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toon\Dropbox\Everest data\MATLAB\Data 24-7 2\"/>
    </mc:Choice>
  </mc:AlternateContent>
  <bookViews>
    <workbookView xWindow="0" yWindow="0" windowWidth="28800" windowHeight="14424"/>
  </bookViews>
  <sheets>
    <sheet name="20170724T1640-50ms-XSens-Positi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4396" i="1" l="1"/>
  <c r="P4395" i="1"/>
  <c r="O4395" i="1"/>
  <c r="P4394" i="1"/>
  <c r="O4394" i="1"/>
  <c r="P4393" i="1"/>
  <c r="O4393" i="1"/>
  <c r="P4392" i="1"/>
  <c r="O4392" i="1"/>
  <c r="P4391" i="1"/>
  <c r="O4391" i="1"/>
  <c r="P4390" i="1"/>
  <c r="O4390" i="1"/>
  <c r="P4389" i="1"/>
  <c r="O4389" i="1"/>
  <c r="P4388" i="1"/>
  <c r="O4388" i="1"/>
  <c r="P4387" i="1"/>
  <c r="O4387" i="1"/>
  <c r="P4386" i="1"/>
  <c r="O4386" i="1"/>
  <c r="P4385" i="1"/>
  <c r="O4385" i="1"/>
  <c r="P4384" i="1"/>
  <c r="O4384" i="1"/>
  <c r="P4383" i="1"/>
  <c r="O4383" i="1"/>
  <c r="P4382" i="1"/>
  <c r="O4382" i="1"/>
  <c r="P4381" i="1"/>
  <c r="O4381" i="1"/>
  <c r="P4380" i="1"/>
  <c r="O4380" i="1"/>
  <c r="P4379" i="1"/>
  <c r="O4379" i="1"/>
  <c r="P4378" i="1"/>
  <c r="O4378" i="1"/>
  <c r="P4377" i="1"/>
  <c r="O4377" i="1"/>
  <c r="P4376" i="1"/>
  <c r="O4376" i="1"/>
  <c r="P4375" i="1"/>
  <c r="O4375" i="1"/>
  <c r="P4374" i="1"/>
  <c r="O4374" i="1"/>
  <c r="P4373" i="1"/>
  <c r="O4373" i="1"/>
  <c r="P4372" i="1"/>
  <c r="O4372" i="1"/>
  <c r="P4371" i="1"/>
  <c r="O4371" i="1"/>
  <c r="P4370" i="1"/>
  <c r="O4370" i="1"/>
  <c r="P4369" i="1"/>
  <c r="O4369" i="1"/>
  <c r="P4368" i="1"/>
  <c r="O4368" i="1"/>
  <c r="P4367" i="1"/>
  <c r="O4367" i="1"/>
  <c r="P4366" i="1"/>
  <c r="O4366" i="1"/>
  <c r="P4365" i="1"/>
  <c r="O4365" i="1"/>
  <c r="P4364" i="1"/>
  <c r="O4364" i="1"/>
  <c r="P4363" i="1"/>
  <c r="O4363" i="1"/>
  <c r="P4362" i="1"/>
  <c r="O4362" i="1"/>
  <c r="P4361" i="1"/>
  <c r="O4361" i="1"/>
  <c r="P4360" i="1"/>
  <c r="O4360" i="1"/>
  <c r="P4359" i="1"/>
  <c r="O4359" i="1"/>
  <c r="P4358" i="1"/>
  <c r="O4358" i="1"/>
  <c r="P4357" i="1"/>
  <c r="O4357" i="1"/>
  <c r="P4356" i="1"/>
  <c r="O4356" i="1"/>
  <c r="P4355" i="1"/>
  <c r="O4355" i="1"/>
  <c r="P4354" i="1"/>
  <c r="O4354" i="1"/>
  <c r="P4353" i="1"/>
  <c r="O4353" i="1"/>
  <c r="P4352" i="1"/>
  <c r="O4352" i="1"/>
  <c r="P4351" i="1"/>
  <c r="O4351" i="1"/>
  <c r="P4350" i="1"/>
  <c r="O4350" i="1"/>
  <c r="P4349" i="1"/>
  <c r="O4349" i="1"/>
  <c r="P4348" i="1"/>
  <c r="O4348" i="1"/>
  <c r="P4347" i="1"/>
  <c r="O4347" i="1"/>
  <c r="P4346" i="1"/>
  <c r="O4346" i="1"/>
  <c r="P4345" i="1"/>
  <c r="O4345" i="1"/>
  <c r="P4344" i="1"/>
  <c r="O4344" i="1"/>
  <c r="P4343" i="1"/>
  <c r="O4343" i="1"/>
  <c r="P4342" i="1"/>
  <c r="O4342" i="1"/>
  <c r="P4341" i="1"/>
  <c r="O4341" i="1"/>
  <c r="P4340" i="1"/>
  <c r="O4340" i="1"/>
  <c r="P4339" i="1"/>
  <c r="O4339" i="1"/>
  <c r="P4338" i="1"/>
  <c r="O4338" i="1"/>
  <c r="P4337" i="1"/>
  <c r="O4337" i="1"/>
  <c r="P4336" i="1"/>
  <c r="O4336" i="1"/>
  <c r="P4335" i="1"/>
  <c r="O4335" i="1"/>
  <c r="P4334" i="1"/>
  <c r="O4334" i="1"/>
  <c r="P4333" i="1"/>
  <c r="O4333" i="1"/>
  <c r="P4332" i="1"/>
  <c r="O4332" i="1"/>
  <c r="P4331" i="1"/>
  <c r="O4331" i="1"/>
  <c r="P4330" i="1"/>
  <c r="O4330" i="1"/>
  <c r="P4329" i="1"/>
  <c r="O4329" i="1"/>
  <c r="P4328" i="1"/>
  <c r="O4328" i="1"/>
  <c r="P4327" i="1"/>
  <c r="O4327" i="1"/>
  <c r="P4326" i="1"/>
  <c r="O4326" i="1"/>
  <c r="P4325" i="1"/>
  <c r="O4325" i="1"/>
  <c r="P4324" i="1"/>
  <c r="O4324" i="1"/>
  <c r="P4323" i="1"/>
  <c r="O4323" i="1"/>
  <c r="P4322" i="1"/>
  <c r="O4322" i="1"/>
  <c r="P4321" i="1"/>
  <c r="O4321" i="1"/>
  <c r="P4320" i="1"/>
  <c r="O4320" i="1"/>
  <c r="P4319" i="1"/>
  <c r="O4319" i="1"/>
  <c r="P4318" i="1"/>
  <c r="O4318" i="1"/>
  <c r="P4317" i="1"/>
  <c r="O4317" i="1"/>
  <c r="P4316" i="1"/>
  <c r="O4316" i="1"/>
  <c r="P4315" i="1"/>
  <c r="O4315" i="1"/>
  <c r="P4314" i="1"/>
  <c r="O4314" i="1"/>
  <c r="P4313" i="1"/>
  <c r="O4313" i="1"/>
  <c r="P4312" i="1"/>
  <c r="O4312" i="1"/>
  <c r="P4311" i="1"/>
  <c r="O4311" i="1"/>
  <c r="P4310" i="1"/>
  <c r="O4310" i="1"/>
  <c r="P4309" i="1"/>
  <c r="O4309" i="1"/>
  <c r="P4308" i="1"/>
  <c r="O4308" i="1"/>
  <c r="P4307" i="1"/>
  <c r="O4307" i="1"/>
  <c r="P4306" i="1"/>
  <c r="O4306" i="1"/>
  <c r="P4305" i="1"/>
  <c r="O4305" i="1"/>
  <c r="P4304" i="1"/>
  <c r="O4304" i="1"/>
  <c r="P4303" i="1"/>
  <c r="O4303" i="1"/>
  <c r="P4302" i="1"/>
  <c r="O4302" i="1"/>
  <c r="P4301" i="1"/>
  <c r="O4301" i="1"/>
  <c r="P4300" i="1"/>
  <c r="O4300" i="1"/>
  <c r="P4299" i="1"/>
  <c r="O4299" i="1"/>
  <c r="P4298" i="1"/>
  <c r="O4298" i="1"/>
  <c r="Q4297" i="1"/>
  <c r="P4297" i="1"/>
  <c r="O4297" i="1"/>
  <c r="Q4296" i="1"/>
  <c r="P4296" i="1"/>
  <c r="O4296" i="1"/>
  <c r="Q4295" i="1"/>
  <c r="P4295" i="1"/>
  <c r="O4295" i="1"/>
  <c r="Q4294" i="1"/>
  <c r="P4294" i="1"/>
  <c r="O4294" i="1"/>
  <c r="Q4293" i="1"/>
  <c r="P4293" i="1"/>
  <c r="O4293" i="1"/>
  <c r="Q4292" i="1"/>
  <c r="P4292" i="1"/>
  <c r="O4292" i="1"/>
  <c r="Q4291" i="1"/>
  <c r="P4291" i="1"/>
  <c r="O4291" i="1"/>
  <c r="Q4290" i="1"/>
  <c r="P4290" i="1"/>
  <c r="O4290" i="1"/>
  <c r="Q4289" i="1"/>
  <c r="P4289" i="1"/>
  <c r="O4289" i="1"/>
  <c r="Q4288" i="1"/>
  <c r="P4288" i="1"/>
  <c r="O4288" i="1"/>
  <c r="Q4287" i="1"/>
  <c r="P4287" i="1"/>
  <c r="O4287" i="1"/>
  <c r="Q4286" i="1"/>
  <c r="P4286" i="1"/>
  <c r="O4286" i="1"/>
  <c r="Q4285" i="1"/>
  <c r="P4285" i="1"/>
  <c r="O4285" i="1"/>
  <c r="Q4284" i="1"/>
  <c r="P4284" i="1"/>
  <c r="O4284" i="1"/>
  <c r="Q4283" i="1"/>
  <c r="P4283" i="1"/>
  <c r="O4283" i="1"/>
  <c r="Q4282" i="1"/>
  <c r="P4282" i="1"/>
  <c r="O4282" i="1"/>
  <c r="Q4281" i="1"/>
  <c r="P4281" i="1"/>
  <c r="O4281" i="1"/>
  <c r="Q4280" i="1"/>
  <c r="P4280" i="1"/>
  <c r="O4280" i="1"/>
  <c r="Q4279" i="1"/>
  <c r="P4279" i="1"/>
  <c r="O4279" i="1"/>
  <c r="Q4278" i="1"/>
  <c r="P4278" i="1"/>
  <c r="O4278" i="1"/>
  <c r="Q4277" i="1"/>
  <c r="P4277" i="1"/>
  <c r="O4277" i="1"/>
  <c r="Q4276" i="1"/>
  <c r="P4276" i="1"/>
  <c r="O4276" i="1"/>
  <c r="Q4275" i="1"/>
  <c r="P4275" i="1"/>
  <c r="O4275" i="1"/>
  <c r="Q4274" i="1"/>
  <c r="P4274" i="1"/>
  <c r="O4274" i="1"/>
  <c r="Q4273" i="1"/>
  <c r="P4273" i="1"/>
  <c r="O4273" i="1"/>
  <c r="Q4272" i="1"/>
  <c r="P4272" i="1"/>
  <c r="O4272" i="1"/>
  <c r="Q4271" i="1"/>
  <c r="P4271" i="1"/>
  <c r="O4271" i="1"/>
  <c r="Q4270" i="1"/>
  <c r="P4270" i="1"/>
  <c r="O4270" i="1"/>
  <c r="Q4269" i="1"/>
  <c r="P4269" i="1"/>
  <c r="O4269" i="1"/>
  <c r="Q4268" i="1"/>
  <c r="P4268" i="1"/>
  <c r="O4268" i="1"/>
  <c r="Q4267" i="1"/>
  <c r="P4267" i="1"/>
  <c r="O4267" i="1"/>
  <c r="Q4266" i="1"/>
  <c r="P4266" i="1"/>
  <c r="O4266" i="1"/>
  <c r="Q4265" i="1"/>
  <c r="P4265" i="1"/>
  <c r="O4265" i="1"/>
  <c r="Q4264" i="1"/>
  <c r="P4264" i="1"/>
  <c r="O4264" i="1"/>
  <c r="Q4263" i="1"/>
  <c r="P4263" i="1"/>
  <c r="O4263" i="1"/>
  <c r="Q4262" i="1"/>
  <c r="P4262" i="1"/>
  <c r="O4262" i="1"/>
  <c r="Q4261" i="1"/>
  <c r="P4261" i="1"/>
  <c r="O4261" i="1"/>
  <c r="Q4260" i="1"/>
  <c r="P4260" i="1"/>
  <c r="O4260" i="1"/>
  <c r="Q4259" i="1"/>
  <c r="P4259" i="1"/>
  <c r="O4259" i="1"/>
  <c r="Q4258" i="1"/>
  <c r="P4258" i="1"/>
  <c r="O4258" i="1"/>
  <c r="Q4257" i="1"/>
  <c r="P4257" i="1"/>
  <c r="O4257" i="1"/>
  <c r="Q4256" i="1"/>
  <c r="P4256" i="1"/>
  <c r="O4256" i="1"/>
  <c r="Q4255" i="1"/>
  <c r="P4255" i="1"/>
  <c r="O4255" i="1"/>
  <c r="Q4254" i="1"/>
  <c r="P4254" i="1"/>
  <c r="O4254" i="1"/>
  <c r="Q4253" i="1"/>
  <c r="P4253" i="1"/>
  <c r="O4253" i="1"/>
  <c r="Q4252" i="1"/>
  <c r="P4252" i="1"/>
  <c r="O4252" i="1"/>
  <c r="Q4251" i="1"/>
  <c r="P4251" i="1"/>
  <c r="O4251" i="1"/>
  <c r="Q4250" i="1"/>
  <c r="P4250" i="1"/>
  <c r="O4250" i="1"/>
  <c r="Q4249" i="1"/>
  <c r="P4249" i="1"/>
  <c r="O4249" i="1"/>
  <c r="Q4248" i="1"/>
  <c r="P4248" i="1"/>
  <c r="O4248" i="1"/>
  <c r="Q4247" i="1"/>
  <c r="P4247" i="1"/>
  <c r="O4247" i="1"/>
  <c r="Q4246" i="1"/>
  <c r="P4246" i="1"/>
  <c r="O4246" i="1"/>
  <c r="Q4245" i="1"/>
  <c r="P4245" i="1"/>
  <c r="O4245" i="1"/>
  <c r="Q4244" i="1"/>
  <c r="P4244" i="1"/>
  <c r="O4244" i="1"/>
  <c r="Q4243" i="1"/>
  <c r="P4243" i="1"/>
  <c r="O4243" i="1"/>
  <c r="Q4242" i="1"/>
  <c r="P4242" i="1"/>
  <c r="O4242" i="1"/>
  <c r="Q4241" i="1"/>
  <c r="P4241" i="1"/>
  <c r="O4241" i="1"/>
  <c r="Q4240" i="1"/>
  <c r="P4240" i="1"/>
  <c r="O4240" i="1"/>
  <c r="Q4239" i="1"/>
  <c r="P4239" i="1"/>
  <c r="O4239" i="1"/>
  <c r="Q4238" i="1"/>
  <c r="P4238" i="1"/>
  <c r="O4238" i="1"/>
  <c r="Q4237" i="1"/>
  <c r="P4237" i="1"/>
  <c r="O4237" i="1"/>
  <c r="Q4236" i="1"/>
  <c r="P4236" i="1"/>
  <c r="O4236" i="1"/>
  <c r="Q4235" i="1"/>
  <c r="P4235" i="1"/>
  <c r="O4235" i="1"/>
  <c r="Q4234" i="1"/>
  <c r="P4234" i="1"/>
  <c r="O4234" i="1"/>
  <c r="Q4233" i="1"/>
  <c r="P4233" i="1"/>
  <c r="O4233" i="1"/>
  <c r="Q4232" i="1"/>
  <c r="P4232" i="1"/>
  <c r="O4232" i="1"/>
  <c r="P4231" i="1"/>
  <c r="O4231" i="1"/>
  <c r="P4230" i="1"/>
  <c r="O4230" i="1"/>
  <c r="P4229" i="1"/>
  <c r="O4229" i="1"/>
  <c r="P4228" i="1"/>
  <c r="O4228" i="1"/>
  <c r="P4227" i="1"/>
  <c r="O4227" i="1"/>
  <c r="P4226" i="1"/>
  <c r="O4226" i="1"/>
  <c r="P4225" i="1"/>
  <c r="O4225" i="1"/>
  <c r="P4224" i="1"/>
  <c r="O4224" i="1"/>
  <c r="P4223" i="1"/>
  <c r="O4223" i="1"/>
  <c r="P4222" i="1"/>
  <c r="O4222" i="1"/>
  <c r="P4221" i="1"/>
  <c r="O4221" i="1"/>
  <c r="P4220" i="1"/>
  <c r="O4220" i="1"/>
  <c r="P4219" i="1"/>
  <c r="O4219" i="1"/>
  <c r="P4218" i="1"/>
  <c r="O4218" i="1"/>
  <c r="P4217" i="1"/>
  <c r="O4217" i="1"/>
  <c r="P4216" i="1"/>
  <c r="O4216" i="1"/>
  <c r="P4215" i="1"/>
  <c r="O4215" i="1"/>
  <c r="P4214" i="1"/>
  <c r="O4214" i="1"/>
  <c r="P4213" i="1"/>
  <c r="O4213" i="1"/>
  <c r="P4212" i="1"/>
  <c r="O4212" i="1"/>
  <c r="P4211" i="1"/>
  <c r="O4211" i="1"/>
  <c r="P4210" i="1"/>
  <c r="O4210" i="1"/>
  <c r="P4209" i="1"/>
  <c r="O4209" i="1"/>
  <c r="P4208" i="1"/>
  <c r="O4208" i="1"/>
  <c r="P4207" i="1"/>
  <c r="O4207" i="1"/>
  <c r="P4206" i="1"/>
  <c r="O4206" i="1"/>
  <c r="P4205" i="1"/>
  <c r="O4205" i="1"/>
  <c r="Q4204" i="1"/>
  <c r="P4204" i="1"/>
  <c r="O4204" i="1"/>
  <c r="Q4203" i="1"/>
  <c r="P4203" i="1"/>
  <c r="O4203" i="1"/>
  <c r="Q4202" i="1"/>
  <c r="P4202" i="1"/>
  <c r="O4202" i="1"/>
  <c r="Q4201" i="1"/>
  <c r="P4201" i="1"/>
  <c r="O4201" i="1"/>
  <c r="Q4200" i="1"/>
  <c r="P4200" i="1"/>
  <c r="O4200" i="1"/>
  <c r="Q4199" i="1"/>
  <c r="P4199" i="1"/>
  <c r="O4199" i="1"/>
  <c r="Q4198" i="1"/>
  <c r="P4198" i="1"/>
  <c r="O4198" i="1"/>
  <c r="Q4197" i="1"/>
  <c r="P4197" i="1"/>
  <c r="O4197" i="1"/>
  <c r="Q4196" i="1"/>
  <c r="P4196" i="1"/>
  <c r="O4196" i="1"/>
  <c r="Q4195" i="1"/>
  <c r="P4195" i="1"/>
  <c r="O4195" i="1"/>
  <c r="Q4194" i="1"/>
  <c r="P4194" i="1"/>
  <c r="O4194" i="1"/>
  <c r="Q4193" i="1"/>
  <c r="P4193" i="1"/>
  <c r="O4193" i="1"/>
  <c r="Q4192" i="1"/>
  <c r="P4192" i="1"/>
  <c r="O4192" i="1"/>
  <c r="Q4191" i="1"/>
  <c r="P4191" i="1"/>
  <c r="O4191" i="1"/>
  <c r="Q4190" i="1"/>
  <c r="P4190" i="1"/>
  <c r="O4190" i="1"/>
  <c r="Q4189" i="1"/>
  <c r="P4189" i="1"/>
  <c r="O4189" i="1"/>
  <c r="Q4188" i="1"/>
  <c r="P4188" i="1"/>
  <c r="O4188" i="1"/>
  <c r="Q4187" i="1"/>
  <c r="P4187" i="1"/>
  <c r="O4187" i="1"/>
  <c r="Q4186" i="1"/>
  <c r="P4186" i="1"/>
  <c r="O4186" i="1"/>
  <c r="Q4185" i="1"/>
  <c r="P4185" i="1"/>
  <c r="O4185" i="1"/>
  <c r="Q4184" i="1"/>
  <c r="P4184" i="1"/>
  <c r="O4184" i="1"/>
  <c r="Q4183" i="1"/>
  <c r="P4183" i="1"/>
  <c r="O4183" i="1"/>
  <c r="Q4182" i="1"/>
  <c r="P4182" i="1"/>
  <c r="O4182" i="1"/>
  <c r="Q4181" i="1"/>
  <c r="P4181" i="1"/>
  <c r="O4181" i="1"/>
  <c r="Q4180" i="1"/>
  <c r="P4180" i="1"/>
  <c r="O4180" i="1"/>
  <c r="Q4179" i="1"/>
  <c r="P4179" i="1"/>
  <c r="O4179" i="1"/>
  <c r="Q4178" i="1"/>
  <c r="P4178" i="1"/>
  <c r="O4178" i="1"/>
  <c r="Q4177" i="1"/>
  <c r="P4177" i="1"/>
  <c r="O4177" i="1"/>
  <c r="Q4176" i="1"/>
  <c r="P4176" i="1"/>
  <c r="O4176" i="1"/>
  <c r="V4175" i="1"/>
  <c r="Q4175" i="1"/>
  <c r="P4175" i="1"/>
  <c r="O4175" i="1"/>
  <c r="V4174" i="1"/>
  <c r="Q4174" i="1"/>
  <c r="P4174" i="1"/>
  <c r="O4174" i="1"/>
  <c r="V4173" i="1"/>
  <c r="Q4173" i="1"/>
  <c r="P4173" i="1"/>
  <c r="O4173" i="1"/>
  <c r="V4172" i="1"/>
  <c r="Q4172" i="1"/>
  <c r="P4172" i="1"/>
  <c r="O4172" i="1"/>
  <c r="V4171" i="1"/>
  <c r="Q4171" i="1"/>
  <c r="P4171" i="1"/>
  <c r="O4171" i="1"/>
  <c r="V4170" i="1"/>
  <c r="Q4170" i="1"/>
  <c r="P4170" i="1"/>
  <c r="O4170" i="1"/>
  <c r="V4169" i="1"/>
  <c r="Q4169" i="1"/>
  <c r="P4169" i="1"/>
  <c r="O4169" i="1"/>
  <c r="V4168" i="1"/>
  <c r="Q4168" i="1"/>
  <c r="P4168" i="1"/>
  <c r="O4168" i="1"/>
  <c r="V4167" i="1"/>
  <c r="Q4167" i="1"/>
  <c r="P4167" i="1"/>
  <c r="O4167" i="1"/>
  <c r="V4166" i="1"/>
  <c r="Q4166" i="1"/>
  <c r="P4166" i="1"/>
  <c r="O4166" i="1"/>
  <c r="V4165" i="1"/>
  <c r="Q4165" i="1"/>
  <c r="P4165" i="1"/>
  <c r="O4165" i="1"/>
  <c r="V4164" i="1"/>
  <c r="Q4164" i="1"/>
  <c r="P4164" i="1"/>
  <c r="O4164" i="1"/>
  <c r="V4163" i="1"/>
  <c r="Q4163" i="1"/>
  <c r="P4163" i="1"/>
  <c r="O4163" i="1"/>
  <c r="V4162" i="1"/>
  <c r="Q4162" i="1"/>
  <c r="P4162" i="1"/>
  <c r="O4162" i="1"/>
  <c r="V4161" i="1"/>
  <c r="Q4161" i="1"/>
  <c r="P4161" i="1"/>
  <c r="O4161" i="1"/>
  <c r="V4160" i="1"/>
  <c r="Q4160" i="1"/>
  <c r="P4160" i="1"/>
  <c r="O4160" i="1"/>
  <c r="V4159" i="1"/>
  <c r="Q4159" i="1"/>
  <c r="P4159" i="1"/>
  <c r="O4159" i="1"/>
  <c r="V4158" i="1"/>
  <c r="Q4158" i="1"/>
  <c r="P4158" i="1"/>
  <c r="O4158" i="1"/>
  <c r="N4158" i="1"/>
  <c r="V4157" i="1"/>
  <c r="Q4157" i="1"/>
  <c r="P4157" i="1"/>
  <c r="O4157" i="1"/>
  <c r="N4157" i="1"/>
  <c r="V4156" i="1"/>
  <c r="Q4156" i="1"/>
  <c r="P4156" i="1"/>
  <c r="O4156" i="1"/>
  <c r="N4156" i="1"/>
  <c r="V4155" i="1"/>
  <c r="Q4155" i="1"/>
  <c r="P4155" i="1"/>
  <c r="O4155" i="1"/>
  <c r="N4155" i="1"/>
  <c r="V4154" i="1"/>
  <c r="Q4154" i="1"/>
  <c r="P4154" i="1"/>
  <c r="O4154" i="1"/>
  <c r="N4154" i="1"/>
  <c r="V4153" i="1"/>
  <c r="Q4153" i="1"/>
  <c r="P4153" i="1"/>
  <c r="O4153" i="1"/>
  <c r="N4153" i="1"/>
  <c r="V4152" i="1"/>
  <c r="Q4152" i="1"/>
  <c r="P4152" i="1"/>
  <c r="O4152" i="1"/>
  <c r="N4152" i="1"/>
  <c r="V4151" i="1"/>
  <c r="Q4151" i="1"/>
  <c r="P4151" i="1"/>
  <c r="O4151" i="1"/>
  <c r="N4151" i="1"/>
  <c r="V4150" i="1"/>
  <c r="Q4150" i="1"/>
  <c r="P4150" i="1"/>
  <c r="O4150" i="1"/>
  <c r="N4150" i="1"/>
  <c r="V4149" i="1"/>
  <c r="Q4149" i="1"/>
  <c r="P4149" i="1"/>
  <c r="O4149" i="1"/>
  <c r="N4149" i="1"/>
  <c r="V4148" i="1"/>
  <c r="Q4148" i="1"/>
  <c r="P4148" i="1"/>
  <c r="O4148" i="1"/>
  <c r="N4148" i="1"/>
  <c r="V4147" i="1"/>
  <c r="Q4147" i="1"/>
  <c r="P4147" i="1"/>
  <c r="O4147" i="1"/>
  <c r="N4147" i="1"/>
  <c r="V4146" i="1"/>
  <c r="Q4146" i="1"/>
  <c r="P4146" i="1"/>
  <c r="O4146" i="1"/>
  <c r="N4146" i="1"/>
  <c r="V4145" i="1"/>
  <c r="Q4145" i="1"/>
  <c r="P4145" i="1"/>
  <c r="O4145" i="1"/>
  <c r="N4145" i="1"/>
  <c r="V4144" i="1"/>
  <c r="Q4144" i="1"/>
  <c r="P4144" i="1"/>
  <c r="O4144" i="1"/>
  <c r="N4144" i="1"/>
  <c r="V4143" i="1"/>
  <c r="Q4143" i="1"/>
  <c r="P4143" i="1"/>
  <c r="O4143" i="1"/>
  <c r="N4143" i="1"/>
  <c r="V4142" i="1"/>
  <c r="Q4142" i="1"/>
  <c r="P4142" i="1"/>
  <c r="O4142" i="1"/>
  <c r="N4142" i="1"/>
  <c r="V4141" i="1"/>
  <c r="Q4141" i="1"/>
  <c r="P4141" i="1"/>
  <c r="O4141" i="1"/>
  <c r="N4141" i="1"/>
  <c r="V4140" i="1"/>
  <c r="Q4140" i="1"/>
  <c r="P4140" i="1"/>
  <c r="O4140" i="1"/>
  <c r="N4140" i="1"/>
  <c r="V4139" i="1"/>
  <c r="Q4139" i="1"/>
  <c r="P4139" i="1"/>
  <c r="O4139" i="1"/>
  <c r="N4139" i="1"/>
  <c r="V4138" i="1"/>
  <c r="Q4138" i="1"/>
  <c r="P4138" i="1"/>
  <c r="O4138" i="1"/>
  <c r="N4138" i="1"/>
  <c r="V4137" i="1"/>
  <c r="Q4137" i="1"/>
  <c r="P4137" i="1"/>
  <c r="O4137" i="1"/>
  <c r="V4136" i="1"/>
  <c r="Q4136" i="1"/>
  <c r="P4136" i="1"/>
  <c r="O4136" i="1"/>
  <c r="V4135" i="1"/>
  <c r="Q4135" i="1"/>
  <c r="P4135" i="1"/>
  <c r="O4135" i="1"/>
  <c r="V4134" i="1"/>
  <c r="Q4134" i="1"/>
  <c r="P4134" i="1"/>
  <c r="O4134" i="1"/>
  <c r="V4133" i="1"/>
  <c r="Q4133" i="1"/>
  <c r="P4133" i="1"/>
  <c r="O4133" i="1"/>
  <c r="V4132" i="1"/>
  <c r="Q4132" i="1"/>
  <c r="P4132" i="1"/>
  <c r="O4132" i="1"/>
  <c r="V4131" i="1"/>
  <c r="Q4131" i="1"/>
  <c r="P4131" i="1"/>
  <c r="O4131" i="1"/>
  <c r="V4130" i="1"/>
  <c r="Q4130" i="1"/>
  <c r="P4130" i="1"/>
  <c r="O4130" i="1"/>
  <c r="V4129" i="1"/>
  <c r="Q4129" i="1"/>
  <c r="P4129" i="1"/>
  <c r="O4129" i="1"/>
  <c r="V4128" i="1"/>
  <c r="Q4128" i="1"/>
  <c r="P4128" i="1"/>
  <c r="O4128" i="1"/>
  <c r="V4127" i="1"/>
  <c r="Q4127" i="1"/>
  <c r="P4127" i="1"/>
  <c r="O4127" i="1"/>
  <c r="V4126" i="1"/>
  <c r="Q4126" i="1"/>
  <c r="P4126" i="1"/>
  <c r="O4126" i="1"/>
  <c r="V4125" i="1"/>
  <c r="Q4125" i="1"/>
  <c r="P4125" i="1"/>
  <c r="O4125" i="1"/>
  <c r="V4124" i="1"/>
  <c r="Q4124" i="1"/>
  <c r="P4124" i="1"/>
  <c r="O4124" i="1"/>
  <c r="V4123" i="1"/>
  <c r="Q4123" i="1"/>
  <c r="P4123" i="1"/>
  <c r="O4123" i="1"/>
  <c r="V4122" i="1"/>
  <c r="Q4122" i="1"/>
  <c r="P4122" i="1"/>
  <c r="O4122" i="1"/>
  <c r="V4121" i="1"/>
  <c r="Q4121" i="1"/>
  <c r="P4121" i="1"/>
  <c r="O4121" i="1"/>
  <c r="V4120" i="1"/>
  <c r="Q4120" i="1"/>
  <c r="P4120" i="1"/>
  <c r="O4120" i="1"/>
  <c r="V4119" i="1"/>
  <c r="Q4119" i="1"/>
  <c r="P4119" i="1"/>
  <c r="O4119" i="1"/>
  <c r="V4118" i="1"/>
  <c r="Q4118" i="1"/>
  <c r="P4118" i="1"/>
  <c r="O4118" i="1"/>
  <c r="V4117" i="1"/>
  <c r="Q4117" i="1"/>
  <c r="P4117" i="1"/>
  <c r="O4117" i="1"/>
  <c r="V4116" i="1"/>
  <c r="Q4116" i="1"/>
  <c r="P4116" i="1"/>
  <c r="O4116" i="1"/>
  <c r="V4115" i="1"/>
  <c r="Q4115" i="1"/>
  <c r="P4115" i="1"/>
  <c r="O4115" i="1"/>
  <c r="V4114" i="1"/>
  <c r="Q4114" i="1"/>
  <c r="P4114" i="1"/>
  <c r="O4114" i="1"/>
  <c r="V4113" i="1"/>
  <c r="Q4113" i="1"/>
  <c r="P4113" i="1"/>
  <c r="O4113" i="1"/>
  <c r="V4112" i="1"/>
  <c r="Q4112" i="1"/>
  <c r="P4112" i="1"/>
  <c r="O4112" i="1"/>
  <c r="V4111" i="1"/>
  <c r="Q4111" i="1"/>
  <c r="P4111" i="1"/>
  <c r="O4111" i="1"/>
  <c r="V4110" i="1"/>
  <c r="Q4110" i="1"/>
  <c r="P4110" i="1"/>
  <c r="O4110" i="1"/>
  <c r="V4109" i="1"/>
  <c r="Q4109" i="1"/>
  <c r="P4109" i="1"/>
  <c r="O4109" i="1"/>
  <c r="V4108" i="1"/>
  <c r="Q4108" i="1"/>
  <c r="P4108" i="1"/>
  <c r="O4108" i="1"/>
  <c r="V4107" i="1"/>
  <c r="Q4107" i="1"/>
  <c r="P4107" i="1"/>
  <c r="O4107" i="1"/>
  <c r="V4106" i="1"/>
  <c r="Q4106" i="1"/>
  <c r="P4106" i="1"/>
  <c r="O4106" i="1"/>
  <c r="V4105" i="1"/>
  <c r="Q4105" i="1"/>
  <c r="P4105" i="1"/>
  <c r="O4105" i="1"/>
  <c r="V4104" i="1"/>
  <c r="Q4104" i="1"/>
  <c r="P4104" i="1"/>
  <c r="O4104" i="1"/>
  <c r="V4103" i="1"/>
  <c r="Q4103" i="1"/>
  <c r="P4103" i="1"/>
  <c r="O4103" i="1"/>
  <c r="V4102" i="1"/>
  <c r="Q4102" i="1"/>
  <c r="P4102" i="1"/>
  <c r="O4102" i="1"/>
  <c r="V4101" i="1"/>
  <c r="Q4101" i="1"/>
  <c r="P4101" i="1"/>
  <c r="O4101" i="1"/>
  <c r="V4100" i="1"/>
  <c r="Q4100" i="1"/>
  <c r="P4100" i="1"/>
  <c r="O4100" i="1"/>
  <c r="V4099" i="1"/>
  <c r="Q4099" i="1"/>
  <c r="P4099" i="1"/>
  <c r="O4099" i="1"/>
  <c r="V4098" i="1"/>
  <c r="Q4098" i="1"/>
  <c r="P4098" i="1"/>
  <c r="O4098" i="1"/>
  <c r="V4097" i="1"/>
  <c r="Q4097" i="1"/>
  <c r="P4097" i="1"/>
  <c r="O4097" i="1"/>
  <c r="V4096" i="1"/>
  <c r="Q4096" i="1"/>
  <c r="P4096" i="1"/>
  <c r="O4096" i="1"/>
  <c r="V4095" i="1"/>
  <c r="Q4095" i="1"/>
  <c r="P4095" i="1"/>
  <c r="O4095" i="1"/>
  <c r="V4094" i="1"/>
  <c r="Q4094" i="1"/>
  <c r="P4094" i="1"/>
  <c r="O4094" i="1"/>
  <c r="N4094" i="1"/>
  <c r="V4093" i="1"/>
  <c r="Q4093" i="1"/>
  <c r="P4093" i="1"/>
  <c r="O4093" i="1"/>
  <c r="N4093" i="1"/>
  <c r="V4092" i="1"/>
  <c r="Q4092" i="1"/>
  <c r="P4092" i="1"/>
  <c r="O4092" i="1"/>
  <c r="N4092" i="1"/>
  <c r="V4091" i="1"/>
  <c r="Q4091" i="1"/>
  <c r="P4091" i="1"/>
  <c r="O4091" i="1"/>
  <c r="N4091" i="1"/>
  <c r="V4090" i="1"/>
  <c r="Q4090" i="1"/>
  <c r="P4090" i="1"/>
  <c r="O4090" i="1"/>
  <c r="N4090" i="1"/>
  <c r="V4089" i="1"/>
  <c r="Q4089" i="1"/>
  <c r="P4089" i="1"/>
  <c r="O4089" i="1"/>
  <c r="N4089" i="1"/>
  <c r="V4088" i="1"/>
  <c r="Q4088" i="1"/>
  <c r="P4088" i="1"/>
  <c r="O4088" i="1"/>
  <c r="V4087" i="1"/>
  <c r="Q4087" i="1"/>
  <c r="P4087" i="1"/>
  <c r="O4087" i="1"/>
  <c r="N4087" i="1"/>
  <c r="V4086" i="1"/>
  <c r="Q4086" i="1"/>
  <c r="P4086" i="1"/>
  <c r="O4086" i="1"/>
  <c r="N4086" i="1"/>
  <c r="V4085" i="1"/>
  <c r="Q4085" i="1"/>
  <c r="P4085" i="1"/>
  <c r="O4085" i="1"/>
  <c r="V4084" i="1"/>
  <c r="Q4084" i="1"/>
  <c r="P4084" i="1"/>
  <c r="O4084" i="1"/>
  <c r="N4084" i="1"/>
  <c r="V4083" i="1"/>
  <c r="Q4083" i="1"/>
  <c r="P4083" i="1"/>
  <c r="O4083" i="1"/>
  <c r="V4082" i="1"/>
  <c r="Q4082" i="1"/>
  <c r="P4082" i="1"/>
  <c r="O4082" i="1"/>
  <c r="V4081" i="1"/>
  <c r="Q4081" i="1"/>
  <c r="P4081" i="1"/>
  <c r="O4081" i="1"/>
  <c r="N4081" i="1"/>
  <c r="V4080" i="1"/>
  <c r="Q4080" i="1"/>
  <c r="P4080" i="1"/>
  <c r="O4080" i="1"/>
  <c r="V4079" i="1"/>
  <c r="Q4079" i="1"/>
  <c r="P4079" i="1"/>
  <c r="O4079" i="1"/>
  <c r="V4078" i="1"/>
  <c r="Q4078" i="1"/>
  <c r="P4078" i="1"/>
  <c r="O4078" i="1"/>
  <c r="V4077" i="1"/>
  <c r="Q4077" i="1"/>
  <c r="P4077" i="1"/>
  <c r="O4077" i="1"/>
  <c r="V4076" i="1"/>
  <c r="Q4076" i="1"/>
  <c r="P4076" i="1"/>
  <c r="O4076" i="1"/>
  <c r="V4075" i="1"/>
  <c r="Q4075" i="1"/>
  <c r="P4075" i="1"/>
  <c r="O4075" i="1"/>
  <c r="V4074" i="1"/>
  <c r="Q4074" i="1"/>
  <c r="P4074" i="1"/>
  <c r="O4074" i="1"/>
  <c r="V4073" i="1"/>
  <c r="Q4073" i="1"/>
  <c r="P4073" i="1"/>
  <c r="O4073" i="1"/>
  <c r="V4072" i="1"/>
  <c r="Q4072" i="1"/>
  <c r="P4072" i="1"/>
  <c r="O4072" i="1"/>
  <c r="V4071" i="1"/>
  <c r="Q4071" i="1"/>
  <c r="P4071" i="1"/>
  <c r="O4071" i="1"/>
  <c r="V4070" i="1"/>
  <c r="Q4070" i="1"/>
  <c r="P4070" i="1"/>
  <c r="O4070" i="1"/>
  <c r="V4069" i="1"/>
  <c r="Q4069" i="1"/>
  <c r="P4069" i="1"/>
  <c r="O4069" i="1"/>
  <c r="V4068" i="1"/>
  <c r="Q4068" i="1"/>
  <c r="P4068" i="1"/>
  <c r="O4068" i="1"/>
  <c r="V4067" i="1"/>
  <c r="Q4067" i="1"/>
  <c r="P4067" i="1"/>
  <c r="O4067" i="1"/>
  <c r="V4066" i="1"/>
  <c r="Q4066" i="1"/>
  <c r="P4066" i="1"/>
  <c r="O4066" i="1"/>
  <c r="V4065" i="1"/>
  <c r="Q4065" i="1"/>
  <c r="P4065" i="1"/>
  <c r="O4065" i="1"/>
  <c r="V4064" i="1"/>
  <c r="Q4064" i="1"/>
  <c r="P4064" i="1"/>
  <c r="O4064" i="1"/>
  <c r="V4063" i="1"/>
  <c r="Q4063" i="1"/>
  <c r="P4063" i="1"/>
  <c r="O4063" i="1"/>
  <c r="V4062" i="1"/>
  <c r="Q4062" i="1"/>
  <c r="P4062" i="1"/>
  <c r="O4062" i="1"/>
  <c r="V4061" i="1"/>
  <c r="Q4061" i="1"/>
  <c r="P4061" i="1"/>
  <c r="O4061" i="1"/>
  <c r="V4060" i="1"/>
  <c r="Q4060" i="1"/>
  <c r="P4060" i="1"/>
  <c r="O4060" i="1"/>
  <c r="V4059" i="1"/>
  <c r="Q4059" i="1"/>
  <c r="P4059" i="1"/>
  <c r="O4059" i="1"/>
  <c r="V4058" i="1"/>
  <c r="Q4058" i="1"/>
  <c r="P4058" i="1"/>
  <c r="O4058" i="1"/>
  <c r="V4057" i="1"/>
  <c r="Q4057" i="1"/>
  <c r="P4057" i="1"/>
  <c r="O4057" i="1"/>
  <c r="V4056" i="1"/>
  <c r="Q4056" i="1"/>
  <c r="P4056" i="1"/>
  <c r="O4056" i="1"/>
  <c r="V4055" i="1"/>
  <c r="Q4055" i="1"/>
  <c r="P4055" i="1"/>
  <c r="O4055" i="1"/>
  <c r="V4054" i="1"/>
  <c r="Q4054" i="1"/>
  <c r="P4054" i="1"/>
  <c r="O4054" i="1"/>
  <c r="V4053" i="1"/>
  <c r="Q4053" i="1"/>
  <c r="P4053" i="1"/>
  <c r="O4053" i="1"/>
  <c r="V4052" i="1"/>
  <c r="Q4052" i="1"/>
  <c r="P4052" i="1"/>
  <c r="O4052" i="1"/>
  <c r="V4051" i="1"/>
  <c r="Q4051" i="1"/>
  <c r="P4051" i="1"/>
  <c r="O4051" i="1"/>
  <c r="V4050" i="1"/>
  <c r="Q4050" i="1"/>
  <c r="P4050" i="1"/>
  <c r="O4050" i="1"/>
  <c r="V4049" i="1"/>
  <c r="Q4049" i="1"/>
  <c r="P4049" i="1"/>
  <c r="O4049" i="1"/>
  <c r="V4048" i="1"/>
  <c r="Q4048" i="1"/>
  <c r="P4048" i="1"/>
  <c r="O4048" i="1"/>
  <c r="V4047" i="1"/>
  <c r="Q4047" i="1"/>
  <c r="P4047" i="1"/>
  <c r="O4047" i="1"/>
  <c r="V4046" i="1"/>
  <c r="Q4046" i="1"/>
  <c r="P4046" i="1"/>
  <c r="O4046" i="1"/>
  <c r="V4045" i="1"/>
  <c r="Q4045" i="1"/>
  <c r="P4045" i="1"/>
  <c r="O4045" i="1"/>
  <c r="V4044" i="1"/>
  <c r="Q4044" i="1"/>
  <c r="P4044" i="1"/>
  <c r="O4044" i="1"/>
  <c r="V4043" i="1"/>
  <c r="Q4043" i="1"/>
  <c r="P4043" i="1"/>
  <c r="O4043" i="1"/>
  <c r="V4042" i="1"/>
  <c r="Q4042" i="1"/>
  <c r="P4042" i="1"/>
  <c r="O4042" i="1"/>
  <c r="V4041" i="1"/>
  <c r="Q4041" i="1"/>
  <c r="P4041" i="1"/>
  <c r="O4041" i="1"/>
  <c r="V4040" i="1"/>
  <c r="Q4040" i="1"/>
  <c r="P4040" i="1"/>
  <c r="O4040" i="1"/>
  <c r="V4039" i="1"/>
  <c r="Q4039" i="1"/>
  <c r="P4039" i="1"/>
  <c r="O4039" i="1"/>
  <c r="V4038" i="1"/>
  <c r="Q4038" i="1"/>
  <c r="P4038" i="1"/>
  <c r="O4038" i="1"/>
  <c r="V4037" i="1"/>
  <c r="Q4037" i="1"/>
  <c r="P4037" i="1"/>
  <c r="O4037" i="1"/>
  <c r="V4036" i="1"/>
  <c r="Q4036" i="1"/>
  <c r="P4036" i="1"/>
  <c r="O4036" i="1"/>
  <c r="V4035" i="1"/>
  <c r="Q4035" i="1"/>
  <c r="P4035" i="1"/>
  <c r="O4035" i="1"/>
  <c r="V4034" i="1"/>
  <c r="Q4034" i="1"/>
  <c r="P4034" i="1"/>
  <c r="O4034" i="1"/>
  <c r="V4033" i="1"/>
  <c r="Q4033" i="1"/>
  <c r="P4033" i="1"/>
  <c r="O4033" i="1"/>
  <c r="V4032" i="1"/>
  <c r="Q4032" i="1"/>
  <c r="P4032" i="1"/>
  <c r="O4032" i="1"/>
  <c r="V4031" i="1"/>
  <c r="Q4031" i="1"/>
  <c r="P4031" i="1"/>
  <c r="O4031" i="1"/>
  <c r="V4030" i="1"/>
  <c r="Q4030" i="1"/>
  <c r="P4030" i="1"/>
  <c r="O4030" i="1"/>
  <c r="V4029" i="1"/>
  <c r="Q4029" i="1"/>
  <c r="P4029" i="1"/>
  <c r="O4029" i="1"/>
  <c r="V4028" i="1"/>
  <c r="Q4028" i="1"/>
  <c r="P4028" i="1"/>
  <c r="O4028" i="1"/>
  <c r="V4027" i="1"/>
  <c r="Q4027" i="1"/>
  <c r="P4027" i="1"/>
  <c r="O4027" i="1"/>
  <c r="V4026" i="1"/>
  <c r="Q4026" i="1"/>
  <c r="P4026" i="1"/>
  <c r="O4026" i="1"/>
  <c r="V4025" i="1"/>
  <c r="Q4025" i="1"/>
  <c r="P4025" i="1"/>
  <c r="O4025" i="1"/>
  <c r="V4024" i="1"/>
  <c r="Q4024" i="1"/>
  <c r="P4024" i="1"/>
  <c r="O4024" i="1"/>
  <c r="N4024" i="1"/>
  <c r="V4023" i="1"/>
  <c r="Q4023" i="1"/>
  <c r="P4023" i="1"/>
  <c r="O4023" i="1"/>
  <c r="N4023" i="1"/>
  <c r="V4022" i="1"/>
  <c r="Q4022" i="1"/>
  <c r="P4022" i="1"/>
  <c r="O4022" i="1"/>
  <c r="N4022" i="1"/>
  <c r="V4021" i="1"/>
  <c r="Q4021" i="1"/>
  <c r="P4021" i="1"/>
  <c r="O4021" i="1"/>
  <c r="N4021" i="1"/>
  <c r="V4020" i="1"/>
  <c r="Q4020" i="1"/>
  <c r="P4020" i="1"/>
  <c r="O4020" i="1"/>
  <c r="N4020" i="1"/>
  <c r="V4019" i="1"/>
  <c r="Q4019" i="1"/>
  <c r="P4019" i="1"/>
  <c r="O4019" i="1"/>
  <c r="N4019" i="1"/>
  <c r="V4018" i="1"/>
  <c r="Q4018" i="1"/>
  <c r="P4018" i="1"/>
  <c r="O4018" i="1"/>
  <c r="N4018" i="1"/>
  <c r="V4017" i="1"/>
  <c r="Q4017" i="1"/>
  <c r="P4017" i="1"/>
  <c r="O4017" i="1"/>
  <c r="N4017" i="1"/>
  <c r="V4016" i="1"/>
  <c r="Q4016" i="1"/>
  <c r="P4016" i="1"/>
  <c r="O4016" i="1"/>
  <c r="N4016" i="1"/>
  <c r="V4015" i="1"/>
  <c r="Q4015" i="1"/>
  <c r="P4015" i="1"/>
  <c r="O4015" i="1"/>
  <c r="N4015" i="1"/>
  <c r="V4014" i="1"/>
  <c r="Q4014" i="1"/>
  <c r="P4014" i="1"/>
  <c r="O4014" i="1"/>
  <c r="N4014" i="1"/>
  <c r="V4013" i="1"/>
  <c r="Q4013" i="1"/>
  <c r="P4013" i="1"/>
  <c r="O4013" i="1"/>
  <c r="N4013" i="1"/>
  <c r="V4012" i="1"/>
  <c r="Q4012" i="1"/>
  <c r="P4012" i="1"/>
  <c r="O4012" i="1"/>
  <c r="N4012" i="1"/>
  <c r="I4012" i="1"/>
  <c r="V4011" i="1"/>
  <c r="Q4011" i="1"/>
  <c r="P4011" i="1"/>
  <c r="O4011" i="1"/>
  <c r="N4011" i="1"/>
  <c r="I4011" i="1"/>
  <c r="V4010" i="1"/>
  <c r="Q4010" i="1"/>
  <c r="P4010" i="1"/>
  <c r="O4010" i="1"/>
  <c r="N4010" i="1"/>
  <c r="I4010" i="1"/>
  <c r="V4009" i="1"/>
  <c r="Q4009" i="1"/>
  <c r="P4009" i="1"/>
  <c r="O4009" i="1"/>
  <c r="N4009" i="1"/>
  <c r="I4009" i="1"/>
  <c r="V4008" i="1"/>
  <c r="Q4008" i="1"/>
  <c r="P4008" i="1"/>
  <c r="O4008" i="1"/>
  <c r="N4008" i="1"/>
  <c r="I4008" i="1"/>
  <c r="V4007" i="1"/>
  <c r="Q4007" i="1"/>
  <c r="P4007" i="1"/>
  <c r="O4007" i="1"/>
  <c r="N4007" i="1"/>
  <c r="I4007" i="1"/>
  <c r="V4006" i="1"/>
  <c r="Q4006" i="1"/>
  <c r="P4006" i="1"/>
  <c r="O4006" i="1"/>
  <c r="N4006" i="1"/>
  <c r="I4006" i="1"/>
  <c r="V4005" i="1"/>
  <c r="Q4005" i="1"/>
  <c r="P4005" i="1"/>
  <c r="O4005" i="1"/>
  <c r="N4005" i="1"/>
  <c r="V4004" i="1"/>
  <c r="Q4004" i="1"/>
  <c r="P4004" i="1"/>
  <c r="O4004" i="1"/>
  <c r="N4004" i="1"/>
  <c r="V4003" i="1"/>
  <c r="Q4003" i="1"/>
  <c r="P4003" i="1"/>
  <c r="O4003" i="1"/>
  <c r="N4003" i="1"/>
  <c r="V4002" i="1"/>
  <c r="Q4002" i="1"/>
  <c r="P4002" i="1"/>
  <c r="O4002" i="1"/>
  <c r="N4002" i="1"/>
  <c r="V4001" i="1"/>
  <c r="Q4001" i="1"/>
  <c r="P4001" i="1"/>
  <c r="O4001" i="1"/>
  <c r="N4001" i="1"/>
  <c r="V4000" i="1"/>
  <c r="Q4000" i="1"/>
  <c r="P4000" i="1"/>
  <c r="O4000" i="1"/>
  <c r="N4000" i="1"/>
  <c r="V3999" i="1"/>
  <c r="Q3999" i="1"/>
  <c r="P3999" i="1"/>
  <c r="O3999" i="1"/>
  <c r="N3999" i="1"/>
  <c r="V3998" i="1"/>
  <c r="Q3998" i="1"/>
  <c r="P3998" i="1"/>
  <c r="O3998" i="1"/>
  <c r="N3998" i="1"/>
  <c r="V3997" i="1"/>
  <c r="Q3997" i="1"/>
  <c r="P3997" i="1"/>
  <c r="O3997" i="1"/>
  <c r="N3997" i="1"/>
  <c r="V3996" i="1"/>
  <c r="Q3996" i="1"/>
  <c r="P3996" i="1"/>
  <c r="O3996" i="1"/>
  <c r="N3996" i="1"/>
  <c r="V3995" i="1"/>
  <c r="Q3995" i="1"/>
  <c r="P3995" i="1"/>
  <c r="O3995" i="1"/>
  <c r="V3994" i="1"/>
  <c r="Q3994" i="1"/>
  <c r="P3994" i="1"/>
  <c r="O3994" i="1"/>
  <c r="V3993" i="1"/>
  <c r="Q3993" i="1"/>
  <c r="P3993" i="1"/>
  <c r="O3993" i="1"/>
  <c r="V3992" i="1"/>
  <c r="Q3992" i="1"/>
  <c r="P3992" i="1"/>
  <c r="O3992" i="1"/>
  <c r="Q3991" i="1"/>
  <c r="P3991" i="1"/>
  <c r="O3991" i="1"/>
  <c r="Q3990" i="1"/>
  <c r="P3990" i="1"/>
  <c r="O3990" i="1"/>
  <c r="P3989" i="1"/>
  <c r="O3989" i="1"/>
  <c r="P3988" i="1"/>
  <c r="O3988" i="1"/>
  <c r="P3987" i="1"/>
  <c r="O3987" i="1"/>
  <c r="P3986" i="1"/>
  <c r="O3986" i="1"/>
  <c r="P3985" i="1"/>
  <c r="O3985" i="1"/>
  <c r="P3984" i="1"/>
  <c r="O3984" i="1"/>
  <c r="P3983" i="1"/>
  <c r="O3983" i="1"/>
  <c r="P3982" i="1"/>
  <c r="O3982" i="1"/>
  <c r="P3981" i="1"/>
  <c r="O3981" i="1"/>
  <c r="P3980" i="1"/>
  <c r="O3980" i="1"/>
  <c r="P3979" i="1"/>
  <c r="O3979" i="1"/>
  <c r="P3978" i="1"/>
  <c r="O3978" i="1"/>
  <c r="P3977" i="1"/>
  <c r="O3977" i="1"/>
  <c r="P3976" i="1"/>
  <c r="O3976" i="1"/>
  <c r="P3975" i="1"/>
  <c r="O3975" i="1"/>
  <c r="P3974" i="1"/>
  <c r="O3974" i="1"/>
  <c r="P3973" i="1"/>
  <c r="O3973" i="1"/>
  <c r="P3972" i="1"/>
  <c r="O3972" i="1"/>
  <c r="P3971" i="1"/>
  <c r="O3971" i="1"/>
  <c r="P3970" i="1"/>
  <c r="O3970" i="1"/>
  <c r="P3969" i="1"/>
  <c r="O3969" i="1"/>
  <c r="P3968" i="1"/>
  <c r="O3968" i="1"/>
  <c r="P3967" i="1"/>
  <c r="O3967" i="1"/>
  <c r="P3966" i="1"/>
  <c r="O3966" i="1"/>
  <c r="P3965" i="1"/>
  <c r="O3965" i="1"/>
  <c r="P3964" i="1"/>
  <c r="O3964" i="1"/>
  <c r="P3963" i="1"/>
  <c r="O3963" i="1"/>
  <c r="P3962" i="1"/>
  <c r="O3962" i="1"/>
  <c r="P3961" i="1"/>
  <c r="O3961" i="1"/>
  <c r="P3960" i="1"/>
  <c r="O3960" i="1"/>
  <c r="P3959" i="1"/>
  <c r="O3959" i="1"/>
  <c r="P3958" i="1"/>
  <c r="O3958" i="1"/>
  <c r="P3957" i="1"/>
  <c r="O3957" i="1"/>
  <c r="P3956" i="1"/>
  <c r="O3956" i="1"/>
  <c r="P3955" i="1"/>
  <c r="O3955" i="1"/>
  <c r="P3954" i="1"/>
  <c r="O3954" i="1"/>
  <c r="P3953" i="1"/>
  <c r="O3953" i="1"/>
  <c r="P3952" i="1"/>
  <c r="O3952" i="1"/>
  <c r="P3951" i="1"/>
  <c r="O3951" i="1"/>
  <c r="P3950" i="1"/>
  <c r="O3950" i="1"/>
  <c r="P3949" i="1"/>
  <c r="O3949" i="1"/>
  <c r="P3948" i="1"/>
  <c r="O3948" i="1"/>
  <c r="P3947" i="1"/>
  <c r="O3947" i="1"/>
  <c r="P3946" i="1"/>
  <c r="O3946" i="1"/>
  <c r="P3945" i="1"/>
  <c r="O3945" i="1"/>
  <c r="P3944" i="1"/>
  <c r="O3944" i="1"/>
  <c r="P3943" i="1"/>
  <c r="O3943" i="1"/>
  <c r="P3942" i="1"/>
  <c r="O3942" i="1"/>
  <c r="P3941" i="1"/>
  <c r="O3941" i="1"/>
  <c r="P3940" i="1"/>
  <c r="O3940" i="1"/>
  <c r="P3939" i="1"/>
  <c r="O3939" i="1"/>
  <c r="P3938" i="1"/>
  <c r="O3938" i="1"/>
  <c r="P3937" i="1"/>
  <c r="O3937" i="1"/>
  <c r="P3936" i="1"/>
  <c r="O3936" i="1"/>
  <c r="P3935" i="1"/>
  <c r="O3935" i="1"/>
  <c r="P3934" i="1"/>
  <c r="O3934" i="1"/>
  <c r="P3933" i="1"/>
  <c r="O3933" i="1"/>
  <c r="P3932" i="1"/>
  <c r="O3932" i="1"/>
  <c r="P3931" i="1"/>
  <c r="O3931" i="1"/>
  <c r="P3930" i="1"/>
  <c r="O3930" i="1"/>
  <c r="P3929" i="1"/>
  <c r="O3929" i="1"/>
  <c r="P3928" i="1"/>
  <c r="O3928" i="1"/>
  <c r="P3927" i="1"/>
  <c r="O3927" i="1"/>
  <c r="P3926" i="1"/>
  <c r="O3926" i="1"/>
  <c r="P3925" i="1"/>
  <c r="O3925" i="1"/>
  <c r="P3924" i="1"/>
  <c r="O3924" i="1"/>
  <c r="P3923" i="1"/>
  <c r="O3923" i="1"/>
  <c r="P3922" i="1"/>
  <c r="O3922" i="1"/>
  <c r="P3921" i="1"/>
  <c r="O3921" i="1"/>
  <c r="P3920" i="1"/>
  <c r="O3920" i="1"/>
  <c r="P3919" i="1"/>
  <c r="O3919" i="1"/>
  <c r="P3918" i="1"/>
  <c r="O3918" i="1"/>
  <c r="P3917" i="1"/>
  <c r="O3917" i="1"/>
  <c r="P3916" i="1"/>
  <c r="O3916" i="1"/>
  <c r="P3915" i="1"/>
  <c r="O3915" i="1"/>
  <c r="P3914" i="1"/>
  <c r="O3914" i="1"/>
  <c r="P3913" i="1"/>
  <c r="O3913" i="1"/>
  <c r="P3912" i="1"/>
  <c r="O3912" i="1"/>
  <c r="P3911" i="1"/>
  <c r="O3911" i="1"/>
  <c r="P3910" i="1"/>
  <c r="O3910" i="1"/>
  <c r="P3909" i="1"/>
  <c r="O3909" i="1"/>
  <c r="P3908" i="1"/>
  <c r="O3908" i="1"/>
  <c r="P3907" i="1"/>
  <c r="O3907" i="1"/>
  <c r="P3906" i="1"/>
  <c r="O3906" i="1"/>
  <c r="P3905" i="1"/>
  <c r="O3905" i="1"/>
  <c r="P3904" i="1"/>
  <c r="O3904" i="1"/>
  <c r="P3903" i="1"/>
  <c r="O3903" i="1"/>
  <c r="P3902" i="1"/>
  <c r="O3902" i="1"/>
  <c r="P3901" i="1"/>
  <c r="O3901" i="1"/>
  <c r="P3900" i="1"/>
  <c r="O3900" i="1"/>
  <c r="P3899" i="1"/>
  <c r="O3899" i="1"/>
  <c r="P3898" i="1"/>
  <c r="O3898" i="1"/>
  <c r="P3897" i="1"/>
  <c r="O3897" i="1"/>
  <c r="Q3896" i="1"/>
  <c r="P3896" i="1"/>
  <c r="O3896" i="1"/>
  <c r="Q3895" i="1"/>
  <c r="P3895" i="1"/>
  <c r="O3895" i="1"/>
  <c r="Q3894" i="1"/>
  <c r="P3894" i="1"/>
  <c r="O3894" i="1"/>
  <c r="Q3893" i="1"/>
  <c r="P3893" i="1"/>
  <c r="O3893" i="1"/>
  <c r="Q3892" i="1"/>
  <c r="P3892" i="1"/>
  <c r="O3892" i="1"/>
  <c r="Q3891" i="1"/>
  <c r="P3891" i="1"/>
  <c r="O3891" i="1"/>
  <c r="Q3890" i="1"/>
  <c r="P3890" i="1"/>
  <c r="O3890" i="1"/>
  <c r="Q3889" i="1"/>
  <c r="P3889" i="1"/>
  <c r="O3889" i="1"/>
  <c r="Q3888" i="1"/>
  <c r="P3888" i="1"/>
  <c r="O3888" i="1"/>
  <c r="Q3887" i="1"/>
  <c r="P3887" i="1"/>
  <c r="O3887" i="1"/>
  <c r="Q3886" i="1"/>
  <c r="P3886" i="1"/>
  <c r="O3886" i="1"/>
  <c r="Q3885" i="1"/>
  <c r="P3885" i="1"/>
  <c r="O3885" i="1"/>
  <c r="Q3884" i="1"/>
  <c r="P3884" i="1"/>
  <c r="O3884" i="1"/>
  <c r="P3883" i="1"/>
  <c r="O3883" i="1"/>
  <c r="P3882" i="1"/>
  <c r="O3882" i="1"/>
  <c r="P3881" i="1"/>
  <c r="O3881" i="1"/>
  <c r="P3880" i="1"/>
  <c r="O3880" i="1"/>
  <c r="P3879" i="1"/>
  <c r="O3879" i="1"/>
  <c r="P3878" i="1"/>
  <c r="O3878" i="1"/>
  <c r="P3877" i="1"/>
  <c r="O3877" i="1"/>
  <c r="P3876" i="1"/>
  <c r="O3876" i="1"/>
  <c r="P3875" i="1"/>
  <c r="O3875" i="1"/>
  <c r="P3874" i="1"/>
  <c r="O3874" i="1"/>
  <c r="P3873" i="1"/>
  <c r="O3873" i="1"/>
  <c r="P3872" i="1"/>
  <c r="O3872" i="1"/>
  <c r="P3871" i="1"/>
  <c r="O3871" i="1"/>
  <c r="P3870" i="1"/>
  <c r="O3870" i="1"/>
  <c r="P3869" i="1"/>
  <c r="O3869" i="1"/>
  <c r="P3868" i="1"/>
  <c r="O3868" i="1"/>
  <c r="P3867" i="1"/>
  <c r="O3867" i="1"/>
  <c r="P3866" i="1"/>
  <c r="O3866" i="1"/>
  <c r="P3865" i="1"/>
  <c r="O3865" i="1"/>
  <c r="P3864" i="1"/>
  <c r="O3864" i="1"/>
  <c r="P3863" i="1"/>
  <c r="O3863" i="1"/>
  <c r="P3862" i="1"/>
  <c r="O3862" i="1"/>
  <c r="P3861" i="1"/>
  <c r="O3861" i="1"/>
  <c r="P3860" i="1"/>
  <c r="O3860" i="1"/>
  <c r="P3859" i="1"/>
  <c r="O3859" i="1"/>
  <c r="P3858" i="1"/>
  <c r="O3858" i="1"/>
  <c r="P3857" i="1"/>
  <c r="O3857" i="1"/>
  <c r="P3856" i="1"/>
  <c r="O3856" i="1"/>
  <c r="P3855" i="1"/>
  <c r="O3855" i="1"/>
  <c r="P3854" i="1"/>
  <c r="O3854" i="1"/>
  <c r="P3853" i="1"/>
  <c r="O3853" i="1"/>
  <c r="P3852" i="1"/>
  <c r="O3852" i="1"/>
  <c r="P3851" i="1"/>
  <c r="O3851" i="1"/>
  <c r="P3850" i="1"/>
  <c r="O3850" i="1"/>
  <c r="P3849" i="1"/>
  <c r="O3849" i="1"/>
  <c r="P3848" i="1"/>
  <c r="O3848" i="1"/>
  <c r="Q3847" i="1"/>
  <c r="P3847" i="1"/>
  <c r="O3847" i="1"/>
  <c r="Q3846" i="1"/>
  <c r="P3846" i="1"/>
  <c r="O3846" i="1"/>
  <c r="P3845" i="1"/>
  <c r="O3845" i="1"/>
  <c r="P3844" i="1"/>
  <c r="O3844" i="1"/>
  <c r="P3843" i="1"/>
  <c r="O3843" i="1"/>
  <c r="P3842" i="1"/>
  <c r="O3842" i="1"/>
  <c r="P3841" i="1"/>
  <c r="O3841" i="1"/>
  <c r="P3840" i="1"/>
  <c r="O3840" i="1"/>
  <c r="P3839" i="1"/>
  <c r="O3839" i="1"/>
  <c r="P3838" i="1"/>
  <c r="O3838" i="1"/>
  <c r="P3837" i="1"/>
  <c r="O3837" i="1"/>
  <c r="P3836" i="1"/>
  <c r="O3836" i="1"/>
  <c r="P3835" i="1"/>
  <c r="O3835" i="1"/>
  <c r="P3834" i="1"/>
  <c r="O3834" i="1"/>
  <c r="P3833" i="1"/>
  <c r="O3833" i="1"/>
  <c r="P3832" i="1"/>
  <c r="O3832" i="1"/>
  <c r="P3831" i="1"/>
  <c r="O3831" i="1"/>
  <c r="P3830" i="1"/>
  <c r="O3830" i="1"/>
  <c r="P3829" i="1"/>
  <c r="O3829" i="1"/>
  <c r="P3828" i="1"/>
  <c r="O3828" i="1"/>
  <c r="P3827" i="1"/>
  <c r="O3827" i="1"/>
  <c r="P3826" i="1"/>
  <c r="O3826" i="1"/>
  <c r="P3825" i="1"/>
  <c r="O3825" i="1"/>
  <c r="P3824" i="1"/>
  <c r="O3824" i="1"/>
  <c r="P3823" i="1"/>
  <c r="O3823" i="1"/>
  <c r="P3822" i="1"/>
  <c r="O3822" i="1"/>
  <c r="P3821" i="1"/>
  <c r="O3821" i="1"/>
  <c r="P3820" i="1"/>
  <c r="O3820" i="1"/>
  <c r="P3819" i="1"/>
  <c r="O3819" i="1"/>
  <c r="P3818" i="1"/>
  <c r="O3818" i="1"/>
  <c r="P3817" i="1"/>
  <c r="O3817" i="1"/>
  <c r="P3816" i="1"/>
  <c r="O3816" i="1"/>
  <c r="P3815" i="1"/>
  <c r="O3815" i="1"/>
  <c r="P3814" i="1"/>
  <c r="O3814" i="1"/>
  <c r="P3813" i="1"/>
  <c r="O3813" i="1"/>
  <c r="P3812" i="1"/>
  <c r="O3812" i="1"/>
  <c r="P3811" i="1"/>
  <c r="O3811" i="1"/>
  <c r="P3810" i="1"/>
  <c r="O3810" i="1"/>
  <c r="P3809" i="1"/>
  <c r="O3809" i="1"/>
  <c r="P3808" i="1"/>
  <c r="O3808" i="1"/>
  <c r="P3807" i="1"/>
  <c r="O3807" i="1"/>
  <c r="P3806" i="1"/>
  <c r="O3806" i="1"/>
  <c r="P3805" i="1"/>
  <c r="O3805" i="1"/>
  <c r="P3804" i="1"/>
  <c r="O3804" i="1"/>
  <c r="P3803" i="1"/>
  <c r="O3803" i="1"/>
  <c r="P3802" i="1"/>
  <c r="O3802" i="1"/>
  <c r="P3801" i="1"/>
  <c r="O3801" i="1"/>
  <c r="P3800" i="1"/>
  <c r="O3800" i="1"/>
  <c r="P3799" i="1"/>
  <c r="O3799" i="1"/>
  <c r="P3798" i="1"/>
  <c r="O3798" i="1"/>
  <c r="Q3797" i="1"/>
  <c r="P3797" i="1"/>
  <c r="O3797" i="1"/>
  <c r="Q3796" i="1"/>
  <c r="P3796" i="1"/>
  <c r="O3796" i="1"/>
  <c r="P3795" i="1"/>
  <c r="O3795" i="1"/>
  <c r="P3794" i="1"/>
  <c r="O3794" i="1"/>
  <c r="P3793" i="1"/>
  <c r="O3793" i="1"/>
  <c r="P3792" i="1"/>
  <c r="O3792" i="1"/>
  <c r="P3791" i="1"/>
  <c r="O3791" i="1"/>
  <c r="P3790" i="1"/>
  <c r="O3790" i="1"/>
  <c r="P3789" i="1"/>
  <c r="O3789" i="1"/>
  <c r="P3788" i="1"/>
  <c r="O3788" i="1"/>
  <c r="P3787" i="1"/>
  <c r="O3787" i="1"/>
  <c r="P3786" i="1"/>
  <c r="O3786" i="1"/>
  <c r="Q3785" i="1"/>
  <c r="P3785" i="1"/>
  <c r="O3785" i="1"/>
  <c r="P3784" i="1"/>
  <c r="O3784" i="1"/>
  <c r="Q3783" i="1"/>
  <c r="P3783" i="1"/>
  <c r="O3783" i="1"/>
  <c r="P3782" i="1"/>
  <c r="O3782" i="1"/>
  <c r="P3781" i="1"/>
  <c r="O3781" i="1"/>
  <c r="Q3780" i="1"/>
  <c r="P3780" i="1"/>
  <c r="O3780" i="1"/>
  <c r="P3779" i="1"/>
  <c r="O3779" i="1"/>
  <c r="P3778" i="1"/>
  <c r="O3778" i="1"/>
  <c r="P3777" i="1"/>
  <c r="O3777" i="1"/>
  <c r="P3776" i="1"/>
  <c r="O3776" i="1"/>
  <c r="P3775" i="1"/>
  <c r="O3775" i="1"/>
  <c r="P3774" i="1"/>
  <c r="O3774" i="1"/>
  <c r="P3773" i="1"/>
  <c r="O3773" i="1"/>
  <c r="P3772" i="1"/>
  <c r="O3772" i="1"/>
  <c r="P3771" i="1"/>
  <c r="O3771" i="1"/>
  <c r="P3770" i="1"/>
  <c r="O3770" i="1"/>
  <c r="P3769" i="1"/>
  <c r="O3769" i="1"/>
  <c r="P3768" i="1"/>
  <c r="O3768" i="1"/>
  <c r="P3767" i="1"/>
  <c r="O3767" i="1"/>
  <c r="P3766" i="1"/>
  <c r="O3766" i="1"/>
  <c r="P3765" i="1"/>
  <c r="O3765" i="1"/>
  <c r="P3764" i="1"/>
  <c r="O3764" i="1"/>
  <c r="P3763" i="1"/>
  <c r="O3763" i="1"/>
  <c r="P3762" i="1"/>
  <c r="O3762" i="1"/>
  <c r="P3761" i="1"/>
  <c r="O3761" i="1"/>
  <c r="P3760" i="1"/>
  <c r="O3760" i="1"/>
  <c r="P3759" i="1"/>
  <c r="O3759" i="1"/>
  <c r="P3758" i="1"/>
  <c r="O3758" i="1"/>
  <c r="P3757" i="1"/>
  <c r="O3757" i="1"/>
  <c r="P3756" i="1"/>
  <c r="O3756" i="1"/>
  <c r="P3755" i="1"/>
  <c r="O3755" i="1"/>
  <c r="P3754" i="1"/>
  <c r="O3754" i="1"/>
  <c r="P3753" i="1"/>
  <c r="O3753" i="1"/>
  <c r="P3752" i="1"/>
  <c r="O3752" i="1"/>
  <c r="P3751" i="1"/>
  <c r="O3751" i="1"/>
  <c r="P3750" i="1"/>
  <c r="O3750" i="1"/>
  <c r="P3749" i="1"/>
  <c r="O3749" i="1"/>
  <c r="P3748" i="1"/>
  <c r="O3748" i="1"/>
  <c r="Q3747" i="1"/>
  <c r="P3747" i="1"/>
  <c r="O3747" i="1"/>
  <c r="Q3746" i="1"/>
  <c r="P3746" i="1"/>
  <c r="O3746" i="1"/>
  <c r="Q3745" i="1"/>
  <c r="P3745" i="1"/>
  <c r="O3745" i="1"/>
  <c r="Q3744" i="1"/>
  <c r="P3744" i="1"/>
  <c r="O3744" i="1"/>
  <c r="Q3743" i="1"/>
  <c r="P3743" i="1"/>
  <c r="O3743" i="1"/>
  <c r="Q3742" i="1"/>
  <c r="P3742" i="1"/>
  <c r="O3742" i="1"/>
  <c r="P3741" i="1"/>
  <c r="O3741" i="1"/>
  <c r="P3740" i="1"/>
  <c r="O3740" i="1"/>
  <c r="P3739" i="1"/>
  <c r="O3739" i="1"/>
  <c r="P3738" i="1"/>
  <c r="O3738" i="1"/>
  <c r="P3737" i="1"/>
  <c r="O3737" i="1"/>
  <c r="P3736" i="1"/>
  <c r="O3736" i="1"/>
  <c r="P3735" i="1"/>
  <c r="O3735" i="1"/>
  <c r="P3734" i="1"/>
  <c r="O3734" i="1"/>
  <c r="P3733" i="1"/>
  <c r="O3733" i="1"/>
  <c r="P3732" i="1"/>
  <c r="O3732" i="1"/>
  <c r="P3731" i="1"/>
  <c r="O3731" i="1"/>
  <c r="P3730" i="1"/>
  <c r="O3730" i="1"/>
  <c r="P3729" i="1"/>
  <c r="O3729" i="1"/>
  <c r="P3728" i="1"/>
  <c r="O3728" i="1"/>
  <c r="P3727" i="1"/>
  <c r="O3727" i="1"/>
  <c r="P3726" i="1"/>
  <c r="O3726" i="1"/>
  <c r="P3725" i="1"/>
  <c r="O3725" i="1"/>
  <c r="P3724" i="1"/>
  <c r="O3724" i="1"/>
  <c r="P3723" i="1"/>
  <c r="O3723" i="1"/>
  <c r="P3722" i="1"/>
  <c r="O3722" i="1"/>
  <c r="Q3721" i="1"/>
  <c r="P3721" i="1"/>
  <c r="O3721" i="1"/>
  <c r="Q3720" i="1"/>
  <c r="P3720" i="1"/>
  <c r="O3720" i="1"/>
  <c r="Q3719" i="1"/>
  <c r="P3719" i="1"/>
  <c r="O3719" i="1"/>
  <c r="Q3718" i="1"/>
  <c r="P3718" i="1"/>
  <c r="O3718" i="1"/>
  <c r="Q3717" i="1"/>
  <c r="P3717" i="1"/>
  <c r="O3717" i="1"/>
  <c r="Q3716" i="1"/>
  <c r="P3716" i="1"/>
  <c r="O3716" i="1"/>
  <c r="Q3715" i="1"/>
  <c r="P3715" i="1"/>
  <c r="O3715" i="1"/>
  <c r="Q3714" i="1"/>
  <c r="P3714" i="1"/>
  <c r="O3714" i="1"/>
  <c r="Q3713" i="1"/>
  <c r="P3713" i="1"/>
  <c r="O3713" i="1"/>
  <c r="Q3712" i="1"/>
  <c r="P3712" i="1"/>
  <c r="O3712" i="1"/>
  <c r="Q3711" i="1"/>
  <c r="P3711" i="1"/>
  <c r="O3711" i="1"/>
  <c r="Q3710" i="1"/>
  <c r="P3710" i="1"/>
  <c r="O3710" i="1"/>
  <c r="Q3709" i="1"/>
  <c r="P3709" i="1"/>
  <c r="O3709" i="1"/>
  <c r="Q3708" i="1"/>
  <c r="P3708" i="1"/>
  <c r="O3708" i="1"/>
  <c r="Q3707" i="1"/>
  <c r="P3707" i="1"/>
  <c r="O3707" i="1"/>
  <c r="Q3706" i="1"/>
  <c r="P3706" i="1"/>
  <c r="O3706" i="1"/>
  <c r="Q3705" i="1"/>
  <c r="P3705" i="1"/>
  <c r="O3705" i="1"/>
  <c r="Q3704" i="1"/>
  <c r="P3704" i="1"/>
  <c r="O3704" i="1"/>
  <c r="Q3703" i="1"/>
  <c r="P3703" i="1"/>
  <c r="O3703" i="1"/>
  <c r="Q3702" i="1"/>
  <c r="P3702" i="1"/>
  <c r="O3702" i="1"/>
  <c r="Q3701" i="1"/>
  <c r="P3701" i="1"/>
  <c r="O3701" i="1"/>
  <c r="Q3700" i="1"/>
  <c r="P3700" i="1"/>
  <c r="O3700" i="1"/>
  <c r="Q3699" i="1"/>
  <c r="P3699" i="1"/>
  <c r="O3699" i="1"/>
  <c r="Q3698" i="1"/>
  <c r="P3698" i="1"/>
  <c r="O3698" i="1"/>
  <c r="Q3697" i="1"/>
  <c r="P3697" i="1"/>
  <c r="O3697" i="1"/>
  <c r="Q3696" i="1"/>
  <c r="P3696" i="1"/>
  <c r="O3696" i="1"/>
  <c r="Q3695" i="1"/>
  <c r="P3695" i="1"/>
  <c r="O3695" i="1"/>
  <c r="Q3694" i="1"/>
  <c r="P3694" i="1"/>
  <c r="O3694" i="1"/>
  <c r="Q3693" i="1"/>
  <c r="P3693" i="1"/>
  <c r="O3693" i="1"/>
  <c r="V3692" i="1"/>
  <c r="Q3692" i="1"/>
  <c r="P3692" i="1"/>
  <c r="O3692" i="1"/>
  <c r="V3691" i="1"/>
  <c r="Q3691" i="1"/>
  <c r="P3691" i="1"/>
  <c r="O3691" i="1"/>
  <c r="V3690" i="1"/>
  <c r="Q3690" i="1"/>
  <c r="P3690" i="1"/>
  <c r="O3690" i="1"/>
  <c r="V3689" i="1"/>
  <c r="Q3689" i="1"/>
  <c r="P3689" i="1"/>
  <c r="O3689" i="1"/>
  <c r="V3688" i="1"/>
  <c r="Q3688" i="1"/>
  <c r="P3688" i="1"/>
  <c r="O3688" i="1"/>
  <c r="V3687" i="1"/>
  <c r="Q3687" i="1"/>
  <c r="P3687" i="1"/>
  <c r="O3687" i="1"/>
  <c r="V3686" i="1"/>
  <c r="Q3686" i="1"/>
  <c r="P3686" i="1"/>
  <c r="O3686" i="1"/>
  <c r="V3685" i="1"/>
  <c r="Q3685" i="1"/>
  <c r="P3685" i="1"/>
  <c r="O3685" i="1"/>
  <c r="Q3684" i="1"/>
  <c r="P3684" i="1"/>
  <c r="O3684" i="1"/>
  <c r="Q3683" i="1"/>
  <c r="P3683" i="1"/>
  <c r="O3683" i="1"/>
  <c r="Q3682" i="1"/>
  <c r="P3682" i="1"/>
  <c r="O3682" i="1"/>
  <c r="Q3681" i="1"/>
  <c r="P3681" i="1"/>
  <c r="O3681" i="1"/>
  <c r="Q3680" i="1"/>
  <c r="P3680" i="1"/>
  <c r="O3680" i="1"/>
  <c r="Q3679" i="1"/>
  <c r="P3679" i="1"/>
  <c r="O3679" i="1"/>
  <c r="Q3678" i="1"/>
  <c r="P3678" i="1"/>
  <c r="O3678" i="1"/>
  <c r="Q3677" i="1"/>
  <c r="P3677" i="1"/>
  <c r="O3677" i="1"/>
  <c r="Q3676" i="1"/>
  <c r="P3676" i="1"/>
  <c r="O3676" i="1"/>
  <c r="Q3675" i="1"/>
  <c r="P3675" i="1"/>
  <c r="O3675" i="1"/>
  <c r="Q3674" i="1"/>
  <c r="P3674" i="1"/>
  <c r="O3674" i="1"/>
  <c r="Q3673" i="1"/>
  <c r="P3673" i="1"/>
  <c r="O3673" i="1"/>
  <c r="Q3672" i="1"/>
  <c r="P3672" i="1"/>
  <c r="O3672" i="1"/>
  <c r="Q3671" i="1"/>
  <c r="P3671" i="1"/>
  <c r="O3671" i="1"/>
  <c r="Q3670" i="1"/>
  <c r="P3670" i="1"/>
  <c r="O3670" i="1"/>
  <c r="Q3669" i="1"/>
  <c r="P3669" i="1"/>
  <c r="O3669" i="1"/>
  <c r="Q3668" i="1"/>
  <c r="P3668" i="1"/>
  <c r="O3668" i="1"/>
  <c r="P3667" i="1"/>
  <c r="O3667" i="1"/>
  <c r="P3666" i="1"/>
  <c r="O3666" i="1"/>
  <c r="P3665" i="1"/>
  <c r="O3665" i="1"/>
  <c r="P3664" i="1"/>
  <c r="O3664" i="1"/>
  <c r="P3663" i="1"/>
  <c r="O3663" i="1"/>
  <c r="P3662" i="1"/>
  <c r="O3662" i="1"/>
  <c r="P3661" i="1"/>
  <c r="O3661" i="1"/>
  <c r="P3660" i="1"/>
  <c r="O3660" i="1"/>
  <c r="P3659" i="1"/>
  <c r="O3659" i="1"/>
  <c r="P3658" i="1"/>
  <c r="O3658" i="1"/>
  <c r="P3657" i="1"/>
  <c r="O3657" i="1"/>
  <c r="P3656" i="1"/>
  <c r="O3656" i="1"/>
  <c r="P3655" i="1"/>
  <c r="O3655" i="1"/>
  <c r="P3654" i="1"/>
  <c r="O3654" i="1"/>
  <c r="P3653" i="1"/>
  <c r="O3653" i="1"/>
  <c r="P3652" i="1"/>
  <c r="O3652" i="1"/>
  <c r="P3651" i="1"/>
  <c r="O3651" i="1"/>
  <c r="P3650" i="1"/>
  <c r="O3650" i="1"/>
  <c r="P3649" i="1"/>
  <c r="O3649" i="1"/>
  <c r="P3648" i="1"/>
  <c r="O3648" i="1"/>
  <c r="P3647" i="1"/>
  <c r="O3647" i="1"/>
  <c r="P3646" i="1"/>
  <c r="O3646" i="1"/>
  <c r="P3645" i="1"/>
  <c r="O3645" i="1"/>
  <c r="P3644" i="1"/>
  <c r="O3644" i="1"/>
  <c r="P3643" i="1"/>
  <c r="O3643" i="1"/>
  <c r="P3642" i="1"/>
  <c r="O3642" i="1"/>
  <c r="P3641" i="1"/>
  <c r="O3641" i="1"/>
  <c r="P3640" i="1"/>
  <c r="O3640" i="1"/>
  <c r="P3639" i="1"/>
  <c r="O3639" i="1"/>
  <c r="P3638" i="1"/>
  <c r="O3638" i="1"/>
  <c r="P3637" i="1"/>
  <c r="O3637" i="1"/>
  <c r="P3636" i="1"/>
  <c r="O3636" i="1"/>
  <c r="P3635" i="1"/>
  <c r="O3635" i="1"/>
  <c r="P3634" i="1"/>
  <c r="O3634" i="1"/>
  <c r="P3633" i="1"/>
  <c r="O3633" i="1"/>
  <c r="P3632" i="1"/>
  <c r="O3632" i="1"/>
  <c r="P3631" i="1"/>
  <c r="O3631" i="1"/>
  <c r="P3630" i="1"/>
  <c r="O3630" i="1"/>
  <c r="P3629" i="1"/>
  <c r="O3629" i="1"/>
  <c r="P3628" i="1"/>
  <c r="O3628" i="1"/>
  <c r="Q3627" i="1"/>
  <c r="P3627" i="1"/>
  <c r="O3627" i="1"/>
  <c r="Q3626" i="1"/>
  <c r="P3626" i="1"/>
  <c r="O3626" i="1"/>
  <c r="Q3625" i="1"/>
  <c r="P3625" i="1"/>
  <c r="O3625" i="1"/>
  <c r="Q3624" i="1"/>
  <c r="P3624" i="1"/>
  <c r="O3624" i="1"/>
  <c r="Q3623" i="1"/>
  <c r="P3623" i="1"/>
  <c r="O3623" i="1"/>
  <c r="Q3622" i="1"/>
  <c r="P3622" i="1"/>
  <c r="O3622" i="1"/>
  <c r="Q3621" i="1"/>
  <c r="P3621" i="1"/>
  <c r="O3621" i="1"/>
  <c r="Q3620" i="1"/>
  <c r="P3620" i="1"/>
  <c r="O3620" i="1"/>
  <c r="Q3619" i="1"/>
  <c r="P3619" i="1"/>
  <c r="O3619" i="1"/>
  <c r="Q3618" i="1"/>
  <c r="P3618" i="1"/>
  <c r="O3618" i="1"/>
  <c r="Q3617" i="1"/>
  <c r="P3617" i="1"/>
  <c r="O3617" i="1"/>
  <c r="Q3616" i="1"/>
  <c r="P3616" i="1"/>
  <c r="O3616" i="1"/>
  <c r="Q3615" i="1"/>
  <c r="P3615" i="1"/>
  <c r="O3615" i="1"/>
  <c r="Q3614" i="1"/>
  <c r="P3614" i="1"/>
  <c r="O3614" i="1"/>
  <c r="Q3613" i="1"/>
  <c r="P3613" i="1"/>
  <c r="O3613" i="1"/>
  <c r="Q3612" i="1"/>
  <c r="P3612" i="1"/>
  <c r="O3612" i="1"/>
  <c r="Q3611" i="1"/>
  <c r="P3611" i="1"/>
  <c r="O3611" i="1"/>
  <c r="Q3610" i="1"/>
  <c r="P3610" i="1"/>
  <c r="O3610" i="1"/>
  <c r="Q3609" i="1"/>
  <c r="P3609" i="1"/>
  <c r="O3609" i="1"/>
  <c r="Q3608" i="1"/>
  <c r="P3608" i="1"/>
  <c r="O3608" i="1"/>
  <c r="Q3607" i="1"/>
  <c r="P3607" i="1"/>
  <c r="O3607" i="1"/>
  <c r="Q3606" i="1"/>
  <c r="P3606" i="1"/>
  <c r="O3606" i="1"/>
  <c r="Q3605" i="1"/>
  <c r="P3605" i="1"/>
  <c r="O3605" i="1"/>
  <c r="Q3604" i="1"/>
  <c r="P3604" i="1"/>
  <c r="O3604" i="1"/>
  <c r="Q3603" i="1"/>
  <c r="P3603" i="1"/>
  <c r="O3603" i="1"/>
  <c r="Q3602" i="1"/>
  <c r="P3602" i="1"/>
  <c r="O3602" i="1"/>
  <c r="Q3601" i="1"/>
  <c r="P3601" i="1"/>
  <c r="O3601" i="1"/>
  <c r="Q3600" i="1"/>
  <c r="P3600" i="1"/>
  <c r="O3600" i="1"/>
  <c r="Q3599" i="1"/>
  <c r="P3599" i="1"/>
  <c r="O3599" i="1"/>
  <c r="Q3598" i="1"/>
  <c r="P3598" i="1"/>
  <c r="O3598" i="1"/>
  <c r="Q3597" i="1"/>
  <c r="P3597" i="1"/>
  <c r="O3597" i="1"/>
  <c r="Q3596" i="1"/>
  <c r="P3596" i="1"/>
  <c r="O3596" i="1"/>
  <c r="Q3595" i="1"/>
  <c r="P3595" i="1"/>
  <c r="O3595" i="1"/>
  <c r="Q3594" i="1"/>
  <c r="P3594" i="1"/>
  <c r="O3594" i="1"/>
  <c r="Q3593" i="1"/>
  <c r="P3593" i="1"/>
  <c r="O3593" i="1"/>
  <c r="Q3592" i="1"/>
  <c r="P3592" i="1"/>
  <c r="O3592" i="1"/>
  <c r="Q3591" i="1"/>
  <c r="P3591" i="1"/>
  <c r="O3591" i="1"/>
  <c r="Q3590" i="1"/>
  <c r="P3590" i="1"/>
  <c r="O3590" i="1"/>
  <c r="Q3589" i="1"/>
  <c r="P3589" i="1"/>
  <c r="O3589" i="1"/>
  <c r="Q3588" i="1"/>
  <c r="P3588" i="1"/>
  <c r="O3588" i="1"/>
  <c r="Q3587" i="1"/>
  <c r="P3587" i="1"/>
  <c r="O3587" i="1"/>
  <c r="Q3586" i="1"/>
  <c r="P3586" i="1"/>
  <c r="O3586" i="1"/>
  <c r="Q3585" i="1"/>
  <c r="P3585" i="1"/>
  <c r="O3585" i="1"/>
  <c r="Q3584" i="1"/>
  <c r="P3584" i="1"/>
  <c r="O3584" i="1"/>
  <c r="Q3583" i="1"/>
  <c r="P3583" i="1"/>
  <c r="O3583" i="1"/>
  <c r="Q3582" i="1"/>
  <c r="P3582" i="1"/>
  <c r="O3582" i="1"/>
  <c r="Q3581" i="1"/>
  <c r="P3581" i="1"/>
  <c r="O3581" i="1"/>
  <c r="Q3580" i="1"/>
  <c r="P3580" i="1"/>
  <c r="O3580" i="1"/>
  <c r="Q3579" i="1"/>
  <c r="P3579" i="1"/>
  <c r="O3579" i="1"/>
  <c r="Q3578" i="1"/>
  <c r="P3578" i="1"/>
  <c r="O3578" i="1"/>
  <c r="Q3577" i="1"/>
  <c r="P3577" i="1"/>
  <c r="O3577" i="1"/>
  <c r="Q3576" i="1"/>
  <c r="P3576" i="1"/>
  <c r="O3576" i="1"/>
  <c r="Q3575" i="1"/>
  <c r="P3575" i="1"/>
  <c r="O3575" i="1"/>
  <c r="Q3574" i="1"/>
  <c r="P3574" i="1"/>
  <c r="O3574" i="1"/>
  <c r="Q3573" i="1"/>
  <c r="P3573" i="1"/>
  <c r="O3573" i="1"/>
  <c r="Q3572" i="1"/>
  <c r="P3572" i="1"/>
  <c r="O3572" i="1"/>
  <c r="Q3571" i="1"/>
  <c r="P3571" i="1"/>
  <c r="O3571" i="1"/>
  <c r="Q3570" i="1"/>
  <c r="P3570" i="1"/>
  <c r="O3570" i="1"/>
  <c r="Q3569" i="1"/>
  <c r="P3569" i="1"/>
  <c r="O3569" i="1"/>
  <c r="Q3568" i="1"/>
  <c r="P3568" i="1"/>
  <c r="O3568" i="1"/>
  <c r="Q3567" i="1"/>
  <c r="P3567" i="1"/>
  <c r="O3567" i="1"/>
  <c r="Q3566" i="1"/>
  <c r="P3566" i="1"/>
  <c r="O3566" i="1"/>
  <c r="Q3565" i="1"/>
  <c r="P3565" i="1"/>
  <c r="O3565" i="1"/>
  <c r="Q3564" i="1"/>
  <c r="P3564" i="1"/>
  <c r="O3564" i="1"/>
  <c r="Q3563" i="1"/>
  <c r="P3563" i="1"/>
  <c r="O3563" i="1"/>
  <c r="Q3562" i="1"/>
  <c r="P3562" i="1"/>
  <c r="O3562" i="1"/>
  <c r="Q3561" i="1"/>
  <c r="P3561" i="1"/>
  <c r="O3561" i="1"/>
  <c r="Q3560" i="1"/>
  <c r="P3560" i="1"/>
  <c r="O3560" i="1"/>
  <c r="Q3559" i="1"/>
  <c r="P3559" i="1"/>
  <c r="O3559" i="1"/>
  <c r="Q3558" i="1"/>
  <c r="P3558" i="1"/>
  <c r="O3558" i="1"/>
  <c r="Q3557" i="1"/>
  <c r="P3557" i="1"/>
  <c r="O3557" i="1"/>
  <c r="Q3556" i="1"/>
  <c r="P3556" i="1"/>
  <c r="O3556" i="1"/>
  <c r="Q3555" i="1"/>
  <c r="P3555" i="1"/>
  <c r="O3555" i="1"/>
  <c r="Q3554" i="1"/>
  <c r="P3554" i="1"/>
  <c r="O3554" i="1"/>
  <c r="Q3553" i="1"/>
  <c r="P3553" i="1"/>
  <c r="O3553" i="1"/>
  <c r="Q3552" i="1"/>
  <c r="P3552" i="1"/>
  <c r="O3552" i="1"/>
  <c r="Q3551" i="1"/>
  <c r="P3551" i="1"/>
  <c r="O3551" i="1"/>
  <c r="Q3550" i="1"/>
  <c r="P3550" i="1"/>
  <c r="O3550" i="1"/>
  <c r="Q3549" i="1"/>
  <c r="P3549" i="1"/>
  <c r="O3549" i="1"/>
  <c r="Q3548" i="1"/>
  <c r="P3548" i="1"/>
  <c r="O3548" i="1"/>
  <c r="Q3547" i="1"/>
  <c r="P3547" i="1"/>
  <c r="O3547" i="1"/>
  <c r="Q3546" i="1"/>
  <c r="P3546" i="1"/>
  <c r="O3546" i="1"/>
  <c r="Q3545" i="1"/>
  <c r="P3545" i="1"/>
  <c r="O3545" i="1"/>
  <c r="Q3544" i="1"/>
  <c r="P3544" i="1"/>
  <c r="O3544" i="1"/>
  <c r="Q3543" i="1"/>
  <c r="P3543" i="1"/>
  <c r="O3543" i="1"/>
  <c r="Q3542" i="1"/>
  <c r="P3542" i="1"/>
  <c r="O3542" i="1"/>
  <c r="Q3541" i="1"/>
  <c r="P3541" i="1"/>
  <c r="O3541" i="1"/>
  <c r="Q3540" i="1"/>
  <c r="P3540" i="1"/>
  <c r="O3540" i="1"/>
  <c r="Q3539" i="1"/>
  <c r="P3539" i="1"/>
  <c r="O3539" i="1"/>
  <c r="Q3538" i="1"/>
  <c r="P3538" i="1"/>
  <c r="O3538" i="1"/>
  <c r="Q3537" i="1"/>
  <c r="P3537" i="1"/>
  <c r="O3537" i="1"/>
  <c r="Q3536" i="1"/>
  <c r="P3536" i="1"/>
  <c r="O3536" i="1"/>
  <c r="Q3535" i="1"/>
  <c r="P3535" i="1"/>
  <c r="O3535" i="1"/>
  <c r="Q3534" i="1"/>
  <c r="P3534" i="1"/>
  <c r="O3534" i="1"/>
  <c r="Q3533" i="1"/>
  <c r="P3533" i="1"/>
  <c r="O3533" i="1"/>
  <c r="Q3532" i="1"/>
  <c r="P3532" i="1"/>
  <c r="O3532" i="1"/>
  <c r="Q3531" i="1"/>
  <c r="P3531" i="1"/>
  <c r="O3531" i="1"/>
  <c r="Q3530" i="1"/>
  <c r="P3530" i="1"/>
  <c r="O3530" i="1"/>
  <c r="Q3529" i="1"/>
  <c r="P3529" i="1"/>
  <c r="O3529" i="1"/>
  <c r="Q3528" i="1"/>
  <c r="P3528" i="1"/>
  <c r="O3528" i="1"/>
  <c r="Q3527" i="1"/>
  <c r="P3527" i="1"/>
  <c r="O3527" i="1"/>
  <c r="Q3526" i="1"/>
  <c r="P3526" i="1"/>
  <c r="O3526" i="1"/>
  <c r="Q3525" i="1"/>
  <c r="P3525" i="1"/>
  <c r="O3525" i="1"/>
  <c r="Q3524" i="1"/>
  <c r="P3524" i="1"/>
  <c r="O3524" i="1"/>
  <c r="Q3523" i="1"/>
  <c r="P3523" i="1"/>
  <c r="O3523" i="1"/>
  <c r="Q3522" i="1"/>
  <c r="P3522" i="1"/>
  <c r="O3522" i="1"/>
  <c r="Q3521" i="1"/>
  <c r="P3521" i="1"/>
  <c r="O3521" i="1"/>
  <c r="Q3520" i="1"/>
  <c r="P3520" i="1"/>
  <c r="O3520" i="1"/>
  <c r="Q3519" i="1"/>
  <c r="P3519" i="1"/>
  <c r="O3519" i="1"/>
  <c r="Q3518" i="1"/>
  <c r="P3518" i="1"/>
  <c r="O3518" i="1"/>
  <c r="Q3517" i="1"/>
  <c r="P3517" i="1"/>
  <c r="O3517" i="1"/>
  <c r="Q3516" i="1"/>
  <c r="P3516" i="1"/>
  <c r="O3516" i="1"/>
  <c r="Q3515" i="1"/>
  <c r="P3515" i="1"/>
  <c r="O3515" i="1"/>
  <c r="Q3514" i="1"/>
  <c r="P3514" i="1"/>
  <c r="O3514" i="1"/>
  <c r="Q3513" i="1"/>
  <c r="P3513" i="1"/>
  <c r="O3513" i="1"/>
  <c r="Q3512" i="1"/>
  <c r="P3512" i="1"/>
  <c r="O3512" i="1"/>
  <c r="Q3511" i="1"/>
  <c r="P3511" i="1"/>
  <c r="O3511" i="1"/>
  <c r="Q3510" i="1"/>
  <c r="P3510" i="1"/>
  <c r="O3510" i="1"/>
  <c r="Q3509" i="1"/>
  <c r="P3509" i="1"/>
  <c r="O3509" i="1"/>
  <c r="Q3508" i="1"/>
  <c r="P3508" i="1"/>
  <c r="O3508" i="1"/>
  <c r="Q3507" i="1"/>
  <c r="P3507" i="1"/>
  <c r="O3507" i="1"/>
  <c r="Q3506" i="1"/>
  <c r="P3506" i="1"/>
  <c r="O3506" i="1"/>
  <c r="Q3505" i="1"/>
  <c r="P3505" i="1"/>
  <c r="O3505" i="1"/>
  <c r="Q3504" i="1"/>
  <c r="P3504" i="1"/>
  <c r="O3504" i="1"/>
  <c r="Q3503" i="1"/>
  <c r="P3503" i="1"/>
  <c r="O3503" i="1"/>
  <c r="Q3502" i="1"/>
  <c r="P3502" i="1"/>
  <c r="O3502" i="1"/>
  <c r="Q3501" i="1"/>
  <c r="P3501" i="1"/>
  <c r="O3501" i="1"/>
  <c r="Q3500" i="1"/>
  <c r="P3500" i="1"/>
  <c r="O3500" i="1"/>
  <c r="Q3499" i="1"/>
  <c r="P3499" i="1"/>
  <c r="O3499" i="1"/>
  <c r="Q3498" i="1"/>
  <c r="P3498" i="1"/>
  <c r="O3498" i="1"/>
  <c r="Q3497" i="1"/>
  <c r="P3497" i="1"/>
  <c r="O3497" i="1"/>
  <c r="Q3496" i="1"/>
  <c r="P3496" i="1"/>
  <c r="O3496" i="1"/>
  <c r="Q3495" i="1"/>
  <c r="P3495" i="1"/>
  <c r="O3495" i="1"/>
  <c r="Q3494" i="1"/>
  <c r="P3494" i="1"/>
  <c r="O3494" i="1"/>
  <c r="Q3493" i="1"/>
  <c r="P3493" i="1"/>
  <c r="O3493" i="1"/>
  <c r="Q3492" i="1"/>
  <c r="P3492" i="1"/>
  <c r="O3492" i="1"/>
  <c r="Q3491" i="1"/>
  <c r="P3491" i="1"/>
  <c r="O3491" i="1"/>
  <c r="Q3490" i="1"/>
  <c r="P3490" i="1"/>
  <c r="O3490" i="1"/>
  <c r="Q3489" i="1"/>
  <c r="P3489" i="1"/>
  <c r="O3489" i="1"/>
  <c r="Q3488" i="1"/>
  <c r="P3488" i="1"/>
  <c r="O3488" i="1"/>
  <c r="Q3487" i="1"/>
  <c r="P3487" i="1"/>
  <c r="O3487" i="1"/>
  <c r="Q3486" i="1"/>
  <c r="P3486" i="1"/>
  <c r="O3486" i="1"/>
  <c r="Q3485" i="1"/>
  <c r="P3485" i="1"/>
  <c r="O3485" i="1"/>
  <c r="Q3484" i="1"/>
  <c r="P3484" i="1"/>
  <c r="O3484" i="1"/>
  <c r="Q3483" i="1"/>
  <c r="P3483" i="1"/>
  <c r="O3483" i="1"/>
  <c r="Q3482" i="1"/>
  <c r="P3482" i="1"/>
  <c r="O3482" i="1"/>
  <c r="Q3481" i="1"/>
  <c r="P3481" i="1"/>
  <c r="O3481" i="1"/>
  <c r="Q3480" i="1"/>
  <c r="P3480" i="1"/>
  <c r="O3480" i="1"/>
  <c r="Q3479" i="1"/>
  <c r="P3479" i="1"/>
  <c r="O3479" i="1"/>
  <c r="Q3478" i="1"/>
  <c r="P3478" i="1"/>
  <c r="O3478" i="1"/>
  <c r="Q3477" i="1"/>
  <c r="P3477" i="1"/>
  <c r="O3477" i="1"/>
  <c r="Q3476" i="1"/>
  <c r="P3476" i="1"/>
  <c r="O3476" i="1"/>
  <c r="Q3475" i="1"/>
  <c r="P3475" i="1"/>
  <c r="O3475" i="1"/>
  <c r="Q3474" i="1"/>
  <c r="P3474" i="1"/>
  <c r="O3474" i="1"/>
  <c r="Q3473" i="1"/>
  <c r="P3473" i="1"/>
  <c r="O3473" i="1"/>
  <c r="Q3472" i="1"/>
  <c r="P3472" i="1"/>
  <c r="O3472" i="1"/>
  <c r="Q3471" i="1"/>
  <c r="P3471" i="1"/>
  <c r="O3471" i="1"/>
  <c r="Q3470" i="1"/>
  <c r="P3470" i="1"/>
  <c r="O3470" i="1"/>
  <c r="Q3469" i="1"/>
  <c r="P3469" i="1"/>
  <c r="O3469" i="1"/>
  <c r="Q3468" i="1"/>
  <c r="P3468" i="1"/>
  <c r="O3468" i="1"/>
  <c r="Q3467" i="1"/>
  <c r="P3467" i="1"/>
  <c r="O3467" i="1"/>
  <c r="Q3466" i="1"/>
  <c r="P3466" i="1"/>
  <c r="O3466" i="1"/>
  <c r="Q3465" i="1"/>
  <c r="P3465" i="1"/>
  <c r="O3465" i="1"/>
  <c r="Q3464" i="1"/>
  <c r="P3464" i="1"/>
  <c r="O3464" i="1"/>
  <c r="Q3463" i="1"/>
  <c r="P3463" i="1"/>
  <c r="O3463" i="1"/>
  <c r="Q3462" i="1"/>
  <c r="P3462" i="1"/>
  <c r="O3462" i="1"/>
  <c r="Q3461" i="1"/>
  <c r="P3461" i="1"/>
  <c r="O3461" i="1"/>
  <c r="Q3460" i="1"/>
  <c r="P3460" i="1"/>
  <c r="O3460" i="1"/>
  <c r="Q3459" i="1"/>
  <c r="P3459" i="1"/>
  <c r="O3459" i="1"/>
  <c r="Q3458" i="1"/>
  <c r="P3458" i="1"/>
  <c r="O3458" i="1"/>
  <c r="Q3457" i="1"/>
  <c r="P3457" i="1"/>
  <c r="O3457" i="1"/>
  <c r="Q3456" i="1"/>
  <c r="P3456" i="1"/>
  <c r="O3456" i="1"/>
  <c r="Q3455" i="1"/>
  <c r="P3455" i="1"/>
  <c r="O3455" i="1"/>
  <c r="Q3454" i="1"/>
  <c r="P3454" i="1"/>
  <c r="O3454" i="1"/>
  <c r="Q3453" i="1"/>
  <c r="P3453" i="1"/>
  <c r="O3453" i="1"/>
  <c r="Q3452" i="1"/>
  <c r="P3452" i="1"/>
  <c r="O3452" i="1"/>
  <c r="Q3451" i="1"/>
  <c r="P3451" i="1"/>
  <c r="O3451" i="1"/>
  <c r="Q3450" i="1"/>
  <c r="P3450" i="1"/>
  <c r="O3450" i="1"/>
  <c r="Q3449" i="1"/>
  <c r="P3449" i="1"/>
  <c r="O3449" i="1"/>
  <c r="Q3448" i="1"/>
  <c r="P3448" i="1"/>
  <c r="O3448" i="1"/>
  <c r="Q3447" i="1"/>
  <c r="P3447" i="1"/>
  <c r="O3447" i="1"/>
  <c r="Q3446" i="1"/>
  <c r="P3446" i="1"/>
  <c r="O3446" i="1"/>
  <c r="Q3445" i="1"/>
  <c r="P3445" i="1"/>
  <c r="O3445" i="1"/>
  <c r="Q3444" i="1"/>
  <c r="P3444" i="1"/>
  <c r="O3444" i="1"/>
  <c r="Q3443" i="1"/>
  <c r="P3443" i="1"/>
  <c r="O3443" i="1"/>
  <c r="Q3442" i="1"/>
  <c r="P3442" i="1"/>
  <c r="O3442" i="1"/>
  <c r="Q3441" i="1"/>
  <c r="P3441" i="1"/>
  <c r="O3441" i="1"/>
  <c r="Q3440" i="1"/>
  <c r="P3440" i="1"/>
  <c r="O3440" i="1"/>
  <c r="Q3439" i="1"/>
  <c r="P3439" i="1"/>
  <c r="O3439" i="1"/>
  <c r="Q3438" i="1"/>
  <c r="P3438" i="1"/>
  <c r="O3438" i="1"/>
  <c r="Q3437" i="1"/>
  <c r="P3437" i="1"/>
  <c r="O3437" i="1"/>
  <c r="Q3436" i="1"/>
  <c r="P3436" i="1"/>
  <c r="O3436" i="1"/>
  <c r="Q3435" i="1"/>
  <c r="P3435" i="1"/>
  <c r="O3435" i="1"/>
  <c r="Q3434" i="1"/>
  <c r="P3434" i="1"/>
  <c r="O3434" i="1"/>
  <c r="Q3433" i="1"/>
  <c r="P3433" i="1"/>
  <c r="O3433" i="1"/>
  <c r="Q3432" i="1"/>
  <c r="P3432" i="1"/>
  <c r="O3432" i="1"/>
  <c r="Q3431" i="1"/>
  <c r="P3431" i="1"/>
  <c r="O3431" i="1"/>
  <c r="Q3430" i="1"/>
  <c r="P3430" i="1"/>
  <c r="O3430" i="1"/>
  <c r="Q3429" i="1"/>
  <c r="P3429" i="1"/>
  <c r="O3429" i="1"/>
  <c r="Q3428" i="1"/>
  <c r="P3428" i="1"/>
  <c r="O3428" i="1"/>
  <c r="Q3427" i="1"/>
  <c r="P3427" i="1"/>
  <c r="O3427" i="1"/>
  <c r="Q3426" i="1"/>
  <c r="P3426" i="1"/>
  <c r="O3426" i="1"/>
  <c r="Q3425" i="1"/>
  <c r="P3425" i="1"/>
  <c r="O3425" i="1"/>
  <c r="Q3424" i="1"/>
  <c r="P3424" i="1"/>
  <c r="O3424" i="1"/>
  <c r="Q3423" i="1"/>
  <c r="P3423" i="1"/>
  <c r="O3423" i="1"/>
  <c r="Q3422" i="1"/>
  <c r="P3422" i="1"/>
  <c r="O3422" i="1"/>
  <c r="Q3421" i="1"/>
  <c r="P3421" i="1"/>
  <c r="O3421" i="1"/>
  <c r="Q3420" i="1"/>
  <c r="P3420" i="1"/>
  <c r="O3420" i="1"/>
  <c r="Q3419" i="1"/>
  <c r="P3419" i="1"/>
  <c r="O3419" i="1"/>
  <c r="Q3418" i="1"/>
  <c r="P3418" i="1"/>
  <c r="O3418" i="1"/>
  <c r="Q3417" i="1"/>
  <c r="P3417" i="1"/>
  <c r="O3417" i="1"/>
  <c r="Q3416" i="1"/>
  <c r="P3416" i="1"/>
  <c r="O3416" i="1"/>
  <c r="Q3415" i="1"/>
  <c r="P3415" i="1"/>
  <c r="O3415" i="1"/>
  <c r="Q3414" i="1"/>
  <c r="P3414" i="1"/>
  <c r="O3414" i="1"/>
  <c r="Q3413" i="1"/>
  <c r="P3413" i="1"/>
  <c r="O3413" i="1"/>
  <c r="Q3412" i="1"/>
  <c r="P3412" i="1"/>
  <c r="O3412" i="1"/>
  <c r="Q3411" i="1"/>
  <c r="P3411" i="1"/>
  <c r="O3411" i="1"/>
  <c r="Q3410" i="1"/>
  <c r="P3410" i="1"/>
  <c r="O3410" i="1"/>
  <c r="Q3409" i="1"/>
  <c r="P3409" i="1"/>
  <c r="O3409" i="1"/>
  <c r="Q3408" i="1"/>
  <c r="P3408" i="1"/>
  <c r="O3408" i="1"/>
  <c r="Q3407" i="1"/>
  <c r="P3407" i="1"/>
  <c r="O3407" i="1"/>
  <c r="Q3406" i="1"/>
  <c r="P3406" i="1"/>
  <c r="O3406" i="1"/>
  <c r="Q3405" i="1"/>
  <c r="P3405" i="1"/>
  <c r="O3405" i="1"/>
  <c r="Q3404" i="1"/>
  <c r="P3404" i="1"/>
  <c r="O3404" i="1"/>
  <c r="Q3403" i="1"/>
  <c r="P3403" i="1"/>
  <c r="O3403" i="1"/>
  <c r="Q3402" i="1"/>
  <c r="P3402" i="1"/>
  <c r="O3402" i="1"/>
  <c r="Q3401" i="1"/>
  <c r="P3401" i="1"/>
  <c r="O3401" i="1"/>
  <c r="Q3400" i="1"/>
  <c r="P3400" i="1"/>
  <c r="O3400" i="1"/>
  <c r="Q3399" i="1"/>
  <c r="P3399" i="1"/>
  <c r="O3399" i="1"/>
  <c r="Q3398" i="1"/>
  <c r="P3398" i="1"/>
  <c r="O3398" i="1"/>
  <c r="Q3397" i="1"/>
  <c r="P3397" i="1"/>
  <c r="O3397" i="1"/>
  <c r="Q3396" i="1"/>
  <c r="P3396" i="1"/>
  <c r="O3396" i="1"/>
  <c r="Q3395" i="1"/>
  <c r="P3395" i="1"/>
  <c r="O3395" i="1"/>
  <c r="Q3394" i="1"/>
  <c r="P3394" i="1"/>
  <c r="O3394" i="1"/>
  <c r="Q3393" i="1"/>
  <c r="P3393" i="1"/>
  <c r="O3393" i="1"/>
  <c r="Q3392" i="1"/>
  <c r="P3392" i="1"/>
  <c r="O3392" i="1"/>
  <c r="Q3391" i="1"/>
  <c r="P3391" i="1"/>
  <c r="O3391" i="1"/>
  <c r="Q3390" i="1"/>
  <c r="P3390" i="1"/>
  <c r="O3390" i="1"/>
  <c r="Q3389" i="1"/>
  <c r="P3389" i="1"/>
  <c r="O3389" i="1"/>
  <c r="Q3388" i="1"/>
  <c r="P3388" i="1"/>
  <c r="O3388" i="1"/>
  <c r="Q3387" i="1"/>
  <c r="P3387" i="1"/>
  <c r="O3387" i="1"/>
  <c r="Q3386" i="1"/>
  <c r="P3386" i="1"/>
  <c r="O3386" i="1"/>
  <c r="Q3385" i="1"/>
  <c r="P3385" i="1"/>
  <c r="O3385" i="1"/>
  <c r="Q3384" i="1"/>
  <c r="P3384" i="1"/>
  <c r="O3384" i="1"/>
  <c r="Q3383" i="1"/>
  <c r="P3383" i="1"/>
  <c r="O3383" i="1"/>
  <c r="P3382" i="1"/>
  <c r="O3382" i="1"/>
  <c r="P3381" i="1"/>
  <c r="O3381" i="1"/>
  <c r="P3380" i="1"/>
  <c r="O3380" i="1"/>
  <c r="P3379" i="1"/>
  <c r="O3379" i="1"/>
  <c r="Q3378" i="1"/>
  <c r="P3378" i="1"/>
  <c r="O3378" i="1"/>
  <c r="Q3377" i="1"/>
  <c r="P3377" i="1"/>
  <c r="O3377" i="1"/>
  <c r="Q3376" i="1"/>
  <c r="P3376" i="1"/>
  <c r="O3376" i="1"/>
  <c r="Q3375" i="1"/>
  <c r="P3375" i="1"/>
  <c r="O3375" i="1"/>
  <c r="Q3374" i="1"/>
  <c r="P3374" i="1"/>
  <c r="O3374" i="1"/>
  <c r="Q3373" i="1"/>
  <c r="P3373" i="1"/>
  <c r="O3373" i="1"/>
  <c r="Q3372" i="1"/>
  <c r="P3372" i="1"/>
  <c r="O3372" i="1"/>
  <c r="Q3371" i="1"/>
  <c r="P3371" i="1"/>
  <c r="O3371" i="1"/>
  <c r="Q3370" i="1"/>
  <c r="P3370" i="1"/>
  <c r="O3370" i="1"/>
  <c r="Q3369" i="1"/>
  <c r="P3369" i="1"/>
  <c r="O3369" i="1"/>
  <c r="Q3368" i="1"/>
  <c r="P3368" i="1"/>
  <c r="O3368" i="1"/>
  <c r="Q3367" i="1"/>
  <c r="P3367" i="1"/>
  <c r="O3367" i="1"/>
  <c r="Q3366" i="1"/>
  <c r="P3366" i="1"/>
  <c r="O3366" i="1"/>
  <c r="Q3365" i="1"/>
  <c r="P3365" i="1"/>
  <c r="O3365" i="1"/>
  <c r="Q3364" i="1"/>
  <c r="P3364" i="1"/>
  <c r="O3364" i="1"/>
  <c r="Q3363" i="1"/>
  <c r="P3363" i="1"/>
  <c r="O3363" i="1"/>
  <c r="Q3362" i="1"/>
  <c r="P3362" i="1"/>
  <c r="O3362" i="1"/>
  <c r="Q3361" i="1"/>
  <c r="P3361" i="1"/>
  <c r="O3361" i="1"/>
  <c r="Q3360" i="1"/>
  <c r="P3360" i="1"/>
  <c r="O3360" i="1"/>
  <c r="Q3359" i="1"/>
  <c r="P3359" i="1"/>
  <c r="O3359" i="1"/>
  <c r="Q3358" i="1"/>
  <c r="P3358" i="1"/>
  <c r="O3358" i="1"/>
  <c r="Q3357" i="1"/>
  <c r="P3357" i="1"/>
  <c r="O3357" i="1"/>
  <c r="Q3356" i="1"/>
  <c r="P3356" i="1"/>
  <c r="O3356" i="1"/>
  <c r="Q3355" i="1"/>
  <c r="P3355" i="1"/>
  <c r="O3355" i="1"/>
  <c r="Q3354" i="1"/>
  <c r="P3354" i="1"/>
  <c r="O3354" i="1"/>
  <c r="Q3353" i="1"/>
  <c r="P3353" i="1"/>
  <c r="O3353" i="1"/>
  <c r="Q3352" i="1"/>
  <c r="P3352" i="1"/>
  <c r="O3352" i="1"/>
  <c r="Q3351" i="1"/>
  <c r="P3351" i="1"/>
  <c r="O3351" i="1"/>
  <c r="Q3350" i="1"/>
  <c r="P3350" i="1"/>
  <c r="O3350" i="1"/>
  <c r="Q3349" i="1"/>
  <c r="P3349" i="1"/>
  <c r="O3349" i="1"/>
  <c r="Q3348" i="1"/>
  <c r="P3348" i="1"/>
  <c r="O3348" i="1"/>
  <c r="Q3347" i="1"/>
  <c r="P3347" i="1"/>
  <c r="O3347" i="1"/>
  <c r="Q3346" i="1"/>
  <c r="P3346" i="1"/>
  <c r="O3346" i="1"/>
  <c r="Q3345" i="1"/>
  <c r="P3345" i="1"/>
  <c r="O3345" i="1"/>
  <c r="Q3344" i="1"/>
  <c r="P3344" i="1"/>
  <c r="O3344" i="1"/>
  <c r="Q3343" i="1"/>
  <c r="P3343" i="1"/>
  <c r="O3343" i="1"/>
  <c r="Q3342" i="1"/>
  <c r="P3342" i="1"/>
  <c r="O3342" i="1"/>
  <c r="Q3341" i="1"/>
  <c r="P3341" i="1"/>
  <c r="O3341" i="1"/>
  <c r="Q3340" i="1"/>
  <c r="P3340" i="1"/>
  <c r="O3340" i="1"/>
  <c r="Q3339" i="1"/>
  <c r="P3339" i="1"/>
  <c r="O3339" i="1"/>
  <c r="Q3338" i="1"/>
  <c r="P3338" i="1"/>
  <c r="O3338" i="1"/>
  <c r="Q3337" i="1"/>
  <c r="P3337" i="1"/>
  <c r="O3337" i="1"/>
  <c r="Q3336" i="1"/>
  <c r="P3336" i="1"/>
  <c r="O3336" i="1"/>
  <c r="Q3335" i="1"/>
  <c r="P3335" i="1"/>
  <c r="O3335" i="1"/>
  <c r="Q3334" i="1"/>
  <c r="P3334" i="1"/>
  <c r="O3334" i="1"/>
  <c r="Q3333" i="1"/>
  <c r="P3333" i="1"/>
  <c r="O3333" i="1"/>
  <c r="Q3332" i="1"/>
  <c r="P3332" i="1"/>
  <c r="O3332" i="1"/>
  <c r="Q3331" i="1"/>
  <c r="P3331" i="1"/>
  <c r="O3331" i="1"/>
  <c r="Q3330" i="1"/>
  <c r="P3330" i="1"/>
  <c r="O3330" i="1"/>
  <c r="Q3329" i="1"/>
  <c r="P3329" i="1"/>
  <c r="O3329" i="1"/>
  <c r="Q3328" i="1"/>
  <c r="P3328" i="1"/>
  <c r="O3328" i="1"/>
  <c r="Q3327" i="1"/>
  <c r="P3327" i="1"/>
  <c r="O3327" i="1"/>
  <c r="Q3326" i="1"/>
  <c r="P3326" i="1"/>
  <c r="O3326" i="1"/>
  <c r="Q3325" i="1"/>
  <c r="P3325" i="1"/>
  <c r="O3325" i="1"/>
  <c r="Q3324" i="1"/>
  <c r="P3324" i="1"/>
  <c r="O3324" i="1"/>
  <c r="Q3323" i="1"/>
  <c r="P3323" i="1"/>
  <c r="O3323" i="1"/>
  <c r="Q3322" i="1"/>
  <c r="P3322" i="1"/>
  <c r="O3322" i="1"/>
  <c r="Q3321" i="1"/>
  <c r="P3321" i="1"/>
  <c r="O3321" i="1"/>
  <c r="Q3320" i="1"/>
  <c r="P3320" i="1"/>
  <c r="O3320" i="1"/>
  <c r="Q3319" i="1"/>
  <c r="P3319" i="1"/>
  <c r="O3319" i="1"/>
  <c r="Q3318" i="1"/>
  <c r="P3318" i="1"/>
  <c r="O3318" i="1"/>
  <c r="Q3317" i="1"/>
  <c r="P3317" i="1"/>
  <c r="O3317" i="1"/>
  <c r="Q3316" i="1"/>
  <c r="P3316" i="1"/>
  <c r="O3316" i="1"/>
  <c r="Q3315" i="1"/>
  <c r="P3315" i="1"/>
  <c r="O3315" i="1"/>
  <c r="Q3314" i="1"/>
  <c r="P3314" i="1"/>
  <c r="O3314" i="1"/>
  <c r="Q3313" i="1"/>
  <c r="P3313" i="1"/>
  <c r="O3313" i="1"/>
  <c r="Q3312" i="1"/>
  <c r="P3312" i="1"/>
  <c r="O3312" i="1"/>
  <c r="Q3311" i="1"/>
  <c r="P3311" i="1"/>
  <c r="O3311" i="1"/>
  <c r="Q3310" i="1"/>
  <c r="P3310" i="1"/>
  <c r="O3310" i="1"/>
  <c r="Q3309" i="1"/>
  <c r="P3309" i="1"/>
  <c r="O3309" i="1"/>
  <c r="Q3308" i="1"/>
  <c r="P3308" i="1"/>
  <c r="O3308" i="1"/>
  <c r="Q3307" i="1"/>
  <c r="P3307" i="1"/>
  <c r="O3307" i="1"/>
  <c r="Q3306" i="1"/>
  <c r="P3306" i="1"/>
  <c r="O3306" i="1"/>
  <c r="Q3305" i="1"/>
  <c r="P3305" i="1"/>
  <c r="O3305" i="1"/>
  <c r="Q3304" i="1"/>
  <c r="P3304" i="1"/>
  <c r="O3304" i="1"/>
  <c r="Q3303" i="1"/>
  <c r="P3303" i="1"/>
  <c r="O3303" i="1"/>
  <c r="Q3302" i="1"/>
  <c r="P3302" i="1"/>
  <c r="O3302" i="1"/>
  <c r="Q3301" i="1"/>
  <c r="P3301" i="1"/>
  <c r="O3301" i="1"/>
  <c r="Q3300" i="1"/>
  <c r="P3300" i="1"/>
  <c r="O3300" i="1"/>
  <c r="Q3299" i="1"/>
  <c r="P3299" i="1"/>
  <c r="O3299" i="1"/>
  <c r="Q3298" i="1"/>
  <c r="P3298" i="1"/>
  <c r="O3298" i="1"/>
  <c r="Q3297" i="1"/>
  <c r="P3297" i="1"/>
  <c r="O3297" i="1"/>
  <c r="Q3296" i="1"/>
  <c r="P3296" i="1"/>
  <c r="O3296" i="1"/>
  <c r="Q3295" i="1"/>
  <c r="P3295" i="1"/>
  <c r="O3295" i="1"/>
  <c r="Q3294" i="1"/>
  <c r="P3294" i="1"/>
  <c r="O3294" i="1"/>
  <c r="Q3293" i="1"/>
  <c r="P3293" i="1"/>
  <c r="O3293" i="1"/>
  <c r="Q3292" i="1"/>
  <c r="P3292" i="1"/>
  <c r="O3292" i="1"/>
  <c r="Q3291" i="1"/>
  <c r="P3291" i="1"/>
  <c r="O3291" i="1"/>
  <c r="Q3290" i="1"/>
  <c r="P3290" i="1"/>
  <c r="O3290" i="1"/>
  <c r="Q3289" i="1"/>
  <c r="P3289" i="1"/>
  <c r="O3289" i="1"/>
  <c r="Q3288" i="1"/>
  <c r="P3288" i="1"/>
  <c r="O3288" i="1"/>
  <c r="Q3287" i="1"/>
  <c r="P3287" i="1"/>
  <c r="O3287" i="1"/>
  <c r="Q3286" i="1"/>
  <c r="P3286" i="1"/>
  <c r="O3286" i="1"/>
  <c r="Q3285" i="1"/>
  <c r="P3285" i="1"/>
  <c r="O3285" i="1"/>
  <c r="Q3284" i="1"/>
  <c r="P3284" i="1"/>
  <c r="O3284" i="1"/>
  <c r="Q3283" i="1"/>
  <c r="P3283" i="1"/>
  <c r="O3283" i="1"/>
  <c r="Q3282" i="1"/>
  <c r="P3282" i="1"/>
  <c r="O3282" i="1"/>
  <c r="Q3281" i="1"/>
  <c r="P3281" i="1"/>
  <c r="O3281" i="1"/>
  <c r="Q3280" i="1"/>
  <c r="P3280" i="1"/>
  <c r="O3280" i="1"/>
  <c r="Q3279" i="1"/>
  <c r="P3279" i="1"/>
  <c r="O3279" i="1"/>
  <c r="Q3278" i="1"/>
  <c r="P3278" i="1"/>
  <c r="O3278" i="1"/>
  <c r="Q3277" i="1"/>
  <c r="P3277" i="1"/>
  <c r="O3277" i="1"/>
  <c r="Q3276" i="1"/>
  <c r="P3276" i="1"/>
  <c r="O3276" i="1"/>
  <c r="Q3275" i="1"/>
  <c r="P3275" i="1"/>
  <c r="O3275" i="1"/>
  <c r="Q3274" i="1"/>
  <c r="P3274" i="1"/>
  <c r="O3274" i="1"/>
  <c r="Q3273" i="1"/>
  <c r="P3273" i="1"/>
  <c r="O3273" i="1"/>
  <c r="Q3272" i="1"/>
  <c r="P3272" i="1"/>
  <c r="O3272" i="1"/>
  <c r="Q3271" i="1"/>
  <c r="P3271" i="1"/>
  <c r="O3271" i="1"/>
  <c r="Q3270" i="1"/>
  <c r="P3270" i="1"/>
  <c r="O3270" i="1"/>
  <c r="Q3269" i="1"/>
  <c r="P3269" i="1"/>
  <c r="O3269" i="1"/>
  <c r="Q3268" i="1"/>
  <c r="P3268" i="1"/>
  <c r="O3268" i="1"/>
  <c r="Q3267" i="1"/>
  <c r="P3267" i="1"/>
  <c r="O3267" i="1"/>
  <c r="Q3266" i="1"/>
  <c r="P3266" i="1"/>
  <c r="O3266" i="1"/>
  <c r="Q3265" i="1"/>
  <c r="P3265" i="1"/>
  <c r="O3265" i="1"/>
  <c r="Q3264" i="1"/>
  <c r="P3264" i="1"/>
  <c r="O3264" i="1"/>
  <c r="Q3263" i="1"/>
  <c r="P3263" i="1"/>
  <c r="O3263" i="1"/>
  <c r="Q3262" i="1"/>
  <c r="P3262" i="1"/>
  <c r="O3262" i="1"/>
  <c r="Q3261" i="1"/>
  <c r="P3261" i="1"/>
  <c r="O3261" i="1"/>
  <c r="Q3260" i="1"/>
  <c r="P3260" i="1"/>
  <c r="O3260" i="1"/>
  <c r="Q3259" i="1"/>
  <c r="P3259" i="1"/>
  <c r="O3259" i="1"/>
  <c r="Q3258" i="1"/>
  <c r="P3258" i="1"/>
  <c r="O3258" i="1"/>
  <c r="Q3257" i="1"/>
  <c r="P3257" i="1"/>
  <c r="O3257" i="1"/>
  <c r="Q3256" i="1"/>
  <c r="P3256" i="1"/>
  <c r="O3256" i="1"/>
  <c r="Q3255" i="1"/>
  <c r="P3255" i="1"/>
  <c r="O3255" i="1"/>
  <c r="Q3254" i="1"/>
  <c r="P3254" i="1"/>
  <c r="O3254" i="1"/>
  <c r="Q3253" i="1"/>
  <c r="P3253" i="1"/>
  <c r="O3253" i="1"/>
  <c r="Q3252" i="1"/>
  <c r="P3252" i="1"/>
  <c r="O3252" i="1"/>
  <c r="Q3251" i="1"/>
  <c r="P3251" i="1"/>
  <c r="O3251" i="1"/>
  <c r="Q3250" i="1"/>
  <c r="P3250" i="1"/>
  <c r="O3250" i="1"/>
  <c r="Q3249" i="1"/>
  <c r="P3249" i="1"/>
  <c r="O3249" i="1"/>
  <c r="Q3248" i="1"/>
  <c r="P3248" i="1"/>
  <c r="O3248" i="1"/>
  <c r="Q3247" i="1"/>
  <c r="P3247" i="1"/>
  <c r="O3247" i="1"/>
  <c r="Q3246" i="1"/>
  <c r="P3246" i="1"/>
  <c r="O3246" i="1"/>
  <c r="Q3245" i="1"/>
  <c r="P3245" i="1"/>
  <c r="O3245" i="1"/>
  <c r="Q3244" i="1"/>
  <c r="P3244" i="1"/>
  <c r="O3244" i="1"/>
  <c r="Q3243" i="1"/>
  <c r="P3243" i="1"/>
  <c r="O3243" i="1"/>
  <c r="Q3242" i="1"/>
  <c r="P3242" i="1"/>
  <c r="O3242" i="1"/>
  <c r="Q3241" i="1"/>
  <c r="P3241" i="1"/>
  <c r="O3241" i="1"/>
  <c r="Q3240" i="1"/>
  <c r="P3240" i="1"/>
  <c r="O3240" i="1"/>
  <c r="Q3239" i="1"/>
  <c r="P3239" i="1"/>
  <c r="O3239" i="1"/>
  <c r="Q3238" i="1"/>
  <c r="P3238" i="1"/>
  <c r="O3238" i="1"/>
  <c r="Q3237" i="1"/>
  <c r="P3237" i="1"/>
  <c r="O3237" i="1"/>
  <c r="Q3236" i="1"/>
  <c r="P3236" i="1"/>
  <c r="O3236" i="1"/>
  <c r="Q3235" i="1"/>
  <c r="P3235" i="1"/>
  <c r="O3235" i="1"/>
  <c r="Q3234" i="1"/>
  <c r="P3234" i="1"/>
  <c r="O3234" i="1"/>
  <c r="Q3233" i="1"/>
  <c r="P3233" i="1"/>
  <c r="O3233" i="1"/>
  <c r="Q3232" i="1"/>
  <c r="P3232" i="1"/>
  <c r="O3232" i="1"/>
  <c r="Q3231" i="1"/>
  <c r="P3231" i="1"/>
  <c r="O3231" i="1"/>
  <c r="Q3230" i="1"/>
  <c r="P3230" i="1"/>
  <c r="O3230" i="1"/>
  <c r="Q3229" i="1"/>
  <c r="P3229" i="1"/>
  <c r="O3229" i="1"/>
  <c r="Q3228" i="1"/>
  <c r="P3228" i="1"/>
  <c r="O3228" i="1"/>
  <c r="Q3227" i="1"/>
  <c r="P3227" i="1"/>
  <c r="O3227" i="1"/>
  <c r="Q3226" i="1"/>
  <c r="P3226" i="1"/>
  <c r="O3226" i="1"/>
  <c r="Q3225" i="1"/>
  <c r="P3225" i="1"/>
  <c r="O3225" i="1"/>
  <c r="Q3224" i="1"/>
  <c r="P3224" i="1"/>
  <c r="O3224" i="1"/>
  <c r="Q3223" i="1"/>
  <c r="P3223" i="1"/>
  <c r="O3223" i="1"/>
  <c r="Q3222" i="1"/>
  <c r="P3222" i="1"/>
  <c r="O3222" i="1"/>
  <c r="Q3221" i="1"/>
  <c r="P3221" i="1"/>
  <c r="O3221" i="1"/>
  <c r="Q3220" i="1"/>
  <c r="P3220" i="1"/>
  <c r="O3220" i="1"/>
  <c r="Q3219" i="1"/>
  <c r="P3219" i="1"/>
  <c r="O3219" i="1"/>
  <c r="Q3218" i="1"/>
  <c r="P3218" i="1"/>
  <c r="O3218" i="1"/>
  <c r="Q3217" i="1"/>
  <c r="P3217" i="1"/>
  <c r="O3217" i="1"/>
  <c r="Q3216" i="1"/>
  <c r="P3216" i="1"/>
  <c r="O3216" i="1"/>
  <c r="Q3215" i="1"/>
  <c r="P3215" i="1"/>
  <c r="O3215" i="1"/>
  <c r="Q3214" i="1"/>
  <c r="P3214" i="1"/>
  <c r="O3214" i="1"/>
  <c r="Q3213" i="1"/>
  <c r="P3213" i="1"/>
  <c r="O3213" i="1"/>
  <c r="Q3212" i="1"/>
  <c r="P3212" i="1"/>
  <c r="O3212" i="1"/>
  <c r="Q3211" i="1"/>
  <c r="P3211" i="1"/>
  <c r="O3211" i="1"/>
  <c r="Q3210" i="1"/>
  <c r="P3210" i="1"/>
  <c r="O3210" i="1"/>
  <c r="Q3209" i="1"/>
  <c r="P3209" i="1"/>
  <c r="O3209" i="1"/>
  <c r="Q3208" i="1"/>
  <c r="P3208" i="1"/>
  <c r="O3208" i="1"/>
  <c r="Q3207" i="1"/>
  <c r="P3207" i="1"/>
  <c r="O3207" i="1"/>
  <c r="Q3206" i="1"/>
  <c r="P3206" i="1"/>
  <c r="O3206" i="1"/>
  <c r="Q3205" i="1"/>
  <c r="P3205" i="1"/>
  <c r="O3205" i="1"/>
  <c r="Q3204" i="1"/>
  <c r="P3204" i="1"/>
  <c r="O3204" i="1"/>
  <c r="Q3203" i="1"/>
  <c r="P3203" i="1"/>
  <c r="O3203" i="1"/>
  <c r="Q3202" i="1"/>
  <c r="P3202" i="1"/>
  <c r="O3202" i="1"/>
  <c r="Q3201" i="1"/>
  <c r="P3201" i="1"/>
  <c r="O3201" i="1"/>
  <c r="Q3200" i="1"/>
  <c r="P3200" i="1"/>
  <c r="O3200" i="1"/>
  <c r="Q3199" i="1"/>
  <c r="P3199" i="1"/>
  <c r="O3199" i="1"/>
  <c r="Q3198" i="1"/>
  <c r="P3198" i="1"/>
  <c r="O3198" i="1"/>
  <c r="Q3197" i="1"/>
  <c r="P3197" i="1"/>
  <c r="O3197" i="1"/>
  <c r="Q3196" i="1"/>
  <c r="P3196" i="1"/>
  <c r="O3196" i="1"/>
  <c r="Q3195" i="1"/>
  <c r="P3195" i="1"/>
  <c r="O3195" i="1"/>
  <c r="Q3194" i="1"/>
  <c r="P3194" i="1"/>
  <c r="O3194" i="1"/>
  <c r="Q3193" i="1"/>
  <c r="P3193" i="1"/>
  <c r="O3193" i="1"/>
  <c r="Q3192" i="1"/>
  <c r="P3192" i="1"/>
  <c r="O3192" i="1"/>
  <c r="Q3191" i="1"/>
  <c r="P3191" i="1"/>
  <c r="O3191" i="1"/>
  <c r="Q3190" i="1"/>
  <c r="P3190" i="1"/>
  <c r="O3190" i="1"/>
  <c r="Q3189" i="1"/>
  <c r="P3189" i="1"/>
  <c r="O3189" i="1"/>
  <c r="Q3188" i="1"/>
  <c r="P3188" i="1"/>
  <c r="O3188" i="1"/>
  <c r="Q3187" i="1"/>
  <c r="P3187" i="1"/>
  <c r="O3187" i="1"/>
  <c r="Q3186" i="1"/>
  <c r="P3186" i="1"/>
  <c r="O3186" i="1"/>
  <c r="Q3185" i="1"/>
  <c r="P3185" i="1"/>
  <c r="O3185" i="1"/>
  <c r="Q3184" i="1"/>
  <c r="P3184" i="1"/>
  <c r="O3184" i="1"/>
  <c r="Q3183" i="1"/>
  <c r="P3183" i="1"/>
  <c r="O3183" i="1"/>
  <c r="Q3182" i="1"/>
  <c r="P3182" i="1"/>
  <c r="O3182" i="1"/>
  <c r="Q3181" i="1"/>
  <c r="P3181" i="1"/>
  <c r="O3181" i="1"/>
  <c r="Q3180" i="1"/>
  <c r="P3180" i="1"/>
  <c r="O3180" i="1"/>
  <c r="Q3179" i="1"/>
  <c r="P3179" i="1"/>
  <c r="O3179" i="1"/>
  <c r="Q3178" i="1"/>
  <c r="P3178" i="1"/>
  <c r="O3178" i="1"/>
  <c r="Q3177" i="1"/>
  <c r="P3177" i="1"/>
  <c r="O3177" i="1"/>
  <c r="Q3176" i="1"/>
  <c r="P3176" i="1"/>
  <c r="O3176" i="1"/>
  <c r="Q3175" i="1"/>
  <c r="P3175" i="1"/>
  <c r="O3175" i="1"/>
  <c r="Q3174" i="1"/>
  <c r="P3174" i="1"/>
  <c r="O3174" i="1"/>
  <c r="Q3173" i="1"/>
  <c r="P3173" i="1"/>
  <c r="O3173" i="1"/>
  <c r="Q3172" i="1"/>
  <c r="P3172" i="1"/>
  <c r="O3172" i="1"/>
  <c r="Q3171" i="1"/>
  <c r="P3171" i="1"/>
  <c r="O3171" i="1"/>
  <c r="Q3170" i="1"/>
  <c r="P3170" i="1"/>
  <c r="O3170" i="1"/>
  <c r="Q3169" i="1"/>
  <c r="P3169" i="1"/>
  <c r="O3169" i="1"/>
  <c r="Q3168" i="1"/>
  <c r="P3168" i="1"/>
  <c r="O3168" i="1"/>
  <c r="Q3167" i="1"/>
  <c r="P3167" i="1"/>
  <c r="O3167" i="1"/>
  <c r="Q3166" i="1"/>
  <c r="P3166" i="1"/>
  <c r="O3166" i="1"/>
  <c r="Q3165" i="1"/>
  <c r="P3165" i="1"/>
  <c r="O3165" i="1"/>
  <c r="Q3164" i="1"/>
  <c r="P3164" i="1"/>
  <c r="O3164" i="1"/>
  <c r="Q3163" i="1"/>
  <c r="P3163" i="1"/>
  <c r="O3163" i="1"/>
  <c r="Q3162" i="1"/>
  <c r="P3162" i="1"/>
  <c r="O3162" i="1"/>
  <c r="Q3161" i="1"/>
  <c r="P3161" i="1"/>
  <c r="O3161" i="1"/>
  <c r="Q3160" i="1"/>
  <c r="P3160" i="1"/>
  <c r="O3160" i="1"/>
  <c r="Q3159" i="1"/>
  <c r="P3159" i="1"/>
  <c r="O3159" i="1"/>
  <c r="Q3158" i="1"/>
  <c r="P3158" i="1"/>
  <c r="O3158" i="1"/>
  <c r="Q3157" i="1"/>
  <c r="P3157" i="1"/>
  <c r="O3157" i="1"/>
  <c r="Q3156" i="1"/>
  <c r="P3156" i="1"/>
  <c r="O3156" i="1"/>
  <c r="Q3155" i="1"/>
  <c r="P3155" i="1"/>
  <c r="O3155" i="1"/>
  <c r="Q3154" i="1"/>
  <c r="P3154" i="1"/>
  <c r="O3154" i="1"/>
  <c r="Q3153" i="1"/>
  <c r="P3153" i="1"/>
  <c r="O3153" i="1"/>
  <c r="Q3152" i="1"/>
  <c r="P3152" i="1"/>
  <c r="O3152" i="1"/>
  <c r="Q3151" i="1"/>
  <c r="P3151" i="1"/>
  <c r="O3151" i="1"/>
  <c r="Q3150" i="1"/>
  <c r="P3150" i="1"/>
  <c r="O3150" i="1"/>
  <c r="Q3149" i="1"/>
  <c r="P3149" i="1"/>
  <c r="O3149" i="1"/>
  <c r="Q3148" i="1"/>
  <c r="P3148" i="1"/>
  <c r="O3148" i="1"/>
  <c r="Q3147" i="1"/>
  <c r="P3147" i="1"/>
  <c r="O3147" i="1"/>
  <c r="Q3146" i="1"/>
  <c r="P3146" i="1"/>
  <c r="O3146" i="1"/>
  <c r="Q3145" i="1"/>
  <c r="P3145" i="1"/>
  <c r="O3145" i="1"/>
  <c r="Q3144" i="1"/>
  <c r="P3144" i="1"/>
  <c r="O3144" i="1"/>
  <c r="Q3143" i="1"/>
  <c r="P3143" i="1"/>
  <c r="O3143" i="1"/>
  <c r="Q3142" i="1"/>
  <c r="P3142" i="1"/>
  <c r="O3142" i="1"/>
  <c r="Q3141" i="1"/>
  <c r="P3141" i="1"/>
  <c r="O3141" i="1"/>
  <c r="Q3140" i="1"/>
  <c r="P3140" i="1"/>
  <c r="O3140" i="1"/>
  <c r="Q3139" i="1"/>
  <c r="P3139" i="1"/>
  <c r="O3139" i="1"/>
  <c r="Q3138" i="1"/>
  <c r="P3138" i="1"/>
  <c r="O3138" i="1"/>
  <c r="Q3137" i="1"/>
  <c r="P3137" i="1"/>
  <c r="O3137" i="1"/>
  <c r="Q3136" i="1"/>
  <c r="P3136" i="1"/>
  <c r="O3136" i="1"/>
  <c r="Q3135" i="1"/>
  <c r="P3135" i="1"/>
  <c r="O3135" i="1"/>
  <c r="Q3134" i="1"/>
  <c r="P3134" i="1"/>
  <c r="O3134" i="1"/>
  <c r="Q3133" i="1"/>
  <c r="P3133" i="1"/>
  <c r="O3133" i="1"/>
  <c r="Q3132" i="1"/>
  <c r="P3132" i="1"/>
  <c r="O3132" i="1"/>
  <c r="Q3131" i="1"/>
  <c r="P3131" i="1"/>
  <c r="O3131" i="1"/>
  <c r="Q3130" i="1"/>
  <c r="P3130" i="1"/>
  <c r="O3130" i="1"/>
  <c r="Q3129" i="1"/>
  <c r="P3129" i="1"/>
  <c r="O3129" i="1"/>
  <c r="Q3128" i="1"/>
  <c r="P3128" i="1"/>
  <c r="O3128" i="1"/>
  <c r="Q3127" i="1"/>
  <c r="P3127" i="1"/>
  <c r="O3127" i="1"/>
  <c r="Q3126" i="1"/>
  <c r="P3126" i="1"/>
  <c r="O3126" i="1"/>
  <c r="Q3125" i="1"/>
  <c r="P3125" i="1"/>
  <c r="O3125" i="1"/>
  <c r="Q3124" i="1"/>
  <c r="P3124" i="1"/>
  <c r="O3124" i="1"/>
  <c r="Q3123" i="1"/>
  <c r="P3123" i="1"/>
  <c r="O3123" i="1"/>
  <c r="Q3122" i="1"/>
  <c r="P3122" i="1"/>
  <c r="O3122" i="1"/>
  <c r="Q3121" i="1"/>
  <c r="P3121" i="1"/>
  <c r="O3121" i="1"/>
  <c r="Q3120" i="1"/>
  <c r="P3120" i="1"/>
  <c r="O3120" i="1"/>
  <c r="Q3119" i="1"/>
  <c r="P3119" i="1"/>
  <c r="O3119" i="1"/>
  <c r="Q3118" i="1"/>
  <c r="P3118" i="1"/>
  <c r="O3118" i="1"/>
  <c r="Q3117" i="1"/>
  <c r="P3117" i="1"/>
  <c r="O3117" i="1"/>
  <c r="Q3116" i="1"/>
  <c r="P3116" i="1"/>
  <c r="O3116" i="1"/>
  <c r="Q3115" i="1"/>
  <c r="P3115" i="1"/>
  <c r="O3115" i="1"/>
  <c r="Q3114" i="1"/>
  <c r="P3114" i="1"/>
  <c r="O3114" i="1"/>
  <c r="Q3113" i="1"/>
  <c r="P3113" i="1"/>
  <c r="O3113" i="1"/>
  <c r="Q3112" i="1"/>
  <c r="P3112" i="1"/>
  <c r="O3112" i="1"/>
  <c r="Q3111" i="1"/>
  <c r="P3111" i="1"/>
  <c r="O3111" i="1"/>
  <c r="Q3110" i="1"/>
  <c r="P3110" i="1"/>
  <c r="O3110" i="1"/>
  <c r="Q3109" i="1"/>
  <c r="P3109" i="1"/>
  <c r="O3109" i="1"/>
  <c r="Q3108" i="1"/>
  <c r="P3108" i="1"/>
  <c r="O3108" i="1"/>
  <c r="Q3107" i="1"/>
  <c r="P3107" i="1"/>
  <c r="O3107" i="1"/>
  <c r="Q3106" i="1"/>
  <c r="P3106" i="1"/>
  <c r="O3106" i="1"/>
  <c r="Q3105" i="1"/>
  <c r="P3105" i="1"/>
  <c r="O3105" i="1"/>
  <c r="Q3104" i="1"/>
  <c r="P3104" i="1"/>
  <c r="O3104" i="1"/>
  <c r="Q3103" i="1"/>
  <c r="P3103" i="1"/>
  <c r="O3103" i="1"/>
  <c r="Q3102" i="1"/>
  <c r="P3102" i="1"/>
  <c r="O3102" i="1"/>
  <c r="Q3101" i="1"/>
  <c r="P3101" i="1"/>
  <c r="O3101" i="1"/>
  <c r="Q3100" i="1"/>
  <c r="P3100" i="1"/>
  <c r="O3100" i="1"/>
  <c r="Q3099" i="1"/>
  <c r="P3099" i="1"/>
  <c r="O3099" i="1"/>
  <c r="Q3098" i="1"/>
  <c r="P3098" i="1"/>
  <c r="O3098" i="1"/>
  <c r="Q3097" i="1"/>
  <c r="P3097" i="1"/>
  <c r="O3097" i="1"/>
  <c r="Q3096" i="1"/>
  <c r="P3096" i="1"/>
  <c r="O3096" i="1"/>
  <c r="Q3095" i="1"/>
  <c r="P3095" i="1"/>
  <c r="O3095" i="1"/>
  <c r="Q3094" i="1"/>
  <c r="P3094" i="1"/>
  <c r="O3094" i="1"/>
  <c r="Q3093" i="1"/>
  <c r="P3093" i="1"/>
  <c r="O3093" i="1"/>
  <c r="Q3092" i="1"/>
  <c r="P3092" i="1"/>
  <c r="O3092" i="1"/>
  <c r="Q3091" i="1"/>
  <c r="P3091" i="1"/>
  <c r="O3091" i="1"/>
  <c r="Q3090" i="1"/>
  <c r="P3090" i="1"/>
  <c r="O3090" i="1"/>
  <c r="Q3089" i="1"/>
  <c r="P3089" i="1"/>
  <c r="O3089" i="1"/>
  <c r="Q3088" i="1"/>
  <c r="P3088" i="1"/>
  <c r="O3088" i="1"/>
  <c r="Q3087" i="1"/>
  <c r="P3087" i="1"/>
  <c r="O3087" i="1"/>
  <c r="Q3086" i="1"/>
  <c r="P3086" i="1"/>
  <c r="O3086" i="1"/>
  <c r="Q3085" i="1"/>
  <c r="P3085" i="1"/>
  <c r="O3085" i="1"/>
  <c r="Q3084" i="1"/>
  <c r="P3084" i="1"/>
  <c r="O3084" i="1"/>
  <c r="Q3083" i="1"/>
  <c r="P3083" i="1"/>
  <c r="O3083" i="1"/>
  <c r="Q3082" i="1"/>
  <c r="P3082" i="1"/>
  <c r="O3082" i="1"/>
  <c r="Q3081" i="1"/>
  <c r="P3081" i="1"/>
  <c r="O3081" i="1"/>
  <c r="Q3080" i="1"/>
  <c r="P3080" i="1"/>
  <c r="O3080" i="1"/>
  <c r="Q3079" i="1"/>
  <c r="P3079" i="1"/>
  <c r="O3079" i="1"/>
  <c r="Q3078" i="1"/>
  <c r="P3078" i="1"/>
  <c r="O3078" i="1"/>
  <c r="Q3077" i="1"/>
  <c r="P3077" i="1"/>
  <c r="O3077" i="1"/>
  <c r="Q3076" i="1"/>
  <c r="P3076" i="1"/>
  <c r="O3076" i="1"/>
  <c r="Q3075" i="1"/>
  <c r="P3075" i="1"/>
  <c r="O3075" i="1"/>
  <c r="Q3074" i="1"/>
  <c r="P3074" i="1"/>
  <c r="O3074" i="1"/>
  <c r="Q3073" i="1"/>
  <c r="P3073" i="1"/>
  <c r="O3073" i="1"/>
  <c r="Q3072" i="1"/>
  <c r="P3072" i="1"/>
  <c r="O3072" i="1"/>
  <c r="Q3071" i="1"/>
  <c r="P3071" i="1"/>
  <c r="O3071" i="1"/>
  <c r="Q3070" i="1"/>
  <c r="P3070" i="1"/>
  <c r="O3070" i="1"/>
  <c r="Q3069" i="1"/>
  <c r="P3069" i="1"/>
  <c r="O3069" i="1"/>
  <c r="Q3068" i="1"/>
  <c r="P3068" i="1"/>
  <c r="O3068" i="1"/>
  <c r="Q3067" i="1"/>
  <c r="P3067" i="1"/>
  <c r="O3067" i="1"/>
  <c r="Q3066" i="1"/>
  <c r="P3066" i="1"/>
  <c r="O3066" i="1"/>
  <c r="Q3065" i="1"/>
  <c r="P3065" i="1"/>
  <c r="O3065" i="1"/>
  <c r="Q3064" i="1"/>
  <c r="P3064" i="1"/>
  <c r="O3064" i="1"/>
  <c r="Q3063" i="1"/>
  <c r="P3063" i="1"/>
  <c r="O3063" i="1"/>
  <c r="Q3062" i="1"/>
  <c r="P3062" i="1"/>
  <c r="O3062" i="1"/>
  <c r="Q3061" i="1"/>
  <c r="P3061" i="1"/>
  <c r="O3061" i="1"/>
  <c r="Q3060" i="1"/>
  <c r="P3060" i="1"/>
  <c r="O3060" i="1"/>
  <c r="Q3059" i="1"/>
  <c r="P3059" i="1"/>
  <c r="O3059" i="1"/>
  <c r="Q3058" i="1"/>
  <c r="P3058" i="1"/>
  <c r="O3058" i="1"/>
  <c r="Q3057" i="1"/>
  <c r="P3057" i="1"/>
  <c r="O3057" i="1"/>
  <c r="Q3056" i="1"/>
  <c r="P3056" i="1"/>
  <c r="O3056" i="1"/>
  <c r="Q3055" i="1"/>
  <c r="P3055" i="1"/>
  <c r="O3055" i="1"/>
  <c r="Q3054" i="1"/>
  <c r="P3054" i="1"/>
  <c r="O3054" i="1"/>
  <c r="Q3053" i="1"/>
  <c r="P3053" i="1"/>
  <c r="O3053" i="1"/>
  <c r="Q3052" i="1"/>
  <c r="P3052" i="1"/>
  <c r="O3052" i="1"/>
  <c r="Q3051" i="1"/>
  <c r="P3051" i="1"/>
  <c r="O3051" i="1"/>
  <c r="Q3050" i="1"/>
  <c r="P3050" i="1"/>
  <c r="O3050" i="1"/>
  <c r="Q3049" i="1"/>
  <c r="P3049" i="1"/>
  <c r="O3049" i="1"/>
  <c r="Q3048" i="1"/>
  <c r="P3048" i="1"/>
  <c r="O3048" i="1"/>
  <c r="Q3047" i="1"/>
  <c r="P3047" i="1"/>
  <c r="O3047" i="1"/>
  <c r="Q3046" i="1"/>
  <c r="P3046" i="1"/>
  <c r="O3046" i="1"/>
  <c r="Q3045" i="1"/>
  <c r="P3045" i="1"/>
  <c r="O3045" i="1"/>
  <c r="Q3044" i="1"/>
  <c r="P3044" i="1"/>
  <c r="O3044" i="1"/>
  <c r="Q3043" i="1"/>
  <c r="P3043" i="1"/>
  <c r="O3043" i="1"/>
  <c r="Q3042" i="1"/>
  <c r="P3042" i="1"/>
  <c r="O3042" i="1"/>
  <c r="Q3041" i="1"/>
  <c r="P3041" i="1"/>
  <c r="O3041" i="1"/>
  <c r="Q3040" i="1"/>
  <c r="P3040" i="1"/>
  <c r="O3040" i="1"/>
  <c r="Q3039" i="1"/>
  <c r="P3039" i="1"/>
  <c r="O3039" i="1"/>
  <c r="Q3038" i="1"/>
  <c r="P3038" i="1"/>
  <c r="O3038" i="1"/>
  <c r="Q3037" i="1"/>
  <c r="P3037" i="1"/>
  <c r="O3037" i="1"/>
  <c r="Q3036" i="1"/>
  <c r="P3036" i="1"/>
  <c r="O3036" i="1"/>
  <c r="Q3035" i="1"/>
  <c r="P3035" i="1"/>
  <c r="O3035" i="1"/>
  <c r="Q3034" i="1"/>
  <c r="P3034" i="1"/>
  <c r="O3034" i="1"/>
  <c r="Q3033" i="1"/>
  <c r="P3033" i="1"/>
  <c r="O3033" i="1"/>
  <c r="Q3032" i="1"/>
  <c r="P3032" i="1"/>
  <c r="O3032" i="1"/>
  <c r="Q3031" i="1"/>
  <c r="P3031" i="1"/>
  <c r="O3031" i="1"/>
  <c r="Q3030" i="1"/>
  <c r="P3030" i="1"/>
  <c r="O3030" i="1"/>
  <c r="Q3029" i="1"/>
  <c r="P3029" i="1"/>
  <c r="O3029" i="1"/>
  <c r="Q3028" i="1"/>
  <c r="P3028" i="1"/>
  <c r="O3028" i="1"/>
  <c r="Q3027" i="1"/>
  <c r="P3027" i="1"/>
  <c r="O3027" i="1"/>
  <c r="Q3026" i="1"/>
  <c r="P3026" i="1"/>
  <c r="O3026" i="1"/>
  <c r="Q3025" i="1"/>
  <c r="P3025" i="1"/>
  <c r="O3025" i="1"/>
  <c r="Q3024" i="1"/>
  <c r="P3024" i="1"/>
  <c r="O3024" i="1"/>
  <c r="Q3023" i="1"/>
  <c r="P3023" i="1"/>
  <c r="O3023" i="1"/>
  <c r="Q3022" i="1"/>
  <c r="P3022" i="1"/>
  <c r="O3022" i="1"/>
  <c r="Q3021" i="1"/>
  <c r="P3021" i="1"/>
  <c r="O3021" i="1"/>
  <c r="Q3020" i="1"/>
  <c r="P3020" i="1"/>
  <c r="O3020" i="1"/>
  <c r="Q3019" i="1"/>
  <c r="P3019" i="1"/>
  <c r="O3019" i="1"/>
  <c r="Q3018" i="1"/>
  <c r="P3018" i="1"/>
  <c r="O3018" i="1"/>
  <c r="Q3017" i="1"/>
  <c r="P3017" i="1"/>
  <c r="O3017" i="1"/>
  <c r="Q3016" i="1"/>
  <c r="P3016" i="1"/>
  <c r="O3016" i="1"/>
  <c r="Q3015" i="1"/>
  <c r="P3015" i="1"/>
  <c r="O3015" i="1"/>
  <c r="Q3014" i="1"/>
  <c r="P3014" i="1"/>
  <c r="O3014" i="1"/>
  <c r="Q3013" i="1"/>
  <c r="P3013" i="1"/>
  <c r="O3013" i="1"/>
  <c r="Q3012" i="1"/>
  <c r="P3012" i="1"/>
  <c r="O3012" i="1"/>
  <c r="Q3011" i="1"/>
  <c r="P3011" i="1"/>
  <c r="O3011" i="1"/>
  <c r="Q3010" i="1"/>
  <c r="P3010" i="1"/>
  <c r="O3010" i="1"/>
  <c r="Q3009" i="1"/>
  <c r="P3009" i="1"/>
  <c r="O3009" i="1"/>
  <c r="Q3008" i="1"/>
  <c r="P3008" i="1"/>
  <c r="O3008" i="1"/>
  <c r="Q3007" i="1"/>
  <c r="P3007" i="1"/>
  <c r="O3007" i="1"/>
  <c r="Q3006" i="1"/>
  <c r="P3006" i="1"/>
  <c r="O3006" i="1"/>
  <c r="Q3005" i="1"/>
  <c r="P3005" i="1"/>
  <c r="O3005" i="1"/>
  <c r="Q3004" i="1"/>
  <c r="P3004" i="1"/>
  <c r="O3004" i="1"/>
  <c r="Q3003" i="1"/>
  <c r="P3003" i="1"/>
  <c r="O3003" i="1"/>
  <c r="Q3002" i="1"/>
  <c r="P3002" i="1"/>
  <c r="O3002" i="1"/>
  <c r="Q3001" i="1"/>
  <c r="P3001" i="1"/>
  <c r="O3001" i="1"/>
  <c r="Q3000" i="1"/>
  <c r="P3000" i="1"/>
  <c r="O3000" i="1"/>
  <c r="Q2999" i="1"/>
  <c r="P2999" i="1"/>
  <c r="O2999" i="1"/>
  <c r="Q2998" i="1"/>
  <c r="P2998" i="1"/>
  <c r="O2998" i="1"/>
  <c r="Q2997" i="1"/>
  <c r="P2997" i="1"/>
  <c r="O2997" i="1"/>
  <c r="Q2996" i="1"/>
  <c r="P2996" i="1"/>
  <c r="O2996" i="1"/>
  <c r="Q2995" i="1"/>
  <c r="P2995" i="1"/>
  <c r="O2995" i="1"/>
  <c r="Q2994" i="1"/>
  <c r="P2994" i="1"/>
  <c r="O2994" i="1"/>
  <c r="Q2993" i="1"/>
  <c r="P2993" i="1"/>
  <c r="O2993" i="1"/>
  <c r="Q2992" i="1"/>
  <c r="P2992" i="1"/>
  <c r="O2992" i="1"/>
  <c r="Q2991" i="1"/>
  <c r="P2991" i="1"/>
  <c r="O2991" i="1"/>
  <c r="Q2990" i="1"/>
  <c r="P2990" i="1"/>
  <c r="O2990" i="1"/>
  <c r="Q2989" i="1"/>
  <c r="P2989" i="1"/>
  <c r="O2989" i="1"/>
  <c r="Q2988" i="1"/>
  <c r="P2988" i="1"/>
  <c r="O2988" i="1"/>
  <c r="Q2987" i="1"/>
  <c r="P2987" i="1"/>
  <c r="O2987" i="1"/>
  <c r="Q2986" i="1"/>
  <c r="P2986" i="1"/>
  <c r="O2986" i="1"/>
  <c r="Q2985" i="1"/>
  <c r="P2985" i="1"/>
  <c r="O2985" i="1"/>
  <c r="Q2984" i="1"/>
  <c r="P2984" i="1"/>
  <c r="O2984" i="1"/>
  <c r="Q2983" i="1"/>
  <c r="P2983" i="1"/>
  <c r="O2983" i="1"/>
  <c r="Q2982" i="1"/>
  <c r="P2982" i="1"/>
  <c r="O2982" i="1"/>
  <c r="Q2981" i="1"/>
  <c r="P2981" i="1"/>
  <c r="O2981" i="1"/>
  <c r="Q2980" i="1"/>
  <c r="P2980" i="1"/>
  <c r="O2980" i="1"/>
  <c r="Q2979" i="1"/>
  <c r="P2979" i="1"/>
  <c r="O2979" i="1"/>
  <c r="Q2978" i="1"/>
  <c r="P2978" i="1"/>
  <c r="O2978" i="1"/>
  <c r="Q2977" i="1"/>
  <c r="P2977" i="1"/>
  <c r="O2977" i="1"/>
  <c r="Q2976" i="1"/>
  <c r="P2976" i="1"/>
  <c r="O2976" i="1"/>
  <c r="Q2975" i="1"/>
  <c r="P2975" i="1"/>
  <c r="O2975" i="1"/>
  <c r="Q2974" i="1"/>
  <c r="P2974" i="1"/>
  <c r="O2974" i="1"/>
  <c r="Q2973" i="1"/>
  <c r="P2973" i="1"/>
  <c r="O2973" i="1"/>
  <c r="Q2972" i="1"/>
  <c r="P2972" i="1"/>
  <c r="O2972" i="1"/>
  <c r="Q2971" i="1"/>
  <c r="P2971" i="1"/>
  <c r="O2971" i="1"/>
  <c r="Q2970" i="1"/>
  <c r="P2970" i="1"/>
  <c r="O2970" i="1"/>
  <c r="Q2969" i="1"/>
  <c r="P2969" i="1"/>
  <c r="O2969" i="1"/>
  <c r="Q2968" i="1"/>
  <c r="P2968" i="1"/>
  <c r="O2968" i="1"/>
  <c r="Q2967" i="1"/>
  <c r="P2967" i="1"/>
  <c r="O2967" i="1"/>
  <c r="Q2966" i="1"/>
  <c r="P2966" i="1"/>
  <c r="O2966" i="1"/>
  <c r="Q2965" i="1"/>
  <c r="P2965" i="1"/>
  <c r="O2965" i="1"/>
  <c r="Q2964" i="1"/>
  <c r="P2964" i="1"/>
  <c r="O2964" i="1"/>
  <c r="Q2963" i="1"/>
  <c r="P2963" i="1"/>
  <c r="O2963" i="1"/>
  <c r="Q2962" i="1"/>
  <c r="P2962" i="1"/>
  <c r="O2962" i="1"/>
  <c r="Q2961" i="1"/>
  <c r="P2961" i="1"/>
  <c r="O2961" i="1"/>
  <c r="Q2960" i="1"/>
  <c r="P2960" i="1"/>
  <c r="O2960" i="1"/>
  <c r="Q2959" i="1"/>
  <c r="P2959" i="1"/>
  <c r="O2959" i="1"/>
  <c r="Q2958" i="1"/>
  <c r="P2958" i="1"/>
  <c r="O2958" i="1"/>
  <c r="Q2957" i="1"/>
  <c r="P2957" i="1"/>
  <c r="O2957" i="1"/>
  <c r="Q2956" i="1"/>
  <c r="P2956" i="1"/>
  <c r="O2956" i="1"/>
  <c r="Q2955" i="1"/>
  <c r="P2955" i="1"/>
  <c r="O2955" i="1"/>
  <c r="Q2954" i="1"/>
  <c r="P2954" i="1"/>
  <c r="O2954" i="1"/>
  <c r="Q2953" i="1"/>
  <c r="P2953" i="1"/>
  <c r="O2953" i="1"/>
  <c r="Q2952" i="1"/>
  <c r="P2952" i="1"/>
  <c r="O2952" i="1"/>
  <c r="Q2951" i="1"/>
  <c r="P2951" i="1"/>
  <c r="O2951" i="1"/>
  <c r="Q2950" i="1"/>
  <c r="P2950" i="1"/>
  <c r="O2950" i="1"/>
  <c r="Q2949" i="1"/>
  <c r="P2949" i="1"/>
  <c r="O2949" i="1"/>
  <c r="Q2948" i="1"/>
  <c r="P2948" i="1"/>
  <c r="O2948" i="1"/>
  <c r="Q2947" i="1"/>
  <c r="P2947" i="1"/>
  <c r="O2947" i="1"/>
  <c r="Q2946" i="1"/>
  <c r="P2946" i="1"/>
  <c r="O2946" i="1"/>
  <c r="Q2945" i="1"/>
  <c r="P2945" i="1"/>
  <c r="O2945" i="1"/>
  <c r="Q2944" i="1"/>
  <c r="P2944" i="1"/>
  <c r="O2944" i="1"/>
  <c r="Q2943" i="1"/>
  <c r="P2943" i="1"/>
  <c r="O2943" i="1"/>
  <c r="Q2942" i="1"/>
  <c r="P2942" i="1"/>
  <c r="O2942" i="1"/>
  <c r="Q2941" i="1"/>
  <c r="P2941" i="1"/>
  <c r="O2941" i="1"/>
  <c r="Q2940" i="1"/>
  <c r="P2940" i="1"/>
  <c r="O2940" i="1"/>
  <c r="Q2939" i="1"/>
  <c r="P2939" i="1"/>
  <c r="O2939" i="1"/>
  <c r="Q2938" i="1"/>
  <c r="P2938" i="1"/>
  <c r="O2938" i="1"/>
  <c r="Q2937" i="1"/>
  <c r="P2937" i="1"/>
  <c r="O2937" i="1"/>
  <c r="Q2936" i="1"/>
  <c r="P2936" i="1"/>
  <c r="O2936" i="1"/>
  <c r="Q2935" i="1"/>
  <c r="P2935" i="1"/>
  <c r="O2935" i="1"/>
  <c r="Q2934" i="1"/>
  <c r="P2934" i="1"/>
  <c r="O2934" i="1"/>
  <c r="Q2933" i="1"/>
  <c r="P2933" i="1"/>
  <c r="O2933" i="1"/>
  <c r="Q2932" i="1"/>
  <c r="P2932" i="1"/>
  <c r="O2932" i="1"/>
  <c r="Q2931" i="1"/>
  <c r="P2931" i="1"/>
  <c r="O2931" i="1"/>
  <c r="Q2930" i="1"/>
  <c r="P2930" i="1"/>
  <c r="O2930" i="1"/>
  <c r="Q2929" i="1"/>
  <c r="P2929" i="1"/>
  <c r="O2929" i="1"/>
  <c r="Q2928" i="1"/>
  <c r="P2928" i="1"/>
  <c r="O2928" i="1"/>
  <c r="Q2927" i="1"/>
  <c r="P2927" i="1"/>
  <c r="O2927" i="1"/>
  <c r="Q2926" i="1"/>
  <c r="P2926" i="1"/>
  <c r="O2926" i="1"/>
  <c r="Q2925" i="1"/>
  <c r="P2925" i="1"/>
  <c r="O2925" i="1"/>
  <c r="Q2924" i="1"/>
  <c r="P2924" i="1"/>
  <c r="O2924" i="1"/>
  <c r="Q2923" i="1"/>
  <c r="P2923" i="1"/>
  <c r="O2923" i="1"/>
  <c r="Q2922" i="1"/>
  <c r="P2922" i="1"/>
  <c r="O2922" i="1"/>
  <c r="Q2921" i="1"/>
  <c r="P2921" i="1"/>
  <c r="O2921" i="1"/>
  <c r="Q2920" i="1"/>
  <c r="P2920" i="1"/>
  <c r="O2920" i="1"/>
  <c r="Q2919" i="1"/>
  <c r="P2919" i="1"/>
  <c r="O2919" i="1"/>
  <c r="Q2918" i="1"/>
  <c r="P2918" i="1"/>
  <c r="O2918" i="1"/>
  <c r="Q2917" i="1"/>
  <c r="P2917" i="1"/>
  <c r="O2917" i="1"/>
  <c r="Q2916" i="1"/>
  <c r="P2916" i="1"/>
  <c r="O2916" i="1"/>
  <c r="Q2915" i="1"/>
  <c r="P2915" i="1"/>
  <c r="O2915" i="1"/>
  <c r="Q2914" i="1"/>
  <c r="P2914" i="1"/>
  <c r="O2914" i="1"/>
  <c r="Q2913" i="1"/>
  <c r="P2913" i="1"/>
  <c r="O2913" i="1"/>
  <c r="Q2912" i="1"/>
  <c r="P2912" i="1"/>
  <c r="O2912" i="1"/>
  <c r="Q2911" i="1"/>
  <c r="P2911" i="1"/>
  <c r="O2911" i="1"/>
  <c r="Q2910" i="1"/>
  <c r="P2910" i="1"/>
  <c r="O2910" i="1"/>
  <c r="Q2909" i="1"/>
  <c r="P2909" i="1"/>
  <c r="O2909" i="1"/>
  <c r="Q2908" i="1"/>
  <c r="P2908" i="1"/>
  <c r="O2908" i="1"/>
  <c r="Q2907" i="1"/>
  <c r="P2907" i="1"/>
  <c r="O2907" i="1"/>
  <c r="Q2906" i="1"/>
  <c r="P2906" i="1"/>
  <c r="O2906" i="1"/>
  <c r="Q2905" i="1"/>
  <c r="P2905" i="1"/>
  <c r="O2905" i="1"/>
  <c r="Q2904" i="1"/>
  <c r="P2904" i="1"/>
  <c r="O2904" i="1"/>
  <c r="Q2903" i="1"/>
  <c r="P2903" i="1"/>
  <c r="O2903" i="1"/>
  <c r="Q2902" i="1"/>
  <c r="P2902" i="1"/>
  <c r="O2902" i="1"/>
  <c r="Q2901" i="1"/>
  <c r="P2901" i="1"/>
  <c r="O2901" i="1"/>
  <c r="Q2900" i="1"/>
  <c r="P2900" i="1"/>
  <c r="O2900" i="1"/>
  <c r="Q2899" i="1"/>
  <c r="P2899" i="1"/>
  <c r="O2899" i="1"/>
  <c r="Q2898" i="1"/>
  <c r="P2898" i="1"/>
  <c r="O2898" i="1"/>
  <c r="Q2897" i="1"/>
  <c r="P2897" i="1"/>
  <c r="O2897" i="1"/>
  <c r="Q2896" i="1"/>
  <c r="P2896" i="1"/>
  <c r="O2896" i="1"/>
  <c r="Q2895" i="1"/>
  <c r="P2895" i="1"/>
  <c r="O2895" i="1"/>
  <c r="Q2894" i="1"/>
  <c r="P2894" i="1"/>
  <c r="O2894" i="1"/>
  <c r="Q2893" i="1"/>
  <c r="P2893" i="1"/>
  <c r="O2893" i="1"/>
  <c r="Q2892" i="1"/>
  <c r="P2892" i="1"/>
  <c r="O2892" i="1"/>
  <c r="Q2891" i="1"/>
  <c r="P2891" i="1"/>
  <c r="O2891" i="1"/>
  <c r="Q2890" i="1"/>
  <c r="P2890" i="1"/>
  <c r="O2890" i="1"/>
  <c r="Q2889" i="1"/>
  <c r="P2889" i="1"/>
  <c r="O2889" i="1"/>
  <c r="Q2888" i="1"/>
  <c r="P2888" i="1"/>
  <c r="O2888" i="1"/>
  <c r="Q2887" i="1"/>
  <c r="P2887" i="1"/>
  <c r="O2887" i="1"/>
  <c r="Q2886" i="1"/>
  <c r="P2886" i="1"/>
  <c r="O2886" i="1"/>
  <c r="Q2885" i="1"/>
  <c r="P2885" i="1"/>
  <c r="O2885" i="1"/>
  <c r="Q2884" i="1"/>
  <c r="P2884" i="1"/>
  <c r="O2884" i="1"/>
  <c r="Q2883" i="1"/>
  <c r="P2883" i="1"/>
  <c r="O2883" i="1"/>
  <c r="Q2882" i="1"/>
  <c r="P2882" i="1"/>
  <c r="O2882" i="1"/>
  <c r="Q2881" i="1"/>
  <c r="P2881" i="1"/>
  <c r="O2881" i="1"/>
  <c r="Q2880" i="1"/>
  <c r="P2880" i="1"/>
  <c r="O2880" i="1"/>
  <c r="Q2879" i="1"/>
  <c r="P2879" i="1"/>
  <c r="O2879" i="1"/>
  <c r="Q2878" i="1"/>
  <c r="P2878" i="1"/>
  <c r="O2878" i="1"/>
  <c r="Q2877" i="1"/>
  <c r="P2877" i="1"/>
  <c r="O2877" i="1"/>
  <c r="Q2876" i="1"/>
  <c r="P2876" i="1"/>
  <c r="O2876" i="1"/>
  <c r="Q2875" i="1"/>
  <c r="P2875" i="1"/>
  <c r="O2875" i="1"/>
  <c r="Q2874" i="1"/>
  <c r="P2874" i="1"/>
  <c r="O2874" i="1"/>
  <c r="Q2873" i="1"/>
  <c r="P2873" i="1"/>
  <c r="O2873" i="1"/>
  <c r="Q2872" i="1"/>
  <c r="P2872" i="1"/>
  <c r="O2872" i="1"/>
  <c r="Q2871" i="1"/>
  <c r="P2871" i="1"/>
  <c r="O2871" i="1"/>
  <c r="Q2870" i="1"/>
  <c r="P2870" i="1"/>
  <c r="O2870" i="1"/>
  <c r="Q2869" i="1"/>
  <c r="P2869" i="1"/>
  <c r="O2869" i="1"/>
  <c r="Q2868" i="1"/>
  <c r="P2868" i="1"/>
  <c r="O2868" i="1"/>
  <c r="Q2867" i="1"/>
  <c r="P2867" i="1"/>
  <c r="O2867" i="1"/>
  <c r="Q2866" i="1"/>
  <c r="P2866" i="1"/>
  <c r="O2866" i="1"/>
  <c r="Q2865" i="1"/>
  <c r="P2865" i="1"/>
  <c r="O2865" i="1"/>
  <c r="Q2864" i="1"/>
  <c r="P2864" i="1"/>
  <c r="O2864" i="1"/>
  <c r="Q2863" i="1"/>
  <c r="P2863" i="1"/>
  <c r="O2863" i="1"/>
  <c r="Q2862" i="1"/>
  <c r="P2862" i="1"/>
  <c r="O2862" i="1"/>
  <c r="Q2861" i="1"/>
  <c r="P2861" i="1"/>
  <c r="O2861" i="1"/>
  <c r="Q2860" i="1"/>
  <c r="P2860" i="1"/>
  <c r="O2860" i="1"/>
  <c r="Q2859" i="1"/>
  <c r="P2859" i="1"/>
  <c r="O2859" i="1"/>
  <c r="Q2858" i="1"/>
  <c r="P2858" i="1"/>
  <c r="O2858" i="1"/>
  <c r="Q2857" i="1"/>
  <c r="P2857" i="1"/>
  <c r="O2857" i="1"/>
  <c r="Q2856" i="1"/>
  <c r="P2856" i="1"/>
  <c r="O2856" i="1"/>
  <c r="Q2855" i="1"/>
  <c r="P2855" i="1"/>
  <c r="O2855" i="1"/>
  <c r="Q2854" i="1"/>
  <c r="P2854" i="1"/>
  <c r="O2854" i="1"/>
  <c r="Q2853" i="1"/>
  <c r="P2853" i="1"/>
  <c r="O2853" i="1"/>
  <c r="Q2852" i="1"/>
  <c r="P2852" i="1"/>
  <c r="O2852" i="1"/>
  <c r="Q2851" i="1"/>
  <c r="P2851" i="1"/>
  <c r="O2851" i="1"/>
  <c r="Q2850" i="1"/>
  <c r="P2850" i="1"/>
  <c r="O2850" i="1"/>
  <c r="Q2849" i="1"/>
  <c r="P2849" i="1"/>
  <c r="O2849" i="1"/>
  <c r="Q2848" i="1"/>
  <c r="P2848" i="1"/>
  <c r="O2848" i="1"/>
  <c r="Q2847" i="1"/>
  <c r="P2847" i="1"/>
  <c r="O2847" i="1"/>
  <c r="Q2846" i="1"/>
  <c r="P2846" i="1"/>
  <c r="O2846" i="1"/>
  <c r="Q2845" i="1"/>
  <c r="P2845" i="1"/>
  <c r="O2845" i="1"/>
  <c r="Q2844" i="1"/>
  <c r="P2844" i="1"/>
  <c r="O2844" i="1"/>
  <c r="Q2843" i="1"/>
  <c r="P2843" i="1"/>
  <c r="O2843" i="1"/>
  <c r="Q2842" i="1"/>
  <c r="P2842" i="1"/>
  <c r="O2842" i="1"/>
  <c r="Q2841" i="1"/>
  <c r="P2841" i="1"/>
  <c r="O2841" i="1"/>
  <c r="Q2840" i="1"/>
  <c r="P2840" i="1"/>
  <c r="O2840" i="1"/>
  <c r="Q2839" i="1"/>
  <c r="P2839" i="1"/>
  <c r="O2839" i="1"/>
  <c r="Q2838" i="1"/>
  <c r="P2838" i="1"/>
  <c r="O2838" i="1"/>
  <c r="Q2837" i="1"/>
  <c r="P2837" i="1"/>
  <c r="O2837" i="1"/>
  <c r="Q2836" i="1"/>
  <c r="P2836" i="1"/>
  <c r="O2836" i="1"/>
  <c r="Q2835" i="1"/>
  <c r="P2835" i="1"/>
  <c r="O2835" i="1"/>
  <c r="Q2834" i="1"/>
  <c r="P2834" i="1"/>
  <c r="O2834" i="1"/>
  <c r="Q2833" i="1"/>
  <c r="P2833" i="1"/>
  <c r="O2833" i="1"/>
  <c r="Q2832" i="1"/>
  <c r="P2832" i="1"/>
  <c r="O2832" i="1"/>
  <c r="Q2831" i="1"/>
  <c r="P2831" i="1"/>
  <c r="O2831" i="1"/>
  <c r="Q2830" i="1"/>
  <c r="P2830" i="1"/>
  <c r="O2830" i="1"/>
  <c r="Q2829" i="1"/>
  <c r="P2829" i="1"/>
  <c r="O2829" i="1"/>
  <c r="Q2828" i="1"/>
  <c r="P2828" i="1"/>
  <c r="O2828" i="1"/>
  <c r="Q2827" i="1"/>
  <c r="P2827" i="1"/>
  <c r="O2827" i="1"/>
  <c r="Q2826" i="1"/>
  <c r="P2826" i="1"/>
  <c r="O2826" i="1"/>
  <c r="Q2825" i="1"/>
  <c r="P2825" i="1"/>
  <c r="O2825" i="1"/>
  <c r="Q2824" i="1"/>
  <c r="P2824" i="1"/>
  <c r="O2824" i="1"/>
  <c r="Q2823" i="1"/>
  <c r="P2823" i="1"/>
  <c r="O2823" i="1"/>
  <c r="Q2822" i="1"/>
  <c r="P2822" i="1"/>
  <c r="O2822" i="1"/>
  <c r="Q2821" i="1"/>
  <c r="P2821" i="1"/>
  <c r="O2821" i="1"/>
  <c r="Q2820" i="1"/>
  <c r="P2820" i="1"/>
  <c r="O2820" i="1"/>
  <c r="Q2819" i="1"/>
  <c r="P2819" i="1"/>
  <c r="O2819" i="1"/>
  <c r="Q2818" i="1"/>
  <c r="P2818" i="1"/>
  <c r="O2818" i="1"/>
  <c r="Q2817" i="1"/>
  <c r="P2817" i="1"/>
  <c r="O2817" i="1"/>
  <c r="Q2816" i="1"/>
  <c r="P2816" i="1"/>
  <c r="O2816" i="1"/>
  <c r="Q2815" i="1"/>
  <c r="P2815" i="1"/>
  <c r="O2815" i="1"/>
  <c r="Q2814" i="1"/>
  <c r="P2814" i="1"/>
  <c r="O2814" i="1"/>
  <c r="Q2813" i="1"/>
  <c r="P2813" i="1"/>
  <c r="O2813" i="1"/>
  <c r="Q2812" i="1"/>
  <c r="P2812" i="1"/>
  <c r="O2812" i="1"/>
  <c r="Q2811" i="1"/>
  <c r="P2811" i="1"/>
  <c r="O2811" i="1"/>
  <c r="Q2810" i="1"/>
  <c r="P2810" i="1"/>
  <c r="O2810" i="1"/>
  <c r="Q2809" i="1"/>
  <c r="P2809" i="1"/>
  <c r="O2809" i="1"/>
  <c r="Q2808" i="1"/>
  <c r="P2808" i="1"/>
  <c r="O2808" i="1"/>
  <c r="Q2807" i="1"/>
  <c r="P2807" i="1"/>
  <c r="O2807" i="1"/>
  <c r="Q2806" i="1"/>
  <c r="P2806" i="1"/>
  <c r="O2806" i="1"/>
  <c r="Q2805" i="1"/>
  <c r="P2805" i="1"/>
  <c r="O2805" i="1"/>
  <c r="Q2804" i="1"/>
  <c r="P2804" i="1"/>
  <c r="O2804" i="1"/>
  <c r="Q2803" i="1"/>
  <c r="P2803" i="1"/>
  <c r="O2803" i="1"/>
  <c r="Q2802" i="1"/>
  <c r="P2802" i="1"/>
  <c r="O2802" i="1"/>
  <c r="Q2801" i="1"/>
  <c r="P2801" i="1"/>
  <c r="O2801" i="1"/>
  <c r="Q2800" i="1"/>
  <c r="P2800" i="1"/>
  <c r="O2800" i="1"/>
  <c r="Q2799" i="1"/>
  <c r="P2799" i="1"/>
  <c r="O2799" i="1"/>
  <c r="Q2798" i="1"/>
  <c r="P2798" i="1"/>
  <c r="O2798" i="1"/>
  <c r="Q2797" i="1"/>
  <c r="P2797" i="1"/>
  <c r="O2797" i="1"/>
  <c r="Q2796" i="1"/>
  <c r="P2796" i="1"/>
  <c r="O2796" i="1"/>
  <c r="Q2795" i="1"/>
  <c r="P2795" i="1"/>
  <c r="O2795" i="1"/>
  <c r="Q2794" i="1"/>
  <c r="P2794" i="1"/>
  <c r="O2794" i="1"/>
  <c r="Q2793" i="1"/>
  <c r="P2793" i="1"/>
  <c r="O2793" i="1"/>
  <c r="Q2792" i="1"/>
  <c r="P2792" i="1"/>
  <c r="O2792" i="1"/>
  <c r="Q2791" i="1"/>
  <c r="P2791" i="1"/>
  <c r="O2791" i="1"/>
  <c r="Q2790" i="1"/>
  <c r="P2790" i="1"/>
  <c r="O2790" i="1"/>
  <c r="Q2789" i="1"/>
  <c r="P2789" i="1"/>
  <c r="O2789" i="1"/>
  <c r="Q2788" i="1"/>
  <c r="P2788" i="1"/>
  <c r="O2788" i="1"/>
  <c r="Q2787" i="1"/>
  <c r="P2787" i="1"/>
  <c r="O2787" i="1"/>
  <c r="Q2786" i="1"/>
  <c r="P2786" i="1"/>
  <c r="O2786" i="1"/>
  <c r="Q2785" i="1"/>
  <c r="P2785" i="1"/>
  <c r="O2785" i="1"/>
  <c r="Q2784" i="1"/>
  <c r="P2784" i="1"/>
  <c r="O2784" i="1"/>
  <c r="Q2783" i="1"/>
  <c r="P2783" i="1"/>
  <c r="O2783" i="1"/>
  <c r="Q2782" i="1"/>
  <c r="P2782" i="1"/>
  <c r="O2782" i="1"/>
  <c r="Q2781" i="1"/>
  <c r="P2781" i="1"/>
  <c r="O2781" i="1"/>
  <c r="Q2780" i="1"/>
  <c r="P2780" i="1"/>
  <c r="O2780" i="1"/>
  <c r="Q2779" i="1"/>
  <c r="P2779" i="1"/>
  <c r="O2779" i="1"/>
  <c r="Q2778" i="1"/>
  <c r="P2778" i="1"/>
  <c r="O2778" i="1"/>
  <c r="Q2777" i="1"/>
  <c r="P2777" i="1"/>
  <c r="O2777" i="1"/>
  <c r="Q2776" i="1"/>
  <c r="P2776" i="1"/>
  <c r="O2776" i="1"/>
  <c r="Q2775" i="1"/>
  <c r="P2775" i="1"/>
  <c r="O2775" i="1"/>
  <c r="Q2774" i="1"/>
  <c r="P2774" i="1"/>
  <c r="O2774" i="1"/>
  <c r="Q2773" i="1"/>
  <c r="P2773" i="1"/>
  <c r="O2773" i="1"/>
  <c r="Q2772" i="1"/>
  <c r="P2772" i="1"/>
  <c r="O2772" i="1"/>
  <c r="Q2771" i="1"/>
  <c r="P2771" i="1"/>
  <c r="O2771" i="1"/>
  <c r="Q2770" i="1"/>
  <c r="P2770" i="1"/>
  <c r="O2770" i="1"/>
  <c r="Q2769" i="1"/>
  <c r="P2769" i="1"/>
  <c r="O2769" i="1"/>
  <c r="Q2768" i="1"/>
  <c r="P2768" i="1"/>
  <c r="O2768" i="1"/>
  <c r="Q2767" i="1"/>
  <c r="P2767" i="1"/>
  <c r="O2767" i="1"/>
  <c r="Q2766" i="1"/>
  <c r="P2766" i="1"/>
  <c r="O2766" i="1"/>
  <c r="Q2765" i="1"/>
  <c r="P2765" i="1"/>
  <c r="O2765" i="1"/>
  <c r="Q2764" i="1"/>
  <c r="P2764" i="1"/>
  <c r="O2764" i="1"/>
  <c r="Q2763" i="1"/>
  <c r="P2763" i="1"/>
  <c r="O2763" i="1"/>
  <c r="Q2762" i="1"/>
  <c r="P2762" i="1"/>
  <c r="O2762" i="1"/>
  <c r="Q2761" i="1"/>
  <c r="P2761" i="1"/>
  <c r="O2761" i="1"/>
  <c r="Q2760" i="1"/>
  <c r="P2760" i="1"/>
  <c r="O2760" i="1"/>
  <c r="Q2759" i="1"/>
  <c r="P2759" i="1"/>
  <c r="O2759" i="1"/>
  <c r="Q2758" i="1"/>
  <c r="P2758" i="1"/>
  <c r="O2758" i="1"/>
  <c r="Q2757" i="1"/>
  <c r="P2757" i="1"/>
  <c r="O2757" i="1"/>
  <c r="Q2756" i="1"/>
  <c r="P2756" i="1"/>
  <c r="O2756" i="1"/>
  <c r="Q2755" i="1"/>
  <c r="P2755" i="1"/>
  <c r="O2755" i="1"/>
  <c r="Q2754" i="1"/>
  <c r="P2754" i="1"/>
  <c r="O2754" i="1"/>
  <c r="Q2753" i="1"/>
  <c r="P2753" i="1"/>
  <c r="O2753" i="1"/>
  <c r="Q2752" i="1"/>
  <c r="P2752" i="1"/>
  <c r="O2752" i="1"/>
  <c r="Q2751" i="1"/>
  <c r="P2751" i="1"/>
  <c r="O2751" i="1"/>
  <c r="Q2750" i="1"/>
  <c r="P2750" i="1"/>
  <c r="O2750" i="1"/>
  <c r="Q2749" i="1"/>
  <c r="P2749" i="1"/>
  <c r="O2749" i="1"/>
  <c r="Q2748" i="1"/>
  <c r="P2748" i="1"/>
  <c r="O2748" i="1"/>
  <c r="Q2747" i="1"/>
  <c r="P2747" i="1"/>
  <c r="O2747" i="1"/>
  <c r="Q2746" i="1"/>
  <c r="P2746" i="1"/>
  <c r="O2746" i="1"/>
  <c r="Q2745" i="1"/>
  <c r="P2745" i="1"/>
  <c r="O2745" i="1"/>
  <c r="P2744" i="1"/>
  <c r="O2744" i="1"/>
  <c r="Q2743" i="1"/>
  <c r="P2743" i="1"/>
  <c r="O2743" i="1"/>
  <c r="Q2742" i="1"/>
  <c r="P2742" i="1"/>
  <c r="O2742" i="1"/>
  <c r="Q2741" i="1"/>
  <c r="P2741" i="1"/>
  <c r="O2741" i="1"/>
  <c r="Q2740" i="1"/>
  <c r="P2740" i="1"/>
  <c r="O2740" i="1"/>
  <c r="Q2739" i="1"/>
  <c r="P2739" i="1"/>
  <c r="O2739" i="1"/>
  <c r="Q2738" i="1"/>
  <c r="P2738" i="1"/>
  <c r="O2738" i="1"/>
  <c r="Q2737" i="1"/>
  <c r="P2737" i="1"/>
  <c r="O2737" i="1"/>
  <c r="Q2736" i="1"/>
  <c r="P2736" i="1"/>
  <c r="O2736" i="1"/>
  <c r="Q2735" i="1"/>
  <c r="P2735" i="1"/>
  <c r="O2735" i="1"/>
  <c r="Q2734" i="1"/>
  <c r="P2734" i="1"/>
  <c r="O2734" i="1"/>
  <c r="Q2733" i="1"/>
  <c r="P2733" i="1"/>
  <c r="O2733" i="1"/>
  <c r="Q2732" i="1"/>
  <c r="P2732" i="1"/>
  <c r="O2732" i="1"/>
  <c r="Q2731" i="1"/>
  <c r="P2731" i="1"/>
  <c r="O2731" i="1"/>
  <c r="Q2730" i="1"/>
  <c r="P2730" i="1"/>
  <c r="O2730" i="1"/>
  <c r="Q2729" i="1"/>
  <c r="P2729" i="1"/>
  <c r="O2729" i="1"/>
  <c r="Q2728" i="1"/>
  <c r="P2728" i="1"/>
  <c r="O2728" i="1"/>
  <c r="Q2727" i="1"/>
  <c r="P2727" i="1"/>
  <c r="O2727" i="1"/>
  <c r="Q2726" i="1"/>
  <c r="P2726" i="1"/>
  <c r="O2726" i="1"/>
  <c r="Q2725" i="1"/>
  <c r="P2725" i="1"/>
  <c r="O2725" i="1"/>
  <c r="Q2724" i="1"/>
  <c r="P2724" i="1"/>
  <c r="O2724" i="1"/>
  <c r="Q2723" i="1"/>
  <c r="P2723" i="1"/>
  <c r="O2723" i="1"/>
  <c r="Q2722" i="1"/>
  <c r="P2722" i="1"/>
  <c r="O2722" i="1"/>
  <c r="Q2721" i="1"/>
  <c r="P2721" i="1"/>
  <c r="O2721" i="1"/>
  <c r="Q2720" i="1"/>
  <c r="P2720" i="1"/>
  <c r="O2720" i="1"/>
  <c r="Q2719" i="1"/>
  <c r="P2719" i="1"/>
  <c r="O2719" i="1"/>
  <c r="Q2718" i="1"/>
  <c r="P2718" i="1"/>
  <c r="O2718" i="1"/>
  <c r="Q2717" i="1"/>
  <c r="P2717" i="1"/>
  <c r="O2717" i="1"/>
  <c r="Q2716" i="1"/>
  <c r="P2716" i="1"/>
  <c r="O2716" i="1"/>
  <c r="Q2715" i="1"/>
  <c r="P2715" i="1"/>
  <c r="O2715" i="1"/>
  <c r="Q2714" i="1"/>
  <c r="P2714" i="1"/>
  <c r="O2714" i="1"/>
  <c r="Q2713" i="1"/>
  <c r="P2713" i="1"/>
  <c r="O2713" i="1"/>
  <c r="Q2712" i="1"/>
  <c r="P2712" i="1"/>
  <c r="O2712" i="1"/>
  <c r="Q2711" i="1"/>
  <c r="P2711" i="1"/>
  <c r="O2711" i="1"/>
  <c r="Q2710" i="1"/>
  <c r="P2710" i="1"/>
  <c r="O2710" i="1"/>
  <c r="Q2709" i="1"/>
  <c r="P2709" i="1"/>
  <c r="O2709" i="1"/>
  <c r="Q2708" i="1"/>
  <c r="P2708" i="1"/>
  <c r="O2708" i="1"/>
  <c r="Q2707" i="1"/>
  <c r="P2707" i="1"/>
  <c r="O2707" i="1"/>
  <c r="Q2706" i="1"/>
  <c r="P2706" i="1"/>
  <c r="O2706" i="1"/>
  <c r="Q2705" i="1"/>
  <c r="P2705" i="1"/>
  <c r="O2705" i="1"/>
  <c r="Q2704" i="1"/>
  <c r="P2704" i="1"/>
  <c r="O2704" i="1"/>
  <c r="Q2703" i="1"/>
  <c r="P2703" i="1"/>
  <c r="O2703" i="1"/>
  <c r="Q2702" i="1"/>
  <c r="P2702" i="1"/>
  <c r="O2702" i="1"/>
  <c r="Q2701" i="1"/>
  <c r="P2701" i="1"/>
  <c r="O2701" i="1"/>
  <c r="Q2700" i="1"/>
  <c r="P2700" i="1"/>
  <c r="O2700" i="1"/>
  <c r="Q2699" i="1"/>
  <c r="P2699" i="1"/>
  <c r="O2699" i="1"/>
  <c r="Q2698" i="1"/>
  <c r="P2698" i="1"/>
  <c r="O2698" i="1"/>
  <c r="Q2697" i="1"/>
  <c r="P2697" i="1"/>
  <c r="O2697" i="1"/>
  <c r="Q2696" i="1"/>
  <c r="P2696" i="1"/>
  <c r="O2696" i="1"/>
  <c r="Q2695" i="1"/>
  <c r="P2695" i="1"/>
  <c r="O2695" i="1"/>
  <c r="Q2694" i="1"/>
  <c r="P2694" i="1"/>
  <c r="O2694" i="1"/>
  <c r="Q2693" i="1"/>
  <c r="P2693" i="1"/>
  <c r="O2693" i="1"/>
  <c r="Q2692" i="1"/>
  <c r="P2692" i="1"/>
  <c r="O2692" i="1"/>
  <c r="Q2691" i="1"/>
  <c r="P2691" i="1"/>
  <c r="O2691" i="1"/>
  <c r="Q2690" i="1"/>
  <c r="P2690" i="1"/>
  <c r="O2690" i="1"/>
  <c r="Q2689" i="1"/>
  <c r="P2689" i="1"/>
  <c r="O2689" i="1"/>
  <c r="Q2688" i="1"/>
  <c r="P2688" i="1"/>
  <c r="O2688" i="1"/>
  <c r="Q2687" i="1"/>
  <c r="P2687" i="1"/>
  <c r="O2687" i="1"/>
  <c r="Q2686" i="1"/>
  <c r="P2686" i="1"/>
  <c r="O2686" i="1"/>
  <c r="Q2685" i="1"/>
  <c r="P2685" i="1"/>
  <c r="O2685" i="1"/>
  <c r="Q2684" i="1"/>
  <c r="P2684" i="1"/>
  <c r="O2684" i="1"/>
  <c r="Q2683" i="1"/>
  <c r="P2683" i="1"/>
  <c r="O2683" i="1"/>
  <c r="Q2682" i="1"/>
  <c r="P2682" i="1"/>
  <c r="O2682" i="1"/>
  <c r="Q2681" i="1"/>
  <c r="P2681" i="1"/>
  <c r="O2681" i="1"/>
  <c r="Q2680" i="1"/>
  <c r="P2680" i="1"/>
  <c r="O2680" i="1"/>
  <c r="Q2679" i="1"/>
  <c r="P2679" i="1"/>
  <c r="O2679" i="1"/>
  <c r="Q2678" i="1"/>
  <c r="P2678" i="1"/>
  <c r="O2678" i="1"/>
  <c r="Q2677" i="1"/>
  <c r="P2677" i="1"/>
  <c r="O2677" i="1"/>
  <c r="Q2676" i="1"/>
  <c r="P2676" i="1"/>
  <c r="O2676" i="1"/>
  <c r="Q2675" i="1"/>
  <c r="P2675" i="1"/>
  <c r="O2675" i="1"/>
  <c r="Q2674" i="1"/>
  <c r="P2674" i="1"/>
  <c r="O2674" i="1"/>
  <c r="Q2673" i="1"/>
  <c r="P2673" i="1"/>
  <c r="O2673" i="1"/>
  <c r="Q2672" i="1"/>
  <c r="P2672" i="1"/>
  <c r="O2672" i="1"/>
  <c r="Q2671" i="1"/>
  <c r="P2671" i="1"/>
  <c r="O2671" i="1"/>
  <c r="Q2670" i="1"/>
  <c r="P2670" i="1"/>
  <c r="O2670" i="1"/>
  <c r="Q2669" i="1"/>
  <c r="P2669" i="1"/>
  <c r="O2669" i="1"/>
  <c r="Q2668" i="1"/>
  <c r="P2668" i="1"/>
  <c r="O2668" i="1"/>
  <c r="Q2667" i="1"/>
  <c r="P2667" i="1"/>
  <c r="O2667" i="1"/>
  <c r="Q2666" i="1"/>
  <c r="P2666" i="1"/>
  <c r="O2666" i="1"/>
  <c r="Q2665" i="1"/>
  <c r="P2665" i="1"/>
  <c r="O2665" i="1"/>
  <c r="Q2664" i="1"/>
  <c r="P2664" i="1"/>
  <c r="O2664" i="1"/>
  <c r="Q2663" i="1"/>
  <c r="P2663" i="1"/>
  <c r="O2663" i="1"/>
  <c r="Q2662" i="1"/>
  <c r="P2662" i="1"/>
  <c r="O2662" i="1"/>
  <c r="Q2661" i="1"/>
  <c r="P2661" i="1"/>
  <c r="O2661" i="1"/>
  <c r="Q2660" i="1"/>
  <c r="P2660" i="1"/>
  <c r="O2660" i="1"/>
  <c r="Q2659" i="1"/>
  <c r="P2659" i="1"/>
  <c r="O2659" i="1"/>
  <c r="Q2658" i="1"/>
  <c r="P2658" i="1"/>
  <c r="O2658" i="1"/>
  <c r="Q2657" i="1"/>
  <c r="P2657" i="1"/>
  <c r="O2657" i="1"/>
  <c r="Q2656" i="1"/>
  <c r="P2656" i="1"/>
  <c r="O2656" i="1"/>
  <c r="Q2655" i="1"/>
  <c r="P2655" i="1"/>
  <c r="O2655" i="1"/>
  <c r="Q2654" i="1"/>
  <c r="P2654" i="1"/>
  <c r="O2654" i="1"/>
  <c r="Q2653" i="1"/>
  <c r="P2653" i="1"/>
  <c r="O2653" i="1"/>
  <c r="Q2652" i="1"/>
  <c r="P2652" i="1"/>
  <c r="O2652" i="1"/>
  <c r="Q2651" i="1"/>
  <c r="P2651" i="1"/>
  <c r="O2651" i="1"/>
  <c r="Q2650" i="1"/>
  <c r="P2650" i="1"/>
  <c r="O2650" i="1"/>
  <c r="Q2649" i="1"/>
  <c r="P2649" i="1"/>
  <c r="O2649" i="1"/>
  <c r="Q2648" i="1"/>
  <c r="P2648" i="1"/>
  <c r="O2648" i="1"/>
  <c r="Q2647" i="1"/>
  <c r="P2647" i="1"/>
  <c r="O2647" i="1"/>
  <c r="Q2646" i="1"/>
  <c r="P2646" i="1"/>
  <c r="O2646" i="1"/>
  <c r="Q2645" i="1"/>
  <c r="P2645" i="1"/>
  <c r="O2645" i="1"/>
  <c r="Q2644" i="1"/>
  <c r="P2644" i="1"/>
  <c r="O2644" i="1"/>
  <c r="Q2643" i="1"/>
  <c r="P2643" i="1"/>
  <c r="O2643" i="1"/>
  <c r="Q2642" i="1"/>
  <c r="P2642" i="1"/>
  <c r="O2642" i="1"/>
  <c r="Q2641" i="1"/>
  <c r="P2641" i="1"/>
  <c r="O2641" i="1"/>
  <c r="Q2640" i="1"/>
  <c r="P2640" i="1"/>
  <c r="O2640" i="1"/>
  <c r="Q2639" i="1"/>
  <c r="P2639" i="1"/>
  <c r="O2639" i="1"/>
  <c r="Q2638" i="1"/>
  <c r="P2638" i="1"/>
  <c r="O2638" i="1"/>
  <c r="Q2637" i="1"/>
  <c r="P2637" i="1"/>
  <c r="O2637" i="1"/>
  <c r="Q2636" i="1"/>
  <c r="P2636" i="1"/>
  <c r="O2636" i="1"/>
  <c r="Q2635" i="1"/>
  <c r="P2635" i="1"/>
  <c r="O2635" i="1"/>
  <c r="Q2634" i="1"/>
  <c r="P2634" i="1"/>
  <c r="O2634" i="1"/>
  <c r="Q2633" i="1"/>
  <c r="P2633" i="1"/>
  <c r="O2633" i="1"/>
  <c r="Q2632" i="1"/>
  <c r="P2632" i="1"/>
  <c r="O2632" i="1"/>
  <c r="Q2631" i="1"/>
  <c r="P2631" i="1"/>
  <c r="O2631" i="1"/>
  <c r="Q2630" i="1"/>
  <c r="P2630" i="1"/>
  <c r="O2630" i="1"/>
  <c r="Q2629" i="1"/>
  <c r="P2629" i="1"/>
  <c r="O2629" i="1"/>
  <c r="Q2628" i="1"/>
  <c r="P2628" i="1"/>
  <c r="O2628" i="1"/>
  <c r="Q2627" i="1"/>
  <c r="P2627" i="1"/>
  <c r="O2627" i="1"/>
  <c r="Q2626" i="1"/>
  <c r="P2626" i="1"/>
  <c r="O2626" i="1"/>
  <c r="Q2625" i="1"/>
  <c r="P2625" i="1"/>
  <c r="O2625" i="1"/>
  <c r="Q2624" i="1"/>
  <c r="P2624" i="1"/>
  <c r="O2624" i="1"/>
  <c r="Q2623" i="1"/>
  <c r="P2623" i="1"/>
  <c r="O2623" i="1"/>
  <c r="Q2622" i="1"/>
  <c r="P2622" i="1"/>
  <c r="O2622" i="1"/>
  <c r="Q2621" i="1"/>
  <c r="P2621" i="1"/>
  <c r="O2621" i="1"/>
  <c r="Q2620" i="1"/>
  <c r="P2620" i="1"/>
  <c r="O2620" i="1"/>
  <c r="Q2619" i="1"/>
  <c r="P2619" i="1"/>
  <c r="O2619" i="1"/>
  <c r="Q2618" i="1"/>
  <c r="P2618" i="1"/>
  <c r="O2618" i="1"/>
  <c r="Q2617" i="1"/>
  <c r="P2617" i="1"/>
  <c r="O2617" i="1"/>
  <c r="Q2616" i="1"/>
  <c r="P2616" i="1"/>
  <c r="O2616" i="1"/>
  <c r="Q2615" i="1"/>
  <c r="P2615" i="1"/>
  <c r="O2615" i="1"/>
  <c r="Q2614" i="1"/>
  <c r="P2614" i="1"/>
  <c r="O2614" i="1"/>
  <c r="Q2613" i="1"/>
  <c r="P2613" i="1"/>
  <c r="O2613" i="1"/>
  <c r="Q2612" i="1"/>
  <c r="P2612" i="1"/>
  <c r="O2612" i="1"/>
  <c r="Q2611" i="1"/>
  <c r="P2611" i="1"/>
  <c r="O2611" i="1"/>
  <c r="Q2610" i="1"/>
  <c r="P2610" i="1"/>
  <c r="O2610" i="1"/>
  <c r="Q2609" i="1"/>
  <c r="P2609" i="1"/>
  <c r="O2609" i="1"/>
  <c r="Q2608" i="1"/>
  <c r="P2608" i="1"/>
  <c r="O2608" i="1"/>
  <c r="Q2607" i="1"/>
  <c r="P2607" i="1"/>
  <c r="O2607" i="1"/>
  <c r="Q2606" i="1"/>
  <c r="P2606" i="1"/>
  <c r="O2606" i="1"/>
  <c r="Q2605" i="1"/>
  <c r="P2605" i="1"/>
  <c r="O2605" i="1"/>
  <c r="Q2604" i="1"/>
  <c r="P2604" i="1"/>
  <c r="O2604" i="1"/>
  <c r="Q2603" i="1"/>
  <c r="P2603" i="1"/>
  <c r="O2603" i="1"/>
  <c r="Q2602" i="1"/>
  <c r="P2602" i="1"/>
  <c r="O2602" i="1"/>
  <c r="Q2601" i="1"/>
  <c r="P2601" i="1"/>
  <c r="O2601" i="1"/>
  <c r="Q2600" i="1"/>
  <c r="P2600" i="1"/>
  <c r="O2600" i="1"/>
  <c r="Q2599" i="1"/>
  <c r="P2599" i="1"/>
  <c r="O2599" i="1"/>
  <c r="Q2598" i="1"/>
  <c r="P2598" i="1"/>
  <c r="O2598" i="1"/>
  <c r="Q2597" i="1"/>
  <c r="P2597" i="1"/>
  <c r="O2597" i="1"/>
  <c r="Q2596" i="1"/>
  <c r="P2596" i="1"/>
  <c r="O2596" i="1"/>
  <c r="Q2595" i="1"/>
  <c r="P2595" i="1"/>
  <c r="O2595" i="1"/>
  <c r="Q2594" i="1"/>
  <c r="P2594" i="1"/>
  <c r="O2594" i="1"/>
  <c r="Q2593" i="1"/>
  <c r="P2593" i="1"/>
  <c r="O2593" i="1"/>
  <c r="Q2592" i="1"/>
  <c r="P2592" i="1"/>
  <c r="O2592" i="1"/>
  <c r="Q2591" i="1"/>
  <c r="P2591" i="1"/>
  <c r="O2591" i="1"/>
  <c r="Q2590" i="1"/>
  <c r="P2590" i="1"/>
  <c r="O2590" i="1"/>
  <c r="Q2589" i="1"/>
  <c r="P2589" i="1"/>
  <c r="O2589" i="1"/>
  <c r="Q2588" i="1"/>
  <c r="P2588" i="1"/>
  <c r="O2588" i="1"/>
  <c r="Q2587" i="1"/>
  <c r="P2587" i="1"/>
  <c r="O2587" i="1"/>
  <c r="Q2586" i="1"/>
  <c r="P2586" i="1"/>
  <c r="O2586" i="1"/>
  <c r="Q2585" i="1"/>
  <c r="P2585" i="1"/>
  <c r="O2585" i="1"/>
  <c r="Q2584" i="1"/>
  <c r="P2584" i="1"/>
  <c r="O2584" i="1"/>
  <c r="Q2583" i="1"/>
  <c r="P2583" i="1"/>
  <c r="O2583" i="1"/>
  <c r="Q2582" i="1"/>
  <c r="P2582" i="1"/>
  <c r="O2582" i="1"/>
  <c r="Q2581" i="1"/>
  <c r="P2581" i="1"/>
  <c r="O2581" i="1"/>
  <c r="Q2580" i="1"/>
  <c r="P2580" i="1"/>
  <c r="O2580" i="1"/>
  <c r="Q2579" i="1"/>
  <c r="P2579" i="1"/>
  <c r="O2579" i="1"/>
  <c r="Q2578" i="1"/>
  <c r="P2578" i="1"/>
  <c r="O2578" i="1"/>
  <c r="Q2577" i="1"/>
  <c r="P2577" i="1"/>
  <c r="O2577" i="1"/>
  <c r="Q2576" i="1"/>
  <c r="P2576" i="1"/>
  <c r="O2576" i="1"/>
  <c r="Q2575" i="1"/>
  <c r="P2575" i="1"/>
  <c r="O2575" i="1"/>
  <c r="Q2574" i="1"/>
  <c r="P2574" i="1"/>
  <c r="O2574" i="1"/>
  <c r="Q2573" i="1"/>
  <c r="P2573" i="1"/>
  <c r="O2573" i="1"/>
  <c r="Q2572" i="1"/>
  <c r="P2572" i="1"/>
  <c r="O2572" i="1"/>
  <c r="Q2571" i="1"/>
  <c r="P2571" i="1"/>
  <c r="O2571" i="1"/>
  <c r="Q2570" i="1"/>
  <c r="P2570" i="1"/>
  <c r="O2570" i="1"/>
  <c r="Q2569" i="1"/>
  <c r="P2569" i="1"/>
  <c r="O2569" i="1"/>
  <c r="Q2568" i="1"/>
  <c r="P2568" i="1"/>
  <c r="O2568" i="1"/>
  <c r="Q2567" i="1"/>
  <c r="P2567" i="1"/>
  <c r="O2567" i="1"/>
  <c r="Q2566" i="1"/>
  <c r="P2566" i="1"/>
  <c r="O2566" i="1"/>
  <c r="Q2565" i="1"/>
  <c r="P2565" i="1"/>
  <c r="O2565" i="1"/>
  <c r="Q2564" i="1"/>
  <c r="P2564" i="1"/>
  <c r="O2564" i="1"/>
  <c r="Q2563" i="1"/>
  <c r="P2563" i="1"/>
  <c r="O2563" i="1"/>
  <c r="Q2562" i="1"/>
  <c r="P2562" i="1"/>
  <c r="O2562" i="1"/>
  <c r="Q2561" i="1"/>
  <c r="P2561" i="1"/>
  <c r="O2561" i="1"/>
  <c r="Q2560" i="1"/>
  <c r="P2560" i="1"/>
  <c r="O2560" i="1"/>
  <c r="Q2559" i="1"/>
  <c r="P2559" i="1"/>
  <c r="O2559" i="1"/>
  <c r="Q2558" i="1"/>
  <c r="P2558" i="1"/>
  <c r="O2558" i="1"/>
  <c r="Q2557" i="1"/>
  <c r="P2557" i="1"/>
  <c r="O2557" i="1"/>
  <c r="Q2556" i="1"/>
  <c r="P2556" i="1"/>
  <c r="O2556" i="1"/>
  <c r="Q2555" i="1"/>
  <c r="P2555" i="1"/>
  <c r="O2555" i="1"/>
  <c r="Q2554" i="1"/>
  <c r="P2554" i="1"/>
  <c r="O2554" i="1"/>
  <c r="Q2553" i="1"/>
  <c r="P2553" i="1"/>
  <c r="O2553" i="1"/>
  <c r="P2552" i="1"/>
  <c r="O2552" i="1"/>
  <c r="P2551" i="1"/>
  <c r="O2551" i="1"/>
  <c r="P2550" i="1"/>
  <c r="O2550" i="1"/>
  <c r="P2549" i="1"/>
  <c r="O2549" i="1"/>
  <c r="P2548" i="1"/>
  <c r="O2548" i="1"/>
  <c r="P2547" i="1"/>
  <c r="O2547" i="1"/>
  <c r="P2546" i="1"/>
  <c r="O2546" i="1"/>
  <c r="P2545" i="1"/>
  <c r="O2545" i="1"/>
  <c r="P2544" i="1"/>
  <c r="O2544" i="1"/>
  <c r="P2543" i="1"/>
  <c r="O2543" i="1"/>
  <c r="Q2542" i="1"/>
  <c r="P2542" i="1"/>
  <c r="O2542" i="1"/>
  <c r="Q2541" i="1"/>
  <c r="P2541" i="1"/>
  <c r="O2541" i="1"/>
  <c r="Q2540" i="1"/>
  <c r="P2540" i="1"/>
  <c r="O2540" i="1"/>
  <c r="Q2539" i="1"/>
  <c r="P2539" i="1"/>
  <c r="O2539" i="1"/>
  <c r="Q2538" i="1"/>
  <c r="P2538" i="1"/>
  <c r="O2538" i="1"/>
  <c r="Q2537" i="1"/>
  <c r="P2537" i="1"/>
  <c r="O2537" i="1"/>
  <c r="Q2536" i="1"/>
  <c r="P2536" i="1"/>
  <c r="O2536" i="1"/>
  <c r="Q2535" i="1"/>
  <c r="P2535" i="1"/>
  <c r="O2535" i="1"/>
  <c r="Q2534" i="1"/>
  <c r="P2534" i="1"/>
  <c r="O2534" i="1"/>
  <c r="Q2533" i="1"/>
  <c r="P2533" i="1"/>
  <c r="O2533" i="1"/>
  <c r="Q2532" i="1"/>
  <c r="P2532" i="1"/>
  <c r="O2532" i="1"/>
  <c r="Q2531" i="1"/>
  <c r="P2531" i="1"/>
  <c r="O2531" i="1"/>
  <c r="Q2530" i="1"/>
  <c r="P2530" i="1"/>
  <c r="O2530" i="1"/>
  <c r="Q2529" i="1"/>
  <c r="P2529" i="1"/>
  <c r="O2529" i="1"/>
  <c r="Q2528" i="1"/>
  <c r="P2528" i="1"/>
  <c r="O2528" i="1"/>
  <c r="Q2527" i="1"/>
  <c r="P2527" i="1"/>
  <c r="O2527" i="1"/>
  <c r="Q2526" i="1"/>
  <c r="P2526" i="1"/>
  <c r="O2526" i="1"/>
  <c r="Q2525" i="1"/>
  <c r="P2525" i="1"/>
  <c r="O2525" i="1"/>
  <c r="Q2524" i="1"/>
  <c r="P2524" i="1"/>
  <c r="O2524" i="1"/>
  <c r="Q2523" i="1"/>
  <c r="P2523" i="1"/>
  <c r="O2523" i="1"/>
  <c r="Q2522" i="1"/>
  <c r="P2522" i="1"/>
  <c r="O2522" i="1"/>
  <c r="Q2521" i="1"/>
  <c r="P2521" i="1"/>
  <c r="O2521" i="1"/>
  <c r="Q2520" i="1"/>
  <c r="P2520" i="1"/>
  <c r="O2520" i="1"/>
  <c r="Q2519" i="1"/>
  <c r="P2519" i="1"/>
  <c r="O2519" i="1"/>
  <c r="Q2518" i="1"/>
  <c r="P2518" i="1"/>
  <c r="O2518" i="1"/>
  <c r="Q2517" i="1"/>
  <c r="P2517" i="1"/>
  <c r="O2517" i="1"/>
  <c r="Q2516" i="1"/>
  <c r="P2516" i="1"/>
  <c r="O2516" i="1"/>
  <c r="Q2515" i="1"/>
  <c r="P2515" i="1"/>
  <c r="O2515" i="1"/>
  <c r="Q2514" i="1"/>
  <c r="P2514" i="1"/>
  <c r="O2514" i="1"/>
  <c r="Q2513" i="1"/>
  <c r="P2513" i="1"/>
  <c r="O2513" i="1"/>
  <c r="Q2512" i="1"/>
  <c r="P2512" i="1"/>
  <c r="O2512" i="1"/>
  <c r="Q2511" i="1"/>
  <c r="P2511" i="1"/>
  <c r="O2511" i="1"/>
  <c r="Q2510" i="1"/>
  <c r="P2510" i="1"/>
  <c r="O2510" i="1"/>
  <c r="Q2509" i="1"/>
  <c r="P2509" i="1"/>
  <c r="O2509" i="1"/>
  <c r="Q2508" i="1"/>
  <c r="P2508" i="1"/>
  <c r="O2508" i="1"/>
  <c r="Q2507" i="1"/>
  <c r="P2507" i="1"/>
  <c r="O2507" i="1"/>
  <c r="Q2506" i="1"/>
  <c r="P2506" i="1"/>
  <c r="O2506" i="1"/>
  <c r="Q2505" i="1"/>
  <c r="P2505" i="1"/>
  <c r="O2505" i="1"/>
  <c r="Q2504" i="1"/>
  <c r="P2504" i="1"/>
  <c r="O2504" i="1"/>
  <c r="Q2503" i="1"/>
  <c r="P2503" i="1"/>
  <c r="O2503" i="1"/>
  <c r="Q2502" i="1"/>
  <c r="P2502" i="1"/>
  <c r="O2502" i="1"/>
  <c r="Q2501" i="1"/>
  <c r="P2501" i="1"/>
  <c r="O2501" i="1"/>
  <c r="Q2500" i="1"/>
  <c r="P2500" i="1"/>
  <c r="O2500" i="1"/>
  <c r="Q2499" i="1"/>
  <c r="P2499" i="1"/>
  <c r="O2499" i="1"/>
  <c r="Q2498" i="1"/>
  <c r="P2498" i="1"/>
  <c r="O2498" i="1"/>
  <c r="Q2497" i="1"/>
  <c r="P2497" i="1"/>
  <c r="O2497" i="1"/>
  <c r="Q2496" i="1"/>
  <c r="P2496" i="1"/>
  <c r="O2496" i="1"/>
  <c r="Q2495" i="1"/>
  <c r="P2495" i="1"/>
  <c r="O2495" i="1"/>
  <c r="Q2494" i="1"/>
  <c r="P2494" i="1"/>
  <c r="O2494" i="1"/>
  <c r="Q2493" i="1"/>
  <c r="P2493" i="1"/>
  <c r="O2493" i="1"/>
  <c r="Q2492" i="1"/>
  <c r="P2492" i="1"/>
  <c r="O2492" i="1"/>
  <c r="Q2491" i="1"/>
  <c r="P2491" i="1"/>
  <c r="O2491" i="1"/>
  <c r="Q2490" i="1"/>
  <c r="P2490" i="1"/>
  <c r="O2490" i="1"/>
  <c r="Q2489" i="1"/>
  <c r="P2489" i="1"/>
  <c r="O2489" i="1"/>
  <c r="Q2488" i="1"/>
  <c r="P2488" i="1"/>
  <c r="O2488" i="1"/>
  <c r="Q2487" i="1"/>
  <c r="P2487" i="1"/>
  <c r="O2487" i="1"/>
  <c r="Q2486" i="1"/>
  <c r="P2486" i="1"/>
  <c r="O2486" i="1"/>
  <c r="Q2485" i="1"/>
  <c r="P2485" i="1"/>
  <c r="O2485" i="1"/>
  <c r="Q2484" i="1"/>
  <c r="P2484" i="1"/>
  <c r="O2484" i="1"/>
  <c r="Q2483" i="1"/>
  <c r="P2483" i="1"/>
  <c r="O2483" i="1"/>
  <c r="Q2482" i="1"/>
  <c r="P2482" i="1"/>
  <c r="O2482" i="1"/>
  <c r="Q2481" i="1"/>
  <c r="P2481" i="1"/>
  <c r="O2481" i="1"/>
  <c r="Q2480" i="1"/>
  <c r="P2480" i="1"/>
  <c r="O2480" i="1"/>
  <c r="Q2479" i="1"/>
  <c r="P2479" i="1"/>
  <c r="O2479" i="1"/>
  <c r="Q2478" i="1"/>
  <c r="P2478" i="1"/>
  <c r="O2478" i="1"/>
  <c r="Q2477" i="1"/>
  <c r="P2477" i="1"/>
  <c r="O2477" i="1"/>
  <c r="Q2476" i="1"/>
  <c r="P2476" i="1"/>
  <c r="O2476" i="1"/>
  <c r="Q2475" i="1"/>
  <c r="P2475" i="1"/>
  <c r="O2475" i="1"/>
  <c r="Q2474" i="1"/>
  <c r="P2474" i="1"/>
  <c r="O2474" i="1"/>
  <c r="Q2473" i="1"/>
  <c r="P2473" i="1"/>
  <c r="O2473" i="1"/>
  <c r="Q2472" i="1"/>
  <c r="P2472" i="1"/>
  <c r="O2472" i="1"/>
  <c r="Q2471" i="1"/>
  <c r="P2471" i="1"/>
  <c r="O2471" i="1"/>
  <c r="Q2470" i="1"/>
  <c r="P2470" i="1"/>
  <c r="O2470" i="1"/>
  <c r="Q2469" i="1"/>
  <c r="P2469" i="1"/>
  <c r="O2469" i="1"/>
  <c r="Q2468" i="1"/>
  <c r="P2468" i="1"/>
  <c r="O2468" i="1"/>
  <c r="Q2467" i="1"/>
  <c r="P2467" i="1"/>
  <c r="O2467" i="1"/>
  <c r="Q2466" i="1"/>
  <c r="P2466" i="1"/>
  <c r="O2466" i="1"/>
  <c r="Q2465" i="1"/>
  <c r="P2465" i="1"/>
  <c r="O2465" i="1"/>
  <c r="Q2464" i="1"/>
  <c r="P2464" i="1"/>
  <c r="O2464" i="1"/>
  <c r="Q2463" i="1"/>
  <c r="P2463" i="1"/>
  <c r="O2463" i="1"/>
  <c r="Q2462" i="1"/>
  <c r="P2462" i="1"/>
  <c r="O2462" i="1"/>
  <c r="Q2461" i="1"/>
  <c r="P2461" i="1"/>
  <c r="O2461" i="1"/>
  <c r="Q2460" i="1"/>
  <c r="P2460" i="1"/>
  <c r="O2460" i="1"/>
  <c r="Q2459" i="1"/>
  <c r="P2459" i="1"/>
  <c r="O2459" i="1"/>
  <c r="Q2458" i="1"/>
  <c r="P2458" i="1"/>
  <c r="O2458" i="1"/>
  <c r="Q2457" i="1"/>
  <c r="P2457" i="1"/>
  <c r="O2457" i="1"/>
  <c r="Q2456" i="1"/>
  <c r="P2456" i="1"/>
  <c r="O2456" i="1"/>
  <c r="Q2455" i="1"/>
  <c r="P2455" i="1"/>
  <c r="O2455" i="1"/>
  <c r="Q2454" i="1"/>
  <c r="P2454" i="1"/>
  <c r="O2454" i="1"/>
  <c r="Q2453" i="1"/>
  <c r="P2453" i="1"/>
  <c r="O2453" i="1"/>
  <c r="Q2452" i="1"/>
  <c r="P2452" i="1"/>
  <c r="O2452" i="1"/>
  <c r="Q2451" i="1"/>
  <c r="P2451" i="1"/>
  <c r="O2451" i="1"/>
  <c r="Q2450" i="1"/>
  <c r="P2450" i="1"/>
  <c r="O2450" i="1"/>
  <c r="Q2449" i="1"/>
  <c r="P2449" i="1"/>
  <c r="O2449" i="1"/>
  <c r="Q2448" i="1"/>
  <c r="P2448" i="1"/>
  <c r="O2448" i="1"/>
  <c r="Q2447" i="1"/>
  <c r="P2447" i="1"/>
  <c r="O2447" i="1"/>
  <c r="Q2446" i="1"/>
  <c r="P2446" i="1"/>
  <c r="O2446" i="1"/>
  <c r="Q2445" i="1"/>
  <c r="P2445" i="1"/>
  <c r="O2445" i="1"/>
  <c r="P2444" i="1"/>
  <c r="O2444" i="1"/>
  <c r="P2443" i="1"/>
  <c r="O2443" i="1"/>
  <c r="P2442" i="1"/>
  <c r="O2442" i="1"/>
  <c r="P2441" i="1"/>
  <c r="O2441" i="1"/>
  <c r="P2440" i="1"/>
  <c r="O2440" i="1"/>
  <c r="P2439" i="1"/>
  <c r="O2439" i="1"/>
  <c r="P2438" i="1"/>
  <c r="O2438" i="1"/>
  <c r="P2437" i="1"/>
  <c r="O2437" i="1"/>
  <c r="P2436" i="1"/>
  <c r="O2436" i="1"/>
  <c r="P2435" i="1"/>
  <c r="O2435" i="1"/>
  <c r="P2434" i="1"/>
  <c r="O2434" i="1"/>
  <c r="P2433" i="1"/>
  <c r="O2433" i="1"/>
  <c r="P2432" i="1"/>
  <c r="O2432" i="1"/>
  <c r="P2431" i="1"/>
  <c r="O2431" i="1"/>
  <c r="P2430" i="1"/>
  <c r="O2430" i="1"/>
  <c r="P2429" i="1"/>
  <c r="O2429" i="1"/>
  <c r="P2428" i="1"/>
  <c r="O2428" i="1"/>
  <c r="P2427" i="1"/>
  <c r="O2427" i="1"/>
  <c r="P2426" i="1"/>
  <c r="O2426" i="1"/>
  <c r="P2425" i="1"/>
  <c r="O2425" i="1"/>
  <c r="P2424" i="1"/>
  <c r="O2424" i="1"/>
  <c r="P2423" i="1"/>
  <c r="O2423" i="1"/>
  <c r="P2422" i="1"/>
  <c r="O2422" i="1"/>
  <c r="P2421" i="1"/>
  <c r="O2421" i="1"/>
  <c r="P2420" i="1"/>
  <c r="O2420" i="1"/>
  <c r="P2419" i="1"/>
  <c r="O2419" i="1"/>
  <c r="P2418" i="1"/>
  <c r="O2418" i="1"/>
  <c r="P2417" i="1"/>
  <c r="O2417" i="1"/>
  <c r="P2416" i="1"/>
  <c r="O2416" i="1"/>
  <c r="P2415" i="1"/>
  <c r="O2415" i="1"/>
  <c r="P2414" i="1"/>
  <c r="O2414" i="1"/>
  <c r="P2413" i="1"/>
  <c r="O2413" i="1"/>
  <c r="P2412" i="1"/>
  <c r="O2412" i="1"/>
  <c r="P2411" i="1"/>
  <c r="O2411" i="1"/>
  <c r="P2410" i="1"/>
  <c r="O2410" i="1"/>
  <c r="P2409" i="1"/>
  <c r="O2409" i="1"/>
  <c r="P2408" i="1"/>
  <c r="O2408" i="1"/>
  <c r="P2407" i="1"/>
  <c r="O2407" i="1"/>
  <c r="P2406" i="1"/>
  <c r="O2406" i="1"/>
  <c r="P2405" i="1"/>
  <c r="O2405" i="1"/>
  <c r="P2404" i="1"/>
  <c r="O2404" i="1"/>
  <c r="P2403" i="1"/>
  <c r="O2403" i="1"/>
  <c r="P2402" i="1"/>
  <c r="O2402" i="1"/>
  <c r="P2401" i="1"/>
  <c r="O2401" i="1"/>
  <c r="P2400" i="1"/>
  <c r="O2400" i="1"/>
  <c r="P2399" i="1"/>
  <c r="O2399" i="1"/>
  <c r="P2398" i="1"/>
  <c r="O2398" i="1"/>
  <c r="P2397" i="1"/>
  <c r="O2397" i="1"/>
  <c r="P2396" i="1"/>
  <c r="O2396" i="1"/>
  <c r="P2395" i="1"/>
  <c r="O2395" i="1"/>
  <c r="P2394" i="1"/>
  <c r="O2394" i="1"/>
  <c r="P2393" i="1"/>
  <c r="O2393" i="1"/>
  <c r="P2392" i="1"/>
  <c r="O2392" i="1"/>
  <c r="P2391" i="1"/>
  <c r="O2391" i="1"/>
  <c r="P2390" i="1"/>
  <c r="O2390" i="1"/>
  <c r="P2389" i="1"/>
  <c r="O2389" i="1"/>
  <c r="P2388" i="1"/>
  <c r="O2388" i="1"/>
  <c r="P2387" i="1"/>
  <c r="O2387" i="1"/>
  <c r="P2386" i="1"/>
  <c r="O2386" i="1"/>
  <c r="P2385" i="1"/>
  <c r="O2385" i="1"/>
  <c r="P2384" i="1"/>
  <c r="O2384" i="1"/>
  <c r="P2383" i="1"/>
  <c r="O2383" i="1"/>
  <c r="P2382" i="1"/>
  <c r="O2382" i="1"/>
  <c r="P2381" i="1"/>
  <c r="O2381" i="1"/>
  <c r="P2380" i="1"/>
  <c r="O2380" i="1"/>
  <c r="P2379" i="1"/>
  <c r="O2379" i="1"/>
  <c r="P2378" i="1"/>
  <c r="O2378" i="1"/>
  <c r="P2377" i="1"/>
  <c r="O2377" i="1"/>
  <c r="P2376" i="1"/>
  <c r="O2376" i="1"/>
  <c r="P2375" i="1"/>
  <c r="O2375" i="1"/>
  <c r="P2374" i="1"/>
  <c r="O2374" i="1"/>
  <c r="P2373" i="1"/>
  <c r="O2373" i="1"/>
  <c r="P2372" i="1"/>
  <c r="O2372" i="1"/>
  <c r="P2371" i="1"/>
  <c r="O2371" i="1"/>
  <c r="P2370" i="1"/>
  <c r="O2370" i="1"/>
  <c r="P2369" i="1"/>
  <c r="O2369" i="1"/>
  <c r="P2368" i="1"/>
  <c r="O2368" i="1"/>
  <c r="P2367" i="1"/>
  <c r="O2367" i="1"/>
  <c r="P2366" i="1"/>
  <c r="O2366" i="1"/>
  <c r="P2365" i="1"/>
  <c r="O2365" i="1"/>
  <c r="P2364" i="1"/>
  <c r="O2364" i="1"/>
  <c r="P2363" i="1"/>
  <c r="O2363" i="1"/>
  <c r="P2362" i="1"/>
  <c r="O2362" i="1"/>
  <c r="P2361" i="1"/>
  <c r="O2361" i="1"/>
  <c r="P2360" i="1"/>
  <c r="O2360" i="1"/>
  <c r="P2359" i="1"/>
  <c r="O2359" i="1"/>
  <c r="P2358" i="1"/>
  <c r="O2358" i="1"/>
  <c r="P2357" i="1"/>
  <c r="O2357" i="1"/>
  <c r="P2356" i="1"/>
  <c r="O2356" i="1"/>
  <c r="P2355" i="1"/>
  <c r="O2355" i="1"/>
  <c r="P2354" i="1"/>
  <c r="O2354" i="1"/>
  <c r="P2353" i="1"/>
  <c r="O2353" i="1"/>
  <c r="P2352" i="1"/>
  <c r="O2352" i="1"/>
  <c r="P2351" i="1"/>
  <c r="O2351" i="1"/>
  <c r="P2350" i="1"/>
  <c r="O2350" i="1"/>
  <c r="P2349" i="1"/>
  <c r="O2349" i="1"/>
  <c r="P2348" i="1"/>
  <c r="O2348" i="1"/>
  <c r="P2347" i="1"/>
  <c r="O2347" i="1"/>
  <c r="P2346" i="1"/>
  <c r="O2346" i="1"/>
  <c r="P2345" i="1"/>
  <c r="O2345" i="1"/>
  <c r="P2344" i="1"/>
  <c r="O2344" i="1"/>
  <c r="P2343" i="1"/>
  <c r="O2343" i="1"/>
  <c r="P2342" i="1"/>
  <c r="O2342" i="1"/>
  <c r="P2341" i="1"/>
  <c r="O2341" i="1"/>
  <c r="P2340" i="1"/>
  <c r="O2340" i="1"/>
  <c r="P2339" i="1"/>
  <c r="O2339" i="1"/>
  <c r="P2338" i="1"/>
  <c r="O2338" i="1"/>
  <c r="P2337" i="1"/>
  <c r="O2337" i="1"/>
  <c r="P2336" i="1"/>
  <c r="O2336" i="1"/>
  <c r="P2335" i="1"/>
  <c r="O2335" i="1"/>
  <c r="P2334" i="1"/>
  <c r="O2334" i="1"/>
  <c r="P2333" i="1"/>
  <c r="O2333" i="1"/>
  <c r="P2332" i="1"/>
  <c r="O2332" i="1"/>
  <c r="P2331" i="1"/>
  <c r="O2331" i="1"/>
  <c r="P2330" i="1"/>
  <c r="O2330" i="1"/>
  <c r="P2329" i="1"/>
  <c r="O2329" i="1"/>
  <c r="P2328" i="1"/>
  <c r="O2328" i="1"/>
  <c r="P2327" i="1"/>
  <c r="O2327" i="1"/>
  <c r="P2326" i="1"/>
  <c r="O2326" i="1"/>
  <c r="P2325" i="1"/>
  <c r="O2325" i="1"/>
  <c r="P2324" i="1"/>
  <c r="O2324" i="1"/>
  <c r="P2323" i="1"/>
  <c r="O2323" i="1"/>
  <c r="P2322" i="1"/>
  <c r="O2322" i="1"/>
  <c r="P2321" i="1"/>
  <c r="O2321" i="1"/>
  <c r="P2320" i="1"/>
  <c r="O2320" i="1"/>
  <c r="P2319" i="1"/>
  <c r="O2319" i="1"/>
  <c r="P2318" i="1"/>
  <c r="O2318" i="1"/>
  <c r="P2317" i="1"/>
  <c r="O2317" i="1"/>
  <c r="P2316" i="1"/>
  <c r="O2316" i="1"/>
  <c r="P2315" i="1"/>
  <c r="O2315" i="1"/>
  <c r="P2314" i="1"/>
  <c r="O2314" i="1"/>
  <c r="P2313" i="1"/>
  <c r="O2313" i="1"/>
  <c r="P2312" i="1"/>
  <c r="O2312" i="1"/>
  <c r="P2311" i="1"/>
  <c r="O2311" i="1"/>
  <c r="P2310" i="1"/>
  <c r="O2310" i="1"/>
  <c r="P2309" i="1"/>
  <c r="O2309" i="1"/>
  <c r="P2308" i="1"/>
  <c r="O2308" i="1"/>
  <c r="P2307" i="1"/>
  <c r="O2307" i="1"/>
  <c r="P2306" i="1"/>
  <c r="O2306" i="1"/>
  <c r="P2305" i="1"/>
  <c r="O2305" i="1"/>
  <c r="P2304" i="1"/>
  <c r="O2304" i="1"/>
  <c r="P2303" i="1"/>
  <c r="O2303" i="1"/>
  <c r="P2302" i="1"/>
  <c r="O2302" i="1"/>
  <c r="P2301" i="1"/>
  <c r="O2301" i="1"/>
  <c r="P2300" i="1"/>
  <c r="O2300" i="1"/>
  <c r="P2299" i="1"/>
  <c r="O2299" i="1"/>
  <c r="P2298" i="1"/>
  <c r="O2298" i="1"/>
  <c r="P2297" i="1"/>
  <c r="O2297" i="1"/>
  <c r="P2296" i="1"/>
  <c r="O2296" i="1"/>
  <c r="P2295" i="1"/>
  <c r="O2295" i="1"/>
  <c r="P2294" i="1"/>
  <c r="O2294" i="1"/>
  <c r="P2293" i="1"/>
  <c r="O2293" i="1"/>
  <c r="P2292" i="1"/>
  <c r="O2292" i="1"/>
  <c r="P2291" i="1"/>
  <c r="O2291" i="1"/>
  <c r="P2290" i="1"/>
  <c r="O2290" i="1"/>
  <c r="P2289" i="1"/>
  <c r="O2289" i="1"/>
  <c r="P2288" i="1"/>
  <c r="O2288" i="1"/>
  <c r="P2287" i="1"/>
  <c r="O2287" i="1"/>
  <c r="P2286" i="1"/>
  <c r="O2286" i="1"/>
  <c r="P2285" i="1"/>
  <c r="O2285" i="1"/>
  <c r="P2284" i="1"/>
  <c r="O2284" i="1"/>
  <c r="P2283" i="1"/>
  <c r="O2283" i="1"/>
  <c r="P2282" i="1"/>
  <c r="O2282" i="1"/>
  <c r="P2281" i="1"/>
  <c r="O2281" i="1"/>
  <c r="P2280" i="1"/>
  <c r="O2280" i="1"/>
  <c r="P2279" i="1"/>
  <c r="O2279" i="1"/>
  <c r="P2278" i="1"/>
  <c r="O2278" i="1"/>
  <c r="P2277" i="1"/>
  <c r="O2277" i="1"/>
  <c r="P2276" i="1"/>
  <c r="O2276" i="1"/>
  <c r="P2275" i="1"/>
  <c r="O2275" i="1"/>
  <c r="P2274" i="1"/>
  <c r="O2274" i="1"/>
  <c r="P2273" i="1"/>
  <c r="O2273" i="1"/>
  <c r="P2272" i="1"/>
  <c r="O2272" i="1"/>
  <c r="P2271" i="1"/>
  <c r="O2271" i="1"/>
  <c r="P2270" i="1"/>
  <c r="O2270" i="1"/>
  <c r="P2269" i="1"/>
  <c r="O2269" i="1"/>
  <c r="P2268" i="1"/>
  <c r="O2268" i="1"/>
  <c r="P2267" i="1"/>
  <c r="O2267" i="1"/>
  <c r="P2266" i="1"/>
  <c r="O2266" i="1"/>
  <c r="P2265" i="1"/>
  <c r="O2265" i="1"/>
  <c r="P2264" i="1"/>
  <c r="O2264" i="1"/>
  <c r="P2263" i="1"/>
  <c r="O2263" i="1"/>
  <c r="P2262" i="1"/>
  <c r="O2262" i="1"/>
  <c r="Q2261" i="1"/>
  <c r="P2261" i="1"/>
  <c r="O2261" i="1"/>
  <c r="Q2260" i="1"/>
  <c r="P2260" i="1"/>
  <c r="O2260" i="1"/>
  <c r="Q2259" i="1"/>
  <c r="P2259" i="1"/>
  <c r="O2259" i="1"/>
  <c r="Q2258" i="1"/>
  <c r="P2258" i="1"/>
  <c r="O2258" i="1"/>
  <c r="P2257" i="1"/>
  <c r="O2257" i="1"/>
  <c r="P2256" i="1"/>
  <c r="O2256" i="1"/>
  <c r="P2255" i="1"/>
  <c r="O2255" i="1"/>
  <c r="P2254" i="1"/>
  <c r="O2254" i="1"/>
  <c r="Q2253" i="1"/>
  <c r="P2253" i="1"/>
  <c r="O2253" i="1"/>
  <c r="Q2252" i="1"/>
  <c r="P2252" i="1"/>
  <c r="O2252" i="1"/>
  <c r="Q2251" i="1"/>
  <c r="P2251" i="1"/>
  <c r="O2251" i="1"/>
  <c r="Q2250" i="1"/>
  <c r="P2250" i="1"/>
  <c r="O2250" i="1"/>
  <c r="Q2249" i="1"/>
  <c r="P2249" i="1"/>
  <c r="O2249" i="1"/>
  <c r="Q2248" i="1"/>
  <c r="P2248" i="1"/>
  <c r="O2248" i="1"/>
  <c r="Q2247" i="1"/>
  <c r="P2247" i="1"/>
  <c r="O2247" i="1"/>
  <c r="Q2246" i="1"/>
  <c r="P2246" i="1"/>
  <c r="O2246" i="1"/>
  <c r="Q2245" i="1"/>
  <c r="P2245" i="1"/>
  <c r="O2245" i="1"/>
  <c r="Q2244" i="1"/>
  <c r="P2244" i="1"/>
  <c r="O2244" i="1"/>
  <c r="Q2243" i="1"/>
  <c r="P2243" i="1"/>
  <c r="O2243" i="1"/>
  <c r="Q2242" i="1"/>
  <c r="P2242" i="1"/>
  <c r="O2242" i="1"/>
  <c r="Q2241" i="1"/>
  <c r="P2241" i="1"/>
  <c r="O2241" i="1"/>
  <c r="Q2240" i="1"/>
  <c r="P2240" i="1"/>
  <c r="O2240" i="1"/>
  <c r="Q2239" i="1"/>
  <c r="P2239" i="1"/>
  <c r="O2239" i="1"/>
  <c r="Q2238" i="1"/>
  <c r="P2238" i="1"/>
  <c r="O2238" i="1"/>
  <c r="Q2237" i="1"/>
  <c r="P2237" i="1"/>
  <c r="O2237" i="1"/>
  <c r="Q2236" i="1"/>
  <c r="P2236" i="1"/>
  <c r="O2236" i="1"/>
  <c r="Q2235" i="1"/>
  <c r="P2235" i="1"/>
  <c r="O2235" i="1"/>
  <c r="Q2234" i="1"/>
  <c r="P2234" i="1"/>
  <c r="O2234" i="1"/>
  <c r="Q2233" i="1"/>
  <c r="P2233" i="1"/>
  <c r="O2233" i="1"/>
  <c r="Q2232" i="1"/>
  <c r="P2232" i="1"/>
  <c r="O2232" i="1"/>
  <c r="Q2231" i="1"/>
  <c r="P2231" i="1"/>
  <c r="O2231" i="1"/>
  <c r="Q2230" i="1"/>
  <c r="P2230" i="1"/>
  <c r="O2230" i="1"/>
  <c r="Q2229" i="1"/>
  <c r="P2229" i="1"/>
  <c r="O2229" i="1"/>
  <c r="Q2228" i="1"/>
  <c r="P2228" i="1"/>
  <c r="O2228" i="1"/>
  <c r="Q2227" i="1"/>
  <c r="P2227" i="1"/>
  <c r="O2227" i="1"/>
  <c r="Q2226" i="1"/>
  <c r="P2226" i="1"/>
  <c r="O2226" i="1"/>
  <c r="Q2225" i="1"/>
  <c r="P2225" i="1"/>
  <c r="O2225" i="1"/>
  <c r="Q2224" i="1"/>
  <c r="P2224" i="1"/>
  <c r="O2224" i="1"/>
  <c r="V2223" i="1"/>
  <c r="Q2223" i="1"/>
  <c r="P2223" i="1"/>
  <c r="O2223" i="1"/>
  <c r="V2222" i="1"/>
  <c r="Q2222" i="1"/>
  <c r="P2222" i="1"/>
  <c r="O2222" i="1"/>
  <c r="V2221" i="1"/>
  <c r="Q2221" i="1"/>
  <c r="P2221" i="1"/>
  <c r="O2221" i="1"/>
  <c r="N2221" i="1"/>
  <c r="V2220" i="1"/>
  <c r="Q2220" i="1"/>
  <c r="P2220" i="1"/>
  <c r="O2220" i="1"/>
  <c r="N2220" i="1"/>
  <c r="V2219" i="1"/>
  <c r="Q2219" i="1"/>
  <c r="P2219" i="1"/>
  <c r="O2219" i="1"/>
  <c r="N2219" i="1"/>
  <c r="V2218" i="1"/>
  <c r="Q2218" i="1"/>
  <c r="P2218" i="1"/>
  <c r="O2218" i="1"/>
  <c r="N2218" i="1"/>
  <c r="I2218" i="1"/>
  <c r="V2217" i="1"/>
  <c r="Q2217" i="1"/>
  <c r="P2217" i="1"/>
  <c r="O2217" i="1"/>
  <c r="N2217" i="1"/>
  <c r="I2217" i="1"/>
  <c r="V2216" i="1"/>
  <c r="Q2216" i="1"/>
  <c r="P2216" i="1"/>
  <c r="O2216" i="1"/>
  <c r="N2216" i="1"/>
  <c r="I2216" i="1"/>
  <c r="V2215" i="1"/>
  <c r="Q2215" i="1"/>
  <c r="P2215" i="1"/>
  <c r="O2215" i="1"/>
  <c r="N2215" i="1"/>
  <c r="I2215" i="1"/>
  <c r="V2214" i="1"/>
  <c r="Q2214" i="1"/>
  <c r="P2214" i="1"/>
  <c r="O2214" i="1"/>
  <c r="N2214" i="1"/>
  <c r="I2214" i="1"/>
  <c r="V2213" i="1"/>
  <c r="Q2213" i="1"/>
  <c r="P2213" i="1"/>
  <c r="O2213" i="1"/>
  <c r="N2213" i="1"/>
  <c r="I2213" i="1"/>
  <c r="H2213" i="1"/>
  <c r="V2212" i="1"/>
  <c r="Q2212" i="1"/>
  <c r="P2212" i="1"/>
  <c r="O2212" i="1"/>
  <c r="N2212" i="1"/>
  <c r="I2212" i="1"/>
  <c r="H2212" i="1"/>
  <c r="V2211" i="1"/>
  <c r="Q2211" i="1"/>
  <c r="P2211" i="1"/>
  <c r="O2211" i="1"/>
  <c r="N2211" i="1"/>
  <c r="I2211" i="1"/>
  <c r="H2211" i="1"/>
  <c r="V2210" i="1"/>
  <c r="Q2210" i="1"/>
  <c r="P2210" i="1"/>
  <c r="O2210" i="1"/>
  <c r="N2210" i="1"/>
  <c r="I2210" i="1"/>
  <c r="H2210" i="1"/>
  <c r="V2209" i="1"/>
  <c r="Q2209" i="1"/>
  <c r="P2209" i="1"/>
  <c r="O2209" i="1"/>
  <c r="N2209" i="1"/>
  <c r="I2209" i="1"/>
  <c r="H2209" i="1"/>
  <c r="V2208" i="1"/>
  <c r="Q2208" i="1"/>
  <c r="P2208" i="1"/>
  <c r="O2208" i="1"/>
  <c r="N2208" i="1"/>
  <c r="I2208" i="1"/>
  <c r="H2208" i="1"/>
  <c r="V2207" i="1"/>
  <c r="Q2207" i="1"/>
  <c r="P2207" i="1"/>
  <c r="O2207" i="1"/>
  <c r="N2207" i="1"/>
  <c r="I2207" i="1"/>
  <c r="V2206" i="1"/>
  <c r="Q2206" i="1"/>
  <c r="P2206" i="1"/>
  <c r="O2206" i="1"/>
  <c r="N2206" i="1"/>
  <c r="I2206" i="1"/>
  <c r="V2205" i="1"/>
  <c r="Q2205" i="1"/>
  <c r="P2205" i="1"/>
  <c r="O2205" i="1"/>
  <c r="N2205" i="1"/>
  <c r="I2205" i="1"/>
  <c r="V2204" i="1"/>
  <c r="Q2204" i="1"/>
  <c r="P2204" i="1"/>
  <c r="O2204" i="1"/>
  <c r="N2204" i="1"/>
  <c r="I2204" i="1"/>
  <c r="V2203" i="1"/>
  <c r="Q2203" i="1"/>
  <c r="P2203" i="1"/>
  <c r="O2203" i="1"/>
  <c r="N2203" i="1"/>
  <c r="I2203" i="1"/>
  <c r="V2202" i="1"/>
  <c r="Q2202" i="1"/>
  <c r="P2202" i="1"/>
  <c r="O2202" i="1"/>
  <c r="N2202" i="1"/>
  <c r="I2202" i="1"/>
  <c r="V2201" i="1"/>
  <c r="Q2201" i="1"/>
  <c r="P2201" i="1"/>
  <c r="O2201" i="1"/>
  <c r="N2201" i="1"/>
  <c r="I2201" i="1"/>
  <c r="V2200" i="1"/>
  <c r="Q2200" i="1"/>
  <c r="P2200" i="1"/>
  <c r="O2200" i="1"/>
  <c r="N2200" i="1"/>
  <c r="I2200" i="1"/>
  <c r="V2199" i="1"/>
  <c r="Q2199" i="1"/>
  <c r="P2199" i="1"/>
  <c r="O2199" i="1"/>
  <c r="N2199" i="1"/>
  <c r="I2199" i="1"/>
  <c r="V2198" i="1"/>
  <c r="Q2198" i="1"/>
  <c r="P2198" i="1"/>
  <c r="O2198" i="1"/>
  <c r="N2198" i="1"/>
  <c r="I2198" i="1"/>
  <c r="V2197" i="1"/>
  <c r="Q2197" i="1"/>
  <c r="P2197" i="1"/>
  <c r="O2197" i="1"/>
  <c r="N2197" i="1"/>
  <c r="I2197" i="1"/>
  <c r="V2196" i="1"/>
  <c r="Q2196" i="1"/>
  <c r="P2196" i="1"/>
  <c r="O2196" i="1"/>
  <c r="N2196" i="1"/>
  <c r="I2196" i="1"/>
  <c r="V2195" i="1"/>
  <c r="Q2195" i="1"/>
  <c r="P2195" i="1"/>
  <c r="O2195" i="1"/>
  <c r="N2195" i="1"/>
  <c r="I2195" i="1"/>
  <c r="V2194" i="1"/>
  <c r="Q2194" i="1"/>
  <c r="P2194" i="1"/>
  <c r="O2194" i="1"/>
  <c r="N2194" i="1"/>
  <c r="I2194" i="1"/>
  <c r="V2193" i="1"/>
  <c r="Q2193" i="1"/>
  <c r="P2193" i="1"/>
  <c r="O2193" i="1"/>
  <c r="N2193" i="1"/>
  <c r="I2193" i="1"/>
  <c r="V2192" i="1"/>
  <c r="Q2192" i="1"/>
  <c r="P2192" i="1"/>
  <c r="O2192" i="1"/>
  <c r="N2192" i="1"/>
  <c r="I2192" i="1"/>
  <c r="V2191" i="1"/>
  <c r="Q2191" i="1"/>
  <c r="P2191" i="1"/>
  <c r="O2191" i="1"/>
  <c r="N2191" i="1"/>
  <c r="I2191" i="1"/>
  <c r="V2190" i="1"/>
  <c r="Q2190" i="1"/>
  <c r="P2190" i="1"/>
  <c r="O2190" i="1"/>
  <c r="N2190" i="1"/>
  <c r="I2190" i="1"/>
  <c r="V2189" i="1"/>
  <c r="Q2189" i="1"/>
  <c r="P2189" i="1"/>
  <c r="O2189" i="1"/>
  <c r="N2189" i="1"/>
  <c r="I2189" i="1"/>
  <c r="V2188" i="1"/>
  <c r="Q2188" i="1"/>
  <c r="P2188" i="1"/>
  <c r="O2188" i="1"/>
  <c r="N2188" i="1"/>
  <c r="I2188" i="1"/>
  <c r="V2187" i="1"/>
  <c r="Q2187" i="1"/>
  <c r="P2187" i="1"/>
  <c r="O2187" i="1"/>
  <c r="N2187" i="1"/>
  <c r="I2187" i="1"/>
  <c r="V2186" i="1"/>
  <c r="Q2186" i="1"/>
  <c r="P2186" i="1"/>
  <c r="O2186" i="1"/>
  <c r="N2186" i="1"/>
  <c r="I2186" i="1"/>
  <c r="V2185" i="1"/>
  <c r="Q2185" i="1"/>
  <c r="P2185" i="1"/>
  <c r="O2185" i="1"/>
  <c r="N2185" i="1"/>
  <c r="I2185" i="1"/>
  <c r="V2184" i="1"/>
  <c r="Q2184" i="1"/>
  <c r="P2184" i="1"/>
  <c r="O2184" i="1"/>
  <c r="N2184" i="1"/>
  <c r="I2184" i="1"/>
  <c r="V2183" i="1"/>
  <c r="Q2183" i="1"/>
  <c r="P2183" i="1"/>
  <c r="O2183" i="1"/>
  <c r="N2183" i="1"/>
  <c r="I2183" i="1"/>
  <c r="V2182" i="1"/>
  <c r="Q2182" i="1"/>
  <c r="P2182" i="1"/>
  <c r="O2182" i="1"/>
  <c r="N2182" i="1"/>
  <c r="I2182" i="1"/>
  <c r="V2181" i="1"/>
  <c r="Q2181" i="1"/>
  <c r="P2181" i="1"/>
  <c r="O2181" i="1"/>
  <c r="N2181" i="1"/>
  <c r="I2181" i="1"/>
  <c r="V2180" i="1"/>
  <c r="Q2180" i="1"/>
  <c r="P2180" i="1"/>
  <c r="O2180" i="1"/>
  <c r="N2180" i="1"/>
  <c r="I2180" i="1"/>
  <c r="V2179" i="1"/>
  <c r="Q2179" i="1"/>
  <c r="P2179" i="1"/>
  <c r="O2179" i="1"/>
  <c r="N2179" i="1"/>
  <c r="I2179" i="1"/>
  <c r="V2178" i="1"/>
  <c r="Q2178" i="1"/>
  <c r="P2178" i="1"/>
  <c r="O2178" i="1"/>
  <c r="N2178" i="1"/>
  <c r="I2178" i="1"/>
  <c r="V2177" i="1"/>
  <c r="Q2177" i="1"/>
  <c r="P2177" i="1"/>
  <c r="O2177" i="1"/>
  <c r="N2177" i="1"/>
  <c r="I2177" i="1"/>
  <c r="V2176" i="1"/>
  <c r="Q2176" i="1"/>
  <c r="P2176" i="1"/>
  <c r="O2176" i="1"/>
  <c r="N2176" i="1"/>
  <c r="I2176" i="1"/>
  <c r="V2175" i="1"/>
  <c r="Q2175" i="1"/>
  <c r="P2175" i="1"/>
  <c r="O2175" i="1"/>
  <c r="N2175" i="1"/>
  <c r="I2175" i="1"/>
  <c r="V2174" i="1"/>
  <c r="Q2174" i="1"/>
  <c r="P2174" i="1"/>
  <c r="O2174" i="1"/>
  <c r="N2174" i="1"/>
  <c r="I2174" i="1"/>
  <c r="V2173" i="1"/>
  <c r="Q2173" i="1"/>
  <c r="P2173" i="1"/>
  <c r="O2173" i="1"/>
  <c r="N2173" i="1"/>
  <c r="I2173" i="1"/>
  <c r="V2172" i="1"/>
  <c r="Q2172" i="1"/>
  <c r="P2172" i="1"/>
  <c r="O2172" i="1"/>
  <c r="N2172" i="1"/>
  <c r="I2172" i="1"/>
  <c r="V2171" i="1"/>
  <c r="Q2171" i="1"/>
  <c r="P2171" i="1"/>
  <c r="O2171" i="1"/>
  <c r="N2171" i="1"/>
  <c r="I2171" i="1"/>
  <c r="V2170" i="1"/>
  <c r="Q2170" i="1"/>
  <c r="P2170" i="1"/>
  <c r="O2170" i="1"/>
  <c r="N2170" i="1"/>
  <c r="I2170" i="1"/>
  <c r="V2169" i="1"/>
  <c r="Q2169" i="1"/>
  <c r="P2169" i="1"/>
  <c r="O2169" i="1"/>
  <c r="N2169" i="1"/>
  <c r="I2169" i="1"/>
  <c r="V2168" i="1"/>
  <c r="Q2168" i="1"/>
  <c r="P2168" i="1"/>
  <c r="O2168" i="1"/>
  <c r="N2168" i="1"/>
  <c r="I2168" i="1"/>
  <c r="V2167" i="1"/>
  <c r="Q2167" i="1"/>
  <c r="P2167" i="1"/>
  <c r="O2167" i="1"/>
  <c r="N2167" i="1"/>
  <c r="I2167" i="1"/>
  <c r="V2166" i="1"/>
  <c r="Q2166" i="1"/>
  <c r="P2166" i="1"/>
  <c r="O2166" i="1"/>
  <c r="N2166" i="1"/>
  <c r="I2166" i="1"/>
  <c r="V2165" i="1"/>
  <c r="Q2165" i="1"/>
  <c r="P2165" i="1"/>
  <c r="O2165" i="1"/>
  <c r="N2165" i="1"/>
  <c r="I2165" i="1"/>
  <c r="V2164" i="1"/>
  <c r="Q2164" i="1"/>
  <c r="P2164" i="1"/>
  <c r="O2164" i="1"/>
  <c r="N2164" i="1"/>
  <c r="I2164" i="1"/>
  <c r="V2163" i="1"/>
  <c r="Q2163" i="1"/>
  <c r="P2163" i="1"/>
  <c r="O2163" i="1"/>
  <c r="N2163" i="1"/>
  <c r="I2163" i="1"/>
  <c r="V2162" i="1"/>
  <c r="Q2162" i="1"/>
  <c r="P2162" i="1"/>
  <c r="O2162" i="1"/>
  <c r="N2162" i="1"/>
  <c r="V2161" i="1"/>
  <c r="Q2161" i="1"/>
  <c r="P2161" i="1"/>
  <c r="O2161" i="1"/>
  <c r="N2161" i="1"/>
  <c r="V2160" i="1"/>
  <c r="Q2160" i="1"/>
  <c r="P2160" i="1"/>
  <c r="O2160" i="1"/>
  <c r="N2160" i="1"/>
  <c r="V2159" i="1"/>
  <c r="Q2159" i="1"/>
  <c r="P2159" i="1"/>
  <c r="O2159" i="1"/>
  <c r="N2159" i="1"/>
  <c r="V2158" i="1"/>
  <c r="Q2158" i="1"/>
  <c r="P2158" i="1"/>
  <c r="O2158" i="1"/>
  <c r="N2158" i="1"/>
  <c r="V2157" i="1"/>
  <c r="Q2157" i="1"/>
  <c r="P2157" i="1"/>
  <c r="O2157" i="1"/>
  <c r="N2157" i="1"/>
  <c r="V2156" i="1"/>
  <c r="Q2156" i="1"/>
  <c r="P2156" i="1"/>
  <c r="O2156" i="1"/>
  <c r="N2156" i="1"/>
  <c r="V2155" i="1"/>
  <c r="Q2155" i="1"/>
  <c r="P2155" i="1"/>
  <c r="O2155" i="1"/>
  <c r="N2155" i="1"/>
  <c r="V2154" i="1"/>
  <c r="Q2154" i="1"/>
  <c r="P2154" i="1"/>
  <c r="O2154" i="1"/>
  <c r="N2154" i="1"/>
  <c r="V2153" i="1"/>
  <c r="Q2153" i="1"/>
  <c r="P2153" i="1"/>
  <c r="O2153" i="1"/>
  <c r="N2153" i="1"/>
  <c r="V2152" i="1"/>
  <c r="Q2152" i="1"/>
  <c r="P2152" i="1"/>
  <c r="O2152" i="1"/>
  <c r="N2152" i="1"/>
  <c r="V2151" i="1"/>
  <c r="Q2151" i="1"/>
  <c r="P2151" i="1"/>
  <c r="O2151" i="1"/>
  <c r="N2151" i="1"/>
  <c r="V2150" i="1"/>
  <c r="Q2150" i="1"/>
  <c r="P2150" i="1"/>
  <c r="O2150" i="1"/>
  <c r="N2150" i="1"/>
  <c r="V2149" i="1"/>
  <c r="Q2149" i="1"/>
  <c r="P2149" i="1"/>
  <c r="O2149" i="1"/>
  <c r="N2149" i="1"/>
  <c r="V2148" i="1"/>
  <c r="Q2148" i="1"/>
  <c r="P2148" i="1"/>
  <c r="O2148" i="1"/>
  <c r="N2148" i="1"/>
  <c r="V2147" i="1"/>
  <c r="Q2147" i="1"/>
  <c r="P2147" i="1"/>
  <c r="O2147" i="1"/>
  <c r="N2147" i="1"/>
  <c r="V2146" i="1"/>
  <c r="Q2146" i="1"/>
  <c r="P2146" i="1"/>
  <c r="O2146" i="1"/>
  <c r="N2146" i="1"/>
  <c r="V2145" i="1"/>
  <c r="Q2145" i="1"/>
  <c r="P2145" i="1"/>
  <c r="O2145" i="1"/>
  <c r="N2145" i="1"/>
  <c r="V2144" i="1"/>
  <c r="Q2144" i="1"/>
  <c r="P2144" i="1"/>
  <c r="O2144" i="1"/>
  <c r="N2144" i="1"/>
  <c r="V2143" i="1"/>
  <c r="Q2143" i="1"/>
  <c r="P2143" i="1"/>
  <c r="O2143" i="1"/>
  <c r="N2143" i="1"/>
  <c r="V2142" i="1"/>
  <c r="Q2142" i="1"/>
  <c r="P2142" i="1"/>
  <c r="O2142" i="1"/>
  <c r="N2142" i="1"/>
  <c r="V2141" i="1"/>
  <c r="Q2141" i="1"/>
  <c r="P2141" i="1"/>
  <c r="O2141" i="1"/>
  <c r="N2141" i="1"/>
  <c r="V2140" i="1"/>
  <c r="Q2140" i="1"/>
  <c r="P2140" i="1"/>
  <c r="O2140" i="1"/>
  <c r="N2140" i="1"/>
  <c r="V2139" i="1"/>
  <c r="Q2139" i="1"/>
  <c r="P2139" i="1"/>
  <c r="O2139" i="1"/>
  <c r="N2139" i="1"/>
  <c r="V2138" i="1"/>
  <c r="Q2138" i="1"/>
  <c r="P2138" i="1"/>
  <c r="O2138" i="1"/>
  <c r="N2138" i="1"/>
  <c r="I2138" i="1"/>
  <c r="V2137" i="1"/>
  <c r="Q2137" i="1"/>
  <c r="P2137" i="1"/>
  <c r="O2137" i="1"/>
  <c r="N2137" i="1"/>
  <c r="I2137" i="1"/>
  <c r="V2136" i="1"/>
  <c r="Q2136" i="1"/>
  <c r="P2136" i="1"/>
  <c r="O2136" i="1"/>
  <c r="N2136" i="1"/>
  <c r="I2136" i="1"/>
  <c r="V2135" i="1"/>
  <c r="Q2135" i="1"/>
  <c r="P2135" i="1"/>
  <c r="O2135" i="1"/>
  <c r="N2135" i="1"/>
  <c r="I2135" i="1"/>
  <c r="V2134" i="1"/>
  <c r="Q2134" i="1"/>
  <c r="P2134" i="1"/>
  <c r="O2134" i="1"/>
  <c r="N2134" i="1"/>
  <c r="I2134" i="1"/>
  <c r="V2133" i="1"/>
  <c r="Q2133" i="1"/>
  <c r="P2133" i="1"/>
  <c r="O2133" i="1"/>
  <c r="N2133" i="1"/>
  <c r="I2133" i="1"/>
  <c r="H2133" i="1"/>
  <c r="V2132" i="1"/>
  <c r="Q2132" i="1"/>
  <c r="P2132" i="1"/>
  <c r="O2132" i="1"/>
  <c r="N2132" i="1"/>
  <c r="I2132" i="1"/>
  <c r="H2132" i="1"/>
  <c r="V2131" i="1"/>
  <c r="Q2131" i="1"/>
  <c r="P2131" i="1"/>
  <c r="O2131" i="1"/>
  <c r="N2131" i="1"/>
  <c r="I2131" i="1"/>
  <c r="H2131" i="1"/>
  <c r="V2130" i="1"/>
  <c r="Q2130" i="1"/>
  <c r="P2130" i="1"/>
  <c r="O2130" i="1"/>
  <c r="N2130" i="1"/>
  <c r="I2130" i="1"/>
  <c r="H2130" i="1"/>
  <c r="V2129" i="1"/>
  <c r="Q2129" i="1"/>
  <c r="P2129" i="1"/>
  <c r="O2129" i="1"/>
  <c r="N2129" i="1"/>
  <c r="I2129" i="1"/>
  <c r="H2129" i="1"/>
  <c r="V2128" i="1"/>
  <c r="Q2128" i="1"/>
  <c r="P2128" i="1"/>
  <c r="O2128" i="1"/>
  <c r="N2128" i="1"/>
  <c r="I2128" i="1"/>
  <c r="H2128" i="1"/>
  <c r="V2127" i="1"/>
  <c r="Q2127" i="1"/>
  <c r="P2127" i="1"/>
  <c r="O2127" i="1"/>
  <c r="N2127" i="1"/>
  <c r="I2127" i="1"/>
  <c r="H2127" i="1"/>
  <c r="G2127" i="1"/>
  <c r="V2126" i="1"/>
  <c r="Q2126" i="1"/>
  <c r="P2126" i="1"/>
  <c r="O2126" i="1"/>
  <c r="N2126" i="1"/>
  <c r="I2126" i="1"/>
  <c r="H2126" i="1"/>
  <c r="G2126" i="1"/>
  <c r="V2125" i="1"/>
  <c r="Q2125" i="1"/>
  <c r="P2125" i="1"/>
  <c r="O2125" i="1"/>
  <c r="N2125" i="1"/>
  <c r="I2125" i="1"/>
  <c r="H2125" i="1"/>
  <c r="G2125" i="1"/>
  <c r="V2124" i="1"/>
  <c r="Q2124" i="1"/>
  <c r="P2124" i="1"/>
  <c r="O2124" i="1"/>
  <c r="N2124" i="1"/>
  <c r="I2124" i="1"/>
  <c r="H2124" i="1"/>
  <c r="G2124" i="1"/>
  <c r="V2123" i="1"/>
  <c r="Q2123" i="1"/>
  <c r="P2123" i="1"/>
  <c r="O2123" i="1"/>
  <c r="N2123" i="1"/>
  <c r="I2123" i="1"/>
  <c r="H2123" i="1"/>
  <c r="G2123" i="1"/>
  <c r="F2123" i="1"/>
  <c r="V2122" i="1"/>
  <c r="Q2122" i="1"/>
  <c r="P2122" i="1"/>
  <c r="O2122" i="1"/>
  <c r="N2122" i="1"/>
  <c r="J2122" i="1"/>
  <c r="I2122" i="1"/>
  <c r="H2122" i="1"/>
  <c r="G2122" i="1"/>
  <c r="F2122" i="1"/>
  <c r="V2121" i="1"/>
  <c r="Q2121" i="1"/>
  <c r="P2121" i="1"/>
  <c r="O2121" i="1"/>
  <c r="N2121" i="1"/>
  <c r="J2121" i="1"/>
  <c r="I2121" i="1"/>
  <c r="H2121" i="1"/>
  <c r="G2121" i="1"/>
  <c r="F2121" i="1"/>
  <c r="V2120" i="1"/>
  <c r="Q2120" i="1"/>
  <c r="P2120" i="1"/>
  <c r="O2120" i="1"/>
  <c r="N2120" i="1"/>
  <c r="J2120" i="1"/>
  <c r="I2120" i="1"/>
  <c r="H2120" i="1"/>
  <c r="G2120" i="1"/>
  <c r="F2120" i="1"/>
  <c r="V2119" i="1"/>
  <c r="Q2119" i="1"/>
  <c r="P2119" i="1"/>
  <c r="O2119" i="1"/>
  <c r="N2119" i="1"/>
  <c r="J2119" i="1"/>
  <c r="I2119" i="1"/>
  <c r="H2119" i="1"/>
  <c r="G2119" i="1"/>
  <c r="F2119" i="1"/>
  <c r="V2118" i="1"/>
  <c r="Q2118" i="1"/>
  <c r="P2118" i="1"/>
  <c r="O2118" i="1"/>
  <c r="N2118" i="1"/>
  <c r="J2118" i="1"/>
  <c r="I2118" i="1"/>
  <c r="H2118" i="1"/>
  <c r="G2118" i="1"/>
  <c r="F2118" i="1"/>
  <c r="V2117" i="1"/>
  <c r="Q2117" i="1"/>
  <c r="P2117" i="1"/>
  <c r="O2117" i="1"/>
  <c r="N2117" i="1"/>
  <c r="J2117" i="1"/>
  <c r="I2117" i="1"/>
  <c r="H2117" i="1"/>
  <c r="G2117" i="1"/>
  <c r="F2117" i="1"/>
  <c r="V2116" i="1"/>
  <c r="Q2116" i="1"/>
  <c r="P2116" i="1"/>
  <c r="O2116" i="1"/>
  <c r="N2116" i="1"/>
  <c r="J2116" i="1"/>
  <c r="I2116" i="1"/>
  <c r="H2116" i="1"/>
  <c r="G2116" i="1"/>
  <c r="F2116" i="1"/>
  <c r="V2115" i="1"/>
  <c r="Q2115" i="1"/>
  <c r="P2115" i="1"/>
  <c r="O2115" i="1"/>
  <c r="N2115" i="1"/>
  <c r="J2115" i="1"/>
  <c r="I2115" i="1"/>
  <c r="H2115" i="1"/>
  <c r="G2115" i="1"/>
  <c r="F2115" i="1"/>
  <c r="V2114" i="1"/>
  <c r="Q2114" i="1"/>
  <c r="P2114" i="1"/>
  <c r="O2114" i="1"/>
  <c r="N2114" i="1"/>
  <c r="J2114" i="1"/>
  <c r="I2114" i="1"/>
  <c r="H2114" i="1"/>
  <c r="G2114" i="1"/>
  <c r="F2114" i="1"/>
  <c r="V2113" i="1"/>
  <c r="Q2113" i="1"/>
  <c r="P2113" i="1"/>
  <c r="O2113" i="1"/>
  <c r="N2113" i="1"/>
  <c r="J2113" i="1"/>
  <c r="I2113" i="1"/>
  <c r="H2113" i="1"/>
  <c r="G2113" i="1"/>
  <c r="F2113" i="1"/>
  <c r="V2112" i="1"/>
  <c r="Q2112" i="1"/>
  <c r="P2112" i="1"/>
  <c r="O2112" i="1"/>
  <c r="N2112" i="1"/>
  <c r="J2112" i="1"/>
  <c r="I2112" i="1"/>
  <c r="H2112" i="1"/>
  <c r="G2112" i="1"/>
  <c r="F2112" i="1"/>
  <c r="V2111" i="1"/>
  <c r="Q2111" i="1"/>
  <c r="P2111" i="1"/>
  <c r="O2111" i="1"/>
  <c r="N2111" i="1"/>
  <c r="J2111" i="1"/>
  <c r="I2111" i="1"/>
  <c r="H2111" i="1"/>
  <c r="G2111" i="1"/>
  <c r="F2111" i="1"/>
  <c r="V2110" i="1"/>
  <c r="Q2110" i="1"/>
  <c r="P2110" i="1"/>
  <c r="O2110" i="1"/>
  <c r="N2110" i="1"/>
  <c r="J2110" i="1"/>
  <c r="I2110" i="1"/>
  <c r="H2110" i="1"/>
  <c r="G2110" i="1"/>
  <c r="F2110" i="1"/>
  <c r="V2109" i="1"/>
  <c r="Q2109" i="1"/>
  <c r="P2109" i="1"/>
  <c r="O2109" i="1"/>
  <c r="N2109" i="1"/>
  <c r="J2109" i="1"/>
  <c r="I2109" i="1"/>
  <c r="H2109" i="1"/>
  <c r="G2109" i="1"/>
  <c r="F2109" i="1"/>
  <c r="V2108" i="1"/>
  <c r="Q2108" i="1"/>
  <c r="P2108" i="1"/>
  <c r="O2108" i="1"/>
  <c r="N2108" i="1"/>
  <c r="J2108" i="1"/>
  <c r="I2108" i="1"/>
  <c r="H2108" i="1"/>
  <c r="G2108" i="1"/>
  <c r="F2108" i="1"/>
  <c r="V2107" i="1"/>
  <c r="Q2107" i="1"/>
  <c r="P2107" i="1"/>
  <c r="O2107" i="1"/>
  <c r="N2107" i="1"/>
  <c r="J2107" i="1"/>
  <c r="I2107" i="1"/>
  <c r="H2107" i="1"/>
  <c r="G2107" i="1"/>
  <c r="F2107" i="1"/>
  <c r="V2106" i="1"/>
  <c r="Q2106" i="1"/>
  <c r="P2106" i="1"/>
  <c r="O2106" i="1"/>
  <c r="N2106" i="1"/>
  <c r="J2106" i="1"/>
  <c r="I2106" i="1"/>
  <c r="H2106" i="1"/>
  <c r="G2106" i="1"/>
  <c r="F2106" i="1"/>
  <c r="V2105" i="1"/>
  <c r="Q2105" i="1"/>
  <c r="P2105" i="1"/>
  <c r="O2105" i="1"/>
  <c r="N2105" i="1"/>
  <c r="J2105" i="1"/>
  <c r="I2105" i="1"/>
  <c r="H2105" i="1"/>
  <c r="G2105" i="1"/>
  <c r="F2105" i="1"/>
  <c r="V2104" i="1"/>
  <c r="Q2104" i="1"/>
  <c r="P2104" i="1"/>
  <c r="O2104" i="1"/>
  <c r="N2104" i="1"/>
  <c r="J2104" i="1"/>
  <c r="I2104" i="1"/>
  <c r="H2104" i="1"/>
  <c r="G2104" i="1"/>
  <c r="F2104" i="1"/>
  <c r="E2104" i="1"/>
  <c r="V2103" i="1"/>
  <c r="Q2103" i="1"/>
  <c r="P2103" i="1"/>
  <c r="O2103" i="1"/>
  <c r="N2103" i="1"/>
  <c r="J2103" i="1"/>
  <c r="I2103" i="1"/>
  <c r="H2103" i="1"/>
  <c r="G2103" i="1"/>
  <c r="F2103" i="1"/>
  <c r="E2103" i="1"/>
  <c r="V2102" i="1"/>
  <c r="Q2102" i="1"/>
  <c r="P2102" i="1"/>
  <c r="O2102" i="1"/>
  <c r="N2102" i="1"/>
  <c r="J2102" i="1"/>
  <c r="I2102" i="1"/>
  <c r="H2102" i="1"/>
  <c r="G2102" i="1"/>
  <c r="F2102" i="1"/>
  <c r="E2102" i="1"/>
  <c r="V2101" i="1"/>
  <c r="Q2101" i="1"/>
  <c r="P2101" i="1"/>
  <c r="O2101" i="1"/>
  <c r="N2101" i="1"/>
  <c r="J2101" i="1"/>
  <c r="I2101" i="1"/>
  <c r="H2101" i="1"/>
  <c r="G2101" i="1"/>
  <c r="F2101" i="1"/>
  <c r="E2101" i="1"/>
  <c r="V2100" i="1"/>
  <c r="Q2100" i="1"/>
  <c r="P2100" i="1"/>
  <c r="O2100" i="1"/>
  <c r="N2100" i="1"/>
  <c r="J2100" i="1"/>
  <c r="I2100" i="1"/>
  <c r="H2100" i="1"/>
  <c r="G2100" i="1"/>
  <c r="F2100" i="1"/>
  <c r="E2100" i="1"/>
  <c r="V2099" i="1"/>
  <c r="Q2099" i="1"/>
  <c r="P2099" i="1"/>
  <c r="O2099" i="1"/>
  <c r="N2099" i="1"/>
  <c r="J2099" i="1"/>
  <c r="I2099" i="1"/>
  <c r="H2099" i="1"/>
  <c r="G2099" i="1"/>
  <c r="F2099" i="1"/>
  <c r="E2099" i="1"/>
  <c r="V2098" i="1"/>
  <c r="Q2098" i="1"/>
  <c r="P2098" i="1"/>
  <c r="O2098" i="1"/>
  <c r="N2098" i="1"/>
  <c r="J2098" i="1"/>
  <c r="I2098" i="1"/>
  <c r="H2098" i="1"/>
  <c r="G2098" i="1"/>
  <c r="F2098" i="1"/>
  <c r="E2098" i="1"/>
  <c r="V2097" i="1"/>
  <c r="Q2097" i="1"/>
  <c r="P2097" i="1"/>
  <c r="O2097" i="1"/>
  <c r="N2097" i="1"/>
  <c r="J2097" i="1"/>
  <c r="I2097" i="1"/>
  <c r="H2097" i="1"/>
  <c r="G2097" i="1"/>
  <c r="F2097" i="1"/>
  <c r="E2097" i="1"/>
  <c r="V2096" i="1"/>
  <c r="Q2096" i="1"/>
  <c r="P2096" i="1"/>
  <c r="O2096" i="1"/>
  <c r="N2096" i="1"/>
  <c r="J2096" i="1"/>
  <c r="I2096" i="1"/>
  <c r="H2096" i="1"/>
  <c r="G2096" i="1"/>
  <c r="F2096" i="1"/>
  <c r="E2096" i="1"/>
  <c r="V2095" i="1"/>
  <c r="Q2095" i="1"/>
  <c r="P2095" i="1"/>
  <c r="O2095" i="1"/>
  <c r="N2095" i="1"/>
  <c r="J2095" i="1"/>
  <c r="I2095" i="1"/>
  <c r="H2095" i="1"/>
  <c r="G2095" i="1"/>
  <c r="F2095" i="1"/>
  <c r="E2095" i="1"/>
  <c r="V2094" i="1"/>
  <c r="Q2094" i="1"/>
  <c r="P2094" i="1"/>
  <c r="O2094" i="1"/>
  <c r="N2094" i="1"/>
  <c r="J2094" i="1"/>
  <c r="I2094" i="1"/>
  <c r="H2094" i="1"/>
  <c r="G2094" i="1"/>
  <c r="F2094" i="1"/>
  <c r="E2094" i="1"/>
  <c r="V2093" i="1"/>
  <c r="Q2093" i="1"/>
  <c r="P2093" i="1"/>
  <c r="O2093" i="1"/>
  <c r="N2093" i="1"/>
  <c r="J2093" i="1"/>
  <c r="I2093" i="1"/>
  <c r="H2093" i="1"/>
  <c r="G2093" i="1"/>
  <c r="F2093" i="1"/>
  <c r="E2093" i="1"/>
  <c r="V2092" i="1"/>
  <c r="Q2092" i="1"/>
  <c r="P2092" i="1"/>
  <c r="O2092" i="1"/>
  <c r="N2092" i="1"/>
  <c r="J2092" i="1"/>
  <c r="I2092" i="1"/>
  <c r="H2092" i="1"/>
  <c r="G2092" i="1"/>
  <c r="F2092" i="1"/>
  <c r="E2092" i="1"/>
  <c r="V2091" i="1"/>
  <c r="Q2091" i="1"/>
  <c r="P2091" i="1"/>
  <c r="O2091" i="1"/>
  <c r="N2091" i="1"/>
  <c r="J2091" i="1"/>
  <c r="I2091" i="1"/>
  <c r="H2091" i="1"/>
  <c r="G2091" i="1"/>
  <c r="F2091" i="1"/>
  <c r="E2091" i="1"/>
  <c r="V2090" i="1"/>
  <c r="Q2090" i="1"/>
  <c r="P2090" i="1"/>
  <c r="O2090" i="1"/>
  <c r="N2090" i="1"/>
  <c r="J2090" i="1"/>
  <c r="I2090" i="1"/>
  <c r="H2090" i="1"/>
  <c r="G2090" i="1"/>
  <c r="F2090" i="1"/>
  <c r="E2090" i="1"/>
  <c r="V2089" i="1"/>
  <c r="Q2089" i="1"/>
  <c r="P2089" i="1"/>
  <c r="O2089" i="1"/>
  <c r="N2089" i="1"/>
  <c r="J2089" i="1"/>
  <c r="I2089" i="1"/>
  <c r="H2089" i="1"/>
  <c r="G2089" i="1"/>
  <c r="F2089" i="1"/>
  <c r="E2089" i="1"/>
  <c r="D2089" i="1"/>
  <c r="V2088" i="1"/>
  <c r="Q2088" i="1"/>
  <c r="P2088" i="1"/>
  <c r="O2088" i="1"/>
  <c r="N2088" i="1"/>
  <c r="J2088" i="1"/>
  <c r="I2088" i="1"/>
  <c r="H2088" i="1"/>
  <c r="G2088" i="1"/>
  <c r="F2088" i="1"/>
  <c r="E2088" i="1"/>
  <c r="D2088" i="1"/>
  <c r="V2087" i="1"/>
  <c r="Q2087" i="1"/>
  <c r="P2087" i="1"/>
  <c r="O2087" i="1"/>
  <c r="N2087" i="1"/>
  <c r="J2087" i="1"/>
  <c r="I2087" i="1"/>
  <c r="H2087" i="1"/>
  <c r="G2087" i="1"/>
  <c r="F2087" i="1"/>
  <c r="E2087" i="1"/>
  <c r="D2087" i="1"/>
  <c r="V2086" i="1"/>
  <c r="Q2086" i="1"/>
  <c r="P2086" i="1"/>
  <c r="O2086" i="1"/>
  <c r="N2086" i="1"/>
  <c r="J2086" i="1"/>
  <c r="I2086" i="1"/>
  <c r="H2086" i="1"/>
  <c r="G2086" i="1"/>
  <c r="F2086" i="1"/>
  <c r="E2086" i="1"/>
  <c r="D2086" i="1"/>
  <c r="V2085" i="1"/>
  <c r="Q2085" i="1"/>
  <c r="P2085" i="1"/>
  <c r="O2085" i="1"/>
  <c r="N2085" i="1"/>
  <c r="J2085" i="1"/>
  <c r="I2085" i="1"/>
  <c r="H2085" i="1"/>
  <c r="G2085" i="1"/>
  <c r="F2085" i="1"/>
  <c r="E2085" i="1"/>
  <c r="D2085" i="1"/>
  <c r="V2084" i="1"/>
  <c r="Q2084" i="1"/>
  <c r="P2084" i="1"/>
  <c r="O2084" i="1"/>
  <c r="N2084" i="1"/>
  <c r="J2084" i="1"/>
  <c r="I2084" i="1"/>
  <c r="H2084" i="1"/>
  <c r="G2084" i="1"/>
  <c r="F2084" i="1"/>
  <c r="E2084" i="1"/>
  <c r="D2084" i="1"/>
  <c r="V2083" i="1"/>
  <c r="Q2083" i="1"/>
  <c r="P2083" i="1"/>
  <c r="O2083" i="1"/>
  <c r="N2083" i="1"/>
  <c r="J2083" i="1"/>
  <c r="I2083" i="1"/>
  <c r="H2083" i="1"/>
  <c r="G2083" i="1"/>
  <c r="F2083" i="1"/>
  <c r="E2083" i="1"/>
  <c r="D2083" i="1"/>
  <c r="V2082" i="1"/>
  <c r="Q2082" i="1"/>
  <c r="P2082" i="1"/>
  <c r="O2082" i="1"/>
  <c r="N2082" i="1"/>
  <c r="J2082" i="1"/>
  <c r="I2082" i="1"/>
  <c r="H2082" i="1"/>
  <c r="G2082" i="1"/>
  <c r="F2082" i="1"/>
  <c r="E2082" i="1"/>
  <c r="D2082" i="1"/>
  <c r="V2081" i="1"/>
  <c r="Q2081" i="1"/>
  <c r="P2081" i="1"/>
  <c r="O2081" i="1"/>
  <c r="N2081" i="1"/>
  <c r="J2081" i="1"/>
  <c r="I2081" i="1"/>
  <c r="H2081" i="1"/>
  <c r="G2081" i="1"/>
  <c r="F2081" i="1"/>
  <c r="E2081" i="1"/>
  <c r="D2081" i="1"/>
  <c r="V2080" i="1"/>
  <c r="Q2080" i="1"/>
  <c r="P2080" i="1"/>
  <c r="O2080" i="1"/>
  <c r="N2080" i="1"/>
  <c r="J2080" i="1"/>
  <c r="I2080" i="1"/>
  <c r="H2080" i="1"/>
  <c r="G2080" i="1"/>
  <c r="F2080" i="1"/>
  <c r="E2080" i="1"/>
  <c r="D2080" i="1"/>
  <c r="V2079" i="1"/>
  <c r="Q2079" i="1"/>
  <c r="P2079" i="1"/>
  <c r="O2079" i="1"/>
  <c r="N2079" i="1"/>
  <c r="J2079" i="1"/>
  <c r="I2079" i="1"/>
  <c r="H2079" i="1"/>
  <c r="G2079" i="1"/>
  <c r="F2079" i="1"/>
  <c r="E2079" i="1"/>
  <c r="V2078" i="1"/>
  <c r="Q2078" i="1"/>
  <c r="P2078" i="1"/>
  <c r="O2078" i="1"/>
  <c r="N2078" i="1"/>
  <c r="J2078" i="1"/>
  <c r="I2078" i="1"/>
  <c r="H2078" i="1"/>
  <c r="G2078" i="1"/>
  <c r="F2078" i="1"/>
  <c r="E2078" i="1"/>
  <c r="V2077" i="1"/>
  <c r="Q2077" i="1"/>
  <c r="P2077" i="1"/>
  <c r="O2077" i="1"/>
  <c r="N2077" i="1"/>
  <c r="J2077" i="1"/>
  <c r="I2077" i="1"/>
  <c r="H2077" i="1"/>
  <c r="G2077" i="1"/>
  <c r="F2077" i="1"/>
  <c r="E2077" i="1"/>
  <c r="V2076" i="1"/>
  <c r="Q2076" i="1"/>
  <c r="P2076" i="1"/>
  <c r="O2076" i="1"/>
  <c r="N2076" i="1"/>
  <c r="J2076" i="1"/>
  <c r="I2076" i="1"/>
  <c r="H2076" i="1"/>
  <c r="G2076" i="1"/>
  <c r="F2076" i="1"/>
  <c r="E2076" i="1"/>
  <c r="V2075" i="1"/>
  <c r="Q2075" i="1"/>
  <c r="P2075" i="1"/>
  <c r="O2075" i="1"/>
  <c r="N2075" i="1"/>
  <c r="J2075" i="1"/>
  <c r="I2075" i="1"/>
  <c r="H2075" i="1"/>
  <c r="G2075" i="1"/>
  <c r="F2075" i="1"/>
  <c r="E2075" i="1"/>
  <c r="V2074" i="1"/>
  <c r="Q2074" i="1"/>
  <c r="P2074" i="1"/>
  <c r="O2074" i="1"/>
  <c r="N2074" i="1"/>
  <c r="J2074" i="1"/>
  <c r="I2074" i="1"/>
  <c r="H2074" i="1"/>
  <c r="G2074" i="1"/>
  <c r="F2074" i="1"/>
  <c r="E2074" i="1"/>
  <c r="V2073" i="1"/>
  <c r="Q2073" i="1"/>
  <c r="P2073" i="1"/>
  <c r="O2073" i="1"/>
  <c r="N2073" i="1"/>
  <c r="J2073" i="1"/>
  <c r="I2073" i="1"/>
  <c r="H2073" i="1"/>
  <c r="G2073" i="1"/>
  <c r="F2073" i="1"/>
  <c r="E2073" i="1"/>
  <c r="V2072" i="1"/>
  <c r="Q2072" i="1"/>
  <c r="P2072" i="1"/>
  <c r="O2072" i="1"/>
  <c r="N2072" i="1"/>
  <c r="J2072" i="1"/>
  <c r="I2072" i="1"/>
  <c r="H2072" i="1"/>
  <c r="G2072" i="1"/>
  <c r="F2072" i="1"/>
  <c r="E2072" i="1"/>
  <c r="V2071" i="1"/>
  <c r="Q2071" i="1"/>
  <c r="P2071" i="1"/>
  <c r="O2071" i="1"/>
  <c r="N2071" i="1"/>
  <c r="J2071" i="1"/>
  <c r="I2071" i="1"/>
  <c r="H2071" i="1"/>
  <c r="G2071" i="1"/>
  <c r="F2071" i="1"/>
  <c r="E2071" i="1"/>
  <c r="V2070" i="1"/>
  <c r="Q2070" i="1"/>
  <c r="P2070" i="1"/>
  <c r="O2070" i="1"/>
  <c r="N2070" i="1"/>
  <c r="J2070" i="1"/>
  <c r="I2070" i="1"/>
  <c r="H2070" i="1"/>
  <c r="G2070" i="1"/>
  <c r="F2070" i="1"/>
  <c r="E2070" i="1"/>
  <c r="V2069" i="1"/>
  <c r="Q2069" i="1"/>
  <c r="P2069" i="1"/>
  <c r="O2069" i="1"/>
  <c r="N2069" i="1"/>
  <c r="J2069" i="1"/>
  <c r="I2069" i="1"/>
  <c r="H2069" i="1"/>
  <c r="G2069" i="1"/>
  <c r="F2069" i="1"/>
  <c r="E2069" i="1"/>
  <c r="V2068" i="1"/>
  <c r="Q2068" i="1"/>
  <c r="P2068" i="1"/>
  <c r="O2068" i="1"/>
  <c r="N2068" i="1"/>
  <c r="J2068" i="1"/>
  <c r="I2068" i="1"/>
  <c r="H2068" i="1"/>
  <c r="G2068" i="1"/>
  <c r="F2068" i="1"/>
  <c r="E2068" i="1"/>
  <c r="V2067" i="1"/>
  <c r="Q2067" i="1"/>
  <c r="P2067" i="1"/>
  <c r="O2067" i="1"/>
  <c r="N2067" i="1"/>
  <c r="J2067" i="1"/>
  <c r="I2067" i="1"/>
  <c r="H2067" i="1"/>
  <c r="G2067" i="1"/>
  <c r="F2067" i="1"/>
  <c r="E2067" i="1"/>
  <c r="V2066" i="1"/>
  <c r="Q2066" i="1"/>
  <c r="P2066" i="1"/>
  <c r="O2066" i="1"/>
  <c r="N2066" i="1"/>
  <c r="J2066" i="1"/>
  <c r="I2066" i="1"/>
  <c r="H2066" i="1"/>
  <c r="G2066" i="1"/>
  <c r="F2066" i="1"/>
  <c r="E2066" i="1"/>
  <c r="V2065" i="1"/>
  <c r="Q2065" i="1"/>
  <c r="P2065" i="1"/>
  <c r="O2065" i="1"/>
  <c r="N2065" i="1"/>
  <c r="J2065" i="1"/>
  <c r="I2065" i="1"/>
  <c r="H2065" i="1"/>
  <c r="G2065" i="1"/>
  <c r="F2065" i="1"/>
  <c r="E2065" i="1"/>
  <c r="V2064" i="1"/>
  <c r="Q2064" i="1"/>
  <c r="P2064" i="1"/>
  <c r="O2064" i="1"/>
  <c r="N2064" i="1"/>
  <c r="J2064" i="1"/>
  <c r="I2064" i="1"/>
  <c r="H2064" i="1"/>
  <c r="G2064" i="1"/>
  <c r="F2064" i="1"/>
  <c r="E2064" i="1"/>
  <c r="V2063" i="1"/>
  <c r="Q2063" i="1"/>
  <c r="P2063" i="1"/>
  <c r="O2063" i="1"/>
  <c r="N2063" i="1"/>
  <c r="J2063" i="1"/>
  <c r="I2063" i="1"/>
  <c r="H2063" i="1"/>
  <c r="G2063" i="1"/>
  <c r="F2063" i="1"/>
  <c r="V2062" i="1"/>
  <c r="Q2062" i="1"/>
  <c r="P2062" i="1"/>
  <c r="O2062" i="1"/>
  <c r="N2062" i="1"/>
  <c r="J2062" i="1"/>
  <c r="I2062" i="1"/>
  <c r="H2062" i="1"/>
  <c r="G2062" i="1"/>
  <c r="F2062" i="1"/>
  <c r="V2061" i="1"/>
  <c r="Q2061" i="1"/>
  <c r="P2061" i="1"/>
  <c r="O2061" i="1"/>
  <c r="N2061" i="1"/>
  <c r="J2061" i="1"/>
  <c r="I2061" i="1"/>
  <c r="H2061" i="1"/>
  <c r="G2061" i="1"/>
  <c r="F2061" i="1"/>
  <c r="V2060" i="1"/>
  <c r="Q2060" i="1"/>
  <c r="P2060" i="1"/>
  <c r="O2060" i="1"/>
  <c r="N2060" i="1"/>
  <c r="J2060" i="1"/>
  <c r="I2060" i="1"/>
  <c r="H2060" i="1"/>
  <c r="G2060" i="1"/>
  <c r="F2060" i="1"/>
  <c r="V2059" i="1"/>
  <c r="Q2059" i="1"/>
  <c r="P2059" i="1"/>
  <c r="O2059" i="1"/>
  <c r="N2059" i="1"/>
  <c r="J2059" i="1"/>
  <c r="I2059" i="1"/>
  <c r="H2059" i="1"/>
  <c r="G2059" i="1"/>
  <c r="F2059" i="1"/>
  <c r="V2058" i="1"/>
  <c r="Q2058" i="1"/>
  <c r="P2058" i="1"/>
  <c r="O2058" i="1"/>
  <c r="N2058" i="1"/>
  <c r="J2058" i="1"/>
  <c r="I2058" i="1"/>
  <c r="H2058" i="1"/>
  <c r="G2058" i="1"/>
  <c r="F2058" i="1"/>
  <c r="V2057" i="1"/>
  <c r="Q2057" i="1"/>
  <c r="P2057" i="1"/>
  <c r="O2057" i="1"/>
  <c r="N2057" i="1"/>
  <c r="I2057" i="1"/>
  <c r="H2057" i="1"/>
  <c r="G2057" i="1"/>
  <c r="F2057" i="1"/>
  <c r="V2056" i="1"/>
  <c r="Q2056" i="1"/>
  <c r="P2056" i="1"/>
  <c r="O2056" i="1"/>
  <c r="N2056" i="1"/>
  <c r="I2056" i="1"/>
  <c r="H2056" i="1"/>
  <c r="G2056" i="1"/>
  <c r="F2056" i="1"/>
  <c r="V2055" i="1"/>
  <c r="Q2055" i="1"/>
  <c r="P2055" i="1"/>
  <c r="O2055" i="1"/>
  <c r="N2055" i="1"/>
  <c r="I2055" i="1"/>
  <c r="H2055" i="1"/>
  <c r="G2055" i="1"/>
  <c r="F2055" i="1"/>
  <c r="V2054" i="1"/>
  <c r="Q2054" i="1"/>
  <c r="P2054" i="1"/>
  <c r="O2054" i="1"/>
  <c r="N2054" i="1"/>
  <c r="I2054" i="1"/>
  <c r="H2054" i="1"/>
  <c r="G2054" i="1"/>
  <c r="F2054" i="1"/>
  <c r="V2053" i="1"/>
  <c r="Q2053" i="1"/>
  <c r="P2053" i="1"/>
  <c r="O2053" i="1"/>
  <c r="N2053" i="1"/>
  <c r="I2053" i="1"/>
  <c r="H2053" i="1"/>
  <c r="G2053" i="1"/>
  <c r="F2053" i="1"/>
  <c r="V2052" i="1"/>
  <c r="Q2052" i="1"/>
  <c r="P2052" i="1"/>
  <c r="O2052" i="1"/>
  <c r="N2052" i="1"/>
  <c r="I2052" i="1"/>
  <c r="H2052" i="1"/>
  <c r="G2052" i="1"/>
  <c r="F2052" i="1"/>
  <c r="V2051" i="1"/>
  <c r="Q2051" i="1"/>
  <c r="P2051" i="1"/>
  <c r="O2051" i="1"/>
  <c r="N2051" i="1"/>
  <c r="I2051" i="1"/>
  <c r="H2051" i="1"/>
  <c r="G2051" i="1"/>
  <c r="F2051" i="1"/>
  <c r="V2050" i="1"/>
  <c r="Q2050" i="1"/>
  <c r="P2050" i="1"/>
  <c r="O2050" i="1"/>
  <c r="N2050" i="1"/>
  <c r="I2050" i="1"/>
  <c r="H2050" i="1"/>
  <c r="G2050" i="1"/>
  <c r="F2050" i="1"/>
  <c r="V2049" i="1"/>
  <c r="Q2049" i="1"/>
  <c r="P2049" i="1"/>
  <c r="O2049" i="1"/>
  <c r="N2049" i="1"/>
  <c r="I2049" i="1"/>
  <c r="H2049" i="1"/>
  <c r="G2049" i="1"/>
  <c r="F2049" i="1"/>
  <c r="V2048" i="1"/>
  <c r="Q2048" i="1"/>
  <c r="P2048" i="1"/>
  <c r="O2048" i="1"/>
  <c r="N2048" i="1"/>
  <c r="I2048" i="1"/>
  <c r="H2048" i="1"/>
  <c r="G2048" i="1"/>
  <c r="F2048" i="1"/>
  <c r="V2047" i="1"/>
  <c r="Q2047" i="1"/>
  <c r="P2047" i="1"/>
  <c r="O2047" i="1"/>
  <c r="N2047" i="1"/>
  <c r="I2047" i="1"/>
  <c r="H2047" i="1"/>
  <c r="G2047" i="1"/>
  <c r="F2047" i="1"/>
  <c r="V2046" i="1"/>
  <c r="Q2046" i="1"/>
  <c r="P2046" i="1"/>
  <c r="O2046" i="1"/>
  <c r="N2046" i="1"/>
  <c r="I2046" i="1"/>
  <c r="H2046" i="1"/>
  <c r="G2046" i="1"/>
  <c r="F2046" i="1"/>
  <c r="V2045" i="1"/>
  <c r="Q2045" i="1"/>
  <c r="P2045" i="1"/>
  <c r="O2045" i="1"/>
  <c r="N2045" i="1"/>
  <c r="I2045" i="1"/>
  <c r="H2045" i="1"/>
  <c r="G2045" i="1"/>
  <c r="F2045" i="1"/>
  <c r="V2044" i="1"/>
  <c r="Q2044" i="1"/>
  <c r="P2044" i="1"/>
  <c r="O2044" i="1"/>
  <c r="N2044" i="1"/>
  <c r="I2044" i="1"/>
  <c r="H2044" i="1"/>
  <c r="G2044" i="1"/>
  <c r="F2044" i="1"/>
  <c r="V2043" i="1"/>
  <c r="Q2043" i="1"/>
  <c r="P2043" i="1"/>
  <c r="O2043" i="1"/>
  <c r="N2043" i="1"/>
  <c r="I2043" i="1"/>
  <c r="H2043" i="1"/>
  <c r="G2043" i="1"/>
  <c r="F2043" i="1"/>
  <c r="V2042" i="1"/>
  <c r="Q2042" i="1"/>
  <c r="P2042" i="1"/>
  <c r="O2042" i="1"/>
  <c r="N2042" i="1"/>
  <c r="I2042" i="1"/>
  <c r="H2042" i="1"/>
  <c r="G2042" i="1"/>
  <c r="F2042" i="1"/>
  <c r="V2041" i="1"/>
  <c r="Q2041" i="1"/>
  <c r="P2041" i="1"/>
  <c r="O2041" i="1"/>
  <c r="N2041" i="1"/>
  <c r="I2041" i="1"/>
  <c r="H2041" i="1"/>
  <c r="G2041" i="1"/>
  <c r="F2041" i="1"/>
  <c r="V2040" i="1"/>
  <c r="Q2040" i="1"/>
  <c r="P2040" i="1"/>
  <c r="O2040" i="1"/>
  <c r="N2040" i="1"/>
  <c r="I2040" i="1"/>
  <c r="H2040" i="1"/>
  <c r="G2040" i="1"/>
  <c r="F2040" i="1"/>
  <c r="V2039" i="1"/>
  <c r="Q2039" i="1"/>
  <c r="P2039" i="1"/>
  <c r="O2039" i="1"/>
  <c r="N2039" i="1"/>
  <c r="I2039" i="1"/>
  <c r="H2039" i="1"/>
  <c r="G2039" i="1"/>
  <c r="F2039" i="1"/>
  <c r="V2038" i="1"/>
  <c r="Q2038" i="1"/>
  <c r="P2038" i="1"/>
  <c r="O2038" i="1"/>
  <c r="N2038" i="1"/>
  <c r="I2038" i="1"/>
  <c r="H2038" i="1"/>
  <c r="G2038" i="1"/>
  <c r="F2038" i="1"/>
  <c r="V2037" i="1"/>
  <c r="Q2037" i="1"/>
  <c r="P2037" i="1"/>
  <c r="O2037" i="1"/>
  <c r="N2037" i="1"/>
  <c r="J2037" i="1"/>
  <c r="I2037" i="1"/>
  <c r="H2037" i="1"/>
  <c r="G2037" i="1"/>
  <c r="F2037" i="1"/>
  <c r="V2036" i="1"/>
  <c r="Q2036" i="1"/>
  <c r="P2036" i="1"/>
  <c r="O2036" i="1"/>
  <c r="N2036" i="1"/>
  <c r="J2036" i="1"/>
  <c r="I2036" i="1"/>
  <c r="H2036" i="1"/>
  <c r="G2036" i="1"/>
  <c r="F2036" i="1"/>
  <c r="V2035" i="1"/>
  <c r="Q2035" i="1"/>
  <c r="P2035" i="1"/>
  <c r="O2035" i="1"/>
  <c r="N2035" i="1"/>
  <c r="J2035" i="1"/>
  <c r="I2035" i="1"/>
  <c r="H2035" i="1"/>
  <c r="G2035" i="1"/>
  <c r="F2035" i="1"/>
  <c r="V2034" i="1"/>
  <c r="Q2034" i="1"/>
  <c r="P2034" i="1"/>
  <c r="O2034" i="1"/>
  <c r="N2034" i="1"/>
  <c r="J2034" i="1"/>
  <c r="I2034" i="1"/>
  <c r="H2034" i="1"/>
  <c r="G2034" i="1"/>
  <c r="F2034" i="1"/>
  <c r="V2033" i="1"/>
  <c r="Q2033" i="1"/>
  <c r="P2033" i="1"/>
  <c r="O2033" i="1"/>
  <c r="N2033" i="1"/>
  <c r="J2033" i="1"/>
  <c r="I2033" i="1"/>
  <c r="H2033" i="1"/>
  <c r="G2033" i="1"/>
  <c r="F2033" i="1"/>
  <c r="V2032" i="1"/>
  <c r="Q2032" i="1"/>
  <c r="P2032" i="1"/>
  <c r="O2032" i="1"/>
  <c r="N2032" i="1"/>
  <c r="J2032" i="1"/>
  <c r="I2032" i="1"/>
  <c r="H2032" i="1"/>
  <c r="G2032" i="1"/>
  <c r="F2032" i="1"/>
  <c r="V2031" i="1"/>
  <c r="Q2031" i="1"/>
  <c r="P2031" i="1"/>
  <c r="O2031" i="1"/>
  <c r="N2031" i="1"/>
  <c r="J2031" i="1"/>
  <c r="I2031" i="1"/>
  <c r="H2031" i="1"/>
  <c r="G2031" i="1"/>
  <c r="F2031" i="1"/>
  <c r="V2030" i="1"/>
  <c r="Q2030" i="1"/>
  <c r="P2030" i="1"/>
  <c r="O2030" i="1"/>
  <c r="N2030" i="1"/>
  <c r="J2030" i="1"/>
  <c r="I2030" i="1"/>
  <c r="H2030" i="1"/>
  <c r="G2030" i="1"/>
  <c r="F2030" i="1"/>
  <c r="V2029" i="1"/>
  <c r="Q2029" i="1"/>
  <c r="P2029" i="1"/>
  <c r="O2029" i="1"/>
  <c r="N2029" i="1"/>
  <c r="J2029" i="1"/>
  <c r="I2029" i="1"/>
  <c r="H2029" i="1"/>
  <c r="G2029" i="1"/>
  <c r="F2029" i="1"/>
  <c r="V2028" i="1"/>
  <c r="Q2028" i="1"/>
  <c r="P2028" i="1"/>
  <c r="O2028" i="1"/>
  <c r="N2028" i="1"/>
  <c r="J2028" i="1"/>
  <c r="I2028" i="1"/>
  <c r="H2028" i="1"/>
  <c r="G2028" i="1"/>
  <c r="F2028" i="1"/>
  <c r="V2027" i="1"/>
  <c r="Q2027" i="1"/>
  <c r="P2027" i="1"/>
  <c r="O2027" i="1"/>
  <c r="N2027" i="1"/>
  <c r="J2027" i="1"/>
  <c r="I2027" i="1"/>
  <c r="H2027" i="1"/>
  <c r="G2027" i="1"/>
  <c r="F2027" i="1"/>
  <c r="V2026" i="1"/>
  <c r="Q2026" i="1"/>
  <c r="P2026" i="1"/>
  <c r="O2026" i="1"/>
  <c r="N2026" i="1"/>
  <c r="J2026" i="1"/>
  <c r="I2026" i="1"/>
  <c r="H2026" i="1"/>
  <c r="G2026" i="1"/>
  <c r="F2026" i="1"/>
  <c r="V2025" i="1"/>
  <c r="Q2025" i="1"/>
  <c r="P2025" i="1"/>
  <c r="O2025" i="1"/>
  <c r="N2025" i="1"/>
  <c r="J2025" i="1"/>
  <c r="I2025" i="1"/>
  <c r="H2025" i="1"/>
  <c r="G2025" i="1"/>
  <c r="F2025" i="1"/>
  <c r="V2024" i="1"/>
  <c r="Q2024" i="1"/>
  <c r="P2024" i="1"/>
  <c r="O2024" i="1"/>
  <c r="N2024" i="1"/>
  <c r="J2024" i="1"/>
  <c r="I2024" i="1"/>
  <c r="H2024" i="1"/>
  <c r="G2024" i="1"/>
  <c r="F2024" i="1"/>
  <c r="V2023" i="1"/>
  <c r="Q2023" i="1"/>
  <c r="P2023" i="1"/>
  <c r="O2023" i="1"/>
  <c r="N2023" i="1"/>
  <c r="J2023" i="1"/>
  <c r="I2023" i="1"/>
  <c r="H2023" i="1"/>
  <c r="G2023" i="1"/>
  <c r="F2023" i="1"/>
  <c r="V2022" i="1"/>
  <c r="Q2022" i="1"/>
  <c r="P2022" i="1"/>
  <c r="O2022" i="1"/>
  <c r="N2022" i="1"/>
  <c r="J2022" i="1"/>
  <c r="I2022" i="1"/>
  <c r="H2022" i="1"/>
  <c r="G2022" i="1"/>
  <c r="F2022" i="1"/>
  <c r="V2021" i="1"/>
  <c r="Q2021" i="1"/>
  <c r="P2021" i="1"/>
  <c r="O2021" i="1"/>
  <c r="N2021" i="1"/>
  <c r="J2021" i="1"/>
  <c r="I2021" i="1"/>
  <c r="H2021" i="1"/>
  <c r="G2021" i="1"/>
  <c r="F2021" i="1"/>
  <c r="V2020" i="1"/>
  <c r="Q2020" i="1"/>
  <c r="P2020" i="1"/>
  <c r="O2020" i="1"/>
  <c r="N2020" i="1"/>
  <c r="J2020" i="1"/>
  <c r="I2020" i="1"/>
  <c r="H2020" i="1"/>
  <c r="G2020" i="1"/>
  <c r="F2020" i="1"/>
  <c r="V2019" i="1"/>
  <c r="Q2019" i="1"/>
  <c r="P2019" i="1"/>
  <c r="O2019" i="1"/>
  <c r="N2019" i="1"/>
  <c r="J2019" i="1"/>
  <c r="I2019" i="1"/>
  <c r="H2019" i="1"/>
  <c r="G2019" i="1"/>
  <c r="F2019" i="1"/>
  <c r="V2018" i="1"/>
  <c r="Q2018" i="1"/>
  <c r="P2018" i="1"/>
  <c r="O2018" i="1"/>
  <c r="N2018" i="1"/>
  <c r="J2018" i="1"/>
  <c r="I2018" i="1"/>
  <c r="H2018" i="1"/>
  <c r="G2018" i="1"/>
  <c r="F2018" i="1"/>
  <c r="V2017" i="1"/>
  <c r="Q2017" i="1"/>
  <c r="P2017" i="1"/>
  <c r="O2017" i="1"/>
  <c r="N2017" i="1"/>
  <c r="J2017" i="1"/>
  <c r="I2017" i="1"/>
  <c r="H2017" i="1"/>
  <c r="G2017" i="1"/>
  <c r="F2017" i="1"/>
  <c r="V2016" i="1"/>
  <c r="Q2016" i="1"/>
  <c r="P2016" i="1"/>
  <c r="O2016" i="1"/>
  <c r="N2016" i="1"/>
  <c r="J2016" i="1"/>
  <c r="I2016" i="1"/>
  <c r="H2016" i="1"/>
  <c r="G2016" i="1"/>
  <c r="F2016" i="1"/>
  <c r="V2015" i="1"/>
  <c r="Q2015" i="1"/>
  <c r="P2015" i="1"/>
  <c r="O2015" i="1"/>
  <c r="N2015" i="1"/>
  <c r="J2015" i="1"/>
  <c r="I2015" i="1"/>
  <c r="H2015" i="1"/>
  <c r="G2015" i="1"/>
  <c r="F2015" i="1"/>
  <c r="V2014" i="1"/>
  <c r="Q2014" i="1"/>
  <c r="P2014" i="1"/>
  <c r="O2014" i="1"/>
  <c r="N2014" i="1"/>
  <c r="J2014" i="1"/>
  <c r="I2014" i="1"/>
  <c r="H2014" i="1"/>
  <c r="G2014" i="1"/>
  <c r="F2014" i="1"/>
  <c r="V2013" i="1"/>
  <c r="Q2013" i="1"/>
  <c r="P2013" i="1"/>
  <c r="O2013" i="1"/>
  <c r="N2013" i="1"/>
  <c r="J2013" i="1"/>
  <c r="I2013" i="1"/>
  <c r="H2013" i="1"/>
  <c r="G2013" i="1"/>
  <c r="F2013" i="1"/>
  <c r="V2012" i="1"/>
  <c r="Q2012" i="1"/>
  <c r="P2012" i="1"/>
  <c r="O2012" i="1"/>
  <c r="N2012" i="1"/>
  <c r="J2012" i="1"/>
  <c r="I2012" i="1"/>
  <c r="H2012" i="1"/>
  <c r="G2012" i="1"/>
  <c r="F2012" i="1"/>
  <c r="V2011" i="1"/>
  <c r="Q2011" i="1"/>
  <c r="P2011" i="1"/>
  <c r="O2011" i="1"/>
  <c r="N2011" i="1"/>
  <c r="J2011" i="1"/>
  <c r="I2011" i="1"/>
  <c r="H2011" i="1"/>
  <c r="G2011" i="1"/>
  <c r="F2011" i="1"/>
  <c r="V2010" i="1"/>
  <c r="Q2010" i="1"/>
  <c r="P2010" i="1"/>
  <c r="O2010" i="1"/>
  <c r="N2010" i="1"/>
  <c r="J2010" i="1"/>
  <c r="I2010" i="1"/>
  <c r="H2010" i="1"/>
  <c r="G2010" i="1"/>
  <c r="F2010" i="1"/>
  <c r="V2009" i="1"/>
  <c r="Q2009" i="1"/>
  <c r="P2009" i="1"/>
  <c r="O2009" i="1"/>
  <c r="N2009" i="1"/>
  <c r="J2009" i="1"/>
  <c r="I2009" i="1"/>
  <c r="H2009" i="1"/>
  <c r="G2009" i="1"/>
  <c r="F2009" i="1"/>
  <c r="V2008" i="1"/>
  <c r="Q2008" i="1"/>
  <c r="P2008" i="1"/>
  <c r="O2008" i="1"/>
  <c r="N2008" i="1"/>
  <c r="J2008" i="1"/>
  <c r="I2008" i="1"/>
  <c r="H2008" i="1"/>
  <c r="G2008" i="1"/>
  <c r="F2008" i="1"/>
  <c r="V2007" i="1"/>
  <c r="Q2007" i="1"/>
  <c r="P2007" i="1"/>
  <c r="O2007" i="1"/>
  <c r="N2007" i="1"/>
  <c r="J2007" i="1"/>
  <c r="I2007" i="1"/>
  <c r="H2007" i="1"/>
  <c r="G2007" i="1"/>
  <c r="F2007" i="1"/>
  <c r="V2006" i="1"/>
  <c r="Q2006" i="1"/>
  <c r="P2006" i="1"/>
  <c r="O2006" i="1"/>
  <c r="N2006" i="1"/>
  <c r="J2006" i="1"/>
  <c r="I2006" i="1"/>
  <c r="H2006" i="1"/>
  <c r="G2006" i="1"/>
  <c r="F2006" i="1"/>
  <c r="V2005" i="1"/>
  <c r="Q2005" i="1"/>
  <c r="P2005" i="1"/>
  <c r="O2005" i="1"/>
  <c r="N2005" i="1"/>
  <c r="I2005" i="1"/>
  <c r="H2005" i="1"/>
  <c r="G2005" i="1"/>
  <c r="V2004" i="1"/>
  <c r="Q2004" i="1"/>
  <c r="P2004" i="1"/>
  <c r="O2004" i="1"/>
  <c r="N2004" i="1"/>
  <c r="I2004" i="1"/>
  <c r="H2004" i="1"/>
  <c r="G2004" i="1"/>
  <c r="V2003" i="1"/>
  <c r="Q2003" i="1"/>
  <c r="P2003" i="1"/>
  <c r="O2003" i="1"/>
  <c r="N2003" i="1"/>
  <c r="I2003" i="1"/>
  <c r="H2003" i="1"/>
  <c r="G2003" i="1"/>
  <c r="V2002" i="1"/>
  <c r="Q2002" i="1"/>
  <c r="P2002" i="1"/>
  <c r="O2002" i="1"/>
  <c r="N2002" i="1"/>
  <c r="I2002" i="1"/>
  <c r="H2002" i="1"/>
  <c r="G2002" i="1"/>
  <c r="V2001" i="1"/>
  <c r="Q2001" i="1"/>
  <c r="P2001" i="1"/>
  <c r="O2001" i="1"/>
  <c r="N2001" i="1"/>
  <c r="I2001" i="1"/>
  <c r="H2001" i="1"/>
  <c r="G2001" i="1"/>
  <c r="V2000" i="1"/>
  <c r="Q2000" i="1"/>
  <c r="P2000" i="1"/>
  <c r="O2000" i="1"/>
  <c r="N2000" i="1"/>
  <c r="I2000" i="1"/>
  <c r="H2000" i="1"/>
  <c r="G2000" i="1"/>
  <c r="V1999" i="1"/>
  <c r="Q1999" i="1"/>
  <c r="P1999" i="1"/>
  <c r="O1999" i="1"/>
  <c r="N1999" i="1"/>
  <c r="I1999" i="1"/>
  <c r="H1999" i="1"/>
  <c r="G1999" i="1"/>
  <c r="V1998" i="1"/>
  <c r="Q1998" i="1"/>
  <c r="P1998" i="1"/>
  <c r="O1998" i="1"/>
  <c r="N1998" i="1"/>
  <c r="I1998" i="1"/>
  <c r="H1998" i="1"/>
  <c r="G1998" i="1"/>
  <c r="V1997" i="1"/>
  <c r="Q1997" i="1"/>
  <c r="P1997" i="1"/>
  <c r="O1997" i="1"/>
  <c r="N1997" i="1"/>
  <c r="I1997" i="1"/>
  <c r="H1997" i="1"/>
  <c r="V1996" i="1"/>
  <c r="Q1996" i="1"/>
  <c r="P1996" i="1"/>
  <c r="O1996" i="1"/>
  <c r="N1996" i="1"/>
  <c r="I1996" i="1"/>
  <c r="H1996" i="1"/>
  <c r="V1995" i="1"/>
  <c r="Q1995" i="1"/>
  <c r="P1995" i="1"/>
  <c r="O1995" i="1"/>
  <c r="N1995" i="1"/>
  <c r="I1995" i="1"/>
  <c r="H1995" i="1"/>
  <c r="V1994" i="1"/>
  <c r="Q1994" i="1"/>
  <c r="P1994" i="1"/>
  <c r="O1994" i="1"/>
  <c r="N1994" i="1"/>
  <c r="I1994" i="1"/>
  <c r="H1994" i="1"/>
  <c r="V1993" i="1"/>
  <c r="Q1993" i="1"/>
  <c r="P1993" i="1"/>
  <c r="O1993" i="1"/>
  <c r="N1993" i="1"/>
  <c r="I1993" i="1"/>
  <c r="H1993" i="1"/>
  <c r="V1992" i="1"/>
  <c r="Q1992" i="1"/>
  <c r="P1992" i="1"/>
  <c r="O1992" i="1"/>
  <c r="N1992" i="1"/>
  <c r="I1992" i="1"/>
  <c r="H1992" i="1"/>
  <c r="V1991" i="1"/>
  <c r="Q1991" i="1"/>
  <c r="P1991" i="1"/>
  <c r="O1991" i="1"/>
  <c r="N1991" i="1"/>
  <c r="I1991" i="1"/>
  <c r="H1991" i="1"/>
  <c r="V1990" i="1"/>
  <c r="Q1990" i="1"/>
  <c r="P1990" i="1"/>
  <c r="O1990" i="1"/>
  <c r="N1990" i="1"/>
  <c r="I1990" i="1"/>
  <c r="H1990" i="1"/>
  <c r="V1989" i="1"/>
  <c r="Q1989" i="1"/>
  <c r="P1989" i="1"/>
  <c r="O1989" i="1"/>
  <c r="N1989" i="1"/>
  <c r="I1989" i="1"/>
  <c r="H1989" i="1"/>
  <c r="V1988" i="1"/>
  <c r="Q1988" i="1"/>
  <c r="P1988" i="1"/>
  <c r="O1988" i="1"/>
  <c r="N1988" i="1"/>
  <c r="I1988" i="1"/>
  <c r="H1988" i="1"/>
  <c r="V1987" i="1"/>
  <c r="Q1987" i="1"/>
  <c r="P1987" i="1"/>
  <c r="O1987" i="1"/>
  <c r="N1987" i="1"/>
  <c r="I1987" i="1"/>
  <c r="H1987" i="1"/>
  <c r="G1987" i="1"/>
  <c r="V1986" i="1"/>
  <c r="Q1986" i="1"/>
  <c r="P1986" i="1"/>
  <c r="O1986" i="1"/>
  <c r="N1986" i="1"/>
  <c r="I1986" i="1"/>
  <c r="H1986" i="1"/>
  <c r="G1986" i="1"/>
  <c r="V1985" i="1"/>
  <c r="Q1985" i="1"/>
  <c r="P1985" i="1"/>
  <c r="O1985" i="1"/>
  <c r="N1985" i="1"/>
  <c r="I1985" i="1"/>
  <c r="H1985" i="1"/>
  <c r="G1985" i="1"/>
  <c r="V1984" i="1"/>
  <c r="Q1984" i="1"/>
  <c r="P1984" i="1"/>
  <c r="O1984" i="1"/>
  <c r="N1984" i="1"/>
  <c r="I1984" i="1"/>
  <c r="H1984" i="1"/>
  <c r="G1984" i="1"/>
  <c r="V1983" i="1"/>
  <c r="Q1983" i="1"/>
  <c r="P1983" i="1"/>
  <c r="O1983" i="1"/>
  <c r="N1983" i="1"/>
  <c r="I1983" i="1"/>
  <c r="H1983" i="1"/>
  <c r="G1983" i="1"/>
  <c r="V1982" i="1"/>
  <c r="Q1982" i="1"/>
  <c r="P1982" i="1"/>
  <c r="O1982" i="1"/>
  <c r="N1982" i="1"/>
  <c r="I1982" i="1"/>
  <c r="H1982" i="1"/>
  <c r="G1982" i="1"/>
  <c r="V1981" i="1"/>
  <c r="Q1981" i="1"/>
  <c r="P1981" i="1"/>
  <c r="O1981" i="1"/>
  <c r="N1981" i="1"/>
  <c r="I1981" i="1"/>
  <c r="H1981" i="1"/>
  <c r="G1981" i="1"/>
  <c r="V1980" i="1"/>
  <c r="Q1980" i="1"/>
  <c r="P1980" i="1"/>
  <c r="O1980" i="1"/>
  <c r="N1980" i="1"/>
  <c r="I1980" i="1"/>
  <c r="H1980" i="1"/>
  <c r="G1980" i="1"/>
  <c r="V1979" i="1"/>
  <c r="Q1979" i="1"/>
  <c r="P1979" i="1"/>
  <c r="O1979" i="1"/>
  <c r="N1979" i="1"/>
  <c r="I1979" i="1"/>
  <c r="H1979" i="1"/>
  <c r="G1979" i="1"/>
  <c r="V1978" i="1"/>
  <c r="Q1978" i="1"/>
  <c r="P1978" i="1"/>
  <c r="O1978" i="1"/>
  <c r="N1978" i="1"/>
  <c r="I1978" i="1"/>
  <c r="H1978" i="1"/>
  <c r="G1978" i="1"/>
  <c r="V1977" i="1"/>
  <c r="Q1977" i="1"/>
  <c r="P1977" i="1"/>
  <c r="O1977" i="1"/>
  <c r="N1977" i="1"/>
  <c r="I1977" i="1"/>
  <c r="H1977" i="1"/>
  <c r="G1977" i="1"/>
  <c r="V1976" i="1"/>
  <c r="Q1976" i="1"/>
  <c r="P1976" i="1"/>
  <c r="O1976" i="1"/>
  <c r="N1976" i="1"/>
  <c r="I1976" i="1"/>
  <c r="H1976" i="1"/>
  <c r="G1976" i="1"/>
  <c r="V1975" i="1"/>
  <c r="Q1975" i="1"/>
  <c r="P1975" i="1"/>
  <c r="O1975" i="1"/>
  <c r="N1975" i="1"/>
  <c r="I1975" i="1"/>
  <c r="H1975" i="1"/>
  <c r="G1975" i="1"/>
  <c r="V1974" i="1"/>
  <c r="Q1974" i="1"/>
  <c r="P1974" i="1"/>
  <c r="O1974" i="1"/>
  <c r="N1974" i="1"/>
  <c r="I1974" i="1"/>
  <c r="H1974" i="1"/>
  <c r="G1974" i="1"/>
  <c r="V1973" i="1"/>
  <c r="Q1973" i="1"/>
  <c r="P1973" i="1"/>
  <c r="O1973" i="1"/>
  <c r="N1973" i="1"/>
  <c r="I1973" i="1"/>
  <c r="H1973" i="1"/>
  <c r="G1973" i="1"/>
  <c r="V1972" i="1"/>
  <c r="Q1972" i="1"/>
  <c r="P1972" i="1"/>
  <c r="O1972" i="1"/>
  <c r="N1972" i="1"/>
  <c r="I1972" i="1"/>
  <c r="H1972" i="1"/>
  <c r="V1971" i="1"/>
  <c r="Q1971" i="1"/>
  <c r="P1971" i="1"/>
  <c r="O1971" i="1"/>
  <c r="N1971" i="1"/>
  <c r="I1971" i="1"/>
  <c r="H1971" i="1"/>
  <c r="V1970" i="1"/>
  <c r="Q1970" i="1"/>
  <c r="P1970" i="1"/>
  <c r="O1970" i="1"/>
  <c r="N1970" i="1"/>
  <c r="I1970" i="1"/>
  <c r="H1970" i="1"/>
  <c r="V1969" i="1"/>
  <c r="Q1969" i="1"/>
  <c r="P1969" i="1"/>
  <c r="O1969" i="1"/>
  <c r="N1969" i="1"/>
  <c r="I1969" i="1"/>
  <c r="H1969" i="1"/>
  <c r="V1968" i="1"/>
  <c r="Q1968" i="1"/>
  <c r="P1968" i="1"/>
  <c r="O1968" i="1"/>
  <c r="N1968" i="1"/>
  <c r="I1968" i="1"/>
  <c r="H1968" i="1"/>
  <c r="V1967" i="1"/>
  <c r="Q1967" i="1"/>
  <c r="P1967" i="1"/>
  <c r="O1967" i="1"/>
  <c r="N1967" i="1"/>
  <c r="I1967" i="1"/>
  <c r="H1967" i="1"/>
  <c r="V1966" i="1"/>
  <c r="Q1966" i="1"/>
  <c r="P1966" i="1"/>
  <c r="O1966" i="1"/>
  <c r="N1966" i="1"/>
  <c r="I1966" i="1"/>
  <c r="H1966" i="1"/>
  <c r="V1965" i="1"/>
  <c r="Q1965" i="1"/>
  <c r="P1965" i="1"/>
  <c r="O1965" i="1"/>
  <c r="N1965" i="1"/>
  <c r="I1965" i="1"/>
  <c r="H1965" i="1"/>
  <c r="V1964" i="1"/>
  <c r="Q1964" i="1"/>
  <c r="P1964" i="1"/>
  <c r="O1964" i="1"/>
  <c r="N1964" i="1"/>
  <c r="I1964" i="1"/>
  <c r="H1964" i="1"/>
  <c r="V1963" i="1"/>
  <c r="Q1963" i="1"/>
  <c r="P1963" i="1"/>
  <c r="O1963" i="1"/>
  <c r="N1963" i="1"/>
  <c r="I1963" i="1"/>
  <c r="H1963" i="1"/>
  <c r="V1962" i="1"/>
  <c r="Q1962" i="1"/>
  <c r="P1962" i="1"/>
  <c r="O1962" i="1"/>
  <c r="N1962" i="1"/>
  <c r="I1962" i="1"/>
  <c r="H1962" i="1"/>
  <c r="V1961" i="1"/>
  <c r="Q1961" i="1"/>
  <c r="P1961" i="1"/>
  <c r="O1961" i="1"/>
  <c r="N1961" i="1"/>
  <c r="I1961" i="1"/>
  <c r="H1961" i="1"/>
  <c r="V1960" i="1"/>
  <c r="Q1960" i="1"/>
  <c r="P1960" i="1"/>
  <c r="O1960" i="1"/>
  <c r="N1960" i="1"/>
  <c r="I1960" i="1"/>
  <c r="H1960" i="1"/>
  <c r="V1959" i="1"/>
  <c r="Q1959" i="1"/>
  <c r="P1959" i="1"/>
  <c r="O1959" i="1"/>
  <c r="N1959" i="1"/>
  <c r="I1959" i="1"/>
  <c r="H1959" i="1"/>
  <c r="V1958" i="1"/>
  <c r="Q1958" i="1"/>
  <c r="P1958" i="1"/>
  <c r="O1958" i="1"/>
  <c r="N1958" i="1"/>
  <c r="I1958" i="1"/>
  <c r="H1958" i="1"/>
  <c r="V1957" i="1"/>
  <c r="Q1957" i="1"/>
  <c r="P1957" i="1"/>
  <c r="O1957" i="1"/>
  <c r="N1957" i="1"/>
  <c r="I1957" i="1"/>
  <c r="H1957" i="1"/>
  <c r="V1956" i="1"/>
  <c r="Q1956" i="1"/>
  <c r="P1956" i="1"/>
  <c r="O1956" i="1"/>
  <c r="N1956" i="1"/>
  <c r="I1956" i="1"/>
  <c r="H1956" i="1"/>
  <c r="V1955" i="1"/>
  <c r="Q1955" i="1"/>
  <c r="P1955" i="1"/>
  <c r="O1955" i="1"/>
  <c r="N1955" i="1"/>
  <c r="I1955" i="1"/>
  <c r="H1955" i="1"/>
  <c r="V1954" i="1"/>
  <c r="Q1954" i="1"/>
  <c r="P1954" i="1"/>
  <c r="O1954" i="1"/>
  <c r="N1954" i="1"/>
  <c r="I1954" i="1"/>
  <c r="H1954" i="1"/>
  <c r="V1953" i="1"/>
  <c r="Q1953" i="1"/>
  <c r="P1953" i="1"/>
  <c r="O1953" i="1"/>
  <c r="N1953" i="1"/>
  <c r="I1953" i="1"/>
  <c r="H1953" i="1"/>
  <c r="V1952" i="1"/>
  <c r="Q1952" i="1"/>
  <c r="P1952" i="1"/>
  <c r="O1952" i="1"/>
  <c r="N1952" i="1"/>
  <c r="I1952" i="1"/>
  <c r="H1952" i="1"/>
  <c r="V1951" i="1"/>
  <c r="Q1951" i="1"/>
  <c r="P1951" i="1"/>
  <c r="O1951" i="1"/>
  <c r="N1951" i="1"/>
  <c r="I1951" i="1"/>
  <c r="H1951" i="1"/>
  <c r="V1950" i="1"/>
  <c r="Q1950" i="1"/>
  <c r="P1950" i="1"/>
  <c r="O1950" i="1"/>
  <c r="N1950" i="1"/>
  <c r="I1950" i="1"/>
  <c r="H1950" i="1"/>
  <c r="V1949" i="1"/>
  <c r="Q1949" i="1"/>
  <c r="P1949" i="1"/>
  <c r="O1949" i="1"/>
  <c r="N1949" i="1"/>
  <c r="I1949" i="1"/>
  <c r="H1949" i="1"/>
  <c r="Q1948" i="1"/>
  <c r="P1948" i="1"/>
  <c r="O1948" i="1"/>
  <c r="N1948" i="1"/>
  <c r="I1948" i="1"/>
  <c r="H1948" i="1"/>
  <c r="Q1947" i="1"/>
  <c r="P1947" i="1"/>
  <c r="O1947" i="1"/>
  <c r="N1947" i="1"/>
  <c r="I1947" i="1"/>
  <c r="H1947" i="1"/>
  <c r="Q1946" i="1"/>
  <c r="P1946" i="1"/>
  <c r="O1946" i="1"/>
  <c r="N1946" i="1"/>
  <c r="I1946" i="1"/>
  <c r="H1946" i="1"/>
  <c r="Q1945" i="1"/>
  <c r="P1945" i="1"/>
  <c r="O1945" i="1"/>
  <c r="N1945" i="1"/>
  <c r="I1945" i="1"/>
  <c r="H1945" i="1"/>
  <c r="Q1944" i="1"/>
  <c r="P1944" i="1"/>
  <c r="O1944" i="1"/>
  <c r="N1944" i="1"/>
  <c r="I1944" i="1"/>
  <c r="H1944" i="1"/>
  <c r="Q1943" i="1"/>
  <c r="P1943" i="1"/>
  <c r="O1943" i="1"/>
  <c r="N1943" i="1"/>
  <c r="I1943" i="1"/>
  <c r="H1943" i="1"/>
  <c r="Q1942" i="1"/>
  <c r="P1942" i="1"/>
  <c r="O1942" i="1"/>
  <c r="N1942" i="1"/>
  <c r="I1942" i="1"/>
  <c r="H1942" i="1"/>
  <c r="Q1941" i="1"/>
  <c r="P1941" i="1"/>
  <c r="O1941" i="1"/>
  <c r="N1941" i="1"/>
  <c r="I1941" i="1"/>
  <c r="H1941" i="1"/>
  <c r="Q1940" i="1"/>
  <c r="P1940" i="1"/>
  <c r="O1940" i="1"/>
  <c r="N1940" i="1"/>
  <c r="I1940" i="1"/>
  <c r="H1940" i="1"/>
  <c r="Q1939" i="1"/>
  <c r="P1939" i="1"/>
  <c r="O1939" i="1"/>
  <c r="N1939" i="1"/>
  <c r="I1939" i="1"/>
  <c r="H1939" i="1"/>
  <c r="Q1938" i="1"/>
  <c r="P1938" i="1"/>
  <c r="O1938" i="1"/>
  <c r="N1938" i="1"/>
  <c r="I1938" i="1"/>
  <c r="H1938" i="1"/>
  <c r="Q1937" i="1"/>
  <c r="P1937" i="1"/>
  <c r="O1937" i="1"/>
  <c r="N1937" i="1"/>
  <c r="I1937" i="1"/>
  <c r="H1937" i="1"/>
  <c r="Q1936" i="1"/>
  <c r="P1936" i="1"/>
  <c r="O1936" i="1"/>
  <c r="N1936" i="1"/>
  <c r="I1936" i="1"/>
  <c r="H1936" i="1"/>
  <c r="Q1935" i="1"/>
  <c r="P1935" i="1"/>
  <c r="O1935" i="1"/>
  <c r="N1935" i="1"/>
  <c r="I1935" i="1"/>
  <c r="H1935" i="1"/>
  <c r="Q1934" i="1"/>
  <c r="P1934" i="1"/>
  <c r="O1934" i="1"/>
  <c r="N1934" i="1"/>
  <c r="I1934" i="1"/>
  <c r="H1934" i="1"/>
  <c r="Q1933" i="1"/>
  <c r="P1933" i="1"/>
  <c r="O1933" i="1"/>
  <c r="N1933" i="1"/>
  <c r="I1933" i="1"/>
  <c r="H1933" i="1"/>
  <c r="Q1932" i="1"/>
  <c r="P1932" i="1"/>
  <c r="O1932" i="1"/>
  <c r="N1932" i="1"/>
  <c r="I1932" i="1"/>
  <c r="H1932" i="1"/>
  <c r="Q1931" i="1"/>
  <c r="P1931" i="1"/>
  <c r="O1931" i="1"/>
  <c r="N1931" i="1"/>
  <c r="I1931" i="1"/>
  <c r="Q1930" i="1"/>
  <c r="P1930" i="1"/>
  <c r="O1930" i="1"/>
  <c r="N1930" i="1"/>
  <c r="I1930" i="1"/>
  <c r="Q1929" i="1"/>
  <c r="P1929" i="1"/>
  <c r="O1929" i="1"/>
  <c r="N1929" i="1"/>
  <c r="I1929" i="1"/>
  <c r="Q1928" i="1"/>
  <c r="P1928" i="1"/>
  <c r="O1928" i="1"/>
  <c r="N1928" i="1"/>
  <c r="I1928" i="1"/>
  <c r="Q1927" i="1"/>
  <c r="P1927" i="1"/>
  <c r="O1927" i="1"/>
  <c r="N1927" i="1"/>
  <c r="I1927" i="1"/>
  <c r="Q1926" i="1"/>
  <c r="P1926" i="1"/>
  <c r="O1926" i="1"/>
  <c r="N1926" i="1"/>
  <c r="I1926" i="1"/>
  <c r="Q1925" i="1"/>
  <c r="P1925" i="1"/>
  <c r="O1925" i="1"/>
  <c r="N1925" i="1"/>
  <c r="I1925" i="1"/>
  <c r="Q1924" i="1"/>
  <c r="P1924" i="1"/>
  <c r="O1924" i="1"/>
  <c r="N1924" i="1"/>
  <c r="I1924" i="1"/>
  <c r="Q1923" i="1"/>
  <c r="P1923" i="1"/>
  <c r="O1923" i="1"/>
  <c r="N1923" i="1"/>
  <c r="I1923" i="1"/>
  <c r="Q1922" i="1"/>
  <c r="P1922" i="1"/>
  <c r="O1922" i="1"/>
  <c r="N1922" i="1"/>
  <c r="I1922" i="1"/>
  <c r="Q1921" i="1"/>
  <c r="P1921" i="1"/>
  <c r="O1921" i="1"/>
  <c r="N1921" i="1"/>
  <c r="I1921" i="1"/>
  <c r="Q1920" i="1"/>
  <c r="P1920" i="1"/>
  <c r="O1920" i="1"/>
  <c r="N1920" i="1"/>
  <c r="I1920" i="1"/>
  <c r="Q1919" i="1"/>
  <c r="P1919" i="1"/>
  <c r="O1919" i="1"/>
  <c r="N1919" i="1"/>
  <c r="I1919" i="1"/>
  <c r="Q1918" i="1"/>
  <c r="P1918" i="1"/>
  <c r="O1918" i="1"/>
  <c r="N1918" i="1"/>
  <c r="I1918" i="1"/>
  <c r="Q1917" i="1"/>
  <c r="P1917" i="1"/>
  <c r="O1917" i="1"/>
  <c r="N1917" i="1"/>
  <c r="I1917" i="1"/>
  <c r="Q1916" i="1"/>
  <c r="P1916" i="1"/>
  <c r="O1916" i="1"/>
  <c r="Q1915" i="1"/>
  <c r="P1915" i="1"/>
  <c r="O1915" i="1"/>
  <c r="Q1914" i="1"/>
  <c r="P1914" i="1"/>
  <c r="O1914" i="1"/>
  <c r="Q1913" i="1"/>
  <c r="P1913" i="1"/>
  <c r="O1913" i="1"/>
  <c r="Q1912" i="1"/>
  <c r="P1912" i="1"/>
  <c r="O1912" i="1"/>
  <c r="Q1911" i="1"/>
  <c r="P1911" i="1"/>
  <c r="O1911" i="1"/>
  <c r="Q1910" i="1"/>
  <c r="P1910" i="1"/>
  <c r="O1910" i="1"/>
  <c r="Q1909" i="1"/>
  <c r="P1909" i="1"/>
  <c r="O1909" i="1"/>
  <c r="Q1908" i="1"/>
  <c r="P1908" i="1"/>
  <c r="O1908" i="1"/>
  <c r="Q1907" i="1"/>
  <c r="P1907" i="1"/>
  <c r="O1907" i="1"/>
  <c r="Q1906" i="1"/>
  <c r="P1906" i="1"/>
  <c r="O1906" i="1"/>
  <c r="Q1905" i="1"/>
  <c r="P1905" i="1"/>
  <c r="O1905" i="1"/>
  <c r="Q1904" i="1"/>
  <c r="P1904" i="1"/>
  <c r="O1904" i="1"/>
  <c r="Q1903" i="1"/>
  <c r="P1903" i="1"/>
  <c r="O1903" i="1"/>
  <c r="Q1902" i="1"/>
  <c r="P1902" i="1"/>
  <c r="O1902" i="1"/>
  <c r="Q1901" i="1"/>
  <c r="P1901" i="1"/>
  <c r="O1901" i="1"/>
  <c r="N1901" i="1"/>
  <c r="Q1900" i="1"/>
  <c r="P1900" i="1"/>
  <c r="O1900" i="1"/>
  <c r="N1900" i="1"/>
  <c r="Q1899" i="1"/>
  <c r="P1899" i="1"/>
  <c r="O1899" i="1"/>
  <c r="N1899" i="1"/>
  <c r="I1899" i="1"/>
  <c r="Q1898" i="1"/>
  <c r="P1898" i="1"/>
  <c r="O1898" i="1"/>
  <c r="N1898" i="1"/>
  <c r="I1898" i="1"/>
  <c r="Q1897" i="1"/>
  <c r="P1897" i="1"/>
  <c r="O1897" i="1"/>
  <c r="N1897" i="1"/>
  <c r="I1897" i="1"/>
  <c r="H1897" i="1"/>
  <c r="Q1896" i="1"/>
  <c r="P1896" i="1"/>
  <c r="O1896" i="1"/>
  <c r="N1896" i="1"/>
  <c r="I1896" i="1"/>
  <c r="H1896" i="1"/>
  <c r="Q1895" i="1"/>
  <c r="P1895" i="1"/>
  <c r="O1895" i="1"/>
  <c r="N1895" i="1"/>
  <c r="I1895" i="1"/>
  <c r="H1895" i="1"/>
  <c r="Q1894" i="1"/>
  <c r="P1894" i="1"/>
  <c r="O1894" i="1"/>
  <c r="N1894" i="1"/>
  <c r="I1894" i="1"/>
  <c r="H1894" i="1"/>
  <c r="Q1893" i="1"/>
  <c r="P1893" i="1"/>
  <c r="O1893" i="1"/>
  <c r="N1893" i="1"/>
  <c r="I1893" i="1"/>
  <c r="H1893" i="1"/>
  <c r="Q1892" i="1"/>
  <c r="P1892" i="1"/>
  <c r="O1892" i="1"/>
  <c r="N1892" i="1"/>
  <c r="I1892" i="1"/>
  <c r="H1892" i="1"/>
  <c r="Q1891" i="1"/>
  <c r="P1891" i="1"/>
  <c r="O1891" i="1"/>
  <c r="N1891" i="1"/>
  <c r="I1891" i="1"/>
  <c r="H1891" i="1"/>
  <c r="Q1890" i="1"/>
  <c r="P1890" i="1"/>
  <c r="O1890" i="1"/>
  <c r="N1890" i="1"/>
  <c r="I1890" i="1"/>
  <c r="H1890" i="1"/>
  <c r="Q1889" i="1"/>
  <c r="P1889" i="1"/>
  <c r="O1889" i="1"/>
  <c r="N1889" i="1"/>
  <c r="I1889" i="1"/>
  <c r="H1889" i="1"/>
  <c r="Q1888" i="1"/>
  <c r="P1888" i="1"/>
  <c r="O1888" i="1"/>
  <c r="N1888" i="1"/>
  <c r="I1888" i="1"/>
  <c r="Q1887" i="1"/>
  <c r="P1887" i="1"/>
  <c r="O1887" i="1"/>
  <c r="N1887" i="1"/>
  <c r="I1887" i="1"/>
  <c r="Q1886" i="1"/>
  <c r="P1886" i="1"/>
  <c r="O1886" i="1"/>
  <c r="N1886" i="1"/>
  <c r="I1886" i="1"/>
  <c r="Q1885" i="1"/>
  <c r="P1885" i="1"/>
  <c r="O1885" i="1"/>
  <c r="Q1884" i="1"/>
  <c r="P1884" i="1"/>
  <c r="O1884" i="1"/>
  <c r="Q1883" i="1"/>
  <c r="P1883" i="1"/>
  <c r="O1883" i="1"/>
  <c r="Q1882" i="1"/>
  <c r="P1882" i="1"/>
  <c r="O1882" i="1"/>
  <c r="Q1881" i="1"/>
  <c r="P1881" i="1"/>
  <c r="O1881" i="1"/>
  <c r="Q1880" i="1"/>
  <c r="P1880" i="1"/>
  <c r="O1880" i="1"/>
  <c r="Q1879" i="1"/>
  <c r="P1879" i="1"/>
  <c r="O1879" i="1"/>
  <c r="Q1878" i="1"/>
  <c r="P1878" i="1"/>
  <c r="O1878" i="1"/>
  <c r="Q1877" i="1"/>
  <c r="P1877" i="1"/>
  <c r="O1877" i="1"/>
  <c r="Q1876" i="1"/>
  <c r="P1876" i="1"/>
  <c r="O1876" i="1"/>
  <c r="Q1875" i="1"/>
  <c r="P1875" i="1"/>
  <c r="O1875" i="1"/>
  <c r="Q1874" i="1"/>
  <c r="P1874" i="1"/>
  <c r="O1874" i="1"/>
  <c r="I1874" i="1"/>
  <c r="Q1873" i="1"/>
  <c r="P1873" i="1"/>
  <c r="O1873" i="1"/>
  <c r="N1873" i="1"/>
  <c r="I1873" i="1"/>
  <c r="Q1872" i="1"/>
  <c r="P1872" i="1"/>
  <c r="O1872" i="1"/>
  <c r="N1872" i="1"/>
  <c r="I1872" i="1"/>
  <c r="Q1871" i="1"/>
  <c r="P1871" i="1"/>
  <c r="O1871" i="1"/>
  <c r="N1871" i="1"/>
  <c r="I1871" i="1"/>
  <c r="Q1870" i="1"/>
  <c r="P1870" i="1"/>
  <c r="O1870" i="1"/>
  <c r="N1870" i="1"/>
  <c r="I1870" i="1"/>
  <c r="Q1869" i="1"/>
  <c r="P1869" i="1"/>
  <c r="O1869" i="1"/>
  <c r="N1869" i="1"/>
  <c r="I1869" i="1"/>
  <c r="Q1868" i="1"/>
  <c r="P1868" i="1"/>
  <c r="O1868" i="1"/>
  <c r="N1868" i="1"/>
  <c r="I1868" i="1"/>
  <c r="Q1867" i="1"/>
  <c r="P1867" i="1"/>
  <c r="O1867" i="1"/>
  <c r="N1867" i="1"/>
  <c r="I1867" i="1"/>
  <c r="Q1866" i="1"/>
  <c r="P1866" i="1"/>
  <c r="O1866" i="1"/>
  <c r="N1866" i="1"/>
  <c r="I1866" i="1"/>
  <c r="Q1865" i="1"/>
  <c r="P1865" i="1"/>
  <c r="O1865" i="1"/>
  <c r="N1865" i="1"/>
  <c r="I1865" i="1"/>
  <c r="H1865" i="1"/>
  <c r="Q1864" i="1"/>
  <c r="P1864" i="1"/>
  <c r="O1864" i="1"/>
  <c r="N1864" i="1"/>
  <c r="I1864" i="1"/>
  <c r="H1864" i="1"/>
  <c r="Q1863" i="1"/>
  <c r="P1863" i="1"/>
  <c r="O1863" i="1"/>
  <c r="N1863" i="1"/>
  <c r="I1863" i="1"/>
  <c r="H1863" i="1"/>
  <c r="Q1862" i="1"/>
  <c r="P1862" i="1"/>
  <c r="O1862" i="1"/>
  <c r="N1862" i="1"/>
  <c r="I1862" i="1"/>
  <c r="H1862" i="1"/>
  <c r="Q1861" i="1"/>
  <c r="P1861" i="1"/>
  <c r="O1861" i="1"/>
  <c r="N1861" i="1"/>
  <c r="I1861" i="1"/>
  <c r="H1861" i="1"/>
  <c r="Q1860" i="1"/>
  <c r="P1860" i="1"/>
  <c r="O1860" i="1"/>
  <c r="N1860" i="1"/>
  <c r="I1860" i="1"/>
  <c r="H1860" i="1"/>
  <c r="Q1859" i="1"/>
  <c r="P1859" i="1"/>
  <c r="O1859" i="1"/>
  <c r="N1859" i="1"/>
  <c r="I1859" i="1"/>
  <c r="H1859" i="1"/>
  <c r="Q1858" i="1"/>
  <c r="P1858" i="1"/>
  <c r="O1858" i="1"/>
  <c r="N1858" i="1"/>
  <c r="I1858" i="1"/>
  <c r="H1858" i="1"/>
  <c r="Q1857" i="1"/>
  <c r="P1857" i="1"/>
  <c r="O1857" i="1"/>
  <c r="N1857" i="1"/>
  <c r="I1857" i="1"/>
  <c r="H1857" i="1"/>
  <c r="Q1856" i="1"/>
  <c r="P1856" i="1"/>
  <c r="O1856" i="1"/>
  <c r="N1856" i="1"/>
  <c r="I1856" i="1"/>
  <c r="H1856" i="1"/>
  <c r="Q1855" i="1"/>
  <c r="P1855" i="1"/>
  <c r="O1855" i="1"/>
  <c r="N1855" i="1"/>
  <c r="I1855" i="1"/>
  <c r="H1855" i="1"/>
  <c r="Q1854" i="1"/>
  <c r="P1854" i="1"/>
  <c r="O1854" i="1"/>
  <c r="N1854" i="1"/>
  <c r="I1854" i="1"/>
  <c r="H1854" i="1"/>
  <c r="Q1853" i="1"/>
  <c r="P1853" i="1"/>
  <c r="O1853" i="1"/>
  <c r="N1853" i="1"/>
  <c r="I1853" i="1"/>
  <c r="H1853" i="1"/>
  <c r="Q1852" i="1"/>
  <c r="P1852" i="1"/>
  <c r="O1852" i="1"/>
  <c r="N1852" i="1"/>
  <c r="I1852" i="1"/>
  <c r="H1852" i="1"/>
  <c r="Q1851" i="1"/>
  <c r="P1851" i="1"/>
  <c r="O1851" i="1"/>
  <c r="N1851" i="1"/>
  <c r="I1851" i="1"/>
  <c r="H1851" i="1"/>
  <c r="Q1850" i="1"/>
  <c r="P1850" i="1"/>
  <c r="O1850" i="1"/>
  <c r="N1850" i="1"/>
  <c r="I1850" i="1"/>
  <c r="H1850" i="1"/>
  <c r="Q1849" i="1"/>
  <c r="P1849" i="1"/>
  <c r="O1849" i="1"/>
  <c r="N1849" i="1"/>
  <c r="I1849" i="1"/>
  <c r="H1849" i="1"/>
  <c r="Q1848" i="1"/>
  <c r="P1848" i="1"/>
  <c r="O1848" i="1"/>
  <c r="N1848" i="1"/>
  <c r="I1848" i="1"/>
  <c r="H1848" i="1"/>
  <c r="Q1847" i="1"/>
  <c r="P1847" i="1"/>
  <c r="O1847" i="1"/>
  <c r="N1847" i="1"/>
  <c r="I1847" i="1"/>
  <c r="H1847" i="1"/>
  <c r="Q1846" i="1"/>
  <c r="P1846" i="1"/>
  <c r="O1846" i="1"/>
  <c r="N1846" i="1"/>
  <c r="I1846" i="1"/>
  <c r="H1846" i="1"/>
  <c r="Q1845" i="1"/>
  <c r="P1845" i="1"/>
  <c r="O1845" i="1"/>
  <c r="N1845" i="1"/>
  <c r="I1845" i="1"/>
  <c r="H1845" i="1"/>
  <c r="Q1844" i="1"/>
  <c r="P1844" i="1"/>
  <c r="O1844" i="1"/>
  <c r="N1844" i="1"/>
  <c r="I1844" i="1"/>
  <c r="H1844" i="1"/>
  <c r="Q1843" i="1"/>
  <c r="P1843" i="1"/>
  <c r="O1843" i="1"/>
  <c r="N1843" i="1"/>
  <c r="I1843" i="1"/>
  <c r="H1843" i="1"/>
  <c r="Q1842" i="1"/>
  <c r="P1842" i="1"/>
  <c r="O1842" i="1"/>
  <c r="N1842" i="1"/>
  <c r="I1842" i="1"/>
  <c r="H1842" i="1"/>
  <c r="Q1841" i="1"/>
  <c r="P1841" i="1"/>
  <c r="O1841" i="1"/>
  <c r="N1841" i="1"/>
  <c r="I1841" i="1"/>
  <c r="H1841" i="1"/>
  <c r="Q1840" i="1"/>
  <c r="P1840" i="1"/>
  <c r="O1840" i="1"/>
  <c r="N1840" i="1"/>
  <c r="I1840" i="1"/>
  <c r="H1840" i="1"/>
  <c r="Q1839" i="1"/>
  <c r="P1839" i="1"/>
  <c r="O1839" i="1"/>
  <c r="N1839" i="1"/>
  <c r="I1839" i="1"/>
  <c r="H1839" i="1"/>
  <c r="Q1838" i="1"/>
  <c r="P1838" i="1"/>
  <c r="O1838" i="1"/>
  <c r="N1838" i="1"/>
  <c r="I1838" i="1"/>
  <c r="H1838" i="1"/>
  <c r="Q1837" i="1"/>
  <c r="P1837" i="1"/>
  <c r="O1837" i="1"/>
  <c r="N1837" i="1"/>
  <c r="I1837" i="1"/>
  <c r="H1837" i="1"/>
  <c r="Q1836" i="1"/>
  <c r="P1836" i="1"/>
  <c r="O1836" i="1"/>
  <c r="N1836" i="1"/>
  <c r="I1836" i="1"/>
  <c r="H1836" i="1"/>
  <c r="V1835" i="1"/>
  <c r="Q1835" i="1"/>
  <c r="P1835" i="1"/>
  <c r="O1835" i="1"/>
  <c r="N1835" i="1"/>
  <c r="I1835" i="1"/>
  <c r="H1835" i="1"/>
  <c r="V1834" i="1"/>
  <c r="Q1834" i="1"/>
  <c r="P1834" i="1"/>
  <c r="O1834" i="1"/>
  <c r="N1834" i="1"/>
  <c r="I1834" i="1"/>
  <c r="H1834" i="1"/>
  <c r="V1833" i="1"/>
  <c r="Q1833" i="1"/>
  <c r="P1833" i="1"/>
  <c r="O1833" i="1"/>
  <c r="N1833" i="1"/>
  <c r="I1833" i="1"/>
  <c r="H1833" i="1"/>
  <c r="V1832" i="1"/>
  <c r="Q1832" i="1"/>
  <c r="P1832" i="1"/>
  <c r="O1832" i="1"/>
  <c r="N1832" i="1"/>
  <c r="I1832" i="1"/>
  <c r="H1832" i="1"/>
  <c r="V1831" i="1"/>
  <c r="Q1831" i="1"/>
  <c r="P1831" i="1"/>
  <c r="O1831" i="1"/>
  <c r="N1831" i="1"/>
  <c r="I1831" i="1"/>
  <c r="H1831" i="1"/>
  <c r="V1830" i="1"/>
  <c r="Q1830" i="1"/>
  <c r="P1830" i="1"/>
  <c r="O1830" i="1"/>
  <c r="N1830" i="1"/>
  <c r="I1830" i="1"/>
  <c r="H1830" i="1"/>
  <c r="G1830" i="1"/>
  <c r="V1829" i="1"/>
  <c r="Q1829" i="1"/>
  <c r="P1829" i="1"/>
  <c r="O1829" i="1"/>
  <c r="N1829" i="1"/>
  <c r="I1829" i="1"/>
  <c r="H1829" i="1"/>
  <c r="G1829" i="1"/>
  <c r="V1828" i="1"/>
  <c r="Q1828" i="1"/>
  <c r="P1828" i="1"/>
  <c r="O1828" i="1"/>
  <c r="N1828" i="1"/>
  <c r="I1828" i="1"/>
  <c r="H1828" i="1"/>
  <c r="G1828" i="1"/>
  <c r="V1827" i="1"/>
  <c r="Q1827" i="1"/>
  <c r="P1827" i="1"/>
  <c r="O1827" i="1"/>
  <c r="N1827" i="1"/>
  <c r="J1827" i="1"/>
  <c r="I1827" i="1"/>
  <c r="H1827" i="1"/>
  <c r="G1827" i="1"/>
  <c r="V1826" i="1"/>
  <c r="Q1826" i="1"/>
  <c r="P1826" i="1"/>
  <c r="O1826" i="1"/>
  <c r="N1826" i="1"/>
  <c r="J1826" i="1"/>
  <c r="I1826" i="1"/>
  <c r="H1826" i="1"/>
  <c r="G1826" i="1"/>
  <c r="V1825" i="1"/>
  <c r="Q1825" i="1"/>
  <c r="P1825" i="1"/>
  <c r="O1825" i="1"/>
  <c r="N1825" i="1"/>
  <c r="J1825" i="1"/>
  <c r="I1825" i="1"/>
  <c r="H1825" i="1"/>
  <c r="G1825" i="1"/>
  <c r="V1824" i="1"/>
  <c r="Q1824" i="1"/>
  <c r="P1824" i="1"/>
  <c r="O1824" i="1"/>
  <c r="N1824" i="1"/>
  <c r="J1824" i="1"/>
  <c r="I1824" i="1"/>
  <c r="H1824" i="1"/>
  <c r="G1824" i="1"/>
  <c r="V1823" i="1"/>
  <c r="Q1823" i="1"/>
  <c r="P1823" i="1"/>
  <c r="O1823" i="1"/>
  <c r="N1823" i="1"/>
  <c r="J1823" i="1"/>
  <c r="I1823" i="1"/>
  <c r="H1823" i="1"/>
  <c r="G1823" i="1"/>
  <c r="V1822" i="1"/>
  <c r="Q1822" i="1"/>
  <c r="P1822" i="1"/>
  <c r="O1822" i="1"/>
  <c r="N1822" i="1"/>
  <c r="J1822" i="1"/>
  <c r="I1822" i="1"/>
  <c r="H1822" i="1"/>
  <c r="G1822" i="1"/>
  <c r="V1821" i="1"/>
  <c r="Q1821" i="1"/>
  <c r="P1821" i="1"/>
  <c r="O1821" i="1"/>
  <c r="N1821" i="1"/>
  <c r="J1821" i="1"/>
  <c r="I1821" i="1"/>
  <c r="H1821" i="1"/>
  <c r="G1821" i="1"/>
  <c r="V1820" i="1"/>
  <c r="Q1820" i="1"/>
  <c r="P1820" i="1"/>
  <c r="O1820" i="1"/>
  <c r="N1820" i="1"/>
  <c r="J1820" i="1"/>
  <c r="I1820" i="1"/>
  <c r="H1820" i="1"/>
  <c r="G1820" i="1"/>
  <c r="V1819" i="1"/>
  <c r="Q1819" i="1"/>
  <c r="P1819" i="1"/>
  <c r="O1819" i="1"/>
  <c r="N1819" i="1"/>
  <c r="J1819" i="1"/>
  <c r="I1819" i="1"/>
  <c r="H1819" i="1"/>
  <c r="G1819" i="1"/>
  <c r="V1818" i="1"/>
  <c r="Q1818" i="1"/>
  <c r="P1818" i="1"/>
  <c r="O1818" i="1"/>
  <c r="N1818" i="1"/>
  <c r="J1818" i="1"/>
  <c r="I1818" i="1"/>
  <c r="H1818" i="1"/>
  <c r="G1818" i="1"/>
  <c r="V1817" i="1"/>
  <c r="Q1817" i="1"/>
  <c r="P1817" i="1"/>
  <c r="O1817" i="1"/>
  <c r="N1817" i="1"/>
  <c r="J1817" i="1"/>
  <c r="I1817" i="1"/>
  <c r="H1817" i="1"/>
  <c r="G1817" i="1"/>
  <c r="V1816" i="1"/>
  <c r="Q1816" i="1"/>
  <c r="P1816" i="1"/>
  <c r="O1816" i="1"/>
  <c r="N1816" i="1"/>
  <c r="J1816" i="1"/>
  <c r="I1816" i="1"/>
  <c r="H1816" i="1"/>
  <c r="G1816" i="1"/>
  <c r="V1815" i="1"/>
  <c r="Q1815" i="1"/>
  <c r="P1815" i="1"/>
  <c r="O1815" i="1"/>
  <c r="N1815" i="1"/>
  <c r="J1815" i="1"/>
  <c r="I1815" i="1"/>
  <c r="H1815" i="1"/>
  <c r="G1815" i="1"/>
  <c r="V1814" i="1"/>
  <c r="Q1814" i="1"/>
  <c r="P1814" i="1"/>
  <c r="O1814" i="1"/>
  <c r="N1814" i="1"/>
  <c r="J1814" i="1"/>
  <c r="I1814" i="1"/>
  <c r="H1814" i="1"/>
  <c r="G1814" i="1"/>
  <c r="V1813" i="1"/>
  <c r="Q1813" i="1"/>
  <c r="P1813" i="1"/>
  <c r="O1813" i="1"/>
  <c r="N1813" i="1"/>
  <c r="J1813" i="1"/>
  <c r="I1813" i="1"/>
  <c r="H1813" i="1"/>
  <c r="G1813" i="1"/>
  <c r="V1812" i="1"/>
  <c r="Q1812" i="1"/>
  <c r="P1812" i="1"/>
  <c r="O1812" i="1"/>
  <c r="N1812" i="1"/>
  <c r="J1812" i="1"/>
  <c r="I1812" i="1"/>
  <c r="H1812" i="1"/>
  <c r="G1812" i="1"/>
  <c r="V1811" i="1"/>
  <c r="Q1811" i="1"/>
  <c r="P1811" i="1"/>
  <c r="O1811" i="1"/>
  <c r="N1811" i="1"/>
  <c r="J1811" i="1"/>
  <c r="I1811" i="1"/>
  <c r="H1811" i="1"/>
  <c r="G1811" i="1"/>
  <c r="V1810" i="1"/>
  <c r="Q1810" i="1"/>
  <c r="P1810" i="1"/>
  <c r="O1810" i="1"/>
  <c r="N1810" i="1"/>
  <c r="I1810" i="1"/>
  <c r="H1810" i="1"/>
  <c r="G1810" i="1"/>
  <c r="V1809" i="1"/>
  <c r="Q1809" i="1"/>
  <c r="P1809" i="1"/>
  <c r="O1809" i="1"/>
  <c r="N1809" i="1"/>
  <c r="I1809" i="1"/>
  <c r="H1809" i="1"/>
  <c r="G1809" i="1"/>
  <c r="V1808" i="1"/>
  <c r="Q1808" i="1"/>
  <c r="P1808" i="1"/>
  <c r="O1808" i="1"/>
  <c r="N1808" i="1"/>
  <c r="I1808" i="1"/>
  <c r="H1808" i="1"/>
  <c r="G1808" i="1"/>
  <c r="V1807" i="1"/>
  <c r="Q1807" i="1"/>
  <c r="P1807" i="1"/>
  <c r="O1807" i="1"/>
  <c r="N1807" i="1"/>
  <c r="I1807" i="1"/>
  <c r="H1807" i="1"/>
  <c r="V1806" i="1"/>
  <c r="Q1806" i="1"/>
  <c r="P1806" i="1"/>
  <c r="O1806" i="1"/>
  <c r="N1806" i="1"/>
  <c r="I1806" i="1"/>
  <c r="H1806" i="1"/>
  <c r="V1805" i="1"/>
  <c r="Q1805" i="1"/>
  <c r="P1805" i="1"/>
  <c r="O1805" i="1"/>
  <c r="N1805" i="1"/>
  <c r="I1805" i="1"/>
  <c r="H1805" i="1"/>
  <c r="V1804" i="1"/>
  <c r="Q1804" i="1"/>
  <c r="P1804" i="1"/>
  <c r="O1804" i="1"/>
  <c r="N1804" i="1"/>
  <c r="I1804" i="1"/>
  <c r="H1804" i="1"/>
  <c r="Q1803" i="1"/>
  <c r="P1803" i="1"/>
  <c r="O1803" i="1"/>
  <c r="N1803" i="1"/>
  <c r="I1803" i="1"/>
  <c r="H1803" i="1"/>
  <c r="Q1802" i="1"/>
  <c r="P1802" i="1"/>
  <c r="O1802" i="1"/>
  <c r="N1802" i="1"/>
  <c r="I1802" i="1"/>
  <c r="H1802" i="1"/>
  <c r="Q1801" i="1"/>
  <c r="P1801" i="1"/>
  <c r="O1801" i="1"/>
  <c r="N1801" i="1"/>
  <c r="I1801" i="1"/>
  <c r="H1801" i="1"/>
  <c r="Q1800" i="1"/>
  <c r="P1800" i="1"/>
  <c r="O1800" i="1"/>
  <c r="N1800" i="1"/>
  <c r="I1800" i="1"/>
  <c r="H1800" i="1"/>
  <c r="Q1799" i="1"/>
  <c r="P1799" i="1"/>
  <c r="O1799" i="1"/>
  <c r="N1799" i="1"/>
  <c r="I1799" i="1"/>
  <c r="Q1798" i="1"/>
  <c r="P1798" i="1"/>
  <c r="O1798" i="1"/>
  <c r="N1798" i="1"/>
  <c r="I1798" i="1"/>
  <c r="Q1797" i="1"/>
  <c r="P1797" i="1"/>
  <c r="O1797" i="1"/>
  <c r="N1797" i="1"/>
  <c r="I1797" i="1"/>
  <c r="Q1796" i="1"/>
  <c r="P1796" i="1"/>
  <c r="O1796" i="1"/>
  <c r="N1796" i="1"/>
  <c r="I1796" i="1"/>
  <c r="Q1795" i="1"/>
  <c r="P1795" i="1"/>
  <c r="O1795" i="1"/>
  <c r="N1795" i="1"/>
  <c r="Q1794" i="1"/>
  <c r="P1794" i="1"/>
  <c r="O1794" i="1"/>
  <c r="Q1793" i="1"/>
  <c r="P1793" i="1"/>
  <c r="O1793" i="1"/>
  <c r="Q1792" i="1"/>
  <c r="P1792" i="1"/>
  <c r="O1792" i="1"/>
  <c r="Q1791" i="1"/>
  <c r="P1791" i="1"/>
  <c r="O1791" i="1"/>
  <c r="Q1790" i="1"/>
  <c r="P1790" i="1"/>
  <c r="O1790" i="1"/>
  <c r="Q1789" i="1"/>
  <c r="P1789" i="1"/>
  <c r="O1789" i="1"/>
  <c r="Q1788" i="1"/>
  <c r="P1788" i="1"/>
  <c r="O1788" i="1"/>
  <c r="Q1787" i="1"/>
  <c r="P1787" i="1"/>
  <c r="O1787" i="1"/>
  <c r="Q1786" i="1"/>
  <c r="P1786" i="1"/>
  <c r="O1786" i="1"/>
  <c r="Q1785" i="1"/>
  <c r="P1785" i="1"/>
  <c r="O1785" i="1"/>
  <c r="Q1784" i="1"/>
  <c r="P1784" i="1"/>
  <c r="O1784" i="1"/>
  <c r="Q1783" i="1"/>
  <c r="P1783" i="1"/>
  <c r="O1783" i="1"/>
  <c r="Q1782" i="1"/>
  <c r="P1782" i="1"/>
  <c r="O1782" i="1"/>
  <c r="Q1781" i="1"/>
  <c r="P1781" i="1"/>
  <c r="O1781" i="1"/>
  <c r="Q1780" i="1"/>
  <c r="P1780" i="1"/>
  <c r="O1780" i="1"/>
  <c r="Q1779" i="1"/>
  <c r="P1779" i="1"/>
  <c r="O1779" i="1"/>
  <c r="Q1778" i="1"/>
  <c r="P1778" i="1"/>
  <c r="O1778" i="1"/>
  <c r="Q1777" i="1"/>
  <c r="P1777" i="1"/>
  <c r="O1777" i="1"/>
  <c r="Q1776" i="1"/>
  <c r="P1776" i="1"/>
  <c r="O1776" i="1"/>
  <c r="Q1775" i="1"/>
  <c r="P1775" i="1"/>
  <c r="O1775" i="1"/>
  <c r="Q1774" i="1"/>
  <c r="P1774" i="1"/>
  <c r="O1774" i="1"/>
  <c r="Q1773" i="1"/>
  <c r="P1773" i="1"/>
  <c r="O1773" i="1"/>
  <c r="Q1772" i="1"/>
  <c r="P1772" i="1"/>
  <c r="O1772" i="1"/>
  <c r="Q1771" i="1"/>
  <c r="P1771" i="1"/>
  <c r="O1771" i="1"/>
  <c r="Q1770" i="1"/>
  <c r="P1770" i="1"/>
  <c r="O1770" i="1"/>
  <c r="Q1769" i="1"/>
  <c r="P1769" i="1"/>
  <c r="O1769" i="1"/>
  <c r="Q1768" i="1"/>
  <c r="P1768" i="1"/>
  <c r="O1768" i="1"/>
  <c r="Q1767" i="1"/>
  <c r="P1767" i="1"/>
  <c r="O1767" i="1"/>
  <c r="Q1766" i="1"/>
  <c r="P1766" i="1"/>
  <c r="O1766" i="1"/>
  <c r="Q1765" i="1"/>
  <c r="P1765" i="1"/>
  <c r="O1765" i="1"/>
  <c r="Q1764" i="1"/>
  <c r="P1764" i="1"/>
  <c r="O1764" i="1"/>
  <c r="Q1763" i="1"/>
  <c r="P1763" i="1"/>
  <c r="O1763" i="1"/>
  <c r="Q1762" i="1"/>
  <c r="P1762" i="1"/>
  <c r="O1762" i="1"/>
  <c r="Q1761" i="1"/>
  <c r="P1761" i="1"/>
  <c r="O1761" i="1"/>
  <c r="Q1760" i="1"/>
  <c r="P1760" i="1"/>
  <c r="O1760" i="1"/>
  <c r="Q1759" i="1"/>
  <c r="P1759" i="1"/>
  <c r="O1759" i="1"/>
  <c r="Q1758" i="1"/>
  <c r="P1758" i="1"/>
  <c r="O1758" i="1"/>
  <c r="Q1757" i="1"/>
  <c r="P1757" i="1"/>
  <c r="O1757" i="1"/>
  <c r="Q1756" i="1"/>
  <c r="P1756" i="1"/>
  <c r="O1756" i="1"/>
  <c r="Q1755" i="1"/>
  <c r="P1755" i="1"/>
  <c r="O1755" i="1"/>
  <c r="Q1754" i="1"/>
  <c r="P1754" i="1"/>
  <c r="O1754" i="1"/>
  <c r="Q1753" i="1"/>
  <c r="P1753" i="1"/>
  <c r="O1753" i="1"/>
  <c r="Q1752" i="1"/>
  <c r="P1752" i="1"/>
  <c r="O1752" i="1"/>
  <c r="Q1751" i="1"/>
  <c r="P1751" i="1"/>
  <c r="O1751" i="1"/>
  <c r="Q1750" i="1"/>
  <c r="P1750" i="1"/>
  <c r="O1750" i="1"/>
  <c r="Q1749" i="1"/>
  <c r="P1749" i="1"/>
  <c r="O1749" i="1"/>
  <c r="Q1748" i="1"/>
  <c r="P1748" i="1"/>
  <c r="O1748" i="1"/>
  <c r="Q1747" i="1"/>
  <c r="P1747" i="1"/>
  <c r="O1747" i="1"/>
  <c r="Q1746" i="1"/>
  <c r="P1746" i="1"/>
  <c r="O1746" i="1"/>
  <c r="Q1745" i="1"/>
  <c r="P1745" i="1"/>
  <c r="O1745" i="1"/>
  <c r="Q1744" i="1"/>
  <c r="P1744" i="1"/>
  <c r="O1744" i="1"/>
  <c r="Q1743" i="1"/>
  <c r="P1743" i="1"/>
  <c r="O1743" i="1"/>
  <c r="Q1742" i="1"/>
  <c r="P1742" i="1"/>
  <c r="O1742" i="1"/>
  <c r="Q1741" i="1"/>
  <c r="P1741" i="1"/>
  <c r="O1741" i="1"/>
  <c r="Q1740" i="1"/>
  <c r="P1740" i="1"/>
  <c r="O1740" i="1"/>
  <c r="Q1739" i="1"/>
  <c r="P1739" i="1"/>
  <c r="O1739" i="1"/>
  <c r="Q1738" i="1"/>
  <c r="P1738" i="1"/>
  <c r="O1738" i="1"/>
  <c r="Q1737" i="1"/>
  <c r="P1737" i="1"/>
  <c r="O1737" i="1"/>
  <c r="Q1736" i="1"/>
  <c r="P1736" i="1"/>
  <c r="O1736" i="1"/>
  <c r="Q1735" i="1"/>
  <c r="P1735" i="1"/>
  <c r="O1735" i="1"/>
  <c r="Q1734" i="1"/>
  <c r="P1734" i="1"/>
  <c r="O1734" i="1"/>
  <c r="Q1733" i="1"/>
  <c r="P1733" i="1"/>
  <c r="O1733" i="1"/>
  <c r="V1732" i="1"/>
  <c r="Q1732" i="1"/>
  <c r="P1732" i="1"/>
  <c r="O1732" i="1"/>
  <c r="V1731" i="1"/>
  <c r="Q1731" i="1"/>
  <c r="P1731" i="1"/>
  <c r="O1731" i="1"/>
  <c r="N1731" i="1"/>
  <c r="I1731" i="1"/>
  <c r="V1730" i="1"/>
  <c r="Q1730" i="1"/>
  <c r="P1730" i="1"/>
  <c r="O1730" i="1"/>
  <c r="N1730" i="1"/>
  <c r="I1730" i="1"/>
  <c r="V1729" i="1"/>
  <c r="Q1729" i="1"/>
  <c r="P1729" i="1"/>
  <c r="O1729" i="1"/>
  <c r="N1729" i="1"/>
  <c r="I1729" i="1"/>
  <c r="V1728" i="1"/>
  <c r="Q1728" i="1"/>
  <c r="P1728" i="1"/>
  <c r="O1728" i="1"/>
  <c r="N1728" i="1"/>
  <c r="I1728" i="1"/>
  <c r="H1728" i="1"/>
  <c r="V1727" i="1"/>
  <c r="Q1727" i="1"/>
  <c r="P1727" i="1"/>
  <c r="O1727" i="1"/>
  <c r="N1727" i="1"/>
  <c r="I1727" i="1"/>
  <c r="H1727" i="1"/>
  <c r="V1726" i="1"/>
  <c r="Q1726" i="1"/>
  <c r="P1726" i="1"/>
  <c r="O1726" i="1"/>
  <c r="N1726" i="1"/>
  <c r="I1726" i="1"/>
  <c r="H1726" i="1"/>
  <c r="V1725" i="1"/>
  <c r="Q1725" i="1"/>
  <c r="P1725" i="1"/>
  <c r="O1725" i="1"/>
  <c r="N1725" i="1"/>
  <c r="I1725" i="1"/>
  <c r="H1725" i="1"/>
  <c r="V1724" i="1"/>
  <c r="Q1724" i="1"/>
  <c r="P1724" i="1"/>
  <c r="O1724" i="1"/>
  <c r="N1724" i="1"/>
  <c r="I1724" i="1"/>
  <c r="H1724" i="1"/>
  <c r="V1723" i="1"/>
  <c r="Q1723" i="1"/>
  <c r="P1723" i="1"/>
  <c r="O1723" i="1"/>
  <c r="N1723" i="1"/>
  <c r="I1723" i="1"/>
  <c r="H1723" i="1"/>
  <c r="V1722" i="1"/>
  <c r="Q1722" i="1"/>
  <c r="P1722" i="1"/>
  <c r="O1722" i="1"/>
  <c r="N1722" i="1"/>
  <c r="I1722" i="1"/>
  <c r="H1722" i="1"/>
  <c r="V1721" i="1"/>
  <c r="Q1721" i="1"/>
  <c r="P1721" i="1"/>
  <c r="O1721" i="1"/>
  <c r="N1721" i="1"/>
  <c r="I1721" i="1"/>
  <c r="H1721" i="1"/>
  <c r="V1720" i="1"/>
  <c r="Q1720" i="1"/>
  <c r="P1720" i="1"/>
  <c r="O1720" i="1"/>
  <c r="N1720" i="1"/>
  <c r="I1720" i="1"/>
  <c r="H1720" i="1"/>
  <c r="V1719" i="1"/>
  <c r="Q1719" i="1"/>
  <c r="P1719" i="1"/>
  <c r="O1719" i="1"/>
  <c r="N1719" i="1"/>
  <c r="I1719" i="1"/>
  <c r="H1719" i="1"/>
  <c r="V1718" i="1"/>
  <c r="Q1718" i="1"/>
  <c r="P1718" i="1"/>
  <c r="O1718" i="1"/>
  <c r="N1718" i="1"/>
  <c r="I1718" i="1"/>
  <c r="H1718" i="1"/>
  <c r="V1717" i="1"/>
  <c r="Q1717" i="1"/>
  <c r="P1717" i="1"/>
  <c r="O1717" i="1"/>
  <c r="N1717" i="1"/>
  <c r="I1717" i="1"/>
  <c r="H1717" i="1"/>
  <c r="V1716" i="1"/>
  <c r="Q1716" i="1"/>
  <c r="P1716" i="1"/>
  <c r="O1716" i="1"/>
  <c r="N1716" i="1"/>
  <c r="I1716" i="1"/>
  <c r="H1716" i="1"/>
  <c r="V1715" i="1"/>
  <c r="Q1715" i="1"/>
  <c r="P1715" i="1"/>
  <c r="O1715" i="1"/>
  <c r="N1715" i="1"/>
  <c r="I1715" i="1"/>
  <c r="H1715" i="1"/>
  <c r="V1714" i="1"/>
  <c r="Q1714" i="1"/>
  <c r="P1714" i="1"/>
  <c r="O1714" i="1"/>
  <c r="N1714" i="1"/>
  <c r="I1714" i="1"/>
  <c r="H1714" i="1"/>
  <c r="V1713" i="1"/>
  <c r="Q1713" i="1"/>
  <c r="P1713" i="1"/>
  <c r="O1713" i="1"/>
  <c r="N1713" i="1"/>
  <c r="I1713" i="1"/>
  <c r="H1713" i="1"/>
  <c r="V1712" i="1"/>
  <c r="Q1712" i="1"/>
  <c r="P1712" i="1"/>
  <c r="O1712" i="1"/>
  <c r="N1712" i="1"/>
  <c r="I1712" i="1"/>
  <c r="H1712" i="1"/>
  <c r="V1711" i="1"/>
  <c r="Q1711" i="1"/>
  <c r="P1711" i="1"/>
  <c r="O1711" i="1"/>
  <c r="N1711" i="1"/>
  <c r="I1711" i="1"/>
  <c r="H1711" i="1"/>
  <c r="V1710" i="1"/>
  <c r="Q1710" i="1"/>
  <c r="P1710" i="1"/>
  <c r="O1710" i="1"/>
  <c r="N1710" i="1"/>
  <c r="I1710" i="1"/>
  <c r="H1710" i="1"/>
  <c r="V1709" i="1"/>
  <c r="Q1709" i="1"/>
  <c r="P1709" i="1"/>
  <c r="O1709" i="1"/>
  <c r="N1709" i="1"/>
  <c r="I1709" i="1"/>
  <c r="H1709" i="1"/>
  <c r="V1708" i="1"/>
  <c r="Q1708" i="1"/>
  <c r="P1708" i="1"/>
  <c r="O1708" i="1"/>
  <c r="N1708" i="1"/>
  <c r="I1708" i="1"/>
  <c r="H1708" i="1"/>
  <c r="V1707" i="1"/>
  <c r="Q1707" i="1"/>
  <c r="P1707" i="1"/>
  <c r="O1707" i="1"/>
  <c r="N1707" i="1"/>
  <c r="I1707" i="1"/>
  <c r="H1707" i="1"/>
  <c r="V1706" i="1"/>
  <c r="Q1706" i="1"/>
  <c r="P1706" i="1"/>
  <c r="O1706" i="1"/>
  <c r="N1706" i="1"/>
  <c r="I1706" i="1"/>
  <c r="H1706" i="1"/>
  <c r="V1705" i="1"/>
  <c r="Q1705" i="1"/>
  <c r="P1705" i="1"/>
  <c r="O1705" i="1"/>
  <c r="N1705" i="1"/>
  <c r="I1705" i="1"/>
  <c r="H1705" i="1"/>
  <c r="V1704" i="1"/>
  <c r="Q1704" i="1"/>
  <c r="P1704" i="1"/>
  <c r="O1704" i="1"/>
  <c r="N1704" i="1"/>
  <c r="I1704" i="1"/>
  <c r="H1704" i="1"/>
  <c r="V1703" i="1"/>
  <c r="Q1703" i="1"/>
  <c r="P1703" i="1"/>
  <c r="O1703" i="1"/>
  <c r="N1703" i="1"/>
  <c r="I1703" i="1"/>
  <c r="H1703" i="1"/>
  <c r="V1702" i="1"/>
  <c r="Q1702" i="1"/>
  <c r="P1702" i="1"/>
  <c r="O1702" i="1"/>
  <c r="N1702" i="1"/>
  <c r="I1702" i="1"/>
  <c r="H1702" i="1"/>
  <c r="V1701" i="1"/>
  <c r="Q1701" i="1"/>
  <c r="P1701" i="1"/>
  <c r="O1701" i="1"/>
  <c r="N1701" i="1"/>
  <c r="I1701" i="1"/>
  <c r="H1701" i="1"/>
  <c r="V1700" i="1"/>
  <c r="Q1700" i="1"/>
  <c r="P1700" i="1"/>
  <c r="O1700" i="1"/>
  <c r="N1700" i="1"/>
  <c r="I1700" i="1"/>
  <c r="H1700" i="1"/>
  <c r="V1699" i="1"/>
  <c r="Q1699" i="1"/>
  <c r="P1699" i="1"/>
  <c r="O1699" i="1"/>
  <c r="N1699" i="1"/>
  <c r="I1699" i="1"/>
  <c r="H1699" i="1"/>
  <c r="V1698" i="1"/>
  <c r="Q1698" i="1"/>
  <c r="P1698" i="1"/>
  <c r="O1698" i="1"/>
  <c r="N1698" i="1"/>
  <c r="I1698" i="1"/>
  <c r="H1698" i="1"/>
  <c r="V1697" i="1"/>
  <c r="Q1697" i="1"/>
  <c r="P1697" i="1"/>
  <c r="O1697" i="1"/>
  <c r="N1697" i="1"/>
  <c r="I1697" i="1"/>
  <c r="H1697" i="1"/>
  <c r="V1696" i="1"/>
  <c r="Q1696" i="1"/>
  <c r="P1696" i="1"/>
  <c r="O1696" i="1"/>
  <c r="N1696" i="1"/>
  <c r="I1696" i="1"/>
  <c r="H1696" i="1"/>
  <c r="V1695" i="1"/>
  <c r="Q1695" i="1"/>
  <c r="P1695" i="1"/>
  <c r="O1695" i="1"/>
  <c r="N1695" i="1"/>
  <c r="I1695" i="1"/>
  <c r="H1695" i="1"/>
  <c r="V1694" i="1"/>
  <c r="Q1694" i="1"/>
  <c r="P1694" i="1"/>
  <c r="O1694" i="1"/>
  <c r="N1694" i="1"/>
  <c r="I1694" i="1"/>
  <c r="H1694" i="1"/>
  <c r="V1693" i="1"/>
  <c r="Q1693" i="1"/>
  <c r="P1693" i="1"/>
  <c r="O1693" i="1"/>
  <c r="N1693" i="1"/>
  <c r="I1693" i="1"/>
  <c r="H1693" i="1"/>
  <c r="V1692" i="1"/>
  <c r="Q1692" i="1"/>
  <c r="P1692" i="1"/>
  <c r="O1692" i="1"/>
  <c r="N1692" i="1"/>
  <c r="I1692" i="1"/>
  <c r="H1692" i="1"/>
  <c r="V1691" i="1"/>
  <c r="Q1691" i="1"/>
  <c r="P1691" i="1"/>
  <c r="O1691" i="1"/>
  <c r="N1691" i="1"/>
  <c r="I1691" i="1"/>
  <c r="H1691" i="1"/>
  <c r="V1690" i="1"/>
  <c r="Q1690" i="1"/>
  <c r="P1690" i="1"/>
  <c r="O1690" i="1"/>
  <c r="N1690" i="1"/>
  <c r="I1690" i="1"/>
  <c r="H1690" i="1"/>
  <c r="V1689" i="1"/>
  <c r="Q1689" i="1"/>
  <c r="P1689" i="1"/>
  <c r="O1689" i="1"/>
  <c r="N1689" i="1"/>
  <c r="I1689" i="1"/>
  <c r="H1689" i="1"/>
  <c r="V1688" i="1"/>
  <c r="Q1688" i="1"/>
  <c r="P1688" i="1"/>
  <c r="O1688" i="1"/>
  <c r="N1688" i="1"/>
  <c r="I1688" i="1"/>
  <c r="H1688" i="1"/>
  <c r="V1687" i="1"/>
  <c r="Q1687" i="1"/>
  <c r="P1687" i="1"/>
  <c r="O1687" i="1"/>
  <c r="N1687" i="1"/>
  <c r="I1687" i="1"/>
  <c r="H1687" i="1"/>
  <c r="V1686" i="1"/>
  <c r="Q1686" i="1"/>
  <c r="P1686" i="1"/>
  <c r="O1686" i="1"/>
  <c r="N1686" i="1"/>
  <c r="I1686" i="1"/>
  <c r="H1686" i="1"/>
  <c r="V1685" i="1"/>
  <c r="Q1685" i="1"/>
  <c r="P1685" i="1"/>
  <c r="O1685" i="1"/>
  <c r="N1685" i="1"/>
  <c r="I1685" i="1"/>
  <c r="H1685" i="1"/>
  <c r="V1684" i="1"/>
  <c r="Q1684" i="1"/>
  <c r="P1684" i="1"/>
  <c r="O1684" i="1"/>
  <c r="N1684" i="1"/>
  <c r="I1684" i="1"/>
  <c r="H1684" i="1"/>
  <c r="V1683" i="1"/>
  <c r="Q1683" i="1"/>
  <c r="P1683" i="1"/>
  <c r="O1683" i="1"/>
  <c r="N1683" i="1"/>
  <c r="I1683" i="1"/>
  <c r="H1683" i="1"/>
  <c r="V1682" i="1"/>
  <c r="Q1682" i="1"/>
  <c r="P1682" i="1"/>
  <c r="O1682" i="1"/>
  <c r="N1682" i="1"/>
  <c r="I1682" i="1"/>
  <c r="H1682" i="1"/>
  <c r="V1681" i="1"/>
  <c r="Q1681" i="1"/>
  <c r="P1681" i="1"/>
  <c r="O1681" i="1"/>
  <c r="N1681" i="1"/>
  <c r="I1681" i="1"/>
  <c r="H1681" i="1"/>
  <c r="V1680" i="1"/>
  <c r="Q1680" i="1"/>
  <c r="P1680" i="1"/>
  <c r="O1680" i="1"/>
  <c r="N1680" i="1"/>
  <c r="I1680" i="1"/>
  <c r="H1680" i="1"/>
  <c r="V1679" i="1"/>
  <c r="Q1679" i="1"/>
  <c r="P1679" i="1"/>
  <c r="O1679" i="1"/>
  <c r="N1679" i="1"/>
  <c r="I1679" i="1"/>
  <c r="H1679" i="1"/>
  <c r="V1678" i="1"/>
  <c r="Q1678" i="1"/>
  <c r="P1678" i="1"/>
  <c r="O1678" i="1"/>
  <c r="N1678" i="1"/>
  <c r="I1678" i="1"/>
  <c r="H1678" i="1"/>
  <c r="V1677" i="1"/>
  <c r="Q1677" i="1"/>
  <c r="P1677" i="1"/>
  <c r="O1677" i="1"/>
  <c r="N1677" i="1"/>
  <c r="I1677" i="1"/>
  <c r="H1677" i="1"/>
  <c r="V1676" i="1"/>
  <c r="Q1676" i="1"/>
  <c r="P1676" i="1"/>
  <c r="O1676" i="1"/>
  <c r="N1676" i="1"/>
  <c r="I1676" i="1"/>
  <c r="H1676" i="1"/>
  <c r="V1675" i="1"/>
  <c r="Q1675" i="1"/>
  <c r="P1675" i="1"/>
  <c r="O1675" i="1"/>
  <c r="N1675" i="1"/>
  <c r="I1675" i="1"/>
  <c r="H1675" i="1"/>
  <c r="V1674" i="1"/>
  <c r="Q1674" i="1"/>
  <c r="P1674" i="1"/>
  <c r="O1674" i="1"/>
  <c r="N1674" i="1"/>
  <c r="I1674" i="1"/>
  <c r="H1674" i="1"/>
  <c r="V1673" i="1"/>
  <c r="Q1673" i="1"/>
  <c r="P1673" i="1"/>
  <c r="O1673" i="1"/>
  <c r="N1673" i="1"/>
  <c r="I1673" i="1"/>
  <c r="H1673" i="1"/>
  <c r="V1672" i="1"/>
  <c r="Q1672" i="1"/>
  <c r="P1672" i="1"/>
  <c r="O1672" i="1"/>
  <c r="N1672" i="1"/>
  <c r="I1672" i="1"/>
  <c r="H1672" i="1"/>
  <c r="V1671" i="1"/>
  <c r="Q1671" i="1"/>
  <c r="P1671" i="1"/>
  <c r="O1671" i="1"/>
  <c r="N1671" i="1"/>
  <c r="I1671" i="1"/>
  <c r="H1671" i="1"/>
  <c r="V1670" i="1"/>
  <c r="Q1670" i="1"/>
  <c r="P1670" i="1"/>
  <c r="O1670" i="1"/>
  <c r="N1670" i="1"/>
  <c r="I1670" i="1"/>
  <c r="H1670" i="1"/>
  <c r="V1669" i="1"/>
  <c r="Q1669" i="1"/>
  <c r="P1669" i="1"/>
  <c r="O1669" i="1"/>
  <c r="N1669" i="1"/>
  <c r="I1669" i="1"/>
  <c r="H1669" i="1"/>
  <c r="V1668" i="1"/>
  <c r="Q1668" i="1"/>
  <c r="P1668" i="1"/>
  <c r="O1668" i="1"/>
  <c r="N1668" i="1"/>
  <c r="I1668" i="1"/>
  <c r="H1668" i="1"/>
  <c r="V1667" i="1"/>
  <c r="Q1667" i="1"/>
  <c r="P1667" i="1"/>
  <c r="O1667" i="1"/>
  <c r="N1667" i="1"/>
  <c r="I1667" i="1"/>
  <c r="H1667" i="1"/>
  <c r="V1666" i="1"/>
  <c r="Q1666" i="1"/>
  <c r="P1666" i="1"/>
  <c r="O1666" i="1"/>
  <c r="N1666" i="1"/>
  <c r="I1666" i="1"/>
  <c r="H1666" i="1"/>
  <c r="V1665" i="1"/>
  <c r="Q1665" i="1"/>
  <c r="P1665" i="1"/>
  <c r="O1665" i="1"/>
  <c r="N1665" i="1"/>
  <c r="I1665" i="1"/>
  <c r="H1665" i="1"/>
  <c r="V1664" i="1"/>
  <c r="Q1664" i="1"/>
  <c r="P1664" i="1"/>
  <c r="O1664" i="1"/>
  <c r="N1664" i="1"/>
  <c r="I1664" i="1"/>
  <c r="H1664" i="1"/>
  <c r="V1663" i="1"/>
  <c r="Q1663" i="1"/>
  <c r="P1663" i="1"/>
  <c r="O1663" i="1"/>
  <c r="N1663" i="1"/>
  <c r="I1663" i="1"/>
  <c r="H1663" i="1"/>
  <c r="V1662" i="1"/>
  <c r="Q1662" i="1"/>
  <c r="P1662" i="1"/>
  <c r="O1662" i="1"/>
  <c r="N1662" i="1"/>
  <c r="I1662" i="1"/>
  <c r="H1662" i="1"/>
  <c r="V1661" i="1"/>
  <c r="Q1661" i="1"/>
  <c r="P1661" i="1"/>
  <c r="O1661" i="1"/>
  <c r="N1661" i="1"/>
  <c r="I1661" i="1"/>
  <c r="H1661" i="1"/>
  <c r="V1660" i="1"/>
  <c r="Q1660" i="1"/>
  <c r="P1660" i="1"/>
  <c r="O1660" i="1"/>
  <c r="N1660" i="1"/>
  <c r="I1660" i="1"/>
  <c r="H1660" i="1"/>
  <c r="V1659" i="1"/>
  <c r="Q1659" i="1"/>
  <c r="P1659" i="1"/>
  <c r="O1659" i="1"/>
  <c r="N1659" i="1"/>
  <c r="I1659" i="1"/>
  <c r="H1659" i="1"/>
  <c r="V1658" i="1"/>
  <c r="Q1658" i="1"/>
  <c r="P1658" i="1"/>
  <c r="O1658" i="1"/>
  <c r="N1658" i="1"/>
  <c r="I1658" i="1"/>
  <c r="H1658" i="1"/>
  <c r="V1657" i="1"/>
  <c r="Q1657" i="1"/>
  <c r="P1657" i="1"/>
  <c r="O1657" i="1"/>
  <c r="N1657" i="1"/>
  <c r="I1657" i="1"/>
  <c r="H1657" i="1"/>
  <c r="V1656" i="1"/>
  <c r="Q1656" i="1"/>
  <c r="P1656" i="1"/>
  <c r="O1656" i="1"/>
  <c r="N1656" i="1"/>
  <c r="I1656" i="1"/>
  <c r="H1656" i="1"/>
  <c r="V1655" i="1"/>
  <c r="Q1655" i="1"/>
  <c r="P1655" i="1"/>
  <c r="O1655" i="1"/>
  <c r="N1655" i="1"/>
  <c r="I1655" i="1"/>
  <c r="H1655" i="1"/>
  <c r="V1654" i="1"/>
  <c r="Q1654" i="1"/>
  <c r="P1654" i="1"/>
  <c r="O1654" i="1"/>
  <c r="N1654" i="1"/>
  <c r="I1654" i="1"/>
  <c r="H1654" i="1"/>
  <c r="V1653" i="1"/>
  <c r="Q1653" i="1"/>
  <c r="P1653" i="1"/>
  <c r="O1653" i="1"/>
  <c r="N1653" i="1"/>
  <c r="I1653" i="1"/>
  <c r="H1653" i="1"/>
  <c r="V1652" i="1"/>
  <c r="Q1652" i="1"/>
  <c r="P1652" i="1"/>
  <c r="O1652" i="1"/>
  <c r="N1652" i="1"/>
  <c r="I1652" i="1"/>
  <c r="H1652" i="1"/>
  <c r="V1651" i="1"/>
  <c r="Q1651" i="1"/>
  <c r="P1651" i="1"/>
  <c r="O1651" i="1"/>
  <c r="N1651" i="1"/>
  <c r="I1651" i="1"/>
  <c r="H1651" i="1"/>
  <c r="V1650" i="1"/>
  <c r="Q1650" i="1"/>
  <c r="P1650" i="1"/>
  <c r="O1650" i="1"/>
  <c r="N1650" i="1"/>
  <c r="I1650" i="1"/>
  <c r="H1650" i="1"/>
  <c r="V1649" i="1"/>
  <c r="Q1649" i="1"/>
  <c r="P1649" i="1"/>
  <c r="O1649" i="1"/>
  <c r="N1649" i="1"/>
  <c r="I1649" i="1"/>
  <c r="H1649" i="1"/>
  <c r="V1648" i="1"/>
  <c r="Q1648" i="1"/>
  <c r="P1648" i="1"/>
  <c r="O1648" i="1"/>
  <c r="N1648" i="1"/>
  <c r="I1648" i="1"/>
  <c r="H1648" i="1"/>
  <c r="V1647" i="1"/>
  <c r="Q1647" i="1"/>
  <c r="P1647" i="1"/>
  <c r="O1647" i="1"/>
  <c r="N1647" i="1"/>
  <c r="I1647" i="1"/>
  <c r="H1647" i="1"/>
  <c r="V1646" i="1"/>
  <c r="Q1646" i="1"/>
  <c r="P1646" i="1"/>
  <c r="O1646" i="1"/>
  <c r="N1646" i="1"/>
  <c r="I1646" i="1"/>
  <c r="H1646" i="1"/>
  <c r="V1645" i="1"/>
  <c r="Q1645" i="1"/>
  <c r="P1645" i="1"/>
  <c r="O1645" i="1"/>
  <c r="N1645" i="1"/>
  <c r="I1645" i="1"/>
  <c r="H1645" i="1"/>
  <c r="V1644" i="1"/>
  <c r="Q1644" i="1"/>
  <c r="P1644" i="1"/>
  <c r="O1644" i="1"/>
  <c r="N1644" i="1"/>
  <c r="I1644" i="1"/>
  <c r="H1644" i="1"/>
  <c r="V1643" i="1"/>
  <c r="Q1643" i="1"/>
  <c r="P1643" i="1"/>
  <c r="O1643" i="1"/>
  <c r="N1643" i="1"/>
  <c r="I1643" i="1"/>
  <c r="H1643" i="1"/>
  <c r="V1642" i="1"/>
  <c r="Q1642" i="1"/>
  <c r="P1642" i="1"/>
  <c r="O1642" i="1"/>
  <c r="N1642" i="1"/>
  <c r="I1642" i="1"/>
  <c r="H1642" i="1"/>
  <c r="V1641" i="1"/>
  <c r="Q1641" i="1"/>
  <c r="P1641" i="1"/>
  <c r="O1641" i="1"/>
  <c r="N1641" i="1"/>
  <c r="I1641" i="1"/>
  <c r="H1641" i="1"/>
  <c r="G1641" i="1"/>
  <c r="V1640" i="1"/>
  <c r="Q1640" i="1"/>
  <c r="P1640" i="1"/>
  <c r="O1640" i="1"/>
  <c r="N1640" i="1"/>
  <c r="I1640" i="1"/>
  <c r="H1640" i="1"/>
  <c r="G1640" i="1"/>
  <c r="V1639" i="1"/>
  <c r="Q1639" i="1"/>
  <c r="P1639" i="1"/>
  <c r="O1639" i="1"/>
  <c r="N1639" i="1"/>
  <c r="I1639" i="1"/>
  <c r="H1639" i="1"/>
  <c r="G1639" i="1"/>
  <c r="V1638" i="1"/>
  <c r="Q1638" i="1"/>
  <c r="P1638" i="1"/>
  <c r="O1638" i="1"/>
  <c r="N1638" i="1"/>
  <c r="I1638" i="1"/>
  <c r="H1638" i="1"/>
  <c r="G1638" i="1"/>
  <c r="V1637" i="1"/>
  <c r="Q1637" i="1"/>
  <c r="P1637" i="1"/>
  <c r="O1637" i="1"/>
  <c r="N1637" i="1"/>
  <c r="I1637" i="1"/>
  <c r="H1637" i="1"/>
  <c r="G1637" i="1"/>
  <c r="V1636" i="1"/>
  <c r="Q1636" i="1"/>
  <c r="P1636" i="1"/>
  <c r="O1636" i="1"/>
  <c r="N1636" i="1"/>
  <c r="I1636" i="1"/>
  <c r="H1636" i="1"/>
  <c r="G1636" i="1"/>
  <c r="V1635" i="1"/>
  <c r="Q1635" i="1"/>
  <c r="P1635" i="1"/>
  <c r="O1635" i="1"/>
  <c r="N1635" i="1"/>
  <c r="I1635" i="1"/>
  <c r="H1635" i="1"/>
  <c r="G1635" i="1"/>
  <c r="V1634" i="1"/>
  <c r="Q1634" i="1"/>
  <c r="P1634" i="1"/>
  <c r="O1634" i="1"/>
  <c r="N1634" i="1"/>
  <c r="I1634" i="1"/>
  <c r="H1634" i="1"/>
  <c r="G1634" i="1"/>
  <c r="V1633" i="1"/>
  <c r="Q1633" i="1"/>
  <c r="P1633" i="1"/>
  <c r="O1633" i="1"/>
  <c r="N1633" i="1"/>
  <c r="I1633" i="1"/>
  <c r="H1633" i="1"/>
  <c r="G1633" i="1"/>
  <c r="V1632" i="1"/>
  <c r="Q1632" i="1"/>
  <c r="P1632" i="1"/>
  <c r="O1632" i="1"/>
  <c r="N1632" i="1"/>
  <c r="I1632" i="1"/>
  <c r="H1632" i="1"/>
  <c r="G1632" i="1"/>
  <c r="V1631" i="1"/>
  <c r="Q1631" i="1"/>
  <c r="P1631" i="1"/>
  <c r="O1631" i="1"/>
  <c r="N1631" i="1"/>
  <c r="I1631" i="1"/>
  <c r="H1631" i="1"/>
  <c r="G1631" i="1"/>
  <c r="V1630" i="1"/>
  <c r="Q1630" i="1"/>
  <c r="P1630" i="1"/>
  <c r="O1630" i="1"/>
  <c r="N1630" i="1"/>
  <c r="I1630" i="1"/>
  <c r="H1630" i="1"/>
  <c r="G1630" i="1"/>
  <c r="V1629" i="1"/>
  <c r="Q1629" i="1"/>
  <c r="P1629" i="1"/>
  <c r="O1629" i="1"/>
  <c r="N1629" i="1"/>
  <c r="I1629" i="1"/>
  <c r="H1629" i="1"/>
  <c r="G1629" i="1"/>
  <c r="V1628" i="1"/>
  <c r="Q1628" i="1"/>
  <c r="P1628" i="1"/>
  <c r="O1628" i="1"/>
  <c r="N1628" i="1"/>
  <c r="I1628" i="1"/>
  <c r="H1628" i="1"/>
  <c r="G1628" i="1"/>
  <c r="V1627" i="1"/>
  <c r="Q1627" i="1"/>
  <c r="P1627" i="1"/>
  <c r="O1627" i="1"/>
  <c r="N1627" i="1"/>
  <c r="I1627" i="1"/>
  <c r="H1627" i="1"/>
  <c r="G1627" i="1"/>
  <c r="V1626" i="1"/>
  <c r="Q1626" i="1"/>
  <c r="P1626" i="1"/>
  <c r="O1626" i="1"/>
  <c r="N1626" i="1"/>
  <c r="I1626" i="1"/>
  <c r="H1626" i="1"/>
  <c r="G1626" i="1"/>
  <c r="V1625" i="1"/>
  <c r="Q1625" i="1"/>
  <c r="P1625" i="1"/>
  <c r="O1625" i="1"/>
  <c r="N1625" i="1"/>
  <c r="I1625" i="1"/>
  <c r="H1625" i="1"/>
  <c r="G1625" i="1"/>
  <c r="V1624" i="1"/>
  <c r="Q1624" i="1"/>
  <c r="P1624" i="1"/>
  <c r="O1624" i="1"/>
  <c r="N1624" i="1"/>
  <c r="I1624" i="1"/>
  <c r="H1624" i="1"/>
  <c r="G1624" i="1"/>
  <c r="V1623" i="1"/>
  <c r="Q1623" i="1"/>
  <c r="P1623" i="1"/>
  <c r="O1623" i="1"/>
  <c r="N1623" i="1"/>
  <c r="I1623" i="1"/>
  <c r="H1623" i="1"/>
  <c r="G1623" i="1"/>
  <c r="V1622" i="1"/>
  <c r="Q1622" i="1"/>
  <c r="P1622" i="1"/>
  <c r="O1622" i="1"/>
  <c r="N1622" i="1"/>
  <c r="I1622" i="1"/>
  <c r="H1622" i="1"/>
  <c r="G1622" i="1"/>
  <c r="V1621" i="1"/>
  <c r="Q1621" i="1"/>
  <c r="P1621" i="1"/>
  <c r="O1621" i="1"/>
  <c r="N1621" i="1"/>
  <c r="I1621" i="1"/>
  <c r="H1621" i="1"/>
  <c r="G1621" i="1"/>
  <c r="V1620" i="1"/>
  <c r="Q1620" i="1"/>
  <c r="P1620" i="1"/>
  <c r="O1620" i="1"/>
  <c r="N1620" i="1"/>
  <c r="I1620" i="1"/>
  <c r="H1620" i="1"/>
  <c r="G1620" i="1"/>
  <c r="V1619" i="1"/>
  <c r="Q1619" i="1"/>
  <c r="P1619" i="1"/>
  <c r="O1619" i="1"/>
  <c r="N1619" i="1"/>
  <c r="I1619" i="1"/>
  <c r="H1619" i="1"/>
  <c r="G1619" i="1"/>
  <c r="V1618" i="1"/>
  <c r="Q1618" i="1"/>
  <c r="P1618" i="1"/>
  <c r="O1618" i="1"/>
  <c r="N1618" i="1"/>
  <c r="I1618" i="1"/>
  <c r="H1618" i="1"/>
  <c r="G1618" i="1"/>
  <c r="V1617" i="1"/>
  <c r="Q1617" i="1"/>
  <c r="P1617" i="1"/>
  <c r="O1617" i="1"/>
  <c r="N1617" i="1"/>
  <c r="I1617" i="1"/>
  <c r="H1617" i="1"/>
  <c r="G1617" i="1"/>
  <c r="V1616" i="1"/>
  <c r="Q1616" i="1"/>
  <c r="P1616" i="1"/>
  <c r="O1616" i="1"/>
  <c r="N1616" i="1"/>
  <c r="I1616" i="1"/>
  <c r="H1616" i="1"/>
  <c r="G1616" i="1"/>
  <c r="V1615" i="1"/>
  <c r="Q1615" i="1"/>
  <c r="P1615" i="1"/>
  <c r="O1615" i="1"/>
  <c r="N1615" i="1"/>
  <c r="I1615" i="1"/>
  <c r="H1615" i="1"/>
  <c r="G1615" i="1"/>
  <c r="V1614" i="1"/>
  <c r="Q1614" i="1"/>
  <c r="P1614" i="1"/>
  <c r="O1614" i="1"/>
  <c r="N1614" i="1"/>
  <c r="I1614" i="1"/>
  <c r="H1614" i="1"/>
  <c r="G1614" i="1"/>
  <c r="V1613" i="1"/>
  <c r="Q1613" i="1"/>
  <c r="P1613" i="1"/>
  <c r="O1613" i="1"/>
  <c r="N1613" i="1"/>
  <c r="I1613" i="1"/>
  <c r="H1613" i="1"/>
  <c r="G1613" i="1"/>
  <c r="V1612" i="1"/>
  <c r="Q1612" i="1"/>
  <c r="P1612" i="1"/>
  <c r="O1612" i="1"/>
  <c r="N1612" i="1"/>
  <c r="I1612" i="1"/>
  <c r="H1612" i="1"/>
  <c r="G1612" i="1"/>
  <c r="V1611" i="1"/>
  <c r="Q1611" i="1"/>
  <c r="P1611" i="1"/>
  <c r="O1611" i="1"/>
  <c r="N1611" i="1"/>
  <c r="I1611" i="1"/>
  <c r="H1611" i="1"/>
  <c r="G1611" i="1"/>
  <c r="V1610" i="1"/>
  <c r="Q1610" i="1"/>
  <c r="P1610" i="1"/>
  <c r="O1610" i="1"/>
  <c r="N1610" i="1"/>
  <c r="I1610" i="1"/>
  <c r="H1610" i="1"/>
  <c r="G1610" i="1"/>
  <c r="V1609" i="1"/>
  <c r="Q1609" i="1"/>
  <c r="P1609" i="1"/>
  <c r="O1609" i="1"/>
  <c r="N1609" i="1"/>
  <c r="I1609" i="1"/>
  <c r="H1609" i="1"/>
  <c r="G1609" i="1"/>
  <c r="V1608" i="1"/>
  <c r="Q1608" i="1"/>
  <c r="P1608" i="1"/>
  <c r="O1608" i="1"/>
  <c r="N1608" i="1"/>
  <c r="I1608" i="1"/>
  <c r="H1608" i="1"/>
  <c r="G1608" i="1"/>
  <c r="V1607" i="1"/>
  <c r="Q1607" i="1"/>
  <c r="P1607" i="1"/>
  <c r="O1607" i="1"/>
  <c r="N1607" i="1"/>
  <c r="I1607" i="1"/>
  <c r="H1607" i="1"/>
  <c r="G1607" i="1"/>
  <c r="V1606" i="1"/>
  <c r="Q1606" i="1"/>
  <c r="P1606" i="1"/>
  <c r="O1606" i="1"/>
  <c r="N1606" i="1"/>
  <c r="I1606" i="1"/>
  <c r="H1606" i="1"/>
  <c r="G1606" i="1"/>
  <c r="V1605" i="1"/>
  <c r="Q1605" i="1"/>
  <c r="P1605" i="1"/>
  <c r="O1605" i="1"/>
  <c r="N1605" i="1"/>
  <c r="I1605" i="1"/>
  <c r="H1605" i="1"/>
  <c r="G1605" i="1"/>
  <c r="V1604" i="1"/>
  <c r="Q1604" i="1"/>
  <c r="P1604" i="1"/>
  <c r="O1604" i="1"/>
  <c r="N1604" i="1"/>
  <c r="I1604" i="1"/>
  <c r="H1604" i="1"/>
  <c r="G1604" i="1"/>
  <c r="V1603" i="1"/>
  <c r="Q1603" i="1"/>
  <c r="P1603" i="1"/>
  <c r="O1603" i="1"/>
  <c r="N1603" i="1"/>
  <c r="I1603" i="1"/>
  <c r="H1603" i="1"/>
  <c r="G1603" i="1"/>
  <c r="V1602" i="1"/>
  <c r="Q1602" i="1"/>
  <c r="P1602" i="1"/>
  <c r="O1602" i="1"/>
  <c r="N1602" i="1"/>
  <c r="I1602" i="1"/>
  <c r="H1602" i="1"/>
  <c r="G1602" i="1"/>
  <c r="V1601" i="1"/>
  <c r="Q1601" i="1"/>
  <c r="P1601" i="1"/>
  <c r="O1601" i="1"/>
  <c r="N1601" i="1"/>
  <c r="I1601" i="1"/>
  <c r="H1601" i="1"/>
  <c r="G1601" i="1"/>
  <c r="V1600" i="1"/>
  <c r="Q1600" i="1"/>
  <c r="P1600" i="1"/>
  <c r="O1600" i="1"/>
  <c r="N1600" i="1"/>
  <c r="I1600" i="1"/>
  <c r="H1600" i="1"/>
  <c r="G1600" i="1"/>
  <c r="V1599" i="1"/>
  <c r="Q1599" i="1"/>
  <c r="P1599" i="1"/>
  <c r="O1599" i="1"/>
  <c r="N1599" i="1"/>
  <c r="I1599" i="1"/>
  <c r="H1599" i="1"/>
  <c r="G1599" i="1"/>
  <c r="V1598" i="1"/>
  <c r="Q1598" i="1"/>
  <c r="P1598" i="1"/>
  <c r="O1598" i="1"/>
  <c r="N1598" i="1"/>
  <c r="I1598" i="1"/>
  <c r="H1598" i="1"/>
  <c r="G1598" i="1"/>
  <c r="V1597" i="1"/>
  <c r="Q1597" i="1"/>
  <c r="P1597" i="1"/>
  <c r="O1597" i="1"/>
  <c r="N1597" i="1"/>
  <c r="I1597" i="1"/>
  <c r="H1597" i="1"/>
  <c r="G1597" i="1"/>
  <c r="V1596" i="1"/>
  <c r="Q1596" i="1"/>
  <c r="P1596" i="1"/>
  <c r="O1596" i="1"/>
  <c r="N1596" i="1"/>
  <c r="I1596" i="1"/>
  <c r="H1596" i="1"/>
  <c r="G1596" i="1"/>
  <c r="V1595" i="1"/>
  <c r="Q1595" i="1"/>
  <c r="P1595" i="1"/>
  <c r="O1595" i="1"/>
  <c r="N1595" i="1"/>
  <c r="I1595" i="1"/>
  <c r="H1595" i="1"/>
  <c r="V1594" i="1"/>
  <c r="Q1594" i="1"/>
  <c r="P1594" i="1"/>
  <c r="O1594" i="1"/>
  <c r="N1594" i="1"/>
  <c r="I1594" i="1"/>
  <c r="H1594" i="1"/>
  <c r="V1593" i="1"/>
  <c r="Q1593" i="1"/>
  <c r="P1593" i="1"/>
  <c r="O1593" i="1"/>
  <c r="N1593" i="1"/>
  <c r="I1593" i="1"/>
  <c r="H1593" i="1"/>
  <c r="V1592" i="1"/>
  <c r="Q1592" i="1"/>
  <c r="P1592" i="1"/>
  <c r="O1592" i="1"/>
  <c r="N1592" i="1"/>
  <c r="I1592" i="1"/>
  <c r="H1592" i="1"/>
  <c r="V1591" i="1"/>
  <c r="Q1591" i="1"/>
  <c r="P1591" i="1"/>
  <c r="O1591" i="1"/>
  <c r="N1591" i="1"/>
  <c r="I1591" i="1"/>
  <c r="H1591" i="1"/>
  <c r="V1590" i="1"/>
  <c r="Q1590" i="1"/>
  <c r="P1590" i="1"/>
  <c r="O1590" i="1"/>
  <c r="N1590" i="1"/>
  <c r="I1590" i="1"/>
  <c r="H1590" i="1"/>
  <c r="V1589" i="1"/>
  <c r="Q1589" i="1"/>
  <c r="P1589" i="1"/>
  <c r="O1589" i="1"/>
  <c r="N1589" i="1"/>
  <c r="I1589" i="1"/>
  <c r="H1589" i="1"/>
  <c r="V1588" i="1"/>
  <c r="Q1588" i="1"/>
  <c r="P1588" i="1"/>
  <c r="O1588" i="1"/>
  <c r="N1588" i="1"/>
  <c r="I1588" i="1"/>
  <c r="H1588" i="1"/>
  <c r="V1587" i="1"/>
  <c r="Q1587" i="1"/>
  <c r="P1587" i="1"/>
  <c r="O1587" i="1"/>
  <c r="N1587" i="1"/>
  <c r="I1587" i="1"/>
  <c r="H1587" i="1"/>
  <c r="V1586" i="1"/>
  <c r="Q1586" i="1"/>
  <c r="P1586" i="1"/>
  <c r="O1586" i="1"/>
  <c r="N1586" i="1"/>
  <c r="I1586" i="1"/>
  <c r="H1586" i="1"/>
  <c r="V1585" i="1"/>
  <c r="Q1585" i="1"/>
  <c r="P1585" i="1"/>
  <c r="O1585" i="1"/>
  <c r="N1585" i="1"/>
  <c r="I1585" i="1"/>
  <c r="H1585" i="1"/>
  <c r="V1584" i="1"/>
  <c r="Q1584" i="1"/>
  <c r="P1584" i="1"/>
  <c r="O1584" i="1"/>
  <c r="N1584" i="1"/>
  <c r="I1584" i="1"/>
  <c r="H1584" i="1"/>
  <c r="V1583" i="1"/>
  <c r="Q1583" i="1"/>
  <c r="P1583" i="1"/>
  <c r="O1583" i="1"/>
  <c r="N1583" i="1"/>
  <c r="I1583" i="1"/>
  <c r="H1583" i="1"/>
  <c r="V1582" i="1"/>
  <c r="Q1582" i="1"/>
  <c r="P1582" i="1"/>
  <c r="O1582" i="1"/>
  <c r="N1582" i="1"/>
  <c r="I1582" i="1"/>
  <c r="H1582" i="1"/>
  <c r="V1581" i="1"/>
  <c r="Q1581" i="1"/>
  <c r="P1581" i="1"/>
  <c r="O1581" i="1"/>
  <c r="N1581" i="1"/>
  <c r="I1581" i="1"/>
  <c r="H1581" i="1"/>
  <c r="V1580" i="1"/>
  <c r="Q1580" i="1"/>
  <c r="P1580" i="1"/>
  <c r="O1580" i="1"/>
  <c r="N1580" i="1"/>
  <c r="I1580" i="1"/>
  <c r="H1580" i="1"/>
  <c r="V1579" i="1"/>
  <c r="Q1579" i="1"/>
  <c r="P1579" i="1"/>
  <c r="O1579" i="1"/>
  <c r="N1579" i="1"/>
  <c r="I1579" i="1"/>
  <c r="H1579" i="1"/>
  <c r="V1578" i="1"/>
  <c r="Q1578" i="1"/>
  <c r="P1578" i="1"/>
  <c r="O1578" i="1"/>
  <c r="N1578" i="1"/>
  <c r="I1578" i="1"/>
  <c r="H1578" i="1"/>
  <c r="V1577" i="1"/>
  <c r="Q1577" i="1"/>
  <c r="P1577" i="1"/>
  <c r="O1577" i="1"/>
  <c r="N1577" i="1"/>
  <c r="I1577" i="1"/>
  <c r="H1577" i="1"/>
  <c r="V1576" i="1"/>
  <c r="Q1576" i="1"/>
  <c r="P1576" i="1"/>
  <c r="O1576" i="1"/>
  <c r="N1576" i="1"/>
  <c r="I1576" i="1"/>
  <c r="H1576" i="1"/>
  <c r="V1575" i="1"/>
  <c r="Q1575" i="1"/>
  <c r="P1575" i="1"/>
  <c r="O1575" i="1"/>
  <c r="N1575" i="1"/>
  <c r="I1575" i="1"/>
  <c r="H1575" i="1"/>
  <c r="V1574" i="1"/>
  <c r="Q1574" i="1"/>
  <c r="P1574" i="1"/>
  <c r="O1574" i="1"/>
  <c r="N1574" i="1"/>
  <c r="I1574" i="1"/>
  <c r="H1574" i="1"/>
  <c r="V1573" i="1"/>
  <c r="Q1573" i="1"/>
  <c r="P1573" i="1"/>
  <c r="O1573" i="1"/>
  <c r="N1573" i="1"/>
  <c r="I1573" i="1"/>
  <c r="H1573" i="1"/>
  <c r="V1572" i="1"/>
  <c r="Q1572" i="1"/>
  <c r="P1572" i="1"/>
  <c r="O1572" i="1"/>
  <c r="N1572" i="1"/>
  <c r="I1572" i="1"/>
  <c r="H1572" i="1"/>
  <c r="V1571" i="1"/>
  <c r="Q1571" i="1"/>
  <c r="P1571" i="1"/>
  <c r="O1571" i="1"/>
  <c r="N1571" i="1"/>
  <c r="I1571" i="1"/>
  <c r="H1571" i="1"/>
  <c r="V1570" i="1"/>
  <c r="Q1570" i="1"/>
  <c r="P1570" i="1"/>
  <c r="O1570" i="1"/>
  <c r="N1570" i="1"/>
  <c r="I1570" i="1"/>
  <c r="H1570" i="1"/>
  <c r="V1569" i="1"/>
  <c r="Q1569" i="1"/>
  <c r="P1569" i="1"/>
  <c r="O1569" i="1"/>
  <c r="N1569" i="1"/>
  <c r="I1569" i="1"/>
  <c r="H1569" i="1"/>
  <c r="V1568" i="1"/>
  <c r="Q1568" i="1"/>
  <c r="P1568" i="1"/>
  <c r="O1568" i="1"/>
  <c r="N1568" i="1"/>
  <c r="I1568" i="1"/>
  <c r="H1568" i="1"/>
  <c r="V1567" i="1"/>
  <c r="Q1567" i="1"/>
  <c r="P1567" i="1"/>
  <c r="O1567" i="1"/>
  <c r="N1567" i="1"/>
  <c r="I1567" i="1"/>
  <c r="H1567" i="1"/>
  <c r="V1566" i="1"/>
  <c r="Q1566" i="1"/>
  <c r="P1566" i="1"/>
  <c r="O1566" i="1"/>
  <c r="N1566" i="1"/>
  <c r="I1566" i="1"/>
  <c r="H1566" i="1"/>
  <c r="V1565" i="1"/>
  <c r="Q1565" i="1"/>
  <c r="P1565" i="1"/>
  <c r="O1565" i="1"/>
  <c r="N1565" i="1"/>
  <c r="I1565" i="1"/>
  <c r="H1565" i="1"/>
  <c r="V1564" i="1"/>
  <c r="Q1564" i="1"/>
  <c r="P1564" i="1"/>
  <c r="O1564" i="1"/>
  <c r="N1564" i="1"/>
  <c r="I1564" i="1"/>
  <c r="H1564" i="1"/>
  <c r="V1563" i="1"/>
  <c r="Q1563" i="1"/>
  <c r="P1563" i="1"/>
  <c r="O1563" i="1"/>
  <c r="N1563" i="1"/>
  <c r="I1563" i="1"/>
  <c r="H1563" i="1"/>
  <c r="V1562" i="1"/>
  <c r="Q1562" i="1"/>
  <c r="P1562" i="1"/>
  <c r="O1562" i="1"/>
  <c r="N1562" i="1"/>
  <c r="I1562" i="1"/>
  <c r="H1562" i="1"/>
  <c r="V1561" i="1"/>
  <c r="Q1561" i="1"/>
  <c r="P1561" i="1"/>
  <c r="O1561" i="1"/>
  <c r="N1561" i="1"/>
  <c r="I1561" i="1"/>
  <c r="H1561" i="1"/>
  <c r="V1560" i="1"/>
  <c r="Q1560" i="1"/>
  <c r="P1560" i="1"/>
  <c r="O1560" i="1"/>
  <c r="N1560" i="1"/>
  <c r="I1560" i="1"/>
  <c r="H1560" i="1"/>
  <c r="V1559" i="1"/>
  <c r="Q1559" i="1"/>
  <c r="P1559" i="1"/>
  <c r="O1559" i="1"/>
  <c r="N1559" i="1"/>
  <c r="I1559" i="1"/>
  <c r="H1559" i="1"/>
  <c r="V1558" i="1"/>
  <c r="Q1558" i="1"/>
  <c r="P1558" i="1"/>
  <c r="O1558" i="1"/>
  <c r="N1558" i="1"/>
  <c r="I1558" i="1"/>
  <c r="H1558" i="1"/>
  <c r="V1557" i="1"/>
  <c r="Q1557" i="1"/>
  <c r="P1557" i="1"/>
  <c r="O1557" i="1"/>
  <c r="N1557" i="1"/>
  <c r="I1557" i="1"/>
  <c r="H1557" i="1"/>
  <c r="V1556" i="1"/>
  <c r="Q1556" i="1"/>
  <c r="P1556" i="1"/>
  <c r="O1556" i="1"/>
  <c r="N1556" i="1"/>
  <c r="I1556" i="1"/>
  <c r="H1556" i="1"/>
  <c r="V1555" i="1"/>
  <c r="Q1555" i="1"/>
  <c r="P1555" i="1"/>
  <c r="O1555" i="1"/>
  <c r="N1555" i="1"/>
  <c r="I1555" i="1"/>
  <c r="H1555" i="1"/>
  <c r="V1554" i="1"/>
  <c r="Q1554" i="1"/>
  <c r="P1554" i="1"/>
  <c r="O1554" i="1"/>
  <c r="N1554" i="1"/>
  <c r="I1554" i="1"/>
  <c r="H1554" i="1"/>
  <c r="V1553" i="1"/>
  <c r="Q1553" i="1"/>
  <c r="P1553" i="1"/>
  <c r="O1553" i="1"/>
  <c r="N1553" i="1"/>
  <c r="I1553" i="1"/>
  <c r="H1553" i="1"/>
  <c r="V1552" i="1"/>
  <c r="Q1552" i="1"/>
  <c r="P1552" i="1"/>
  <c r="O1552" i="1"/>
  <c r="N1552" i="1"/>
  <c r="I1552" i="1"/>
  <c r="H1552" i="1"/>
  <c r="V1551" i="1"/>
  <c r="Q1551" i="1"/>
  <c r="P1551" i="1"/>
  <c r="O1551" i="1"/>
  <c r="N1551" i="1"/>
  <c r="I1551" i="1"/>
  <c r="H1551" i="1"/>
  <c r="V1550" i="1"/>
  <c r="Q1550" i="1"/>
  <c r="P1550" i="1"/>
  <c r="O1550" i="1"/>
  <c r="N1550" i="1"/>
  <c r="I1550" i="1"/>
  <c r="H1550" i="1"/>
  <c r="V1549" i="1"/>
  <c r="Q1549" i="1"/>
  <c r="P1549" i="1"/>
  <c r="O1549" i="1"/>
  <c r="N1549" i="1"/>
  <c r="I1549" i="1"/>
  <c r="H1549" i="1"/>
  <c r="V1548" i="1"/>
  <c r="Q1548" i="1"/>
  <c r="P1548" i="1"/>
  <c r="O1548" i="1"/>
  <c r="N1548" i="1"/>
  <c r="I1548" i="1"/>
  <c r="H1548" i="1"/>
  <c r="V1547" i="1"/>
  <c r="Q1547" i="1"/>
  <c r="P1547" i="1"/>
  <c r="O1547" i="1"/>
  <c r="N1547" i="1"/>
  <c r="I1547" i="1"/>
  <c r="H1547" i="1"/>
  <c r="V1546" i="1"/>
  <c r="Q1546" i="1"/>
  <c r="P1546" i="1"/>
  <c r="O1546" i="1"/>
  <c r="N1546" i="1"/>
  <c r="I1546" i="1"/>
  <c r="H1546" i="1"/>
  <c r="V1545" i="1"/>
  <c r="Q1545" i="1"/>
  <c r="P1545" i="1"/>
  <c r="O1545" i="1"/>
  <c r="N1545" i="1"/>
  <c r="I1545" i="1"/>
  <c r="H1545" i="1"/>
  <c r="V1544" i="1"/>
  <c r="Q1544" i="1"/>
  <c r="P1544" i="1"/>
  <c r="O1544" i="1"/>
  <c r="N1544" i="1"/>
  <c r="I1544" i="1"/>
  <c r="H1544" i="1"/>
  <c r="V1543" i="1"/>
  <c r="Q1543" i="1"/>
  <c r="P1543" i="1"/>
  <c r="O1543" i="1"/>
  <c r="N1543" i="1"/>
  <c r="I1543" i="1"/>
  <c r="H1543" i="1"/>
  <c r="V1542" i="1"/>
  <c r="Q1542" i="1"/>
  <c r="P1542" i="1"/>
  <c r="O1542" i="1"/>
  <c r="N1542" i="1"/>
  <c r="I1542" i="1"/>
  <c r="H1542" i="1"/>
  <c r="V1541" i="1"/>
  <c r="Q1541" i="1"/>
  <c r="P1541" i="1"/>
  <c r="O1541" i="1"/>
  <c r="N1541" i="1"/>
  <c r="I1541" i="1"/>
  <c r="H1541" i="1"/>
  <c r="V1540" i="1"/>
  <c r="Q1540" i="1"/>
  <c r="P1540" i="1"/>
  <c r="O1540" i="1"/>
  <c r="N1540" i="1"/>
  <c r="I1540" i="1"/>
  <c r="H1540" i="1"/>
  <c r="V1539" i="1"/>
  <c r="Q1539" i="1"/>
  <c r="P1539" i="1"/>
  <c r="O1539" i="1"/>
  <c r="N1539" i="1"/>
  <c r="I1539" i="1"/>
  <c r="H1539" i="1"/>
  <c r="V1538" i="1"/>
  <c r="Q1538" i="1"/>
  <c r="P1538" i="1"/>
  <c r="O1538" i="1"/>
  <c r="N1538" i="1"/>
  <c r="I1538" i="1"/>
  <c r="H1538" i="1"/>
  <c r="V1537" i="1"/>
  <c r="Q1537" i="1"/>
  <c r="P1537" i="1"/>
  <c r="O1537" i="1"/>
  <c r="N1537" i="1"/>
  <c r="I1537" i="1"/>
  <c r="H1537" i="1"/>
  <c r="V1536" i="1"/>
  <c r="Q1536" i="1"/>
  <c r="P1536" i="1"/>
  <c r="O1536" i="1"/>
  <c r="N1536" i="1"/>
  <c r="I1536" i="1"/>
  <c r="H1536" i="1"/>
  <c r="V1535" i="1"/>
  <c r="Q1535" i="1"/>
  <c r="P1535" i="1"/>
  <c r="O1535" i="1"/>
  <c r="N1535" i="1"/>
  <c r="I1535" i="1"/>
  <c r="H1535" i="1"/>
  <c r="V1534" i="1"/>
  <c r="Q1534" i="1"/>
  <c r="P1534" i="1"/>
  <c r="O1534" i="1"/>
  <c r="N1534" i="1"/>
  <c r="I1534" i="1"/>
  <c r="H1534" i="1"/>
  <c r="V1533" i="1"/>
  <c r="Q1533" i="1"/>
  <c r="P1533" i="1"/>
  <c r="O1533" i="1"/>
  <c r="N1533" i="1"/>
  <c r="I1533" i="1"/>
  <c r="H1533" i="1"/>
  <c r="V1532" i="1"/>
  <c r="Q1532" i="1"/>
  <c r="P1532" i="1"/>
  <c r="O1532" i="1"/>
  <c r="N1532" i="1"/>
  <c r="I1532" i="1"/>
  <c r="H1532" i="1"/>
  <c r="V1531" i="1"/>
  <c r="Q1531" i="1"/>
  <c r="P1531" i="1"/>
  <c r="O1531" i="1"/>
  <c r="N1531" i="1"/>
  <c r="I1531" i="1"/>
  <c r="H1531" i="1"/>
  <c r="V1530" i="1"/>
  <c r="Q1530" i="1"/>
  <c r="P1530" i="1"/>
  <c r="O1530" i="1"/>
  <c r="N1530" i="1"/>
  <c r="I1530" i="1"/>
  <c r="H1530" i="1"/>
  <c r="V1529" i="1"/>
  <c r="Q1529" i="1"/>
  <c r="P1529" i="1"/>
  <c r="O1529" i="1"/>
  <c r="N1529" i="1"/>
  <c r="I1529" i="1"/>
  <c r="H1529" i="1"/>
  <c r="V1528" i="1"/>
  <c r="Q1528" i="1"/>
  <c r="P1528" i="1"/>
  <c r="O1528" i="1"/>
  <c r="N1528" i="1"/>
  <c r="I1528" i="1"/>
  <c r="H1528" i="1"/>
  <c r="V1527" i="1"/>
  <c r="Q1527" i="1"/>
  <c r="P1527" i="1"/>
  <c r="O1527" i="1"/>
  <c r="N1527" i="1"/>
  <c r="I1527" i="1"/>
  <c r="H1527" i="1"/>
  <c r="V1526" i="1"/>
  <c r="Q1526" i="1"/>
  <c r="P1526" i="1"/>
  <c r="O1526" i="1"/>
  <c r="N1526" i="1"/>
  <c r="I1526" i="1"/>
  <c r="H1526" i="1"/>
  <c r="V1525" i="1"/>
  <c r="Q1525" i="1"/>
  <c r="P1525" i="1"/>
  <c r="O1525" i="1"/>
  <c r="N1525" i="1"/>
  <c r="I1525" i="1"/>
  <c r="H1525" i="1"/>
  <c r="V1524" i="1"/>
  <c r="Q1524" i="1"/>
  <c r="P1524" i="1"/>
  <c r="O1524" i="1"/>
  <c r="N1524" i="1"/>
  <c r="I1524" i="1"/>
  <c r="H1524" i="1"/>
  <c r="V1523" i="1"/>
  <c r="Q1523" i="1"/>
  <c r="P1523" i="1"/>
  <c r="O1523" i="1"/>
  <c r="N1523" i="1"/>
  <c r="I1523" i="1"/>
  <c r="H1523" i="1"/>
  <c r="V1522" i="1"/>
  <c r="Q1522" i="1"/>
  <c r="P1522" i="1"/>
  <c r="O1522" i="1"/>
  <c r="N1522" i="1"/>
  <c r="I1522" i="1"/>
  <c r="H1522" i="1"/>
  <c r="V1521" i="1"/>
  <c r="Q1521" i="1"/>
  <c r="P1521" i="1"/>
  <c r="O1521" i="1"/>
  <c r="N1521" i="1"/>
  <c r="I1521" i="1"/>
  <c r="H1521" i="1"/>
  <c r="V1520" i="1"/>
  <c r="Q1520" i="1"/>
  <c r="P1520" i="1"/>
  <c r="O1520" i="1"/>
  <c r="N1520" i="1"/>
  <c r="I1520" i="1"/>
  <c r="H1520" i="1"/>
  <c r="V1519" i="1"/>
  <c r="Q1519" i="1"/>
  <c r="P1519" i="1"/>
  <c r="O1519" i="1"/>
  <c r="N1519" i="1"/>
  <c r="I1519" i="1"/>
  <c r="H1519" i="1"/>
  <c r="V1518" i="1"/>
  <c r="Q1518" i="1"/>
  <c r="P1518" i="1"/>
  <c r="O1518" i="1"/>
  <c r="N1518" i="1"/>
  <c r="I1518" i="1"/>
  <c r="H1518" i="1"/>
  <c r="V1517" i="1"/>
  <c r="Q1517" i="1"/>
  <c r="P1517" i="1"/>
  <c r="O1517" i="1"/>
  <c r="N1517" i="1"/>
  <c r="I1517" i="1"/>
  <c r="H1517" i="1"/>
  <c r="V1516" i="1"/>
  <c r="Q1516" i="1"/>
  <c r="P1516" i="1"/>
  <c r="O1516" i="1"/>
  <c r="N1516" i="1"/>
  <c r="I1516" i="1"/>
  <c r="H1516" i="1"/>
  <c r="V1515" i="1"/>
  <c r="Q1515" i="1"/>
  <c r="P1515" i="1"/>
  <c r="O1515" i="1"/>
  <c r="N1515" i="1"/>
  <c r="I1515" i="1"/>
  <c r="H1515" i="1"/>
  <c r="V1514" i="1"/>
  <c r="Q1514" i="1"/>
  <c r="P1514" i="1"/>
  <c r="O1514" i="1"/>
  <c r="N1514" i="1"/>
  <c r="I1514" i="1"/>
  <c r="H1514" i="1"/>
  <c r="V1513" i="1"/>
  <c r="Q1513" i="1"/>
  <c r="P1513" i="1"/>
  <c r="O1513" i="1"/>
  <c r="N1513" i="1"/>
  <c r="I1513" i="1"/>
  <c r="H1513" i="1"/>
  <c r="V1512" i="1"/>
  <c r="Q1512" i="1"/>
  <c r="P1512" i="1"/>
  <c r="O1512" i="1"/>
  <c r="N1512" i="1"/>
  <c r="I1512" i="1"/>
  <c r="H1512" i="1"/>
  <c r="V1511" i="1"/>
  <c r="Q1511" i="1"/>
  <c r="P1511" i="1"/>
  <c r="O1511" i="1"/>
  <c r="N1511" i="1"/>
  <c r="I1511" i="1"/>
  <c r="H1511" i="1"/>
  <c r="V1510" i="1"/>
  <c r="Q1510" i="1"/>
  <c r="P1510" i="1"/>
  <c r="O1510" i="1"/>
  <c r="N1510" i="1"/>
  <c r="I1510" i="1"/>
  <c r="H1510" i="1"/>
  <c r="V1509" i="1"/>
  <c r="Q1509" i="1"/>
  <c r="P1509" i="1"/>
  <c r="O1509" i="1"/>
  <c r="N1509" i="1"/>
  <c r="I1509" i="1"/>
  <c r="H1509" i="1"/>
  <c r="V1508" i="1"/>
  <c r="Q1508" i="1"/>
  <c r="P1508" i="1"/>
  <c r="O1508" i="1"/>
  <c r="N1508" i="1"/>
  <c r="I1508" i="1"/>
  <c r="H1508" i="1"/>
  <c r="V1507" i="1"/>
  <c r="Q1507" i="1"/>
  <c r="P1507" i="1"/>
  <c r="O1507" i="1"/>
  <c r="N1507" i="1"/>
  <c r="I1507" i="1"/>
  <c r="H1507" i="1"/>
  <c r="V1506" i="1"/>
  <c r="Q1506" i="1"/>
  <c r="P1506" i="1"/>
  <c r="O1506" i="1"/>
  <c r="N1506" i="1"/>
  <c r="I1506" i="1"/>
  <c r="H1506" i="1"/>
  <c r="V1505" i="1"/>
  <c r="Q1505" i="1"/>
  <c r="P1505" i="1"/>
  <c r="O1505" i="1"/>
  <c r="N1505" i="1"/>
  <c r="I1505" i="1"/>
  <c r="H1505" i="1"/>
  <c r="V1504" i="1"/>
  <c r="Q1504" i="1"/>
  <c r="P1504" i="1"/>
  <c r="O1504" i="1"/>
  <c r="N1504" i="1"/>
  <c r="I1504" i="1"/>
  <c r="V1503" i="1"/>
  <c r="Q1503" i="1"/>
  <c r="P1503" i="1"/>
  <c r="O1503" i="1"/>
  <c r="N1503" i="1"/>
  <c r="I1503" i="1"/>
  <c r="V1502" i="1"/>
  <c r="Q1502" i="1"/>
  <c r="P1502" i="1"/>
  <c r="O1502" i="1"/>
  <c r="N1502" i="1"/>
  <c r="I1502" i="1"/>
  <c r="V1501" i="1"/>
  <c r="Q1501" i="1"/>
  <c r="P1501" i="1"/>
  <c r="O1501" i="1"/>
  <c r="N1501" i="1"/>
  <c r="I1501" i="1"/>
  <c r="V1500" i="1"/>
  <c r="Q1500" i="1"/>
  <c r="P1500" i="1"/>
  <c r="O1500" i="1"/>
  <c r="N1500" i="1"/>
  <c r="I1500" i="1"/>
  <c r="V1499" i="1"/>
  <c r="Q1499" i="1"/>
  <c r="P1499" i="1"/>
  <c r="O1499" i="1"/>
  <c r="N1499" i="1"/>
  <c r="I1499" i="1"/>
  <c r="V1498" i="1"/>
  <c r="Q1498" i="1"/>
  <c r="P1498" i="1"/>
  <c r="O1498" i="1"/>
  <c r="N1498" i="1"/>
  <c r="I1498" i="1"/>
  <c r="V1497" i="1"/>
  <c r="Q1497" i="1"/>
  <c r="P1497" i="1"/>
  <c r="O1497" i="1"/>
  <c r="N1497" i="1"/>
  <c r="I1497" i="1"/>
  <c r="V1496" i="1"/>
  <c r="Q1496" i="1"/>
  <c r="P1496" i="1"/>
  <c r="O1496" i="1"/>
  <c r="N1496" i="1"/>
  <c r="I1496" i="1"/>
  <c r="V1495" i="1"/>
  <c r="Q1495" i="1"/>
  <c r="P1495" i="1"/>
  <c r="O1495" i="1"/>
  <c r="N1495" i="1"/>
  <c r="I1495" i="1"/>
  <c r="V1494" i="1"/>
  <c r="Q1494" i="1"/>
  <c r="P1494" i="1"/>
  <c r="O1494" i="1"/>
  <c r="N1494" i="1"/>
  <c r="I1494" i="1"/>
  <c r="V1493" i="1"/>
  <c r="Q1493" i="1"/>
  <c r="P1493" i="1"/>
  <c r="O1493" i="1"/>
  <c r="N1493" i="1"/>
  <c r="I1493" i="1"/>
  <c r="V1492" i="1"/>
  <c r="Q1492" i="1"/>
  <c r="P1492" i="1"/>
  <c r="O1492" i="1"/>
  <c r="N1492" i="1"/>
  <c r="I1492" i="1"/>
  <c r="V1491" i="1"/>
  <c r="Q1491" i="1"/>
  <c r="P1491" i="1"/>
  <c r="O1491" i="1"/>
  <c r="N1491" i="1"/>
  <c r="I1491" i="1"/>
  <c r="V1490" i="1"/>
  <c r="Q1490" i="1"/>
  <c r="P1490" i="1"/>
  <c r="O1490" i="1"/>
  <c r="N1490" i="1"/>
  <c r="I1490" i="1"/>
  <c r="V1489" i="1"/>
  <c r="Q1489" i="1"/>
  <c r="P1489" i="1"/>
  <c r="O1489" i="1"/>
  <c r="N1489" i="1"/>
  <c r="I1489" i="1"/>
  <c r="V1488" i="1"/>
  <c r="Q1488" i="1"/>
  <c r="P1488" i="1"/>
  <c r="O1488" i="1"/>
  <c r="N1488" i="1"/>
  <c r="I1488" i="1"/>
  <c r="V1487" i="1"/>
  <c r="Q1487" i="1"/>
  <c r="P1487" i="1"/>
  <c r="O1487" i="1"/>
  <c r="N1487" i="1"/>
  <c r="I1487" i="1"/>
  <c r="V1486" i="1"/>
  <c r="Q1486" i="1"/>
  <c r="P1486" i="1"/>
  <c r="O1486" i="1"/>
  <c r="N1486" i="1"/>
  <c r="I1486" i="1"/>
  <c r="V1485" i="1"/>
  <c r="Q1485" i="1"/>
  <c r="P1485" i="1"/>
  <c r="O1485" i="1"/>
  <c r="N1485" i="1"/>
  <c r="I1485" i="1"/>
  <c r="V1484" i="1"/>
  <c r="Q1484" i="1"/>
  <c r="P1484" i="1"/>
  <c r="O1484" i="1"/>
  <c r="N1484" i="1"/>
  <c r="I1484" i="1"/>
  <c r="V1483" i="1"/>
  <c r="Q1483" i="1"/>
  <c r="P1483" i="1"/>
  <c r="O1483" i="1"/>
  <c r="N1483" i="1"/>
  <c r="I1483" i="1"/>
  <c r="V1482" i="1"/>
  <c r="Q1482" i="1"/>
  <c r="P1482" i="1"/>
  <c r="O1482" i="1"/>
  <c r="N1482" i="1"/>
  <c r="I1482" i="1"/>
  <c r="V1481" i="1"/>
  <c r="Q1481" i="1"/>
  <c r="P1481" i="1"/>
  <c r="O1481" i="1"/>
  <c r="N1481" i="1"/>
  <c r="I1481" i="1"/>
  <c r="V1480" i="1"/>
  <c r="Q1480" i="1"/>
  <c r="P1480" i="1"/>
  <c r="O1480" i="1"/>
  <c r="N1480" i="1"/>
  <c r="I1480" i="1"/>
  <c r="V1479" i="1"/>
  <c r="Q1479" i="1"/>
  <c r="P1479" i="1"/>
  <c r="O1479" i="1"/>
  <c r="N1479" i="1"/>
  <c r="I1479" i="1"/>
  <c r="V1478" i="1"/>
  <c r="Q1478" i="1"/>
  <c r="P1478" i="1"/>
  <c r="O1478" i="1"/>
  <c r="N1478" i="1"/>
  <c r="I1478" i="1"/>
  <c r="V1477" i="1"/>
  <c r="Q1477" i="1"/>
  <c r="P1477" i="1"/>
  <c r="O1477" i="1"/>
  <c r="N1477" i="1"/>
  <c r="I1477" i="1"/>
  <c r="V1476" i="1"/>
  <c r="Q1476" i="1"/>
  <c r="P1476" i="1"/>
  <c r="O1476" i="1"/>
  <c r="N1476" i="1"/>
  <c r="I1476" i="1"/>
  <c r="V1475" i="1"/>
  <c r="Q1475" i="1"/>
  <c r="P1475" i="1"/>
  <c r="O1475" i="1"/>
  <c r="N1475" i="1"/>
  <c r="I1475" i="1"/>
  <c r="V1474" i="1"/>
  <c r="Q1474" i="1"/>
  <c r="P1474" i="1"/>
  <c r="O1474" i="1"/>
  <c r="N1474" i="1"/>
  <c r="I1474" i="1"/>
  <c r="V1473" i="1"/>
  <c r="Q1473" i="1"/>
  <c r="P1473" i="1"/>
  <c r="O1473" i="1"/>
  <c r="N1473" i="1"/>
  <c r="I1473" i="1"/>
  <c r="V1472" i="1"/>
  <c r="Q1472" i="1"/>
  <c r="P1472" i="1"/>
  <c r="O1472" i="1"/>
  <c r="N1472" i="1"/>
  <c r="I1472" i="1"/>
  <c r="V1471" i="1"/>
  <c r="Q1471" i="1"/>
  <c r="P1471" i="1"/>
  <c r="O1471" i="1"/>
  <c r="N1471" i="1"/>
  <c r="I1471" i="1"/>
  <c r="V1470" i="1"/>
  <c r="Q1470" i="1"/>
  <c r="P1470" i="1"/>
  <c r="O1470" i="1"/>
  <c r="N1470" i="1"/>
  <c r="I1470" i="1"/>
  <c r="V1469" i="1"/>
  <c r="Q1469" i="1"/>
  <c r="P1469" i="1"/>
  <c r="O1469" i="1"/>
  <c r="N1469" i="1"/>
  <c r="I1469" i="1"/>
  <c r="V1468" i="1"/>
  <c r="Q1468" i="1"/>
  <c r="P1468" i="1"/>
  <c r="O1468" i="1"/>
  <c r="N1468" i="1"/>
  <c r="I1468" i="1"/>
  <c r="V1467" i="1"/>
  <c r="Q1467" i="1"/>
  <c r="P1467" i="1"/>
  <c r="O1467" i="1"/>
  <c r="N1467" i="1"/>
  <c r="I1467" i="1"/>
  <c r="V1466" i="1"/>
  <c r="Q1466" i="1"/>
  <c r="P1466" i="1"/>
  <c r="O1466" i="1"/>
  <c r="N1466" i="1"/>
  <c r="I1466" i="1"/>
  <c r="V1465" i="1"/>
  <c r="Q1465" i="1"/>
  <c r="P1465" i="1"/>
  <c r="O1465" i="1"/>
  <c r="N1465" i="1"/>
  <c r="I1465" i="1"/>
  <c r="V1464" i="1"/>
  <c r="Q1464" i="1"/>
  <c r="P1464" i="1"/>
  <c r="O1464" i="1"/>
  <c r="N1464" i="1"/>
  <c r="I1464" i="1"/>
  <c r="V1463" i="1"/>
  <c r="Q1463" i="1"/>
  <c r="P1463" i="1"/>
  <c r="O1463" i="1"/>
  <c r="N1463" i="1"/>
  <c r="I1463" i="1"/>
  <c r="H1463" i="1"/>
  <c r="V1462" i="1"/>
  <c r="Q1462" i="1"/>
  <c r="P1462" i="1"/>
  <c r="O1462" i="1"/>
  <c r="N1462" i="1"/>
  <c r="I1462" i="1"/>
  <c r="H1462" i="1"/>
  <c r="V1461" i="1"/>
  <c r="Q1461" i="1"/>
  <c r="P1461" i="1"/>
  <c r="O1461" i="1"/>
  <c r="N1461" i="1"/>
  <c r="I1461" i="1"/>
  <c r="H1461" i="1"/>
  <c r="V1460" i="1"/>
  <c r="Q1460" i="1"/>
  <c r="P1460" i="1"/>
  <c r="O1460" i="1"/>
  <c r="N1460" i="1"/>
  <c r="I1460" i="1"/>
  <c r="H1460" i="1"/>
  <c r="V1459" i="1"/>
  <c r="Q1459" i="1"/>
  <c r="P1459" i="1"/>
  <c r="O1459" i="1"/>
  <c r="N1459" i="1"/>
  <c r="I1459" i="1"/>
  <c r="H1459" i="1"/>
  <c r="V1458" i="1"/>
  <c r="Q1458" i="1"/>
  <c r="P1458" i="1"/>
  <c r="O1458" i="1"/>
  <c r="N1458" i="1"/>
  <c r="I1458" i="1"/>
  <c r="H1458" i="1"/>
  <c r="V1457" i="1"/>
  <c r="Q1457" i="1"/>
  <c r="P1457" i="1"/>
  <c r="O1457" i="1"/>
  <c r="N1457" i="1"/>
  <c r="I1457" i="1"/>
  <c r="H1457" i="1"/>
  <c r="V1456" i="1"/>
  <c r="Q1456" i="1"/>
  <c r="P1456" i="1"/>
  <c r="O1456" i="1"/>
  <c r="N1456" i="1"/>
  <c r="I1456" i="1"/>
  <c r="H1456" i="1"/>
  <c r="V1455" i="1"/>
  <c r="Q1455" i="1"/>
  <c r="P1455" i="1"/>
  <c r="O1455" i="1"/>
  <c r="N1455" i="1"/>
  <c r="I1455" i="1"/>
  <c r="H1455" i="1"/>
  <c r="V1454" i="1"/>
  <c r="Q1454" i="1"/>
  <c r="P1454" i="1"/>
  <c r="O1454" i="1"/>
  <c r="N1454" i="1"/>
  <c r="I1454" i="1"/>
  <c r="H1454" i="1"/>
  <c r="V1453" i="1"/>
  <c r="Q1453" i="1"/>
  <c r="P1453" i="1"/>
  <c r="O1453" i="1"/>
  <c r="N1453" i="1"/>
  <c r="I1453" i="1"/>
  <c r="V1452" i="1"/>
  <c r="Q1452" i="1"/>
  <c r="P1452" i="1"/>
  <c r="O1452" i="1"/>
  <c r="N1452" i="1"/>
  <c r="I1452" i="1"/>
  <c r="V1451" i="1"/>
  <c r="Q1451" i="1"/>
  <c r="P1451" i="1"/>
  <c r="O1451" i="1"/>
  <c r="N1451" i="1"/>
  <c r="I1451" i="1"/>
  <c r="V1450" i="1"/>
  <c r="Q1450" i="1"/>
  <c r="P1450" i="1"/>
  <c r="O1450" i="1"/>
  <c r="N1450" i="1"/>
  <c r="I1450" i="1"/>
  <c r="V1449" i="1"/>
  <c r="Q1449" i="1"/>
  <c r="P1449" i="1"/>
  <c r="O1449" i="1"/>
  <c r="N1449" i="1"/>
  <c r="I1449" i="1"/>
  <c r="V1448" i="1"/>
  <c r="Q1448" i="1"/>
  <c r="P1448" i="1"/>
  <c r="O1448" i="1"/>
  <c r="N1448" i="1"/>
  <c r="I1448" i="1"/>
  <c r="V1447" i="1"/>
  <c r="Q1447" i="1"/>
  <c r="P1447" i="1"/>
  <c r="O1447" i="1"/>
  <c r="N1447" i="1"/>
  <c r="I1447" i="1"/>
  <c r="V1446" i="1"/>
  <c r="Q1446" i="1"/>
  <c r="P1446" i="1"/>
  <c r="O1446" i="1"/>
  <c r="N1446" i="1"/>
  <c r="I1446" i="1"/>
  <c r="V1445" i="1"/>
  <c r="Q1445" i="1"/>
  <c r="P1445" i="1"/>
  <c r="O1445" i="1"/>
  <c r="N1445" i="1"/>
  <c r="I1445" i="1"/>
  <c r="V1444" i="1"/>
  <c r="Q1444" i="1"/>
  <c r="P1444" i="1"/>
  <c r="O1444" i="1"/>
  <c r="N1444" i="1"/>
  <c r="I1444" i="1"/>
  <c r="V1443" i="1"/>
  <c r="Q1443" i="1"/>
  <c r="P1443" i="1"/>
  <c r="O1443" i="1"/>
  <c r="N1443" i="1"/>
  <c r="I1443" i="1"/>
  <c r="V1442" i="1"/>
  <c r="Q1442" i="1"/>
  <c r="P1442" i="1"/>
  <c r="O1442" i="1"/>
  <c r="N1442" i="1"/>
  <c r="I1442" i="1"/>
  <c r="V1441" i="1"/>
  <c r="Q1441" i="1"/>
  <c r="P1441" i="1"/>
  <c r="O1441" i="1"/>
  <c r="N1441" i="1"/>
  <c r="I1441" i="1"/>
  <c r="V1440" i="1"/>
  <c r="Q1440" i="1"/>
  <c r="P1440" i="1"/>
  <c r="O1440" i="1"/>
  <c r="N1440" i="1"/>
  <c r="I1440" i="1"/>
  <c r="V1439" i="1"/>
  <c r="Q1439" i="1"/>
  <c r="P1439" i="1"/>
  <c r="O1439" i="1"/>
  <c r="N1439" i="1"/>
  <c r="I1439" i="1"/>
  <c r="V1438" i="1"/>
  <c r="Q1438" i="1"/>
  <c r="P1438" i="1"/>
  <c r="O1438" i="1"/>
  <c r="N1438" i="1"/>
  <c r="I1438" i="1"/>
  <c r="V1437" i="1"/>
  <c r="Q1437" i="1"/>
  <c r="P1437" i="1"/>
  <c r="O1437" i="1"/>
  <c r="N1437" i="1"/>
  <c r="I1437" i="1"/>
  <c r="V1436" i="1"/>
  <c r="Q1436" i="1"/>
  <c r="P1436" i="1"/>
  <c r="O1436" i="1"/>
  <c r="N1436" i="1"/>
  <c r="I1436" i="1"/>
  <c r="V1435" i="1"/>
  <c r="Q1435" i="1"/>
  <c r="P1435" i="1"/>
  <c r="O1435" i="1"/>
  <c r="N1435" i="1"/>
  <c r="I1435" i="1"/>
  <c r="V1434" i="1"/>
  <c r="Q1434" i="1"/>
  <c r="P1434" i="1"/>
  <c r="O1434" i="1"/>
  <c r="N1434" i="1"/>
  <c r="I1434" i="1"/>
  <c r="V1433" i="1"/>
  <c r="Q1433" i="1"/>
  <c r="P1433" i="1"/>
  <c r="O1433" i="1"/>
  <c r="N1433" i="1"/>
  <c r="V1432" i="1"/>
  <c r="Q1432" i="1"/>
  <c r="P1432" i="1"/>
  <c r="O1432" i="1"/>
  <c r="N1432" i="1"/>
  <c r="V1431" i="1"/>
  <c r="Q1431" i="1"/>
  <c r="P1431" i="1"/>
  <c r="O1431" i="1"/>
  <c r="N1431" i="1"/>
  <c r="V1430" i="1"/>
  <c r="Q1430" i="1"/>
  <c r="P1430" i="1"/>
  <c r="O1430" i="1"/>
  <c r="N1430" i="1"/>
  <c r="V1429" i="1"/>
  <c r="Q1429" i="1"/>
  <c r="P1429" i="1"/>
  <c r="O1429" i="1"/>
  <c r="N1429" i="1"/>
  <c r="V1428" i="1"/>
  <c r="Q1428" i="1"/>
  <c r="P1428" i="1"/>
  <c r="O1428" i="1"/>
  <c r="N1428" i="1"/>
  <c r="V1427" i="1"/>
  <c r="Q1427" i="1"/>
  <c r="P1427" i="1"/>
  <c r="O1427" i="1"/>
  <c r="N1427" i="1"/>
  <c r="V1426" i="1"/>
  <c r="Q1426" i="1"/>
  <c r="P1426" i="1"/>
  <c r="O1426" i="1"/>
  <c r="N1426" i="1"/>
  <c r="V1425" i="1"/>
  <c r="Q1425" i="1"/>
  <c r="P1425" i="1"/>
  <c r="O1425" i="1"/>
  <c r="N1425" i="1"/>
  <c r="I1425" i="1"/>
  <c r="V1424" i="1"/>
  <c r="Q1424" i="1"/>
  <c r="P1424" i="1"/>
  <c r="O1424" i="1"/>
  <c r="N1424" i="1"/>
  <c r="I1424" i="1"/>
  <c r="V1423" i="1"/>
  <c r="Q1423" i="1"/>
  <c r="P1423" i="1"/>
  <c r="O1423" i="1"/>
  <c r="N1423" i="1"/>
  <c r="I1423" i="1"/>
  <c r="V1422" i="1"/>
  <c r="Q1422" i="1"/>
  <c r="P1422" i="1"/>
  <c r="O1422" i="1"/>
  <c r="N1422" i="1"/>
  <c r="I1422" i="1"/>
  <c r="V1421" i="1"/>
  <c r="Q1421" i="1"/>
  <c r="P1421" i="1"/>
  <c r="O1421" i="1"/>
  <c r="N1421" i="1"/>
  <c r="I1421" i="1"/>
  <c r="V1420" i="1"/>
  <c r="Q1420" i="1"/>
  <c r="P1420" i="1"/>
  <c r="O1420" i="1"/>
  <c r="N1420" i="1"/>
  <c r="I1420" i="1"/>
  <c r="V1419" i="1"/>
  <c r="Q1419" i="1"/>
  <c r="P1419" i="1"/>
  <c r="O1419" i="1"/>
  <c r="N1419" i="1"/>
  <c r="I1419" i="1"/>
  <c r="V1418" i="1"/>
  <c r="Q1418" i="1"/>
  <c r="P1418" i="1"/>
  <c r="O1418" i="1"/>
  <c r="N1418" i="1"/>
  <c r="I1418" i="1"/>
  <c r="V1417" i="1"/>
  <c r="Q1417" i="1"/>
  <c r="P1417" i="1"/>
  <c r="O1417" i="1"/>
  <c r="N1417" i="1"/>
  <c r="I1417" i="1"/>
  <c r="V1416" i="1"/>
  <c r="Q1416" i="1"/>
  <c r="P1416" i="1"/>
  <c r="O1416" i="1"/>
  <c r="N1416" i="1"/>
  <c r="I1416" i="1"/>
  <c r="V1415" i="1"/>
  <c r="Q1415" i="1"/>
  <c r="P1415" i="1"/>
  <c r="O1415" i="1"/>
  <c r="N1415" i="1"/>
  <c r="I1415" i="1"/>
  <c r="V1414" i="1"/>
  <c r="Q1414" i="1"/>
  <c r="P1414" i="1"/>
  <c r="O1414" i="1"/>
  <c r="N1414" i="1"/>
  <c r="I1414" i="1"/>
  <c r="V1413" i="1"/>
  <c r="Q1413" i="1"/>
  <c r="P1413" i="1"/>
  <c r="O1413" i="1"/>
  <c r="N1413" i="1"/>
  <c r="I1413" i="1"/>
  <c r="V1412" i="1"/>
  <c r="Q1412" i="1"/>
  <c r="P1412" i="1"/>
  <c r="O1412" i="1"/>
  <c r="N1412" i="1"/>
  <c r="I1412" i="1"/>
  <c r="V1411" i="1"/>
  <c r="Q1411" i="1"/>
  <c r="P1411" i="1"/>
  <c r="O1411" i="1"/>
  <c r="N1411" i="1"/>
  <c r="I1411" i="1"/>
  <c r="V1410" i="1"/>
  <c r="Q1410" i="1"/>
  <c r="P1410" i="1"/>
  <c r="O1410" i="1"/>
  <c r="N1410" i="1"/>
  <c r="I1410" i="1"/>
  <c r="V1409" i="1"/>
  <c r="Q1409" i="1"/>
  <c r="P1409" i="1"/>
  <c r="O1409" i="1"/>
  <c r="N1409" i="1"/>
  <c r="I1409" i="1"/>
  <c r="V1408" i="1"/>
  <c r="Q1408" i="1"/>
  <c r="P1408" i="1"/>
  <c r="O1408" i="1"/>
  <c r="N1408" i="1"/>
  <c r="I1408" i="1"/>
  <c r="V1407" i="1"/>
  <c r="Q1407" i="1"/>
  <c r="P1407" i="1"/>
  <c r="O1407" i="1"/>
  <c r="N1407" i="1"/>
  <c r="I1407" i="1"/>
  <c r="V1406" i="1"/>
  <c r="Q1406" i="1"/>
  <c r="P1406" i="1"/>
  <c r="O1406" i="1"/>
  <c r="N1406" i="1"/>
  <c r="I1406" i="1"/>
  <c r="V1405" i="1"/>
  <c r="Q1405" i="1"/>
  <c r="P1405" i="1"/>
  <c r="O1405" i="1"/>
  <c r="N1405" i="1"/>
  <c r="I1405" i="1"/>
  <c r="V1404" i="1"/>
  <c r="Q1404" i="1"/>
  <c r="P1404" i="1"/>
  <c r="O1404" i="1"/>
  <c r="N1404" i="1"/>
  <c r="I1404" i="1"/>
  <c r="V1403" i="1"/>
  <c r="Q1403" i="1"/>
  <c r="P1403" i="1"/>
  <c r="O1403" i="1"/>
  <c r="N1403" i="1"/>
  <c r="I1403" i="1"/>
  <c r="V1402" i="1"/>
  <c r="Q1402" i="1"/>
  <c r="P1402" i="1"/>
  <c r="O1402" i="1"/>
  <c r="N1402" i="1"/>
  <c r="I1402" i="1"/>
  <c r="V1401" i="1"/>
  <c r="Q1401" i="1"/>
  <c r="P1401" i="1"/>
  <c r="O1401" i="1"/>
  <c r="N1401" i="1"/>
  <c r="I1401" i="1"/>
  <c r="V1400" i="1"/>
  <c r="Q1400" i="1"/>
  <c r="P1400" i="1"/>
  <c r="O1400" i="1"/>
  <c r="N1400" i="1"/>
  <c r="I1400" i="1"/>
  <c r="V1399" i="1"/>
  <c r="Q1399" i="1"/>
  <c r="P1399" i="1"/>
  <c r="O1399" i="1"/>
  <c r="N1399" i="1"/>
  <c r="I1399" i="1"/>
  <c r="V1398" i="1"/>
  <c r="Q1398" i="1"/>
  <c r="P1398" i="1"/>
  <c r="O1398" i="1"/>
  <c r="N1398" i="1"/>
  <c r="I1398" i="1"/>
  <c r="V1397" i="1"/>
  <c r="Q1397" i="1"/>
  <c r="P1397" i="1"/>
  <c r="O1397" i="1"/>
  <c r="N1397" i="1"/>
  <c r="I1397" i="1"/>
  <c r="V1396" i="1"/>
  <c r="Q1396" i="1"/>
  <c r="P1396" i="1"/>
  <c r="O1396" i="1"/>
  <c r="N1396" i="1"/>
  <c r="I1396" i="1"/>
  <c r="V1395" i="1"/>
  <c r="Q1395" i="1"/>
  <c r="P1395" i="1"/>
  <c r="O1395" i="1"/>
  <c r="I1395" i="1"/>
  <c r="V1394" i="1"/>
  <c r="Q1394" i="1"/>
  <c r="P1394" i="1"/>
  <c r="O1394" i="1"/>
  <c r="I1394" i="1"/>
  <c r="V1393" i="1"/>
  <c r="Q1393" i="1"/>
  <c r="P1393" i="1"/>
  <c r="O1393" i="1"/>
  <c r="I1393" i="1"/>
  <c r="V1392" i="1"/>
  <c r="Q1392" i="1"/>
  <c r="P1392" i="1"/>
  <c r="O1392" i="1"/>
  <c r="I1392" i="1"/>
  <c r="V1391" i="1"/>
  <c r="Q1391" i="1"/>
  <c r="P1391" i="1"/>
  <c r="O1391" i="1"/>
  <c r="I1391" i="1"/>
  <c r="V1390" i="1"/>
  <c r="Q1390" i="1"/>
  <c r="P1390" i="1"/>
  <c r="O1390" i="1"/>
  <c r="I1390" i="1"/>
  <c r="V1389" i="1"/>
  <c r="Q1389" i="1"/>
  <c r="P1389" i="1"/>
  <c r="O1389" i="1"/>
  <c r="I1389" i="1"/>
  <c r="V1388" i="1"/>
  <c r="Q1388" i="1"/>
  <c r="P1388" i="1"/>
  <c r="O1388" i="1"/>
  <c r="I1388" i="1"/>
  <c r="V1387" i="1"/>
  <c r="Q1387" i="1"/>
  <c r="P1387" i="1"/>
  <c r="O1387" i="1"/>
  <c r="I1387" i="1"/>
  <c r="V1386" i="1"/>
  <c r="Q1386" i="1"/>
  <c r="P1386" i="1"/>
  <c r="O1386" i="1"/>
  <c r="I1386" i="1"/>
  <c r="V1385" i="1"/>
  <c r="Q1385" i="1"/>
  <c r="P1385" i="1"/>
  <c r="O1385" i="1"/>
  <c r="I1385" i="1"/>
  <c r="V1384" i="1"/>
  <c r="Q1384" i="1"/>
  <c r="P1384" i="1"/>
  <c r="O1384" i="1"/>
  <c r="I1384" i="1"/>
  <c r="V1383" i="1"/>
  <c r="Q1383" i="1"/>
  <c r="P1383" i="1"/>
  <c r="O1383" i="1"/>
  <c r="I1383" i="1"/>
  <c r="V1382" i="1"/>
  <c r="Q1382" i="1"/>
  <c r="P1382" i="1"/>
  <c r="O1382" i="1"/>
  <c r="I1382" i="1"/>
  <c r="V1381" i="1"/>
  <c r="Q1381" i="1"/>
  <c r="P1381" i="1"/>
  <c r="O1381" i="1"/>
  <c r="I1381" i="1"/>
  <c r="V1380" i="1"/>
  <c r="Q1380" i="1"/>
  <c r="P1380" i="1"/>
  <c r="O1380" i="1"/>
  <c r="I1380" i="1"/>
  <c r="V1379" i="1"/>
  <c r="Q1379" i="1"/>
  <c r="P1379" i="1"/>
  <c r="O1379" i="1"/>
  <c r="N1379" i="1"/>
  <c r="I1379" i="1"/>
  <c r="V1378" i="1"/>
  <c r="Q1378" i="1"/>
  <c r="P1378" i="1"/>
  <c r="O1378" i="1"/>
  <c r="N1378" i="1"/>
  <c r="I1378" i="1"/>
  <c r="V1377" i="1"/>
  <c r="Q1377" i="1"/>
  <c r="P1377" i="1"/>
  <c r="O1377" i="1"/>
  <c r="N1377" i="1"/>
  <c r="I1377" i="1"/>
  <c r="V1376" i="1"/>
  <c r="Q1376" i="1"/>
  <c r="P1376" i="1"/>
  <c r="O1376" i="1"/>
  <c r="N1376" i="1"/>
  <c r="I1376" i="1"/>
  <c r="V1375" i="1"/>
  <c r="Q1375" i="1"/>
  <c r="P1375" i="1"/>
  <c r="O1375" i="1"/>
  <c r="N1375" i="1"/>
  <c r="I1375" i="1"/>
  <c r="V1374" i="1"/>
  <c r="Q1374" i="1"/>
  <c r="P1374" i="1"/>
  <c r="O1374" i="1"/>
  <c r="N1374" i="1"/>
  <c r="I1374" i="1"/>
  <c r="V1373" i="1"/>
  <c r="Q1373" i="1"/>
  <c r="P1373" i="1"/>
  <c r="O1373" i="1"/>
  <c r="N1373" i="1"/>
  <c r="I1373" i="1"/>
  <c r="V1372" i="1"/>
  <c r="Q1372" i="1"/>
  <c r="P1372" i="1"/>
  <c r="O1372" i="1"/>
  <c r="N1372" i="1"/>
  <c r="I1372" i="1"/>
  <c r="V1371" i="1"/>
  <c r="Q1371" i="1"/>
  <c r="P1371" i="1"/>
  <c r="O1371" i="1"/>
  <c r="N1371" i="1"/>
  <c r="I1371" i="1"/>
  <c r="V1370" i="1"/>
  <c r="Q1370" i="1"/>
  <c r="P1370" i="1"/>
  <c r="O1370" i="1"/>
  <c r="N1370" i="1"/>
  <c r="I1370" i="1"/>
  <c r="V1369" i="1"/>
  <c r="Q1369" i="1"/>
  <c r="P1369" i="1"/>
  <c r="O1369" i="1"/>
  <c r="N1369" i="1"/>
  <c r="I1369" i="1"/>
  <c r="V1368" i="1"/>
  <c r="Q1368" i="1"/>
  <c r="P1368" i="1"/>
  <c r="O1368" i="1"/>
  <c r="N1368" i="1"/>
  <c r="I1368" i="1"/>
  <c r="V1367" i="1"/>
  <c r="Q1367" i="1"/>
  <c r="P1367" i="1"/>
  <c r="O1367" i="1"/>
  <c r="N1367" i="1"/>
  <c r="I1367" i="1"/>
  <c r="V1366" i="1"/>
  <c r="Q1366" i="1"/>
  <c r="P1366" i="1"/>
  <c r="O1366" i="1"/>
  <c r="N1366" i="1"/>
  <c r="I1366" i="1"/>
  <c r="V1365" i="1"/>
  <c r="Q1365" i="1"/>
  <c r="P1365" i="1"/>
  <c r="O1365" i="1"/>
  <c r="N1365" i="1"/>
  <c r="I1365" i="1"/>
  <c r="V1364" i="1"/>
  <c r="Q1364" i="1"/>
  <c r="P1364" i="1"/>
  <c r="O1364" i="1"/>
  <c r="N1364" i="1"/>
  <c r="I1364" i="1"/>
  <c r="V1363" i="1"/>
  <c r="Q1363" i="1"/>
  <c r="P1363" i="1"/>
  <c r="O1363" i="1"/>
  <c r="N1363" i="1"/>
  <c r="I1363" i="1"/>
  <c r="V1362" i="1"/>
  <c r="Q1362" i="1"/>
  <c r="P1362" i="1"/>
  <c r="O1362" i="1"/>
  <c r="N1362" i="1"/>
  <c r="I1362" i="1"/>
  <c r="V1361" i="1"/>
  <c r="Q1361" i="1"/>
  <c r="P1361" i="1"/>
  <c r="O1361" i="1"/>
  <c r="N1361" i="1"/>
  <c r="I1361" i="1"/>
  <c r="V1360" i="1"/>
  <c r="Q1360" i="1"/>
  <c r="P1360" i="1"/>
  <c r="O1360" i="1"/>
  <c r="N1360" i="1"/>
  <c r="I1360" i="1"/>
  <c r="V1359" i="1"/>
  <c r="Q1359" i="1"/>
  <c r="P1359" i="1"/>
  <c r="O1359" i="1"/>
  <c r="N1359" i="1"/>
  <c r="I1359" i="1"/>
  <c r="V1358" i="1"/>
  <c r="Q1358" i="1"/>
  <c r="P1358" i="1"/>
  <c r="O1358" i="1"/>
  <c r="N1358" i="1"/>
  <c r="I1358" i="1"/>
  <c r="V1357" i="1"/>
  <c r="Q1357" i="1"/>
  <c r="P1357" i="1"/>
  <c r="O1357" i="1"/>
  <c r="N1357" i="1"/>
  <c r="I1357" i="1"/>
  <c r="V1356" i="1"/>
  <c r="Q1356" i="1"/>
  <c r="P1356" i="1"/>
  <c r="O1356" i="1"/>
  <c r="N1356" i="1"/>
  <c r="I1356" i="1"/>
  <c r="V1355" i="1"/>
  <c r="Q1355" i="1"/>
  <c r="P1355" i="1"/>
  <c r="O1355" i="1"/>
  <c r="N1355" i="1"/>
  <c r="I1355" i="1"/>
  <c r="V1354" i="1"/>
  <c r="Q1354" i="1"/>
  <c r="P1354" i="1"/>
  <c r="O1354" i="1"/>
  <c r="N1354" i="1"/>
  <c r="I1354" i="1"/>
  <c r="V1353" i="1"/>
  <c r="Q1353" i="1"/>
  <c r="P1353" i="1"/>
  <c r="O1353" i="1"/>
  <c r="N1353" i="1"/>
  <c r="I1353" i="1"/>
  <c r="V1352" i="1"/>
  <c r="Q1352" i="1"/>
  <c r="P1352" i="1"/>
  <c r="O1352" i="1"/>
  <c r="N1352" i="1"/>
  <c r="I1352" i="1"/>
  <c r="V1351" i="1"/>
  <c r="Q1351" i="1"/>
  <c r="P1351" i="1"/>
  <c r="O1351" i="1"/>
  <c r="N1351" i="1"/>
  <c r="I1351" i="1"/>
  <c r="V1350" i="1"/>
  <c r="Q1350" i="1"/>
  <c r="P1350" i="1"/>
  <c r="O1350" i="1"/>
  <c r="N1350" i="1"/>
  <c r="I1350" i="1"/>
  <c r="V1349" i="1"/>
  <c r="Q1349" i="1"/>
  <c r="P1349" i="1"/>
  <c r="O1349" i="1"/>
  <c r="N1349" i="1"/>
  <c r="I1349" i="1"/>
  <c r="V1348" i="1"/>
  <c r="Q1348" i="1"/>
  <c r="P1348" i="1"/>
  <c r="O1348" i="1"/>
  <c r="N1348" i="1"/>
  <c r="I1348" i="1"/>
  <c r="V1347" i="1"/>
  <c r="Q1347" i="1"/>
  <c r="P1347" i="1"/>
  <c r="O1347" i="1"/>
  <c r="N1347" i="1"/>
  <c r="I1347" i="1"/>
  <c r="V1346" i="1"/>
  <c r="Q1346" i="1"/>
  <c r="P1346" i="1"/>
  <c r="O1346" i="1"/>
  <c r="N1346" i="1"/>
  <c r="I1346" i="1"/>
  <c r="V1345" i="1"/>
  <c r="Q1345" i="1"/>
  <c r="P1345" i="1"/>
  <c r="O1345" i="1"/>
  <c r="N1345" i="1"/>
  <c r="I1345" i="1"/>
  <c r="V1344" i="1"/>
  <c r="Q1344" i="1"/>
  <c r="P1344" i="1"/>
  <c r="O1344" i="1"/>
  <c r="N1344" i="1"/>
  <c r="I1344" i="1"/>
  <c r="V1343" i="1"/>
  <c r="Q1343" i="1"/>
  <c r="P1343" i="1"/>
  <c r="O1343" i="1"/>
  <c r="N1343" i="1"/>
  <c r="I1343" i="1"/>
  <c r="V1342" i="1"/>
  <c r="Q1342" i="1"/>
  <c r="P1342" i="1"/>
  <c r="O1342" i="1"/>
  <c r="N1342" i="1"/>
  <c r="I1342" i="1"/>
  <c r="V1341" i="1"/>
  <c r="Q1341" i="1"/>
  <c r="P1341" i="1"/>
  <c r="O1341" i="1"/>
  <c r="N1341" i="1"/>
  <c r="I1341" i="1"/>
  <c r="V1340" i="1"/>
  <c r="Q1340" i="1"/>
  <c r="P1340" i="1"/>
  <c r="O1340" i="1"/>
  <c r="N1340" i="1"/>
  <c r="I1340" i="1"/>
  <c r="V1339" i="1"/>
  <c r="Q1339" i="1"/>
  <c r="P1339" i="1"/>
  <c r="O1339" i="1"/>
  <c r="N1339" i="1"/>
  <c r="I1339" i="1"/>
  <c r="V1338" i="1"/>
  <c r="Q1338" i="1"/>
  <c r="P1338" i="1"/>
  <c r="O1338" i="1"/>
  <c r="N1338" i="1"/>
  <c r="I1338" i="1"/>
  <c r="V1337" i="1"/>
  <c r="Q1337" i="1"/>
  <c r="P1337" i="1"/>
  <c r="O1337" i="1"/>
  <c r="N1337" i="1"/>
  <c r="I1337" i="1"/>
  <c r="V1336" i="1"/>
  <c r="Q1336" i="1"/>
  <c r="P1336" i="1"/>
  <c r="O1336" i="1"/>
  <c r="N1336" i="1"/>
  <c r="I1336" i="1"/>
  <c r="V1335" i="1"/>
  <c r="Q1335" i="1"/>
  <c r="P1335" i="1"/>
  <c r="O1335" i="1"/>
  <c r="N1335" i="1"/>
  <c r="I1335" i="1"/>
  <c r="V1334" i="1"/>
  <c r="Q1334" i="1"/>
  <c r="P1334" i="1"/>
  <c r="O1334" i="1"/>
  <c r="N1334" i="1"/>
  <c r="I1334" i="1"/>
  <c r="V1333" i="1"/>
  <c r="Q1333" i="1"/>
  <c r="P1333" i="1"/>
  <c r="O1333" i="1"/>
  <c r="N1333" i="1"/>
  <c r="I1333" i="1"/>
  <c r="V1332" i="1"/>
  <c r="Q1332" i="1"/>
  <c r="P1332" i="1"/>
  <c r="O1332" i="1"/>
  <c r="N1332" i="1"/>
  <c r="I1332" i="1"/>
  <c r="V1331" i="1"/>
  <c r="Q1331" i="1"/>
  <c r="P1331" i="1"/>
  <c r="O1331" i="1"/>
  <c r="N1331" i="1"/>
  <c r="I1331" i="1"/>
  <c r="V1330" i="1"/>
  <c r="Q1330" i="1"/>
  <c r="P1330" i="1"/>
  <c r="O1330" i="1"/>
  <c r="N1330" i="1"/>
  <c r="I1330" i="1"/>
  <c r="V1329" i="1"/>
  <c r="Q1329" i="1"/>
  <c r="P1329" i="1"/>
  <c r="O1329" i="1"/>
  <c r="N1329" i="1"/>
  <c r="I1329" i="1"/>
  <c r="V1328" i="1"/>
  <c r="Q1328" i="1"/>
  <c r="P1328" i="1"/>
  <c r="O1328" i="1"/>
  <c r="N1328" i="1"/>
  <c r="I1328" i="1"/>
  <c r="V1327" i="1"/>
  <c r="Q1327" i="1"/>
  <c r="P1327" i="1"/>
  <c r="O1327" i="1"/>
  <c r="N1327" i="1"/>
  <c r="I1327" i="1"/>
  <c r="V1326" i="1"/>
  <c r="Q1326" i="1"/>
  <c r="P1326" i="1"/>
  <c r="O1326" i="1"/>
  <c r="N1326" i="1"/>
  <c r="I1326" i="1"/>
  <c r="V1325" i="1"/>
  <c r="Q1325" i="1"/>
  <c r="P1325" i="1"/>
  <c r="O1325" i="1"/>
  <c r="N1325" i="1"/>
  <c r="I1325" i="1"/>
  <c r="V1324" i="1"/>
  <c r="Q1324" i="1"/>
  <c r="P1324" i="1"/>
  <c r="O1324" i="1"/>
  <c r="N1324" i="1"/>
  <c r="I1324" i="1"/>
  <c r="V1323" i="1"/>
  <c r="Q1323" i="1"/>
  <c r="P1323" i="1"/>
  <c r="O1323" i="1"/>
  <c r="N1323" i="1"/>
  <c r="I1323" i="1"/>
  <c r="V1322" i="1"/>
  <c r="Q1322" i="1"/>
  <c r="P1322" i="1"/>
  <c r="O1322" i="1"/>
  <c r="N1322" i="1"/>
  <c r="I1322" i="1"/>
  <c r="V1321" i="1"/>
  <c r="Q1321" i="1"/>
  <c r="P1321" i="1"/>
  <c r="O1321" i="1"/>
  <c r="N1321" i="1"/>
  <c r="I1321" i="1"/>
  <c r="V1320" i="1"/>
  <c r="Q1320" i="1"/>
  <c r="P1320" i="1"/>
  <c r="O1320" i="1"/>
  <c r="N1320" i="1"/>
  <c r="I1320" i="1"/>
  <c r="V1319" i="1"/>
  <c r="Q1319" i="1"/>
  <c r="P1319" i="1"/>
  <c r="O1319" i="1"/>
  <c r="N1319" i="1"/>
  <c r="I1319" i="1"/>
  <c r="V1318" i="1"/>
  <c r="Q1318" i="1"/>
  <c r="P1318" i="1"/>
  <c r="O1318" i="1"/>
  <c r="N1318" i="1"/>
  <c r="I1318" i="1"/>
  <c r="V1317" i="1"/>
  <c r="Q1317" i="1"/>
  <c r="P1317" i="1"/>
  <c r="O1317" i="1"/>
  <c r="N1317" i="1"/>
  <c r="I1317" i="1"/>
  <c r="V1316" i="1"/>
  <c r="Q1316" i="1"/>
  <c r="P1316" i="1"/>
  <c r="O1316" i="1"/>
  <c r="N1316" i="1"/>
  <c r="I1316" i="1"/>
  <c r="V1315" i="1"/>
  <c r="Q1315" i="1"/>
  <c r="P1315" i="1"/>
  <c r="O1315" i="1"/>
  <c r="N1315" i="1"/>
  <c r="I1315" i="1"/>
  <c r="V1314" i="1"/>
  <c r="Q1314" i="1"/>
  <c r="P1314" i="1"/>
  <c r="O1314" i="1"/>
  <c r="N1314" i="1"/>
  <c r="I1314" i="1"/>
  <c r="V1313" i="1"/>
  <c r="Q1313" i="1"/>
  <c r="P1313" i="1"/>
  <c r="O1313" i="1"/>
  <c r="N1313" i="1"/>
  <c r="I1313" i="1"/>
  <c r="V1312" i="1"/>
  <c r="Q1312" i="1"/>
  <c r="P1312" i="1"/>
  <c r="O1312" i="1"/>
  <c r="N1312" i="1"/>
  <c r="I1312" i="1"/>
  <c r="V1311" i="1"/>
  <c r="Q1311" i="1"/>
  <c r="P1311" i="1"/>
  <c r="O1311" i="1"/>
  <c r="N1311" i="1"/>
  <c r="I1311" i="1"/>
  <c r="V1310" i="1"/>
  <c r="Q1310" i="1"/>
  <c r="P1310" i="1"/>
  <c r="O1310" i="1"/>
  <c r="N1310" i="1"/>
  <c r="I1310" i="1"/>
  <c r="V1309" i="1"/>
  <c r="Q1309" i="1"/>
  <c r="P1309" i="1"/>
  <c r="O1309" i="1"/>
  <c r="N1309" i="1"/>
  <c r="I1309" i="1"/>
  <c r="V1308" i="1"/>
  <c r="Q1308" i="1"/>
  <c r="P1308" i="1"/>
  <c r="O1308" i="1"/>
  <c r="N1308" i="1"/>
  <c r="I1308" i="1"/>
  <c r="V1307" i="1"/>
  <c r="Q1307" i="1"/>
  <c r="P1307" i="1"/>
  <c r="O1307" i="1"/>
  <c r="N1307" i="1"/>
  <c r="I1307" i="1"/>
  <c r="V1306" i="1"/>
  <c r="Q1306" i="1"/>
  <c r="P1306" i="1"/>
  <c r="O1306" i="1"/>
  <c r="N1306" i="1"/>
  <c r="I1306" i="1"/>
  <c r="V1305" i="1"/>
  <c r="Q1305" i="1"/>
  <c r="P1305" i="1"/>
  <c r="O1305" i="1"/>
  <c r="N1305" i="1"/>
  <c r="I1305" i="1"/>
  <c r="V1304" i="1"/>
  <c r="Q1304" i="1"/>
  <c r="P1304" i="1"/>
  <c r="O1304" i="1"/>
  <c r="N1304" i="1"/>
  <c r="I1304" i="1"/>
  <c r="V1303" i="1"/>
  <c r="Q1303" i="1"/>
  <c r="P1303" i="1"/>
  <c r="O1303" i="1"/>
  <c r="N1303" i="1"/>
  <c r="I1303" i="1"/>
  <c r="V1302" i="1"/>
  <c r="Q1302" i="1"/>
  <c r="P1302" i="1"/>
  <c r="O1302" i="1"/>
  <c r="N1302" i="1"/>
  <c r="I1302" i="1"/>
  <c r="V1301" i="1"/>
  <c r="Q1301" i="1"/>
  <c r="P1301" i="1"/>
  <c r="O1301" i="1"/>
  <c r="N1301" i="1"/>
  <c r="I1301" i="1"/>
  <c r="V1300" i="1"/>
  <c r="Q1300" i="1"/>
  <c r="P1300" i="1"/>
  <c r="O1300" i="1"/>
  <c r="N1300" i="1"/>
  <c r="I1300" i="1"/>
  <c r="V1299" i="1"/>
  <c r="Q1299" i="1"/>
  <c r="P1299" i="1"/>
  <c r="O1299" i="1"/>
  <c r="N1299" i="1"/>
  <c r="I1299" i="1"/>
  <c r="V1298" i="1"/>
  <c r="Q1298" i="1"/>
  <c r="P1298" i="1"/>
  <c r="O1298" i="1"/>
  <c r="N1298" i="1"/>
  <c r="I1298" i="1"/>
  <c r="V1297" i="1"/>
  <c r="Q1297" i="1"/>
  <c r="P1297" i="1"/>
  <c r="O1297" i="1"/>
  <c r="N1297" i="1"/>
  <c r="I1297" i="1"/>
  <c r="V1296" i="1"/>
  <c r="Q1296" i="1"/>
  <c r="P1296" i="1"/>
  <c r="O1296" i="1"/>
  <c r="N1296" i="1"/>
  <c r="I1296" i="1"/>
  <c r="V1295" i="1"/>
  <c r="Q1295" i="1"/>
  <c r="P1295" i="1"/>
  <c r="O1295" i="1"/>
  <c r="N1295" i="1"/>
  <c r="I1295" i="1"/>
  <c r="V1294" i="1"/>
  <c r="Q1294" i="1"/>
  <c r="P1294" i="1"/>
  <c r="O1294" i="1"/>
  <c r="N1294" i="1"/>
  <c r="I1294" i="1"/>
  <c r="V1293" i="1"/>
  <c r="Q1293" i="1"/>
  <c r="P1293" i="1"/>
  <c r="O1293" i="1"/>
  <c r="N1293" i="1"/>
  <c r="I1293" i="1"/>
  <c r="V1292" i="1"/>
  <c r="Q1292" i="1"/>
  <c r="P1292" i="1"/>
  <c r="O1292" i="1"/>
  <c r="N1292" i="1"/>
  <c r="I1292" i="1"/>
  <c r="V1291" i="1"/>
  <c r="Q1291" i="1"/>
  <c r="P1291" i="1"/>
  <c r="O1291" i="1"/>
  <c r="N1291" i="1"/>
  <c r="I1291" i="1"/>
  <c r="V1290" i="1"/>
  <c r="Q1290" i="1"/>
  <c r="P1290" i="1"/>
  <c r="O1290" i="1"/>
  <c r="N1290" i="1"/>
  <c r="I1290" i="1"/>
  <c r="V1289" i="1"/>
  <c r="Q1289" i="1"/>
  <c r="P1289" i="1"/>
  <c r="O1289" i="1"/>
  <c r="N1289" i="1"/>
  <c r="I1289" i="1"/>
  <c r="V1288" i="1"/>
  <c r="Q1288" i="1"/>
  <c r="P1288" i="1"/>
  <c r="O1288" i="1"/>
  <c r="N1288" i="1"/>
  <c r="I1288" i="1"/>
  <c r="V1287" i="1"/>
  <c r="Q1287" i="1"/>
  <c r="P1287" i="1"/>
  <c r="O1287" i="1"/>
  <c r="N1287" i="1"/>
  <c r="I1287" i="1"/>
  <c r="V1286" i="1"/>
  <c r="Q1286" i="1"/>
  <c r="P1286" i="1"/>
  <c r="O1286" i="1"/>
  <c r="N1286" i="1"/>
  <c r="I1286" i="1"/>
  <c r="V1285" i="1"/>
  <c r="Q1285" i="1"/>
  <c r="P1285" i="1"/>
  <c r="O1285" i="1"/>
  <c r="N1285" i="1"/>
  <c r="I1285" i="1"/>
  <c r="V1284" i="1"/>
  <c r="Q1284" i="1"/>
  <c r="P1284" i="1"/>
  <c r="O1284" i="1"/>
  <c r="N1284" i="1"/>
  <c r="I1284" i="1"/>
  <c r="V1283" i="1"/>
  <c r="Q1283" i="1"/>
  <c r="P1283" i="1"/>
  <c r="O1283" i="1"/>
  <c r="N1283" i="1"/>
  <c r="I1283" i="1"/>
  <c r="V1282" i="1"/>
  <c r="Q1282" i="1"/>
  <c r="P1282" i="1"/>
  <c r="O1282" i="1"/>
  <c r="N1282" i="1"/>
  <c r="I1282" i="1"/>
  <c r="V1281" i="1"/>
  <c r="Q1281" i="1"/>
  <c r="P1281" i="1"/>
  <c r="O1281" i="1"/>
  <c r="N1281" i="1"/>
  <c r="I1281" i="1"/>
  <c r="V1280" i="1"/>
  <c r="Q1280" i="1"/>
  <c r="P1280" i="1"/>
  <c r="O1280" i="1"/>
  <c r="N1280" i="1"/>
  <c r="I1280" i="1"/>
  <c r="V1279" i="1"/>
  <c r="Q1279" i="1"/>
  <c r="P1279" i="1"/>
  <c r="O1279" i="1"/>
  <c r="N1279" i="1"/>
  <c r="I1279" i="1"/>
  <c r="V1278" i="1"/>
  <c r="Q1278" i="1"/>
  <c r="P1278" i="1"/>
  <c r="O1278" i="1"/>
  <c r="N1278" i="1"/>
  <c r="I1278" i="1"/>
  <c r="V1277" i="1"/>
  <c r="Q1277" i="1"/>
  <c r="P1277" i="1"/>
  <c r="O1277" i="1"/>
  <c r="N1277" i="1"/>
  <c r="I1277" i="1"/>
  <c r="V1276" i="1"/>
  <c r="Q1276" i="1"/>
  <c r="P1276" i="1"/>
  <c r="O1276" i="1"/>
  <c r="N1276" i="1"/>
  <c r="I1276" i="1"/>
  <c r="V1275" i="1"/>
  <c r="Q1275" i="1"/>
  <c r="P1275" i="1"/>
  <c r="O1275" i="1"/>
  <c r="N1275" i="1"/>
  <c r="I1275" i="1"/>
  <c r="V1274" i="1"/>
  <c r="Q1274" i="1"/>
  <c r="P1274" i="1"/>
  <c r="O1274" i="1"/>
  <c r="N1274" i="1"/>
  <c r="I1274" i="1"/>
  <c r="V1273" i="1"/>
  <c r="Q1273" i="1"/>
  <c r="P1273" i="1"/>
  <c r="O1273" i="1"/>
  <c r="N1273" i="1"/>
  <c r="I1273" i="1"/>
  <c r="V1272" i="1"/>
  <c r="Q1272" i="1"/>
  <c r="P1272" i="1"/>
  <c r="O1272" i="1"/>
  <c r="N1272" i="1"/>
  <c r="I1272" i="1"/>
  <c r="V1271" i="1"/>
  <c r="Q1271" i="1"/>
  <c r="P1271" i="1"/>
  <c r="O1271" i="1"/>
  <c r="N1271" i="1"/>
  <c r="I1271" i="1"/>
  <c r="V1270" i="1"/>
  <c r="Q1270" i="1"/>
  <c r="P1270" i="1"/>
  <c r="O1270" i="1"/>
  <c r="N1270" i="1"/>
  <c r="I1270" i="1"/>
  <c r="V1269" i="1"/>
  <c r="Q1269" i="1"/>
  <c r="P1269" i="1"/>
  <c r="O1269" i="1"/>
  <c r="N1269" i="1"/>
  <c r="I1269" i="1"/>
  <c r="V1268" i="1"/>
  <c r="Q1268" i="1"/>
  <c r="P1268" i="1"/>
  <c r="O1268" i="1"/>
  <c r="N1268" i="1"/>
  <c r="I1268" i="1"/>
  <c r="V1267" i="1"/>
  <c r="Q1267" i="1"/>
  <c r="P1267" i="1"/>
  <c r="O1267" i="1"/>
  <c r="N1267" i="1"/>
  <c r="I1267" i="1"/>
  <c r="V1266" i="1"/>
  <c r="Q1266" i="1"/>
  <c r="P1266" i="1"/>
  <c r="O1266" i="1"/>
  <c r="N1266" i="1"/>
  <c r="I1266" i="1"/>
  <c r="V1265" i="1"/>
  <c r="Q1265" i="1"/>
  <c r="P1265" i="1"/>
  <c r="O1265" i="1"/>
  <c r="N1265" i="1"/>
  <c r="I1265" i="1"/>
  <c r="V1264" i="1"/>
  <c r="Q1264" i="1"/>
  <c r="P1264" i="1"/>
  <c r="O1264" i="1"/>
  <c r="N1264" i="1"/>
  <c r="I1264" i="1"/>
  <c r="V1263" i="1"/>
  <c r="Q1263" i="1"/>
  <c r="P1263" i="1"/>
  <c r="O1263" i="1"/>
  <c r="N1263" i="1"/>
  <c r="I1263" i="1"/>
  <c r="V1262" i="1"/>
  <c r="Q1262" i="1"/>
  <c r="P1262" i="1"/>
  <c r="O1262" i="1"/>
  <c r="N1262" i="1"/>
  <c r="I1262" i="1"/>
  <c r="V1261" i="1"/>
  <c r="Q1261" i="1"/>
  <c r="P1261" i="1"/>
  <c r="O1261" i="1"/>
  <c r="N1261" i="1"/>
  <c r="I1261" i="1"/>
  <c r="V1260" i="1"/>
  <c r="Q1260" i="1"/>
  <c r="P1260" i="1"/>
  <c r="O1260" i="1"/>
  <c r="N1260" i="1"/>
  <c r="I1260" i="1"/>
  <c r="V1259" i="1"/>
  <c r="Q1259" i="1"/>
  <c r="P1259" i="1"/>
  <c r="O1259" i="1"/>
  <c r="N1259" i="1"/>
  <c r="I1259" i="1"/>
  <c r="V1258" i="1"/>
  <c r="Q1258" i="1"/>
  <c r="P1258" i="1"/>
  <c r="O1258" i="1"/>
  <c r="N1258" i="1"/>
  <c r="I1258" i="1"/>
  <c r="V1257" i="1"/>
  <c r="Q1257" i="1"/>
  <c r="P1257" i="1"/>
  <c r="O1257" i="1"/>
  <c r="N1257" i="1"/>
  <c r="I1257" i="1"/>
  <c r="V1256" i="1"/>
  <c r="Q1256" i="1"/>
  <c r="P1256" i="1"/>
  <c r="O1256" i="1"/>
  <c r="N1256" i="1"/>
  <c r="I1256" i="1"/>
  <c r="V1255" i="1"/>
  <c r="Q1255" i="1"/>
  <c r="P1255" i="1"/>
  <c r="O1255" i="1"/>
  <c r="N1255" i="1"/>
  <c r="I1255" i="1"/>
  <c r="V1254" i="1"/>
  <c r="Q1254" i="1"/>
  <c r="P1254" i="1"/>
  <c r="O1254" i="1"/>
  <c r="N1254" i="1"/>
  <c r="I1254" i="1"/>
  <c r="V1253" i="1"/>
  <c r="Q1253" i="1"/>
  <c r="P1253" i="1"/>
  <c r="O1253" i="1"/>
  <c r="N1253" i="1"/>
  <c r="I1253" i="1"/>
  <c r="V1252" i="1"/>
  <c r="Q1252" i="1"/>
  <c r="P1252" i="1"/>
  <c r="O1252" i="1"/>
  <c r="N1252" i="1"/>
  <c r="I1252" i="1"/>
  <c r="V1251" i="1"/>
  <c r="Q1251" i="1"/>
  <c r="P1251" i="1"/>
  <c r="O1251" i="1"/>
  <c r="N1251" i="1"/>
  <c r="I1251" i="1"/>
  <c r="V1250" i="1"/>
  <c r="Q1250" i="1"/>
  <c r="P1250" i="1"/>
  <c r="O1250" i="1"/>
  <c r="N1250" i="1"/>
  <c r="I1250" i="1"/>
  <c r="V1249" i="1"/>
  <c r="Q1249" i="1"/>
  <c r="P1249" i="1"/>
  <c r="O1249" i="1"/>
  <c r="N1249" i="1"/>
  <c r="I1249" i="1"/>
  <c r="V1248" i="1"/>
  <c r="Q1248" i="1"/>
  <c r="P1248" i="1"/>
  <c r="O1248" i="1"/>
  <c r="N1248" i="1"/>
  <c r="I1248" i="1"/>
  <c r="V1247" i="1"/>
  <c r="Q1247" i="1"/>
  <c r="P1247" i="1"/>
  <c r="O1247" i="1"/>
  <c r="N1247" i="1"/>
  <c r="I1247" i="1"/>
  <c r="V1246" i="1"/>
  <c r="Q1246" i="1"/>
  <c r="P1246" i="1"/>
  <c r="O1246" i="1"/>
  <c r="N1246" i="1"/>
  <c r="I1246" i="1"/>
  <c r="V1245" i="1"/>
  <c r="Q1245" i="1"/>
  <c r="P1245" i="1"/>
  <c r="O1245" i="1"/>
  <c r="N1245" i="1"/>
  <c r="I1245" i="1"/>
  <c r="V1244" i="1"/>
  <c r="Q1244" i="1"/>
  <c r="P1244" i="1"/>
  <c r="O1244" i="1"/>
  <c r="N1244" i="1"/>
  <c r="I1244" i="1"/>
  <c r="V1243" i="1"/>
  <c r="Q1243" i="1"/>
  <c r="P1243" i="1"/>
  <c r="O1243" i="1"/>
  <c r="N1243" i="1"/>
  <c r="I1243" i="1"/>
  <c r="V1242" i="1"/>
  <c r="Q1242" i="1"/>
  <c r="P1242" i="1"/>
  <c r="O1242" i="1"/>
  <c r="N1242" i="1"/>
  <c r="I1242" i="1"/>
  <c r="V1241" i="1"/>
  <c r="Q1241" i="1"/>
  <c r="P1241" i="1"/>
  <c r="O1241" i="1"/>
  <c r="N1241" i="1"/>
  <c r="I1241" i="1"/>
  <c r="V1240" i="1"/>
  <c r="Q1240" i="1"/>
  <c r="P1240" i="1"/>
  <c r="O1240" i="1"/>
  <c r="N1240" i="1"/>
  <c r="I1240" i="1"/>
  <c r="V1239" i="1"/>
  <c r="Q1239" i="1"/>
  <c r="P1239" i="1"/>
  <c r="O1239" i="1"/>
  <c r="N1239" i="1"/>
  <c r="I1239" i="1"/>
  <c r="V1238" i="1"/>
  <c r="Q1238" i="1"/>
  <c r="P1238" i="1"/>
  <c r="O1238" i="1"/>
  <c r="N1238" i="1"/>
  <c r="I1238" i="1"/>
  <c r="V1237" i="1"/>
  <c r="Q1237" i="1"/>
  <c r="P1237" i="1"/>
  <c r="O1237" i="1"/>
  <c r="N1237" i="1"/>
  <c r="I1237" i="1"/>
  <c r="V1236" i="1"/>
  <c r="Q1236" i="1"/>
  <c r="P1236" i="1"/>
  <c r="O1236" i="1"/>
  <c r="N1236" i="1"/>
  <c r="I1236" i="1"/>
  <c r="V1235" i="1"/>
  <c r="Q1235" i="1"/>
  <c r="P1235" i="1"/>
  <c r="O1235" i="1"/>
  <c r="N1235" i="1"/>
  <c r="I1235" i="1"/>
  <c r="V1234" i="1"/>
  <c r="Q1234" i="1"/>
  <c r="P1234" i="1"/>
  <c r="O1234" i="1"/>
  <c r="N1234" i="1"/>
  <c r="I1234" i="1"/>
  <c r="V1233" i="1"/>
  <c r="Q1233" i="1"/>
  <c r="P1233" i="1"/>
  <c r="O1233" i="1"/>
  <c r="N1233" i="1"/>
  <c r="I1233" i="1"/>
  <c r="V1232" i="1"/>
  <c r="Q1232" i="1"/>
  <c r="P1232" i="1"/>
  <c r="O1232" i="1"/>
  <c r="N1232" i="1"/>
  <c r="I1232" i="1"/>
  <c r="V1231" i="1"/>
  <c r="Q1231" i="1"/>
  <c r="P1231" i="1"/>
  <c r="O1231" i="1"/>
  <c r="I1231" i="1"/>
  <c r="V1230" i="1"/>
  <c r="Q1230" i="1"/>
  <c r="P1230" i="1"/>
  <c r="O1230" i="1"/>
  <c r="I1230" i="1"/>
  <c r="V1229" i="1"/>
  <c r="Q1229" i="1"/>
  <c r="P1229" i="1"/>
  <c r="O1229" i="1"/>
  <c r="I1229" i="1"/>
  <c r="V1228" i="1"/>
  <c r="Q1228" i="1"/>
  <c r="P1228" i="1"/>
  <c r="O1228" i="1"/>
  <c r="I1228" i="1"/>
  <c r="V1227" i="1"/>
  <c r="Q1227" i="1"/>
  <c r="P1227" i="1"/>
  <c r="O1227" i="1"/>
  <c r="I1227" i="1"/>
  <c r="V1226" i="1"/>
  <c r="Q1226" i="1"/>
  <c r="P1226" i="1"/>
  <c r="O1226" i="1"/>
  <c r="I1226" i="1"/>
  <c r="V1225" i="1"/>
  <c r="Q1225" i="1"/>
  <c r="P1225" i="1"/>
  <c r="O1225" i="1"/>
  <c r="I1225" i="1"/>
  <c r="V1224" i="1"/>
  <c r="Q1224" i="1"/>
  <c r="P1224" i="1"/>
  <c r="O1224" i="1"/>
  <c r="N1224" i="1"/>
  <c r="I1224" i="1"/>
  <c r="V1223" i="1"/>
  <c r="Q1223" i="1"/>
  <c r="P1223" i="1"/>
  <c r="O1223" i="1"/>
  <c r="N1223" i="1"/>
  <c r="I1223" i="1"/>
  <c r="V1222" i="1"/>
  <c r="Q1222" i="1"/>
  <c r="P1222" i="1"/>
  <c r="O1222" i="1"/>
  <c r="N1222" i="1"/>
  <c r="I1222" i="1"/>
  <c r="V1221" i="1"/>
  <c r="Q1221" i="1"/>
  <c r="P1221" i="1"/>
  <c r="O1221" i="1"/>
  <c r="N1221" i="1"/>
  <c r="I1221" i="1"/>
  <c r="V1220" i="1"/>
  <c r="Q1220" i="1"/>
  <c r="P1220" i="1"/>
  <c r="O1220" i="1"/>
  <c r="I1220" i="1"/>
  <c r="V1219" i="1"/>
  <c r="Q1219" i="1"/>
  <c r="P1219" i="1"/>
  <c r="O1219" i="1"/>
  <c r="I1219" i="1"/>
  <c r="V1218" i="1"/>
  <c r="Q1218" i="1"/>
  <c r="P1218" i="1"/>
  <c r="O1218" i="1"/>
  <c r="I1218" i="1"/>
  <c r="V1217" i="1"/>
  <c r="Q1217" i="1"/>
  <c r="P1217" i="1"/>
  <c r="O1217" i="1"/>
  <c r="I1217" i="1"/>
  <c r="V1216" i="1"/>
  <c r="Q1216" i="1"/>
  <c r="P1216" i="1"/>
  <c r="O1216" i="1"/>
  <c r="I1216" i="1"/>
  <c r="V1215" i="1"/>
  <c r="Q1215" i="1"/>
  <c r="P1215" i="1"/>
  <c r="O1215" i="1"/>
  <c r="N1215" i="1"/>
  <c r="I1215" i="1"/>
  <c r="V1214" i="1"/>
  <c r="Q1214" i="1"/>
  <c r="P1214" i="1"/>
  <c r="O1214" i="1"/>
  <c r="N1214" i="1"/>
  <c r="I1214" i="1"/>
  <c r="V1213" i="1"/>
  <c r="Q1213" i="1"/>
  <c r="P1213" i="1"/>
  <c r="O1213" i="1"/>
  <c r="N1213" i="1"/>
  <c r="I1213" i="1"/>
  <c r="V1212" i="1"/>
  <c r="Q1212" i="1"/>
  <c r="P1212" i="1"/>
  <c r="O1212" i="1"/>
  <c r="N1212" i="1"/>
  <c r="I1212" i="1"/>
  <c r="V1211" i="1"/>
  <c r="Q1211" i="1"/>
  <c r="P1211" i="1"/>
  <c r="O1211" i="1"/>
  <c r="N1211" i="1"/>
  <c r="I1211" i="1"/>
  <c r="V1210" i="1"/>
  <c r="Q1210" i="1"/>
  <c r="P1210" i="1"/>
  <c r="O1210" i="1"/>
  <c r="N1210" i="1"/>
  <c r="I1210" i="1"/>
  <c r="V1209" i="1"/>
  <c r="Q1209" i="1"/>
  <c r="P1209" i="1"/>
  <c r="O1209" i="1"/>
  <c r="N1209" i="1"/>
  <c r="I1209" i="1"/>
  <c r="V1208" i="1"/>
  <c r="Q1208" i="1"/>
  <c r="P1208" i="1"/>
  <c r="O1208" i="1"/>
  <c r="N1208" i="1"/>
  <c r="I1208" i="1"/>
  <c r="V1207" i="1"/>
  <c r="Q1207" i="1"/>
  <c r="P1207" i="1"/>
  <c r="O1207" i="1"/>
  <c r="N1207" i="1"/>
  <c r="I1207" i="1"/>
  <c r="V1206" i="1"/>
  <c r="Q1206" i="1"/>
  <c r="P1206" i="1"/>
  <c r="O1206" i="1"/>
  <c r="N1206" i="1"/>
  <c r="I1206" i="1"/>
  <c r="V1205" i="1"/>
  <c r="Q1205" i="1"/>
  <c r="P1205" i="1"/>
  <c r="O1205" i="1"/>
  <c r="N1205" i="1"/>
  <c r="I1205" i="1"/>
  <c r="V1204" i="1"/>
  <c r="Q1204" i="1"/>
  <c r="P1204" i="1"/>
  <c r="O1204" i="1"/>
  <c r="N1204" i="1"/>
  <c r="I1204" i="1"/>
  <c r="V1203" i="1"/>
  <c r="Q1203" i="1"/>
  <c r="P1203" i="1"/>
  <c r="O1203" i="1"/>
  <c r="N1203" i="1"/>
  <c r="I1203" i="1"/>
  <c r="V1202" i="1"/>
  <c r="Q1202" i="1"/>
  <c r="P1202" i="1"/>
  <c r="O1202" i="1"/>
  <c r="N1202" i="1"/>
  <c r="I1202" i="1"/>
  <c r="V1201" i="1"/>
  <c r="Q1201" i="1"/>
  <c r="P1201" i="1"/>
  <c r="O1201" i="1"/>
  <c r="N1201" i="1"/>
  <c r="I1201" i="1"/>
  <c r="V1200" i="1"/>
  <c r="Q1200" i="1"/>
  <c r="P1200" i="1"/>
  <c r="O1200" i="1"/>
  <c r="N1200" i="1"/>
  <c r="I1200" i="1"/>
  <c r="V1199" i="1"/>
  <c r="Q1199" i="1"/>
  <c r="P1199" i="1"/>
  <c r="O1199" i="1"/>
  <c r="N1199" i="1"/>
  <c r="I1199" i="1"/>
  <c r="V1198" i="1"/>
  <c r="Q1198" i="1"/>
  <c r="P1198" i="1"/>
  <c r="O1198" i="1"/>
  <c r="N1198" i="1"/>
  <c r="I1198" i="1"/>
  <c r="V1197" i="1"/>
  <c r="Q1197" i="1"/>
  <c r="P1197" i="1"/>
  <c r="O1197" i="1"/>
  <c r="N1197" i="1"/>
  <c r="I1197" i="1"/>
  <c r="V1196" i="1"/>
  <c r="Q1196" i="1"/>
  <c r="P1196" i="1"/>
  <c r="O1196" i="1"/>
  <c r="N1196" i="1"/>
  <c r="I1196" i="1"/>
  <c r="V1195" i="1"/>
  <c r="Q1195" i="1"/>
  <c r="P1195" i="1"/>
  <c r="O1195" i="1"/>
  <c r="N1195" i="1"/>
  <c r="I1195" i="1"/>
  <c r="V1194" i="1"/>
  <c r="Q1194" i="1"/>
  <c r="P1194" i="1"/>
  <c r="O1194" i="1"/>
  <c r="I1194" i="1"/>
  <c r="V1193" i="1"/>
  <c r="Q1193" i="1"/>
  <c r="P1193" i="1"/>
  <c r="O1193" i="1"/>
  <c r="I1193" i="1"/>
  <c r="V1192" i="1"/>
  <c r="Q1192" i="1"/>
  <c r="P1192" i="1"/>
  <c r="O1192" i="1"/>
  <c r="I1192" i="1"/>
  <c r="V1191" i="1"/>
  <c r="Q1191" i="1"/>
  <c r="P1191" i="1"/>
  <c r="O1191" i="1"/>
  <c r="I1191" i="1"/>
  <c r="V1190" i="1"/>
  <c r="Q1190" i="1"/>
  <c r="P1190" i="1"/>
  <c r="O1190" i="1"/>
  <c r="I1190" i="1"/>
  <c r="V1189" i="1"/>
  <c r="Q1189" i="1"/>
  <c r="P1189" i="1"/>
  <c r="O1189" i="1"/>
  <c r="I1189" i="1"/>
  <c r="V1188" i="1"/>
  <c r="Q1188" i="1"/>
  <c r="P1188" i="1"/>
  <c r="O1188" i="1"/>
  <c r="I1188" i="1"/>
  <c r="V1187" i="1"/>
  <c r="Q1187" i="1"/>
  <c r="P1187" i="1"/>
  <c r="O1187" i="1"/>
  <c r="I1187" i="1"/>
  <c r="V1186" i="1"/>
  <c r="Q1186" i="1"/>
  <c r="P1186" i="1"/>
  <c r="O1186" i="1"/>
  <c r="I1186" i="1"/>
  <c r="V1185" i="1"/>
  <c r="Q1185" i="1"/>
  <c r="P1185" i="1"/>
  <c r="O1185" i="1"/>
  <c r="I1185" i="1"/>
  <c r="V1184" i="1"/>
  <c r="Q1184" i="1"/>
  <c r="P1184" i="1"/>
  <c r="O1184" i="1"/>
  <c r="I1184" i="1"/>
  <c r="V1183" i="1"/>
  <c r="Q1183" i="1"/>
  <c r="P1183" i="1"/>
  <c r="O1183" i="1"/>
  <c r="N1183" i="1"/>
  <c r="I1183" i="1"/>
  <c r="V1182" i="1"/>
  <c r="Q1182" i="1"/>
  <c r="P1182" i="1"/>
  <c r="O1182" i="1"/>
  <c r="N1182" i="1"/>
  <c r="I1182" i="1"/>
  <c r="V1181" i="1"/>
  <c r="Q1181" i="1"/>
  <c r="P1181" i="1"/>
  <c r="O1181" i="1"/>
  <c r="N1181" i="1"/>
  <c r="I1181" i="1"/>
  <c r="V1180" i="1"/>
  <c r="Q1180" i="1"/>
  <c r="P1180" i="1"/>
  <c r="O1180" i="1"/>
  <c r="N1180" i="1"/>
  <c r="I1180" i="1"/>
  <c r="V1179" i="1"/>
  <c r="Q1179" i="1"/>
  <c r="P1179" i="1"/>
  <c r="O1179" i="1"/>
  <c r="N1179" i="1"/>
  <c r="I1179" i="1"/>
  <c r="V1178" i="1"/>
  <c r="Q1178" i="1"/>
  <c r="P1178" i="1"/>
  <c r="O1178" i="1"/>
  <c r="N1178" i="1"/>
  <c r="I1178" i="1"/>
  <c r="V1177" i="1"/>
  <c r="Q1177" i="1"/>
  <c r="P1177" i="1"/>
  <c r="O1177" i="1"/>
  <c r="N1177" i="1"/>
  <c r="I1177" i="1"/>
  <c r="V1176" i="1"/>
  <c r="Q1176" i="1"/>
  <c r="P1176" i="1"/>
  <c r="O1176" i="1"/>
  <c r="N1176" i="1"/>
  <c r="I1176" i="1"/>
  <c r="V1175" i="1"/>
  <c r="Q1175" i="1"/>
  <c r="P1175" i="1"/>
  <c r="O1175" i="1"/>
  <c r="N1175" i="1"/>
  <c r="I1175" i="1"/>
  <c r="V1174" i="1"/>
  <c r="Q1174" i="1"/>
  <c r="P1174" i="1"/>
  <c r="O1174" i="1"/>
  <c r="N1174" i="1"/>
  <c r="I1174" i="1"/>
  <c r="V1173" i="1"/>
  <c r="Q1173" i="1"/>
  <c r="P1173" i="1"/>
  <c r="O1173" i="1"/>
  <c r="N1173" i="1"/>
  <c r="I1173" i="1"/>
  <c r="V1172" i="1"/>
  <c r="Q1172" i="1"/>
  <c r="P1172" i="1"/>
  <c r="O1172" i="1"/>
  <c r="N1172" i="1"/>
  <c r="I1172" i="1"/>
  <c r="V1171" i="1"/>
  <c r="Q1171" i="1"/>
  <c r="P1171" i="1"/>
  <c r="O1171" i="1"/>
  <c r="N1171" i="1"/>
  <c r="I1171" i="1"/>
  <c r="V1170" i="1"/>
  <c r="Q1170" i="1"/>
  <c r="P1170" i="1"/>
  <c r="O1170" i="1"/>
  <c r="N1170" i="1"/>
  <c r="I1170" i="1"/>
  <c r="V1169" i="1"/>
  <c r="Q1169" i="1"/>
  <c r="P1169" i="1"/>
  <c r="O1169" i="1"/>
  <c r="N1169" i="1"/>
  <c r="I1169" i="1"/>
  <c r="V1168" i="1"/>
  <c r="Q1168" i="1"/>
  <c r="P1168" i="1"/>
  <c r="O1168" i="1"/>
  <c r="N1168" i="1"/>
  <c r="I1168" i="1"/>
  <c r="V1167" i="1"/>
  <c r="Q1167" i="1"/>
  <c r="P1167" i="1"/>
  <c r="O1167" i="1"/>
  <c r="N1167" i="1"/>
  <c r="I1167" i="1"/>
  <c r="V1166" i="1"/>
  <c r="Q1166" i="1"/>
  <c r="P1166" i="1"/>
  <c r="O1166" i="1"/>
  <c r="N1166" i="1"/>
  <c r="I1166" i="1"/>
  <c r="V1165" i="1"/>
  <c r="Q1165" i="1"/>
  <c r="P1165" i="1"/>
  <c r="O1165" i="1"/>
  <c r="N1165" i="1"/>
  <c r="I1165" i="1"/>
  <c r="V1164" i="1"/>
  <c r="Q1164" i="1"/>
  <c r="P1164" i="1"/>
  <c r="O1164" i="1"/>
  <c r="N1164" i="1"/>
  <c r="I1164" i="1"/>
  <c r="V1163" i="1"/>
  <c r="Q1163" i="1"/>
  <c r="P1163" i="1"/>
  <c r="O1163" i="1"/>
  <c r="N1163" i="1"/>
  <c r="I1163" i="1"/>
  <c r="V1162" i="1"/>
  <c r="Q1162" i="1"/>
  <c r="P1162" i="1"/>
  <c r="O1162" i="1"/>
  <c r="N1162" i="1"/>
  <c r="I1162" i="1"/>
  <c r="V1161" i="1"/>
  <c r="Q1161" i="1"/>
  <c r="P1161" i="1"/>
  <c r="O1161" i="1"/>
  <c r="N1161" i="1"/>
  <c r="I1161" i="1"/>
  <c r="V1160" i="1"/>
  <c r="Q1160" i="1"/>
  <c r="P1160" i="1"/>
  <c r="O1160" i="1"/>
  <c r="N1160" i="1"/>
  <c r="I1160" i="1"/>
  <c r="V1159" i="1"/>
  <c r="Q1159" i="1"/>
  <c r="P1159" i="1"/>
  <c r="O1159" i="1"/>
  <c r="N1159" i="1"/>
  <c r="I1159" i="1"/>
  <c r="V1158" i="1"/>
  <c r="Q1158" i="1"/>
  <c r="P1158" i="1"/>
  <c r="O1158" i="1"/>
  <c r="N1158" i="1"/>
  <c r="I1158" i="1"/>
  <c r="V1157" i="1"/>
  <c r="Q1157" i="1"/>
  <c r="P1157" i="1"/>
  <c r="O1157" i="1"/>
  <c r="N1157" i="1"/>
  <c r="I1157" i="1"/>
  <c r="V1156" i="1"/>
  <c r="Q1156" i="1"/>
  <c r="P1156" i="1"/>
  <c r="O1156" i="1"/>
  <c r="N1156" i="1"/>
  <c r="I1156" i="1"/>
  <c r="V1155" i="1"/>
  <c r="Q1155" i="1"/>
  <c r="P1155" i="1"/>
  <c r="O1155" i="1"/>
  <c r="N1155" i="1"/>
  <c r="I1155" i="1"/>
  <c r="V1154" i="1"/>
  <c r="Q1154" i="1"/>
  <c r="P1154" i="1"/>
  <c r="O1154" i="1"/>
  <c r="N1154" i="1"/>
  <c r="I1154" i="1"/>
  <c r="V1153" i="1"/>
  <c r="Q1153" i="1"/>
  <c r="P1153" i="1"/>
  <c r="O1153" i="1"/>
  <c r="N1153" i="1"/>
  <c r="I1153" i="1"/>
  <c r="V1152" i="1"/>
  <c r="Q1152" i="1"/>
  <c r="P1152" i="1"/>
  <c r="O1152" i="1"/>
  <c r="N1152" i="1"/>
  <c r="I1152" i="1"/>
  <c r="V1151" i="1"/>
  <c r="Q1151" i="1"/>
  <c r="P1151" i="1"/>
  <c r="O1151" i="1"/>
  <c r="N1151" i="1"/>
  <c r="I1151" i="1"/>
  <c r="V1150" i="1"/>
  <c r="Q1150" i="1"/>
  <c r="P1150" i="1"/>
  <c r="O1150" i="1"/>
  <c r="N1150" i="1"/>
  <c r="I1150" i="1"/>
  <c r="V1149" i="1"/>
  <c r="Q1149" i="1"/>
  <c r="P1149" i="1"/>
  <c r="O1149" i="1"/>
  <c r="N1149" i="1"/>
  <c r="I1149" i="1"/>
  <c r="V1148" i="1"/>
  <c r="Q1148" i="1"/>
  <c r="P1148" i="1"/>
  <c r="O1148" i="1"/>
  <c r="N1148" i="1"/>
  <c r="I1148" i="1"/>
  <c r="V1147" i="1"/>
  <c r="Q1147" i="1"/>
  <c r="P1147" i="1"/>
  <c r="O1147" i="1"/>
  <c r="N1147" i="1"/>
  <c r="I1147" i="1"/>
  <c r="V1146" i="1"/>
  <c r="Q1146" i="1"/>
  <c r="P1146" i="1"/>
  <c r="O1146" i="1"/>
  <c r="N1146" i="1"/>
  <c r="I1146" i="1"/>
  <c r="V1145" i="1"/>
  <c r="Q1145" i="1"/>
  <c r="P1145" i="1"/>
  <c r="O1145" i="1"/>
  <c r="N1145" i="1"/>
  <c r="I1145" i="1"/>
  <c r="V1144" i="1"/>
  <c r="Q1144" i="1"/>
  <c r="P1144" i="1"/>
  <c r="O1144" i="1"/>
  <c r="N1144" i="1"/>
  <c r="I1144" i="1"/>
  <c r="V1143" i="1"/>
  <c r="Q1143" i="1"/>
  <c r="P1143" i="1"/>
  <c r="O1143" i="1"/>
  <c r="N1143" i="1"/>
  <c r="I1143" i="1"/>
  <c r="V1142" i="1"/>
  <c r="Q1142" i="1"/>
  <c r="P1142" i="1"/>
  <c r="O1142" i="1"/>
  <c r="N1142" i="1"/>
  <c r="I1142" i="1"/>
  <c r="V1141" i="1"/>
  <c r="Q1141" i="1"/>
  <c r="P1141" i="1"/>
  <c r="O1141" i="1"/>
  <c r="N1141" i="1"/>
  <c r="I1141" i="1"/>
  <c r="V1140" i="1"/>
  <c r="Q1140" i="1"/>
  <c r="P1140" i="1"/>
  <c r="O1140" i="1"/>
  <c r="N1140" i="1"/>
  <c r="I1140" i="1"/>
  <c r="V1139" i="1"/>
  <c r="Q1139" i="1"/>
  <c r="P1139" i="1"/>
  <c r="O1139" i="1"/>
  <c r="N1139" i="1"/>
  <c r="I1139" i="1"/>
  <c r="V1138" i="1"/>
  <c r="Q1138" i="1"/>
  <c r="P1138" i="1"/>
  <c r="O1138" i="1"/>
  <c r="N1138" i="1"/>
  <c r="I1138" i="1"/>
  <c r="V1137" i="1"/>
  <c r="Q1137" i="1"/>
  <c r="P1137" i="1"/>
  <c r="O1137" i="1"/>
  <c r="N1137" i="1"/>
  <c r="I1137" i="1"/>
  <c r="V1136" i="1"/>
  <c r="Q1136" i="1"/>
  <c r="P1136" i="1"/>
  <c r="O1136" i="1"/>
  <c r="N1136" i="1"/>
  <c r="I1136" i="1"/>
  <c r="V1135" i="1"/>
  <c r="Q1135" i="1"/>
  <c r="P1135" i="1"/>
  <c r="O1135" i="1"/>
  <c r="N1135" i="1"/>
  <c r="I1135" i="1"/>
  <c r="V1134" i="1"/>
  <c r="Q1134" i="1"/>
  <c r="P1134" i="1"/>
  <c r="O1134" i="1"/>
  <c r="N1134" i="1"/>
  <c r="I1134" i="1"/>
  <c r="V1133" i="1"/>
  <c r="Q1133" i="1"/>
  <c r="P1133" i="1"/>
  <c r="O1133" i="1"/>
  <c r="N1133" i="1"/>
  <c r="I1133" i="1"/>
  <c r="V1132" i="1"/>
  <c r="Q1132" i="1"/>
  <c r="P1132" i="1"/>
  <c r="O1132" i="1"/>
  <c r="N1132" i="1"/>
  <c r="I1132" i="1"/>
  <c r="V1131" i="1"/>
  <c r="Q1131" i="1"/>
  <c r="P1131" i="1"/>
  <c r="O1131" i="1"/>
  <c r="N1131" i="1"/>
  <c r="I1131" i="1"/>
  <c r="V1130" i="1"/>
  <c r="Q1130" i="1"/>
  <c r="P1130" i="1"/>
  <c r="O1130" i="1"/>
  <c r="N1130" i="1"/>
  <c r="I1130" i="1"/>
  <c r="V1129" i="1"/>
  <c r="Q1129" i="1"/>
  <c r="P1129" i="1"/>
  <c r="O1129" i="1"/>
  <c r="N1129" i="1"/>
  <c r="I1129" i="1"/>
  <c r="V1128" i="1"/>
  <c r="Q1128" i="1"/>
  <c r="P1128" i="1"/>
  <c r="O1128" i="1"/>
  <c r="N1128" i="1"/>
  <c r="I1128" i="1"/>
  <c r="V1127" i="1"/>
  <c r="Q1127" i="1"/>
  <c r="P1127" i="1"/>
  <c r="O1127" i="1"/>
  <c r="N1127" i="1"/>
  <c r="I1127" i="1"/>
  <c r="V1126" i="1"/>
  <c r="Q1126" i="1"/>
  <c r="P1126" i="1"/>
  <c r="O1126" i="1"/>
  <c r="N1126" i="1"/>
  <c r="I1126" i="1"/>
  <c r="V1125" i="1"/>
  <c r="Q1125" i="1"/>
  <c r="P1125" i="1"/>
  <c r="O1125" i="1"/>
  <c r="N1125" i="1"/>
  <c r="I1125" i="1"/>
  <c r="V1124" i="1"/>
  <c r="Q1124" i="1"/>
  <c r="P1124" i="1"/>
  <c r="O1124" i="1"/>
  <c r="N1124" i="1"/>
  <c r="I1124" i="1"/>
  <c r="V1123" i="1"/>
  <c r="Q1123" i="1"/>
  <c r="P1123" i="1"/>
  <c r="O1123" i="1"/>
  <c r="N1123" i="1"/>
  <c r="I1123" i="1"/>
  <c r="V1122" i="1"/>
  <c r="Q1122" i="1"/>
  <c r="P1122" i="1"/>
  <c r="O1122" i="1"/>
  <c r="N1122" i="1"/>
  <c r="I1122" i="1"/>
  <c r="V1121" i="1"/>
  <c r="Q1121" i="1"/>
  <c r="P1121" i="1"/>
  <c r="O1121" i="1"/>
  <c r="N1121" i="1"/>
  <c r="I1121" i="1"/>
  <c r="V1120" i="1"/>
  <c r="Q1120" i="1"/>
  <c r="P1120" i="1"/>
  <c r="O1120" i="1"/>
  <c r="N1120" i="1"/>
  <c r="I1120" i="1"/>
  <c r="V1119" i="1"/>
  <c r="Q1119" i="1"/>
  <c r="P1119" i="1"/>
  <c r="O1119" i="1"/>
  <c r="N1119" i="1"/>
  <c r="I1119" i="1"/>
  <c r="V1118" i="1"/>
  <c r="Q1118" i="1"/>
  <c r="P1118" i="1"/>
  <c r="O1118" i="1"/>
  <c r="N1118" i="1"/>
  <c r="I1118" i="1"/>
  <c r="V1117" i="1"/>
  <c r="Q1117" i="1"/>
  <c r="P1117" i="1"/>
  <c r="O1117" i="1"/>
  <c r="N1117" i="1"/>
  <c r="I1117" i="1"/>
  <c r="V1116" i="1"/>
  <c r="Q1116" i="1"/>
  <c r="P1116" i="1"/>
  <c r="O1116" i="1"/>
  <c r="N1116" i="1"/>
  <c r="I1116" i="1"/>
  <c r="V1115" i="1"/>
  <c r="Q1115" i="1"/>
  <c r="P1115" i="1"/>
  <c r="O1115" i="1"/>
  <c r="N1115" i="1"/>
  <c r="I1115" i="1"/>
  <c r="V1114" i="1"/>
  <c r="Q1114" i="1"/>
  <c r="P1114" i="1"/>
  <c r="O1114" i="1"/>
  <c r="N1114" i="1"/>
  <c r="I1114" i="1"/>
  <c r="V1113" i="1"/>
  <c r="Q1113" i="1"/>
  <c r="P1113" i="1"/>
  <c r="O1113" i="1"/>
  <c r="N1113" i="1"/>
  <c r="I1113" i="1"/>
  <c r="H1113" i="1"/>
  <c r="V1112" i="1"/>
  <c r="Q1112" i="1"/>
  <c r="P1112" i="1"/>
  <c r="O1112" i="1"/>
  <c r="N1112" i="1"/>
  <c r="I1112" i="1"/>
  <c r="H1112" i="1"/>
  <c r="V1111" i="1"/>
  <c r="Q1111" i="1"/>
  <c r="P1111" i="1"/>
  <c r="O1111" i="1"/>
  <c r="N1111" i="1"/>
  <c r="I1111" i="1"/>
  <c r="H1111" i="1"/>
  <c r="V1110" i="1"/>
  <c r="Q1110" i="1"/>
  <c r="P1110" i="1"/>
  <c r="O1110" i="1"/>
  <c r="N1110" i="1"/>
  <c r="I1110" i="1"/>
  <c r="H1110" i="1"/>
  <c r="V1109" i="1"/>
  <c r="Q1109" i="1"/>
  <c r="P1109" i="1"/>
  <c r="O1109" i="1"/>
  <c r="N1109" i="1"/>
  <c r="I1109" i="1"/>
  <c r="H1109" i="1"/>
  <c r="V1108" i="1"/>
  <c r="Q1108" i="1"/>
  <c r="P1108" i="1"/>
  <c r="O1108" i="1"/>
  <c r="N1108" i="1"/>
  <c r="I1108" i="1"/>
  <c r="H1108" i="1"/>
  <c r="V1107" i="1"/>
  <c r="Q1107" i="1"/>
  <c r="P1107" i="1"/>
  <c r="O1107" i="1"/>
  <c r="N1107" i="1"/>
  <c r="I1107" i="1"/>
  <c r="H1107" i="1"/>
  <c r="V1106" i="1"/>
  <c r="Q1106" i="1"/>
  <c r="P1106" i="1"/>
  <c r="O1106" i="1"/>
  <c r="N1106" i="1"/>
  <c r="I1106" i="1"/>
  <c r="H1106" i="1"/>
  <c r="V1105" i="1"/>
  <c r="Q1105" i="1"/>
  <c r="P1105" i="1"/>
  <c r="O1105" i="1"/>
  <c r="N1105" i="1"/>
  <c r="I1105" i="1"/>
  <c r="H1105" i="1"/>
  <c r="V1104" i="1"/>
  <c r="Q1104" i="1"/>
  <c r="P1104" i="1"/>
  <c r="O1104" i="1"/>
  <c r="N1104" i="1"/>
  <c r="I1104" i="1"/>
  <c r="H1104" i="1"/>
  <c r="V1103" i="1"/>
  <c r="Q1103" i="1"/>
  <c r="P1103" i="1"/>
  <c r="O1103" i="1"/>
  <c r="N1103" i="1"/>
  <c r="I1103" i="1"/>
  <c r="H1103" i="1"/>
  <c r="V1102" i="1"/>
  <c r="Q1102" i="1"/>
  <c r="P1102" i="1"/>
  <c r="O1102" i="1"/>
  <c r="N1102" i="1"/>
  <c r="I1102" i="1"/>
  <c r="H1102" i="1"/>
  <c r="V1101" i="1"/>
  <c r="Q1101" i="1"/>
  <c r="P1101" i="1"/>
  <c r="O1101" i="1"/>
  <c r="N1101" i="1"/>
  <c r="I1101" i="1"/>
  <c r="H1101" i="1"/>
  <c r="V1100" i="1"/>
  <c r="Q1100" i="1"/>
  <c r="P1100" i="1"/>
  <c r="O1100" i="1"/>
  <c r="N1100" i="1"/>
  <c r="I1100" i="1"/>
  <c r="H1100" i="1"/>
  <c r="V1099" i="1"/>
  <c r="Q1099" i="1"/>
  <c r="P1099" i="1"/>
  <c r="O1099" i="1"/>
  <c r="N1099" i="1"/>
  <c r="I1099" i="1"/>
  <c r="H1099" i="1"/>
  <c r="V1098" i="1"/>
  <c r="Q1098" i="1"/>
  <c r="P1098" i="1"/>
  <c r="O1098" i="1"/>
  <c r="N1098" i="1"/>
  <c r="I1098" i="1"/>
  <c r="H1098" i="1"/>
  <c r="V1097" i="1"/>
  <c r="Q1097" i="1"/>
  <c r="P1097" i="1"/>
  <c r="O1097" i="1"/>
  <c r="N1097" i="1"/>
  <c r="I1097" i="1"/>
  <c r="H1097" i="1"/>
  <c r="V1096" i="1"/>
  <c r="Q1096" i="1"/>
  <c r="P1096" i="1"/>
  <c r="O1096" i="1"/>
  <c r="N1096" i="1"/>
  <c r="I1096" i="1"/>
  <c r="H1096" i="1"/>
  <c r="V1095" i="1"/>
  <c r="Q1095" i="1"/>
  <c r="P1095" i="1"/>
  <c r="O1095" i="1"/>
  <c r="N1095" i="1"/>
  <c r="I1095" i="1"/>
  <c r="H1095" i="1"/>
  <c r="V1094" i="1"/>
  <c r="Q1094" i="1"/>
  <c r="P1094" i="1"/>
  <c r="O1094" i="1"/>
  <c r="N1094" i="1"/>
  <c r="I1094" i="1"/>
  <c r="H1094" i="1"/>
  <c r="V1093" i="1"/>
  <c r="Q1093" i="1"/>
  <c r="P1093" i="1"/>
  <c r="O1093" i="1"/>
  <c r="N1093" i="1"/>
  <c r="I1093" i="1"/>
  <c r="H1093" i="1"/>
  <c r="V1092" i="1"/>
  <c r="Q1092" i="1"/>
  <c r="P1092" i="1"/>
  <c r="O1092" i="1"/>
  <c r="N1092" i="1"/>
  <c r="I1092" i="1"/>
  <c r="H1092" i="1"/>
  <c r="V1091" i="1"/>
  <c r="Q1091" i="1"/>
  <c r="P1091" i="1"/>
  <c r="O1091" i="1"/>
  <c r="N1091" i="1"/>
  <c r="I1091" i="1"/>
  <c r="H1091" i="1"/>
  <c r="V1090" i="1"/>
  <c r="Q1090" i="1"/>
  <c r="P1090" i="1"/>
  <c r="O1090" i="1"/>
  <c r="N1090" i="1"/>
  <c r="I1090" i="1"/>
  <c r="H1090" i="1"/>
  <c r="V1089" i="1"/>
  <c r="Q1089" i="1"/>
  <c r="P1089" i="1"/>
  <c r="O1089" i="1"/>
  <c r="N1089" i="1"/>
  <c r="I1089" i="1"/>
  <c r="H1089" i="1"/>
  <c r="V1088" i="1"/>
  <c r="Q1088" i="1"/>
  <c r="P1088" i="1"/>
  <c r="O1088" i="1"/>
  <c r="N1088" i="1"/>
  <c r="I1088" i="1"/>
  <c r="H1088" i="1"/>
  <c r="V1087" i="1"/>
  <c r="Q1087" i="1"/>
  <c r="P1087" i="1"/>
  <c r="O1087" i="1"/>
  <c r="N1087" i="1"/>
  <c r="I1087" i="1"/>
  <c r="H1087" i="1"/>
  <c r="V1086" i="1"/>
  <c r="Q1086" i="1"/>
  <c r="P1086" i="1"/>
  <c r="O1086" i="1"/>
  <c r="N1086" i="1"/>
  <c r="I1086" i="1"/>
  <c r="H1086" i="1"/>
  <c r="V1085" i="1"/>
  <c r="Q1085" i="1"/>
  <c r="P1085" i="1"/>
  <c r="O1085" i="1"/>
  <c r="N1085" i="1"/>
  <c r="I1085" i="1"/>
  <c r="H1085" i="1"/>
  <c r="V1084" i="1"/>
  <c r="Q1084" i="1"/>
  <c r="P1084" i="1"/>
  <c r="O1084" i="1"/>
  <c r="N1084" i="1"/>
  <c r="I1084" i="1"/>
  <c r="H1084" i="1"/>
  <c r="V1083" i="1"/>
  <c r="Q1083" i="1"/>
  <c r="P1083" i="1"/>
  <c r="O1083" i="1"/>
  <c r="N1083" i="1"/>
  <c r="I1083" i="1"/>
  <c r="H1083" i="1"/>
  <c r="V1082" i="1"/>
  <c r="Q1082" i="1"/>
  <c r="P1082" i="1"/>
  <c r="O1082" i="1"/>
  <c r="N1082" i="1"/>
  <c r="I1082" i="1"/>
  <c r="H1082" i="1"/>
  <c r="V1081" i="1"/>
  <c r="Q1081" i="1"/>
  <c r="P1081" i="1"/>
  <c r="O1081" i="1"/>
  <c r="N1081" i="1"/>
  <c r="I1081" i="1"/>
  <c r="H1081" i="1"/>
  <c r="V1080" i="1"/>
  <c r="Q1080" i="1"/>
  <c r="P1080" i="1"/>
  <c r="O1080" i="1"/>
  <c r="N1080" i="1"/>
  <c r="I1080" i="1"/>
  <c r="H1080" i="1"/>
  <c r="V1079" i="1"/>
  <c r="Q1079" i="1"/>
  <c r="P1079" i="1"/>
  <c r="O1079" i="1"/>
  <c r="N1079" i="1"/>
  <c r="I1079" i="1"/>
  <c r="H1079" i="1"/>
  <c r="V1078" i="1"/>
  <c r="Q1078" i="1"/>
  <c r="P1078" i="1"/>
  <c r="O1078" i="1"/>
  <c r="N1078" i="1"/>
  <c r="I1078" i="1"/>
  <c r="H1078" i="1"/>
  <c r="V1077" i="1"/>
  <c r="Q1077" i="1"/>
  <c r="P1077" i="1"/>
  <c r="O1077" i="1"/>
  <c r="N1077" i="1"/>
  <c r="I1077" i="1"/>
  <c r="H1077" i="1"/>
  <c r="V1076" i="1"/>
  <c r="Q1076" i="1"/>
  <c r="P1076" i="1"/>
  <c r="O1076" i="1"/>
  <c r="N1076" i="1"/>
  <c r="I1076" i="1"/>
  <c r="H1076" i="1"/>
  <c r="V1075" i="1"/>
  <c r="Q1075" i="1"/>
  <c r="P1075" i="1"/>
  <c r="O1075" i="1"/>
  <c r="N1075" i="1"/>
  <c r="I1075" i="1"/>
  <c r="H1075" i="1"/>
  <c r="V1074" i="1"/>
  <c r="Q1074" i="1"/>
  <c r="P1074" i="1"/>
  <c r="O1074" i="1"/>
  <c r="N1074" i="1"/>
  <c r="I1074" i="1"/>
  <c r="H1074" i="1"/>
  <c r="V1073" i="1"/>
  <c r="Q1073" i="1"/>
  <c r="P1073" i="1"/>
  <c r="O1073" i="1"/>
  <c r="N1073" i="1"/>
  <c r="I1073" i="1"/>
  <c r="H1073" i="1"/>
  <c r="V1072" i="1"/>
  <c r="Q1072" i="1"/>
  <c r="P1072" i="1"/>
  <c r="O1072" i="1"/>
  <c r="N1072" i="1"/>
  <c r="I1072" i="1"/>
  <c r="H1072" i="1"/>
  <c r="V1071" i="1"/>
  <c r="Q1071" i="1"/>
  <c r="P1071" i="1"/>
  <c r="O1071" i="1"/>
  <c r="N1071" i="1"/>
  <c r="I1071" i="1"/>
  <c r="H1071" i="1"/>
  <c r="V1070" i="1"/>
  <c r="Q1070" i="1"/>
  <c r="P1070" i="1"/>
  <c r="O1070" i="1"/>
  <c r="N1070" i="1"/>
  <c r="I1070" i="1"/>
  <c r="H1070" i="1"/>
  <c r="V1069" i="1"/>
  <c r="Q1069" i="1"/>
  <c r="P1069" i="1"/>
  <c r="O1069" i="1"/>
  <c r="N1069" i="1"/>
  <c r="I1069" i="1"/>
  <c r="H1069" i="1"/>
  <c r="V1068" i="1"/>
  <c r="Q1068" i="1"/>
  <c r="P1068" i="1"/>
  <c r="O1068" i="1"/>
  <c r="N1068" i="1"/>
  <c r="I1068" i="1"/>
  <c r="H1068" i="1"/>
  <c r="V1067" i="1"/>
  <c r="Q1067" i="1"/>
  <c r="P1067" i="1"/>
  <c r="O1067" i="1"/>
  <c r="N1067" i="1"/>
  <c r="I1067" i="1"/>
  <c r="H1067" i="1"/>
  <c r="V1066" i="1"/>
  <c r="Q1066" i="1"/>
  <c r="P1066" i="1"/>
  <c r="O1066" i="1"/>
  <c r="N1066" i="1"/>
  <c r="I1066" i="1"/>
  <c r="H1066" i="1"/>
  <c r="V1065" i="1"/>
  <c r="Q1065" i="1"/>
  <c r="P1065" i="1"/>
  <c r="O1065" i="1"/>
  <c r="N1065" i="1"/>
  <c r="I1065" i="1"/>
  <c r="V1064" i="1"/>
  <c r="Q1064" i="1"/>
  <c r="P1064" i="1"/>
  <c r="O1064" i="1"/>
  <c r="N1064" i="1"/>
  <c r="I1064" i="1"/>
  <c r="V1063" i="1"/>
  <c r="Q1063" i="1"/>
  <c r="P1063" i="1"/>
  <c r="O1063" i="1"/>
  <c r="N1063" i="1"/>
  <c r="I1063" i="1"/>
  <c r="V1062" i="1"/>
  <c r="Q1062" i="1"/>
  <c r="P1062" i="1"/>
  <c r="O1062" i="1"/>
  <c r="N1062" i="1"/>
  <c r="I1062" i="1"/>
  <c r="V1061" i="1"/>
  <c r="Q1061" i="1"/>
  <c r="P1061" i="1"/>
  <c r="O1061" i="1"/>
  <c r="N1061" i="1"/>
  <c r="I1061" i="1"/>
  <c r="V1060" i="1"/>
  <c r="Q1060" i="1"/>
  <c r="P1060" i="1"/>
  <c r="O1060" i="1"/>
  <c r="N1060" i="1"/>
  <c r="I1060" i="1"/>
  <c r="V1059" i="1"/>
  <c r="Q1059" i="1"/>
  <c r="P1059" i="1"/>
  <c r="O1059" i="1"/>
  <c r="N1059" i="1"/>
  <c r="I1059" i="1"/>
  <c r="H1059" i="1"/>
  <c r="V1058" i="1"/>
  <c r="Q1058" i="1"/>
  <c r="P1058" i="1"/>
  <c r="O1058" i="1"/>
  <c r="N1058" i="1"/>
  <c r="I1058" i="1"/>
  <c r="H1058" i="1"/>
  <c r="V1057" i="1"/>
  <c r="Q1057" i="1"/>
  <c r="P1057" i="1"/>
  <c r="O1057" i="1"/>
  <c r="N1057" i="1"/>
  <c r="I1057" i="1"/>
  <c r="H1057" i="1"/>
  <c r="V1056" i="1"/>
  <c r="Q1056" i="1"/>
  <c r="P1056" i="1"/>
  <c r="O1056" i="1"/>
  <c r="N1056" i="1"/>
  <c r="I1056" i="1"/>
  <c r="H1056" i="1"/>
  <c r="V1055" i="1"/>
  <c r="Q1055" i="1"/>
  <c r="P1055" i="1"/>
  <c r="O1055" i="1"/>
  <c r="N1055" i="1"/>
  <c r="I1055" i="1"/>
  <c r="V1054" i="1"/>
  <c r="Q1054" i="1"/>
  <c r="P1054" i="1"/>
  <c r="O1054" i="1"/>
  <c r="N1054" i="1"/>
  <c r="I1054" i="1"/>
  <c r="V1053" i="1"/>
  <c r="Q1053" i="1"/>
  <c r="P1053" i="1"/>
  <c r="O1053" i="1"/>
  <c r="N1053" i="1"/>
  <c r="I1053" i="1"/>
  <c r="V1052" i="1"/>
  <c r="Q1052" i="1"/>
  <c r="P1052" i="1"/>
  <c r="O1052" i="1"/>
  <c r="N1052" i="1"/>
  <c r="I1052" i="1"/>
  <c r="V1051" i="1"/>
  <c r="Q1051" i="1"/>
  <c r="P1051" i="1"/>
  <c r="O1051" i="1"/>
  <c r="N1051" i="1"/>
  <c r="I1051" i="1"/>
  <c r="V1050" i="1"/>
  <c r="Q1050" i="1"/>
  <c r="P1050" i="1"/>
  <c r="O1050" i="1"/>
  <c r="N1050" i="1"/>
  <c r="I1050" i="1"/>
  <c r="V1049" i="1"/>
  <c r="Q1049" i="1"/>
  <c r="P1049" i="1"/>
  <c r="O1049" i="1"/>
  <c r="N1049" i="1"/>
  <c r="I1049" i="1"/>
  <c r="V1048" i="1"/>
  <c r="Q1048" i="1"/>
  <c r="P1048" i="1"/>
  <c r="O1048" i="1"/>
  <c r="N1048" i="1"/>
  <c r="I1048" i="1"/>
  <c r="V1047" i="1"/>
  <c r="Q1047" i="1"/>
  <c r="P1047" i="1"/>
  <c r="O1047" i="1"/>
  <c r="N1047" i="1"/>
  <c r="I1047" i="1"/>
  <c r="V1046" i="1"/>
  <c r="Q1046" i="1"/>
  <c r="P1046" i="1"/>
  <c r="O1046" i="1"/>
  <c r="N1046" i="1"/>
  <c r="I1046" i="1"/>
  <c r="V1045" i="1"/>
  <c r="Q1045" i="1"/>
  <c r="P1045" i="1"/>
  <c r="O1045" i="1"/>
  <c r="N1045" i="1"/>
  <c r="I1045" i="1"/>
  <c r="V1044" i="1"/>
  <c r="Q1044" i="1"/>
  <c r="P1044" i="1"/>
  <c r="O1044" i="1"/>
  <c r="N1044" i="1"/>
  <c r="I1044" i="1"/>
  <c r="V1043" i="1"/>
  <c r="Q1043" i="1"/>
  <c r="P1043" i="1"/>
  <c r="O1043" i="1"/>
  <c r="N1043" i="1"/>
  <c r="I1043" i="1"/>
  <c r="V1042" i="1"/>
  <c r="Q1042" i="1"/>
  <c r="P1042" i="1"/>
  <c r="O1042" i="1"/>
  <c r="N1042" i="1"/>
  <c r="I1042" i="1"/>
  <c r="V1041" i="1"/>
  <c r="Q1041" i="1"/>
  <c r="P1041" i="1"/>
  <c r="O1041" i="1"/>
  <c r="N1041" i="1"/>
  <c r="I1041" i="1"/>
  <c r="V1040" i="1"/>
  <c r="Q1040" i="1"/>
  <c r="P1040" i="1"/>
  <c r="O1040" i="1"/>
  <c r="N1040" i="1"/>
  <c r="I1040" i="1"/>
  <c r="V1039" i="1"/>
  <c r="Q1039" i="1"/>
  <c r="P1039" i="1"/>
  <c r="O1039" i="1"/>
  <c r="N1039" i="1"/>
  <c r="I1039" i="1"/>
  <c r="V1038" i="1"/>
  <c r="Q1038" i="1"/>
  <c r="P1038" i="1"/>
  <c r="O1038" i="1"/>
  <c r="N1038" i="1"/>
  <c r="I1038" i="1"/>
  <c r="V1037" i="1"/>
  <c r="Q1037" i="1"/>
  <c r="P1037" i="1"/>
  <c r="O1037" i="1"/>
  <c r="N1037" i="1"/>
  <c r="I1037" i="1"/>
  <c r="V1036" i="1"/>
  <c r="Q1036" i="1"/>
  <c r="P1036" i="1"/>
  <c r="O1036" i="1"/>
  <c r="N1036" i="1"/>
  <c r="I1036" i="1"/>
  <c r="V1035" i="1"/>
  <c r="Q1035" i="1"/>
  <c r="P1035" i="1"/>
  <c r="O1035" i="1"/>
  <c r="N1035" i="1"/>
  <c r="I1035" i="1"/>
  <c r="H1035" i="1"/>
  <c r="V1034" i="1"/>
  <c r="Q1034" i="1"/>
  <c r="P1034" i="1"/>
  <c r="O1034" i="1"/>
  <c r="N1034" i="1"/>
  <c r="I1034" i="1"/>
  <c r="H1034" i="1"/>
  <c r="V1033" i="1"/>
  <c r="Q1033" i="1"/>
  <c r="P1033" i="1"/>
  <c r="O1033" i="1"/>
  <c r="N1033" i="1"/>
  <c r="I1033" i="1"/>
  <c r="H1033" i="1"/>
  <c r="V1032" i="1"/>
  <c r="Q1032" i="1"/>
  <c r="P1032" i="1"/>
  <c r="O1032" i="1"/>
  <c r="N1032" i="1"/>
  <c r="I1032" i="1"/>
  <c r="H1032" i="1"/>
  <c r="V1031" i="1"/>
  <c r="Q1031" i="1"/>
  <c r="P1031" i="1"/>
  <c r="O1031" i="1"/>
  <c r="N1031" i="1"/>
  <c r="I1031" i="1"/>
  <c r="H1031" i="1"/>
  <c r="V1030" i="1"/>
  <c r="Q1030" i="1"/>
  <c r="P1030" i="1"/>
  <c r="O1030" i="1"/>
  <c r="N1030" i="1"/>
  <c r="I1030" i="1"/>
  <c r="H1030" i="1"/>
  <c r="V1029" i="1"/>
  <c r="Q1029" i="1"/>
  <c r="P1029" i="1"/>
  <c r="O1029" i="1"/>
  <c r="N1029" i="1"/>
  <c r="I1029" i="1"/>
  <c r="H1029" i="1"/>
  <c r="V1028" i="1"/>
  <c r="Q1028" i="1"/>
  <c r="P1028" i="1"/>
  <c r="O1028" i="1"/>
  <c r="N1028" i="1"/>
  <c r="I1028" i="1"/>
  <c r="H1028" i="1"/>
  <c r="V1027" i="1"/>
  <c r="Q1027" i="1"/>
  <c r="P1027" i="1"/>
  <c r="O1027" i="1"/>
  <c r="N1027" i="1"/>
  <c r="I1027" i="1"/>
  <c r="H1027" i="1"/>
  <c r="V1026" i="1"/>
  <c r="Q1026" i="1"/>
  <c r="P1026" i="1"/>
  <c r="O1026" i="1"/>
  <c r="N1026" i="1"/>
  <c r="I1026" i="1"/>
  <c r="H1026" i="1"/>
  <c r="V1025" i="1"/>
  <c r="Q1025" i="1"/>
  <c r="P1025" i="1"/>
  <c r="O1025" i="1"/>
  <c r="N1025" i="1"/>
  <c r="I1025" i="1"/>
  <c r="H1025" i="1"/>
  <c r="V1024" i="1"/>
  <c r="Q1024" i="1"/>
  <c r="P1024" i="1"/>
  <c r="O1024" i="1"/>
  <c r="N1024" i="1"/>
  <c r="I1024" i="1"/>
  <c r="H1024" i="1"/>
  <c r="V1023" i="1"/>
  <c r="Q1023" i="1"/>
  <c r="P1023" i="1"/>
  <c r="O1023" i="1"/>
  <c r="N1023" i="1"/>
  <c r="I1023" i="1"/>
  <c r="H1023" i="1"/>
  <c r="V1022" i="1"/>
  <c r="Q1022" i="1"/>
  <c r="P1022" i="1"/>
  <c r="O1022" i="1"/>
  <c r="N1022" i="1"/>
  <c r="I1022" i="1"/>
  <c r="H1022" i="1"/>
  <c r="V1021" i="1"/>
  <c r="Q1021" i="1"/>
  <c r="P1021" i="1"/>
  <c r="O1021" i="1"/>
  <c r="N1021" i="1"/>
  <c r="I1021" i="1"/>
  <c r="H1021" i="1"/>
  <c r="V1020" i="1"/>
  <c r="Q1020" i="1"/>
  <c r="P1020" i="1"/>
  <c r="O1020" i="1"/>
  <c r="N1020" i="1"/>
  <c r="I1020" i="1"/>
  <c r="H1020" i="1"/>
  <c r="V1019" i="1"/>
  <c r="Q1019" i="1"/>
  <c r="P1019" i="1"/>
  <c r="O1019" i="1"/>
  <c r="N1019" i="1"/>
  <c r="I1019" i="1"/>
  <c r="H1019" i="1"/>
  <c r="V1018" i="1"/>
  <c r="Q1018" i="1"/>
  <c r="P1018" i="1"/>
  <c r="O1018" i="1"/>
  <c r="N1018" i="1"/>
  <c r="I1018" i="1"/>
  <c r="H1018" i="1"/>
  <c r="V1017" i="1"/>
  <c r="Q1017" i="1"/>
  <c r="P1017" i="1"/>
  <c r="O1017" i="1"/>
  <c r="N1017" i="1"/>
  <c r="I1017" i="1"/>
  <c r="H1017" i="1"/>
  <c r="V1016" i="1"/>
  <c r="Q1016" i="1"/>
  <c r="P1016" i="1"/>
  <c r="O1016" i="1"/>
  <c r="N1016" i="1"/>
  <c r="I1016" i="1"/>
  <c r="H1016" i="1"/>
  <c r="V1015" i="1"/>
  <c r="Q1015" i="1"/>
  <c r="P1015" i="1"/>
  <c r="O1015" i="1"/>
  <c r="N1015" i="1"/>
  <c r="I1015" i="1"/>
  <c r="H1015" i="1"/>
  <c r="V1014" i="1"/>
  <c r="Q1014" i="1"/>
  <c r="P1014" i="1"/>
  <c r="O1014" i="1"/>
  <c r="N1014" i="1"/>
  <c r="I1014" i="1"/>
  <c r="H1014" i="1"/>
  <c r="V1013" i="1"/>
  <c r="Q1013" i="1"/>
  <c r="P1013" i="1"/>
  <c r="O1013" i="1"/>
  <c r="N1013" i="1"/>
  <c r="I1013" i="1"/>
  <c r="H1013" i="1"/>
  <c r="V1012" i="1"/>
  <c r="Q1012" i="1"/>
  <c r="P1012" i="1"/>
  <c r="O1012" i="1"/>
  <c r="N1012" i="1"/>
  <c r="I1012" i="1"/>
  <c r="H1012" i="1"/>
  <c r="V1011" i="1"/>
  <c r="Q1011" i="1"/>
  <c r="P1011" i="1"/>
  <c r="O1011" i="1"/>
  <c r="N1011" i="1"/>
  <c r="I1011" i="1"/>
  <c r="H1011" i="1"/>
  <c r="V1010" i="1"/>
  <c r="Q1010" i="1"/>
  <c r="P1010" i="1"/>
  <c r="O1010" i="1"/>
  <c r="N1010" i="1"/>
  <c r="I1010" i="1"/>
  <c r="H1010" i="1"/>
  <c r="V1009" i="1"/>
  <c r="Q1009" i="1"/>
  <c r="P1009" i="1"/>
  <c r="O1009" i="1"/>
  <c r="N1009" i="1"/>
  <c r="I1009" i="1"/>
  <c r="H1009" i="1"/>
  <c r="V1008" i="1"/>
  <c r="Q1008" i="1"/>
  <c r="P1008" i="1"/>
  <c r="O1008" i="1"/>
  <c r="N1008" i="1"/>
  <c r="I1008" i="1"/>
  <c r="H1008" i="1"/>
  <c r="V1007" i="1"/>
  <c r="Q1007" i="1"/>
  <c r="P1007" i="1"/>
  <c r="O1007" i="1"/>
  <c r="N1007" i="1"/>
  <c r="I1007" i="1"/>
  <c r="H1007" i="1"/>
  <c r="V1006" i="1"/>
  <c r="Q1006" i="1"/>
  <c r="P1006" i="1"/>
  <c r="O1006" i="1"/>
  <c r="N1006" i="1"/>
  <c r="I1006" i="1"/>
  <c r="H1006" i="1"/>
  <c r="V1005" i="1"/>
  <c r="Q1005" i="1"/>
  <c r="P1005" i="1"/>
  <c r="O1005" i="1"/>
  <c r="N1005" i="1"/>
  <c r="I1005" i="1"/>
  <c r="H1005" i="1"/>
  <c r="V1004" i="1"/>
  <c r="Q1004" i="1"/>
  <c r="P1004" i="1"/>
  <c r="O1004" i="1"/>
  <c r="N1004" i="1"/>
  <c r="I1004" i="1"/>
  <c r="H1004" i="1"/>
  <c r="V1003" i="1"/>
  <c r="Q1003" i="1"/>
  <c r="P1003" i="1"/>
  <c r="O1003" i="1"/>
  <c r="N1003" i="1"/>
  <c r="I1003" i="1"/>
  <c r="H1003" i="1"/>
  <c r="V1002" i="1"/>
  <c r="Q1002" i="1"/>
  <c r="P1002" i="1"/>
  <c r="O1002" i="1"/>
  <c r="N1002" i="1"/>
  <c r="I1002" i="1"/>
  <c r="H1002" i="1"/>
  <c r="V1001" i="1"/>
  <c r="Q1001" i="1"/>
  <c r="P1001" i="1"/>
  <c r="O1001" i="1"/>
  <c r="N1001" i="1"/>
  <c r="I1001" i="1"/>
  <c r="H1001" i="1"/>
  <c r="V1000" i="1"/>
  <c r="Q1000" i="1"/>
  <c r="P1000" i="1"/>
  <c r="O1000" i="1"/>
  <c r="N1000" i="1"/>
  <c r="I1000" i="1"/>
  <c r="H1000" i="1"/>
  <c r="V999" i="1"/>
  <c r="Q999" i="1"/>
  <c r="P999" i="1"/>
  <c r="O999" i="1"/>
  <c r="N999" i="1"/>
  <c r="I999" i="1"/>
  <c r="H999" i="1"/>
  <c r="V998" i="1"/>
  <c r="Q998" i="1"/>
  <c r="P998" i="1"/>
  <c r="O998" i="1"/>
  <c r="N998" i="1"/>
  <c r="I998" i="1"/>
  <c r="H998" i="1"/>
  <c r="V997" i="1"/>
  <c r="Q997" i="1"/>
  <c r="P997" i="1"/>
  <c r="O997" i="1"/>
  <c r="N997" i="1"/>
  <c r="I997" i="1"/>
  <c r="H997" i="1"/>
  <c r="V996" i="1"/>
  <c r="Q996" i="1"/>
  <c r="P996" i="1"/>
  <c r="O996" i="1"/>
  <c r="N996" i="1"/>
  <c r="I996" i="1"/>
  <c r="H996" i="1"/>
  <c r="V995" i="1"/>
  <c r="Q995" i="1"/>
  <c r="P995" i="1"/>
  <c r="O995" i="1"/>
  <c r="N995" i="1"/>
  <c r="I995" i="1"/>
  <c r="H995" i="1"/>
  <c r="V994" i="1"/>
  <c r="Q994" i="1"/>
  <c r="P994" i="1"/>
  <c r="O994" i="1"/>
  <c r="N994" i="1"/>
  <c r="I994" i="1"/>
  <c r="H994" i="1"/>
  <c r="V993" i="1"/>
  <c r="Q993" i="1"/>
  <c r="P993" i="1"/>
  <c r="O993" i="1"/>
  <c r="N993" i="1"/>
  <c r="I993" i="1"/>
  <c r="H993" i="1"/>
  <c r="V992" i="1"/>
  <c r="Q992" i="1"/>
  <c r="P992" i="1"/>
  <c r="O992" i="1"/>
  <c r="N992" i="1"/>
  <c r="I992" i="1"/>
  <c r="H992" i="1"/>
  <c r="V991" i="1"/>
  <c r="Q991" i="1"/>
  <c r="P991" i="1"/>
  <c r="O991" i="1"/>
  <c r="N991" i="1"/>
  <c r="I991" i="1"/>
  <c r="H991" i="1"/>
  <c r="V990" i="1"/>
  <c r="Q990" i="1"/>
  <c r="P990" i="1"/>
  <c r="O990" i="1"/>
  <c r="N990" i="1"/>
  <c r="I990" i="1"/>
  <c r="H990" i="1"/>
  <c r="V989" i="1"/>
  <c r="Q989" i="1"/>
  <c r="P989" i="1"/>
  <c r="O989" i="1"/>
  <c r="N989" i="1"/>
  <c r="I989" i="1"/>
  <c r="H989" i="1"/>
  <c r="V988" i="1"/>
  <c r="Q988" i="1"/>
  <c r="P988" i="1"/>
  <c r="O988" i="1"/>
  <c r="N988" i="1"/>
  <c r="I988" i="1"/>
  <c r="H988" i="1"/>
  <c r="V987" i="1"/>
  <c r="Q987" i="1"/>
  <c r="P987" i="1"/>
  <c r="O987" i="1"/>
  <c r="N987" i="1"/>
  <c r="I987" i="1"/>
  <c r="H987" i="1"/>
  <c r="V986" i="1"/>
  <c r="Q986" i="1"/>
  <c r="P986" i="1"/>
  <c r="O986" i="1"/>
  <c r="N986" i="1"/>
  <c r="I986" i="1"/>
  <c r="H986" i="1"/>
  <c r="V985" i="1"/>
  <c r="Q985" i="1"/>
  <c r="P985" i="1"/>
  <c r="O985" i="1"/>
  <c r="N985" i="1"/>
  <c r="I985" i="1"/>
  <c r="H985" i="1"/>
  <c r="V984" i="1"/>
  <c r="Q984" i="1"/>
  <c r="P984" i="1"/>
  <c r="O984" i="1"/>
  <c r="N984" i="1"/>
  <c r="I984" i="1"/>
  <c r="H984" i="1"/>
  <c r="V983" i="1"/>
  <c r="Q983" i="1"/>
  <c r="P983" i="1"/>
  <c r="O983" i="1"/>
  <c r="N983" i="1"/>
  <c r="I983" i="1"/>
  <c r="H983" i="1"/>
  <c r="V982" i="1"/>
  <c r="Q982" i="1"/>
  <c r="P982" i="1"/>
  <c r="O982" i="1"/>
  <c r="N982" i="1"/>
  <c r="I982" i="1"/>
  <c r="H982" i="1"/>
  <c r="V981" i="1"/>
  <c r="Q981" i="1"/>
  <c r="P981" i="1"/>
  <c r="O981" i="1"/>
  <c r="N981" i="1"/>
  <c r="I981" i="1"/>
  <c r="H981" i="1"/>
  <c r="V980" i="1"/>
  <c r="Q980" i="1"/>
  <c r="P980" i="1"/>
  <c r="O980" i="1"/>
  <c r="N980" i="1"/>
  <c r="I980" i="1"/>
  <c r="H980" i="1"/>
  <c r="V979" i="1"/>
  <c r="Q979" i="1"/>
  <c r="P979" i="1"/>
  <c r="O979" i="1"/>
  <c r="N979" i="1"/>
  <c r="I979" i="1"/>
  <c r="H979" i="1"/>
  <c r="V978" i="1"/>
  <c r="Q978" i="1"/>
  <c r="P978" i="1"/>
  <c r="O978" i="1"/>
  <c r="N978" i="1"/>
  <c r="I978" i="1"/>
  <c r="H978" i="1"/>
  <c r="V977" i="1"/>
  <c r="Q977" i="1"/>
  <c r="P977" i="1"/>
  <c r="O977" i="1"/>
  <c r="N977" i="1"/>
  <c r="I977" i="1"/>
  <c r="H977" i="1"/>
  <c r="V976" i="1"/>
  <c r="Q976" i="1"/>
  <c r="P976" i="1"/>
  <c r="O976" i="1"/>
  <c r="N976" i="1"/>
  <c r="I976" i="1"/>
  <c r="H976" i="1"/>
  <c r="V975" i="1"/>
  <c r="Q975" i="1"/>
  <c r="P975" i="1"/>
  <c r="O975" i="1"/>
  <c r="N975" i="1"/>
  <c r="I975" i="1"/>
  <c r="H975" i="1"/>
  <c r="V974" i="1"/>
  <c r="Q974" i="1"/>
  <c r="P974" i="1"/>
  <c r="O974" i="1"/>
  <c r="N974" i="1"/>
  <c r="I974" i="1"/>
  <c r="H974" i="1"/>
  <c r="V973" i="1"/>
  <c r="Q973" i="1"/>
  <c r="P973" i="1"/>
  <c r="O973" i="1"/>
  <c r="N973" i="1"/>
  <c r="I973" i="1"/>
  <c r="H973" i="1"/>
  <c r="V972" i="1"/>
  <c r="Q972" i="1"/>
  <c r="P972" i="1"/>
  <c r="O972" i="1"/>
  <c r="N972" i="1"/>
  <c r="I972" i="1"/>
  <c r="H972" i="1"/>
  <c r="V971" i="1"/>
  <c r="Q971" i="1"/>
  <c r="P971" i="1"/>
  <c r="O971" i="1"/>
  <c r="N971" i="1"/>
  <c r="I971" i="1"/>
  <c r="H971" i="1"/>
  <c r="V970" i="1"/>
  <c r="Q970" i="1"/>
  <c r="P970" i="1"/>
  <c r="O970" i="1"/>
  <c r="N970" i="1"/>
  <c r="I970" i="1"/>
  <c r="H970" i="1"/>
  <c r="V969" i="1"/>
  <c r="Q969" i="1"/>
  <c r="P969" i="1"/>
  <c r="O969" i="1"/>
  <c r="N969" i="1"/>
  <c r="I969" i="1"/>
  <c r="H969" i="1"/>
  <c r="V968" i="1"/>
  <c r="Q968" i="1"/>
  <c r="P968" i="1"/>
  <c r="O968" i="1"/>
  <c r="N968" i="1"/>
  <c r="I968" i="1"/>
  <c r="H968" i="1"/>
  <c r="V967" i="1"/>
  <c r="Q967" i="1"/>
  <c r="P967" i="1"/>
  <c r="O967" i="1"/>
  <c r="N967" i="1"/>
  <c r="I967" i="1"/>
  <c r="H967" i="1"/>
  <c r="V966" i="1"/>
  <c r="Q966" i="1"/>
  <c r="P966" i="1"/>
  <c r="O966" i="1"/>
  <c r="N966" i="1"/>
  <c r="I966" i="1"/>
  <c r="H966" i="1"/>
  <c r="V965" i="1"/>
  <c r="Q965" i="1"/>
  <c r="P965" i="1"/>
  <c r="O965" i="1"/>
  <c r="N965" i="1"/>
  <c r="I965" i="1"/>
  <c r="H965" i="1"/>
  <c r="V964" i="1"/>
  <c r="Q964" i="1"/>
  <c r="P964" i="1"/>
  <c r="O964" i="1"/>
  <c r="N964" i="1"/>
  <c r="I964" i="1"/>
  <c r="H964" i="1"/>
  <c r="V963" i="1"/>
  <c r="Q963" i="1"/>
  <c r="P963" i="1"/>
  <c r="O963" i="1"/>
  <c r="N963" i="1"/>
  <c r="I963" i="1"/>
  <c r="H963" i="1"/>
  <c r="V962" i="1"/>
  <c r="Q962" i="1"/>
  <c r="P962" i="1"/>
  <c r="O962" i="1"/>
  <c r="N962" i="1"/>
  <c r="I962" i="1"/>
  <c r="H962" i="1"/>
  <c r="V961" i="1"/>
  <c r="Q961" i="1"/>
  <c r="P961" i="1"/>
  <c r="O961" i="1"/>
  <c r="N961" i="1"/>
  <c r="I961" i="1"/>
  <c r="H961" i="1"/>
  <c r="V960" i="1"/>
  <c r="Q960" i="1"/>
  <c r="P960" i="1"/>
  <c r="O960" i="1"/>
  <c r="N960" i="1"/>
  <c r="I960" i="1"/>
  <c r="H960" i="1"/>
  <c r="V959" i="1"/>
  <c r="Q959" i="1"/>
  <c r="P959" i="1"/>
  <c r="O959" i="1"/>
  <c r="N959" i="1"/>
  <c r="I959" i="1"/>
  <c r="H959" i="1"/>
  <c r="V958" i="1"/>
  <c r="Q958" i="1"/>
  <c r="P958" i="1"/>
  <c r="O958" i="1"/>
  <c r="N958" i="1"/>
  <c r="I958" i="1"/>
  <c r="H958" i="1"/>
  <c r="V957" i="1"/>
  <c r="Q957" i="1"/>
  <c r="P957" i="1"/>
  <c r="O957" i="1"/>
  <c r="N957" i="1"/>
  <c r="I957" i="1"/>
  <c r="H957" i="1"/>
  <c r="V956" i="1"/>
  <c r="Q956" i="1"/>
  <c r="P956" i="1"/>
  <c r="O956" i="1"/>
  <c r="N956" i="1"/>
  <c r="I956" i="1"/>
  <c r="H956" i="1"/>
  <c r="V955" i="1"/>
  <c r="Q955" i="1"/>
  <c r="P955" i="1"/>
  <c r="O955" i="1"/>
  <c r="N955" i="1"/>
  <c r="I955" i="1"/>
  <c r="H955" i="1"/>
  <c r="V954" i="1"/>
  <c r="Q954" i="1"/>
  <c r="P954" i="1"/>
  <c r="O954" i="1"/>
  <c r="N954" i="1"/>
  <c r="I954" i="1"/>
  <c r="H954" i="1"/>
  <c r="V953" i="1"/>
  <c r="Q953" i="1"/>
  <c r="P953" i="1"/>
  <c r="O953" i="1"/>
  <c r="N953" i="1"/>
  <c r="I953" i="1"/>
  <c r="H953" i="1"/>
  <c r="V952" i="1"/>
  <c r="Q952" i="1"/>
  <c r="P952" i="1"/>
  <c r="O952" i="1"/>
  <c r="N952" i="1"/>
  <c r="I952" i="1"/>
  <c r="H952" i="1"/>
  <c r="V951" i="1"/>
  <c r="Q951" i="1"/>
  <c r="P951" i="1"/>
  <c r="O951" i="1"/>
  <c r="N951" i="1"/>
  <c r="I951" i="1"/>
  <c r="H951" i="1"/>
  <c r="V950" i="1"/>
  <c r="Q950" i="1"/>
  <c r="P950" i="1"/>
  <c r="O950" i="1"/>
  <c r="N950" i="1"/>
  <c r="I950" i="1"/>
  <c r="H950" i="1"/>
  <c r="V949" i="1"/>
  <c r="Q949" i="1"/>
  <c r="P949" i="1"/>
  <c r="O949" i="1"/>
  <c r="N949" i="1"/>
  <c r="I949" i="1"/>
  <c r="H949" i="1"/>
  <c r="V948" i="1"/>
  <c r="Q948" i="1"/>
  <c r="P948" i="1"/>
  <c r="O948" i="1"/>
  <c r="N948" i="1"/>
  <c r="I948" i="1"/>
  <c r="H948" i="1"/>
  <c r="V947" i="1"/>
  <c r="Q947" i="1"/>
  <c r="P947" i="1"/>
  <c r="O947" i="1"/>
  <c r="N947" i="1"/>
  <c r="I947" i="1"/>
  <c r="H947" i="1"/>
  <c r="V946" i="1"/>
  <c r="Q946" i="1"/>
  <c r="P946" i="1"/>
  <c r="O946" i="1"/>
  <c r="N946" i="1"/>
  <c r="I946" i="1"/>
  <c r="H946" i="1"/>
  <c r="V945" i="1"/>
  <c r="Q945" i="1"/>
  <c r="P945" i="1"/>
  <c r="O945" i="1"/>
  <c r="N945" i="1"/>
  <c r="I945" i="1"/>
  <c r="H945" i="1"/>
  <c r="V944" i="1"/>
  <c r="Q944" i="1"/>
  <c r="P944" i="1"/>
  <c r="O944" i="1"/>
  <c r="N944" i="1"/>
  <c r="I944" i="1"/>
  <c r="H944" i="1"/>
  <c r="V943" i="1"/>
  <c r="Q943" i="1"/>
  <c r="P943" i="1"/>
  <c r="O943" i="1"/>
  <c r="N943" i="1"/>
  <c r="I943" i="1"/>
  <c r="H943" i="1"/>
  <c r="V942" i="1"/>
  <c r="Q942" i="1"/>
  <c r="P942" i="1"/>
  <c r="O942" i="1"/>
  <c r="N942" i="1"/>
  <c r="I942" i="1"/>
  <c r="H942" i="1"/>
  <c r="V941" i="1"/>
  <c r="Q941" i="1"/>
  <c r="P941" i="1"/>
  <c r="O941" i="1"/>
  <c r="N941" i="1"/>
  <c r="I941" i="1"/>
  <c r="H941" i="1"/>
  <c r="V940" i="1"/>
  <c r="Q940" i="1"/>
  <c r="P940" i="1"/>
  <c r="O940" i="1"/>
  <c r="N940" i="1"/>
  <c r="I940" i="1"/>
  <c r="H940" i="1"/>
  <c r="V939" i="1"/>
  <c r="Q939" i="1"/>
  <c r="P939" i="1"/>
  <c r="O939" i="1"/>
  <c r="N939" i="1"/>
  <c r="I939" i="1"/>
  <c r="H939" i="1"/>
  <c r="V938" i="1"/>
  <c r="Q938" i="1"/>
  <c r="P938" i="1"/>
  <c r="O938" i="1"/>
  <c r="N938" i="1"/>
  <c r="I938" i="1"/>
  <c r="H938" i="1"/>
  <c r="V937" i="1"/>
  <c r="Q937" i="1"/>
  <c r="P937" i="1"/>
  <c r="O937" i="1"/>
  <c r="N937" i="1"/>
  <c r="I937" i="1"/>
  <c r="H937" i="1"/>
  <c r="V936" i="1"/>
  <c r="Q936" i="1"/>
  <c r="P936" i="1"/>
  <c r="O936" i="1"/>
  <c r="N936" i="1"/>
  <c r="I936" i="1"/>
  <c r="H936" i="1"/>
  <c r="V935" i="1"/>
  <c r="Q935" i="1"/>
  <c r="P935" i="1"/>
  <c r="O935" i="1"/>
  <c r="N935" i="1"/>
  <c r="I935" i="1"/>
  <c r="H935" i="1"/>
  <c r="V934" i="1"/>
  <c r="Q934" i="1"/>
  <c r="P934" i="1"/>
  <c r="O934" i="1"/>
  <c r="N934" i="1"/>
  <c r="I934" i="1"/>
  <c r="H934" i="1"/>
  <c r="V933" i="1"/>
  <c r="Q933" i="1"/>
  <c r="P933" i="1"/>
  <c r="O933" i="1"/>
  <c r="N933" i="1"/>
  <c r="I933" i="1"/>
  <c r="H933" i="1"/>
  <c r="V932" i="1"/>
  <c r="Q932" i="1"/>
  <c r="P932" i="1"/>
  <c r="O932" i="1"/>
  <c r="N932" i="1"/>
  <c r="I932" i="1"/>
  <c r="H932" i="1"/>
  <c r="V931" i="1"/>
  <c r="Q931" i="1"/>
  <c r="P931" i="1"/>
  <c r="O931" i="1"/>
  <c r="N931" i="1"/>
  <c r="I931" i="1"/>
  <c r="H931" i="1"/>
  <c r="V930" i="1"/>
  <c r="Q930" i="1"/>
  <c r="P930" i="1"/>
  <c r="O930" i="1"/>
  <c r="N930" i="1"/>
  <c r="I930" i="1"/>
  <c r="H930" i="1"/>
  <c r="V929" i="1"/>
  <c r="Q929" i="1"/>
  <c r="P929" i="1"/>
  <c r="O929" i="1"/>
  <c r="N929" i="1"/>
  <c r="I929" i="1"/>
  <c r="H929" i="1"/>
  <c r="V928" i="1"/>
  <c r="Q928" i="1"/>
  <c r="P928" i="1"/>
  <c r="O928" i="1"/>
  <c r="N928" i="1"/>
  <c r="I928" i="1"/>
  <c r="H928" i="1"/>
  <c r="V927" i="1"/>
  <c r="Q927" i="1"/>
  <c r="P927" i="1"/>
  <c r="O927" i="1"/>
  <c r="N927" i="1"/>
  <c r="I927" i="1"/>
  <c r="H927" i="1"/>
  <c r="V926" i="1"/>
  <c r="Q926" i="1"/>
  <c r="P926" i="1"/>
  <c r="O926" i="1"/>
  <c r="N926" i="1"/>
  <c r="I926" i="1"/>
  <c r="H926" i="1"/>
  <c r="V925" i="1"/>
  <c r="Q925" i="1"/>
  <c r="P925" i="1"/>
  <c r="O925" i="1"/>
  <c r="N925" i="1"/>
  <c r="I925" i="1"/>
  <c r="H925" i="1"/>
  <c r="V924" i="1"/>
  <c r="Q924" i="1"/>
  <c r="P924" i="1"/>
  <c r="O924" i="1"/>
  <c r="N924" i="1"/>
  <c r="I924" i="1"/>
  <c r="H924" i="1"/>
  <c r="V923" i="1"/>
  <c r="Q923" i="1"/>
  <c r="P923" i="1"/>
  <c r="O923" i="1"/>
  <c r="N923" i="1"/>
  <c r="I923" i="1"/>
  <c r="H923" i="1"/>
  <c r="V922" i="1"/>
  <c r="Q922" i="1"/>
  <c r="P922" i="1"/>
  <c r="O922" i="1"/>
  <c r="N922" i="1"/>
  <c r="I922" i="1"/>
  <c r="H922" i="1"/>
  <c r="V921" i="1"/>
  <c r="Q921" i="1"/>
  <c r="P921" i="1"/>
  <c r="O921" i="1"/>
  <c r="N921" i="1"/>
  <c r="I921" i="1"/>
  <c r="H921" i="1"/>
  <c r="V920" i="1"/>
  <c r="Q920" i="1"/>
  <c r="P920" i="1"/>
  <c r="O920" i="1"/>
  <c r="N920" i="1"/>
  <c r="I920" i="1"/>
  <c r="H920" i="1"/>
  <c r="V919" i="1"/>
  <c r="Q919" i="1"/>
  <c r="P919" i="1"/>
  <c r="O919" i="1"/>
  <c r="N919" i="1"/>
  <c r="I919" i="1"/>
  <c r="H919" i="1"/>
  <c r="V918" i="1"/>
  <c r="Q918" i="1"/>
  <c r="P918" i="1"/>
  <c r="O918" i="1"/>
  <c r="N918" i="1"/>
  <c r="I918" i="1"/>
  <c r="H918" i="1"/>
  <c r="V917" i="1"/>
  <c r="Q917" i="1"/>
  <c r="P917" i="1"/>
  <c r="O917" i="1"/>
  <c r="N917" i="1"/>
  <c r="I917" i="1"/>
  <c r="H917" i="1"/>
  <c r="V916" i="1"/>
  <c r="Q916" i="1"/>
  <c r="P916" i="1"/>
  <c r="O916" i="1"/>
  <c r="N916" i="1"/>
  <c r="I916" i="1"/>
  <c r="H916" i="1"/>
  <c r="V915" i="1"/>
  <c r="Q915" i="1"/>
  <c r="P915" i="1"/>
  <c r="O915" i="1"/>
  <c r="N915" i="1"/>
  <c r="I915" i="1"/>
  <c r="H915" i="1"/>
  <c r="V914" i="1"/>
  <c r="Q914" i="1"/>
  <c r="P914" i="1"/>
  <c r="O914" i="1"/>
  <c r="N914" i="1"/>
  <c r="I914" i="1"/>
  <c r="H914" i="1"/>
  <c r="V913" i="1"/>
  <c r="Q913" i="1"/>
  <c r="P913" i="1"/>
  <c r="O913" i="1"/>
  <c r="N913" i="1"/>
  <c r="I913" i="1"/>
  <c r="H913" i="1"/>
  <c r="V912" i="1"/>
  <c r="Q912" i="1"/>
  <c r="P912" i="1"/>
  <c r="O912" i="1"/>
  <c r="N912" i="1"/>
  <c r="I912" i="1"/>
  <c r="H912" i="1"/>
  <c r="V911" i="1"/>
  <c r="Q911" i="1"/>
  <c r="P911" i="1"/>
  <c r="O911" i="1"/>
  <c r="N911" i="1"/>
  <c r="I911" i="1"/>
  <c r="H911" i="1"/>
  <c r="V910" i="1"/>
  <c r="Q910" i="1"/>
  <c r="P910" i="1"/>
  <c r="O910" i="1"/>
  <c r="N910" i="1"/>
  <c r="I910" i="1"/>
  <c r="H910" i="1"/>
  <c r="V909" i="1"/>
  <c r="Q909" i="1"/>
  <c r="P909" i="1"/>
  <c r="O909" i="1"/>
  <c r="N909" i="1"/>
  <c r="J909" i="1"/>
  <c r="I909" i="1"/>
  <c r="H909" i="1"/>
  <c r="V908" i="1"/>
  <c r="Q908" i="1"/>
  <c r="P908" i="1"/>
  <c r="O908" i="1"/>
  <c r="N908" i="1"/>
  <c r="J908" i="1"/>
  <c r="I908" i="1"/>
  <c r="H908" i="1"/>
  <c r="G908" i="1"/>
  <c r="V907" i="1"/>
  <c r="Q907" i="1"/>
  <c r="P907" i="1"/>
  <c r="O907" i="1"/>
  <c r="N907" i="1"/>
  <c r="J907" i="1"/>
  <c r="I907" i="1"/>
  <c r="H907" i="1"/>
  <c r="G907" i="1"/>
  <c r="V906" i="1"/>
  <c r="Q906" i="1"/>
  <c r="P906" i="1"/>
  <c r="O906" i="1"/>
  <c r="N906" i="1"/>
  <c r="J906" i="1"/>
  <c r="I906" i="1"/>
  <c r="H906" i="1"/>
  <c r="G906" i="1"/>
  <c r="V905" i="1"/>
  <c r="Q905" i="1"/>
  <c r="P905" i="1"/>
  <c r="O905" i="1"/>
  <c r="N905" i="1"/>
  <c r="J905" i="1"/>
  <c r="I905" i="1"/>
  <c r="H905" i="1"/>
  <c r="G905" i="1"/>
  <c r="V904" i="1"/>
  <c r="Q904" i="1"/>
  <c r="P904" i="1"/>
  <c r="O904" i="1"/>
  <c r="N904" i="1"/>
  <c r="J904" i="1"/>
  <c r="I904" i="1"/>
  <c r="H904" i="1"/>
  <c r="G904" i="1"/>
  <c r="Q903" i="1"/>
  <c r="P903" i="1"/>
  <c r="O903" i="1"/>
  <c r="N903" i="1"/>
  <c r="J903" i="1"/>
  <c r="I903" i="1"/>
  <c r="H903" i="1"/>
  <c r="G903" i="1"/>
  <c r="Q902" i="1"/>
  <c r="P902" i="1"/>
  <c r="O902" i="1"/>
  <c r="N902" i="1"/>
  <c r="J902" i="1"/>
  <c r="I902" i="1"/>
  <c r="H902" i="1"/>
  <c r="Q901" i="1"/>
  <c r="P901" i="1"/>
  <c r="O901" i="1"/>
  <c r="N901" i="1"/>
  <c r="I901" i="1"/>
  <c r="H901" i="1"/>
  <c r="Q900" i="1"/>
  <c r="P900" i="1"/>
  <c r="O900" i="1"/>
  <c r="N900" i="1"/>
  <c r="I900" i="1"/>
  <c r="H900" i="1"/>
  <c r="Q899" i="1"/>
  <c r="P899" i="1"/>
  <c r="O899" i="1"/>
  <c r="N899" i="1"/>
  <c r="I899" i="1"/>
  <c r="H899" i="1"/>
  <c r="Q898" i="1"/>
  <c r="P898" i="1"/>
  <c r="O898" i="1"/>
  <c r="N898" i="1"/>
  <c r="I898" i="1"/>
  <c r="H898" i="1"/>
  <c r="Q897" i="1"/>
  <c r="P897" i="1"/>
  <c r="O897" i="1"/>
  <c r="N897" i="1"/>
  <c r="I897" i="1"/>
  <c r="H897" i="1"/>
  <c r="Q896" i="1"/>
  <c r="P896" i="1"/>
  <c r="O896" i="1"/>
  <c r="N896" i="1"/>
  <c r="I896" i="1"/>
  <c r="Q895" i="1"/>
  <c r="P895" i="1"/>
  <c r="O895" i="1"/>
  <c r="I895" i="1"/>
  <c r="Q894" i="1"/>
  <c r="P894" i="1"/>
  <c r="O894" i="1"/>
  <c r="Q893" i="1"/>
  <c r="P893" i="1"/>
  <c r="O893" i="1"/>
  <c r="Q892" i="1"/>
  <c r="P892" i="1"/>
  <c r="O892" i="1"/>
  <c r="Q891" i="1"/>
  <c r="P891" i="1"/>
  <c r="O891" i="1"/>
  <c r="Q890" i="1"/>
  <c r="P890" i="1"/>
  <c r="O890" i="1"/>
  <c r="Q889" i="1"/>
  <c r="P889" i="1"/>
  <c r="O889" i="1"/>
  <c r="V888" i="1"/>
  <c r="Q888" i="1"/>
  <c r="P888" i="1"/>
  <c r="O888" i="1"/>
  <c r="V887" i="1"/>
  <c r="Q887" i="1"/>
  <c r="P887" i="1"/>
  <c r="O887" i="1"/>
  <c r="V886" i="1"/>
  <c r="Q886" i="1"/>
  <c r="P886" i="1"/>
  <c r="O886" i="1"/>
  <c r="V885" i="1"/>
  <c r="Q885" i="1"/>
  <c r="P885" i="1"/>
  <c r="O885" i="1"/>
  <c r="V884" i="1"/>
  <c r="Q884" i="1"/>
  <c r="P884" i="1"/>
  <c r="O884" i="1"/>
  <c r="V883" i="1"/>
  <c r="Q883" i="1"/>
  <c r="P883" i="1"/>
  <c r="O883" i="1"/>
  <c r="V882" i="1"/>
  <c r="Q882" i="1"/>
  <c r="P882" i="1"/>
  <c r="O882" i="1"/>
  <c r="V881" i="1"/>
  <c r="Q881" i="1"/>
  <c r="P881" i="1"/>
  <c r="O881" i="1"/>
  <c r="V880" i="1"/>
  <c r="Q880" i="1"/>
  <c r="P880" i="1"/>
  <c r="O880" i="1"/>
  <c r="V879" i="1"/>
  <c r="Q879" i="1"/>
  <c r="P879" i="1"/>
  <c r="O879" i="1"/>
  <c r="V878" i="1"/>
  <c r="Q878" i="1"/>
  <c r="P878" i="1"/>
  <c r="O878" i="1"/>
  <c r="V877" i="1"/>
  <c r="Q877" i="1"/>
  <c r="P877" i="1"/>
  <c r="O877" i="1"/>
  <c r="V876" i="1"/>
  <c r="Q876" i="1"/>
  <c r="P876" i="1"/>
  <c r="O876" i="1"/>
  <c r="V875" i="1"/>
  <c r="Q875" i="1"/>
  <c r="P875" i="1"/>
  <c r="O875" i="1"/>
  <c r="V874" i="1"/>
  <c r="Q874" i="1"/>
  <c r="P874" i="1"/>
  <c r="O874" i="1"/>
  <c r="V873" i="1"/>
  <c r="Q873" i="1"/>
  <c r="P873" i="1"/>
  <c r="O873" i="1"/>
  <c r="V872" i="1"/>
  <c r="Q872" i="1"/>
  <c r="P872" i="1"/>
  <c r="O872" i="1"/>
  <c r="V871" i="1"/>
  <c r="Q871" i="1"/>
  <c r="P871" i="1"/>
  <c r="O871" i="1"/>
  <c r="V870" i="1"/>
  <c r="Q870" i="1"/>
  <c r="P870" i="1"/>
  <c r="O870" i="1"/>
  <c r="V869" i="1"/>
  <c r="Q869" i="1"/>
  <c r="P869" i="1"/>
  <c r="O869" i="1"/>
  <c r="V868" i="1"/>
  <c r="Q868" i="1"/>
  <c r="P868" i="1"/>
  <c r="O868" i="1"/>
  <c r="V867" i="1"/>
  <c r="Q867" i="1"/>
  <c r="P867" i="1"/>
  <c r="O867" i="1"/>
  <c r="V866" i="1"/>
  <c r="Q866" i="1"/>
  <c r="P866" i="1"/>
  <c r="O866" i="1"/>
  <c r="V865" i="1"/>
  <c r="Q865" i="1"/>
  <c r="P865" i="1"/>
  <c r="O865" i="1"/>
  <c r="V864" i="1"/>
  <c r="Q864" i="1"/>
  <c r="P864" i="1"/>
  <c r="O864" i="1"/>
  <c r="V863" i="1"/>
  <c r="Q863" i="1"/>
  <c r="P863" i="1"/>
  <c r="O863" i="1"/>
  <c r="V862" i="1"/>
  <c r="Q862" i="1"/>
  <c r="P862" i="1"/>
  <c r="O862" i="1"/>
  <c r="V861" i="1"/>
  <c r="Q861" i="1"/>
  <c r="P861" i="1"/>
  <c r="O861" i="1"/>
  <c r="V860" i="1"/>
  <c r="Q860" i="1"/>
  <c r="P860" i="1"/>
  <c r="O860" i="1"/>
  <c r="V859" i="1"/>
  <c r="Q859" i="1"/>
  <c r="P859" i="1"/>
  <c r="O859" i="1"/>
  <c r="V858" i="1"/>
  <c r="Q858" i="1"/>
  <c r="P858" i="1"/>
  <c r="O858" i="1"/>
  <c r="V857" i="1"/>
  <c r="Q857" i="1"/>
  <c r="P857" i="1"/>
  <c r="O857" i="1"/>
  <c r="V856" i="1"/>
  <c r="Q856" i="1"/>
  <c r="P856" i="1"/>
  <c r="O856" i="1"/>
  <c r="V855" i="1"/>
  <c r="Q855" i="1"/>
  <c r="P855" i="1"/>
  <c r="O855" i="1"/>
  <c r="V854" i="1"/>
  <c r="Q854" i="1"/>
  <c r="P854" i="1"/>
  <c r="O854" i="1"/>
  <c r="V853" i="1"/>
  <c r="Q853" i="1"/>
  <c r="P853" i="1"/>
  <c r="O853" i="1"/>
  <c r="V852" i="1"/>
  <c r="Q852" i="1"/>
  <c r="P852" i="1"/>
  <c r="O852" i="1"/>
  <c r="V851" i="1"/>
  <c r="Q851" i="1"/>
  <c r="P851" i="1"/>
  <c r="O851" i="1"/>
  <c r="V850" i="1"/>
  <c r="Q850" i="1"/>
  <c r="P850" i="1"/>
  <c r="O850" i="1"/>
  <c r="V849" i="1"/>
  <c r="Q849" i="1"/>
  <c r="P849" i="1"/>
  <c r="O849" i="1"/>
  <c r="V848" i="1"/>
  <c r="Q848" i="1"/>
  <c r="P848" i="1"/>
  <c r="O848" i="1"/>
  <c r="V847" i="1"/>
  <c r="Q847" i="1"/>
  <c r="P847" i="1"/>
  <c r="O847" i="1"/>
  <c r="V846" i="1"/>
  <c r="Q846" i="1"/>
  <c r="P846" i="1"/>
  <c r="O846" i="1"/>
  <c r="V845" i="1"/>
  <c r="Q845" i="1"/>
  <c r="P845" i="1"/>
  <c r="O845" i="1"/>
  <c r="V844" i="1"/>
  <c r="Q844" i="1"/>
  <c r="P844" i="1"/>
  <c r="O844" i="1"/>
  <c r="V843" i="1"/>
  <c r="Q843" i="1"/>
  <c r="P843" i="1"/>
  <c r="O843" i="1"/>
  <c r="V842" i="1"/>
  <c r="Q842" i="1"/>
  <c r="P842" i="1"/>
  <c r="O842" i="1"/>
  <c r="V841" i="1"/>
  <c r="Q841" i="1"/>
  <c r="P841" i="1"/>
  <c r="O841" i="1"/>
  <c r="V840" i="1"/>
  <c r="Q840" i="1"/>
  <c r="P840" i="1"/>
  <c r="O840" i="1"/>
  <c r="V839" i="1"/>
  <c r="Q839" i="1"/>
  <c r="P839" i="1"/>
  <c r="O839" i="1"/>
  <c r="V838" i="1"/>
  <c r="Q838" i="1"/>
  <c r="P838" i="1"/>
  <c r="O838" i="1"/>
  <c r="V837" i="1"/>
  <c r="Q837" i="1"/>
  <c r="P837" i="1"/>
  <c r="O837" i="1"/>
  <c r="V836" i="1"/>
  <c r="Q836" i="1"/>
  <c r="P836" i="1"/>
  <c r="O836" i="1"/>
  <c r="V835" i="1"/>
  <c r="Q835" i="1"/>
  <c r="P835" i="1"/>
  <c r="O835" i="1"/>
  <c r="V834" i="1"/>
  <c r="Q834" i="1"/>
  <c r="P834" i="1"/>
  <c r="O834" i="1"/>
  <c r="V833" i="1"/>
  <c r="Q833" i="1"/>
  <c r="P833" i="1"/>
  <c r="O833" i="1"/>
  <c r="V832" i="1"/>
  <c r="Q832" i="1"/>
  <c r="P832" i="1"/>
  <c r="O832" i="1"/>
  <c r="V831" i="1"/>
  <c r="Q831" i="1"/>
  <c r="P831" i="1"/>
  <c r="O831" i="1"/>
  <c r="V830" i="1"/>
  <c r="Q830" i="1"/>
  <c r="P830" i="1"/>
  <c r="O830" i="1"/>
  <c r="V829" i="1"/>
  <c r="Q829" i="1"/>
  <c r="P829" i="1"/>
  <c r="O829" i="1"/>
  <c r="V828" i="1"/>
  <c r="Q828" i="1"/>
  <c r="P828" i="1"/>
  <c r="O828" i="1"/>
  <c r="V827" i="1"/>
  <c r="Q827" i="1"/>
  <c r="P827" i="1"/>
  <c r="O827" i="1"/>
  <c r="V826" i="1"/>
  <c r="Q826" i="1"/>
  <c r="P826" i="1"/>
  <c r="O826" i="1"/>
  <c r="V825" i="1"/>
  <c r="Q825" i="1"/>
  <c r="P825" i="1"/>
  <c r="O825" i="1"/>
  <c r="V824" i="1"/>
  <c r="Q824" i="1"/>
  <c r="P824" i="1"/>
  <c r="O824" i="1"/>
  <c r="V823" i="1"/>
  <c r="Q823" i="1"/>
  <c r="P823" i="1"/>
  <c r="O823" i="1"/>
  <c r="V822" i="1"/>
  <c r="Q822" i="1"/>
  <c r="P822" i="1"/>
  <c r="O822" i="1"/>
  <c r="V821" i="1"/>
  <c r="Q821" i="1"/>
  <c r="P821" i="1"/>
  <c r="O821" i="1"/>
  <c r="V820" i="1"/>
  <c r="Q820" i="1"/>
  <c r="P820" i="1"/>
  <c r="O820" i="1"/>
  <c r="V819" i="1"/>
  <c r="Q819" i="1"/>
  <c r="P819" i="1"/>
  <c r="O819" i="1"/>
  <c r="V818" i="1"/>
  <c r="Q818" i="1"/>
  <c r="P818" i="1"/>
  <c r="O818" i="1"/>
  <c r="V817" i="1"/>
  <c r="Q817" i="1"/>
  <c r="P817" i="1"/>
  <c r="O817" i="1"/>
  <c r="V816" i="1"/>
  <c r="Q816" i="1"/>
  <c r="P816" i="1"/>
  <c r="O816" i="1"/>
  <c r="V815" i="1"/>
  <c r="Q815" i="1"/>
  <c r="P815" i="1"/>
  <c r="O815" i="1"/>
  <c r="V814" i="1"/>
  <c r="Q814" i="1"/>
  <c r="P814" i="1"/>
  <c r="O814" i="1"/>
  <c r="V813" i="1"/>
  <c r="Q813" i="1"/>
  <c r="P813" i="1"/>
  <c r="O813" i="1"/>
  <c r="V812" i="1"/>
  <c r="Q812" i="1"/>
  <c r="P812" i="1"/>
  <c r="O812" i="1"/>
  <c r="V811" i="1"/>
  <c r="Q811" i="1"/>
  <c r="P811" i="1"/>
  <c r="O811" i="1"/>
  <c r="V810" i="1"/>
  <c r="Q810" i="1"/>
  <c r="P810" i="1"/>
  <c r="O810" i="1"/>
  <c r="V809" i="1"/>
  <c r="Q809" i="1"/>
  <c r="P809" i="1"/>
  <c r="O809" i="1"/>
  <c r="V808" i="1"/>
  <c r="Q808" i="1"/>
  <c r="P808" i="1"/>
  <c r="O808" i="1"/>
  <c r="V807" i="1"/>
  <c r="Q807" i="1"/>
  <c r="P807" i="1"/>
  <c r="O807" i="1"/>
  <c r="V806" i="1"/>
  <c r="Q806" i="1"/>
  <c r="P806" i="1"/>
  <c r="O806" i="1"/>
  <c r="V805" i="1"/>
  <c r="Q805" i="1"/>
  <c r="P805" i="1"/>
  <c r="O805" i="1"/>
  <c r="V804" i="1"/>
  <c r="Q804" i="1"/>
  <c r="P804" i="1"/>
  <c r="O804" i="1"/>
  <c r="V803" i="1"/>
  <c r="Q803" i="1"/>
  <c r="P803" i="1"/>
  <c r="O803" i="1"/>
  <c r="V802" i="1"/>
  <c r="Q802" i="1"/>
  <c r="P802" i="1"/>
  <c r="O802" i="1"/>
  <c r="V801" i="1"/>
  <c r="Q801" i="1"/>
  <c r="P801" i="1"/>
  <c r="O801" i="1"/>
  <c r="V800" i="1"/>
  <c r="Q800" i="1"/>
  <c r="P800" i="1"/>
  <c r="O800" i="1"/>
  <c r="V799" i="1"/>
  <c r="Q799" i="1"/>
  <c r="P799" i="1"/>
  <c r="O799" i="1"/>
  <c r="V798" i="1"/>
  <c r="Q798" i="1"/>
  <c r="P798" i="1"/>
  <c r="O798" i="1"/>
  <c r="V797" i="1"/>
  <c r="Q797" i="1"/>
  <c r="P797" i="1"/>
  <c r="O797" i="1"/>
  <c r="V796" i="1"/>
  <c r="Q796" i="1"/>
  <c r="P796" i="1"/>
  <c r="O796" i="1"/>
  <c r="V795" i="1"/>
  <c r="Q795" i="1"/>
  <c r="P795" i="1"/>
  <c r="O795" i="1"/>
  <c r="V794" i="1"/>
  <c r="Q794" i="1"/>
  <c r="P794" i="1"/>
  <c r="O794" i="1"/>
  <c r="V793" i="1"/>
  <c r="Q793" i="1"/>
  <c r="P793" i="1"/>
  <c r="O793" i="1"/>
  <c r="V792" i="1"/>
  <c r="Q792" i="1"/>
  <c r="P792" i="1"/>
  <c r="O792" i="1"/>
  <c r="V791" i="1"/>
  <c r="Q791" i="1"/>
  <c r="P791" i="1"/>
  <c r="O791" i="1"/>
  <c r="Q790" i="1"/>
  <c r="P790" i="1"/>
  <c r="O790" i="1"/>
  <c r="Q789" i="1"/>
  <c r="P789" i="1"/>
  <c r="O789" i="1"/>
  <c r="Q788" i="1"/>
  <c r="P788" i="1"/>
  <c r="O788" i="1"/>
  <c r="Q787" i="1"/>
  <c r="P787" i="1"/>
  <c r="O787" i="1"/>
  <c r="Q786" i="1"/>
  <c r="P786" i="1"/>
  <c r="O786" i="1"/>
  <c r="Q785" i="1"/>
  <c r="P785" i="1"/>
  <c r="O785" i="1"/>
  <c r="Q784" i="1"/>
  <c r="P784" i="1"/>
  <c r="O784" i="1"/>
  <c r="Q783" i="1"/>
  <c r="P783" i="1"/>
  <c r="O783" i="1"/>
  <c r="Q782" i="1"/>
  <c r="P782" i="1"/>
  <c r="O782" i="1"/>
  <c r="Q781" i="1"/>
  <c r="P781" i="1"/>
  <c r="O781" i="1"/>
  <c r="Q780" i="1"/>
  <c r="P780" i="1"/>
  <c r="O780" i="1"/>
  <c r="Q779" i="1"/>
  <c r="P779" i="1"/>
  <c r="O779" i="1"/>
  <c r="Q778" i="1"/>
  <c r="P778" i="1"/>
  <c r="O778" i="1"/>
  <c r="Q777" i="1"/>
  <c r="P777" i="1"/>
  <c r="O777" i="1"/>
  <c r="Q776" i="1"/>
  <c r="P776" i="1"/>
  <c r="O776" i="1"/>
  <c r="Q775" i="1"/>
  <c r="P775" i="1"/>
  <c r="O775" i="1"/>
  <c r="Q774" i="1"/>
  <c r="P774" i="1"/>
  <c r="O774" i="1"/>
  <c r="Q773" i="1"/>
  <c r="P773" i="1"/>
  <c r="O773" i="1"/>
  <c r="Q772" i="1"/>
  <c r="P772" i="1"/>
  <c r="O772" i="1"/>
  <c r="Q771" i="1"/>
  <c r="P771" i="1"/>
  <c r="O771" i="1"/>
  <c r="Q770" i="1"/>
  <c r="P770" i="1"/>
  <c r="O770" i="1"/>
  <c r="Q769" i="1"/>
  <c r="P769" i="1"/>
  <c r="O769" i="1"/>
  <c r="Q768" i="1"/>
  <c r="P768" i="1"/>
  <c r="O768" i="1"/>
  <c r="Q767" i="1"/>
  <c r="P767" i="1"/>
  <c r="O767" i="1"/>
  <c r="Q766" i="1"/>
  <c r="P766" i="1"/>
  <c r="O766" i="1"/>
  <c r="Q765" i="1"/>
  <c r="P765" i="1"/>
  <c r="O765" i="1"/>
  <c r="Q764" i="1"/>
  <c r="P764" i="1"/>
  <c r="O764" i="1"/>
  <c r="Q763" i="1"/>
  <c r="P763" i="1"/>
  <c r="O763" i="1"/>
  <c r="Q762" i="1"/>
  <c r="P762" i="1"/>
  <c r="O762" i="1"/>
  <c r="Q761" i="1"/>
  <c r="P761" i="1"/>
  <c r="O761" i="1"/>
  <c r="Q760" i="1"/>
  <c r="P760" i="1"/>
  <c r="O760" i="1"/>
  <c r="Q759" i="1"/>
  <c r="P759" i="1"/>
  <c r="O759" i="1"/>
  <c r="Q758" i="1"/>
  <c r="P758" i="1"/>
  <c r="O758" i="1"/>
  <c r="Q757" i="1"/>
  <c r="P757" i="1"/>
  <c r="O757" i="1"/>
  <c r="Q756" i="1"/>
  <c r="P756" i="1"/>
  <c r="O756" i="1"/>
  <c r="Q755" i="1"/>
  <c r="P755" i="1"/>
  <c r="O755" i="1"/>
  <c r="Q754" i="1"/>
  <c r="P754" i="1"/>
  <c r="O754" i="1"/>
  <c r="Q753" i="1"/>
  <c r="P753" i="1"/>
  <c r="O753" i="1"/>
  <c r="Q752" i="1"/>
  <c r="P752" i="1"/>
  <c r="O752" i="1"/>
  <c r="Q751" i="1"/>
  <c r="P751" i="1"/>
  <c r="O751" i="1"/>
  <c r="Q750" i="1"/>
  <c r="P750" i="1"/>
  <c r="O750" i="1"/>
  <c r="Q749" i="1"/>
  <c r="P749" i="1"/>
  <c r="O749" i="1"/>
  <c r="Q748" i="1"/>
  <c r="P748" i="1"/>
  <c r="O748" i="1"/>
  <c r="Q747" i="1"/>
  <c r="P747" i="1"/>
  <c r="O747" i="1"/>
  <c r="Q746" i="1"/>
  <c r="P746" i="1"/>
  <c r="O746" i="1"/>
  <c r="Q745" i="1"/>
  <c r="P745" i="1"/>
  <c r="O745" i="1"/>
  <c r="Q744" i="1"/>
  <c r="P744" i="1"/>
  <c r="O744" i="1"/>
  <c r="Q743" i="1"/>
  <c r="P743" i="1"/>
  <c r="O743" i="1"/>
  <c r="Q742" i="1"/>
  <c r="P742" i="1"/>
  <c r="O742" i="1"/>
  <c r="Q741" i="1"/>
  <c r="P741" i="1"/>
  <c r="O741" i="1"/>
  <c r="Q740" i="1"/>
  <c r="P740" i="1"/>
  <c r="O740" i="1"/>
  <c r="Q739" i="1"/>
  <c r="P739" i="1"/>
  <c r="O739" i="1"/>
  <c r="Q738" i="1"/>
  <c r="P738" i="1"/>
  <c r="O738" i="1"/>
  <c r="Q737" i="1"/>
  <c r="P737" i="1"/>
  <c r="O737" i="1"/>
  <c r="Q736" i="1"/>
  <c r="P736" i="1"/>
  <c r="O736" i="1"/>
  <c r="Q735" i="1"/>
  <c r="P735" i="1"/>
  <c r="O735" i="1"/>
  <c r="Q734" i="1"/>
  <c r="P734" i="1"/>
  <c r="O734" i="1"/>
  <c r="Q733" i="1"/>
  <c r="P733" i="1"/>
  <c r="O733" i="1"/>
  <c r="Q732" i="1"/>
  <c r="P732" i="1"/>
  <c r="O732" i="1"/>
  <c r="Q731" i="1"/>
  <c r="P731" i="1"/>
  <c r="O731" i="1"/>
  <c r="Q730" i="1"/>
  <c r="P730" i="1"/>
  <c r="O730" i="1"/>
  <c r="Q729" i="1"/>
  <c r="P729" i="1"/>
  <c r="O729" i="1"/>
  <c r="Q728" i="1"/>
  <c r="P728" i="1"/>
  <c r="O728" i="1"/>
  <c r="V727" i="1"/>
  <c r="Q727" i="1"/>
  <c r="P727" i="1"/>
  <c r="O727" i="1"/>
  <c r="V726" i="1"/>
  <c r="Q726" i="1"/>
  <c r="P726" i="1"/>
  <c r="O726" i="1"/>
  <c r="V725" i="1"/>
  <c r="Q725" i="1"/>
  <c r="P725" i="1"/>
  <c r="O725" i="1"/>
  <c r="V724" i="1"/>
  <c r="Q724" i="1"/>
  <c r="P724" i="1"/>
  <c r="O724" i="1"/>
  <c r="V723" i="1"/>
  <c r="Q723" i="1"/>
  <c r="P723" i="1"/>
  <c r="O723" i="1"/>
  <c r="V722" i="1"/>
  <c r="Q722" i="1"/>
  <c r="P722" i="1"/>
  <c r="O722" i="1"/>
  <c r="V721" i="1"/>
  <c r="Q721" i="1"/>
  <c r="P721" i="1"/>
  <c r="O721" i="1"/>
  <c r="V720" i="1"/>
  <c r="Q720" i="1"/>
  <c r="P720" i="1"/>
  <c r="O720" i="1"/>
  <c r="V719" i="1"/>
  <c r="Q719" i="1"/>
  <c r="P719" i="1"/>
  <c r="O719" i="1"/>
  <c r="V718" i="1"/>
  <c r="Q718" i="1"/>
  <c r="P718" i="1"/>
  <c r="O718" i="1"/>
  <c r="V717" i="1"/>
  <c r="Q717" i="1"/>
  <c r="P717" i="1"/>
  <c r="O717" i="1"/>
  <c r="V716" i="1"/>
  <c r="Q716" i="1"/>
  <c r="P716" i="1"/>
  <c r="O716" i="1"/>
  <c r="V715" i="1"/>
  <c r="Q715" i="1"/>
  <c r="P715" i="1"/>
  <c r="O715" i="1"/>
  <c r="V714" i="1"/>
  <c r="Q714" i="1"/>
  <c r="P714" i="1"/>
  <c r="O714" i="1"/>
  <c r="V713" i="1"/>
  <c r="Q713" i="1"/>
  <c r="P713" i="1"/>
  <c r="O713" i="1"/>
  <c r="V712" i="1"/>
  <c r="Q712" i="1"/>
  <c r="P712" i="1"/>
  <c r="O712" i="1"/>
  <c r="V711" i="1"/>
  <c r="Q711" i="1"/>
  <c r="P711" i="1"/>
  <c r="O711" i="1"/>
  <c r="V710" i="1"/>
  <c r="Q710" i="1"/>
  <c r="P710" i="1"/>
  <c r="O710" i="1"/>
  <c r="V709" i="1"/>
  <c r="Q709" i="1"/>
  <c r="P709" i="1"/>
  <c r="O709" i="1"/>
  <c r="V708" i="1"/>
  <c r="Q708" i="1"/>
  <c r="P708" i="1"/>
  <c r="O708" i="1"/>
  <c r="V707" i="1"/>
  <c r="Q707" i="1"/>
  <c r="P707" i="1"/>
  <c r="O707" i="1"/>
  <c r="V706" i="1"/>
  <c r="Q706" i="1"/>
  <c r="P706" i="1"/>
  <c r="O706" i="1"/>
  <c r="V705" i="1"/>
  <c r="Q705" i="1"/>
  <c r="P705" i="1"/>
  <c r="O705" i="1"/>
  <c r="V704" i="1"/>
  <c r="Q704" i="1"/>
  <c r="P704" i="1"/>
  <c r="O704" i="1"/>
  <c r="V703" i="1"/>
  <c r="Q703" i="1"/>
  <c r="P703" i="1"/>
  <c r="O703" i="1"/>
  <c r="V702" i="1"/>
  <c r="Q702" i="1"/>
  <c r="P702" i="1"/>
  <c r="O702" i="1"/>
  <c r="V701" i="1"/>
  <c r="Q701" i="1"/>
  <c r="P701" i="1"/>
  <c r="O701" i="1"/>
  <c r="V700" i="1"/>
  <c r="Q700" i="1"/>
  <c r="P700" i="1"/>
  <c r="O700" i="1"/>
  <c r="V699" i="1"/>
  <c r="Q699" i="1"/>
  <c r="P699" i="1"/>
  <c r="O699" i="1"/>
  <c r="V698" i="1"/>
  <c r="Q698" i="1"/>
  <c r="P698" i="1"/>
  <c r="O698" i="1"/>
  <c r="V697" i="1"/>
  <c r="Q697" i="1"/>
  <c r="P697" i="1"/>
  <c r="O697" i="1"/>
  <c r="V696" i="1"/>
  <c r="Q696" i="1"/>
  <c r="P696" i="1"/>
  <c r="O696" i="1"/>
  <c r="V695" i="1"/>
  <c r="Q695" i="1"/>
  <c r="P695" i="1"/>
  <c r="O695" i="1"/>
  <c r="V694" i="1"/>
  <c r="Q694" i="1"/>
  <c r="P694" i="1"/>
  <c r="O694" i="1"/>
  <c r="V693" i="1"/>
  <c r="Q693" i="1"/>
  <c r="P693" i="1"/>
  <c r="O693" i="1"/>
  <c r="V692" i="1"/>
  <c r="Q692" i="1"/>
  <c r="P692" i="1"/>
  <c r="O692" i="1"/>
  <c r="V691" i="1"/>
  <c r="Q691" i="1"/>
  <c r="P691" i="1"/>
  <c r="O691" i="1"/>
  <c r="V690" i="1"/>
  <c r="Q690" i="1"/>
  <c r="P690" i="1"/>
  <c r="O690" i="1"/>
  <c r="V689" i="1"/>
  <c r="Q689" i="1"/>
  <c r="P689" i="1"/>
  <c r="O689" i="1"/>
  <c r="V688" i="1"/>
  <c r="Q688" i="1"/>
  <c r="P688" i="1"/>
  <c r="O688" i="1"/>
  <c r="V687" i="1"/>
  <c r="Q687" i="1"/>
  <c r="P687" i="1"/>
  <c r="O687" i="1"/>
  <c r="V686" i="1"/>
  <c r="Q686" i="1"/>
  <c r="P686" i="1"/>
  <c r="O686" i="1"/>
  <c r="V685" i="1"/>
  <c r="Q685" i="1"/>
  <c r="P685" i="1"/>
  <c r="O685" i="1"/>
  <c r="V684" i="1"/>
  <c r="Q684" i="1"/>
  <c r="P684" i="1"/>
  <c r="O684" i="1"/>
  <c r="V683" i="1"/>
  <c r="Q683" i="1"/>
  <c r="P683" i="1"/>
  <c r="O683" i="1"/>
  <c r="V682" i="1"/>
  <c r="Q682" i="1"/>
  <c r="P682" i="1"/>
  <c r="O682" i="1"/>
  <c r="V681" i="1"/>
  <c r="Q681" i="1"/>
  <c r="P681" i="1"/>
  <c r="O681" i="1"/>
  <c r="V680" i="1"/>
  <c r="Q680" i="1"/>
  <c r="P680" i="1"/>
  <c r="O680" i="1"/>
  <c r="V679" i="1"/>
  <c r="Q679" i="1"/>
  <c r="P679" i="1"/>
  <c r="O679" i="1"/>
  <c r="V678" i="1"/>
  <c r="Q678" i="1"/>
  <c r="P678" i="1"/>
  <c r="O678" i="1"/>
  <c r="V677" i="1"/>
  <c r="Q677" i="1"/>
  <c r="P677" i="1"/>
  <c r="O677" i="1"/>
  <c r="Q676" i="1"/>
  <c r="P676" i="1"/>
  <c r="O676" i="1"/>
  <c r="Q675" i="1"/>
  <c r="P675" i="1"/>
  <c r="O675" i="1"/>
  <c r="Q674" i="1"/>
  <c r="P674" i="1"/>
  <c r="O674" i="1"/>
  <c r="Q673" i="1"/>
  <c r="P673" i="1"/>
  <c r="O673" i="1"/>
  <c r="Q672" i="1"/>
  <c r="P672" i="1"/>
  <c r="O672" i="1"/>
  <c r="Q671" i="1"/>
  <c r="P671" i="1"/>
  <c r="O671" i="1"/>
  <c r="Q670" i="1"/>
  <c r="P670" i="1"/>
  <c r="O670" i="1"/>
  <c r="Q669" i="1"/>
  <c r="P669" i="1"/>
  <c r="O669" i="1"/>
  <c r="Q668" i="1"/>
  <c r="P668" i="1"/>
  <c r="O668" i="1"/>
  <c r="Q667" i="1"/>
  <c r="P667" i="1"/>
  <c r="O667" i="1"/>
  <c r="Q666" i="1"/>
  <c r="P666" i="1"/>
  <c r="O666" i="1"/>
  <c r="Q665" i="1"/>
  <c r="P665" i="1"/>
  <c r="O665" i="1"/>
  <c r="Q664" i="1"/>
  <c r="P664" i="1"/>
  <c r="O664" i="1"/>
  <c r="Q663" i="1"/>
  <c r="P663" i="1"/>
  <c r="O663" i="1"/>
  <c r="Q662" i="1"/>
  <c r="P662" i="1"/>
  <c r="O662" i="1"/>
  <c r="Q661" i="1"/>
  <c r="P661" i="1"/>
  <c r="O661" i="1"/>
  <c r="Q660" i="1"/>
  <c r="P660" i="1"/>
  <c r="O660" i="1"/>
  <c r="Q659" i="1"/>
  <c r="P659" i="1"/>
  <c r="O659" i="1"/>
  <c r="Q658" i="1"/>
  <c r="P658" i="1"/>
  <c r="O658" i="1"/>
  <c r="Q657" i="1"/>
  <c r="P657" i="1"/>
  <c r="O657" i="1"/>
  <c r="Q656" i="1"/>
  <c r="P656" i="1"/>
  <c r="O656" i="1"/>
  <c r="Q655" i="1"/>
  <c r="P655" i="1"/>
  <c r="O655" i="1"/>
  <c r="Q654" i="1"/>
  <c r="P654" i="1"/>
  <c r="O654" i="1"/>
  <c r="Q653" i="1"/>
  <c r="P653" i="1"/>
  <c r="O653" i="1"/>
  <c r="Q652" i="1"/>
  <c r="P652" i="1"/>
  <c r="O652" i="1"/>
  <c r="Q651" i="1"/>
  <c r="P651" i="1"/>
  <c r="O651" i="1"/>
  <c r="Q650" i="1"/>
  <c r="P650" i="1"/>
  <c r="O650" i="1"/>
  <c r="Q649" i="1"/>
  <c r="P649" i="1"/>
  <c r="O649" i="1"/>
  <c r="Q648" i="1"/>
  <c r="P648" i="1"/>
  <c r="O648" i="1"/>
  <c r="Q647" i="1"/>
  <c r="P647" i="1"/>
  <c r="O647" i="1"/>
  <c r="Q646" i="1"/>
  <c r="P646" i="1"/>
  <c r="O646" i="1"/>
  <c r="Q645" i="1"/>
  <c r="P645" i="1"/>
  <c r="O645" i="1"/>
  <c r="Q644" i="1"/>
  <c r="P644" i="1"/>
  <c r="O644" i="1"/>
  <c r="Q643" i="1"/>
  <c r="P643" i="1"/>
  <c r="O643" i="1"/>
  <c r="Q642" i="1"/>
  <c r="P642" i="1"/>
  <c r="O642" i="1"/>
  <c r="Q641" i="1"/>
  <c r="P641" i="1"/>
  <c r="O641" i="1"/>
  <c r="Q640" i="1"/>
  <c r="P640" i="1"/>
  <c r="O640" i="1"/>
  <c r="Q639" i="1"/>
  <c r="P639" i="1"/>
  <c r="O639" i="1"/>
  <c r="Q638" i="1"/>
  <c r="P638" i="1"/>
  <c r="O638" i="1"/>
  <c r="Q637" i="1"/>
  <c r="P637" i="1"/>
  <c r="O637" i="1"/>
  <c r="Q636" i="1"/>
  <c r="P636" i="1"/>
  <c r="O636" i="1"/>
  <c r="P635" i="1"/>
  <c r="O635" i="1"/>
  <c r="P634" i="1"/>
  <c r="O634" i="1"/>
  <c r="P633" i="1"/>
  <c r="O633" i="1"/>
  <c r="P632" i="1"/>
  <c r="O632" i="1"/>
  <c r="P631" i="1"/>
  <c r="O631" i="1"/>
  <c r="P630" i="1"/>
  <c r="O630" i="1"/>
  <c r="O629" i="1"/>
  <c r="O628" i="1"/>
  <c r="O627" i="1"/>
  <c r="O619" i="1"/>
  <c r="O618" i="1"/>
  <c r="P617" i="1"/>
  <c r="O617" i="1"/>
  <c r="P616" i="1"/>
  <c r="O616" i="1"/>
  <c r="Q615" i="1"/>
  <c r="P615" i="1"/>
  <c r="O615" i="1"/>
  <c r="Q614" i="1"/>
  <c r="P614" i="1"/>
  <c r="O614" i="1"/>
  <c r="Q613" i="1"/>
  <c r="P613" i="1"/>
  <c r="O613" i="1"/>
  <c r="Q612" i="1"/>
  <c r="P612" i="1"/>
  <c r="O612" i="1"/>
  <c r="Q611" i="1"/>
  <c r="P611" i="1"/>
  <c r="O611" i="1"/>
  <c r="Q610" i="1"/>
  <c r="P610" i="1"/>
  <c r="O610" i="1"/>
  <c r="Q609" i="1"/>
  <c r="P609" i="1"/>
  <c r="O609" i="1"/>
  <c r="V608" i="1"/>
  <c r="Q608" i="1"/>
  <c r="P608" i="1"/>
  <c r="O608" i="1"/>
  <c r="V607" i="1"/>
  <c r="Q607" i="1"/>
  <c r="P607" i="1"/>
  <c r="O607" i="1"/>
  <c r="N607" i="1"/>
  <c r="I607" i="1"/>
  <c r="V606" i="1"/>
  <c r="Q606" i="1"/>
  <c r="P606" i="1"/>
  <c r="O606" i="1"/>
  <c r="N606" i="1"/>
  <c r="I606" i="1"/>
  <c r="H606" i="1"/>
  <c r="V605" i="1"/>
  <c r="Q605" i="1"/>
  <c r="P605" i="1"/>
  <c r="O605" i="1"/>
  <c r="N605" i="1"/>
  <c r="I605" i="1"/>
  <c r="H605" i="1"/>
  <c r="V604" i="1"/>
  <c r="Q604" i="1"/>
  <c r="P604" i="1"/>
  <c r="O604" i="1"/>
  <c r="N604" i="1"/>
  <c r="I604" i="1"/>
  <c r="H604" i="1"/>
  <c r="V603" i="1"/>
  <c r="Q603" i="1"/>
  <c r="P603" i="1"/>
  <c r="O603" i="1"/>
  <c r="N603" i="1"/>
  <c r="I603" i="1"/>
  <c r="H603" i="1"/>
  <c r="V602" i="1"/>
  <c r="Q602" i="1"/>
  <c r="P602" i="1"/>
  <c r="O602" i="1"/>
  <c r="N602" i="1"/>
  <c r="I602" i="1"/>
  <c r="H602" i="1"/>
  <c r="V601" i="1"/>
  <c r="Q601" i="1"/>
  <c r="P601" i="1"/>
  <c r="O601" i="1"/>
  <c r="N601" i="1"/>
  <c r="I601" i="1"/>
  <c r="H601" i="1"/>
  <c r="V600" i="1"/>
  <c r="Q600" i="1"/>
  <c r="P600" i="1"/>
  <c r="O600" i="1"/>
  <c r="N600" i="1"/>
  <c r="I600" i="1"/>
  <c r="H600" i="1"/>
  <c r="V599" i="1"/>
  <c r="Q599" i="1"/>
  <c r="P599" i="1"/>
  <c r="O599" i="1"/>
  <c r="N599" i="1"/>
  <c r="I599" i="1"/>
  <c r="V598" i="1"/>
  <c r="Q598" i="1"/>
  <c r="P598" i="1"/>
  <c r="O598" i="1"/>
  <c r="V597" i="1"/>
  <c r="Q597" i="1"/>
  <c r="P597" i="1"/>
  <c r="O597" i="1"/>
  <c r="Q596" i="1"/>
  <c r="P596" i="1"/>
  <c r="O596" i="1"/>
  <c r="Q595" i="1"/>
  <c r="P595" i="1"/>
  <c r="O595" i="1"/>
  <c r="P594" i="1"/>
  <c r="O594" i="1"/>
  <c r="P593" i="1"/>
  <c r="O593" i="1"/>
  <c r="P592" i="1"/>
  <c r="O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O519" i="1"/>
  <c r="O518" i="1"/>
  <c r="O517" i="1"/>
  <c r="O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O499" i="1"/>
  <c r="P498" i="1"/>
  <c r="O498" i="1"/>
  <c r="P497" i="1"/>
  <c r="O497" i="1"/>
  <c r="P496" i="1"/>
  <c r="O496" i="1"/>
  <c r="P495" i="1"/>
  <c r="O495" i="1"/>
  <c r="P494" i="1"/>
  <c r="O494" i="1"/>
  <c r="P493" i="1"/>
  <c r="O493" i="1"/>
  <c r="P492" i="1"/>
  <c r="O492" i="1"/>
  <c r="P491" i="1"/>
  <c r="O491" i="1"/>
  <c r="P490" i="1"/>
  <c r="O490" i="1"/>
  <c r="P489" i="1"/>
  <c r="O489" i="1"/>
  <c r="P488" i="1"/>
  <c r="O488" i="1"/>
  <c r="P487" i="1"/>
  <c r="O487" i="1"/>
  <c r="P486" i="1"/>
  <c r="O486" i="1"/>
  <c r="P485" i="1"/>
  <c r="O485" i="1"/>
  <c r="P484" i="1"/>
  <c r="O484" i="1"/>
  <c r="V483" i="1"/>
  <c r="P483" i="1"/>
  <c r="O483" i="1"/>
  <c r="V482" i="1"/>
  <c r="P482" i="1"/>
  <c r="O482" i="1"/>
  <c r="V481" i="1"/>
  <c r="P481" i="1"/>
  <c r="O481" i="1"/>
  <c r="V480" i="1"/>
  <c r="P480" i="1"/>
  <c r="O480" i="1"/>
  <c r="V479" i="1"/>
  <c r="P479" i="1"/>
  <c r="O479" i="1"/>
  <c r="V478" i="1"/>
  <c r="P478" i="1"/>
  <c r="O478" i="1"/>
  <c r="V477" i="1"/>
  <c r="P477" i="1"/>
  <c r="O477" i="1"/>
  <c r="V476" i="1"/>
  <c r="P476" i="1"/>
  <c r="O476" i="1"/>
  <c r="V475" i="1"/>
  <c r="P475" i="1"/>
  <c r="O475" i="1"/>
  <c r="V474" i="1"/>
  <c r="P474" i="1"/>
  <c r="O474" i="1"/>
  <c r="V473" i="1"/>
  <c r="P473" i="1"/>
  <c r="O473" i="1"/>
  <c r="V472" i="1"/>
  <c r="P472" i="1"/>
  <c r="O472" i="1"/>
  <c r="P471" i="1"/>
  <c r="O471" i="1"/>
  <c r="P470" i="1"/>
  <c r="O470" i="1"/>
  <c r="P469" i="1"/>
  <c r="O469" i="1"/>
  <c r="P468" i="1"/>
  <c r="O468" i="1"/>
  <c r="P467" i="1"/>
  <c r="O467" i="1"/>
  <c r="P466" i="1"/>
  <c r="O466" i="1"/>
  <c r="P465" i="1"/>
  <c r="O465" i="1"/>
  <c r="P464" i="1"/>
  <c r="O464" i="1"/>
  <c r="P463" i="1"/>
  <c r="O463" i="1"/>
  <c r="P462" i="1"/>
  <c r="O462" i="1"/>
  <c r="P461" i="1"/>
  <c r="O461" i="1"/>
  <c r="P460" i="1"/>
  <c r="O460" i="1"/>
  <c r="P459" i="1"/>
  <c r="O459" i="1"/>
  <c r="P458" i="1"/>
  <c r="O458" i="1"/>
  <c r="P457" i="1"/>
  <c r="O457" i="1"/>
  <c r="P456" i="1"/>
  <c r="O456" i="1"/>
  <c r="P455" i="1"/>
  <c r="O455" i="1"/>
  <c r="P454" i="1"/>
  <c r="O454" i="1"/>
  <c r="P453" i="1"/>
  <c r="O453" i="1"/>
  <c r="P452" i="1"/>
  <c r="O452" i="1"/>
  <c r="P451" i="1"/>
  <c r="O451" i="1"/>
  <c r="P450" i="1"/>
  <c r="O450" i="1"/>
  <c r="P449" i="1"/>
  <c r="O449" i="1"/>
  <c r="P448" i="1"/>
  <c r="O448" i="1"/>
  <c r="P447" i="1"/>
  <c r="O447" i="1"/>
  <c r="P446" i="1"/>
  <c r="O446" i="1"/>
  <c r="P445" i="1"/>
  <c r="O445" i="1"/>
  <c r="P444" i="1"/>
  <c r="O444" i="1"/>
  <c r="P443" i="1"/>
  <c r="O443" i="1"/>
  <c r="P442" i="1"/>
  <c r="O442" i="1"/>
  <c r="P441" i="1"/>
  <c r="O441" i="1"/>
  <c r="P440" i="1"/>
  <c r="O440" i="1"/>
  <c r="P439" i="1"/>
  <c r="O439" i="1"/>
  <c r="P438" i="1"/>
  <c r="O438" i="1"/>
  <c r="P437" i="1"/>
  <c r="O437" i="1"/>
  <c r="P436" i="1"/>
  <c r="O436" i="1"/>
  <c r="O435" i="1"/>
  <c r="O434" i="1"/>
  <c r="O433" i="1"/>
  <c r="P405" i="1"/>
  <c r="O405" i="1"/>
  <c r="P404" i="1"/>
  <c r="O404" i="1"/>
  <c r="Q403" i="1"/>
  <c r="P403" i="1"/>
  <c r="O403" i="1"/>
  <c r="Q402" i="1"/>
  <c r="P402" i="1"/>
  <c r="O402" i="1"/>
  <c r="Q401" i="1"/>
  <c r="P401" i="1"/>
  <c r="O401" i="1"/>
  <c r="Q400" i="1"/>
  <c r="P400" i="1"/>
  <c r="O400" i="1"/>
  <c r="Q399" i="1"/>
  <c r="P399" i="1"/>
  <c r="O399" i="1"/>
  <c r="Q398" i="1"/>
  <c r="P398" i="1"/>
  <c r="O398" i="1"/>
  <c r="V397" i="1"/>
  <c r="Q397" i="1"/>
  <c r="P397" i="1"/>
  <c r="O397" i="1"/>
  <c r="V396" i="1"/>
  <c r="Q396" i="1"/>
  <c r="P396" i="1"/>
  <c r="O396" i="1"/>
  <c r="V395" i="1"/>
  <c r="Q395" i="1"/>
  <c r="P395" i="1"/>
  <c r="O395" i="1"/>
  <c r="N395" i="1"/>
  <c r="I395" i="1"/>
  <c r="V394" i="1"/>
  <c r="Q394" i="1"/>
  <c r="P394" i="1"/>
  <c r="O394" i="1"/>
  <c r="N394" i="1"/>
  <c r="I394" i="1"/>
  <c r="V393" i="1"/>
  <c r="Q393" i="1"/>
  <c r="P393" i="1"/>
  <c r="O393" i="1"/>
  <c r="N393" i="1"/>
  <c r="V392" i="1"/>
  <c r="Q392" i="1"/>
  <c r="P392" i="1"/>
  <c r="O392" i="1"/>
  <c r="N392" i="1"/>
  <c r="V391" i="1"/>
  <c r="Q391" i="1"/>
  <c r="P391" i="1"/>
  <c r="O391" i="1"/>
  <c r="V390" i="1"/>
  <c r="Q390" i="1"/>
  <c r="P390" i="1"/>
  <c r="O390" i="1"/>
  <c r="V389" i="1"/>
  <c r="Q389" i="1"/>
  <c r="P389" i="1"/>
  <c r="O389" i="1"/>
  <c r="V388" i="1"/>
  <c r="Q388" i="1"/>
  <c r="P388" i="1"/>
  <c r="O388" i="1"/>
  <c r="Q387" i="1"/>
  <c r="P387" i="1"/>
  <c r="O387" i="1"/>
  <c r="Q386" i="1"/>
  <c r="P386" i="1"/>
  <c r="O386" i="1"/>
  <c r="P385" i="1"/>
  <c r="O385" i="1"/>
  <c r="P384" i="1"/>
  <c r="O384" i="1"/>
  <c r="P383" i="1"/>
  <c r="O383" i="1"/>
  <c r="O382" i="1"/>
  <c r="O261" i="1"/>
  <c r="O260" i="1"/>
  <c r="O259" i="1"/>
  <c r="O258" i="1"/>
  <c r="P257" i="1"/>
  <c r="O257" i="1"/>
  <c r="Q256" i="1"/>
  <c r="P256" i="1"/>
  <c r="O256" i="1"/>
  <c r="Q255" i="1"/>
  <c r="P255" i="1"/>
  <c r="O255" i="1"/>
  <c r="Q254" i="1"/>
  <c r="P254" i="1"/>
  <c r="O254" i="1"/>
  <c r="Q253" i="1"/>
  <c r="P253" i="1"/>
  <c r="O253" i="1"/>
  <c r="Q252" i="1"/>
  <c r="P252" i="1"/>
  <c r="O252" i="1"/>
  <c r="Q251" i="1"/>
  <c r="P251" i="1"/>
  <c r="O251" i="1"/>
  <c r="Q250" i="1"/>
  <c r="P250" i="1"/>
  <c r="O250" i="1"/>
  <c r="Q249" i="1"/>
  <c r="P249" i="1"/>
  <c r="O249" i="1"/>
  <c r="Q248" i="1"/>
  <c r="P248" i="1"/>
  <c r="O248" i="1"/>
  <c r="Q247" i="1"/>
  <c r="P247" i="1"/>
  <c r="O247" i="1"/>
  <c r="Q246" i="1"/>
  <c r="P246" i="1"/>
  <c r="O246" i="1"/>
  <c r="Q245" i="1"/>
  <c r="P245" i="1"/>
  <c r="O245" i="1"/>
  <c r="Q244" i="1"/>
  <c r="P244" i="1"/>
  <c r="O244" i="1"/>
  <c r="Q243" i="1"/>
  <c r="P243" i="1"/>
  <c r="O243" i="1"/>
  <c r="Q242" i="1"/>
  <c r="P242" i="1"/>
  <c r="O242" i="1"/>
  <c r="Q241" i="1"/>
  <c r="P241" i="1"/>
  <c r="O241" i="1"/>
  <c r="Q240" i="1"/>
  <c r="P240" i="1"/>
  <c r="O240" i="1"/>
  <c r="Q239" i="1"/>
  <c r="P239" i="1"/>
  <c r="O239" i="1"/>
  <c r="Q238" i="1"/>
  <c r="P238" i="1"/>
  <c r="O238" i="1"/>
  <c r="Q237" i="1"/>
  <c r="P237" i="1"/>
  <c r="O237" i="1"/>
  <c r="Q236" i="1"/>
  <c r="P236" i="1"/>
  <c r="O236" i="1"/>
  <c r="Q235" i="1"/>
  <c r="O235" i="1"/>
  <c r="Q234" i="1"/>
  <c r="O234" i="1"/>
  <c r="O233" i="1"/>
  <c r="O217" i="1"/>
  <c r="O216" i="1"/>
  <c r="O215" i="1"/>
  <c r="O214" i="1"/>
  <c r="O213" i="1"/>
  <c r="O212" i="1"/>
  <c r="O211" i="1"/>
  <c r="O210" i="1"/>
  <c r="Q209" i="1"/>
  <c r="P209" i="1"/>
  <c r="O209" i="1"/>
  <c r="Q208" i="1"/>
  <c r="P208" i="1"/>
  <c r="O208" i="1"/>
  <c r="Q207" i="1"/>
  <c r="P207" i="1"/>
  <c r="O207" i="1"/>
  <c r="Q206" i="1"/>
  <c r="P206" i="1"/>
  <c r="O206" i="1"/>
  <c r="Q205" i="1"/>
  <c r="P205" i="1"/>
  <c r="O205" i="1"/>
  <c r="Q204" i="1"/>
  <c r="P204" i="1"/>
  <c r="O204" i="1"/>
  <c r="Q203" i="1"/>
  <c r="P203" i="1"/>
  <c r="O203" i="1"/>
  <c r="I203" i="1"/>
  <c r="Q202" i="1"/>
  <c r="P202" i="1"/>
  <c r="O202" i="1"/>
  <c r="I202" i="1"/>
  <c r="Q201" i="1"/>
  <c r="P201" i="1"/>
  <c r="O201" i="1"/>
  <c r="I201" i="1"/>
  <c r="Q200" i="1"/>
  <c r="P200" i="1"/>
  <c r="O200" i="1"/>
  <c r="I200" i="1"/>
  <c r="Q199" i="1"/>
  <c r="P199" i="1"/>
  <c r="O199" i="1"/>
  <c r="I199" i="1"/>
  <c r="Q198" i="1"/>
  <c r="P198" i="1"/>
  <c r="O198" i="1"/>
  <c r="Q197" i="1"/>
  <c r="P197" i="1"/>
  <c r="O197" i="1"/>
  <c r="Q196" i="1"/>
  <c r="P196" i="1"/>
  <c r="O196" i="1"/>
  <c r="Q195" i="1"/>
  <c r="P195" i="1"/>
  <c r="O195" i="1"/>
  <c r="Q194" i="1"/>
  <c r="P194" i="1"/>
  <c r="O194" i="1"/>
  <c r="Q193" i="1"/>
  <c r="P193" i="1"/>
  <c r="O193" i="1"/>
  <c r="Q192" i="1"/>
  <c r="P192" i="1"/>
  <c r="O192" i="1"/>
  <c r="Q191" i="1"/>
  <c r="O191" i="1"/>
  <c r="Q190" i="1"/>
  <c r="O190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89" i="1"/>
  <c r="O88" i="1"/>
  <c r="O87" i="1"/>
  <c r="O86" i="1"/>
  <c r="O85" i="1"/>
  <c r="O84" i="1"/>
  <c r="O83" i="1"/>
  <c r="O82" i="1"/>
  <c r="O81" i="1"/>
  <c r="O80" i="1"/>
  <c r="O31" i="1"/>
  <c r="O30" i="1"/>
  <c r="O29" i="1"/>
  <c r="O28" i="1"/>
  <c r="O27" i="1"/>
  <c r="O26" i="1"/>
  <c r="O25" i="1"/>
  <c r="O24" i="1"/>
  <c r="O23" i="1"/>
</calcChain>
</file>

<file path=xl/sharedStrings.xml><?xml version="1.0" encoding="utf-8"?>
<sst xmlns="http://schemas.openxmlformats.org/spreadsheetml/2006/main" count="89530" uniqueCount="88936">
  <si>
    <t>9763-20170724T164052.228276500.bin</t>
  </si>
  <si>
    <t>-668.790587108253 420.535598284898 -251.570713034577</t>
  </si>
  <si>
    <t>-700.458837931417 443.528647503372 -366.184253746996</t>
  </si>
  <si>
    <t>-712.931949685131 449.290279583348 -486.607594742639</t>
  </si>
  <si>
    <t>-715.91841596349 447.5998109116 -596.074843982327</t>
  </si>
  <si>
    <t>-710.557771197303 439.218747586804 -705.142973731132</t>
  </si>
  <si>
    <t>-694.330290291924 420.786820775745 -855.465767319696</t>
  </si>
  <si>
    <t>-654.830460181409 390.960032966732 -944.533880713099</t>
  </si>
  <si>
    <t>-688.075169452283 457.683328636696 -791.026439627368</t>
  </si>
  <si>
    <t>-637.323923068536 595.005732408695 -777.225317808514</t>
  </si>
  <si>
    <t>-615.933009144388 648.892791227352 -466.058421048122</t>
  </si>
  <si>
    <t>-431.744895748443 501.725580069265 -356.246795604585</t>
  </si>
  <si>
    <t>-714.945688881144 400.201433711818 -786.878908413602</t>
  </si>
  <si>
    <t>-780.45976990532 272.009836988092 -756.77097540813</t>
  </si>
  <si>
    <t>-795.076225761819 265.240350250557 -440.659150992108</t>
  </si>
  <si>
    <t>-541.607750637344 217.685652432713 -474.339319705231</t>
  </si>
  <si>
    <t>-619.605217071404 503.954926218198 -248.648621253249</t>
  </si>
  <si>
    <t>-633.777737842651 517.319774522596 206.629514173249</t>
  </si>
  <si>
    <t>-670.816121897596 507.006258001597 674.394766164315</t>
  </si>
  <si>
    <t>-517.480769154182 481.319941783226 756.686935009752</t>
  </si>
  <si>
    <t>-718.355036320585 336.038169875966 -254.107711721547</t>
  </si>
  <si>
    <t>-675.074622855541 264.220127601152 193.806005100637</t>
  </si>
  <si>
    <t>-753.057673809407 210.76239179957 654.190029122799</t>
  </si>
  <si>
    <t>-635.765278164703 102.528975859532 728.159799964078</t>
  </si>
  <si>
    <t>9763-20170724T164052.263115100.bin</t>
  </si>
  <si>
    <t>-668.909731913713 418.651252405462 -252.460121892113</t>
  </si>
  <si>
    <t>-700.369436741605 441.75642545916 -367.108489683907</t>
  </si>
  <si>
    <t>-712.693644472348 447.685057521844 -487.53903351345</t>
  </si>
  <si>
    <t>-715.572032757572 446.167048349264 -597.011703578575</t>
  </si>
  <si>
    <t>-710.130102648794 437.979613032259 -706.090577235667</t>
  </si>
  <si>
    <t>-693.817313997315 419.837886213676 -856.439441842146</t>
  </si>
  <si>
    <t>-654.384157169757 390.042430688939 -945.547409808859</t>
  </si>
  <si>
    <t>-687.504384784516 456.566674166178 -791.90994708909</t>
  </si>
  <si>
    <t>-636.439359291216 593.756498312959 -777.799370640269</t>
  </si>
  <si>
    <t>-615.488256577353 647.755561543649 -466.622039321797</t>
  </si>
  <si>
    <t>-431.412957270166 500.585282987275 -356.62556887721</t>
  </si>
  <si>
    <t>-714.566090485126 399.163331386205 -787.919665201048</t>
  </si>
  <si>
    <t>-780.63975849991 271.179479719371 -758.227694577305</t>
  </si>
  <si>
    <t>-795.130070054379 264.002951170461 -442.119016029544</t>
  </si>
  <si>
    <t>-542.206300934628 215.371147258833 -478.265657094383</t>
  </si>
  <si>
    <t>-618.753296263148 503.069237207725 -249.228697860071</t>
  </si>
  <si>
    <t>-634.342402242625 516.948777452643 205.987832694112</t>
  </si>
  <si>
    <t>-670.747794939734 507.517790160746 673.962008550052</t>
  </si>
  <si>
    <t>-517.710012201035 480.566528782379 756.403371839495</t>
  </si>
  <si>
    <t>-719.18569831387 333.82572765928 -255.440755369562</t>
  </si>
  <si>
    <t>-675.666893652774 258.839114738895 191.93016111954</t>
  </si>
  <si>
    <t>-753.182498271373 202.364204784501 651.846647571854</t>
  </si>
  <si>
    <t>-637.751561296038 92.6017757615953 726.488634263949</t>
  </si>
  <si>
    <t>9763-20170724T164052.331239300.bin</t>
  </si>
  <si>
    <t>-667.514956188636 416.668640323401 -254.01570285023</t>
  </si>
  <si>
    <t>-698.680632420488 439.835933612511 -368.73182019268</t>
  </si>
  <si>
    <t>-710.736200139394 445.826771664481 -489.186465120635</t>
  </si>
  <si>
    <t>-713.38773640599 444.36221878571 -598.66567895809</t>
  </si>
  <si>
    <t>-707.737756673199 436.223753100629 -707.737500834242</t>
  </si>
  <si>
    <t>-691.157472227778 418.143807372342 -858.064598250002</t>
  </si>
  <si>
    <t>-651.826366244183 388.291200547764 -947.198639132362</t>
  </si>
  <si>
    <t>-684.899606668144 454.818530211634 -793.498870674834</t>
  </si>
  <si>
    <t>-633.884098895968 591.977619776773 -779.069120091203</t>
  </si>
  <si>
    <t>-613.536926378882 646.28581069018 -467.905478841992</t>
  </si>
  <si>
    <t>-429.144568054429 499.766616992693 -357.571148702427</t>
  </si>
  <si>
    <t>-712.087842327048 397.468785000239 -789.60016634952</t>
  </si>
  <si>
    <t>-778.420018472249 269.520040381891 -760.335229139645</t>
  </si>
  <si>
    <t>-794.368920767402 258.228541497216 -444.416991195322</t>
  </si>
  <si>
    <t>-541.367626573067 211.853206427728 -482.910124029984</t>
  </si>
  <si>
    <t>-616.816723630897 501.394881873532 -250.30319523795</t>
  </si>
  <si>
    <t>-634.960762001134 515.759883320526 204.803578271787</t>
  </si>
  <si>
    <t>-670.485675994017 506.913978603626 673.2338996135</t>
  </si>
  <si>
    <t>-517.264544565569 481.488765012371 755.819331493894</t>
  </si>
  <si>
    <t>-717.834718703834 332.39817086225 -257.227671287162</t>
  </si>
  <si>
    <t>-675.407006724236 252.083829457883 189.322681261319</t>
  </si>
  <si>
    <t>-747.042984402888 185.709754285762 648.917755185058</t>
  </si>
  <si>
    <t>-629.912365578008 77.9555826671499 723.837482158194</t>
  </si>
  <si>
    <t>9763-20170724T164052.362322800.bin</t>
  </si>
  <si>
    <t>-666.479050791704 415.841686496616 -254.572730356769</t>
  </si>
  <si>
    <t>-697.665591004323 438.84906758706 -369.315371046004</t>
  </si>
  <si>
    <t>-709.728186019904 444.742403212577 -489.774110137213</t>
  </si>
  <si>
    <t>-712.386556137861 443.211275705319 -599.252193036368</t>
  </si>
  <si>
    <t>-706.747344385367 435.02437803715 -708.321112328302</t>
  </si>
  <si>
    <t>-690.189054161987 416.892660201368 -858.644344622691</t>
  </si>
  <si>
    <t>-650.873509602317 386.970500081915 -947.761848605369</t>
  </si>
  <si>
    <t>-683.96480586469 453.609435748288 -794.099361954603</t>
  </si>
  <si>
    <t>-633.166702686458 590.872102292713 -779.682137345086</t>
  </si>
  <si>
    <t>-613.213796843755 645.070175085666 -468.473685185989</t>
  </si>
  <si>
    <t>-428.538252549987 499.028078252563 -357.980802224738</t>
  </si>
  <si>
    <t>-711.066424661595 396.221304269669 -790.162549542364</t>
  </si>
  <si>
    <t>-777.175972475454 268.168274399972 -760.958682474744</t>
  </si>
  <si>
    <t>-793.706570086869 255.723038702026 -445.113645827854</t>
  </si>
  <si>
    <t>-540.836075425593 211.026510676192 -486.354269321821</t>
  </si>
  <si>
    <t>-616.155457516332 500.522733740196 -250.728368170665</t>
  </si>
  <si>
    <t>-635.192498803592 515.620128980705 204.318176668349</t>
  </si>
  <si>
    <t>-670.446625763647 507.31058275104 672.92210419677</t>
  </si>
  <si>
    <t>-517.335938018193 481.478933652022 755.586147708922</t>
  </si>
  <si>
    <t>-716.399987825051 331.383402170105 -257.749087102814</t>
  </si>
  <si>
    <t>-675.451800181663 249.576603650959 188.668372146977</t>
  </si>
  <si>
    <t>-742.57285124472 177.572969112624 648.136724063995</t>
  </si>
  <si>
    <t>-623.617836992816 71.5417721254225 722.639116753855</t>
  </si>
  <si>
    <t>9763-20170724T164052.427996300.bin</t>
  </si>
  <si>
    <t>-664.768920709231 412.251138704877 -254.796526535125</t>
  </si>
  <si>
    <t>-696.22523048967 434.445193933341 -369.625591286032</t>
  </si>
  <si>
    <t>-708.357270530689 439.835045296625 -490.101013192225</t>
  </si>
  <si>
    <t>-711.01058446366 437.973316327019 -599.574012222647</t>
  </si>
  <si>
    <t>-705.30735764295 429.575823735351 -708.623532816595</t>
  </si>
  <si>
    <t>-688.606141165889 411.271532694314 -858.910036800079</t>
  </si>
  <si>
    <t>-649.014576868019 381.359437009473 -947.908774531195</t>
  </si>
  <si>
    <t>-682.706134800201 448.182113582132 -794.445204154054</t>
  </si>
  <si>
    <t>-633.172460718354 585.901982513756 -780.214762481933</t>
  </si>
  <si>
    <t>-613.389169443847 640.605025790232 -469.084064809764</t>
  </si>
  <si>
    <t>-427.484835794961 496.340975088249 -358.31623513561</t>
  </si>
  <si>
    <t>-709.285643934643 390.559194176807 -790.380639885724</t>
  </si>
  <si>
    <t>-774.395989357278 262.004407004917 -760.912801424581</t>
  </si>
  <si>
    <t>-789.170210967455 249.328030173969 -444.990072417697</t>
  </si>
  <si>
    <t>-535.781055209403 206.661409947273 -485.183715030339</t>
  </si>
  <si>
    <t>-615.844770188674 497.290353540816 -251.184960720888</t>
  </si>
  <si>
    <t>-635.319103249934 514.041327706273 203.785241670874</t>
  </si>
  <si>
    <t>-670.361844863308 507.341168423065 672.562076637185</t>
  </si>
  <si>
    <t>-517.233379533667 481.787486295265 755.279656749767</t>
  </si>
  <si>
    <t>-713.373306963934 327.221376582147 -257.644745738081</t>
  </si>
  <si>
    <t>-676.171121117447 244.036161720001 188.845988956768</t>
  </si>
  <si>
    <t>-731.959105609427 161.595721670838 648.027496217568</t>
  </si>
  <si>
    <t>-605.771945125088 62.7977632251922 720.548391949979</t>
  </si>
  <si>
    <t>9763-20170724T164052.489659500.bin</t>
  </si>
  <si>
    <t>-663.671663334852 405.662542294275 -254.174793038595</t>
  </si>
  <si>
    <t>-695.893668221515 426.640998001866 -369.020124828345</t>
  </si>
  <si>
    <t>-708.333781192451 431.135171167941 -489.500792581384</t>
  </si>
  <si>
    <t>-711.073845692991 428.615771179563 -598.958614928624</t>
  </si>
  <si>
    <t>-705.266239213612 419.722518277685 -707.96327021833</t>
  </si>
  <si>
    <t>-688.222673692591 400.907592034627 -858.14822717568</t>
  </si>
  <si>
    <t>-648.032544842225 371.063730974099 -946.901113987281</t>
  </si>
  <si>
    <t>-682.961462007954 438.252989471031 -793.878907537036</t>
  </si>
  <si>
    <t>-635.737927510053 576.841219765073 -780.193861396756</t>
  </si>
  <si>
    <t>-615.866310291763 632.616527015802 -469.259203663017</t>
  </si>
  <si>
    <t>-427.697313226967 491.168852339319 -358.683246110523</t>
  </si>
  <si>
    <t>-708.566429072836 380.212274297204 -789.513317165939</t>
  </si>
  <si>
    <t>-771.568261909728 250.79915905676 -759.332125812116</t>
  </si>
  <si>
    <t>-784.173786410506 242.960312934602 -443.158409654001</t>
  </si>
  <si>
    <t>-529.529887312365 200.570619459306 -474.80745633268</t>
  </si>
  <si>
    <t>-616.17372408407 491.210001154852 -251.252288396736</t>
  </si>
  <si>
    <t>-635.360814861244 510.804460107461 203.61652978312</t>
  </si>
  <si>
    <t>-670.280553844203 506.902303141015 672.433458170024</t>
  </si>
  <si>
    <t>-516.853006220626 482.861563894066 755.05033271124</t>
  </si>
  <si>
    <t>-710.878848125655 319.982009127703 -256.252361684404</t>
  </si>
  <si>
    <t>-676.883080080006 238.350055351965 190.780265232564</t>
  </si>
  <si>
    <t>-719.775478233714 149.044964384414 650.038878984667</t>
  </si>
  <si>
    <t>-583.827586173191 62.3424848985146 720.354978429805</t>
  </si>
  <si>
    <t>9763-20170724T164052.525407800.bin</t>
  </si>
  <si>
    <t>-663.550663000565 401.398459511953 -253.515091352359</t>
  </si>
  <si>
    <t>-696.173316838567 421.655959329417 -368.37671836532</t>
  </si>
  <si>
    <t>-708.747718536895 425.577907622928 -488.863527241161</t>
  </si>
  <si>
    <t>-711.493212017381 422.620600139188 -598.310103054896</t>
  </si>
  <si>
    <t>-705.573394265457 413.378579769938 -707.279864173874</t>
  </si>
  <si>
    <t>-688.25039373995 394.181532963641 -857.384495130851</t>
  </si>
  <si>
    <t>-647.678455243624 364.394072844414 -945.982390559406</t>
  </si>
  <si>
    <t>-683.404083922692 431.815080642592 -793.250541950553</t>
  </si>
  <si>
    <t>-637.575103097711 570.909656063987 -779.963481670254</t>
  </si>
  <si>
    <t>-617.817014780316 627.548008018929 -469.177514888682</t>
  </si>
  <si>
    <t>-428.174319849436 488.109391968833 -358.567453908113</t>
  </si>
  <si>
    <t>-708.42648612635 373.536188047947 -788.68506546934</t>
  </si>
  <si>
    <t>-770.195230604528 243.599547830305 -758.186331119772</t>
  </si>
  <si>
    <t>-782.034033946072 238.583074565119 -441.925523433223</t>
  </si>
  <si>
    <t>-526.50133273178 196.867196245399 -466.519929968347</t>
  </si>
  <si>
    <t>-616.709750204192 487.410607309828 -251.145938338812</t>
  </si>
  <si>
    <t>-635.363055967621 508.926498982576 203.658176926327</t>
  </si>
  <si>
    <t>-670.331934416967 507.258735808912 672.412173031701</t>
  </si>
  <si>
    <t>-516.944636620044 482.778665651714 754.974695306139</t>
  </si>
  <si>
    <t>-710.065035988908 315.309473253519 -255.11145271909</t>
  </si>
  <si>
    <t>-677.046216123941 236.009958740904 192.413975691403</t>
  </si>
  <si>
    <t>-713.724976455957 145.329858776493 652.009161734533</t>
  </si>
  <si>
    <t>-572.232607824664 67.0017386889798 721.205412369672</t>
  </si>
  <si>
    <t>9763-20170724T164052.591580300.bin</t>
  </si>
  <si>
    <t>-663.885523265635 390.313889561845 -251.942925204117</t>
  </si>
  <si>
    <t>-697.007182340124 408.906091530075 -366.943295990164</t>
  </si>
  <si>
    <t>-709.695982852757 411.488590129565 -487.454254783113</t>
  </si>
  <si>
    <t>-712.375957020188 407.496891458967 -596.869682095579</t>
  </si>
  <si>
    <t>-706.217942985499 397.41950539353 -705.752109669609</t>
  </si>
  <si>
    <t>-688.381732847454 377.289436906301 -855.67424491977</t>
  </si>
  <si>
    <t>-646.9659378978 347.619327152947 -943.920476183012</t>
  </si>
  <si>
    <t>-684.420583794983 415.588862159296 -791.874689140179</t>
  </si>
  <si>
    <t>-641.819552231129 555.802852300478 -779.66960466892</t>
  </si>
  <si>
    <t>-622.928227544912 615.32133877641 -469.368278692655</t>
  </si>
  <si>
    <t>-429.90574683975 481.212473639999 -358.016759393768</t>
  </si>
  <si>
    <t>-708.126797573584 356.803884790564 -786.801952908206</t>
  </si>
  <si>
    <t>-766.961140901637 225.801219738114 -755.219741866631</t>
  </si>
  <si>
    <t>-778.106837550137 226.861435531854 -438.895810975649</t>
  </si>
  <si>
    <t>-521.168031404468 189.881169622828 -454.926212872315</t>
  </si>
  <si>
    <t>-618.423183888263 477.143033405821 -250.714819785483</t>
  </si>
  <si>
    <t>-635.216744447266 503.324059634807 203.917145110611</t>
  </si>
  <si>
    <t>-670.343002291518 507.079954547995 672.507384091199</t>
  </si>
  <si>
    <t>-516.784604635435 482.948771007512 754.854340523601</t>
  </si>
  <si>
    <t>-708.837533800366 303.591587889203 -252.633714039876</t>
  </si>
  <si>
    <t>-676.169305290918 231.539321004168 196.141290513727</t>
  </si>
  <si>
    <t>-706.660079190537 143.30332998014 656.42105297375</t>
  </si>
  <si>
    <t>-557.32871943854 82.5812978841065 726.823426805233</t>
  </si>
  <si>
    <t>9763-20170724T164052.626193200.bin</t>
  </si>
  <si>
    <t>-664.100038510077 383.549950735831 -251.246027488393</t>
  </si>
  <si>
    <t>-697.285206335032 401.346436749747 -366.354021605609</t>
  </si>
  <si>
    <t>-709.915851539887 403.245491234198 -486.883805748125</t>
  </si>
  <si>
    <t>-712.490643914437 398.701575336026 -596.280141764289</t>
  </si>
  <si>
    <t>-706.174198408449 388.147411179052 -705.108326744949</t>
  </si>
  <si>
    <t>-688.06196540419 367.442196524269 -854.91903563617</t>
  </si>
  <si>
    <t>-646.177519433867 337.792339331672 -942.950603841091</t>
  </si>
  <si>
    <t>-684.585707646974 406.126148395274 -791.323419282112</t>
  </si>
  <si>
    <t>-643.742748584993 546.888293374671 -779.734828392711</t>
  </si>
  <si>
    <t>-625.291367611211 608.279843933177 -469.772240564278</t>
  </si>
  <si>
    <t>-430.550300023536 477.467071428543 -357.495818137049</t>
  </si>
  <si>
    <t>-707.566428110446 347.081072950537 -785.941383242758</t>
  </si>
  <si>
    <t>-764.735144856084 215.489102722679 -753.634345411852</t>
  </si>
  <si>
    <t>-775.579258163018 219.996524212114 -437.330209435633</t>
  </si>
  <si>
    <t>-518.241991120118 185.399236262933 -452.250972123355</t>
  </si>
  <si>
    <t>-619.431693756942 470.786698255854 -250.370948252039</t>
  </si>
  <si>
    <t>-635.102759847165 499.54082854349 204.14559992189</t>
  </si>
  <si>
    <t>-670.386934346438 507.027607352443 672.618335058588</t>
  </si>
  <si>
    <t>-516.756172880324 482.84265311476 754.814355934744</t>
  </si>
  <si>
    <t>-708.272920663163 296.394138111393 -251.79059055727</t>
  </si>
  <si>
    <t>-676.025517739405 228.926729905522 197.726882185239</t>
  </si>
  <si>
    <t>-704.656189230265 142.930898844514 658.408353633462</t>
  </si>
  <si>
    <t>-553.595891181677 89.2241959561228 730.795363364313</t>
  </si>
  <si>
    <t>9763-20170724T164052.691368100.bin</t>
  </si>
  <si>
    <t>-663.864554891154 367.034166073911 -250.743549711339</t>
  </si>
  <si>
    <t>-696.112860307513 383.650682595369 -366.293249557134</t>
  </si>
  <si>
    <t>-708.13989938066 384.394864668384 -486.897427043614</t>
  </si>
  <si>
    <t>-710.314169238405 378.839389656164 -596.255817521201</t>
  </si>
  <si>
    <t>-703.745913506427 367.311934302712 -704.970318813581</t>
  </si>
  <si>
    <t>-685.438350728055 345.299421383564 -854.570712339653</t>
  </si>
  <si>
    <t>-642.73356648235 315.384865453444 -942.117309326188</t>
  </si>
  <si>
    <t>-682.790177016059 384.803763649845 -791.441350743201</t>
  </si>
  <si>
    <t>-645.267943683524 526.682403548474 -781.540617802789</t>
  </si>
  <si>
    <t>-628.532549155154 591.229741879737 -472.122198416065</t>
  </si>
  <si>
    <t>-430.289284829977 468.072159920324 -357.344742675094</t>
  </si>
  <si>
    <t>-704.287607256855 325.274774659506 -785.312973204337</t>
  </si>
  <si>
    <t>-758.278298799605 192.80157256687 -751.347669158045</t>
  </si>
  <si>
    <t>-770.139821494373 201.513130443706 -435.167917583588</t>
  </si>
  <si>
    <t>-511.726204115836 177.301080585095 -451.847335091982</t>
  </si>
  <si>
    <t>-621.435557090072 455.231729295352 -249.51592228898</t>
  </si>
  <si>
    <t>-633.166064794668 489.450333947587 204.740773800971</t>
  </si>
  <si>
    <t>-670.526873920777 506.088400341574 673.035658907603</t>
  </si>
  <si>
    <t>-516.311446054191 484.189526751587 754.776447318282</t>
  </si>
  <si>
    <t>-705.546454950685 278.860435757249 -251.609206127616</t>
  </si>
  <si>
    <t>-676.270284319439 217.2396873727 198.949868049907</t>
  </si>
  <si>
    <t>-704.280824248825 138.690938628228 660.926575497164</t>
  </si>
  <si>
    <t>-554.43788051226 90.1322074831006 739.237795208047</t>
  </si>
  <si>
    <t>9763-20170724T164052.726991900.bin</t>
  </si>
  <si>
    <t>-663.874349968321 357.782469358527 -250.27983294744</t>
  </si>
  <si>
    <t>-695.629617394706 373.661089573087 -366.069566150134</t>
  </si>
  <si>
    <t>-707.354681105091 373.715135317131 -486.705812537845</t>
  </si>
  <si>
    <t>-709.344710682251 367.559845677618 -596.035593775638</t>
  </si>
  <si>
    <t>-702.686202676285 355.454910476902 -704.681603823266</t>
  </si>
  <si>
    <t>-684.353252182762 332.661321589657 -854.161917584989</t>
  </si>
  <si>
    <t>-641.36820834879 302.498944312267 -941.48610034515</t>
  </si>
  <si>
    <t>-682.107153482719 372.625983625233 -791.307339505276</t>
  </si>
  <si>
    <t>-646.113382152227 514.921217129867 -782.226089446546</t>
  </si>
  <si>
    <t>-630.364019322484 581.408243930369 -473.166829147503</t>
  </si>
  <si>
    <t>-430.423977713795 462.037703568321 -357.336284641715</t>
  </si>
  <si>
    <t>-702.822895245292 312.867526262392 -784.735774960245</t>
  </si>
  <si>
    <t>-754.948716525275 179.855295528262 -749.948757757044</t>
  </si>
  <si>
    <t>-767.736177523006 190.325317691782 -433.858386443447</t>
  </si>
  <si>
    <t>-508.841996743549 172.955550535127 -451.58264187041</t>
  </si>
  <si>
    <t>-622.713848745236 446.531833670133 -248.834292438354</t>
  </si>
  <si>
    <t>-631.900623086 484.084802296033 205.217603945591</t>
  </si>
  <si>
    <t>-670.704625765504 506.07399256112 673.243889362458</t>
  </si>
  <si>
    <t>-516.43989249278 483.85474629532 754.80496701729</t>
  </si>
  <si>
    <t>-704.649658173089 268.845104302679 -251.270199500705</t>
  </si>
  <si>
    <t>-677.137329802106 211.427872570662 199.954830767852</t>
  </si>
  <si>
    <t>-706.414037885584 137.204410512942 662.781472016257</t>
  </si>
  <si>
    <t>-556.84814455432 90.2203282153015 742.569115963217</t>
  </si>
  <si>
    <t>9763-20170724T164052.792167600.bin</t>
  </si>
  <si>
    <t>-662.750223437606 336.967848030648 -249.790211092487</t>
  </si>
  <si>
    <t>-694.510033806775 352.474294617413 -365.629224749339</t>
  </si>
  <si>
    <t>-706.199836364708 351.759383341026 -486.266625029189</t>
  </si>
  <si>
    <t>-708.145899763276 344.745060624435 -595.54557110389</t>
  </si>
  <si>
    <t>-701.437762957942 331.611757776465 -704.069121661956</t>
  </si>
  <si>
    <t>-683.035797697684 307.211196653069 -853.286948632752</t>
  </si>
  <si>
    <t>-639.506139579933 276.587370847441 -940.179655322834</t>
  </si>
  <si>
    <t>-681.665021362476 348.112350842008 -791.012337834104</t>
  </si>
  <si>
    <t>-649.157673472972 491.344910550894 -783.348291701207</t>
  </si>
  <si>
    <t>-634.276233449328 562.670396766423 -475.32641346377</t>
  </si>
  <si>
    <t>-431.32748555739 450.62999339104 -357.424903588438</t>
  </si>
  <si>
    <t>-700.691157130849 287.902989515327 -783.513066014318</t>
  </si>
  <si>
    <t>-749.18897946229 153.964799911001 -746.933230713695</t>
  </si>
  <si>
    <t>-759.876208710892 169.11170639842 -430.954545266834</t>
  </si>
  <si>
    <t>-500.577524776215 159.566379525998 -448.706662023501</t>
  </si>
  <si>
    <t>-624.899190541487 427.03904529289 -247.13381068147</t>
  </si>
  <si>
    <t>-627.25922394403 470.761615615721 206.452382370482</t>
  </si>
  <si>
    <t>-671.037643273005 504.111937185702 673.897835257896</t>
  </si>
  <si>
    <t>-516.179687620191 484.188816653537 754.92616403636</t>
  </si>
  <si>
    <t>-700.347501900769 247.175517160794 -251.612760458042</t>
  </si>
  <si>
    <t>-678.951392511473 200.550984764843 201.185200032028</t>
  </si>
  <si>
    <t>-707.402814551072 136.193577144262 664.920092503697</t>
  </si>
  <si>
    <t>-557.447724025595 90.1092717612071 744.501682861992</t>
  </si>
  <si>
    <t>9763-20170724T164052.822758100.bin</t>
  </si>
  <si>
    <t>-662.810143236951 327.05272053588 -249.106581581945</t>
  </si>
  <si>
    <t>-693.871369888373 342.438309780629 -365.150937735149</t>
  </si>
  <si>
    <t>-705.160010378144 341.345998113029 -485.823809906687</t>
  </si>
  <si>
    <t>-706.874989431934 333.881432924524 -595.076746990078</t>
  </si>
  <si>
    <t>-700.072732306523 320.182020129277 -703.524399432679</t>
  </si>
  <si>
    <t>-681.685403859677 294.869338085856 -852.59213530547</t>
  </si>
  <si>
    <t>-637.90551508781 264.004496385603 -939.273396192324</t>
  </si>
  <si>
    <t>-680.746150943329 336.275595378022 -790.644054913445</t>
  </si>
  <si>
    <t>-650.021918514811 479.938583772115 -783.917144321222</t>
  </si>
  <si>
    <t>-636.030939498628 553.346976108774 -476.343366645916</t>
  </si>
  <si>
    <t>-431.595444116838 445.219092531218 -357.362010910675</t>
  </si>
  <si>
    <t>-698.89631626076 275.863210462904 -782.624407819274</t>
  </si>
  <si>
    <t>-745.46925013242 141.529263696474 -745.096620648679</t>
  </si>
  <si>
    <t>-755.628409322782 158.084587573811 -429.171136397459</t>
  </si>
  <si>
    <t>-496.176194305262 153.047470447168 -446.52746728697</t>
  </si>
  <si>
    <t>-626.722178387201 417.652175972639 -245.652439556292</t>
  </si>
  <si>
    <t>-623.925400072311 464.481290978676 207.621032046768</t>
  </si>
  <si>
    <t>-671.660676393444 503.643836568865 674.648725075585</t>
  </si>
  <si>
    <t>-516.652457727509 483.276719921339 755.278486033653</t>
  </si>
  <si>
    <t>-698.440727837561 236.822415514143 -251.735764150934</t>
  </si>
  <si>
    <t>-680.967501047828 196.070470664228 201.79657094793</t>
  </si>
  <si>
    <t>-707.475712103892 136.836007968257 666.150417134687</t>
  </si>
  <si>
    <t>-557.065015771408 90.9579411698055 744.987873932802</t>
  </si>
  <si>
    <t>9763-20170724T164052.861869000.bin</t>
  </si>
  <si>
    <t>-663.042366695344 317.235060952298 -247.932052299402</t>
  </si>
  <si>
    <t>-693.114923229661 332.437012583144 -364.260608848164</t>
  </si>
  <si>
    <t>-703.766255943907 330.905889059437 -484.986701542644</t>
  </si>
  <si>
    <t>-705.061268086816 322.938232296769 -594.209775909622</t>
  </si>
  <si>
    <t>-698.001467117673 308.623892783216 -702.561612702846</t>
  </si>
  <si>
    <t>-679.428844200451 282.336155883009 -851.437423107462</t>
  </si>
  <si>
    <t>-635.352746723479 251.258312309183 -937.892301118787</t>
  </si>
  <si>
    <t>-679.020075099267 324.268850666173 -789.838716244553</t>
  </si>
  <si>
    <t>-650.089166429826 468.317329692648 -784.099414445311</t>
  </si>
  <si>
    <t>-637.098016544444 544.135914416898 -477.066853402333</t>
  </si>
  <si>
    <t>-431.255648392162 439.824747765268 -357.107919265779</t>
  </si>
  <si>
    <t>-696.273222202479 263.666495406646 -781.290217865096</t>
  </si>
  <si>
    <t>-740.83142634325 128.879451642197 -742.910542164019</t>
  </si>
  <si>
    <t>-751.539928724462 147.171443576153 -427.098916818597</t>
  </si>
  <si>
    <t>-491.993111565908 146.507059987021 -443.744854931288</t>
  </si>
  <si>
    <t>-628.989676974301 408.108378316177 -243.545442246591</t>
  </si>
  <si>
    <t>-619.591112268721 458.079624168421 209.30352959139</t>
  </si>
  <si>
    <t>-672.373331255518 502.103654550105 675.715700460144</t>
  </si>
  <si>
    <t>-517.01845004741 482.42002852221 755.846374011644</t>
  </si>
  <si>
    <t>-696.670362014481 226.564682649152 -251.427718058634</t>
  </si>
  <si>
    <t>-683.54060378824 191.12094446761 202.696839758823</t>
  </si>
  <si>
    <t>-707.722816266728 137.101249166322 667.772828428783</t>
  </si>
  <si>
    <t>-556.922587423091 91.1594045178424 745.825102943239</t>
  </si>
  <si>
    <t>9763-20170724T164052.924584800.bin</t>
  </si>
  <si>
    <t>-663.7348370402 297.908275187194 -244.094758039198</t>
  </si>
  <si>
    <t>-691.926989447898 312.34244320225 -360.990769013826</t>
  </si>
  <si>
    <t>-701.257539380543 309.732074894315 -481.807653639437</t>
  </si>
  <si>
    <t>-701.614643528499 300.662671938509 -590.951811056897</t>
  </si>
  <si>
    <t>-693.887543254058 285.111957443925 -699.087485975632</t>
  </si>
  <si>
    <t>-674.677733436436 256.959634515243 -847.540876765169</t>
  </si>
  <si>
    <t>-629.896962460156 225.611246235644 -933.534823078899</t>
  </si>
  <si>
    <t>-675.479675794297 299.890971733492 -786.638026038646</t>
  </si>
  <si>
    <t>-650.518688366657 444.731188560906 -782.828311453788</t>
  </si>
  <si>
    <t>-639.044558274963 526.135874416169 -477.168733163886</t>
  </si>
  <si>
    <t>-430.709557466053 428.839793075343 -355.628347607033</t>
  </si>
  <si>
    <t>-690.875248645154 238.941365827186 -777.07186418486</t>
  </si>
  <si>
    <t>-731.689241052098 103.458101264358 -737.062132554402</t>
  </si>
  <si>
    <t>-744.363178565671 126.189639802472 -421.611912152278</t>
  </si>
  <si>
    <t>-484.772153785384 132.522842886799 -436.255519068717</t>
  </si>
  <si>
    <t>-633.998381459472 390.512312669765 -238.321624932312</t>
  </si>
  <si>
    <t>-607.417223092023 444.228463875747 213.414609003581</t>
  </si>
  <si>
    <t>-673.647753285354 498.804405895746 677.508997224961</t>
  </si>
  <si>
    <t>-517.601677868022 481.104877640431 756.754554918138</t>
  </si>
  <si>
    <t>-693.456135515547 205.036583262234 -248.930316491187</t>
  </si>
  <si>
    <t>-689.184008996391 180.075758254131 206.060220420364</t>
  </si>
  <si>
    <t>-708.483945347155 136.02750357045 672.054196757368</t>
  </si>
  <si>
    <t>-555.744922147927 93.8430669520514 748.439798323252</t>
  </si>
  <si>
    <t>9763-20170724T164052.993770300.bin</t>
  </si>
  <si>
    <t>-666.404013082067 279.339753396577 -239.539061464458</t>
  </si>
  <si>
    <t>-693.431452204228 293.101168909885 -356.790702338278</t>
  </si>
  <si>
    <t>-701.694633400983 289.599139767186 -477.662458398059</t>
  </si>
  <si>
    <t>-701.155924430285 279.629908599861 -586.727613976459</t>
  </si>
  <si>
    <t>-692.620493389943 263.075643204037 -694.653218056008</t>
  </si>
  <si>
    <t>-672.393220476134 233.414293268035 -842.677077887498</t>
  </si>
  <si>
    <t>-626.759967579939 202.002756850805 -928.198449876489</t>
  </si>
  <si>
    <t>-674.532624518295 277.155212064414 -782.385530981526</t>
  </si>
  <si>
    <t>-653.142619016497 422.648360231138 -780.317044040799</t>
  </si>
  <si>
    <t>-643.895984134292 509.285736882446 -476.023386336491</t>
  </si>
  <si>
    <t>-433.176133643005 419.331947509065 -352.948167853566</t>
  </si>
  <si>
    <t>-688.153681527645 215.921786654822 -771.976781474335</t>
  </si>
  <si>
    <t>-725.603473266503 79.9671932742559 -730.341423611297</t>
  </si>
  <si>
    <t>-739.195044902785 107.374234904957 -415.30133455533</t>
  </si>
  <si>
    <t>-479.646940258859 119.737871005368 -426.435852901954</t>
  </si>
  <si>
    <t>-641.964099891734 373.432937735447 -232.286898940751</t>
  </si>
  <si>
    <t>-588.867178439259 432.343906996069 216.453494391359</t>
  </si>
  <si>
    <t>-674.594185577185 495.768071892389 676.439144058994</t>
  </si>
  <si>
    <t>-518.71635416215 476.745115042112 755.709123954975</t>
  </si>
  <si>
    <t>-691.346923651426 184.677454930297 -245.4191219153</t>
  </si>
  <si>
    <t>-696.142940420455 169.634307914427 210.00201862407</t>
  </si>
  <si>
    <t>-709.259425771594 136.415689390292 676.237217563662</t>
  </si>
  <si>
    <t>-555.187836369007 97.10047899771 751.468674238211</t>
  </si>
  <si>
    <t>9763-20170724T164053.024870800.bin</t>
  </si>
  <si>
    <t>-668.395019224753 269.853466317476 -236.842731231075</t>
  </si>
  <si>
    <t>-694.560516454927 283.3917168203 -354.315693115951</t>
  </si>
  <si>
    <t>-702.127711452943 279.471245904037 -475.220369470142</t>
  </si>
  <si>
    <t>-701.040252384212 269.045177579627 -584.238443631508</t>
  </si>
  <si>
    <t>-692.043854520002 251.952526855024 -692.042753622127</t>
  </si>
  <si>
    <t>-671.273029451874 221.456764086289 -839.821607424108</t>
  </si>
  <si>
    <t>-625.250521154998 190.034467547717 -925.130160958046</t>
  </si>
  <si>
    <t>-674.109585790822 265.624583267634 -779.870935954767</t>
  </si>
  <si>
    <t>-654.867610628644 411.422839079412 -778.785109103169</t>
  </si>
  <si>
    <t>-646.321470329589 500.382078337789 -475.141404110006</t>
  </si>
  <si>
    <t>-434.432538704521 414.151507484941 -351.410104084288</t>
  </si>
  <si>
    <t>-686.817354975992 204.275792649617 -768.997059880526</t>
  </si>
  <si>
    <t>-722.450374453631 68.0421354746622 -726.641666352811</t>
  </si>
  <si>
    <t>-736.644065209731 97.5963566352604 -411.822213766822</t>
  </si>
  <si>
    <t>-477.184906011978 112.919840045026 -421.212834324061</t>
  </si>
  <si>
    <t>-645.67847197069 364.572449247928 -229.167965192211</t>
  </si>
  <si>
    <t>-579.678487836474 427.764302598892 217.271882742252</t>
  </si>
  <si>
    <t>-674.604916735202 494.375686283221 675.103508174134</t>
  </si>
  <si>
    <t>-519.059074556649 475.309849834897 755.012823546512</t>
  </si>
  <si>
    <t>-691.209931772875 174.597594237898 -243.408409571008</t>
  </si>
  <si>
    <t>-699.733915033393 163.720199910816 212.076671589536</t>
  </si>
  <si>
    <t>-709.536523717294 136.701955054463 678.56978419606</t>
  </si>
  <si>
    <t>-554.540664483938 100.450728829333 753.440583801787</t>
  </si>
  <si>
    <t>9763-20170724T164053.093052100.bin</t>
  </si>
  <si>
    <t>-670.763461478826 252.753545250547 -232.285499809415</t>
  </si>
  <si>
    <t>-695.329519333184 266.431831844626 -350.087055934393</t>
  </si>
  <si>
    <t>-701.795545502665 261.909393897019 -471.034574774202</t>
  </si>
  <si>
    <t>-699.916427775489 250.65255865818 -579.959353323092</t>
  </si>
  <si>
    <t>-690.332962664368 232.448654843836 -687.530769252554</t>
  </si>
  <si>
    <t>-668.958938926958 200.12528431025 -834.83450281023</t>
  </si>
  <si>
    <t>-622.40512720411 168.464579402526 -919.765799069104</t>
  </si>
  <si>
    <t>-672.991375110853 245.182541829347 -775.618714868265</t>
  </si>
  <si>
    <t>-658.304966607542 391.499200767383 -776.763517219205</t>
  </si>
  <si>
    <t>-651.224306045062 482.833671911412 -473.788078176692</t>
  </si>
  <si>
    <t>-437.086645468882 403.972669735517 -349.016109479988</t>
  </si>
  <si>
    <t>-683.84116788317 183.672187194606 -763.695678950569</t>
  </si>
  <si>
    <t>-715.382260005281 47.1806402209974 -719.059739798866</t>
  </si>
  <si>
    <t>-732.027588423391 80.936406502228 -404.783301972416</t>
  </si>
  <si>
    <t>-473.326396409856 104.568938913688 -417.323557996849</t>
  </si>
  <si>
    <t>-649.872748560054 349.202371888851 -224.776284339644</t>
  </si>
  <si>
    <t>-570.60281035605 418.709714548066 218.555040559661</t>
  </si>
  <si>
    <t>-674.551193843436 491.819437575038 673.023527637279</t>
  </si>
  <si>
    <t>-519.587902610249 473.383584158069 754.202339139593</t>
  </si>
  <si>
    <t>-691.230883605139 156.517706426267 -239.867426781058</t>
  </si>
  <si>
    <t>-705.57247720823 151.982921235284 215.579044946431</t>
  </si>
  <si>
    <t>-710.23444566249 136.235215895223 682.751569262643</t>
  </si>
  <si>
    <t>-553.676064073022 107.006670164855 757.442107276123</t>
  </si>
  <si>
    <t>9763-20170724T164053.125218600.bin</t>
  </si>
  <si>
    <t>-670.683280706574 245.378943305112 -231.193928519081</t>
  </si>
  <si>
    <t>-694.437570215965 259.037736270058 -349.164309926285</t>
  </si>
  <si>
    <t>-700.348115414519 254.1510184339 -470.126011207002</t>
  </si>
  <si>
    <t>-698.059126496167 242.445833915764 -578.995641701022</t>
  </si>
  <si>
    <t>-688.151121877225 223.686164350993 -686.442160493639</t>
  </si>
  <si>
    <t>-666.407938270781 190.491228717047 -833.497797151411</t>
  </si>
  <si>
    <t>-619.616004305124 158.616957004216 -918.218016783144</t>
  </si>
  <si>
    <t>-671.062701331021 235.961641186014 -774.644468298434</t>
  </si>
  <si>
    <t>-658.747119029103 382.485149723455 -776.990470132785</t>
  </si>
  <si>
    <t>-652.294964873372 474.076840952038 -474.078766581729</t>
  </si>
  <si>
    <t>-437.157150396204 398.232424295061 -349.157096278435</t>
  </si>
  <si>
    <t>-680.994567921381 174.396324185205 -762.215789956206</t>
  </si>
  <si>
    <t>-710.591009609318 37.8050977791683 -716.513848602578</t>
  </si>
  <si>
    <t>-729.058410085894 74.223821028318 -402.636817932589</t>
  </si>
  <si>
    <t>-470.814100208496 100.35941474002 -419.033778045319</t>
  </si>
  <si>
    <t>-650.702812744873 342.04914420447 -223.600213927536</t>
  </si>
  <si>
    <t>-569.404944301108 414.247509341133 218.933189654541</t>
  </si>
  <si>
    <t>-674.438158314612 491.012362576512 672.372568337889</t>
  </si>
  <si>
    <t>-519.768915724346 472.181451204969 754.0202019881</t>
  </si>
  <si>
    <t>-690.486761038647 148.736890267241 -238.694020645224</t>
  </si>
  <si>
    <t>-706.827200406666 146.53619177187 216.70233111447</t>
  </si>
  <si>
    <t>-710.585217969992 135.47339958762 684.426401771916</t>
  </si>
  <si>
    <t>-553.777356379103 108.367703250239 759.393529170885</t>
  </si>
  <si>
    <t>9763-20170724T164053.189391300.bin</t>
  </si>
  <si>
    <t>-669.657897504855 232.294086897736 -229.934894456181</t>
  </si>
  <si>
    <t>-691.767911917667 245.00527382999 -348.329905468967</t>
  </si>
  <si>
    <t>-696.469095937413 239.079569343076 -469.298359834179</t>
  </si>
  <si>
    <t>-693.251562252677 226.439506670943 -578.039915379405</t>
  </si>
  <si>
    <t>-682.569806871718 206.768958564602 -685.249071329661</t>
  </si>
  <si>
    <t>-659.901136826911 172.351298526777 -831.883350936879</t>
  </si>
  <si>
    <t>-612.649286040884 139.944521721733 -916.145041159678</t>
  </si>
  <si>
    <t>-665.704086798155 218.39705815512 -773.581986143883</t>
  </si>
  <si>
    <t>-657.389795003915 365.110168960795 -778.052542115187</t>
  </si>
  <si>
    <t>-653.880045943376 455.605605214027 -474.763111701408</t>
  </si>
  <si>
    <t>-436.522909493877 385.066305157815 -350.577299663787</t>
  </si>
  <si>
    <t>-674.15856160901 156.763018468308 -760.422394072893</t>
  </si>
  <si>
    <t>-700.895557758303 19.9769625165434 -713.524524307799</t>
  </si>
  <si>
    <t>-724.712610577286 61.1269645167372 -400.593711350848</t>
  </si>
  <si>
    <t>-467.986251026716 92.8888903212992 -427.515972632512</t>
  </si>
  <si>
    <t>-651.227092417008 328.643812857396 -223.011438988346</t>
  </si>
  <si>
    <t>-569.241756135986 404.521165264179 218.778836509206</t>
  </si>
  <si>
    <t>-672.416319563139 487.247370870056 670.61428636333</t>
  </si>
  <si>
    <t>-518.328246840469 471.344977219622 753.965946571485</t>
  </si>
  <si>
    <t>-688.060631113392 135.488596513723 -236.700976299512</t>
  </si>
  <si>
    <t>-706.73440604044 138.157161124471 218.603179192933</t>
  </si>
  <si>
    <t>-710.918748054176 134.935400442628 687.367058516379</t>
  </si>
  <si>
    <t>-553.819571836133 110.829218515181 762.747931304886</t>
  </si>
  <si>
    <t>9763-20170724T164053.227186200.bin</t>
  </si>
  <si>
    <t>-667.271446576163 226.613116762121 -230.328002805989</t>
  </si>
  <si>
    <t>-688.965321789717 238.7927587901 -348.855801134732</t>
  </si>
  <si>
    <t>-693.274440682042 232.443619322446 -469.817232846688</t>
  </si>
  <si>
    <t>-689.71529541609 219.474760203323 -578.509427515307</t>
  </si>
  <si>
    <t>-678.705741013642 199.533241953293 -685.635452162381</t>
  </si>
  <si>
    <t>-655.595963983039 164.802339306315 -832.126726647682</t>
  </si>
  <si>
    <t>-608.093155695838 132.150883263658 -916.152592984178</t>
  </si>
  <si>
    <t>-661.823178381536 210.996205076551 -773.986672398164</t>
  </si>
  <si>
    <t>-654.53829891803 357.749819717551 -779.096198211985</t>
  </si>
  <si>
    <t>-652.969255919003 448.046085230058 -475.731282354697</t>
  </si>
  <si>
    <t>-434.650447351978 380.730849326003 -351.44274120301</t>
  </si>
  <si>
    <t>-669.819498124127 149.343224038719 -760.631131414478</t>
  </si>
  <si>
    <t>-696.106576071915 12.5481297753921 -713.525292921612</t>
  </si>
  <si>
    <t>-721.673499304029 55.3625959013116 -400.956151061879</t>
  </si>
  <si>
    <t>-465.672700017593 89.2682220507671 -431.87627958971</t>
  </si>
  <si>
    <t>-648.19356793417 322.551598249645 -223.962901544041</t>
  </si>
  <si>
    <t>-567.038107736423 399.52613329262 217.790916895241</t>
  </si>
  <si>
    <t>-668.343283653368 483.956446884414 669.612271816813</t>
  </si>
  <si>
    <t>-514.578459559514 470.193229266955 753.935890752843</t>
  </si>
  <si>
    <t>-686.330256418675 130.386798084962 -236.471765889113</t>
  </si>
  <si>
    <t>-704.375202407635 135.10913888649 218.841102390788</t>
  </si>
  <si>
    <t>-711.001928579371 134.88618006482 687.909321178957</t>
  </si>
  <si>
    <t>-553.934961376086 110.62580079485 763.307773386371</t>
  </si>
  <si>
    <t>9763-20170724T164053.291356500.bin</t>
  </si>
  <si>
    <t>-661.649881938452 217.600646880346 -231.024738957699</t>
  </si>
  <si>
    <t>-682.860052773589 228.826315245019 -349.73412622763</t>
  </si>
  <si>
    <t>-686.633492584875 221.685356621128 -470.669409979694</t>
  </si>
  <si>
    <t>-682.590210381383 208.067430695147 -579.265298056498</t>
  </si>
  <si>
    <t>-671.108514358667 187.539559584089 -686.230761031378</t>
  </si>
  <si>
    <t>-647.364937944836 152.055124500284 -832.439882736917</t>
  </si>
  <si>
    <t>-599.494375557012 118.740439616515 -915.995309863384</t>
  </si>
  <si>
    <t>-654.11770951097 198.571150505525 -774.616163459608</t>
  </si>
  <si>
    <t>-647.579850364447 345.383129480036 -780.750180946055</t>
  </si>
  <si>
    <t>-649.146757693102 435.789396853585 -477.418025664857</t>
  </si>
  <si>
    <t>-430.285820586351 371.788827159551 -352.334613515621</t>
  </si>
  <si>
    <t>-661.623756872268 136.940650851027 -760.877670608034</t>
  </si>
  <si>
    <t>-687.099089583757 0.31012217823281 -712.939660034037</t>
  </si>
  <si>
    <t>-715.094023853749 44.8736345719809 -400.823331403753</t>
  </si>
  <si>
    <t>-460.262144732834 81.2841810040989 -437.931714859541</t>
  </si>
  <si>
    <t>-641.956435158677 313.265149639066 -225.236308806319</t>
  </si>
  <si>
    <t>-562.443940274571 393.443542676836 216.246234295603</t>
  </si>
  <si>
    <t>-657.021074378865 472.332765111893 669.552706650475</t>
  </si>
  <si>
    <t>-502.509099804787 464.890893145328 753.30344869459</t>
  </si>
  <si>
    <t>-681.464539906494 122.189813744894 -236.392501696097</t>
  </si>
  <si>
    <t>-699.680784577668 130.852764112604 218.855566892628</t>
  </si>
  <si>
    <t>-711.045252338888 134.937900087094 688.423145647599</t>
  </si>
  <si>
    <t>-553.991852713688 109.896879704344 763.594204807472</t>
  </si>
  <si>
    <t>9763-20170724T164053.324450000.bin</t>
  </si>
  <si>
    <t>-659.492545167284 214.677242801999 -231.34758664277</t>
  </si>
  <si>
    <t>-680.470947828564 225.512922159954 -350.134297732057</t>
  </si>
  <si>
    <t>-684.060694405686 217.96386319069 -471.050398362923</t>
  </si>
  <si>
    <t>-679.88101199883 203.967465264916 -579.592818619709</t>
  </si>
  <si>
    <t>-668.298332645823 183.048464907606 -686.471744490932</t>
  </si>
  <si>
    <t>-644.455757085497 147.004659551215 -832.527718053694</t>
  </si>
  <si>
    <t>-596.547691518598 113.346812607854 -915.924084929556</t>
  </si>
  <si>
    <t>-651.34613137177 193.74937786202 -774.905150580652</t>
  </si>
  <si>
    <t>-645.176857881961 340.533512966865 -781.570781371638</t>
  </si>
  <si>
    <t>-646.826365623556 431.855288674698 -478.513325846424</t>
  </si>
  <si>
    <t>-428.351785370113 368.277893707735 -352.541785925624</t>
  </si>
  <si>
    <t>-658.664638772452 132.156425034021 -760.899952920314</t>
  </si>
  <si>
    <t>-711.722488636326 40.8308296267852 -400.330386175851</t>
  </si>
  <si>
    <t>-457.459388344316 77.2884727944349 -441.112359448001</t>
  </si>
  <si>
    <t>-639.952189779642 310.419700495346 -225.766045015762</t>
  </si>
  <si>
    <t>-561.366189416218 391.441788647792 215.728397823127</t>
  </si>
  <si>
    <t>-655.189313662777 469.312247478152 669.632921146124</t>
  </si>
  <si>
    <t>-500.223753567902 465.939989247003 752.806313396092</t>
  </si>
  <si>
    <t>-679.072140934092 119.112120243431 -236.405057826448</t>
  </si>
  <si>
    <t>-698.089269928935 129.438951546345 218.77563948202</t>
  </si>
  <si>
    <t>-711.104661484054 135.135634628962 688.44577754976</t>
  </si>
  <si>
    <t>-554.028249931057 109.269830968033 763.288739542505</t>
  </si>
  <si>
    <t>9763-20170724T164053.390630600.bin</t>
  </si>
  <si>
    <t>-656.747148750094 210.900176300572 -231.481617278114</t>
  </si>
  <si>
    <t>-677.287802929603 221.328431440383 -350.381258770758</t>
  </si>
  <si>
    <t>-680.777310895 213.3099605338 -471.270097983098</t>
  </si>
  <si>
    <t>-676.653271081531 198.859389474484 -579.755134820945</t>
  </si>
  <si>
    <t>-665.27557755226 177.450517624226 -686.55898016482</t>
  </si>
  <si>
    <t>-641.87467467254 140.682817804858 -832.505974228969</t>
  </si>
  <si>
    <t>-594.088963818154 106.676659880459 -915.831282275672</t>
  </si>
  <si>
    <t>-648.717133907467 187.722157724142 -775.117819809392</t>
  </si>
  <si>
    <t>-642.830687884542 334.447749439533 -782.665283006268</t>
  </si>
  <si>
    <t>-644.045083314583 427.569320673337 -480.153982462392</t>
  </si>
  <si>
    <t>-426.42518446874 363.644375193466 -352.885749624304</t>
  </si>
  <si>
    <t>-655.740578256529 126.180635927322 -760.740050364601</t>
  </si>
  <si>
    <t>-703.792816953634 32.8239543319872 -398.41397457583</t>
  </si>
  <si>
    <t>-450.064063438244 71.9079990329344 -440.082243438513</t>
  </si>
  <si>
    <t>-638.397945503486 306.749287186867 -225.895146026181</t>
  </si>
  <si>
    <t>-560.604542637607 389.719112798399 215.377905743792</t>
  </si>
  <si>
    <t>-654.4969473649 466.006538692282 669.673941333866</t>
  </si>
  <si>
    <t>-498.855572587682 469.222804924585 751.582002904476</t>
  </si>
  <si>
    <t>-675.484693888277 115.042735398631 -236.363381094024</t>
  </si>
  <si>
    <t>-695.145441653512 128.050477178594 218.721149015724</t>
  </si>
  <si>
    <t>-711.220530211316 135.959074049166 688.321089994516</t>
  </si>
  <si>
    <t>-553.944166465409 108.577974420004 762.198799704076</t>
  </si>
  <si>
    <t>9763-20170724T164053.424723000.bin</t>
  </si>
  <si>
    <t>-655.415077065379 209.574084904605 -231.49395763042</t>
  </si>
  <si>
    <t>-675.989910203077 219.988325251368 -350.389008164566</t>
  </si>
  <si>
    <t>-679.640015164388 211.854822180913 -471.265395552707</t>
  </si>
  <si>
    <t>-675.706333048582 197.262773943562 -579.738616514562</t>
  </si>
  <si>
    <t>-664.560513728406 175.676696278605 -686.531255425613</t>
  </si>
  <si>
    <t>-641.521351463052 138.62750067115 -832.464724319752</t>
  </si>
  <si>
    <t>-593.899452346626 104.491515220854 -915.830500190231</t>
  </si>
  <si>
    <t>-648.319680511274 185.784348036408 -775.167729157102</t>
  </si>
  <si>
    <t>-642.822989255647 332.557205017738 -783.10103778398</t>
  </si>
  <si>
    <t>-643.534325032001 425.955587393963 -480.673575186253</t>
  </si>
  <si>
    <t>-426.016670180028 362.093953037275 -353.198906174896</t>
  </si>
  <si>
    <t>-655.111295502967 124.256898254765 -760.619530716878</t>
  </si>
  <si>
    <t>-700.919792671725 31.0714899251242 -397.601775972124</t>
  </si>
  <si>
    <t>-447.158360658743 71.4800321967544 -437.780776826284</t>
  </si>
  <si>
    <t>-637.631371694143 305.518351518934 -225.804461540581</t>
  </si>
  <si>
    <t>-559.650547976318 389.039437747956 215.331473151685</t>
  </si>
  <si>
    <t>-654.350013103449 465.103685340283 669.820871390756</t>
  </si>
  <si>
    <t>-498.510468090659 468.929552069545 751.32491731695</t>
  </si>
  <si>
    <t>-673.903135883866 113.699750970157 -236.360445756809</t>
  </si>
  <si>
    <t>-693.57865867532 127.879741809834 218.688469302097</t>
  </si>
  <si>
    <t>-711.23246471057 136.367075431457 688.23297668016</t>
  </si>
  <si>
    <t>-553.911185531687 108.172388636572 761.708026116559</t>
  </si>
  <si>
    <t>9763-20170724T164053.489899300.bin</t>
  </si>
  <si>
    <t>-654.263589562445 207.727266240521 -231.049561820582</t>
  </si>
  <si>
    <t>-674.685703365455 218.213733375422 -349.964602074289</t>
  </si>
  <si>
    <t>-678.462545974641 209.900208445256 -470.824835334632</t>
  </si>
  <si>
    <t>-674.730884101978 195.06409089249 -579.27208773523</t>
  </si>
  <si>
    <t>-663.858873546157 173.165147782727 -686.02919417989</t>
  </si>
  <si>
    <t>-641.260743036824 135.622130467428 -831.905384851336</t>
  </si>
  <si>
    <t>-593.98515873913 101.560697895672 -915.498521978101</t>
  </si>
  <si>
    <t>-648.228639794294 182.994166766975 -774.806628736022</t>
  </si>
  <si>
    <t>-644.259411869563 329.711345146549 -783.523734064704</t>
  </si>
  <si>
    <t>-642.992357633204 423.468211402817 -481.208974329965</t>
  </si>
  <si>
    <t>-424.700430343016 360.325841756577 -354.703097441111</t>
  </si>
  <si>
    <t>-654.290827359189 121.47331534996 -759.912648655389</t>
  </si>
  <si>
    <t>-698.50246547622 28.0615236075226 -396.159052028473</t>
  </si>
  <si>
    <t>-444.044120415022 70.4739788021903 -429.237457939946</t>
  </si>
  <si>
    <t>-637.689551505806 303.254085796998 -225.009484125292</t>
  </si>
  <si>
    <t>-558.114755695079 388.229727685101 215.563563954942</t>
  </si>
  <si>
    <t>-654.730564154243 462.261440383412 669.734371533692</t>
  </si>
  <si>
    <t>-498.808013657354 468.806590070367 750.90596276661</t>
  </si>
  <si>
    <t>-671.285665934677 111.989391329621 -236.188577460322</t>
  </si>
  <si>
    <t>-691.451749938544 127.6127329903 218.791477373963</t>
  </si>
  <si>
    <t>-711.260948549492 136.836010425048 688.095700195416</t>
  </si>
  <si>
    <t>-554.100854528992 106.661777580681 761.128137878834</t>
  </si>
  <si>
    <t>9763-20170724T164053.526001700.bin</t>
  </si>
  <si>
    <t>-653.295732624055 207.182065090786 -230.98833238263</t>
  </si>
  <si>
    <t>-673.759803116156 217.63880802451 -349.898737309131</t>
  </si>
  <si>
    <t>-677.634837845826 209.286306459999 -470.753121813886</t>
  </si>
  <si>
    <t>-674.006687946395 194.417708182713 -579.199385395902</t>
  </si>
  <si>
    <t>-663.247932398433 172.492682692123 -685.962649643424</t>
  </si>
  <si>
    <t>-640.812866541485 134.923169064565 -831.857176192443</t>
  </si>
  <si>
    <t>-593.624514187008 100.93729114739 -915.530360145404</t>
  </si>
  <si>
    <t>-647.8511579185 182.313009695161 -774.78193081987</t>
  </si>
  <si>
    <t>-644.504480563667 329.075667698667 -783.672660989355</t>
  </si>
  <si>
    <t>-642.752912669275 422.52900274057 -481.266377677667</t>
  </si>
  <si>
    <t>-423.764112732334 360.184617049144 -355.571751654269</t>
  </si>
  <si>
    <t>-653.628217201076 120.780007834688 -759.824919419394</t>
  </si>
  <si>
    <t>-697.641530436763 27.8495187220458 -395.947783545338</t>
  </si>
  <si>
    <t>-442.917551591879 71.32638765652 -425.401030706496</t>
  </si>
  <si>
    <t>-636.921263597958 302.521344922502 -224.938169166297</t>
  </si>
  <si>
    <t>-557.062537140397 387.805598647493 215.523894100513</t>
  </si>
  <si>
    <t>-654.879865319523 461.246412396617 669.541837486774</t>
  </si>
  <si>
    <t>-499.004671137861 468.352730247692 750.757146449348</t>
  </si>
  <si>
    <t>-669.831512638947 111.695764365281 -236.109551214956</t>
  </si>
  <si>
    <t>-690.305979103307 127.665383761644 218.844846377967</t>
  </si>
  <si>
    <t>-711.279441566807 136.833533115683 688.066457207276</t>
  </si>
  <si>
    <t>-554.141239648522 106.348721783377 761.016961339078</t>
  </si>
  <si>
    <t>9763-20170724T164053.595186200.bin</t>
  </si>
  <si>
    <t>-650.439435038537 207.86980892671 -231.119956126186</t>
  </si>
  <si>
    <t>-670.536670539614 218.107820020753 -350.111881232021</t>
  </si>
  <si>
    <t>-674.389152215306 209.551554654785 -470.952793704389</t>
  </si>
  <si>
    <t>-670.875467162622 194.508765044499 -579.378831452675</t>
  </si>
  <si>
    <t>-660.360698227652 172.419313792531 -686.132610736641</t>
  </si>
  <si>
    <t>-638.393497899573 134.630822164063 -832.041608791474</t>
  </si>
  <si>
    <t>-591.433567693135 100.588308141619 -915.820278785584</t>
  </si>
  <si>
    <t>-645.386464964545 182.113278063955 -775.037896467788</t>
  </si>
  <si>
    <t>-642.714640571424 328.861394898263 -784.286995466515</t>
  </si>
  <si>
    <t>-640.517713506401 421.940661629225 -481.768260007704</t>
  </si>
  <si>
    <t>-420.777818312079 360.651126124018 -356.868247418272</t>
  </si>
  <si>
    <t>-650.84013609428 120.588843899435 -759.924883838321</t>
  </si>
  <si>
    <t>-694.847157194465 28.7439206878324 -396.070070363824</t>
  </si>
  <si>
    <t>-440.486010279037 75.348927460123 -423.826862247943</t>
  </si>
  <si>
    <t>-634.283585567343 302.958381703647 -225.422699146463</t>
  </si>
  <si>
    <t>-554.305044172756 388.236717141593 215.018766420902</t>
  </si>
  <si>
    <t>-654.710004923525 459.245491197573 668.536037611723</t>
  </si>
  <si>
    <t>-499.4233999734 468.0127261999 750.711005676035</t>
  </si>
  <si>
    <t>-666.519415200798 112.652031399395 -236.103172026412</t>
  </si>
  <si>
    <t>-687.54863493047 128.653171538024 218.824694591434</t>
  </si>
  <si>
    <t>-711.262333820805 136.732191187233 687.99509343181</t>
  </si>
  <si>
    <t>-554.537245489534 104.200774314169 760.950332345231</t>
  </si>
  <si>
    <t>9763-20170724T164053.626281700.bin</t>
  </si>
  <si>
    <t>-648.341207552176 209.545943630199 -231.16821371481</t>
  </si>
  <si>
    <t>-668.451860477348 219.710922125783 -350.164240516015</t>
  </si>
  <si>
    <t>-672.442453389989 211.049850382792 -470.993125600552</t>
  </si>
  <si>
    <t>-669.105148354474 195.896421236119 -579.40944397062</t>
  </si>
  <si>
    <t>-658.818027443215 173.678236864707 -686.158479429254</t>
  </si>
  <si>
    <t>-637.220060824853 135.68958507313 -832.0708265325</t>
  </si>
  <si>
    <t>-590.420105412398 101.506638659784 -915.881775578078</t>
  </si>
  <si>
    <t>-644.041101286818 183.248827052285 -775.110306622953</t>
  </si>
  <si>
    <t>-641.29159270901 329.973457545557 -784.552393716492</t>
  </si>
  <si>
    <t>-639.042106898764 423.20333443788 -482.080468748517</t>
  </si>
  <si>
    <t>-419.325963396664 362.074371545276 -357.060020996112</t>
  </si>
  <si>
    <t>-649.51189655197 121.747974236026 -759.908079060461</t>
  </si>
  <si>
    <t>-692.017143527155 31.3476646798196 -395.971297872403</t>
  </si>
  <si>
    <t>-438.051017912389 79.5797658344254 -424.553561200681</t>
  </si>
  <si>
    <t>-631.973594455025 304.895877908408 -225.49903188744</t>
  </si>
  <si>
    <t>-551.626832581933 390.233592388633 214.86391137136</t>
  </si>
  <si>
    <t>-654.137781909501 460.681924341044 668.427063783124</t>
  </si>
  <si>
    <t>-498.850093775269 467.256910864281 750.804284362644</t>
  </si>
  <si>
    <t>-664.629385337574 114.223849906319 -236.074591719916</t>
  </si>
  <si>
    <t>-685.913788760825 129.860512483836 218.854167259452</t>
  </si>
  <si>
    <t>-711.217358904269 136.841782428178 687.971129548279</t>
  </si>
  <si>
    <t>-554.6402004272 103.631650393107 760.938318575553</t>
  </si>
  <si>
    <t>9763-20170724T164053.691446400.bin</t>
  </si>
  <si>
    <t>-642.779604041172 215.908887874039 -231.423376305128</t>
  </si>
  <si>
    <t>-663.245897221057 225.881806896241 -350.374980069941</t>
  </si>
  <si>
    <t>-667.728490140494 216.917996767507 -471.164499022767</t>
  </si>
  <si>
    <t>-664.891096317804 201.4412554482 -579.549347434737</t>
  </si>
  <si>
    <t>-655.15887952497 178.847423773154 -686.271655506184</t>
  </si>
  <si>
    <t>-634.38886633875 140.2795943316 -832.152173526972</t>
  </si>
  <si>
    <t>-588.083424436159 105.590234768496 -916.029759135978</t>
  </si>
  <si>
    <t>-640.744736641741 188.057438427674 -775.320885976618</t>
  </si>
  <si>
    <t>-637.486379183745 334.733528550224 -785.297616647542</t>
  </si>
  <si>
    <t>-634.927313374247 428.684639771239 -483.05131648359</t>
  </si>
  <si>
    <t>-415.835345535964 366.911401777505 -357.254500841889</t>
  </si>
  <si>
    <t>-646.413159067336 126.631910786844 -759.888289627959</t>
  </si>
  <si>
    <t>-687.133821913149 37.2851642246357 -395.379563408671</t>
  </si>
  <si>
    <t>-434.701072728083 90.5172650865351 -428.336094009439</t>
  </si>
  <si>
    <t>-625.103399942014 312.209934589713 -225.858143545464</t>
  </si>
  <si>
    <t>-545.116311485531 397.367154500258 214.60516250554</t>
  </si>
  <si>
    <t>-647.338800616327 465.376387622538 668.132626554892</t>
  </si>
  <si>
    <t>-493.032528186585 463.899577406043 752.577272261424</t>
  </si>
  <si>
    <t>-660.486474080599 119.681489704678 -236.039987839375</t>
  </si>
  <si>
    <t>-682.106051432207 133.748567134001 218.924199335333</t>
  </si>
  <si>
    <t>-711.110138918092 136.89558880101 687.967673111675</t>
  </si>
  <si>
    <t>-554.83381339434 102.31211336852 760.941686621645</t>
  </si>
  <si>
    <t>9763-20170724T164053.722530600.bin</t>
  </si>
  <si>
    <t>-640.705744633355 219.73391365593 -231.520736870748</t>
  </si>
  <si>
    <t>-661.136606202414 229.704561788174 -350.47859378452</t>
  </si>
  <si>
    <t>-665.757203717254 220.64564380638 -471.255837113566</t>
  </si>
  <si>
    <t>-663.117169341807 205.039722809807 -579.627214663957</t>
  </si>
  <si>
    <t>-653.655341713169 182.27035562412 -686.336522545764</t>
  </si>
  <si>
    <t>-633.337329031287 143.406893148786 -832.202215631788</t>
  </si>
  <si>
    <t>-587.371312924704 108.431810053506 -916.147714343341</t>
  </si>
  <si>
    <t>-639.407958141752 191.293912589495 -775.431699703283</t>
  </si>
  <si>
    <t>-635.716627630186 337.931890520854 -785.650863528022</t>
  </si>
  <si>
    <t>-632.901898303229 432.147905933581 -483.489362675006</t>
  </si>
  <si>
    <t>-414.253941236414 369.832527913505 -357.188268291876</t>
  </si>
  <si>
    <t>-645.246880357735 129.911634943104 -759.890714055532</t>
  </si>
  <si>
    <t>-685.379688879908 40.4349496309146 -395.101723528553</t>
  </si>
  <si>
    <t>-433.424095356195 94.9996883543149 -429.498257346583</t>
  </si>
  <si>
    <t>-622.689221850359 316.1080227648 -226.202178773646</t>
  </si>
  <si>
    <t>-544.041696534244 398.467305499746 215.033817749781</t>
  </si>
  <si>
    <t>-645.046397454389 465.281404427417 668.671285184645</t>
  </si>
  <si>
    <t>-491.817083200547 459.297809653705 754.85992569176</t>
  </si>
  <si>
    <t>-658.811767011205 123.333647868654 -236.1087955546</t>
  </si>
  <si>
    <t>-680.8878036429 136.12306756071 218.871131324769</t>
  </si>
  <si>
    <t>-711.041274938373 136.822157486331 687.935719986667</t>
  </si>
  <si>
    <t>-554.956359369238 101.462583018844 760.947387695925</t>
  </si>
  <si>
    <t>9763-20170724T164053.794741300.bin</t>
  </si>
  <si>
    <t>-638.000028506514 228.012844668092 -232.42640025472</t>
  </si>
  <si>
    <t>-658.457274794327 237.920945539428 -351.384923923957</t>
  </si>
  <si>
    <t>-663.469418462854 228.675643225096 -472.132450578302</t>
  </si>
  <si>
    <t>-661.335664879809 212.839367672544 -580.48149140941</t>
  </si>
  <si>
    <t>-652.533098728343 189.770692155673 -687.182937617859</t>
  </si>
  <si>
    <t>-633.29028201921 150.411705270403 -833.061642782331</t>
  </si>
  <si>
    <t>-588.074165015443 114.772196855038 -917.134916427233</t>
  </si>
  <si>
    <t>-638.679191797856 198.475676195534 -776.371805491316</t>
  </si>
  <si>
    <t>-634.026150029376 345.095446274995 -786.967458453687</t>
  </si>
  <si>
    <t>-630.047408566801 439.189566397717 -484.780976402137</t>
  </si>
  <si>
    <t>-412.305818672932 375.662974093152 -357.521466640836</t>
  </si>
  <si>
    <t>-644.930055112982 137.17805184695 -760.657823950341</t>
  </si>
  <si>
    <t>-666.365320344126 1.57346988831576 -708.010878546931</t>
  </si>
  <si>
    <t>-684.491741461494 46.0140477415543 -395.148722444395</t>
  </si>
  <si>
    <t>-433.368705682471 102.392336300707 -432.575379661643</t>
  </si>
  <si>
    <t>-619.72937348565 323.450532732067 -227.555951207452</t>
  </si>
  <si>
    <t>-543.717714539935 399.83857445327 215.213407014062</t>
  </si>
  <si>
    <t>-645.877395557227 464.464103664384 668.741411773066</t>
  </si>
  <si>
    <t>-494.055417238033 458.341678101612 757.376152836928</t>
  </si>
  <si>
    <t>-656.537590971426 131.760181298459 -236.641388019147</t>
  </si>
  <si>
    <t>-679.762490151305 141.396067034969 218.359022389058</t>
  </si>
  <si>
    <t>-710.794902715852 136.788410915856 687.616205004443</t>
  </si>
  <si>
    <t>-555.037256806 100.427944792199 760.834870376725</t>
  </si>
  <si>
    <t>9763-20170724T164053.822814600.bin</t>
  </si>
  <si>
    <t>-636.695313257301 232.432270303117 -233.334407915476</t>
  </si>
  <si>
    <t>-657.234606837476 242.265155416511 -352.285112846835</t>
  </si>
  <si>
    <t>-662.451342620963 232.896970972659 -473.014548946417</t>
  </si>
  <si>
    <t>-660.54842173696 216.930591189175 -581.348682344855</t>
  </si>
  <si>
    <t>-652.019738494417 193.713490748508 -688.040233917134</t>
  </si>
  <si>
    <t>-633.199571185378 154.129572619784 -833.913219154109</t>
  </si>
  <si>
    <t>-588.359466250524 118.195008692714 -918.062307621537</t>
  </si>
  <si>
    <t>-638.279946381688 202.271334102703 -777.260986821631</t>
  </si>
  <si>
    <t>-633.041336239275 348.832782730476 -788.010687419606</t>
  </si>
  <si>
    <t>-628.405070124762 442.845336483257 -485.808168802833</t>
  </si>
  <si>
    <t>-411.083310209638 378.325504590033 -358.330746574204</t>
  </si>
  <si>
    <t>-644.773870200146 141.017066400716 -761.476891641118</t>
  </si>
  <si>
    <t>-666.53603293179 5.49441096438167 -708.760777049272</t>
  </si>
  <si>
    <t>-684.910748625165 48.7277965077982 -395.744158228136</t>
  </si>
  <si>
    <t>-433.696960010828 105.324235152698 -432.220312182715</t>
  </si>
  <si>
    <t>-618.084493397591 327.780622813182 -228.744906365643</t>
  </si>
  <si>
    <t>-544.676246364984 401.08836061366 214.983452074883</t>
  </si>
  <si>
    <t>-646.317837349336 463.611867543215 669.208234359367</t>
  </si>
  <si>
    <t>-494.131052517697 458.257470800222 757.265164940341</t>
  </si>
  <si>
    <t>-655.805600788622 136.615327872173 -237.257537316501</t>
  </si>
  <si>
    <t>-679.171409671629 144.334394241064 217.772292553848</t>
  </si>
  <si>
    <t>-710.625311002757 137.043105841772 687.089793250359</t>
  </si>
  <si>
    <t>-554.680683210035 101.639524158172 760.379425898807</t>
  </si>
  <si>
    <t>9763-20170724T164053.892839400.bin</t>
  </si>
  <si>
    <t>-635.08904819481 242.86554801091 -234.614130713467</t>
  </si>
  <si>
    <t>-655.99656162752 252.432869974007 -353.522271728026</t>
  </si>
  <si>
    <t>-661.822397985554 242.902809877942 -474.211077776118</t>
  </si>
  <si>
    <t>-660.558697941848 226.831660748791 -582.539133461754</t>
  </si>
  <si>
    <t>-652.750599010639 203.551745321621 -689.272149666572</t>
  </si>
  <si>
    <t>-635.009308950376 163.922440151554 -835.267851752865</t>
  </si>
  <si>
    <t>-590.907781191358 127.517245252675 -919.60470105776</t>
  </si>
  <si>
    <t>-639.274547316742 212.052562586628 -778.538498027645</t>
  </si>
  <si>
    <t>-632.488620781678 358.586628399463 -789.232122901962</t>
  </si>
  <si>
    <t>-626.587935288818 451.936559758682 -486.846236752663</t>
  </si>
  <si>
    <t>-410.004520837709 385.269301720407 -359.217282798664</t>
  </si>
  <si>
    <t>-646.443975118773 150.861874620216 -762.800039547415</t>
  </si>
  <si>
    <t>-669.611237453982 15.5383830721111 -710.179953293324</t>
  </si>
  <si>
    <t>-686.312641568088 58.3749008028899 -397.01503749776</t>
  </si>
  <si>
    <t>-434.225071249398 113.199733989202 -430.002298600229</t>
  </si>
  <si>
    <t>-615.384477148693 338.316260980317 -230.306959627297</t>
  </si>
  <si>
    <t>-548.730931348666 405.373457781464 215.471372618877</t>
  </si>
  <si>
    <t>-648.250758706283 464.162289820447 671.088542001167</t>
  </si>
  <si>
    <t>-494.452967512283 457.739442662312 756.226649617383</t>
  </si>
  <si>
    <t>-655.139005315194 147.384639657627 -238.071127445473</t>
  </si>
  <si>
    <t>-678.434321032559 150.987634404993 217.013469477288</t>
  </si>
  <si>
    <t>-710.326736211581 136.906613838798 686.121012112383</t>
  </si>
  <si>
    <t>-555.05988337956 99.2985633061907 759.750881064308</t>
  </si>
  <si>
    <t>9763-20170724T164053.922921100.bin</t>
  </si>
  <si>
    <t>-634.601037779133 248.461518786671 -235.106051537112</t>
  </si>
  <si>
    <t>-655.730852980243 257.865764735767 -353.987843083173</t>
  </si>
  <si>
    <t>-661.852472022584 248.232921995753 -474.653907926241</t>
  </si>
  <si>
    <t>-660.882344816022 232.093289492963 -582.974798684317</t>
  </si>
  <si>
    <t>-653.390889973208 208.770032951192 -689.721106188745</t>
  </si>
  <si>
    <t>-636.110959213547 169.106040549672 -835.762763742641</t>
  </si>
  <si>
    <t>-592.392746573843 132.503823564749 -920.213731518615</t>
  </si>
  <si>
    <t>-639.977453745645 217.231182167415 -779.000670500954</t>
  </si>
  <si>
    <t>-632.339466180766 363.699674198208 -789.636207800534</t>
  </si>
  <si>
    <t>-625.57637028714 456.834911955932 -487.202395292894</t>
  </si>
  <si>
    <t>-409.385728462375 389.05504626677 -359.49345771177</t>
  </si>
  <si>
    <t>-647.536144380849 156.081023545042 -763.287109239066</t>
  </si>
  <si>
    <t>-671.311538393613 20.8541679911551 -710.675745396674</t>
  </si>
  <si>
    <t>-687.657856493513 63.6493437183024 -397.486306676262</t>
  </si>
  <si>
    <t>-434.786954218978 116.156624169603 -428.167883410437</t>
  </si>
  <si>
    <t>-614.433594291653 343.691775751268 -231.026238648039</t>
  </si>
  <si>
    <t>-551.35541719946 408.527276981961 215.600204177342</t>
  </si>
  <si>
    <t>-648.918058591589 464.410650862518 671.661659254666</t>
  </si>
  <si>
    <t>-494.486086236983 458.752240876904 755.698943676407</t>
  </si>
  <si>
    <t>-655.045029973188 153.114304150006 -238.32870758244</t>
  </si>
  <si>
    <t>-678.257475185823 154.45712877982 216.772370298575</t>
  </si>
  <si>
    <t>-710.183987642218 136.900167454337 685.677543497133</t>
  </si>
  <si>
    <t>-555.154959602881 98.5644143350242 759.433046015974</t>
  </si>
  <si>
    <t>9763-20170724T164053.992805900.bin</t>
  </si>
  <si>
    <t>-632.922215083192 260.72009407874 -236.607771548419</t>
  </si>
  <si>
    <t>-654.701069104794 269.814618683274 -355.396583063096</t>
  </si>
  <si>
    <t>-661.497805294898 260.132219643383 -476.022453035161</t>
  </si>
  <si>
    <t>-661.152631451504 244.043411972659 -584.354758583742</t>
  </si>
  <si>
    <t>-654.301909848538 220.861086387331 -691.174731034784</t>
  </si>
  <si>
    <t>-637.929452394397 181.479242194043 -837.39719797297</t>
  </si>
  <si>
    <t>-594.948148409759 144.649704524553 -922.12720707847</t>
  </si>
  <si>
    <t>-640.91428328381 229.444176242043 -780.446473659525</t>
  </si>
  <si>
    <t>-631.187362557396 375.816088827356 -790.633742361705</t>
  </si>
  <si>
    <t>-622.744441752031 468.180551163202 -488.005711670853</t>
  </si>
  <si>
    <t>-407.363618381697 397.795796954707 -360.337696870315</t>
  </si>
  <si>
    <t>-649.433224241625 168.364796874455 -764.949969769964</t>
  </si>
  <si>
    <t>-675.401262314705 33.4073382815282 -712.660523241792</t>
  </si>
  <si>
    <t>-691.100357085951 74.5941494941903 -399.222536542963</t>
  </si>
  <si>
    <t>-438.046905001814 124.723676795499 -432.283606520606</t>
  </si>
  <si>
    <t>-610.962493885606 355.977524526897 -233.401370823587</t>
  </si>
  <si>
    <t>-557.901649420631 415.371125776116 215.279628552747</t>
  </si>
  <si>
    <t>-649.345830439676 466.361546801232 672.723273630637</t>
  </si>
  <si>
    <t>-494.202592251019 459.001743986882 755.306040806227</t>
  </si>
  <si>
    <t>-654.668430608672 165.417113185236 -239.122438652142</t>
  </si>
  <si>
    <t>-678.03385540196 162.072015809004 215.96048470415</t>
  </si>
  <si>
    <t>-709.910163844977 137.013107456975 684.579669248512</t>
  </si>
  <si>
    <t>-555.140851475324 98.0962872420603 758.575954559815</t>
  </si>
  <si>
    <t>9763-20170724T164054.025392700.bin</t>
  </si>
  <si>
    <t>-631.858569646364 267.211323890857 -237.536795602453</t>
  </si>
  <si>
    <t>-653.846902163788 276.064671930833 -356.305252169519</t>
  </si>
  <si>
    <t>-660.897269946142 266.389070316739 -476.917293956627</t>
  </si>
  <si>
    <t>-660.807772000722 250.397733603551 -585.264426739574</t>
  </si>
  <si>
    <t>-654.242649872187 227.397612368759 -692.141668762986</t>
  </si>
  <si>
    <t>-638.300753847265 188.349727928846 -838.501295098424</t>
  </si>
  <si>
    <t>-595.617389092861 151.454182992765 -923.353070454842</t>
  </si>
  <si>
    <t>-640.826172854679 236.152758039973 -781.392472988086</t>
  </si>
  <si>
    <t>-629.833022162654 382.456137290565 -791.222048376953</t>
  </si>
  <si>
    <t>-620.527551092645 474.169880970981 -488.421334679035</t>
  </si>
  <si>
    <t>-405.61931952956 402.364191496394 -360.748302663027</t>
  </si>
  <si>
    <t>-649.882947055108 175.101644169723 -766.090827655221</t>
  </si>
  <si>
    <t>-677.167330683864 40.2258193453141 -714.253677478851</t>
  </si>
  <si>
    <t>-692.559262704016 79.7069784747864 -400.581109085749</t>
  </si>
  <si>
    <t>-439.917446512881 130.10338506393 -436.2794105071</t>
  </si>
  <si>
    <t>-609.009534464267 362.387061198026 -234.777029513219</t>
  </si>
  <si>
    <t>-561.826910374483 418.008486716887 215.042673862294</t>
  </si>
  <si>
    <t>-649.666910192131 466.688916797089 673.329862237289</t>
  </si>
  <si>
    <t>-494.168873256872 459.644448719706 755.270360660311</t>
  </si>
  <si>
    <t>-654.497034084155 171.867181030377 -239.630011291008</t>
  </si>
  <si>
    <t>-677.886562134249 165.999390188213 215.426207650093</t>
  </si>
  <si>
    <t>-709.800041476912 136.838614556092 683.921035885383</t>
  </si>
  <si>
    <t>-555.367862632235 96.9418854000636 758.099600516636</t>
  </si>
  <si>
    <t>9763-20170724T164054.056979800.bin</t>
  </si>
  <si>
    <t>-631.058137263423 273.763987537338 -238.499236035436</t>
  </si>
  <si>
    <t>-653.252002604626 282.428443348541 -357.243314840858</t>
  </si>
  <si>
    <t>-660.559504599573 272.813911243691 -477.844930214919</t>
  </si>
  <si>
    <t>-660.728929088476 256.971495492829 -586.213897493952</t>
  </si>
  <si>
    <t>-654.450721742679 234.209298332741 -693.159253501388</t>
  </si>
  <si>
    <t>-638.937803220095 195.577794173395 -839.675334190713</t>
  </si>
  <si>
    <t>-596.572585291856 158.651623789856 -924.673225312294</t>
  </si>
  <si>
    <t>-640.999553241603 243.183094813099 -782.383130043964</t>
  </si>
  <si>
    <t>-628.713910067041 389.415318657681 -791.769605888195</t>
  </si>
  <si>
    <t>-618.472351967677 480.403509757226 -488.780457422361</t>
  </si>
  <si>
    <t>-404.023200732159 406.983825525683 -361.253459560408</t>
  </si>
  <si>
    <t>-650.604029349237 182.158930439141 -767.310054849051</t>
  </si>
  <si>
    <t>-679.191841657413 47.3413139825072 -716.011340404654</t>
  </si>
  <si>
    <t>-694.027647669484 84.9043917023248 -402.076547646495</t>
  </si>
  <si>
    <t>-441.86947211134 135.456919288006 -440.84170337791</t>
  </si>
  <si>
    <t>-607.436474208431 368.579912427578 -236.117751539508</t>
  </si>
  <si>
    <t>-566.258966732929 420.512458344205 214.731443973347</t>
  </si>
  <si>
    <t>-650.051986935871 466.80224367839 673.967279468695</t>
  </si>
  <si>
    <t>-494.237946685778 459.863948642037 755.31434098113</t>
  </si>
  <si>
    <t>-654.623371616479 178.608612256816 -240.159951230297</t>
  </si>
  <si>
    <t>-677.752819475215 170.037262631005 214.86673652851</t>
  </si>
  <si>
    <t>-709.642470119595 136.901709072847 683.189799037291</t>
  </si>
  <si>
    <t>-555.280806667296 96.9926442249673 757.508385961076</t>
  </si>
  <si>
    <t>9763-20170724T164054.127182600.bin</t>
  </si>
  <si>
    <t>-629.978185280647 286.85996418575 -240.203782282709</t>
  </si>
  <si>
    <t>-652.833400439008 295.367139188702 -358.833736058008</t>
  </si>
  <si>
    <t>-660.749786888522 285.999719579512 -479.416320445389</t>
  </si>
  <si>
    <t>-661.44477182854 270.540542878188 -587.838469260244</t>
  </si>
  <si>
    <t>-655.663746799358 248.319984214783 -694.925681560831</t>
  </si>
  <si>
    <t>-640.808526253417 210.602321468807 -841.747764246622</t>
  </si>
  <si>
    <t>-599.141437177903 173.700358406711 -927.100491381495</t>
  </si>
  <si>
    <t>-642.038457767522 257.77324199781 -784.073634065511</t>
  </si>
  <si>
    <t>-627.102784233653 403.824663124467 -792.479698329126</t>
  </si>
  <si>
    <t>-615.249636102774 493.170944124377 -489.060818935389</t>
  </si>
  <si>
    <t>-401.616349021798 415.952321645413 -362.4111589065</t>
  </si>
  <si>
    <t>-652.72457798772 196.809103688979 -769.49351769372</t>
  </si>
  <si>
    <t>-683.75179254562 62.0981849321268 -719.350841804383</t>
  </si>
  <si>
    <t>-697.010824402013 96.765850774807 -405.012536872133</t>
  </si>
  <si>
    <t>-444.681209170633 144.270970629753 -446.425987254139</t>
  </si>
  <si>
    <t>-604.102481057972 381.256299299025 -238.612784927726</t>
  </si>
  <si>
    <t>-576.206668393559 426.829689749616 213.938394182525</t>
  </si>
  <si>
    <t>-650.393797810973 468.251829205897 675.079830205092</t>
  </si>
  <si>
    <t>-494.010945586845 461.964682264294 755.381676502508</t>
  </si>
  <si>
    <t>-655.80685144111 192.361764989883 -241.191094698991</t>
  </si>
  <si>
    <t>-677.430763431655 177.818959999211 213.75783086273</t>
  </si>
  <si>
    <t>-709.295711105722 137.046506607092 681.557003588916</t>
  </si>
  <si>
    <t>-555.318322693834 96.132454114547 756.125841764138</t>
  </si>
  <si>
    <t>9763-20170724T164054.193360000.bin</t>
  </si>
  <si>
    <t>-629.091354642966 300.587168574984 -241.8304857927</t>
  </si>
  <si>
    <t>-653.106554223769 309.399942998035 -360.208724009439</t>
  </si>
  <si>
    <t>-661.972030989701 300.456676031078 -480.757380845153</t>
  </si>
  <si>
    <t>-663.423296158965 285.429493849919 -589.232803829616</t>
  </si>
  <si>
    <t>-658.287846656937 263.694683484224 -696.452634808245</t>
  </si>
  <si>
    <t>-644.207873718328 226.711393678216 -843.537653525733</t>
  </si>
  <si>
    <t>-603.376065016476 189.795966403266 -929.287277447723</t>
  </si>
  <si>
    <t>-644.524407781899 273.500547812331 -785.541202543751</t>
  </si>
  <si>
    <t>-627.049549404405 419.354301288323 -792.941677321318</t>
  </si>
  <si>
    <t>-613.879563060312 506.073917988657 -488.815953655365</t>
  </si>
  <si>
    <t>-401.307750414512 424.497486581432 -363.115607634924</t>
  </si>
  <si>
    <t>-656.351284720094 212.650074768095 -771.373015883909</t>
  </si>
  <si>
    <t>-689.446846478872 78.1996279843296 -721.946629292126</t>
  </si>
  <si>
    <t>-700.067996548968 111.782082445515 -407.390423613527</t>
  </si>
  <si>
    <t>-446.204939512742 153.250921942992 -445.808539170316</t>
  </si>
  <si>
    <t>-600.518768181904 394.936741429063 -240.845560213049</t>
  </si>
  <si>
    <t>-587.716710177314 434.295246001875 212.965783669835</t>
  </si>
  <si>
    <t>-650.656660589664 469.735983916234 676.175567551509</t>
  </si>
  <si>
    <t>-493.814308839368 463.668192633787 755.593312223119</t>
  </si>
  <si>
    <t>-657.742232625509 206.231362916464 -242.271505344267</t>
  </si>
  <si>
    <t>-676.937460537753 185.808842294171 212.560457390058</t>
  </si>
  <si>
    <t>-708.994445623331 137.003220759551 679.784474478495</t>
  </si>
  <si>
    <t>-555.727182345407 93.8527318474412 754.555335143768</t>
  </si>
  <si>
    <t>9763-20170724T164054.224948200.bin</t>
  </si>
  <si>
    <t>-628.960677464017 307.671113617861 -242.545400530923</t>
  </si>
  <si>
    <t>-653.635338486382 316.938856848886 -360.753172269036</t>
  </si>
  <si>
    <t>-662.978753261671 308.309173237831 -481.288629868267</t>
  </si>
  <si>
    <t>-664.776273117729 293.509243871221 -589.79012396778</t>
  </si>
  <si>
    <t>-659.895439428208 271.950535387722 -697.057284066858</t>
  </si>
  <si>
    <t>-646.070399143121 235.163472532338 -844.215647993121</t>
  </si>
  <si>
    <t>-605.637899186163 198.204208755803 -930.135475569146</t>
  </si>
  <si>
    <t>-645.97267481336 281.822643679073 -786.113816047853</t>
  </si>
  <si>
    <t>-627.2383692507 427.497932844193 -793.075236543267</t>
  </si>
  <si>
    <t>-613.524910067364 512.852280236863 -488.587568532426</t>
  </si>
  <si>
    <t>-401.750830392371 429.036721438776 -363.013859849696</t>
  </si>
  <si>
    <t>-658.402425535731 221.058566693117 -772.091494985597</t>
  </si>
  <si>
    <t>-692.579871783545 86.7076591952034 -723.028900488203</t>
  </si>
  <si>
    <t>-702.702486860249 118.853363142776 -408.30622395667</t>
  </si>
  <si>
    <t>-448.228237147293 157.632824995481 -445.468616268263</t>
  </si>
  <si>
    <t>-598.969307503628 402.028512232267 -241.612135615128</t>
  </si>
  <si>
    <t>-594.039477542146 438.515597573074 212.592703752677</t>
  </si>
  <si>
    <t>-650.551798786028 471.166741325746 676.750813617995</t>
  </si>
  <si>
    <t>-493.508299387752 464.778866114363 755.744897755419</t>
  </si>
  <si>
    <t>-659.054260411524 213.509307713073 -242.827299151265</t>
  </si>
  <si>
    <t>-676.868526695647 189.850323453845 211.904073832523</t>
  </si>
  <si>
    <t>-708.833476833891 137.11474333285 678.828849156433</t>
  </si>
  <si>
    <t>-555.462282855565 94.4128160361498 753.644267345949</t>
  </si>
  <si>
    <t>9763-20170724T164054.289624500.bin</t>
  </si>
  <si>
    <t>-629.011872646761 322.900008776467 -243.50576193107</t>
  </si>
  <si>
    <t>-654.227647248992 333.108245382173 -361.521606758719</t>
  </si>
  <si>
    <t>-664.056207814413 325.199474227898 -482.067974442443</t>
  </si>
  <si>
    <t>-666.250172962179 310.96116399196 -590.637503209537</t>
  </si>
  <si>
    <t>-661.712830936492 289.880385406879 -698.014657768246</t>
  </si>
  <si>
    <t>-648.302066127368 253.676027016252 -845.355676179025</t>
  </si>
  <si>
    <t>-608.490289863831 216.615339136469 -931.521358505929</t>
  </si>
  <si>
    <t>-647.391069526032 299.985394340405 -786.981587348543</t>
  </si>
  <si>
    <t>-625.88485364293 445.349706572352 -793.092944877643</t>
  </si>
  <si>
    <t>-611.919264678587 527.796292561781 -487.816490683473</t>
  </si>
  <si>
    <t>-402.113944042587 439.013345993436 -362.351945444889</t>
  </si>
  <si>
    <t>-661.080715746394 239.405274929005 -773.341991310535</t>
  </si>
  <si>
    <t>-697.886240530922 105.484201257351 -725.079106764607</t>
  </si>
  <si>
    <t>-707.241478999041 134.781495970262 -410.054806444686</t>
  </si>
  <si>
    <t>-451.862866815361 168.308306145768 -446.107077893891</t>
  </si>
  <si>
    <t>-595.865200599164 416.723905713345 -242.493114272259</t>
  </si>
  <si>
    <t>-605.95560176744 447.780459261936 212.03002665229</t>
  </si>
  <si>
    <t>-650.432212344216 473.384256494473 677.914869575003</t>
  </si>
  <si>
    <t>-493.020846065522 467.010838900889 756.174413845226</t>
  </si>
  <si>
    <t>-661.919461283151 229.180806926132 -243.67643401488</t>
  </si>
  <si>
    <t>-676.606229289485 197.930025921338 210.708058852682</t>
  </si>
  <si>
    <t>-708.493981246211 137.038669037799 676.866052562533</t>
  </si>
  <si>
    <t>-555.930604915745 91.8785006414155 751.889301436696</t>
  </si>
  <si>
    <t>9763-20170724T164054.333745000.bin</t>
  </si>
  <si>
    <t>-629.212849249723 331.195220670188 -243.865394119578</t>
  </si>
  <si>
    <t>-654.427259407123 341.653751803742 -361.859722833401</t>
  </si>
  <si>
    <t>-664.311051596462 333.988070222587 -482.417181447267</t>
  </si>
  <si>
    <t>-666.57401098108 319.964732706077 -591.013128306728</t>
  </si>
  <si>
    <t>-662.121609304392 299.095055651613 -698.43510951766</t>
  </si>
  <si>
    <t>-648.842992791947 263.180395257874 -845.859099890369</t>
  </si>
  <si>
    <t>-609.27845136737 226.030406001102 -932.10010089268</t>
  </si>
  <si>
    <t>-647.557065805683 309.310343683927 -787.35016918391</t>
  </si>
  <si>
    <t>-624.645944285543 454.451227639511 -793.042829715381</t>
  </si>
  <si>
    <t>-610.427701544605 535.49969706837 -487.403852762103</t>
  </si>
  <si>
    <t>-401.798986981404 444.263994868731 -361.737028634549</t>
  </si>
  <si>
    <t>-661.879637036611 248.832741321318 -773.906976133696</t>
  </si>
  <si>
    <t>-699.99125100495 115.154977807045 -725.94234641796</t>
  </si>
  <si>
    <t>-709.158133237581 142.969988281992 -410.778234498111</t>
  </si>
  <si>
    <t>-453.430381753593 173.709500865831 -446.840272938967</t>
  </si>
  <si>
    <t>-594.736281067274 424.549149389166 -242.873325990036</t>
  </si>
  <si>
    <t>-610.546115313642 453.388260003955 211.63298423651</t>
  </si>
  <si>
    <t>-650.403549396039 474.837271512236 678.109082382925</t>
  </si>
  <si>
    <t>-492.843616606599 468.831072643781 756.098134680411</t>
  </si>
  <si>
    <t>-663.401896465476 237.827357444784 -243.911345565881</t>
  </si>
  <si>
    <t>-676.140356795945 202.221199802715 210.211682571823</t>
  </si>
  <si>
    <t>-708.260565890948 137.160162698779 675.869264568787</t>
  </si>
  <si>
    <t>-555.767611805587 91.9580299672817 751.010394540943</t>
  </si>
  <si>
    <t>9763-20170724T164054.391900000.bin</t>
  </si>
  <si>
    <t>-630.213831505495 347.663687339373 -244.701502389735</t>
  </si>
  <si>
    <t>-655.13701450433 358.561213899159 -362.71794596066</t>
  </si>
  <si>
    <t>-664.891037228646 351.356669327836 -483.314410833163</t>
  </si>
  <si>
    <t>-667.101064683644 337.752108262952 -591.964705203458</t>
  </si>
  <si>
    <t>-662.657198355598 317.303050621769 -699.467888031606</t>
  </si>
  <si>
    <t>-649.451599903715 281.972437652632 -847.039450307128</t>
  </si>
  <si>
    <t>-610.364191631806 244.595742304426 -933.399974843093</t>
  </si>
  <si>
    <t>-647.469012393686 327.72513810659 -788.254495489011</t>
  </si>
  <si>
    <t>-621.752113059477 472.426168572226 -793.116267647769</t>
  </si>
  <si>
    <t>-607.685387221877 550.766816362974 -486.765052239923</t>
  </si>
  <si>
    <t>-401.673604937965 454.345789273674 -360.653310380794</t>
  </si>
  <si>
    <t>-663.120351222239 267.485056213733 -775.232881728596</t>
  </si>
  <si>
    <t>-704.178482703558 134.398437251388 -728.050509650592</t>
  </si>
  <si>
    <t>-712.615286828056 160.772273665317 -412.742082593987</t>
  </si>
  <si>
    <t>-455.964375258433 184.524592560401 -447.501052735931</t>
  </si>
  <si>
    <t>-593.28410517361 440.200085961493 -244.141495087219</t>
  </si>
  <si>
    <t>-615.415597466102 464.438495887024 210.369538746688</t>
  </si>
  <si>
    <t>-650.031088678217 477.299103914494 677.352120975854</t>
  </si>
  <si>
    <t>-492.587037722135 469.251704976035 755.391331870422</t>
  </si>
  <si>
    <t>-666.827979978818 255.115712426885 -244.499336150538</t>
  </si>
  <si>
    <t>-674.431341980468 210.655498156273 208.957619953286</t>
  </si>
  <si>
    <t>-707.643084696389 137.375753527467 673.56294476968</t>
  </si>
  <si>
    <t>-555.469746552604 91.8438428210465 749.151465939874</t>
  </si>
  <si>
    <t>9763-20170724T164054.423502200.bin</t>
  </si>
  <si>
    <t>-630.643868247657 355.823917102409 -245.114163817862</t>
  </si>
  <si>
    <t>-655.680708288525 367.087796804915 -363.07216739697</t>
  </si>
  <si>
    <t>-665.487135660606 360.187432623474 -483.682168610889</t>
  </si>
  <si>
    <t>-667.716174056268 346.830011457093 -592.362756878351</t>
  </si>
  <si>
    <t>-663.260719305775 326.602020281509 -699.907296072063</t>
  </si>
  <si>
    <t>-650.006050378153 291.552602003692 -847.541441646624</t>
  </si>
  <si>
    <t>-611.145979203105 254.075599238652 -933.961094815093</t>
  </si>
  <si>
    <t>-647.702795455536 337.113404651357 -788.619322050953</t>
  </si>
  <si>
    <t>-620.567331248397 481.563186322158 -793.099094049407</t>
  </si>
  <si>
    <t>-606.836509208625 558.825982481382 -486.459112856076</t>
  </si>
  <si>
    <t>-402.327081210547 459.878381469337 -359.86005451209</t>
  </si>
  <si>
    <t>-664.038859089299 277.008325348466 -775.816553091367</t>
  </si>
  <si>
    <t>-706.567865097354 144.215804010238 -729.091762603504</t>
  </si>
  <si>
    <t>-715.091103057558 170.664623760798 -413.79179815468</t>
  </si>
  <si>
    <t>-457.917198447889 190.912051895838 -446.862747780867</t>
  </si>
  <si>
    <t>-592.423047809931 448.102587023439 -244.68821903052</t>
  </si>
  <si>
    <t>-616.562697056643 469.495788634774 209.863414766779</t>
  </si>
  <si>
    <t>-649.84957202746 478.22960236533 677.045352676334</t>
  </si>
  <si>
    <t>-492.584328563684 469.06100335117 755.321077693111</t>
  </si>
  <si>
    <t>-668.601356907184 263.546751222499 -244.849309837008</t>
  </si>
  <si>
    <t>-673.207497469161 214.692915158558 208.195674340201</t>
  </si>
  <si>
    <t>-707.154771636198 137.292084925284 672.186077966098</t>
  </si>
  <si>
    <t>-555.460304432772 90.7646442745971 748.130079822946</t>
  </si>
  <si>
    <t>9763-20170724T164054.493755500.bin</t>
  </si>
  <si>
    <t>-631.553965305604 371.16294974836 -246.024720423555</t>
  </si>
  <si>
    <t>-657.087360018758 383.335533760231 -363.785957716341</t>
  </si>
  <si>
    <t>-667.144503038743 377.147934783862 -484.414006424441</t>
  </si>
  <si>
    <t>-669.489604557971 364.350069181762 -593.15942502829</t>
  </si>
  <si>
    <t>-665.034385660022 344.601651897523 -700.793004110996</t>
  </si>
  <si>
    <t>-651.657196133678 310.139521744809 -848.55438690796</t>
  </si>
  <si>
    <t>-613.226429650587 272.497150436692 -935.094044254412</t>
  </si>
  <si>
    <t>-648.669112102161 355.279468829724 -789.339736941633</t>
  </si>
  <si>
    <t>-618.556809971568 499.170753010885 -792.968364868431</t>
  </si>
  <si>
    <t>-605.600860145055 575.356630972835 -486.025279481689</t>
  </si>
  <si>
    <t>-404.261665441948 471.507714770174 -358.275524923647</t>
  </si>
  <si>
    <t>-666.483274941368 295.496461312465 -777.009397411758</t>
  </si>
  <si>
    <t>-712.437310844665 163.417518666378 -731.538436603795</t>
  </si>
  <si>
    <t>-720.733347680726 190.322212941388 -416.271102136822</t>
  </si>
  <si>
    <t>-463.043398588399 204.14436973022 -448.626411336749</t>
  </si>
  <si>
    <t>-590.819885654645 462.343920135834 -245.452150995231</t>
  </si>
  <si>
    <t>-618.651525197829 478.723785841437 209.096862053121</t>
  </si>
  <si>
    <t>-649.595128872788 479.506263260005 676.588123398508</t>
  </si>
  <si>
    <t>-492.598498724695 469.814715953577 755.338622764112</t>
  </si>
  <si>
    <t>-672.283263168447 279.79411894722 -245.944211079475</t>
  </si>
  <si>
    <t>-670.727861338375 222.802908653505 206.170026451535</t>
  </si>
  <si>
    <t>-706.29509712732 138.449231969975 668.572333843563</t>
  </si>
  <si>
    <t>-556.011302043638 89.0176581284022 745.480219644333</t>
  </si>
  <si>
    <t>9763-20170724T164054.525341200.bin</t>
  </si>
  <si>
    <t>-632.11471623974 377.741128582991 -246.57612076624</t>
  </si>
  <si>
    <t>-657.70902059788 390.394027797254 -364.273402221086</t>
  </si>
  <si>
    <t>-667.805230592329 384.592466587938 -484.917329459962</t>
  </si>
  <si>
    <t>-670.173039076385 372.100784525486 -593.697897451879</t>
  </si>
  <si>
    <t>-665.725438352252 352.616643208117 -701.380058758223</t>
  </si>
  <si>
    <t>-652.341770387131 318.478673571533 -849.216047951673</t>
  </si>
  <si>
    <t>-614.06028189688 280.794841010137 -935.803725428991</t>
  </si>
  <si>
    <t>-648.969024969432 363.382672553947 -789.842790436522</t>
  </si>
  <si>
    <t>-617.286849947991 506.95460341141 -793.002139916125</t>
  </si>
  <si>
    <t>-604.57181000667 582.852448192704 -485.977627189731</t>
  </si>
  <si>
    <t>-404.948335028612 476.637157626163 -357.483119005945</t>
  </si>
  <si>
    <t>-667.558193482155 303.784648661109 -777.763449760839</t>
  </si>
  <si>
    <t>-715.268062639646 172.167665292367 -732.785875027296</t>
  </si>
  <si>
    <t>-723.586783117555 198.888276389891 -417.503479568481</t>
  </si>
  <si>
    <t>-465.728777543381 209.65490386132 -449.681205454457</t>
  </si>
  <si>
    <t>-590.11651043981 468.572399792546 -245.793052165534</t>
  </si>
  <si>
    <t>-619.687569146887 482.678165346811 208.722278928335</t>
  </si>
  <si>
    <t>-649.491282869998 479.799833043668 676.367978296225</t>
  </si>
  <si>
    <t>-492.615716024638 469.793447418292 755.3201335151</t>
  </si>
  <si>
    <t>-674.056143102624 286.69454980475 -246.615682679568</t>
  </si>
  <si>
    <t>-670.130787126002 225.897799852135 204.988152661059</t>
  </si>
  <si>
    <t>-705.820506334832 138.292509265734 666.84486311848</t>
  </si>
  <si>
    <t>-555.956607095105 88.4134854910378 744.281314555943</t>
  </si>
  <si>
    <t>9763-20170724T164054.595692500.bin</t>
  </si>
  <si>
    <t>-633.274669481722 389.030963832951 -247.378241668278</t>
  </si>
  <si>
    <t>-658.299238516786 402.409686954015 -365.11767075302</t>
  </si>
  <si>
    <t>-668.075477254435 397.385805767562 -485.823041842292</t>
  </si>
  <si>
    <t>-670.265905179507 385.598773485544 -594.685901324815</t>
  </si>
  <si>
    <t>-665.755422651322 366.812482644188 -702.489317214575</t>
  </si>
  <si>
    <t>-652.405258184066 333.627661733247 -850.545215472194</t>
  </si>
  <si>
    <t>-614.250368375964 295.965568369186 -937.198276696675</t>
  </si>
  <si>
    <t>-648.204483707946 377.907193711329 -790.757279584128</t>
  </si>
  <si>
    <t>-612.946327344768 520.651671732535 -792.644889828881</t>
  </si>
  <si>
    <t>-600.753756864974 595.847838862856 -485.426644443209</t>
  </si>
  <si>
    <t>-404.482474095019 485.018223439973 -355.671269705991</t>
  </si>
  <si>
    <t>-668.420075825599 318.714676107741 -779.312777806682</t>
  </si>
  <si>
    <t>-719.664342827251 187.972205600916 -735.634469133925</t>
  </si>
  <si>
    <t>-729.033814626926 212.720041115251 -420.220524812948</t>
  </si>
  <si>
    <t>-470.690913583457 218.419324887815 -449.690863141833</t>
  </si>
  <si>
    <t>-588.988763653599 479.456829572927 -246.383464382083</t>
  </si>
  <si>
    <t>-622.04035675199 489.848695894064 207.992206854728</t>
  </si>
  <si>
    <t>-649.549709856569 481.214262629855 675.882618431496</t>
  </si>
  <si>
    <t>-492.909711631692 469.822584876762 755.114270666603</t>
  </si>
  <si>
    <t>-677.133608611233 298.357249345222 -247.729257033958</t>
  </si>
  <si>
    <t>-670.047378453905 230.7267719575 202.863214743163</t>
  </si>
  <si>
    <t>-705.06370060343 138.364684972523 663.96386387491</t>
  </si>
  <si>
    <t>-556.17652108284 87.0969139033051 742.371296015054</t>
  </si>
  <si>
    <t>9763-20170724T164054.626264800.bin</t>
  </si>
  <si>
    <t>-633.694571837706 393.645343991212 -247.662420524761</t>
  </si>
  <si>
    <t>-658.575610020855 407.518337276967 -365.375068122252</t>
  </si>
  <si>
    <t>-668.245635576418 403.039588606 -486.110409653495</t>
  </si>
  <si>
    <t>-670.356712844725 391.758228949539 -595.028339667939</t>
  </si>
  <si>
    <t>-665.783089122314 373.488094249213 -702.917793993253</t>
  </si>
  <si>
    <t>-652.361928014233 341.028030442075 -851.127898700581</t>
  </si>
  <si>
    <t>-614.203177623173 303.520108326726 -937.846071244319</t>
  </si>
  <si>
    <t>-647.823068396791 384.897770216805 -791.063199371183</t>
  </si>
  <si>
    <t>-610.873418722063 527.206458521774 -792.136066108234</t>
  </si>
  <si>
    <t>-599.079406015494 601.826210788982 -484.761654532027</t>
  </si>
  <si>
    <t>-404.230859649814 488.838311545976 -354.723904542219</t>
  </si>
  <si>
    <t>-668.777651829921 325.883379652927 -780.035732059065</t>
  </si>
  <si>
    <t>-721.621867947099 195.505889611165 -737.106193065339</t>
  </si>
  <si>
    <t>-731.513352296699 219.303915010513 -421.635060002346</t>
  </si>
  <si>
    <t>-472.924187498258 223.221570063101 -449.173158692587</t>
  </si>
  <si>
    <t>-588.448257354549 483.807281722806 -246.523583428678</t>
  </si>
  <si>
    <t>-622.839910492196 492.496166737108 207.788431905433</t>
  </si>
  <si>
    <t>-649.439865028178 481.181227381958 675.706944666649</t>
  </si>
  <si>
    <t>-492.841734882875 470.027698796718 755.055110022982</t>
  </si>
  <si>
    <t>-678.596799772642 303.389978150232 -248.017005810016</t>
  </si>
  <si>
    <t>-669.907888820444 232.527621819006 202.050440215486</t>
  </si>
  <si>
    <t>-704.959001585547 138.680705706311 662.962724008872</t>
  </si>
  <si>
    <t>-556.728230755676 85.9820077133908 741.664735501253</t>
  </si>
  <si>
    <t>9763-20170724T164054.690603300.bin</t>
  </si>
  <si>
    <t>-633.854074053109 401.907953743563 -247.908283385623</t>
  </si>
  <si>
    <t>-658.530366412782 416.729730407775 -365.54849285031</t>
  </si>
  <si>
    <t>-668.007236644462 413.334557892797 -486.334385916266</t>
  </si>
  <si>
    <t>-669.9343327116 403.088774546897 -595.358067174467</t>
  </si>
  <si>
    <t>-665.157124894282 385.915589099326 -703.418623625312</t>
  </si>
  <si>
    <t>-651.42383010428 355.047567698372 -851.939968004496</t>
  </si>
  <si>
    <t>-613.202640237164 318.195164102399 -938.911279360091</t>
  </si>
  <si>
    <t>-646.512223287241 398.10235510066 -791.317483755179</t>
  </si>
  <si>
    <t>-607.321996142767 539.835140127539 -790.662551694491</t>
  </si>
  <si>
    <t>-595.071790560555 612.638453410211 -482.870712535149</t>
  </si>
  <si>
    <t>-402.258700300691 496.185202124831 -352.856114992818</t>
  </si>
  <si>
    <t>-668.488566873718 339.309040433898 -781.130251318734</t>
  </si>
  <si>
    <t>-723.657921095758 209.371119095465 -739.928092832475</t>
  </si>
  <si>
    <t>-736.39100460549 232.484474459829 -424.507974590419</t>
  </si>
  <si>
    <t>-477.256303106232 231.728389617947 -446.660106477016</t>
  </si>
  <si>
    <t>-587.058373151569 491.607334950288 -246.595422108724</t>
  </si>
  <si>
    <t>-623.610286465401 497.559314337911 207.591987232425</t>
  </si>
  <si>
    <t>-649.556761625215 482.288557554583 675.438832819384</t>
  </si>
  <si>
    <t>-493.322514360171 468.837623873156 755.147354571626</t>
  </si>
  <si>
    <t>-680.203381906159 312.357166457449 -248.408499826768</t>
  </si>
  <si>
    <t>-667.371910095458 235.889115135207 200.641214957924</t>
  </si>
  <si>
    <t>-704.23851145045 142.113647017546 661.38753817463</t>
  </si>
  <si>
    <t>-557.854014112361 83.9963769892028 739.729562794485</t>
  </si>
  <si>
    <t>9763-20170724T164054.727413700.bin</t>
  </si>
  <si>
    <t>-633.741129687974 405.452267747368 -248.099187378126</t>
  </si>
  <si>
    <t>-658.368573980672 420.741990071731 -365.689604004369</t>
  </si>
  <si>
    <t>-667.76316582131 417.882443013673 -486.495846401977</t>
  </si>
  <si>
    <t>-669.59515057234 408.149910187813 -595.568125213342</t>
  </si>
  <si>
    <t>-664.697295229095 391.521757035439 -703.708637400678</t>
  </si>
  <si>
    <t>-650.76566387707 361.446798073433 -852.374055191799</t>
  </si>
  <si>
    <t>-612.414078005123 325.054997820664 -939.481882235738</t>
  </si>
  <si>
    <t>-645.742229088191 404.109932079746 -791.484571866599</t>
  </si>
  <si>
    <t>-605.742899326968 545.588338051513 -789.981894232251</t>
  </si>
  <si>
    <t>-593.108485713012 617.15100154865 -481.914780104399</t>
  </si>
  <si>
    <t>-400.812547269283 499.552263263227 -352.165465724175</t>
  </si>
  <si>
    <t>-668.11771606063 345.398132955805 -781.703974995752</t>
  </si>
  <si>
    <t>-724.219539763732 215.603990102231 -741.312372588988</t>
  </si>
  <si>
    <t>-738.808837384378 238.023266681577 -425.922611934985</t>
  </si>
  <si>
    <t>-479.429004671199 235.354078805653 -444.818232340661</t>
  </si>
  <si>
    <t>-586.413034427462 494.679968380096 -246.597008303269</t>
  </si>
  <si>
    <t>-623.706851207353 499.44688013148 207.544028008893</t>
  </si>
  <si>
    <t>-649.598399237551 482.441448220994 675.391592675812</t>
  </si>
  <si>
    <t>-493.469840620399 468.434485703401 755.211355834827</t>
  </si>
  <si>
    <t>-680.649798903039 316.458748967724 -248.726517782642</t>
  </si>
  <si>
    <t>-665.67015247084 238.09000622916 199.928785227917</t>
  </si>
  <si>
    <t>-704.356039660007 145.258502942874 660.791050857012</t>
  </si>
  <si>
    <t>-559.550862027084 82.7916115092188 738.71963195893</t>
  </si>
  <si>
    <t>9763-20170724T164054.791581900.bin</t>
  </si>
  <si>
    <t>-633.581117439555 411.13464017196 -248.561657587096</t>
  </si>
  <si>
    <t>-657.910015672318 427.140986889808 -366.118909955493</t>
  </si>
  <si>
    <t>-667.086669418262 425.364277508174 -486.962623179214</t>
  </si>
  <si>
    <t>-668.757113505291 416.751018688722 -596.131649134397</t>
  </si>
  <si>
    <t>-663.731890322416 401.378102825444 -704.451917473264</t>
  </si>
  <si>
    <t>-649.656906710336 373.183214815242 -853.471861207089</t>
  </si>
  <si>
    <t>-610.942937025761 337.884324114948 -940.868525099339</t>
  </si>
  <si>
    <t>-644.389810762709 414.964466282256 -791.994134412119</t>
  </si>
  <si>
    <t>-602.724196780041 555.981636398124 -788.842668788574</t>
  </si>
  <si>
    <t>-590.22354692524 624.198419877663 -480.012072328167</t>
  </si>
  <si>
    <t>-398.470312357776 504.708691320804 -351.190597563973</t>
  </si>
  <si>
    <t>-667.379514716545 356.352706005845 -783.076054508348</t>
  </si>
  <si>
    <t>-725.173652662731 226.77085739221 -744.46382930825</t>
  </si>
  <si>
    <t>-742.123598684749 247.210503420145 -429.057616164222</t>
  </si>
  <si>
    <t>-482.307552362777 242.893133862608 -439.967163249585</t>
  </si>
  <si>
    <t>-585.57704285112 499.52578265431 -246.721424698458</t>
  </si>
  <si>
    <t>-623.544545546825 502.380936511369 207.379920144479</t>
  </si>
  <si>
    <t>-649.707315989463 483.183961091702 675.195245102011</t>
  </si>
  <si>
    <t>-493.882078656851 467.492694925022 755.293798310109</t>
  </si>
  <si>
    <t>-681.238232538904 322.908847599553 -249.641711572378</t>
  </si>
  <si>
    <t>-662.149910521451 243.114871961235 198.606267547548</t>
  </si>
  <si>
    <t>-703.7926070058 153.292376172144 659.511254477565</t>
  </si>
  <si>
    <t>-562.709504141825 81.9386058403917 736.632654279654</t>
  </si>
  <si>
    <t>9763-20170724T164054.828415200.bin</t>
  </si>
  <si>
    <t>-632.390774000503 413.661188442966 -249.146812244909</t>
  </si>
  <si>
    <t>-656.859278310455 429.974218871953 -366.632998018078</t>
  </si>
  <si>
    <t>-666.123634783744 428.710381237733 -487.476514710367</t>
  </si>
  <si>
    <t>-667.856271363537 420.63790662175 -596.68577053811</t>
  </si>
  <si>
    <t>-662.877861294606 405.878654676836 -705.093425783098</t>
  </si>
  <si>
    <t>-648.853310394187 378.608022960055 -854.290073566879</t>
  </si>
  <si>
    <t>-609.924348838112 343.606262038812 -941.710911350592</t>
  </si>
  <si>
    <t>-643.496312741992 419.981878816495 -792.545296866149</t>
  </si>
  <si>
    <t>-601.443401539271 560.857713357823 -788.669605288973</t>
  </si>
  <si>
    <t>-588.944183580938 627.341180126875 -479.461135247401</t>
  </si>
  <si>
    <t>-397.353796574472 506.939391910214 -351.247902092054</t>
  </si>
  <si>
    <t>-666.621173095067 361.366961079077 -784.005210753177</t>
  </si>
  <si>
    <t>-724.847767941347 231.707899549782 -746.2813518873</t>
  </si>
  <si>
    <t>-743.135660936886 251.977938866362 -430.938853013109</t>
  </si>
  <si>
    <t>-483.200143274058 248.027586084779 -438.682747200294</t>
  </si>
  <si>
    <t>-584.842022951844 501.156748407588 -246.980519633821</t>
  </si>
  <si>
    <t>-622.797058163919 503.417375799816 207.125128774193</t>
  </si>
  <si>
    <t>-649.617761855632 482.808530894399 675.05722171525</t>
  </si>
  <si>
    <t>-493.806666635158 467.427486880985 755.243497001518</t>
  </si>
  <si>
    <t>-679.456332020041 326.559125668533 -250.640046726985</t>
  </si>
  <si>
    <t>-658.453160816965 246.81869370609 197.531835012579</t>
  </si>
  <si>
    <t>-700.207684099752 160.343187660442 657.937115230322</t>
  </si>
  <si>
    <t>-561.051249070759 84.9781290468729 734.742879845174</t>
  </si>
  <si>
    <t>9763-20170724T164054.892593600.bin</t>
  </si>
  <si>
    <t>-628.483050338298 417.450070291021 -250.613547899144</t>
  </si>
  <si>
    <t>-653.645219118918 434.102658825942 -367.905278005755</t>
  </si>
  <si>
    <t>-663.417501837625 433.625927106103 -488.714462408376</t>
  </si>
  <si>
    <t>-665.545479615141 426.431579567357 -597.978136437879</t>
  </si>
  <si>
    <t>-660.905128984189 412.705547221645 -706.5364116595</t>
  </si>
  <si>
    <t>-647.296185162662 387.021272850884 -856.052819807785</t>
  </si>
  <si>
    <t>-607.489102608943 352.118780743195 -943.117128970394</t>
  </si>
  <si>
    <t>-641.772743621088 427.739326626206 -793.888053886449</t>
  </si>
  <si>
    <t>-599.86574156278 568.600956995255 -788.820293711355</t>
  </si>
  <si>
    <t>-585.948688369103 632.500122946548 -479.127758219745</t>
  </si>
  <si>
    <t>-394.654856988851 510.416924267743 -352.067211058482</t>
  </si>
  <si>
    <t>-664.862709812074 369.032232860039 -785.904816013487</t>
  </si>
  <si>
    <t>-723.256222560563 239.090923947483 -749.473373480908</t>
  </si>
  <si>
    <t>-742.980587926361 259.858774489526 -434.249836161359</t>
  </si>
  <si>
    <t>-483.043535289358 256.321418535885 -442.141442132977</t>
  </si>
  <si>
    <t>-582.912924099086 503.803793995114 -247.859624047537</t>
  </si>
  <si>
    <t>-620.925032972272 505.3310910795 206.244294801105</t>
  </si>
  <si>
    <t>-649.623629003607 483.061227247538 674.603524995569</t>
  </si>
  <si>
    <t>-493.860710345108 467.760828355431 754.898693375909</t>
  </si>
  <si>
    <t>-673.874530573531 331.162981204066 -252.837743683568</t>
  </si>
  <si>
    <t>-648.839803975902 251.821804470269 195.197875103853</t>
  </si>
  <si>
    <t>-697.163468182086 168.742361446218 655.002837481146</t>
  </si>
  <si>
    <t>-561.896819029443 85.2378105490504 730.324961992244</t>
  </si>
  <si>
    <t>9763-20170724T164054.923170400.bin</t>
  </si>
  <si>
    <t>-627.542833172838 417.855278990313 -251.144040641912</t>
  </si>
  <si>
    <t>-653.207048365542 434.547848636039 -368.321336921405</t>
  </si>
  <si>
    <t>-663.364353371741 434.338943423386 -489.099414057465</t>
  </si>
  <si>
    <t>-665.800982816728 427.469591594249 -598.377708800696</t>
  </si>
  <si>
    <t>-661.434768579528 414.14408220414 -706.997273245686</t>
  </si>
  <si>
    <t>-648.175208168867 389.087912213912 -856.65145012239</t>
  </si>
  <si>
    <t>-607.709926372801 354.159017323649 -943.401138211306</t>
  </si>
  <si>
    <t>-642.531894802988 429.554072608337 -794.333218909486</t>
  </si>
  <si>
    <t>-600.634221454287 570.411250686653 -788.91741867874</t>
  </si>
  <si>
    <t>-586.318792656919 633.468234045579 -479.070649043083</t>
  </si>
  <si>
    <t>-395.046088741191 510.931579403968 -352.415298070898</t>
  </si>
  <si>
    <t>-665.552411328196 370.794903643099 -786.535019153683</t>
  </si>
  <si>
    <t>-723.918082764868 240.747529462006 -750.366848930928</t>
  </si>
  <si>
    <t>-743.118101950175 261.639171460608 -435.119326379059</t>
  </si>
  <si>
    <t>-483.215453598446 257.835633063565 -443.96198763321</t>
  </si>
  <si>
    <t>-582.604680621254 504.340484294909 -248.250284471934</t>
  </si>
  <si>
    <t>-620.526685484258 505.720818793301 205.861709922641</t>
  </si>
  <si>
    <t>-649.639907239675 483.220588257495 674.401246698982</t>
  </si>
  <si>
    <t>-493.995269646853 466.997030051632 754.744542534343</t>
  </si>
  <si>
    <t>-672.600338686747 331.151500180769 -253.453550290491</t>
  </si>
  <si>
    <t>-646.01969731617 252.383787009484 194.59432391409</t>
  </si>
  <si>
    <t>-697.040416044185 169.401465648236 654.221320017271</t>
  </si>
  <si>
    <t>-562.148028030313 84.5983840125966 728.759868245954</t>
  </si>
  <si>
    <t>9763-20170724T164054.991495300.bin</t>
  </si>
  <si>
    <t>-626.422807113779 416.065283851197 -251.501746534382</t>
  </si>
  <si>
    <t>-653.599964797659 432.731545509616 -368.341219060659</t>
  </si>
  <si>
    <t>-664.886986360794 432.686621406205 -489.01906822669</t>
  </si>
  <si>
    <t>-668.194733617034 426.028640650692 -598.287478814825</t>
  </si>
  <si>
    <t>-664.555250439143 412.967997936833 -706.966067034735</t>
  </si>
  <si>
    <t>-652.161612814949 388.327377855655 -856.763364941503</t>
  </si>
  <si>
    <t>-610.302730610593 353.053554678681 -942.708567889313</t>
  </si>
  <si>
    <t>-646.252779291114 428.655678753192 -794.380425496678</t>
  </si>
  <si>
    <t>-604.657099665649 569.609242823664 -788.923070395085</t>
  </si>
  <si>
    <t>-589.283742356583 631.576457975794 -478.907057453962</t>
  </si>
  <si>
    <t>-397.920558136518 508.819860307315 -352.601991436902</t>
  </si>
  <si>
    <t>-669.038033337194 369.80448483771 -786.585023152797</t>
  </si>
  <si>
    <t>-726.742235370835 239.563616960664 -750.141152652846</t>
  </si>
  <si>
    <t>-744.238449479402 258.882058137559 -434.693978616277</t>
  </si>
  <si>
    <t>-484.486682199974 255.561205766552 -447.344206997109</t>
  </si>
  <si>
    <t>-582.160295299493 503.009683270801 -248.724798319452</t>
  </si>
  <si>
    <t>-619.971002359172 504.53488021847 205.396020736208</t>
  </si>
  <si>
    <t>-649.497496278003 482.692768759947 674.086551667833</t>
  </si>
  <si>
    <t>-493.679223905489 468.286354213825 754.439798280585</t>
  </si>
  <si>
    <t>-671.061325375062 328.789984826376 -253.386631952469</t>
  </si>
  <si>
    <t>-640.031325593161 252.103508740998 194.736040809335</t>
  </si>
  <si>
    <t>-693.948124695794 168.324904197651 653.933872225081</t>
  </si>
  <si>
    <t>-555.198503465514 88.6764993237585 727.065143411862</t>
  </si>
  <si>
    <t>9763-20170724T164055.022575600.bin</t>
  </si>
  <si>
    <t>-626.417088831226 415.087172364841 -251.359797124337</t>
  </si>
  <si>
    <t>-654.419238698072 431.70959345331 -368.01053662741</t>
  </si>
  <si>
    <t>-666.287873897297 431.603462915591 -488.632724406397</t>
  </si>
  <si>
    <t>-670.017672067974 424.882525064186 -597.883628756371</t>
  </si>
  <si>
    <t>-666.695902329151 411.751046910615 -706.563681227535</t>
  </si>
  <si>
    <t>-654.635645463232 387.004984779285 -856.370947780763</t>
  </si>
  <si>
    <t>-612.202246770906 351.469686635076 -941.925789485171</t>
  </si>
  <si>
    <t>-648.681521858964 427.411457900564 -794.042937507944</t>
  </si>
  <si>
    <t>-607.488622770351 568.486246165494 -788.835446561637</t>
  </si>
  <si>
    <t>-591.589557927828 630.435225397405 -478.842367393135</t>
  </si>
  <si>
    <t>-399.965274640489 507.951210175424 -352.668418177492</t>
  </si>
  <si>
    <t>-671.262299456261 368.497287353424 -786.129006621973</t>
  </si>
  <si>
    <t>-728.392913589458 238.103232741187 -749.344425732297</t>
  </si>
  <si>
    <t>-744.634495950377 255.521225275862 -433.71961189388</t>
  </si>
  <si>
    <t>-485.010453176752 253.592482305089 -449.006585476044</t>
  </si>
  <si>
    <t>-582.291904948406 502.231896340158 -248.880390726893</t>
  </si>
  <si>
    <t>-619.864015052538 504.141571076088 205.258687560109</t>
  </si>
  <si>
    <t>-649.551688030095 483.044252425177 673.961280319226</t>
  </si>
  <si>
    <t>-493.831961532568 467.934311954229 754.376245585355</t>
  </si>
  <si>
    <t>-670.482777294266 328.033255706002 -253.087686596935</t>
  </si>
  <si>
    <t>-637.468902665517 252.35229653781 195.064276382858</t>
  </si>
  <si>
    <t>-693.172285072518 169.067945240461 654.129457531643</t>
  </si>
  <si>
    <t>-551.88466313872 93.9252077567991 727.169815184992</t>
  </si>
  <si>
    <t>9763-20170724T164055.093492200.bin</t>
  </si>
  <si>
    <t>-627.43985777073 413.079829671646 -251.160327271023</t>
  </si>
  <si>
    <t>-657.652804910267 429.80943107315 -367.242698482706</t>
  </si>
  <si>
    <t>-670.918728776714 429.505769106811 -487.718626036166</t>
  </si>
  <si>
    <t>-675.557010830972 422.48722128057 -596.91610301485</t>
  </si>
  <si>
    <t>-672.783193230405 408.945324101205 -705.561246931943</t>
  </si>
  <si>
    <t>-661.108395540142 383.520915007978 -855.285335836287</t>
  </si>
  <si>
    <t>-617.979658054448 347.419370476823 -940.253551754271</t>
  </si>
  <si>
    <t>-655.293098859887 424.316204093975 -793.197898280031</t>
  </si>
  <si>
    <t>-615.394966932216 565.80097623296 -788.852838545668</t>
  </si>
  <si>
    <t>-598.841596113054 628.677760354279 -479.08096872034</t>
  </si>
  <si>
    <t>-406.173623473235 507.853058330931 -352.896514383309</t>
  </si>
  <si>
    <t>-677.255191705119 365.224623523453 -784.876308731827</t>
  </si>
  <si>
    <t>-732.906654242199 234.501399280208 -746.942156109839</t>
  </si>
  <si>
    <t>-744.564763340053 250.546485480326 -431.042252864109</t>
  </si>
  <si>
    <t>-485.114305818131 250.171650716438 -449.135951575352</t>
  </si>
  <si>
    <t>-583.462496154113 500.011584191724 -249.087316476142</t>
  </si>
  <si>
    <t>-619.8609906315 502.743045301754 205.143173240189</t>
  </si>
  <si>
    <t>-649.521235232271 482.793671887133 673.826397838129</t>
  </si>
  <si>
    <t>-493.836424121831 467.790376013358 754.32891804284</t>
  </si>
  <si>
    <t>-671.481176013666 326.598828568409 -252.273210557786</t>
  </si>
  <si>
    <t>-633.347178834471 252.434937659304 195.72579205472</t>
  </si>
  <si>
    <t>-691.814625847527 170.736522281489 654.539156856931</t>
  </si>
  <si>
    <t>-546.169917836044 104.917450525714 728.016929465287</t>
  </si>
  <si>
    <t>9763-20170724T164055.128251400.bin</t>
  </si>
  <si>
    <t>-628.179132464782 411.374135660243 -250.962732493018</t>
  </si>
  <si>
    <t>-659.08880917002 427.79230736388 -366.906002684534</t>
  </si>
  <si>
    <t>-672.845323636524 427.079842575758 -487.325362348506</t>
  </si>
  <si>
    <t>-677.836082745063 419.65696542691 -596.480492443358</t>
  </si>
  <si>
    <t>-675.321943021256 405.678833369012 -705.076711819112</t>
  </si>
  <si>
    <t>-663.911331984418 379.61862170419 -854.711902935181</t>
  </si>
  <si>
    <t>-620.709811281505 343.224331803484 -939.517901823847</t>
  </si>
  <si>
    <t>-658.213424207186 420.756053062443 -792.839722828854</t>
  </si>
  <si>
    <t>-619.368588952842 562.568576508484 -789.290093528846</t>
  </si>
  <si>
    <t>-602.23517892016 626.380914611364 -479.740936951444</t>
  </si>
  <si>
    <t>-408.825284611965 506.953737310749 -353.361287416794</t>
  </si>
  <si>
    <t>-679.706897719915 361.54282903499 -784.166216751205</t>
  </si>
  <si>
    <t>-734.197999910096 230.577013229586 -745.492303615052</t>
  </si>
  <si>
    <t>-744.308209760537 246.885811710585 -429.55237051012</t>
  </si>
  <si>
    <t>-484.925394440177 247.430600331667 -448.586668522208</t>
  </si>
  <si>
    <t>-584.406670768058 498.057959979216 -249.197540459057</t>
  </si>
  <si>
    <t>-619.998184298623 501.744055580664 205.090248931063</t>
  </si>
  <si>
    <t>-649.549800098907 482.726975171321 673.777486639231</t>
  </si>
  <si>
    <t>-493.801305231199 468.38704322692 754.27772103891</t>
  </si>
  <si>
    <t>-671.645001482017 324.770123326819 -252.012813948491</t>
  </si>
  <si>
    <t>-631.9161015544 252.175510954395 196.104744474678</t>
  </si>
  <si>
    <t>-691.131128943301 171.216939471928 654.849165690996</t>
  </si>
  <si>
    <t>-543.489662569414 111.070391274148 729.199059424618</t>
  </si>
  <si>
    <t>9763-20170724T164055.191419900.bin</t>
  </si>
  <si>
    <t>-627.25552504217 403.026187030918 -250.707519689442</t>
  </si>
  <si>
    <t>-658.971420539592 418.490271265829 -366.5642612257</t>
  </si>
  <si>
    <t>-673.354286092273 416.758663580138 -486.899956393932</t>
  </si>
  <si>
    <t>-678.828629609048 408.403472328712 -595.964479463767</t>
  </si>
  <si>
    <t>-676.713053245721 393.488272395956 -704.444478400529</t>
  </si>
  <si>
    <t>-665.766170956018 366.128332454089 -853.88206453063</t>
  </si>
  <si>
    <t>-622.566710613096 329.485784961504 -938.582231084029</t>
  </si>
  <si>
    <t>-660.449038440852 407.991284985197 -792.464406154825</t>
  </si>
  <si>
    <t>-624.116711674653 550.449580125879 -790.492804844309</t>
  </si>
  <si>
    <t>-605.619486302328 617.246566734354 -481.652711851941</t>
  </si>
  <si>
    <t>-409.728684315835 501.855976529431 -355.344053992686</t>
  </si>
  <si>
    <t>-680.770620075442 348.477184396233 -783.05683960162</t>
  </si>
  <si>
    <t>-732.515710109526 216.826203055036 -742.83042315613</t>
  </si>
  <si>
    <t>-740.186551734459 235.669164063542 -426.962939432502</t>
  </si>
  <si>
    <t>-480.91543138332 237.459831661789 -447.390956368375</t>
  </si>
  <si>
    <t>-585.547625417234 490.797902463084 -249.448514675619</t>
  </si>
  <si>
    <t>-619.156724324752 497.093348996184 204.961479572109</t>
  </si>
  <si>
    <t>-649.50985938345 482.081200504119 673.726534693792</t>
  </si>
  <si>
    <t>-493.545577992307 469.508395634674 754.104277531071</t>
  </si>
  <si>
    <t>-667.937569415881 314.599731382929 -251.532178516832</t>
  </si>
  <si>
    <t>-628.007284249283 245.576167732109 197.13139510255</t>
  </si>
  <si>
    <t>-686.074696372187 165.48333608611 656.190654785119</t>
  </si>
  <si>
    <t>-537.656796083627 111.656760453144 733.768526215964</t>
  </si>
  <si>
    <t>9763-20170724T164055.222505600.bin</t>
  </si>
  <si>
    <t>-625.674882294415 397.311285561157 -250.946773621114</t>
  </si>
  <si>
    <t>-657.739125153266 412.254753194825 -366.775945651964</t>
  </si>
  <si>
    <t>-672.357525316438 410.017916779613 -487.074948996317</t>
  </si>
  <si>
    <t>-677.994045856489 401.222311114774 -596.09666258127</t>
  </si>
  <si>
    <t>-675.988641686272 385.887251696387 -704.520165270118</t>
  </si>
  <si>
    <t>-665.139879721725 357.969920315278 -853.861786649528</t>
  </si>
  <si>
    <t>-621.902058447556 321.357759956494 -938.555482764786</t>
  </si>
  <si>
    <t>-660.115592131702 400.16640620964 -792.648035265405</t>
  </si>
  <si>
    <t>-625.267959311912 542.996992680945 -791.377971141625</t>
  </si>
  <si>
    <t>-605.958397692896 611.353381431332 -482.929089157915</t>
  </si>
  <si>
    <t>-408.271367370707 498.759786745835 -356.895039661261</t>
  </si>
  <si>
    <t>-679.764664270151 340.478552875913 -782.917618927927</t>
  </si>
  <si>
    <t>-730.059198086993 208.478748604042 -741.948359028325</t>
  </si>
  <si>
    <t>-736.395270957182 228.402645378907 -426.117615655581</t>
  </si>
  <si>
    <t>-477.076204572468 231.096155509164 -445.825875970494</t>
  </si>
  <si>
    <t>-585.64734085902 486.158992583487 -249.739869417909</t>
  </si>
  <si>
    <t>-618.050569683533 493.983763972857 204.734034136941</t>
  </si>
  <si>
    <t>-649.517160576074 482.04323647192 673.627925139772</t>
  </si>
  <si>
    <t>-493.483009692034 469.957727503059 753.944833028566</t>
  </si>
  <si>
    <t>-664.956346235428 308.151258335688 -251.731843389683</t>
  </si>
  <si>
    <t>-625.751094805318 241.447447490972 197.346395652002</t>
  </si>
  <si>
    <t>-684.53404891659 164.050472589501 656.264795238174</t>
  </si>
  <si>
    <t>-536.534722710848 110.072075977608 734.533789521593</t>
  </si>
  <si>
    <t>9763-20170724T164055.293292800.bin</t>
  </si>
  <si>
    <t>-625.195689700296 386.718633203755 -251.53246077538</t>
  </si>
  <si>
    <t>-657.740787828989 400.805212515156 -367.334786120186</t>
  </si>
  <si>
    <t>-672.722441176343 397.586726979644 -487.566953531122</t>
  </si>
  <si>
    <t>-678.631693581341 387.869091449372 -596.495782188545</t>
  </si>
  <si>
    <t>-676.841614788228 371.583578664151 -704.784459864189</t>
  </si>
  <si>
    <t>-666.231297892262 342.323300980211 -853.885931992147</t>
  </si>
  <si>
    <t>-622.924930127161 305.659889711502 -938.522491731098</t>
  </si>
  <si>
    <t>-661.78612717578 385.268296147357 -793.149656459444</t>
  </si>
  <si>
    <t>-630.027560403658 528.855707115352 -793.467797960876</t>
  </si>
  <si>
    <t>-609.449311770722 599.374901358182 -485.588398259592</t>
  </si>
  <si>
    <t>-407.71186588571 493.235924764664 -360.374187887682</t>
  </si>
  <si>
    <t>-680.065879866064 325.271879544559 -782.676495779501</t>
  </si>
  <si>
    <t>-727.277210357207 192.686509505641 -740.141089011572</t>
  </si>
  <si>
    <t>-732.151241388804 215.238190405103 -424.461015547865</t>
  </si>
  <si>
    <t>-472.886378386194 222.602769183686 -443.685168897028</t>
  </si>
  <si>
    <t>-587.284329468588 476.502795000312 -250.283697560532</t>
  </si>
  <si>
    <t>-616.159324475395 487.65196615163 204.358600634729</t>
  </si>
  <si>
    <t>-649.479911387705 481.547263196323 673.507714978623</t>
  </si>
  <si>
    <t>-493.271331607536 470.560832013982 753.643118959562</t>
  </si>
  <si>
    <t>-663.087636471959 297.220862446127 -252.492482290109</t>
  </si>
  <si>
    <t>-626.468016678149 237.835318915651 197.829652346029</t>
  </si>
  <si>
    <t>-684.059294079403 164.813378695581 657.413624245072</t>
  </si>
  <si>
    <t>-535.498412714291 111.895530127916 735.342221854957</t>
  </si>
  <si>
    <t>9763-20170724T164055.325381300.bin</t>
  </si>
  <si>
    <t>-625.686825346546 381.013746170454 -251.856202355458</t>
  </si>
  <si>
    <t>-658.640218374464 394.849732582193 -367.573265143655</t>
  </si>
  <si>
    <t>-673.864792727562 391.21587235623 -487.762978754058</t>
  </si>
  <si>
    <t>-679.922225833217 381.059599692683 -596.643665684501</t>
  </si>
  <si>
    <t>-678.20935190585 364.273996979248 -704.857202021055</t>
  </si>
  <si>
    <t>-667.633615190678 334.257978176276 -853.810970669297</t>
  </si>
  <si>
    <t>-624.271338332732 297.526031920705 -938.389041782847</t>
  </si>
  <si>
    <t>-663.498895691979 377.600060650075 -793.335375202373</t>
  </si>
  <si>
    <t>-633.109040227453 521.461676740833 -794.490744842031</t>
  </si>
  <si>
    <t>-612.121728482713 592.974546076237 -486.868112170691</t>
  </si>
  <si>
    <t>-408.34436705094 490.226141043818 -362.129900189191</t>
  </si>
  <si>
    <t>-681.127144519527 317.478289086745 -782.471635159258</t>
  </si>
  <si>
    <t>-726.914034653381 184.613607356104 -739.18305082157</t>
  </si>
  <si>
    <t>-729.894931402436 208.096315797994 -423.547382656054</t>
  </si>
  <si>
    <t>-470.694189626181 217.284913415685 -442.850722484412</t>
  </si>
  <si>
    <t>-588.64002705744 471.238363129962 -250.448572983433</t>
  </si>
  <si>
    <t>-615.324517822092 484.309944129399 204.276372914379</t>
  </si>
  <si>
    <t>-649.556009024906 481.529211596484 673.477489786944</t>
  </si>
  <si>
    <t>-493.248975622682 471.172145320507 753.504780668593</t>
  </si>
  <si>
    <t>-662.80545636552 291.066097581852 -252.882357204045</t>
  </si>
  <si>
    <t>-627.908905854349 235.622069795216 198.078754461344</t>
  </si>
  <si>
    <t>-684.037943686437 164.58446198148 658.306257781234</t>
  </si>
  <si>
    <t>-534.560675582156 113.269085571229 735.551220536979</t>
  </si>
  <si>
    <t>9763-20170724T164055.391071300.bin</t>
  </si>
  <si>
    <t>-626.834515945929 368.566796778271 -252.319859168608</t>
  </si>
  <si>
    <t>-660.394366930542 382.018181190734 -367.907985996531</t>
  </si>
  <si>
    <t>-675.970366791794 377.511048448516 -488.023048550678</t>
  </si>
  <si>
    <t>-682.234554781334 366.372580409632 -596.796047991658</t>
  </si>
  <si>
    <t>-680.618868054704 348.415124539372 -704.822655136274</t>
  </si>
  <si>
    <t>-670.067629678867 316.579970415967 -853.399925523641</t>
  </si>
  <si>
    <t>-626.594468334598 279.580116316377 -937.804155190796</t>
  </si>
  <si>
    <t>-666.59422804121 360.830989893703 -793.544213597626</t>
  </si>
  <si>
    <t>-639.02121438545 505.243814305584 -796.579285049991</t>
  </si>
  <si>
    <t>-617.386152163971 579.307867216796 -489.605921178003</t>
  </si>
  <si>
    <t>-410.269115540656 482.656854271766 -365.496501102448</t>
  </si>
  <si>
    <t>-682.878167811878 300.501135852066 -781.773874955557</t>
  </si>
  <si>
    <t>-725.640250038799 167.32280941134 -736.416567471004</t>
  </si>
  <si>
    <t>-723.903909263432 193.27457595538 -420.965075742852</t>
  </si>
  <si>
    <t>-465.065691541378 205.6702333721 -443.12722296142</t>
  </si>
  <si>
    <t>-591.665971777778 459.605546883042 -250.441161114321</t>
  </si>
  <si>
    <t>-613.300571301791 477.116041254353 204.402774130112</t>
  </si>
  <si>
    <t>-649.751451946266 481.279339551534 673.530188942092</t>
  </si>
  <si>
    <t>-493.27186220965 471.630431889272 753.308356509384</t>
  </si>
  <si>
    <t>-661.789449989723 277.597535228827 -253.553071009399</t>
  </si>
  <si>
    <t>-632.327575074886 230.594220332878 198.752616835464</t>
  </si>
  <si>
    <t>-684.218795530006 165.119896352579 660.48140955867</t>
  </si>
  <si>
    <t>-533.243430071464 115.589492730257 735.957900617228</t>
  </si>
  <si>
    <t>9763-20170724T164055.427673300.bin</t>
  </si>
  <si>
    <t>-627.167178795424 361.65176245877 -252.342244585261</t>
  </si>
  <si>
    <t>-660.730403228532 374.940834463134 -367.948039378871</t>
  </si>
  <si>
    <t>-676.325898930453 369.980938917126 -488.042815080036</t>
  </si>
  <si>
    <t>-682.610767950359 358.320127352252 -596.759821273457</t>
  </si>
  <si>
    <t>-681.018838048351 339.729467973082 -704.679726343586</t>
  </si>
  <si>
    <t>-670.504084462706 306.903014249861 -853.043607429412</t>
  </si>
  <si>
    <t>-627.026656425938 269.788819226164 -937.395467139489</t>
  </si>
  <si>
    <t>-667.356862641252 351.634172611741 -793.527760662273</t>
  </si>
  <si>
    <t>-641.18646405491 496.269777125528 -797.546681187097</t>
  </si>
  <si>
    <t>-619.022998172847 572.050622617964 -491.030291784794</t>
  </si>
  <si>
    <t>-410.562544821238 478.079081289988 -367.112643585852</t>
  </si>
  <si>
    <t>-682.956168952035 291.221274345026 -781.266645374468</t>
  </si>
  <si>
    <t>-724.093171445774 157.85907610322 -734.911364244906</t>
  </si>
  <si>
    <t>-720.092242631137 184.422501690043 -419.531209086494</t>
  </si>
  <si>
    <t>-461.503654919999 199.111872740319 -443.158174029663</t>
  </si>
  <si>
    <t>-592.932758562245 452.898142426685 -250.201264622211</t>
  </si>
  <si>
    <t>-611.60996155349 472.982214816574 204.667352111025</t>
  </si>
  <si>
    <t>-649.769849393272 480.568655756555 673.650973690015</t>
  </si>
  <si>
    <t>-493.119258155825 472.080968602444 753.225217274553</t>
  </si>
  <si>
    <t>-660.96015695842 270.406280895513 -253.814334889153</t>
  </si>
  <si>
    <t>-635.305530096684 227.698634603371 199.148692769491</t>
  </si>
  <si>
    <t>-684.328070729311 165.601027048028 661.562032569875</t>
  </si>
  <si>
    <t>-532.773900302896 116.672807022025 736.267250454981</t>
  </si>
  <si>
    <t>9763-20170724T164055.494852200.bin</t>
  </si>
  <si>
    <t>-627.528008247577 347.200301454829 -252.169646134775</t>
  </si>
  <si>
    <t>-661.089140238955 360.220426433614 -367.806824612547</t>
  </si>
  <si>
    <t>-676.78715056931 354.561325340689 -487.857123722635</t>
  </si>
  <si>
    <t>-683.198095726811 342.105404898265 -596.478593801279</t>
  </si>
  <si>
    <t>-681.762682435873 322.56187830718 -704.23219221741</t>
  </si>
  <si>
    <t>-671.495118504313 288.25458592226 -852.278088274139</t>
  </si>
  <si>
    <t>-628.112431263233 251.155247101491 -936.685158410348</t>
  </si>
  <si>
    <t>-668.955612306821 333.733808917372 -793.302607938693</t>
  </si>
  <si>
    <t>-645.524147051368 478.730007734547 -799.566575846619</t>
  </si>
  <si>
    <t>-623.016570632931 558.303580564274 -494.038169139731</t>
  </si>
  <si>
    <t>-412.227219574211 469.284701592988 -370.403565558752</t>
  </si>
  <si>
    <t>-683.120747339344 273.135310240694 -780.242192520329</t>
  </si>
  <si>
    <t>-722.262084992306 139.3391652788 -733.487749742488</t>
  </si>
  <si>
    <t>-719.546769061713 155.653262715023 -417.398147062827</t>
  </si>
  <si>
    <t>-462.349743342216 181.799413043801 -445.825503619656</t>
  </si>
  <si>
    <t>-595.225154537396 439.126577251213 -249.395576984889</t>
  </si>
  <si>
    <t>-607.076336012464 465.16930186893 205.399947751643</t>
  </si>
  <si>
    <t>-650.107317128615 480.254433716838 673.870584513246</t>
  </si>
  <si>
    <t>-493.284377412077 471.943381426918 753.123346083268</t>
  </si>
  <si>
    <t>-659.545980742681 254.94014656069 -254.167835938397</t>
  </si>
  <si>
    <t>-642.519565053015 221.326936725287 199.966478382457</t>
  </si>
  <si>
    <t>-684.557372308342 166.260918603195 663.785291850804</t>
  </si>
  <si>
    <t>-531.456443070495 120.704981281837 737.462184283681</t>
  </si>
  <si>
    <t>9763-20170724T164055.526448400.bin</t>
  </si>
  <si>
    <t>-627.588556269502 339.520206369677 -251.745088004383</t>
  </si>
  <si>
    <t>-660.910177843721 352.336570132774 -367.474120468026</t>
  </si>
  <si>
    <t>-676.525369728737 346.42560257824 -487.523364104753</t>
  </si>
  <si>
    <t>-682.91312127411 333.740426096611 -596.119643726476</t>
  </si>
  <si>
    <t>-681.499012575959 313.974045405644 -703.832724441463</t>
  </si>
  <si>
    <t>-671.29976039403 279.371923436909 -851.814787641232</t>
  </si>
  <si>
    <t>-628.009585540361 242.551177797608 -936.391226072173</t>
  </si>
  <si>
    <t>-669.206581133862 325.063302576472 -792.986015706317</t>
  </si>
  <si>
    <t>-647.302483031491 470.302569305259 -800.061358810566</t>
  </si>
  <si>
    <t>-624.580684301487 551.325839615069 -494.930031055554</t>
  </si>
  <si>
    <t>-412.774739793408 464.594607978789 -371.406589635139</t>
  </si>
  <si>
    <t>-682.418656199026 264.301250112087 -779.688799292368</t>
  </si>
  <si>
    <t>-720.073262165657 129.747176206271 -733.450419464649</t>
  </si>
  <si>
    <t>-716.800996774282 151.833753401303 -417.716808980336</t>
  </si>
  <si>
    <t>-460.329476086229 182.791525266267 -447.81754544867</t>
  </si>
  <si>
    <t>-596.285668843402 432.008646818787 -248.829819335454</t>
  </si>
  <si>
    <t>-604.288902262053 461.108283751991 205.864325277366</t>
  </si>
  <si>
    <t>-650.236403587177 479.967286982848 673.977780483051</t>
  </si>
  <si>
    <t>-493.370603679356 471.464023321285 753.12530475498</t>
  </si>
  <si>
    <t>-658.522154326402 246.705941453017 -254.056599931257</t>
  </si>
  <si>
    <t>-646.361175510725 217.843575277634 200.560541015499</t>
  </si>
  <si>
    <t>-684.715225696944 166.483918730252 665.030435541889</t>
  </si>
  <si>
    <t>-530.941824300428 122.607069149494 738.32479852007</t>
  </si>
  <si>
    <t>9763-20170724T164055.590120500.bin</t>
  </si>
  <si>
    <t>-628.083384954525 323.914051007813 -250.510242387934</t>
  </si>
  <si>
    <t>-661.161434676839 335.883122106825 -366.399743550226</t>
  </si>
  <si>
    <t>-676.715486477622 329.212080475741 -486.416929299703</t>
  </si>
  <si>
    <t>-683.121451026845 315.893036318953 -594.936252188478</t>
  </si>
  <si>
    <t>-681.797681877777 295.549597284874 -702.543018883672</t>
  </si>
  <si>
    <t>-671.796415650039 260.208272592051 -850.363764220909</t>
  </si>
  <si>
    <t>-629.024800379903 223.722331159383 -935.348237948799</t>
  </si>
  <si>
    <t>-670.530490170904 306.353515045515 -791.866603907902</t>
  </si>
  <si>
    <t>-652.525744175038 452.143869688372 -799.746013528709</t>
  </si>
  <si>
    <t>-628.312040225361 535.641897742726 -495.397516773602</t>
  </si>
  <si>
    <t>-414.18169577167 453.559168088103 -372.708272022288</t>
  </si>
  <si>
    <t>-681.912873062402 245.337899261953 -778.04884800801</t>
  </si>
  <si>
    <t>-715.651304206878 110.366557412896 -730.430628913813</t>
  </si>
  <si>
    <t>-709.509875757348 144.425232019288 -415.806254085111</t>
  </si>
  <si>
    <t>-453.952228784208 179.959974447724 -448.511420776554</t>
  </si>
  <si>
    <t>-599.690462885538 417.617235747279 -247.132639192991</t>
  </si>
  <si>
    <t>-597.58850303878 452.757775301933 207.20034186489</t>
  </si>
  <si>
    <t>-650.603964466334 478.79742697885 674.514543434572</t>
  </si>
  <si>
    <t>-493.593424435458 470.846388455057 753.432075507668</t>
  </si>
  <si>
    <t>-656.361678640638 229.991766559261 -253.009424825989</t>
  </si>
  <si>
    <t>-653.968006779172 209.91501225621 202.236515157391</t>
  </si>
  <si>
    <t>-685.141920003126 166.542462430762 667.811151368452</t>
  </si>
  <si>
    <t>-530.233040932115 125.810085211383 740.527126564101</t>
  </si>
  <si>
    <t>9763-20170724T164055.626224900.bin</t>
  </si>
  <si>
    <t>-628.833392037747 316.114324565742 -249.285143466592</t>
  </si>
  <si>
    <t>-661.025099724279 327.432624146842 -365.489194868511</t>
  </si>
  <si>
    <t>-675.971452869402 320.150895269015 -485.548139428339</t>
  </si>
  <si>
    <t>-681.961987493507 306.294073105616 -594.023643091989</t>
  </si>
  <si>
    <t>-680.366821023362 285.420537418774 -701.525297529263</t>
  </si>
  <si>
    <t>-670.144727011358 249.344327408017 -849.153280313321</t>
  </si>
  <si>
    <t>-627.597229460869 212.827194917292 -934.236802971115</t>
  </si>
  <si>
    <t>-669.320693030122 295.835454390497 -790.922564454281</t>
  </si>
  <si>
    <t>-652.854937827028 441.763208374203 -799.31456292392</t>
  </si>
  <si>
    <t>-629.021523153467 525.600716184022 -495.029608998895</t>
  </si>
  <si>
    <t>-413.634497357396 445.965889797878 -372.927994097844</t>
  </si>
  <si>
    <t>-680.014690005273 234.778434078872 -776.7423701321</t>
  </si>
  <si>
    <t>-711.832172369384 99.6744122884128 -728.206186945926</t>
  </si>
  <si>
    <t>-706.123876159762 134.595166781665 -413.668240058855</t>
  </si>
  <si>
    <t>-450.896767174338 172.306724046839 -446.516408148068</t>
  </si>
  <si>
    <t>-602.010654324203 410.271775124401 -245.854355820229</t>
  </si>
  <si>
    <t>-593.967065395913 448.551472859332 208.158454954555</t>
  </si>
  <si>
    <t>-650.831780706384 477.966678120276 674.89686530955</t>
  </si>
  <si>
    <t>-493.822509037634 470.229918085451 753.838224898822</t>
  </si>
  <si>
    <t>-655.340679210515 221.615081384524 -252.050950881721</t>
  </si>
  <si>
    <t>-657.408951259609 205.753101753788 203.36291991267</t>
  </si>
  <si>
    <t>-685.321092489367 166.513210626479 669.36435167559</t>
  </si>
  <si>
    <t>-529.958353207628 127.128662499111 741.854298618272</t>
  </si>
  <si>
    <t>9763-20170724T164055.689390300.bin</t>
  </si>
  <si>
    <t>-630.555346473202 301.112802309147 -246.418429570817</t>
  </si>
  <si>
    <t>-661.118184181964 311.105277611222 -363.182551450919</t>
  </si>
  <si>
    <t>-674.746020381307 302.639474874402 -483.320608253223</t>
  </si>
  <si>
    <t>-679.708946499133 287.770032338489 -591.71395240231</t>
  </si>
  <si>
    <t>-677.269632562992 265.933297146226 -699.008383497051</t>
  </si>
  <si>
    <t>-666.079411203502 228.561267448111 -846.243183002512</t>
  </si>
  <si>
    <t>-623.748498582069 191.86507608106 -931.357652010695</t>
  </si>
  <si>
    <t>-666.262267930301 275.649819500002 -788.488901305089</t>
  </si>
  <si>
    <t>-652.145190106872 421.708663674833 -797.842037391694</t>
  </si>
  <si>
    <t>-630.226963345264 507.054659461115 -493.832440471041</t>
  </si>
  <si>
    <t>-413.485756004994 430.811694648554 -371.962357214977</t>
  </si>
  <si>
    <t>-675.799188602066 214.544608601141 -773.703700407052</t>
  </si>
  <si>
    <t>-704.424576649886 79.2814993507601 -723.662870658464</t>
  </si>
  <si>
    <t>-698.521996802877 117.644477767229 -409.529750381401</t>
  </si>
  <si>
    <t>-442.721582593226 155.819341706491 -436.932002340008</t>
  </si>
  <si>
    <t>-606.740571895415 396.039331276404 -242.737038569869</t>
  </si>
  <si>
    <t>-585.221033638787 440.990653011819 210.22434378451</t>
  </si>
  <si>
    <t>-651.28381228207 476.344390803478 675.571233776584</t>
  </si>
  <si>
    <t>-494.241721661759 468.843997170949 754.470156011229</t>
  </si>
  <si>
    <t>-654.25033218147 205.99107720449 -249.292967655594</t>
  </si>
  <si>
    <t>-663.144725902931 197.55451469786 206.23686198201</t>
  </si>
  <si>
    <t>-685.639931686926 166.558375984256 672.838401612662</t>
  </si>
  <si>
    <t>-529.380797100627 130.073606886864 744.917881578664</t>
  </si>
  <si>
    <t>9763-20170724T164055.721978400.bin</t>
  </si>
  <si>
    <t>-632.129849123743 294.662855400619 -244.456320916895</t>
  </si>
  <si>
    <t>-661.396087440221 304.092172534131 -361.598873570259</t>
  </si>
  <si>
    <t>-674.062888078707 295.101114603494 -481.804117539286</t>
  </si>
  <si>
    <t>-678.313341606683 279.772553164398 -590.163742851534</t>
  </si>
  <si>
    <t>-675.326991156356 257.487571747508 -697.351984513903</t>
  </si>
  <si>
    <t>-663.55430516284 219.499175415315 -844.383526669684</t>
  </si>
  <si>
    <t>-621.195231130341 182.739890354511 -929.456753125187</t>
  </si>
  <si>
    <t>-664.279986657707 266.868333002742 -786.863566927248</t>
  </si>
  <si>
    <t>-651.595899666196 413.02156034599 -796.712152296616</t>
  </si>
  <si>
    <t>-630.259504962002 500.088543390794 -493.149550431699</t>
  </si>
  <si>
    <t>-413.398927565016 425.484273188129 -370.480470233926</t>
  </si>
  <si>
    <t>-673.246738904573 205.74732363099 -771.789640387521</t>
  </si>
  <si>
    <t>-700.468450095472 70.4823560012147 -720.969547143643</t>
  </si>
  <si>
    <t>-694.041687140687 111.917827260575 -407.237279428972</t>
  </si>
  <si>
    <t>-437.637534480463 148.183093800607 -431.399179366177</t>
  </si>
  <si>
    <t>-609.805843530171 390.40386354842 -240.738873279958</t>
  </si>
  <si>
    <t>-579.129761402096 437.474710128545 211.479017193805</t>
  </si>
  <si>
    <t>-651.68549867909 475.459213588119 676.125514934155</t>
  </si>
  <si>
    <t>-494.650551181204 467.242812351487 754.967316768962</t>
  </si>
  <si>
    <t>-653.999144211504 199.130208383336 -247.625318529496</t>
  </si>
  <si>
    <t>-665.146634243868 193.628251004689 207.899809210412</t>
  </si>
  <si>
    <t>-685.82362807134 166.518304932547 674.758353777498</t>
  </si>
  <si>
    <t>-529.194039962182 131.260996658067 746.644374055946</t>
  </si>
  <si>
    <t>9763-20170724T164055.772644600.bin</t>
  </si>
  <si>
    <t>-634.529321389908 288.345640133437 -242.091758267411</t>
  </si>
  <si>
    <t>-662.651951469043 297.370508984928 -359.545842251749</t>
  </si>
  <si>
    <t>-674.440884014272 287.920085758607 -479.80512425541</t>
  </si>
  <si>
    <t>-678.023002978637 272.153346568273 -588.12608986142</t>
  </si>
  <si>
    <t>-674.501965198229 249.403377080043 -695.200215367687</t>
  </si>
  <si>
    <t>-662.131164311262 210.737290580254 -842.005923924772</t>
  </si>
  <si>
    <t>-619.718299478518 173.90944059705 -927.02266408539</t>
  </si>
  <si>
    <t>-663.388512058399 258.405309838403 -784.742503418867</t>
  </si>
  <si>
    <t>-651.875632836522 404.620100665769 -795.286097732848</t>
  </si>
  <si>
    <t>-631.414469438986 493.194615952046 -492.09955767271</t>
  </si>
  <si>
    <t>-414.584870625215 420.493207199378 -368.238885999199</t>
  </si>
  <si>
    <t>-671.821214927188 197.286369052953 -769.355444359093</t>
  </si>
  <si>
    <t>-698.023037722572 62.104203540942 -717.78090947244</t>
  </si>
  <si>
    <t>-691.306710467074 106.746968818026 -404.494925589096</t>
  </si>
  <si>
    <t>-434.39760134884 140.994053434225 -426.103260381803</t>
  </si>
  <si>
    <t>-614.569464965651 384.07168553971 -237.870727485951</t>
  </si>
  <si>
    <t>-571.65215695743 433.918696823531 213.051731864186</t>
  </si>
  <si>
    <t>-651.956979977127 473.803322930032 676.458786124064</t>
  </si>
  <si>
    <t>-494.953735358301 465.64510458083 755.369681898</t>
  </si>
  <si>
    <t>-654.469114375066 192.603275456477 -245.670724282643</t>
  </si>
  <si>
    <t>-666.988736887883 189.614749098445 209.84227367303</t>
  </si>
  <si>
    <t>-686.027040448171 166.529824467814 676.80549873857</t>
  </si>
  <si>
    <t>-529.128557983726 132.110926479799 748.511208730705</t>
  </si>
  <si>
    <t>9763-20170724T164055.824262100.bin</t>
  </si>
  <si>
    <t>-640.173246911509 278.681188027808 -237.143288015618</t>
  </si>
  <si>
    <t>-665.646070733534 287.595333342262 -355.208851159638</t>
  </si>
  <si>
    <t>-675.379989915399 277.508595922826 -475.600158908755</t>
  </si>
  <si>
    <t>-677.382959182303 260.94510208633 -583.84285835911</t>
  </si>
  <si>
    <t>-672.581108449166 237.167518916121 -690.643661908256</t>
  </si>
  <si>
    <t>-658.75596950422 196.826750318739 -836.867826966683</t>
  </si>
  <si>
    <t>-616.095457126304 159.724204380484 -921.640930482581</t>
  </si>
  <si>
    <t>-661.08795215336 245.197098976308 -780.230461975861</t>
  </si>
  <si>
    <t>-651.644014553672 391.417555045938 -792.568828751476</t>
  </si>
  <si>
    <t>-634.12376243408 483.267170501255 -490.173571444658</t>
  </si>
  <si>
    <t>-417.366290759011 414.367598190699 -364.034342375311</t>
  </si>
  <si>
    <t>-668.658409471989 184.155418331792 -764.105921064112</t>
  </si>
  <si>
    <t>-693.672153331927 49.1730089842538 -711.415223361385</t>
  </si>
  <si>
    <t>-690.242740904943 100.11044472348 -399.037616628135</t>
  </si>
  <si>
    <t>-432.987321976929 131.874795659149 -420.315082679385</t>
  </si>
  <si>
    <t>-624.202587942785 375.255445945445 -231.845121425447</t>
  </si>
  <si>
    <t>-555.093721958962 428.270905892073 215.447877381278</t>
  </si>
  <si>
    <t>-652.35614539718 470.835998906361 675.18496821782</t>
  </si>
  <si>
    <t>-495.720356865038 462.131364320112 754.764981302132</t>
  </si>
  <si>
    <t>-656.299937771849 181.561909257603 -241.721866175752</t>
  </si>
  <si>
    <t>-670.492011292109 182.594256339403 213.75061879467</t>
  </si>
  <si>
    <t>-686.464245336525 166.509314989162 680.938239319889</t>
  </si>
  <si>
    <t>-528.906067051533 134.360984332232 752.250282957192</t>
  </si>
  <si>
    <t>9763-20170724T164055.889532500.bin</t>
  </si>
  <si>
    <t>-643.93317740852 266.820031783615 -233.210007958962</t>
  </si>
  <si>
    <t>-668.103306946822 276.97345201198 -351.449211012766</t>
  </si>
  <si>
    <t>-676.471161379348 267.040391973472 -471.956026981092</t>
  </si>
  <si>
    <t>-677.233799574678 250.165457695343 -580.166408819393</t>
  </si>
  <si>
    <t>-671.20364874667 225.625911522489 -686.732384782166</t>
  </si>
  <si>
    <t>-655.701883760616 183.763649903104 -832.359511282144</t>
  </si>
  <si>
    <t>-612.604492567891 146.284349475517 -916.745015324277</t>
  </si>
  <si>
    <t>-659.064007556849 232.754246277573 -776.310120936576</t>
  </si>
  <si>
    <t>-651.444837932792 378.953530577832 -790.260167904123</t>
  </si>
  <si>
    <t>-636.853045460344 474.23429119627 -488.772600147923</t>
  </si>
  <si>
    <t>-420.279550811278 408.258172312504 -360.768092463881</t>
  </si>
  <si>
    <t>-666.057882262776 171.818436271018 -759.538025948228</t>
  </si>
  <si>
    <t>-690.819259769554 36.7848873789177 -706.859907549769</t>
  </si>
  <si>
    <t>-693.609428202721 95.1529221937742 -395.778511738193</t>
  </si>
  <si>
    <t>-436.442997301331 124.95042002879 -420.670287872196</t>
  </si>
  <si>
    <t>-629.361320382598 364.285231917684 -227.312294897433</t>
  </si>
  <si>
    <t>-546.86916903245 424.28083368606 216.819678247091</t>
  </si>
  <si>
    <t>-651.910863968694 469.442436941523 673.727228504346</t>
  </si>
  <si>
    <t>-495.863078095352 460.426389051491 754.419900656646</t>
  </si>
  <si>
    <t>-658.327086709019 169.361839149791 -238.949959636555</t>
  </si>
  <si>
    <t>-673.67481118584 174.076490852911 216.461772796662</t>
  </si>
  <si>
    <t>-687.049581663298 166.377808218539 684.251638132974</t>
  </si>
  <si>
    <t>-528.765045682596 137.126395567211 755.201369127423</t>
  </si>
  <si>
    <t>9763-20170724T164055.926131300.bin</t>
  </si>
  <si>
    <t>-645.23346815937 261.54257963845 -232.507854631002</t>
  </si>
  <si>
    <t>-669.018757913405 272.046919817407 -350.794424261291</t>
  </si>
  <si>
    <t>-676.896132188608 262.171885061787 -471.339099970209</t>
  </si>
  <si>
    <t>-677.191469573388 245.219080593836 -579.539595423253</t>
  </si>
  <si>
    <t>-670.683293649967 220.46647468979 -686.028247807001</t>
  </si>
  <si>
    <t>-654.518775635132 178.164913552345 -831.456068321592</t>
  </si>
  <si>
    <t>-611.175111378984 140.501854431069 -915.6333409456</t>
  </si>
  <si>
    <t>-658.15654484686 227.32619926421 -775.573610760578</t>
  </si>
  <si>
    <t>-650.675140088283 373.489705466496 -789.784691929946</t>
  </si>
  <si>
    <t>-637.66698671007 470.113485591995 -488.652113748931</t>
  </si>
  <si>
    <t>-421.30543894661 405.433877280201 -359.631722592617</t>
  </si>
  <si>
    <t>-665.185629715757 166.437921453895 -758.643832112609</t>
  </si>
  <si>
    <t>-690.066847581299 31.3380029689279 -706.147576226951</t>
  </si>
  <si>
    <t>-695.280320477281 91.0290476664985 -395.34857811683</t>
  </si>
  <si>
    <t>-438.492846178479 122.300080979123 -422.262823847981</t>
  </si>
  <si>
    <t>-631.22647371107 358.837726507409 -226.537502213274</t>
  </si>
  <si>
    <t>-545.607471060917 420.99104983082 216.705130724187</t>
  </si>
  <si>
    <t>-651.522719390005 468.379705089905 672.91319894964</t>
  </si>
  <si>
    <t>-495.933841150102 460.163080903252 754.571579455555</t>
  </si>
  <si>
    <t>-659.210566247451 164.038515688075 -238.319286955857</t>
  </si>
  <si>
    <t>-674.970499267607 170.012050835808 217.063654465222</t>
  </si>
  <si>
    <t>-687.355732456466 166.233170862063 685.252036669135</t>
  </si>
  <si>
    <t>-528.570229197792 139.503410489851 756.077129957939</t>
  </si>
  <si>
    <t>9763-20170724T164055.994398700.bin</t>
  </si>
  <si>
    <t>-646.991963623378 251.60718152286 -233.214851454701</t>
  </si>
  <si>
    <t>-670.006551875213 261.704219018662 -351.689156318189</t>
  </si>
  <si>
    <t>-677.003785170078 251.56976571525 -472.266439492929</t>
  </si>
  <si>
    <t>-676.490636404062 234.431357099049 -580.437139101528</t>
  </si>
  <si>
    <t>-669.179036942238 209.534272989208 -686.839764114365</t>
  </si>
  <si>
    <t>-651.918974978865 167.066742540117 -832.09337291556</t>
  </si>
  <si>
    <t>-608.125752430611 129.112495613498 -915.906226605547</t>
  </si>
  <si>
    <t>-655.853744494915 216.281847754545 -776.278336686102</t>
  </si>
  <si>
    <t>-647.685399378661 362.431871519562 -790.224011496015</t>
  </si>
  <si>
    <t>-637.747473825409 460.664373282346 -489.495288025384</t>
  </si>
  <si>
    <t>-422.163839864526 396.888516186772 -358.734560374487</t>
  </si>
  <si>
    <t>-663.258283547146 155.432825141258 -759.367919783397</t>
  </si>
  <si>
    <t>-688.26393780685 20.2117095057691 -707.138531612564</t>
  </si>
  <si>
    <t>-696.211311308574 80.5206701306361 -396.516891175809</t>
  </si>
  <si>
    <t>-440.593441709253 118.426365850767 -425.922793611548</t>
  </si>
  <si>
    <t>-633.086957284871 348.78359522892 -227.716864743085</t>
  </si>
  <si>
    <t>-542.987606200928 414.108980251256 214.179561602226</t>
  </si>
  <si>
    <t>-649.537099011561 466.89976073676 669.410710423056</t>
  </si>
  <si>
    <t>-495.96801444487 459.111274704664 754.847175031895</t>
  </si>
  <si>
    <t>-661.055699481666 153.760254840512 -238.432387730238</t>
  </si>
  <si>
    <t>-676.446250798513 163.380606241577 216.900730013078</t>
  </si>
  <si>
    <t>-687.780280012582 166.17001879885 685.97936234903</t>
  </si>
  <si>
    <t>-528.507373831776 142.030395327923 756.640094797014</t>
  </si>
  <si>
    <t>9763-20170724T164056.027492500.bin</t>
  </si>
  <si>
    <t>-647.722927815348 247.332647821987 -233.510943567299</t>
  </si>
  <si>
    <t>-670.408427880414 257.243675085854 -352.064476823055</t>
  </si>
  <si>
    <t>-677.058258050524 246.991562925521 -472.651515536363</t>
  </si>
  <si>
    <t>-676.224793044405 229.779242542255 -580.808266837626</t>
  </si>
  <si>
    <t>-668.586899266343 204.843409693738 -687.178950578225</t>
  </si>
  <si>
    <t>-650.867006883581 162.360340545245 -832.372739703774</t>
  </si>
  <si>
    <t>-606.966799948459 124.39751996017 -916.125710369986</t>
  </si>
  <si>
    <t>-654.91657765242 211.576245031949 -776.566662748864</t>
  </si>
  <si>
    <t>-646.530059891112 357.747459806834 -790.273916792283</t>
  </si>
  <si>
    <t>-637.251664931996 456.340775736021 -489.642140812508</t>
  </si>
  <si>
    <t>-422.147466681787 392.337034629569 -358.204939413247</t>
  </si>
  <si>
    <t>-662.498410123975 150.739272874031 -759.691275641122</t>
  </si>
  <si>
    <t>-687.709190964014 15.5887232467176 -707.54429076439</t>
  </si>
  <si>
    <t>-695.551867466601 76.517456651064 -397.040894184449</t>
  </si>
  <si>
    <t>-440.023114265977 116.35311626603 -424.612872935767</t>
  </si>
  <si>
    <t>-633.25715044046 344.824074565967 -228.086731679696</t>
  </si>
  <si>
    <t>-542.002163651883 411.063565695409 213.436291856106</t>
  </si>
  <si>
    <t>-649.156718660348 466.7529648695 669.016895583389</t>
  </si>
  <si>
    <t>-495.739213860539 458.740833490956 754.704603325486</t>
  </si>
  <si>
    <t>-662.380936297124 149.494011646159 -238.398615270212</t>
  </si>
  <si>
    <t>-676.647288359793 160.551965157611 216.93844324884</t>
  </si>
  <si>
    <t>-687.929072216725 165.897412428275 686.079202147386</t>
  </si>
  <si>
    <t>-528.791348446341 141.255176229593 756.870787565876</t>
  </si>
  <si>
    <t>9763-20170724T164056.093734400.bin</t>
  </si>
  <si>
    <t>-649.757225754703 239.954031199254 -233.285695342257</t>
  </si>
  <si>
    <t>-672.60300896017 249.958994654168 -351.800671833135</t>
  </si>
  <si>
    <t>-679.207553219989 239.692166369263 -472.388933695321</t>
  </si>
  <si>
    <t>-678.235996360506 222.434309431742 -580.537302685711</t>
  </si>
  <si>
    <t>-670.3565499572 197.431658473532 -686.874598094953</t>
  </si>
  <si>
    <t>-652.188860191977 154.843991730035 -831.982269811779</t>
  </si>
  <si>
    <t>-608.222391882579 117.231207992674 -915.85850765251</t>
  </si>
  <si>
    <t>-656.285121769512 204.089336587508 -776.205580996107</t>
  </si>
  <si>
    <t>-647.321169950405 350.282645550702 -789.623333421968</t>
  </si>
  <si>
    <t>-638.740485465851 448.292754234256 -488.78029835595</t>
  </si>
  <si>
    <t>-424.573374729894 383.768772417105 -356.073275179286</t>
  </si>
  <si>
    <t>-664.169881752553 143.286080286922 -759.34767832723</t>
  </si>
  <si>
    <t>-689.768918693451 8.37067851797468 -706.808485372023</t>
  </si>
  <si>
    <t>-696.110969727077 69.9231010358059 -396.393765151655</t>
  </si>
  <si>
    <t>-440.166463982749 110.660281410858 -418.187189359329</t>
  </si>
  <si>
    <t>-634.737878591853 338.118837134631 -227.570980441662</t>
  </si>
  <si>
    <t>-542.953659433237 405.919833614771 213.60512817944</t>
  </si>
  <si>
    <t>-650.424855101005 465.802322882437 669.089309564371</t>
  </si>
  <si>
    <t>-496.158173171206 457.575297580133 753.217873450249</t>
  </si>
  <si>
    <t>-665.228737829337 141.850173295137 -238.090877004534</t>
  </si>
  <si>
    <t>-677.617761430224 155.650381169508 217.226228464615</t>
  </si>
  <si>
    <t>-688.256029474013 164.474565507102 686.381522112568</t>
  </si>
  <si>
    <t>-529.130614009127 142.052976789911 757.93483440058</t>
  </si>
  <si>
    <t>9763-20170724T164056.129338900.bin</t>
  </si>
  <si>
    <t>-650.921728357053 236.590488930711 -233.019513658219</t>
  </si>
  <si>
    <t>-673.699971674611 246.614753507564 -351.545812933686</t>
  </si>
  <si>
    <t>-680.198815455165 236.298784515449 -472.135591150247</t>
  </si>
  <si>
    <t>-679.115640549575 218.970678532967 -580.271728040889</t>
  </si>
  <si>
    <t>-671.10868189077 193.874476649419 -686.577473260034</t>
  </si>
  <si>
    <t>-652.747707280559 151.134980832886 -831.616105461995</t>
  </si>
  <si>
    <t>-608.679501649275 113.894601185618 -915.6049336503</t>
  </si>
  <si>
    <t>-656.828823282549 200.43077304672 -775.882841176727</t>
  </si>
  <si>
    <t>-647.691233542872 346.614287163688 -789.209409987881</t>
  </si>
  <si>
    <t>-639.694909172798 444.05567542696 -488.165661472602</t>
  </si>
  <si>
    <t>-425.797412890318 379.291809103813 -355.140840639191</t>
  </si>
  <si>
    <t>-664.914908080181 139.661021338121 -758.999172655433</t>
  </si>
  <si>
    <t>-690.784351369594 4.90118572946301 -706.223528536154</t>
  </si>
  <si>
    <t>-697.416136556258 67.5985858802445 -396.044118179217</t>
  </si>
  <si>
    <t>-440.943360911998 106.746738475576 -414.242677786982</t>
  </si>
  <si>
    <t>-635.540425548224 334.790211413184 -227.137165206793</t>
  </si>
  <si>
    <t>-543.6175128549 403.67288208898 213.842563228802</t>
  </si>
  <si>
    <t>-651.370072875273 464.761006265692 669.183924274928</t>
  </si>
  <si>
    <t>-496.572327626771 456.237876597962 752.301510083134</t>
  </si>
  <si>
    <t>-666.6093445893 138.264881950116 -237.811241996846</t>
  </si>
  <si>
    <t>-678.462870591743 153.403867728278 217.47762266658</t>
  </si>
  <si>
    <t>-688.426784746614 163.95144969078 686.564882975124</t>
  </si>
  <si>
    <t>-529.538724394242 140.83481203082 758.423799477153</t>
  </si>
  <si>
    <t>9763-20170724T164056.190666800.bin</t>
  </si>
  <si>
    <t>-652.819394778047 230.702191964177 -232.486594458838</t>
  </si>
  <si>
    <t>-675.190527075014 240.523690424946 -351.107268411352</t>
  </si>
  <si>
    <t>-681.48894762225 230.052313881748 -471.694391375629</t>
  </si>
  <si>
    <t>-680.316687819613 212.59843039734 -579.809188904255</t>
  </si>
  <si>
    <t>-672.315290139195 187.388251717417 -686.088498601477</t>
  </si>
  <si>
    <t>-654.06203120208 144.498515471594 -831.096484830338</t>
  </si>
  <si>
    <t>-609.674016854161 108.74756248884 -915.562681435619</t>
  </si>
  <si>
    <t>-657.824732557667 193.825728742716 -775.368638197884</t>
  </si>
  <si>
    <t>-647.638736468981 339.92629272226 -788.586741792308</t>
  </si>
  <si>
    <t>-641.090317044819 436.550142056723 -487.244574099477</t>
  </si>
  <si>
    <t>-427.711734515194 371.007346764496 -353.768778173626</t>
  </si>
  <si>
    <t>-666.452342645667 133.126034201945 -758.501235328379</t>
  </si>
  <si>
    <t>-699.243279792141 63.1077084260855 -395.266088665872</t>
  </si>
  <si>
    <t>-441.692973813864 96.8265544619769 -408.416900863706</t>
  </si>
  <si>
    <t>-636.760960702785 328.702485809635 -226.782301299776</t>
  </si>
  <si>
    <t>-544.334997307785 399.948750400972 213.716385126978</t>
  </si>
  <si>
    <t>-652.492386238264 463.119113058568 668.343664609575</t>
  </si>
  <si>
    <t>-496.989583708291 455.426073935176 750.21684373596</t>
  </si>
  <si>
    <t>-668.967031777582 132.398255974819 -237.222213423664</t>
  </si>
  <si>
    <t>-679.653330176795 149.65730188763 218.020050185304</t>
  </si>
  <si>
    <t>-688.75213464325 163.147222393093 686.866355373658</t>
  </si>
  <si>
    <t>-529.777867513631 142.30655176882 759.229059913945</t>
  </si>
  <si>
    <t>9763-20170724T164056.227765600.bin</t>
  </si>
  <si>
    <t>-653.53636654599 228.456186009388 -232.446054061294</t>
  </si>
  <si>
    <t>-676.042710643658 238.246572770621 -351.04377196743</t>
  </si>
  <si>
    <t>-682.46316890011 227.704932474535 -471.618317555889</t>
  </si>
  <si>
    <t>-681.395565411648 210.1707628832 -579.721266933423</t>
  </si>
  <si>
    <t>-673.493586992633 184.863986768182 -685.984970026042</t>
  </si>
  <si>
    <t>-655.373352050755 141.823400578092 -830.964954320306</t>
  </si>
  <si>
    <t>-610.72342225417 107.128661221095 -915.733175418619</t>
  </si>
  <si>
    <t>-658.911970850083 191.191010053354 -775.258264145252</t>
  </si>
  <si>
    <t>-648.04557963515 337.24507393605 -788.566329080326</t>
  </si>
  <si>
    <t>-642.10333709894 433.632307557713 -487.13574663018</t>
  </si>
  <si>
    <t>-429.034200107774 367.630785513742 -353.391988705344</t>
  </si>
  <si>
    <t>-667.870055999694 130.544035712964 -758.373391986054</t>
  </si>
  <si>
    <t>-700.324232047367 61.2020247691082 -394.822827327926</t>
  </si>
  <si>
    <t>-442.39645797605 92.0309553263992 -407.664464615719</t>
  </si>
  <si>
    <t>-637.073745688053 326.688913538022 -226.962179872112</t>
  </si>
  <si>
    <t>-544.254910102572 398.501238558276 213.361975908563</t>
  </si>
  <si>
    <t>-652.780729385683 462.852446491058 667.814573624517</t>
  </si>
  <si>
    <t>-497.022232947374 454.996313859528 749.184537241883</t>
  </si>
  <si>
    <t>-670.153272982495 130.160372833485 -237.011097990419</t>
  </si>
  <si>
    <t>-679.921742848527 148.230000636221 218.220481373261</t>
  </si>
  <si>
    <t>-688.963621386961 162.696742817511 686.983877182698</t>
  </si>
  <si>
    <t>-530.00492720466 142.473874985392 759.55576719871</t>
  </si>
  <si>
    <t>9763-20170724T164056.261856200.bin</t>
  </si>
  <si>
    <t>-654.274295232745 226.901129943569 -232.560568965848</t>
  </si>
  <si>
    <t>-676.926819187841 236.665856654352 -351.132637038123</t>
  </si>
  <si>
    <t>-683.538822880182 226.070139987073 -471.692082923585</t>
  </si>
  <si>
    <t>-682.658945524113 208.476004170459 -579.787008776939</t>
  </si>
  <si>
    <t>-674.956556518297 183.099907121117 -686.048887588761</t>
  </si>
  <si>
    <t>-657.123916468405 139.953952072414 -831.03311131836</t>
  </si>
  <si>
    <t>-612.231906211849 106.504880906154 -916.173266655747</t>
  </si>
  <si>
    <t>-660.406471497549 189.346487744511 -775.332922620552</t>
  </si>
  <si>
    <t>-648.93804524422 335.307204892303 -788.86916385866</t>
  </si>
  <si>
    <t>-643.132539307653 431.455972885327 -487.359804934077</t>
  </si>
  <si>
    <t>-430.386152648153 364.789442619918 -353.432143111564</t>
  </si>
  <si>
    <t>-669.622128978042 128.742858162494 -758.431311343468</t>
  </si>
  <si>
    <t>-701.772587410459 59.4347142911392 -394.607870544663</t>
  </si>
  <si>
    <t>-443.649979465188 88.0247321771373 -408.657314783811</t>
  </si>
  <si>
    <t>-637.187000176059 325.342873092823 -227.323001244655</t>
  </si>
  <si>
    <t>-544.349930277891 397.392159889158 212.958567001191</t>
  </si>
  <si>
    <t>-652.833028721438 462.873480798408 667.210327230096</t>
  </si>
  <si>
    <t>-496.920502188236 454.723720932029 748.25593895702</t>
  </si>
  <si>
    <t>-671.437636517968 128.51274443469 -236.931739415771</t>
  </si>
  <si>
    <t>-680.098730717601 147.185152454542 218.297868570617</t>
  </si>
  <si>
    <t>-689.300753660577 162.098508014937 687.04201347985</t>
  </si>
  <si>
    <t>-530.244757814243 143.294870661873 759.782131238318</t>
  </si>
  <si>
    <t>9763-20170724T164056.325528700.bin</t>
  </si>
  <si>
    <t>-655.744589732491 224.574503656706 -232.846490479816</t>
  </si>
  <si>
    <t>-678.347633449106 234.232734822613 -351.436686893285</t>
  </si>
  <si>
    <t>-685.248510386136 223.629529685749 -471.979136057822</t>
  </si>
  <si>
    <t>-684.758330172325 206.070400042038 -580.082314664433</t>
  </si>
  <si>
    <t>-677.566273963587 180.77024291278 -686.397980486233</t>
  </si>
  <si>
    <t>-660.559794173016 137.770250608115 -831.524898494917</t>
  </si>
  <si>
    <t>-615.170623430431 106.969733135098 -917.397697561737</t>
  </si>
  <si>
    <t>-663.380263511216 187.09067061154 -775.735363909895</t>
  </si>
  <si>
    <t>-651.366491415563 332.992543522573 -789.645626806323</t>
  </si>
  <si>
    <t>-644.050101959568 429.142651041533 -488.169545611878</t>
  </si>
  <si>
    <t>-431.512669584474 361.115222779794 -354.59502758057</t>
  </si>
  <si>
    <t>-672.788995616194 126.502114984018 -758.886021071684</t>
  </si>
  <si>
    <t>-704.83447792731 56.7662434898991 -395.068757826714</t>
  </si>
  <si>
    <t>-446.762956364675 83.2481739278925 -413.50367323892</t>
  </si>
  <si>
    <t>-637.814983968628 323.416651812739 -227.909353269681</t>
  </si>
  <si>
    <t>-543.990939235826 396.335090365907 212.019792773027</t>
  </si>
  <si>
    <t>-652.171931518192 464.067230727106 665.775383519351</t>
  </si>
  <si>
    <t>-496.371188007363 453.233750450502 746.721449760384</t>
  </si>
  <si>
    <t>-673.737890091403 125.6925376153 -236.942267250198</t>
  </si>
  <si>
    <t>-680.711406578235 144.923107227068 218.293064755446</t>
  </si>
  <si>
    <t>-690.174975314594 160.463838039135 687.093230955221</t>
  </si>
  <si>
    <t>-531.211242146764 142.381460732774 760.216876631747</t>
  </si>
  <si>
    <t>9763-20170724T164056.391962800.bin</t>
  </si>
  <si>
    <t>-656.679831943057 223.468013029338 -233.035009946229</t>
  </si>
  <si>
    <t>-679.151074594509 233.027492464385 -351.658251810603</t>
  </si>
  <si>
    <t>-686.177524172796 222.565096861488 -472.205859685138</t>
  </si>
  <si>
    <t>-685.904744229629 205.227089597321 -580.345449118801</t>
  </si>
  <si>
    <t>-679.03076113315 180.23650075857 -686.755425030945</t>
  </si>
  <si>
    <t>-662.566539761854 137.752189597572 -832.096398911578</t>
  </si>
  <si>
    <t>-616.844227737409 109.31885611166 -918.606524970479</t>
  </si>
  <si>
    <t>-665.239611566371 186.88112740813 -776.1310328466</t>
  </si>
  <si>
    <t>-653.589187190529 332.825976034335 -789.931659315712</t>
  </si>
  <si>
    <t>-644.170398542187 428.041915299177 -488.217521973204</t>
  </si>
  <si>
    <t>-430.648495216176 359.296045681676 -356.59521461602</t>
  </si>
  <si>
    <t>-674.463234080222 126.2192237934 -759.443981305135</t>
  </si>
  <si>
    <t>-707.511203139481 56.8792545630776 -396.234374120697</t>
  </si>
  <si>
    <t>-449.874214975993 83.0775849004536 -420.294151358681</t>
  </si>
  <si>
    <t>-638.497448416906 323.269798254536 -228.540660969511</t>
  </si>
  <si>
    <t>-542.419530067968 396.375927135697 210.870487735102</t>
  </si>
  <si>
    <t>-650.558553866227 466.133104606579 664.05546354318</t>
  </si>
  <si>
    <t>-495.404660522161 452.314858661904 745.785739876007</t>
  </si>
  <si>
    <t>-674.736131145584 123.860066885412 -236.986604366377</t>
  </si>
  <si>
    <t>-681.22639083581 143.481066327929 218.239232286108</t>
  </si>
  <si>
    <t>-690.794390744413 159.484723758314 687.212017173559</t>
  </si>
  <si>
    <t>-531.834137884343 142.426874801051 760.589107870791</t>
  </si>
  <si>
    <t>9763-20170724T164056.425050600.bin</t>
  </si>
  <si>
    <t>-656.611834595473 223.559963614712 -233.118865140289</t>
  </si>
  <si>
    <t>-679.173412650911 233.197531243861 -351.718680886497</t>
  </si>
  <si>
    <t>-686.31726890564 222.883743056085 -472.272167535878</t>
  </si>
  <si>
    <t>-686.160910434862 205.706440744852 -580.437636664033</t>
  </si>
  <si>
    <t>-679.412752014885 180.900538058892 -686.898796270988</t>
  </si>
  <si>
    <t>-663.132413247794 138.695500961789 -832.341817257923</t>
  </si>
  <si>
    <t>-617.407068012586 111.222667333311 -919.160057144336</t>
  </si>
  <si>
    <t>-665.790569658235 187.723026089925 -776.28701495668</t>
  </si>
  <si>
    <t>-654.401880275306 333.706189025508 -789.945764905386</t>
  </si>
  <si>
    <t>-644.237898683773 427.956265745047 -487.952704406702</t>
  </si>
  <si>
    <t>-430.085814707778 359.025392643407 -357.455717348199</t>
  </si>
  <si>
    <t>-674.881410217829 127.016769270004 -759.688680653983</t>
  </si>
  <si>
    <t>-708.420445917971 58.0383926037241 -396.828732451912</t>
  </si>
  <si>
    <t>-450.858112221091 83.3253359670202 -422.602290002882</t>
  </si>
  <si>
    <t>-638.391574528709 323.597476054791 -228.677656582038</t>
  </si>
  <si>
    <t>-541.628351503018 396.635707990689 210.594459295544</t>
  </si>
  <si>
    <t>-649.968214605069 467.04107117146 663.535422916267</t>
  </si>
  <si>
    <t>-494.997418400838 452.623354669126 745.509202406275</t>
  </si>
  <si>
    <t>-674.690365738377 123.758774302427 -237.023179272937</t>
  </si>
  <si>
    <t>-680.91299551696 143.453451884411 218.20317538189</t>
  </si>
  <si>
    <t>-690.800794676737 159.748786909783 687.246908538741</t>
  </si>
  <si>
    <t>-531.630658327571 144.993091250921 760.667919257099</t>
  </si>
  <si>
    <t>9763-20170724T164056.492767500.bin</t>
  </si>
  <si>
    <t>-655.898338447348 223.840144208355 -233.171040543982</t>
  </si>
  <si>
    <t>-678.681913261837 233.674332949176 -351.712184519845</t>
  </si>
  <si>
    <t>-686.014753156123 223.598960218181 -472.274540171293</t>
  </si>
  <si>
    <t>-686.015266557544 206.650104733276 -580.476148140324</t>
  </si>
  <si>
    <t>-679.409857930614 182.082758729275 -687.001555432082</t>
  </si>
  <si>
    <t>-663.313066830476 140.217526362624 -832.563263379669</t>
  </si>
  <si>
    <t>-617.597691015432 114.250725745972 -919.84897562679</t>
  </si>
  <si>
    <t>-665.971602998262 189.121839450761 -776.400852859002</t>
  </si>
  <si>
    <t>-655.184903759051 335.180667109265 -789.752556112447</t>
  </si>
  <si>
    <t>-644.125963688361 427.472324495642 -487.186545346991</t>
  </si>
  <si>
    <t>-429.319897123529 357.989710218253 -358.064315292848</t>
  </si>
  <si>
    <t>-674.899187173181 128.361354100834 -759.912586003437</t>
  </si>
  <si>
    <t>-708.243566759487 61.1281367647663 -397.734452436271</t>
  </si>
  <si>
    <t>-450.248817377321 83.1971043211383 -422.100935569648</t>
  </si>
  <si>
    <t>-637.890478349291 323.738178631478 -228.617839238715</t>
  </si>
  <si>
    <t>-539.879326025319 396.692436800485 210.391389711767</t>
  </si>
  <si>
    <t>-649.696388643718 466.627943738818 662.874880108156</t>
  </si>
  <si>
    <t>-494.872635987299 452.498619821493 745.175945861499</t>
  </si>
  <si>
    <t>-673.960193199687 123.957878992563 -237.083182826885</t>
  </si>
  <si>
    <t>-679.895972812433 143.538811635524 218.1519921595</t>
  </si>
  <si>
    <t>-690.688245977852 159.79366186496 687.344138305314</t>
  </si>
  <si>
    <t>-531.768387077454 144.419951073834 761.179298708416</t>
  </si>
  <si>
    <t>9763-20170724T164056.525858800.bin</t>
  </si>
  <si>
    <t>-655.463567162972 224.208774372963 -233.311670250215</t>
  </si>
  <si>
    <t>-678.231457987087 234.070378345367 -351.85354280522</t>
  </si>
  <si>
    <t>-685.571322391495 224.083109215054 -472.422813233646</t>
  </si>
  <si>
    <t>-685.593390414917 207.232386600891 -580.639747960426</t>
  </si>
  <si>
    <t>-679.028093340712 182.777464562059 -687.193622389406</t>
  </si>
  <si>
    <t>-663.008866437423 141.078803871433 -832.811545774161</t>
  </si>
  <si>
    <t>-617.270986039654 115.683645657916 -920.253607402527</t>
  </si>
  <si>
    <t>-665.604808387246 189.915290253534 -776.587109897704</t>
  </si>
  <si>
    <t>-654.764732419752 335.986230066757 -789.738275408065</t>
  </si>
  <si>
    <t>-643.838606941923 427.347503553147 -486.885153904176</t>
  </si>
  <si>
    <t>-429.030608360737 357.496245724852 -357.965120999789</t>
  </si>
  <si>
    <t>-674.588948696726 129.143075121645 -760.173065886269</t>
  </si>
  <si>
    <t>-707.173296596021 62.3252200631592 -398.046535720832</t>
  </si>
  <si>
    <t>-448.86735820899 82.691464006911 -420.525782619535</t>
  </si>
  <si>
    <t>-637.541016094991 324.061789111154 -228.781818676361</t>
  </si>
  <si>
    <t>-539.410005553292 396.947756637483 210.212060234487</t>
  </si>
  <si>
    <t>-649.313380055403 466.65608486889 662.50270451123</t>
  </si>
  <si>
    <t>-494.737479428688 452.193341729043 745.210820767349</t>
  </si>
  <si>
    <t>-673.411566579465 124.39397272886 -237.179343580183</t>
  </si>
  <si>
    <t>-679.500355307288 143.920308894993 218.056035142923</t>
  </si>
  <si>
    <t>-690.590181131594 159.970961511198 687.335260861643</t>
  </si>
  <si>
    <t>-531.728450195861 144.820365592377 761.341457459654</t>
  </si>
  <si>
    <t>9763-20170724T164056.595112500.bin</t>
  </si>
  <si>
    <t>-654.125264008305 225.465137725153 -233.615689439622</t>
  </si>
  <si>
    <t>-676.716675914965 235.446482363204 -352.18125238769</t>
  </si>
  <si>
    <t>-683.989687828874 225.661182311384 -472.77110706491</t>
  </si>
  <si>
    <t>-684.002689167923 209.01838094691 -581.020314275471</t>
  </si>
  <si>
    <t>-677.482462364568 184.791002972536 -687.628751689875</t>
  </si>
  <si>
    <t>-661.584356099517 143.422967328048 -833.354368091194</t>
  </si>
  <si>
    <t>-615.694951648094 118.969379886544 -920.985256208091</t>
  </si>
  <si>
    <t>-664.046572304892 192.122011371979 -777.004914334655</t>
  </si>
  <si>
    <t>-653.047542470573 338.188209214755 -789.764551739728</t>
  </si>
  <si>
    <t>-642.383903724089 428.114700450589 -486.473075680202</t>
  </si>
  <si>
    <t>-428.307149098611 357.0787905022 -356.985288279299</t>
  </si>
  <si>
    <t>-673.190965214126 131.332077605713 -760.745628554418</t>
  </si>
  <si>
    <t>-703.134082930963 64.0036115413346 -398.515774819313</t>
  </si>
  <si>
    <t>-444.400252834334 81.0309124100341 -418.737631987547</t>
  </si>
  <si>
    <t>-635.997276917403 324.839005263606 -229.091582486743</t>
  </si>
  <si>
    <t>-538.179426017042 397.075422819468 210.079439861917</t>
  </si>
  <si>
    <t>-649.010158358533 466.029854704316 662.217132601424</t>
  </si>
  <si>
    <t>-494.669224807513 452.300877690818 745.487243436793</t>
  </si>
  <si>
    <t>-672.231957217688 125.911506653677 -237.454014618734</t>
  </si>
  <si>
    <t>-679.086581282004 144.960478087499 217.790820880641</t>
  </si>
  <si>
    <t>-690.358674822605 160.388771357701 687.265006623206</t>
  </si>
  <si>
    <t>-531.598814581013 145.507212735921 761.543795645687</t>
  </si>
  <si>
    <t>9763-20170724T164056.623177300.bin</t>
  </si>
  <si>
    <t>-653.211735140861 226.603205200091 -233.754383259331</t>
  </si>
  <si>
    <t>-675.724025690735 236.705849164564 -352.324755729162</t>
  </si>
  <si>
    <t>-683.002684629626 227.076472997031 -472.926772212452</t>
  </si>
  <si>
    <t>-683.05348521556 210.587388383954 -581.199426347992</t>
  </si>
  <si>
    <t>-676.602106043102 186.525347940109 -687.849447548377</t>
  </si>
  <si>
    <t>-660.829911847597 145.398171567976 -833.656939378693</t>
  </si>
  <si>
    <t>-614.864759134716 121.363524629429 -921.363991429797</t>
  </si>
  <si>
    <t>-663.209943830227 194.00025933617 -777.220264353884</t>
  </si>
  <si>
    <t>-652.184442254247 340.101589766905 -789.734145383187</t>
  </si>
  <si>
    <t>-641.534331266156 429.410157601698 -486.259723569112</t>
  </si>
  <si>
    <t>-428.024476477047 357.58052079048 -356.274815675473</t>
  </si>
  <si>
    <t>-672.407289725432 133.191116747495 -761.063002045079</t>
  </si>
  <si>
    <t>-700.991844401002 65.4558878407931 -398.810698942372</t>
  </si>
  <si>
    <t>-442.133215950362 80.6621323648552 -418.886529806862</t>
  </si>
  <si>
    <t>-634.805824732683 326.135294873713 -229.308422929837</t>
  </si>
  <si>
    <t>-537.666990307768 397.390368760758 210.173644189322</t>
  </si>
  <si>
    <t>-648.505048326292 466.336119288255 662.160193291627</t>
  </si>
  <si>
    <t>-494.421510894691 452.346011748885 745.862406163563</t>
  </si>
  <si>
    <t>-671.579202028789 127.029690809113 -237.601010503898</t>
  </si>
  <si>
    <t>-679.039685460435 145.814020072502 217.645247863956</t>
  </si>
  <si>
    <t>-690.16787510959 160.61424230885 687.228078407699</t>
  </si>
  <si>
    <t>-531.568070945021 145.110042316068 761.721361281422</t>
  </si>
  <si>
    <t>9763-20170724T164056.689363100.bin</t>
  </si>
  <si>
    <t>-650.837908686115 230.640419277686 -234.432859804982</t>
  </si>
  <si>
    <t>-673.077977785391 240.940636108084 -353.037544175979</t>
  </si>
  <si>
    <t>-680.240769757908 231.622097077797 -473.670990906237</t>
  </si>
  <si>
    <t>-680.248770855171 215.457446076517 -581.992525216509</t>
  </si>
  <si>
    <t>-673.813890903781 191.761225081328 -688.725553041091</t>
  </si>
  <si>
    <t>-658.123121193439 151.182329691817 -834.695211264661</t>
  </si>
  <si>
    <t>-611.95230496903 127.864349532581 -922.487669161667</t>
  </si>
  <si>
    <t>-660.38148328322 199.561467281631 -778.062466033255</t>
  </si>
  <si>
    <t>-649.196229644054 345.692054554839 -789.953654813435</t>
  </si>
  <si>
    <t>-639.360140603379 433.462875221087 -486.003575828351</t>
  </si>
  <si>
    <t>-426.96575145181 359.813802568364 -355.211717534822</t>
  </si>
  <si>
    <t>-669.750169620839 138.712941679404 -762.153980404153</t>
  </si>
  <si>
    <t>-696.699849136743 3.98020019247338 -709.745549036042</t>
  </si>
  <si>
    <t>-697.017785996368 69.6727499606912 -400.115847925696</t>
  </si>
  <si>
    <t>-437.959368141769 81.5851482756503 -419.835400491785</t>
  </si>
  <si>
    <t>-631.763261016904 330.623559391187 -230.125620658822</t>
  </si>
  <si>
    <t>-535.363973480825 400.370712386029 209.760962619803</t>
  </si>
  <si>
    <t>-645.255702094096 470.167016191794 661.266596504315</t>
  </si>
  <si>
    <t>-492.601238003678 453.421679548524 747.055438334963</t>
  </si>
  <si>
    <t>-669.80168713888 130.618090992161 -238.14524500651</t>
  </si>
  <si>
    <t>-679.526565081935 148.36722092986 217.099782805064</t>
  </si>
  <si>
    <t>-689.776549727365 161.54381828529 686.981789024984</t>
  </si>
  <si>
    <t>-531.254512267837 145.62549273729 761.553061626917</t>
  </si>
  <si>
    <t>9763-20170724T164056.721448800.bin</t>
  </si>
  <si>
    <t>-649.390913974164 233.265547322067 -234.878678584552</t>
  </si>
  <si>
    <t>-671.436266483357 243.732306875386 -353.505167724794</t>
  </si>
  <si>
    <t>-678.50282746612 234.602030452251 -474.15866884463</t>
  </si>
  <si>
    <t>-678.463191344984 218.61469850206 -582.506600720135</t>
  </si>
  <si>
    <t>-672.018774235555 195.101754524801 -689.2795019856</t>
  </si>
  <si>
    <t>-656.353071107134 154.782406594507 -835.323774982688</t>
  </si>
  <si>
    <t>-610.061148810135 131.747516639664 -923.12713112011</t>
  </si>
  <si>
    <t>-658.537766657872 203.053236240853 -778.595658502928</t>
  </si>
  <si>
    <t>-647.131237844857 349.208254479469 -790.150502550493</t>
  </si>
  <si>
    <t>-637.842180557206 436.227690047345 -485.967231735707</t>
  </si>
  <si>
    <t>-426.133284380889 361.411820314568 -354.726947391808</t>
  </si>
  <si>
    <t>-668.031551014543 142.191686628427 -762.811751360329</t>
  </si>
  <si>
    <t>-695.092103411732 7.40743704300357 -710.642795072836</t>
  </si>
  <si>
    <t>-695.058021809004 72.4886330993756 -400.883768005406</t>
  </si>
  <si>
    <t>-435.947967853414 82.566238002806 -420.946181609921</t>
  </si>
  <si>
    <t>-629.574929379222 333.584710572232 -230.689240747854</t>
  </si>
  <si>
    <t>-533.391726960419 402.46503645385 209.3811632237</t>
  </si>
  <si>
    <t>-643.302499328993 472.071340351458 660.798693365123</t>
  </si>
  <si>
    <t>-491.488200599227 454.395569210973 747.881992365534</t>
  </si>
  <si>
    <t>-668.946607827522 132.96627111213 -238.541566185977</t>
  </si>
  <si>
    <t>-679.664936252324 149.841262697823 216.714430045554</t>
  </si>
  <si>
    <t>-689.663791906608 161.849450634371 686.768582734426</t>
  </si>
  <si>
    <t>-531.191626487101 145.672459609347 761.39009181093</t>
  </si>
  <si>
    <t>9763-20170724T164056.794704600.bin</t>
  </si>
  <si>
    <t>-646.265885191554 236.691011924464 -235.336508916848</t>
  </si>
  <si>
    <t>-668.175977223775 247.534063852992 -353.954429187147</t>
  </si>
  <si>
    <t>-675.203352164012 238.814533865017 -474.64046413154</t>
  </si>
  <si>
    <t>-675.161228783972 223.211073854416 -583.044282919323</t>
  </si>
  <si>
    <t>-668.742986707762 200.094547352448 -689.905364742657</t>
  </si>
  <si>
    <t>-653.139065854195 160.338863557255 -836.110666756337</t>
  </si>
  <si>
    <t>-606.529018388146 137.834553448528 -923.883476622107</t>
  </si>
  <si>
    <t>-655.134156130849 208.370192495335 -779.172810677284</t>
  </si>
  <si>
    <t>-643.049559033956 354.533173929323 -790.07710251306</t>
  </si>
  <si>
    <t>-635.035417998964 440.190685392973 -485.471117981061</t>
  </si>
  <si>
    <t>-425.217514286545 362.883505821734 -352.647539890099</t>
  </si>
  <si>
    <t>-664.952449087529 147.488870332223 -763.666040149237</t>
  </si>
  <si>
    <t>-692.596678126877 12.532033855246 -712.235985588709</t>
  </si>
  <si>
    <t>-692.313733478461 75.3401178841439 -402.008149010694</t>
  </si>
  <si>
    <t>-433.271659435582 82.4613629055117 -424.111338366632</t>
  </si>
  <si>
    <t>-625.661288706568 335.096265447805 -230.714260061883</t>
  </si>
  <si>
    <t>-530.753592883357 402.693568926891 209.831750340113</t>
  </si>
  <si>
    <t>-641.483712305699 467.038000919381 662.076184421779</t>
  </si>
  <si>
    <t>-490.220677415355 450.159038831598 750.269756634034</t>
  </si>
  <si>
    <t>-667.190200614144 137.658378464613 -239.068266206012</t>
  </si>
  <si>
    <t>-679.210949462316 152.429402714602 216.228337883525</t>
  </si>
  <si>
    <t>-689.415384756177 162.552588524511 686.542994339969</t>
  </si>
  <si>
    <t>-531.089959099647 145.020471001817 761.170063398214</t>
  </si>
  <si>
    <t>9763-20170724T164056.826791700.bin</t>
  </si>
  <si>
    <t>-644.935512479153 239.529751098439 -235.385401137808</t>
  </si>
  <si>
    <t>-666.629453581947 250.416026367513 -354.038992561096</t>
  </si>
  <si>
    <t>-673.590977737693 241.864458227405 -474.740958944744</t>
  </si>
  <si>
    <t>-673.546959634873 226.463677931266 -583.173617123784</t>
  </si>
  <si>
    <t>-667.180624849935 203.600636145976 -690.092344284148</t>
  </si>
  <si>
    <t>-651.700822660376 164.248459409114 -836.420087150648</t>
  </si>
  <si>
    <t>-604.926336542891 141.985701015327 -924.166907923735</t>
  </si>
  <si>
    <t>-653.545154459456 212.109509974573 -779.333792337184</t>
  </si>
  <si>
    <t>-640.96200061079 358.252129874954 -789.815644464008</t>
  </si>
  <si>
    <t>-633.42728387313 443.221462849831 -485.004931900094</t>
  </si>
  <si>
    <t>-424.783180743299 364.608261949782 -351.10339323237</t>
  </si>
  <si>
    <t>-663.555113851375 151.211678411669 -764.015289151131</t>
  </si>
  <si>
    <t>-691.554720520735 16.1493660146068 -713.068985406322</t>
  </si>
  <si>
    <t>-691.011433079733 77.8446804078569 -402.618427247852</t>
  </si>
  <si>
    <t>-431.973688647481 83.7081731358604 -425.137332944222</t>
  </si>
  <si>
    <t>-623.65804984913 337.762476574531 -230.664974919041</t>
  </si>
  <si>
    <t>-531.984570815281 404.158462368946 210.747724848978</t>
  </si>
  <si>
    <t>-642.060765646829 467.148588704149 663.586954164777</t>
  </si>
  <si>
    <t>-490.306249129472 450.510385107768 750.978299367302</t>
  </si>
  <si>
    <t>-666.400341765758 141.165201184848 -239.161193038272</t>
  </si>
  <si>
    <t>-678.634498022205 154.647645898476 216.169743310735</t>
  </si>
  <si>
    <t>-689.287036356947 163.181372575811 686.494882220996</t>
  </si>
  <si>
    <t>-530.924040902565 145.053529943232 760.899520733066</t>
  </si>
  <si>
    <t>9763-20170724T164056.891479300.bin</t>
  </si>
  <si>
    <t>-642.025024819153 245.742659717935 -235.394714730574</t>
  </si>
  <si>
    <t>-663.653456343578 256.576663665634 -354.065019441547</t>
  </si>
  <si>
    <t>-670.692731191066 248.305060415719 -474.782099888219</t>
  </si>
  <si>
    <t>-670.763056468925 233.298829751782 -583.270122184758</t>
  </si>
  <si>
    <t>-664.544081085294 210.975362693295 -690.311478378922</t>
  </si>
  <si>
    <t>-649.292530988978 172.524991822922 -836.902510186453</t>
  </si>
  <si>
    <t>-602.272219194832 150.661865542374 -924.61843761239</t>
  </si>
  <si>
    <t>-650.819094467741 220.003020805482 -779.488079454726</t>
  </si>
  <si>
    <t>-637.295987989482 366.136790119031 -788.939705892081</t>
  </si>
  <si>
    <t>-630.491996577795 449.823863642298 -483.757174164525</t>
  </si>
  <si>
    <t>-424.463261044169 368.699857112894 -347.32726331219</t>
  </si>
  <si>
    <t>-661.26270089067 159.073021725711 -764.592879552978</t>
  </si>
  <si>
    <t>-689.787424988297 23.7636404282223 -714.579118243654</t>
  </si>
  <si>
    <t>-689.284166209511 83.8659833402295 -403.816053814351</t>
  </si>
  <si>
    <t>-430.129085024078 87.879640694028 -425.369844880301</t>
  </si>
  <si>
    <t>-619.70192897762 342.291390665026 -230.877606748225</t>
  </si>
  <si>
    <t>-537.474271512207 405.613673229239 212.841328145891</t>
  </si>
  <si>
    <t>-643.834601609807 467.038546140994 666.661349441109</t>
  </si>
  <si>
    <t>-490.649772956761 450.742227070313 751.586960008496</t>
  </si>
  <si>
    <t>-664.576661582247 149.02859569931 -239.104218165265</t>
  </si>
  <si>
    <t>-676.803816549771 159.862423709578 216.297546628944</t>
  </si>
  <si>
    <t>-688.998671675934 164.576196760126 686.444417161321</t>
  </si>
  <si>
    <t>-530.742406196158 143.081533124133 760.176632521262</t>
  </si>
  <si>
    <t>9763-20170724T164056.924566100.bin</t>
  </si>
  <si>
    <t>-640.395080935116 249.730290050903 -235.689463105172</t>
  </si>
  <si>
    <t>-662.137641032651 260.46773041237 -354.347741126885</t>
  </si>
  <si>
    <t>-669.242834522688 252.325292190938 -475.069703394349</t>
  </si>
  <si>
    <t>-669.344764613434 237.533232000696 -583.587141214032</t>
  </si>
  <si>
    <t>-663.123737123797 215.524935202442 -690.693443897586</t>
  </si>
  <si>
    <t>-647.82881440633 177.619786155392 -837.42209338423</t>
  </si>
  <si>
    <t>-600.68030814471 155.99276554291 -925.127737668101</t>
  </si>
  <si>
    <t>-649.259415802444 224.868341046275 -779.816155221498</t>
  </si>
  <si>
    <t>-635.321726551109 370.974370377142 -788.687668400687</t>
  </si>
  <si>
    <t>-628.935874707024 454.118026419216 -483.347503429988</t>
  </si>
  <si>
    <t>-424.143499760968 371.336301210349 -346.054773253947</t>
  </si>
  <si>
    <t>-659.933267757741 163.914946589778 -765.182359198698</t>
  </si>
  <si>
    <t>-688.786125077516 28.4570455826423 -715.738631977736</t>
  </si>
  <si>
    <t>-689.148618477763 88.3507880191479 -404.935092015126</t>
  </si>
  <si>
    <t>-429.859775502487 90.4314419509629 -425.109584111731</t>
  </si>
  <si>
    <t>-617.468181571914 345.932984520737 -231.564073046171</t>
  </si>
  <si>
    <t>-540.781626210335 406.75020071553 213.495582025728</t>
  </si>
  <si>
    <t>-644.186826073048 467.60919025438 667.901430564453</t>
  </si>
  <si>
    <t>-490.640054258198 450.113137326711 751.929893021318</t>
  </si>
  <si>
    <t>-663.414496091525 153.607363048715 -239.160814891296</t>
  </si>
  <si>
    <t>-675.599930684962 162.959585470476 216.274989354199</t>
  </si>
  <si>
    <t>-688.875546404961 165.109884831496 686.354946017994</t>
  </si>
  <si>
    <t>-530.681712786461 142.167132263757 759.784180784582</t>
  </si>
  <si>
    <t>9763-20170724T164056.993933300.bin</t>
  </si>
  <si>
    <t>-637.524366908192 259.129792410878 -236.672904756953</t>
  </si>
  <si>
    <t>-659.581909096145 269.585694402432 -355.298030906197</t>
  </si>
  <si>
    <t>-666.883927351957 261.698668063284 -476.025215491659</t>
  </si>
  <si>
    <t>-667.103286911001 247.364919067793 -584.603986856576</t>
  </si>
  <si>
    <t>-660.929902529123 226.047692206995 -691.852808081195</t>
  </si>
  <si>
    <t>-645.619679299189 189.347687895436 -838.885953511419</t>
  </si>
  <si>
    <t>-598.308490312416 168.365277580616 -926.660424981989</t>
  </si>
  <si>
    <t>-646.77873079333 236.081231908604 -780.855284244112</t>
  </si>
  <si>
    <t>-631.635939196116 382.152662424021 -788.514605543067</t>
  </si>
  <si>
    <t>-626.293546572968 464.404467742376 -482.913020210092</t>
  </si>
  <si>
    <t>-423.841150686258 378.103041183393 -344.323281239543</t>
  </si>
  <si>
    <t>-658.009210509661 175.091390302882 -766.801424546325</t>
  </si>
  <si>
    <t>-687.88149792778 39.3614635417808 -718.755462301627</t>
  </si>
  <si>
    <t>-690.270230050547 97.6893127050873 -407.663287323268</t>
  </si>
  <si>
    <t>-430.551845363324 97.1678000465104 -421.379518265811</t>
  </si>
  <si>
    <t>-613.370863078972 354.758448957248 -233.364918965755</t>
  </si>
  <si>
    <t>-547.300191077031 410.016831097821 214.115535910337</t>
  </si>
  <si>
    <t>-644.476886207847 468.157849685303 669.881576932024</t>
  </si>
  <si>
    <t>-490.488720050203 450.192517712994 752.998361556446</t>
  </si>
  <si>
    <t>-661.786158436659 163.670381788261 -239.43710458259</t>
  </si>
  <si>
    <t>-673.144206244147 169.623350650336 216.077086046974</t>
  </si>
  <si>
    <t>-688.627648400686 165.924963297036 686.100572293184</t>
  </si>
  <si>
    <t>-530.832348074127 139.641021734307 759.266790438437</t>
  </si>
  <si>
    <t>9763-20170724T164057.029024600.bin</t>
  </si>
  <si>
    <t>-636.181119471043 264.178878359433 -237.282769378594</t>
  </si>
  <si>
    <t>-658.402421009427 274.438799262685 -355.894517782322</t>
  </si>
  <si>
    <t>-665.8284289416 266.672771039356 -476.621912047195</t>
  </si>
  <si>
    <t>-666.144568645507 252.576193515202 -585.231437581691</t>
  </si>
  <si>
    <t>-660.051687998865 231.623028179721 -692.556709698803</t>
  </si>
  <si>
    <t>-644.835248436812 195.558397898608 -839.756525961891</t>
  </si>
  <si>
    <t>-597.469244020325 174.887329542872 -927.57533499379</t>
  </si>
  <si>
    <t>-645.781059104853 242.013558234599 -781.499010579916</t>
  </si>
  <si>
    <t>-629.852708728668 388.043753371658 -788.52145309113</t>
  </si>
  <si>
    <t>-624.847935584626 469.521111034117 -482.706748050734</t>
  </si>
  <si>
    <t>-423.533473510267 381.572586961797 -343.496141577974</t>
  </si>
  <si>
    <t>-657.355059854573 181.018174593215 -767.751294031547</t>
  </si>
  <si>
    <t>-687.982652531107 45.2115050182842 -720.418339179043</t>
  </si>
  <si>
    <t>-691.147733160011 102.345865280119 -409.111554180775</t>
  </si>
  <si>
    <t>-431.34794424572 101.466141246308 -421.167185423362</t>
  </si>
  <si>
    <t>-611.30706505888 359.55871650305 -234.365440108808</t>
  </si>
  <si>
    <t>-550.828646661613 412.015262346462 214.241664317691</t>
  </si>
  <si>
    <t>-644.553583075981 468.235279260235 670.875325326313</t>
  </si>
  <si>
    <t>-490.393381801492 450.611091408372 753.745926060484</t>
  </si>
  <si>
    <t>-661.011506402215 168.921815626611 -239.63855640766</t>
  </si>
  <si>
    <t>-672.108893196925 173.071602946846 215.90205412891</t>
  </si>
  <si>
    <t>-688.521597071479 166.144474030977 685.963202366101</t>
  </si>
  <si>
    <t>-530.890148043435 138.879864201959 759.123915165565</t>
  </si>
  <si>
    <t>9763-20170724T164057.088725900.bin</t>
  </si>
  <si>
    <t>-633.35847290925 273.944530409461 -238.179879187948</t>
  </si>
  <si>
    <t>-655.750480147075 283.948017394452 -356.781357492344</t>
  </si>
  <si>
    <t>-663.339001644196 276.455642498511 -477.515984851004</t>
  </si>
  <si>
    <t>-663.80376286507 262.816398037974 -586.183408682887</t>
  </si>
  <si>
    <t>-657.861899232377 242.526116414379 -693.644333308293</t>
  </si>
  <si>
    <t>-642.857208198058 207.590396151499 -841.137995533032</t>
  </si>
  <si>
    <t>-595.419562334765 187.501703018201 -929.053309255363</t>
  </si>
  <si>
    <t>-643.380340638225 253.542256166374 -782.477199275932</t>
  </si>
  <si>
    <t>-625.812360477905 399.416280762659 -788.330088647115</t>
  </si>
  <si>
    <t>-620.430433782319 479.392479585056 -482.125860935442</t>
  </si>
  <si>
    <t>-421.466123935342 387.109714031624 -342.343310540468</t>
  </si>
  <si>
    <t>-655.612251288314 192.554541183725 -769.275922953432</t>
  </si>
  <si>
    <t>-687.765873056398 56.6193311435798 -723.326656226394</t>
  </si>
  <si>
    <t>-691.509737734474 110.361759387755 -411.42286411002</t>
  </si>
  <si>
    <t>-431.736563073414 110.89876012731 -424.058422723352</t>
  </si>
  <si>
    <t>-606.931915029537 368.430941605735 -235.753289241521</t>
  </si>
  <si>
    <t>-558.454510554053 416.24503190788 214.825664807495</t>
  </si>
  <si>
    <t>-644.675683254172 468.730859482958 673.149081655679</t>
  </si>
  <si>
    <t>-490.104710229832 451.701861368214 755.37639970013</t>
  </si>
  <si>
    <t>-659.565087844945 179.140180250331 -239.976549020148</t>
  </si>
  <si>
    <t>-670.72741951233 179.363118474112 215.581309973339</t>
  </si>
  <si>
    <t>-688.32164131769 166.284341494036 685.5979181307</t>
  </si>
  <si>
    <t>-531.297967354714 136.162714170133 758.944810501614</t>
  </si>
  <si>
    <t>9763-20170724T164057.125826100.bin</t>
  </si>
  <si>
    <t>-632.070069364706 278.469368608603 -238.893606198718</t>
  </si>
  <si>
    <t>-654.62771473051 288.46689869936 -357.464470681365</t>
  </si>
  <si>
    <t>-662.382751928381 281.217217306885 -478.203236230806</t>
  </si>
  <si>
    <t>-663.000741000562 267.893652389859 -586.909055777753</t>
  </si>
  <si>
    <t>-657.215043252394 248.012375533248 -694.454903491341</t>
  </si>
  <si>
    <t>-642.430262235156 213.738111015813 -842.125761289505</t>
  </si>
  <si>
    <t>-594.980396482564 193.918728725515 -930.095604947676</t>
  </si>
  <si>
    <t>-642.704469863975 259.39868570143 -783.236362861335</t>
  </si>
  <si>
    <t>-624.295584532788 405.202515033855 -788.433440518965</t>
  </si>
  <si>
    <t>-618.273576873159 484.252226220316 -482.000604629432</t>
  </si>
  <si>
    <t>-420.439274054288 389.594820536715 -342.202215798242</t>
  </si>
  <si>
    <t>-655.239660162671 198.408201908296 -770.33549483414</t>
  </si>
  <si>
    <t>-688.118536325658 62.4286758239422 -725.012862363175</t>
  </si>
  <si>
    <t>-691.228199314567 114.671664059362 -412.847575883797</t>
  </si>
  <si>
    <t>-431.487626444526 116.664553081279 -425.997097803336</t>
  </si>
  <si>
    <t>-605.006910693277 372.548346158975 -236.563924760166</t>
  </si>
  <si>
    <t>-562.464242959267 418.312427362291 214.826662680909</t>
  </si>
  <si>
    <t>-644.880483775414 468.918282184889 673.972147155736</t>
  </si>
  <si>
    <t>-490.046665742802 452.096723105836 755.746393521941</t>
  </si>
  <si>
    <t>-659.051760937634 184.031168712327 -240.504865461322</t>
  </si>
  <si>
    <t>-670.360036560222 182.17323668512 215.045724149858</t>
  </si>
  <si>
    <t>-688.232088117832 166.352547472264 685.023606934451</t>
  </si>
  <si>
    <t>-531.375257984013 135.582516231453 758.458265855605</t>
  </si>
  <si>
    <t>9763-20170724T164057.188612100.bin</t>
  </si>
  <si>
    <t>-630.118707286474 287.841713164488 -240.50849830352</t>
  </si>
  <si>
    <t>-652.884392602673 297.871754407874 -359.036660310021</t>
  </si>
  <si>
    <t>-660.859360544507 291.137714372178 -479.791080819228</t>
  </si>
  <si>
    <t>-661.68032409709 278.473291322414 -588.574198309707</t>
  </si>
  <si>
    <t>-656.099189833708 259.441898630212 -696.284539346781</t>
  </si>
  <si>
    <t>-641.597505536687 226.543077757423 -844.296020583873</t>
  </si>
  <si>
    <t>-594.07039245351 207.193279523058 -932.328532958062</t>
  </si>
  <si>
    <t>-641.496618590769 271.606299757052 -784.947699933862</t>
  </si>
  <si>
    <t>-622.00782173426 417.312555574094 -788.855564447858</t>
  </si>
  <si>
    <t>-614.125172339267 494.336853421234 -481.94957454847</t>
  </si>
  <si>
    <t>-418.530611004508 394.809629202383 -342.381796822657</t>
  </si>
  <si>
    <t>-654.531495139534 210.593283867021 -772.663308330827</t>
  </si>
  <si>
    <t>-688.529844546746 74.483116824837 -728.61255000173</t>
  </si>
  <si>
    <t>-691.268379573123 123.599553189555 -415.936600401769</t>
  </si>
  <si>
    <t>-431.778077585976 129.352866196352 -432.481019975761</t>
  </si>
  <si>
    <t>-601.433921942099 381.615300583832 -238.412824276092</t>
  </si>
  <si>
    <t>-570.67273194963 422.793790269269 214.373816167268</t>
  </si>
  <si>
    <t>-645.514636406071 469.17390590825 675.233221508403</t>
  </si>
  <si>
    <t>-490.028416516126 453.240903058713 755.940623144352</t>
  </si>
  <si>
    <t>-658.745993141614 193.984024262807 -241.87733377895</t>
  </si>
  <si>
    <t>-669.899733184079 187.936568482082 213.640741645918</t>
  </si>
  <si>
    <t>-688.034527165133 166.565693346044 683.479211117243</t>
  </si>
  <si>
    <t>-531.444654941422 134.840998345718 757.07718977088</t>
  </si>
  <si>
    <t>9763-20170724T164057.224707700.bin</t>
  </si>
  <si>
    <t>-629.121268764851 292.872148248507 -241.281948336452</t>
  </si>
  <si>
    <t>-651.903185213424 303.062695997538 -359.793301613625</t>
  </si>
  <si>
    <t>-659.889551880098 296.659794204556 -480.564937768549</t>
  </si>
  <si>
    <t>-660.714581951304 284.365872926855 -589.390557749103</t>
  </si>
  <si>
    <t>-655.127896405565 265.777777770702 -697.177892458365</t>
  </si>
  <si>
    <t>-640.605355520011 233.57183795974 -845.339583789058</t>
  </si>
  <si>
    <t>-593.038465296008 214.442328596781 -933.39902370368</t>
  </si>
  <si>
    <t>-640.390734760314 278.333847180736 -785.764170309945</t>
  </si>
  <si>
    <t>-620.361332113969 423.975085523171 -788.9142204378</t>
  </si>
  <si>
    <t>-611.80959792994 500.029313915263 -481.78433696293</t>
  </si>
  <si>
    <t>-417.448840233433 397.962741223831 -342.326861365132</t>
  </si>
  <si>
    <t>-653.671549508946 217.310063699626 -773.801177828624</t>
  </si>
  <si>
    <t>-688.061226905972 81.113046317557 -730.296047746611</t>
  </si>
  <si>
    <t>-691.180329435101 129.322771437946 -417.482521904287</t>
  </si>
  <si>
    <t>-431.709402587077 134.306770797605 -434.571838592752</t>
  </si>
  <si>
    <t>-599.468670767824 386.477271620434 -239.242370633052</t>
  </si>
  <si>
    <t>-574.58980659915 425.548909995978 214.092097990685</t>
  </si>
  <si>
    <t>-645.553186103899 469.918445105415 675.700917344499</t>
  </si>
  <si>
    <t>-489.785473879658 454.268961345301 755.919474615945</t>
  </si>
  <si>
    <t>-658.617472219247 199.332474281559 -242.599106007705</t>
  </si>
  <si>
    <t>-669.51971420846 190.968102001766 212.88842437199</t>
  </si>
  <si>
    <t>-687.965485269827 166.475864986862 682.617186726151</t>
  </si>
  <si>
    <t>-531.402188689564 134.756901728522 756.274125669387</t>
  </si>
  <si>
    <t>9763-20170724T164057.289458000.bin</t>
  </si>
  <si>
    <t>-627.367530129455 303.023739556744 -242.585666774109</t>
  </si>
  <si>
    <t>-649.90122581921 313.499217937076 -361.119552520558</t>
  </si>
  <si>
    <t>-657.593245538639 307.748852027523 -481.943061771163</t>
  </si>
  <si>
    <t>-658.134431448985 296.192840918048 -590.851351144472</t>
  </si>
  <si>
    <t>-652.244812113076 278.491368687723 -698.77183717001</t>
  </si>
  <si>
    <t>-637.279664619629 247.671392887456 -847.184061080348</t>
  </si>
  <si>
    <t>-589.551412566511 228.879425190594 -935.228666941559</t>
  </si>
  <si>
    <t>-636.896902626429 291.806228653156 -787.143354281034</t>
  </si>
  <si>
    <t>-615.258583865316 437.245441181513 -788.608619942366</t>
  </si>
  <si>
    <t>-607.265550215347 510.847550830204 -480.86676478627</t>
  </si>
  <si>
    <t>-415.697222324279 404.443399267366 -340.788820605555</t>
  </si>
  <si>
    <t>-650.905630858897 230.810278909332 -775.889304040859</t>
  </si>
  <si>
    <t>-686.894364538337 94.6174383630527 -733.641726212395</t>
  </si>
  <si>
    <t>-690.43192216883 138.628971897521 -420.214424982547</t>
  </si>
  <si>
    <t>-430.811882926085 142.401139564709 -435.223304000046</t>
  </si>
  <si>
    <t>-595.886230325403 395.625763430808 -240.556054913204</t>
  </si>
  <si>
    <t>-582.610664260195 432.001568063935 213.490492017304</t>
  </si>
  <si>
    <t>-645.867063948056 470.717030912134 676.568314137774</t>
  </si>
  <si>
    <t>-489.638981757452 455.345081533353 755.940823702153</t>
  </si>
  <si>
    <t>-658.673181720532 210.241710884267 -243.902506487205</t>
  </si>
  <si>
    <t>-668.583004985251 196.834058323211 211.487076562119</t>
  </si>
  <si>
    <t>-687.806214193478 166.339053058385 680.82335022058</t>
  </si>
  <si>
    <t>-531.912864582901 131.865873132188 754.663500867651</t>
  </si>
  <si>
    <t>9763-20170724T164057.328559400.bin</t>
  </si>
  <si>
    <t>-626.56068752553 308.384994201693 -243.228821659253</t>
  </si>
  <si>
    <t>-649.042771942563 319.125280730505 -361.748860592806</t>
  </si>
  <si>
    <t>-656.561395113742 313.754418163943 -482.600766646375</t>
  </si>
  <si>
    <t>-656.892642645325 302.591301797384 -591.550908170804</t>
  </si>
  <si>
    <t>-650.73764125011 285.336365186391 -699.528955657413</t>
  </si>
  <si>
    <t>-635.344216215701 255.195835803663 -848.036754359724</t>
  </si>
  <si>
    <t>-587.492597432263 236.550147749718 -936.045501114135</t>
  </si>
  <si>
    <t>-634.962664492166 299.019741855402 -787.76873306657</t>
  </si>
  <si>
    <t>-612.419069071931 444.337018412519 -788.364134369148</t>
  </si>
  <si>
    <t>-605.278094363387 516.665824351184 -480.299709966877</t>
  </si>
  <si>
    <t>-415.420343956343 407.882754917713 -339.721125765108</t>
  </si>
  <si>
    <t>-649.347994927991 238.044355761326 -776.88445244356</t>
  </si>
  <si>
    <t>-686.265683906757 101.877955173022 -735.390684924263</t>
  </si>
  <si>
    <t>-690.736881300241 144.329382970627 -421.760230008119</t>
  </si>
  <si>
    <t>-431.013318997618 146.767696435257 -435.168059082198</t>
  </si>
  <si>
    <t>-594.059653859124 400.798170347049 -241.222656405314</t>
  </si>
  <si>
    <t>-586.403572327959 435.485388787115 213.085418863552</t>
  </si>
  <si>
    <t>-645.877142289545 471.332627227291 676.880220837426</t>
  </si>
  <si>
    <t>-489.485994336556 456.212372359753 755.979557835323</t>
  </si>
  <si>
    <t>-658.997447272852 216.074194163576 -244.559305155724</t>
  </si>
  <si>
    <t>-667.939141841217 199.951646238481 210.762292749933</t>
  </si>
  <si>
    <t>-687.675724277542 166.496731714712 679.899239327352</t>
  </si>
  <si>
    <t>-531.880706914474 131.709982456085 753.79993941734</t>
  </si>
  <si>
    <t>9763-20170724T164057.390736700.bin</t>
  </si>
  <si>
    <t>-625.467534083853 319.287100054122 -244.335710546885</t>
  </si>
  <si>
    <t>-647.670367021566 330.582281082392 -362.856877537747</t>
  </si>
  <si>
    <t>-654.664435104041 325.888951123772 -483.768455687091</t>
  </si>
  <si>
    <t>-654.41254305057 315.398398913035 -592.785571074911</t>
  </si>
  <si>
    <t>-647.559788631838 298.886822593984 -700.837669585125</t>
  </si>
  <si>
    <t>-631.073038467208 269.862532369237 -849.450508333049</t>
  </si>
  <si>
    <t>-582.784291800984 251.437870116418 -937.266963386448</t>
  </si>
  <si>
    <t>-630.798496716064 313.159143868869 -788.802019931663</t>
  </si>
  <si>
    <t>-606.721187187233 458.217985679691 -787.829469122953</t>
  </si>
  <si>
    <t>-601.475815492253 528.379159083907 -479.226076499062</t>
  </si>
  <si>
    <t>-415.199013970523 414.968513045999 -337.518328522341</t>
  </si>
  <si>
    <t>-645.937327755561 252.250626627148 -778.585931898605</t>
  </si>
  <si>
    <t>-684.720349691482 116.255762628488 -738.314930046228</t>
  </si>
  <si>
    <t>-692.048390512976 157.069187384412 -424.520837346451</t>
  </si>
  <si>
    <t>-432.129491642628 153.216170289321 -432.850797312716</t>
  </si>
  <si>
    <t>-590.787549180777 410.436161091902 -242.143595567744</t>
  </si>
  <si>
    <t>-593.392015234511 442.846872817253 212.389568961912</t>
  </si>
  <si>
    <t>-645.750386410921 472.416351148535 677.444449461088</t>
  </si>
  <si>
    <t>-489.050078200587 458.424832441852 756.138541582289</t>
  </si>
  <si>
    <t>-659.956384787393 227.943368164604 -245.710038488407</t>
  </si>
  <si>
    <t>-666.64694264759 205.993651597014 209.406598975706</t>
  </si>
  <si>
    <t>-687.451442265211 166.402333792872 678.049489133838</t>
  </si>
  <si>
    <t>-532.174051349517 129.705019420603 752.115321760486</t>
  </si>
  <si>
    <t>9763-20170724T164057.428839400.bin</t>
  </si>
  <si>
    <t>-625.100824613494 325.066546055035 -244.774845226888</t>
  </si>
  <si>
    <t>-647.201379451248 336.627468434351 -363.289517853637</t>
  </si>
  <si>
    <t>-653.937886284784 332.276583158552 -484.22859669772</t>
  </si>
  <si>
    <t>-653.390582289094 322.127200335288 -593.276947867719</t>
  </si>
  <si>
    <t>-646.180198309344 305.990937949124 -701.36243447348</t>
  </si>
  <si>
    <t>-629.132542526949 277.525351014679 -850.020119043803</t>
  </si>
  <si>
    <t>-580.524434594068 259.132515529407 -937.666826949639</t>
  </si>
  <si>
    <t>-628.859332839604 320.541872998839 -789.172555530829</t>
  </si>
  <si>
    <t>-603.724991055956 465.422519237234 -787.401880202227</t>
  </si>
  <si>
    <t>-599.890060940005 534.514638758559 -478.536534660506</t>
  </si>
  <si>
    <t>-415.417641304841 418.897565128396 -336.252716548304</t>
  </si>
  <si>
    <t>-644.491935470188 259.699056044254 -779.314814311058</t>
  </si>
  <si>
    <t>-684.641677241695 123.89591529654 -739.677986431813</t>
  </si>
  <si>
    <t>-692.943565865993 163.854442574635 -425.798083309591</t>
  </si>
  <si>
    <t>-433.03668060697 156.774598917962 -432.149909963335</t>
  </si>
  <si>
    <t>-589.54314121642 416.044764526728 -242.529688630044</t>
  </si>
  <si>
    <t>-596.514057633388 446.29856728912 212.10613432037</t>
  </si>
  <si>
    <t>-645.739642978665 472.887161954871 677.753130435313</t>
  </si>
  <si>
    <t>-488.887240684088 459.53137523351 756.25449763767</t>
  </si>
  <si>
    <t>-660.606536801873 234.089517684738 -246.207326183511</t>
  </si>
  <si>
    <t>-666.211687093745 209.207566441299 208.773012775109</t>
  </si>
  <si>
    <t>-687.333739105814 166.452214998893 677.133443133692</t>
  </si>
  <si>
    <t>-532.041046440769 129.918250889558 751.247907870395</t>
  </si>
  <si>
    <t>9763-20170724T164057.492648000.bin</t>
  </si>
  <si>
    <t>-625.42534481395 337.081828575771 -245.359467970278</t>
  </si>
  <si>
    <t>-647.17322720278 349.14369902046 -363.889407325785</t>
  </si>
  <si>
    <t>-653.238491956813 345.41971741371 -484.884839220188</t>
  </si>
  <si>
    <t>-651.95622315194 335.891252333155 -593.983071259822</t>
  </si>
  <si>
    <t>-643.883517343386 320.436500643146 -702.107140569384</t>
  </si>
  <si>
    <t>-625.506499798407 292.986522996209 -850.797460351401</t>
  </si>
  <si>
    <t>-576.222289420787 274.049801345536 -937.949296398974</t>
  </si>
  <si>
    <t>-625.307532396731 335.473015529481 -789.578327543641</t>
  </si>
  <si>
    <t>-598.077033937563 479.955429599804 -786.301269687512</t>
  </si>
  <si>
    <t>-596.821712996423 547.09231130939 -476.983804598696</t>
  </si>
  <si>
    <t>-416.502422868258 426.862304582659 -333.207124639273</t>
  </si>
  <si>
    <t>-641.967961701242 274.791643296369 -780.434895253091</t>
  </si>
  <si>
    <t>-684.748133295422 139.401830936957 -742.232267714402</t>
  </si>
  <si>
    <t>-696.837104599809 176.747863913852 -428.153814164928</t>
  </si>
  <si>
    <t>-437.052097227056 164.822721146802 -431.557169637861</t>
  </si>
  <si>
    <t>-587.697709560389 427.56978880884 -242.97705639661</t>
  </si>
  <si>
    <t>-601.163270249881 454.019073146468 211.750103441735</t>
  </si>
  <si>
    <t>-645.480597274505 474.336257226873 678.244276597881</t>
  </si>
  <si>
    <t>-488.544618754427 460.357600378302 756.469622583816</t>
  </si>
  <si>
    <t>-663.068308148408 246.477315810707 -246.921485313375</t>
  </si>
  <si>
    <t>-665.921383311549 215.629595916532 207.71893553952</t>
  </si>
  <si>
    <t>-687.087105969745 166.316571533837 675.444350329228</t>
  </si>
  <si>
    <t>-532.420534231313 127.660072955884 749.791065812577</t>
  </si>
  <si>
    <t>9763-20170724T164057.523730800.bin</t>
  </si>
  <si>
    <t>-625.732334065355 343.125258976091 -245.600250639501</t>
  </si>
  <si>
    <t>-647.311851771911 355.519161828574 -364.126828993275</t>
  </si>
  <si>
    <t>-653.053482863736 352.185269994086 -485.149445822108</t>
  </si>
  <si>
    <t>-651.41604444512 343.033691040942 -594.2752758669</t>
  </si>
  <si>
    <t>-642.925555628095 327.983378379463 -702.424427704922</t>
  </si>
  <si>
    <t>-623.903579016526 301.126350302813 -851.141740307273</t>
  </si>
  <si>
    <t>-574.395592861051 281.483691524052 -938.010109812999</t>
  </si>
  <si>
    <t>-623.723852112932 343.305618656895 -789.710636995745</t>
  </si>
  <si>
    <t>-595.464510037024 487.539110966379 -785.494433984642</t>
  </si>
  <si>
    <t>-594.985749008859 554.018863492886 -476.032992538668</t>
  </si>
  <si>
    <t>-416.983532446495 431.137043818723 -331.612356915893</t>
  </si>
  <si>
    <t>-640.916624742767 282.713886331614 -780.967307188755</t>
  </si>
  <si>
    <t>-684.815430518423 147.433080584321 -743.550409909682</t>
  </si>
  <si>
    <t>-698.934536793344 183.230723255502 -429.376292173593</t>
  </si>
  <si>
    <t>-439.204579421596 169.811649891802 -430.908903080889</t>
  </si>
  <si>
    <t>-586.893530688976 433.53724959234 -243.172950071566</t>
  </si>
  <si>
    <t>-603.06211897524 457.913689206525 211.581969050215</t>
  </si>
  <si>
    <t>-645.345599275334 475.230793041473 678.240730080063</t>
  </si>
  <si>
    <t>-488.379272417476 461.308278630754 756.415167775209</t>
  </si>
  <si>
    <t>-664.481927080027 252.672165903756 -247.256563753767</t>
  </si>
  <si>
    <t>-666.046037719548 218.841026508573 207.17791677865</t>
  </si>
  <si>
    <t>-686.956808832244 166.189660724057 674.600739050203</t>
  </si>
  <si>
    <t>-532.46067075935 127.108398549771 749.079549790931</t>
  </si>
  <si>
    <t>9763-20170724T164057.590483700.bin</t>
  </si>
  <si>
    <t>-626.730453275372 354.704479013991 -246.391387799951</t>
  </si>
  <si>
    <t>-647.908748815858 367.924532951276 -364.900837934375</t>
  </si>
  <si>
    <t>-653.01467922702 365.617225765299 -485.975982706343</t>
  </si>
  <si>
    <t>-650.709396467332 357.473293960625 -595.169418944033</t>
  </si>
  <si>
    <t>-641.458468168002 343.51367483716 -703.402436128557</t>
  </si>
  <si>
    <t>-621.284311186776 318.261322300689 -852.249154532576</t>
  </si>
  <si>
    <t>-571.776257741063 296.620609462724 -938.641359788206</t>
  </si>
  <si>
    <t>-621.038303763127 359.628557319832 -790.268444754413</t>
  </si>
  <si>
    <t>-590.474024398919 503.332122425831 -783.733769419791</t>
  </si>
  <si>
    <t>-591.65710156015 568.196850474667 -473.931692412101</t>
  </si>
  <si>
    <t>-418.286762659626 439.645669535136 -328.813228397406</t>
  </si>
  <si>
    <t>-639.383198546642 299.240897827335 -782.509807126783</t>
  </si>
  <si>
    <t>-685.830488582169 164.297355707303 -747.131447223542</t>
  </si>
  <si>
    <t>-702.527476081998 197.495883102275 -432.798425819663</t>
  </si>
  <si>
    <t>-443.072648143438 179.80744397576 -429.280224296703</t>
  </si>
  <si>
    <t>-585.568586288651 444.616344338115 -243.901340381082</t>
  </si>
  <si>
    <t>-606.531775928417 465.883182314836 210.813871395172</t>
  </si>
  <si>
    <t>-645.026063437254 476.947637873275 677.645947295325</t>
  </si>
  <si>
    <t>-488.203995940179 462.03347536861 755.926949943244</t>
  </si>
  <si>
    <t>-667.933967673567 264.617549371571 -248.257164131706</t>
  </si>
  <si>
    <t>-667.004967386835 224.73798915002 205.688163187461</t>
  </si>
  <si>
    <t>-686.705775986806 165.804027583409 672.624772888423</t>
  </si>
  <si>
    <t>-533.023801287413 124.329057005552 747.49270622367</t>
  </si>
  <si>
    <t>9763-20170724T164057.624574000.bin</t>
  </si>
  <si>
    <t>-627.249593638851 360.148947491416 -246.932571480068</t>
  </si>
  <si>
    <t>-648.343923956575 373.868999666309 -365.40022520742</t>
  </si>
  <si>
    <t>-653.232083671485 372.090799282441 -486.493330287189</t>
  </si>
  <si>
    <t>-650.67604091849 364.434246360122 -595.716345918845</t>
  </si>
  <si>
    <t>-641.120441955401 350.972402980222 -703.986089507609</t>
  </si>
  <si>
    <t>-620.467549313184 326.423822826064 -852.884799570077</t>
  </si>
  <si>
    <t>-571.151164757286 303.676722320788 -939.102178837365</t>
  </si>
  <si>
    <t>-620.096397118107 367.404260167604 -790.648304337638</t>
  </si>
  <si>
    <t>-588.137635521646 510.736121006337 -782.946864783813</t>
  </si>
  <si>
    <t>-590.238772699746 574.911138696831 -473.005945799418</t>
  </si>
  <si>
    <t>-419.160270831685 443.638973133211 -327.603642458671</t>
  </si>
  <si>
    <t>-639.115238952573 307.167357517596 -783.355101200125</t>
  </si>
  <si>
    <t>-687.029633550251 172.473921914721 -748.956804783854</t>
  </si>
  <si>
    <t>-704.616195910185 203.920873197738 -434.492147904458</t>
  </si>
  <si>
    <t>-445.336776845389 184.100315262237 -429.656934956455</t>
  </si>
  <si>
    <t>-584.791102383099 449.847172867517 -244.37729574531</t>
  </si>
  <si>
    <t>-608.313263597348 469.523391848608 210.284357794172</t>
  </si>
  <si>
    <t>-644.773219025464 477.751834150983 677.259810009527</t>
  </si>
  <si>
    <t>-488.085790594209 462.11627356075 755.669584260785</t>
  </si>
  <si>
    <t>-669.701687411839 270.283522882373 -248.884751562589</t>
  </si>
  <si>
    <t>-667.717052060455 227.629704089213 204.805022386474</t>
  </si>
  <si>
    <t>-686.513585378828 165.916236175138 671.499368761503</t>
  </si>
  <si>
    <t>-532.776003470202 124.918220525046 746.515601738493</t>
  </si>
  <si>
    <t>9763-20170724T164057.690317000.bin</t>
  </si>
  <si>
    <t>-628.283210753852 370.652474906242 -247.9981178695</t>
  </si>
  <si>
    <t>-648.896398340486 385.364337262704 -366.431532596976</t>
  </si>
  <si>
    <t>-653.287989516083 384.571140248638 -487.553939182719</t>
  </si>
  <si>
    <t>-650.276779397665 377.795032754229 -596.823638873516</t>
  </si>
  <si>
    <t>-640.258146998431 365.204734993453 -705.156374211598</t>
  </si>
  <si>
    <t>-618.95292225774 341.857827228068 -854.156330674213</t>
  </si>
  <si>
    <t>-570.153821624202 317.431338330339 -940.208583937749</t>
  </si>
  <si>
    <t>-618.166242528269 382.1230324619 -791.458593082908</t>
  </si>
  <si>
    <t>-583.093830298089 524.621121520555 -781.797719585718</t>
  </si>
  <si>
    <t>-587.007747554501 586.950713795208 -471.498057472352</t>
  </si>
  <si>
    <t>-420.283430206364 450.88622835089 -325.444923091976</t>
  </si>
  <si>
    <t>-638.593379361757 322.253220795426 -784.998370871436</t>
  </si>
  <si>
    <t>-689.622886653766 188.288108771048 -752.341844247552</t>
  </si>
  <si>
    <t>-709.212496127332 216.498709655349 -437.688724970435</t>
  </si>
  <si>
    <t>-450.42967689879 191.650287861218 -430.20198462282</t>
  </si>
  <si>
    <t>-583.175171450207 459.971047614078 -245.138719296086</t>
  </si>
  <si>
    <t>-611.932350476986 476.723098492855 209.339102498706</t>
  </si>
  <si>
    <t>-644.509635290881 479.578678640771 676.713665820174</t>
  </si>
  <si>
    <t>-488.062323253709 462.462144075312 755.29343749831</t>
  </si>
  <si>
    <t>-673.294293006904 281.223851267788 -250.234421869608</t>
  </si>
  <si>
    <t>-669.530336996478 232.748523858569 202.859021358923</t>
  </si>
  <si>
    <t>-686.282139649805 165.568253119262 669.098649463758</t>
  </si>
  <si>
    <t>-533.29298023558 122.528944717245 744.500446966529</t>
  </si>
  <si>
    <t>9763-20170724T164057.725472500.bin</t>
  </si>
  <si>
    <t>-628.874721613054 375.555820991077 -248.459295464177</t>
  </si>
  <si>
    <t>-649.364869064469 390.740408947321 -366.854301359108</t>
  </si>
  <si>
    <t>-653.587325197549 390.329282123132 -487.984614249096</t>
  </si>
  <si>
    <t>-650.403477366659 383.858152651438 -597.26791369693</t>
  </si>
  <si>
    <t>-640.191475114723 371.533665488067 -705.613039611885</t>
  </si>
  <si>
    <t>-618.59591486176 348.515869256531 -854.622500593172</t>
  </si>
  <si>
    <t>-569.998691068615 323.482912042309 -940.614651847306</t>
  </si>
  <si>
    <t>-617.571632955362 388.52454107239 -791.7641797416</t>
  </si>
  <si>
    <t>-580.910835132883 530.540710489729 -781.295563155475</t>
  </si>
  <si>
    <t>-585.356058669935 592.352495162737 -470.899450319114</t>
  </si>
  <si>
    <t>-420.670081551334 454.203913346312 -324.490603513257</t>
  </si>
  <si>
    <t>-638.731002893565 328.876477993995 -785.616850702154</t>
  </si>
  <si>
    <t>-691.306722279799 195.349712697765 -753.546718299344</t>
  </si>
  <si>
    <t>-711.748144518729 222.324658196938 -438.839412013634</t>
  </si>
  <si>
    <t>-453.287245720097 194.495510802965 -430.743400078505</t>
  </si>
  <si>
    <t>-582.536043751093 464.619905481634 -245.421891355825</t>
  </si>
  <si>
    <t>-613.434051273408 479.715862780876 208.973414984471</t>
  </si>
  <si>
    <t>-644.387920056036 479.956264188008 676.587307337484</t>
  </si>
  <si>
    <t>-487.984592047925 462.729478612902 755.230422078012</t>
  </si>
  <si>
    <t>-675.128997901308 286.384264777636 -250.834742178828</t>
  </si>
  <si>
    <t>-670.332468903332 235.180060325663 201.948719409089</t>
  </si>
  <si>
    <t>-686.145285958749 165.604977624987 667.885821080101</t>
  </si>
  <si>
    <t>-533.238303345125 122.518222438478 743.4272846837</t>
  </si>
  <si>
    <t>9763-20170724T164057.763574900.bin</t>
  </si>
  <si>
    <t>-629.447971439709 380.269168527109 -248.893014078349</t>
  </si>
  <si>
    <t>-649.898637969828 396.058418744679 -367.215823696331</t>
  </si>
  <si>
    <t>-654.014954421239 396.078687873181 -488.350602204033</t>
  </si>
  <si>
    <t>-650.704161713354 389.923941284667 -597.648382466651</t>
  </si>
  <si>
    <t>-640.332131528596 377.844113471947 -706.005805915634</t>
  </si>
  <si>
    <t>-618.478721194991 355.093538367319 -855.018826521439</t>
  </si>
  <si>
    <t>-569.974592473013 329.656884928596 -940.944843064659</t>
  </si>
  <si>
    <t>-617.207593791078 394.867904022648 -792.016305017705</t>
  </si>
  <si>
    <t>-578.900561004993 536.398208033833 -780.88445583071</t>
  </si>
  <si>
    <t>-583.80792551886 597.930441071072 -470.43983430888</t>
  </si>
  <si>
    <t>-421.063114681012 457.933399830829 -323.61661245068</t>
  </si>
  <si>
    <t>-639.088784226118 335.451984709027 -786.154018551774</t>
  </si>
  <si>
    <t>-693.274411197522 202.449621502714 -754.519017399339</t>
  </si>
  <si>
    <t>-714.439152256473 228.232437392392 -439.759655489702</t>
  </si>
  <si>
    <t>-456.303719546415 197.714597817615 -430.997598687995</t>
  </si>
  <si>
    <t>-581.809815911168 469.253719088948 -245.602358397191</t>
  </si>
  <si>
    <t>-614.557723210911 482.66393564027 208.716263115805</t>
  </si>
  <si>
    <t>-644.380127747114 480.613028442847 676.456823697546</t>
  </si>
  <si>
    <t>-488.195694829701 462.243143133105 755.276169093204</t>
  </si>
  <si>
    <t>-676.914061188111 291.299194898549 -251.467092101979</t>
  </si>
  <si>
    <t>-670.982892803367 237.467560487299 200.997962312665</t>
  </si>
  <si>
    <t>-686.024508281625 165.423450296526 666.702272496578</t>
  </si>
  <si>
    <t>-533.559867567817 121.183777129425 742.471006720959</t>
  </si>
  <si>
    <t>9763-20170724T164057.824291000.bin</t>
  </si>
  <si>
    <t>-630.039860148491 388.92491895716 -249.613537669355</t>
  </si>
  <si>
    <t>-650.267892641125 405.729821829145 -367.834643900604</t>
  </si>
  <si>
    <t>-654.200520187321 406.357450369314 -488.973806937093</t>
  </si>
  <si>
    <t>-650.734337857148 400.575494531418 -598.28721717329</t>
  </si>
  <si>
    <t>-640.213791408495 388.693106682377 -706.652206470519</t>
  </si>
  <si>
    <t>-618.159597238421 366.034896217289 -855.649572829389</t>
  </si>
  <si>
    <t>-569.562801523648 340.227292989232 -941.412646713914</t>
  </si>
  <si>
    <t>-616.251646867731 405.508355014034 -792.474165256908</t>
  </si>
  <si>
    <t>-574.691268339961 546.061106072386 -780.549006392383</t>
  </si>
  <si>
    <t>-579.661434958178 608.079446869088 -470.202149987765</t>
  </si>
  <si>
    <t>-420.781741107987 464.639905939243 -322.471341520191</t>
  </si>
  <si>
    <t>-639.584128109195 346.61255401678 -786.971564001141</t>
  </si>
  <si>
    <t>-696.878612816305 214.788223724122 -755.874193613851</t>
  </si>
  <si>
    <t>-718.423391962899 239.293137022475 -441.038466527664</t>
  </si>
  <si>
    <t>-460.910758504277 204.237135597051 -431.019550009755</t>
  </si>
  <si>
    <t>-580.329091467172 477.25945661011 -245.94129434355</t>
  </si>
  <si>
    <t>-616.212023260917 488.087339578158 208.209333174218</t>
  </si>
  <si>
    <t>-644.173117052829 481.444873048439 676.00118319695</t>
  </si>
  <si>
    <t>-488.294074599489 461.968517623941 755.158685083874</t>
  </si>
  <si>
    <t>-679.452970921014 300.596907709004 -252.448648343443</t>
  </si>
  <si>
    <t>-670.624787509719 240.571218024769 199.189188109226</t>
  </si>
  <si>
    <t>-686.138765681229 164.71349615273 664.304798985623</t>
  </si>
  <si>
    <t>-534.799431323073 117.174160179828 740.330588965775</t>
  </si>
  <si>
    <t>9763-20170724T164057.859392600.bin</t>
  </si>
  <si>
    <t>-629.8964060704 392.88416504919 -249.88515823392</t>
  </si>
  <si>
    <t>-650.086227030053 410.134179647741 -368.048578207114</t>
  </si>
  <si>
    <t>-653.991922824072 410.982072714487 -489.187339485042</t>
  </si>
  <si>
    <t>-650.501905539756 405.304088935297 -598.505342572521</t>
  </si>
  <si>
    <t>-639.955725010605 393.431697778036 -706.868905825017</t>
  </si>
  <si>
    <t>-617.862868905839 370.690464391819 -855.84800226816</t>
  </si>
  <si>
    <t>-569.054346677895 344.978056573064 -941.519387969835</t>
  </si>
  <si>
    <t>-615.64838796028 410.075334580689 -792.627383280396</t>
  </si>
  <si>
    <t>-572.51471281156 550.131933127349 -780.514164731362</t>
  </si>
  <si>
    <t>-577.011421669426 612.953276706749 -470.321604364415</t>
  </si>
  <si>
    <t>-419.930447358778 467.95663308483 -322.187900041458</t>
  </si>
  <si>
    <t>-639.628138725161 351.430199599512 -787.231442741917</t>
  </si>
  <si>
    <t>-698.308205258153 220.179857590701 -756.297113764673</t>
  </si>
  <si>
    <t>-719.929212087764 244.162110175058 -441.426292626677</t>
  </si>
  <si>
    <t>-462.631657267546 207.587399317048 -431.312447042984</t>
  </si>
  <si>
    <t>-579.554685459669 480.863431752596 -246.080832314954</t>
  </si>
  <si>
    <t>-616.551534582819 490.528278380101 208.006682130705</t>
  </si>
  <si>
    <t>-644.130263190937 481.783645478116 675.842629488147</t>
  </si>
  <si>
    <t>-488.482034738671 461.277933367424 755.194102497458</t>
  </si>
  <si>
    <t>-679.899872136181 304.889289906022 -252.873206307353</t>
  </si>
  <si>
    <t>-669.241925868383 241.372460238993 198.247345576231</t>
  </si>
  <si>
    <t>-686.511164503534 164.131491440397 663.034341089646</t>
  </si>
  <si>
    <t>-535.832796501775 114.482680374012 739.024653861557</t>
  </si>
  <si>
    <t>9763-20170724T164057.928168800.bin</t>
  </si>
  <si>
    <t>-628.877722617523 400.079848258898 -250.44719816709</t>
  </si>
  <si>
    <t>-649.376077152313 418.042320899895 -368.451307871196</t>
  </si>
  <si>
    <t>-653.523883525532 419.181190695108 -489.579671183526</t>
  </si>
  <si>
    <t>-650.219740364544 413.585408559916 -598.907603468687</t>
  </si>
  <si>
    <t>-639.823713113334 401.614319628906 -707.274995592057</t>
  </si>
  <si>
    <t>-617.901993240503 378.548127219529 -856.229182840167</t>
  </si>
  <si>
    <t>-568.514589084834 353.351321619492 -941.721765331443</t>
  </si>
  <si>
    <t>-615.112659192837 417.870209239604 -792.992296216511</t>
  </si>
  <si>
    <t>-569.670917451235 557.203868778956 -780.945133227565</t>
  </si>
  <si>
    <t>-571.952475318256 621.918947737484 -471.117880317013</t>
  </si>
  <si>
    <t>-417.942307930228 474.235218409436 -322.415409744479</t>
  </si>
  <si>
    <t>-640.090675831674 359.638197036241 -787.650854604798</t>
  </si>
  <si>
    <t>-700.939240164561 229.400099059952 -756.685257397617</t>
  </si>
  <si>
    <t>-722.900818431515 252.734968767904 -441.789541971993</t>
  </si>
  <si>
    <t>-465.689039693252 215.349985008651 -432.487782469399</t>
  </si>
  <si>
    <t>-578.056506293318 487.269302943678 -246.462205833265</t>
  </si>
  <si>
    <t>-616.582117133832 495.026832112428 207.53480873577</t>
  </si>
  <si>
    <t>-644.057691883162 482.602557280031 675.466273223172</t>
  </si>
  <si>
    <t>-488.560315238914 461.707177193597 755.011592239117</t>
  </si>
  <si>
    <t>-679.287776691954 313.149300315127 -253.695660281151</t>
  </si>
  <si>
    <t>-663.887940870995 242.765388781244 196.2672785577</t>
  </si>
  <si>
    <t>-687.21055953035 164.97453433601 660.254538167986</t>
  </si>
  <si>
    <t>-538.421084980174 108.935687503975 735.519669539066</t>
  </si>
  <si>
    <t>9763-20170724T164057.992843300.bin</t>
  </si>
  <si>
    <t>-625.058863988151 409.717754237494 -251.930457630966</t>
  </si>
  <si>
    <t>-646.395404652955 428.180767024427 -369.708446360548</t>
  </si>
  <si>
    <t>-651.116627623246 429.576652335722 -490.813150717671</t>
  </si>
  <si>
    <t>-648.220532441553 424.103552016908 -600.159021025885</t>
  </si>
  <si>
    <t>-638.122993656549 412.142830608145 -708.555578649732</t>
  </si>
  <si>
    <t>-616.505097364522 388.972651606174 -857.538152600837</t>
  </si>
  <si>
    <t>-566.722896105654 364.581923556681 -943.035495840291</t>
  </si>
  <si>
    <t>-613.332747560292 428.233528472008 -794.281143880512</t>
  </si>
  <si>
    <t>-566.559601934342 567.146025852175 -782.336321952643</t>
  </si>
  <si>
    <t>-566.116647107189 633.490483838102 -472.845645916954</t>
  </si>
  <si>
    <t>-413.961609903265 483.802968162177 -324.237021441786</t>
  </si>
  <si>
    <t>-638.807976350275 370.215910161565 -788.95480867027</t>
  </si>
  <si>
    <t>-700.641950252455 240.476663018654 -757.744587150543</t>
  </si>
  <si>
    <t>-721.943530390258 263.960755223893 -442.814608147353</t>
  </si>
  <si>
    <t>-464.719160384262 226.828011128717 -432.873108010733</t>
  </si>
  <si>
    <t>-575.882469310691 494.381623051409 -247.435600683239</t>
  </si>
  <si>
    <t>-615.149324929913 500.616523359198 206.521364646854</t>
  </si>
  <si>
    <t>-643.951563808639 483.121781913566 674.928122423548</t>
  </si>
  <si>
    <t>-488.708275080989 461.044733149978 754.650300835023</t>
  </si>
  <si>
    <t>-673.84208491242 325.881363938846 -255.869057531859</t>
  </si>
  <si>
    <t>-653.79743486601 249.083334944877 192.86011991478</t>
  </si>
  <si>
    <t>-686.272827533829 178.33692403608 655.580142816024</t>
  </si>
  <si>
    <t>-547.570619260552 100.842239513234 731.077141533785</t>
  </si>
  <si>
    <t>9763-20170724T164058.024429300.bin</t>
  </si>
  <si>
    <t>-624.289579720405 412.432062738239 -252.625220614947</t>
  </si>
  <si>
    <t>-646.03670945543 431.014799359607 -370.309312785434</t>
  </si>
  <si>
    <t>-651.039588385214 432.451019977289 -491.402105530105</t>
  </si>
  <si>
    <t>-648.343782877557 426.979399490383 -600.753109281402</t>
  </si>
  <si>
    <t>-638.392621356348 414.984415349101 -709.159477061483</t>
  </si>
  <si>
    <t>-616.922869672709 391.7295541912 -858.15032420175</t>
  </si>
  <si>
    <t>-567.054023976209 367.72439135224 -943.706291988045</t>
  </si>
  <si>
    <t>-613.674964507121 431.021125641671 -794.916253880965</t>
  </si>
  <si>
    <t>-566.906862111565 569.924069487618 -783.062047470689</t>
  </si>
  <si>
    <t>-564.517653356034 636.949276126859 -473.72722856297</t>
  </si>
  <si>
    <t>-412.682573725872 486.748397285834 -325.309319583748</t>
  </si>
  <si>
    <t>-639.170140170616 373.017132991861 -789.53664986814</t>
  </si>
  <si>
    <t>-701.000911181651 243.32820655553 -758.192880705359</t>
  </si>
  <si>
    <t>-722.167792859262 267.051819801603 -443.271622919829</t>
  </si>
  <si>
    <t>-464.878049264737 230.408996391103 -433.204836259618</t>
  </si>
  <si>
    <t>-575.553420455223 496.604335327167 -247.950803169021</t>
  </si>
  <si>
    <t>-614.864681850212 502.369780117012 206.008483402368</t>
  </si>
  <si>
    <t>-643.976131579675 483.861869494345 674.642084616878</t>
  </si>
  <si>
    <t>-488.862196058753 461.160597500395 754.440734673751</t>
  </si>
  <si>
    <t>-672.8951102522 328.348378078247 -256.792837768329</t>
  </si>
  <si>
    <t>-650.39638559572 250.389380652936 191.619722701079</t>
  </si>
  <si>
    <t>-690.454133379249 182.936545081874 654.50484636564</t>
  </si>
  <si>
    <t>-562.550881438744 90.0590728317236 731.693112284506</t>
  </si>
  <si>
    <t>9763-20170724T164058.093614600.bin</t>
  </si>
  <si>
    <t>-624.013770734791 413.387119793672 -253.551439567112</t>
  </si>
  <si>
    <t>-647.379047881088 432.419991098986 -370.852880619739</t>
  </si>
  <si>
    <t>-653.366065918008 434.154147679553 -491.897176676194</t>
  </si>
  <si>
    <t>-651.288906330776 428.888509208178 -601.271789482461</t>
  </si>
  <si>
    <t>-641.683621682447 417.038732529847 -709.725330910356</t>
  </si>
  <si>
    <t>-620.412778106085 393.927479489307 -858.766981933897</t>
  </si>
  <si>
    <t>-570.460831183101 370.725708433967 -944.49599323659</t>
  </si>
  <si>
    <t>-617.184250942119 433.201406486046 -795.521051815682</t>
  </si>
  <si>
    <t>-570.838678254217 572.253079903351 -783.635063371295</t>
  </si>
  <si>
    <t>-566.001977879181 639.505518046829 -474.378117543832</t>
  </si>
  <si>
    <t>-413.618119228094 489.025311239728 -326.807917835503</t>
  </si>
  <si>
    <t>-642.464691207908 375.105583528081 -790.120318279123</t>
  </si>
  <si>
    <t>-703.979695658065 245.258538630286 -758.759775254967</t>
  </si>
  <si>
    <t>-724.232709107192 269.176278223194 -443.793205785031</t>
  </si>
  <si>
    <t>-466.77291535217 233.694938451566 -433.91454155592</t>
  </si>
  <si>
    <t>-575.62023934705 497.912541872883 -248.765174142962</t>
  </si>
  <si>
    <t>-614.599957595064 502.704345110958 205.234031350439</t>
  </si>
  <si>
    <t>-643.800749135776 483.412287169478 674.214181223658</t>
  </si>
  <si>
    <t>-488.620223449462 461.512907885731 754.107489310659</t>
  </si>
  <si>
    <t>-672.515499439615 328.585673936772 -257.460066274522</t>
  </si>
  <si>
    <t>-645.762658398483 251.397686650657 190.852283494487</t>
  </si>
  <si>
    <t>-696.428066029217 186.704117277404 653.680316708491</t>
  </si>
  <si>
    <t>-592.900368013148 71.8720514248151 737.57982496103</t>
  </si>
  <si>
    <t>9763-20170724T164058.125243600.bin</t>
  </si>
  <si>
    <t>-624.182210557135 413.085467768495 -253.567391167842</t>
  </si>
  <si>
    <t>-648.132727015922 432.201828632775 -370.737036557239</t>
  </si>
  <si>
    <t>-654.479181428687 434.049190856295 -491.761273398018</t>
  </si>
  <si>
    <t>-652.63095635253 428.898299110531 -601.145471806013</t>
  </si>
  <si>
    <t>-643.157958819943 417.176259263434 -709.62463334935</t>
  </si>
  <si>
    <t>-621.970956622498 394.257568804028 -858.707886682542</t>
  </si>
  <si>
    <t>-572.010626124764 371.422709832026 -944.530453061166</t>
  </si>
  <si>
    <t>-618.792285551637 433.4851936911 -795.430615922193</t>
  </si>
  <si>
    <t>-572.81168077801 572.645239752475 -783.480271775085</t>
  </si>
  <si>
    <t>-567.649778005262 639.702939138907 -474.186072286665</t>
  </si>
  <si>
    <t>-414.615813797491 489.480592941241 -327.026699945741</t>
  </si>
  <si>
    <t>-643.898807910506 375.311638374421 -790.055687955119</t>
  </si>
  <si>
    <t>-705.15744644411 245.322271779675 -758.814257082691</t>
  </si>
  <si>
    <t>-725.650616388114 269.131029503395 -443.854962635606</t>
  </si>
  <si>
    <t>-468.091855205375 234.064182540123 -435.145342477629</t>
  </si>
  <si>
    <t>-575.81572933873 497.904365243856 -248.951922946668</t>
  </si>
  <si>
    <t>-614.444325868077 502.539524015745 205.078912940772</t>
  </si>
  <si>
    <t>-643.733811540724 483.429169674054 674.024821307696</t>
  </si>
  <si>
    <t>-488.625103717612 461.330594878943 754.00262282004</t>
  </si>
  <si>
    <t>-672.591519795785 328.089388210633 -257.214127752743</t>
  </si>
  <si>
    <t>-644.199877340937 250.836219418119 190.986162852736</t>
  </si>
  <si>
    <t>-698.247872778185 187.498480441988 653.716189517844</t>
  </si>
  <si>
    <t>-599.076293916465 69.6825228573971 738.733314842966</t>
  </si>
  <si>
    <t>9763-20170724T164058.190418500.bin</t>
  </si>
  <si>
    <t>-623.928476408156 410.94400109241 -253.406685429514</t>
  </si>
  <si>
    <t>-648.789848398207 429.90575064607 -370.411705562146</t>
  </si>
  <si>
    <t>-655.728842272204 431.834206899806 -491.402066826052</t>
  </si>
  <si>
    <t>-654.290459073571 426.846474789426 -600.799997118034</t>
  </si>
  <si>
    <t>-645.10598410615 415.372199108596 -709.330351321583</t>
  </si>
  <si>
    <t>-624.19822611488 392.881294266579 -858.518266527023</t>
  </si>
  <si>
    <t>-574.29106464948 370.728989774353 -944.550394475839</t>
  </si>
  <si>
    <t>-621.090386180776 432.004709722932 -795.173053472257</t>
  </si>
  <si>
    <t>-575.896222062923 571.422648224927 -783.083742225686</t>
  </si>
  <si>
    <t>-570.568201071655 637.738123338273 -473.632443314291</t>
  </si>
  <si>
    <t>-416.154589681614 488.412607759167 -327.002451855584</t>
  </si>
  <si>
    <t>-645.808154014636 373.660868232084 -789.841396671639</t>
  </si>
  <si>
    <t>-706.476046131804 243.384734337215 -758.669688472653</t>
  </si>
  <si>
    <t>-726.787991869687 267.273560210147 -443.704630255361</t>
  </si>
  <si>
    <t>-469.298980500635 231.557975018211 -435.589840790256</t>
  </si>
  <si>
    <t>-576.11336885941 496.343859940029 -249.161840458251</t>
  </si>
  <si>
    <t>-613.929751315934 501.129402135029 204.935910204096</t>
  </si>
  <si>
    <t>-643.417613746885 482.722165138407 673.686481245312</t>
  </si>
  <si>
    <t>-488.222991567514 462.028725898807 753.873293545727</t>
  </si>
  <si>
    <t>-671.574755507668 325.107670052116 -256.990539431458</t>
  </si>
  <si>
    <t>-640.620555048847 249.173468478636 191.265539370642</t>
  </si>
  <si>
    <t>-695.192266589117 181.921987738678 653.038766094315</t>
  </si>
  <si>
    <t>-592.748404723412 67.6945284743036 739.06696876297</t>
  </si>
  <si>
    <t>9763-20170724T164058.228049100.bin</t>
  </si>
  <si>
    <t>-623.77948104608 409.590136824226 -253.266556398179</t>
  </si>
  <si>
    <t>-648.788695866823 428.338220496334 -370.274512226684</t>
  </si>
  <si>
    <t>-655.813310847176 430.212890331972 -491.260812994124</t>
  </si>
  <si>
    <t>-654.430754553603 425.241310753604 -600.660241403593</t>
  </si>
  <si>
    <t>-645.282805384096 413.845962136958 -709.201998030977</t>
  </si>
  <si>
    <t>-624.407378372114 391.52845222302 -858.420507225347</t>
  </si>
  <si>
    <t>-574.5084905494 369.666504586951 -944.531643388919</t>
  </si>
  <si>
    <t>-621.399844915402 430.62425693083 -795.05339890633</t>
  </si>
  <si>
    <t>-576.659885985223 570.170827693339 -782.984467896109</t>
  </si>
  <si>
    <t>-571.634815871738 636.020429466304 -473.428615670776</t>
  </si>
  <si>
    <t>-416.501417704403 487.237872627282 -327.00661761526</t>
  </si>
  <si>
    <t>-645.888358093855 372.182298962585 -789.738476077361</t>
  </si>
  <si>
    <t>-706.165123356639 241.70929528265 -758.577217149353</t>
  </si>
  <si>
    <t>-726.49730443739 265.660288430799 -443.618345470356</t>
  </si>
  <si>
    <t>-469.055691581414 229.660608722818 -435.257322055729</t>
  </si>
  <si>
    <t>-576.342262076016 495.290715784323 -249.237790379971</t>
  </si>
  <si>
    <t>-613.771555444938 500.489981817852 204.887467333699</t>
  </si>
  <si>
    <t>-643.350141649543 482.958086166576 673.536886104524</t>
  </si>
  <si>
    <t>-488.199915850949 462.440554451454 753.85474953006</t>
  </si>
  <si>
    <t>-670.917677512653 323.646702769445 -256.739825033156</t>
  </si>
  <si>
    <t>-638.481177478084 246.261652753604 191.163267866261</t>
  </si>
  <si>
    <t>-696.775842139609 175.817655205329 652.02350804399</t>
  </si>
  <si>
    <t>-591.574577495143 64.7209322697212 738.820467692243</t>
  </si>
  <si>
    <t>9763-20170724T164058.262139400.bin</t>
  </si>
  <si>
    <t>-623.538037364453 407.752702516877 -253.181020387984</t>
  </si>
  <si>
    <t>-648.842792941333 426.192943774654 -370.174310887672</t>
  </si>
  <si>
    <t>-656.023955977055 427.951939132093 -491.153295058137</t>
  </si>
  <si>
    <t>-654.729627691297 422.954980142656 -600.552564248543</t>
  </si>
  <si>
    <t>-645.619197389705 411.612351493674 -709.103093927853</t>
  </si>
  <si>
    <t>-624.745309857429 389.448479716221 -858.344604597945</t>
  </si>
  <si>
    <t>-574.865999485692 367.861401817435 -944.536419541637</t>
  </si>
  <si>
    <t>-621.857649479366 428.527062879386 -794.961279990468</t>
  </si>
  <si>
    <t>-577.61234615346 568.241826179885 -782.84471535154</t>
  </si>
  <si>
    <t>-572.978250569186 633.735685122048 -473.207503540097</t>
  </si>
  <si>
    <t>-417.087449614747 485.507854946453 -327.027478572471</t>
  </si>
  <si>
    <t>-646.105031047523 369.983584143306 -789.658291428474</t>
  </si>
  <si>
    <t>-705.927908412071 239.321998956621 -758.454162524547</t>
  </si>
  <si>
    <t>-725.935387632906 263.747489143736 -443.510767202081</t>
  </si>
  <si>
    <t>-468.681967844443 226.757783851715 -433.790767767871</t>
  </si>
  <si>
    <t>-576.633851490692 493.586096650811 -249.352582019805</t>
  </si>
  <si>
    <t>-613.656838248172 499.58770237587 204.796072234361</t>
  </si>
  <si>
    <t>-643.200887474439 482.759712478153 673.411621479688</t>
  </si>
  <si>
    <t>-487.989426753183 463.097622155204 753.825023535823</t>
  </si>
  <si>
    <t>-670.205242839076 321.54172619809 -256.477278145483</t>
  </si>
  <si>
    <t>-636.660974255055 242.511681912255 191.056750149905</t>
  </si>
  <si>
    <t>-699.463875284696 166.944953753083 650.593169102525</t>
  </si>
  <si>
    <t>-590.923325617979 59.9149024614133 738.38279690846</t>
  </si>
  <si>
    <t>9763-20170724T164058.326924700.bin</t>
  </si>
  <si>
    <t>-623.218244946017 403.193835939891 -253.131241374857</t>
  </si>
  <si>
    <t>-650.190309607721 420.928362116528 -369.860884916069</t>
  </si>
  <si>
    <t>-658.317122330822 422.247019601758 -490.78556854419</t>
  </si>
  <si>
    <t>-657.588053540355 416.955577887214 -600.176346548908</t>
  </si>
  <si>
    <t>-648.761371432567 405.417994898181 -708.729551822124</t>
  </si>
  <si>
    <t>-627.998581767303 383.084689449746 -857.961455852638</t>
  </si>
  <si>
    <t>-578.193054183428 361.86004443413 -944.285875747427</t>
  </si>
  <si>
    <t>-625.338000611664 422.342234853107 -794.678908107148</t>
  </si>
  <si>
    <t>-582.362322563786 562.506853572491 -782.878644054397</t>
  </si>
  <si>
    <t>-578.05482214767 627.577094784997 -473.147347508935</t>
  </si>
  <si>
    <t>-420.952570167051 480.718844922831 -326.881808989691</t>
  </si>
  <si>
    <t>-649.032992457952 363.59067920742 -789.1830447303</t>
  </si>
  <si>
    <t>-707.686185476963 232.547776779998 -757.411791022531</t>
  </si>
  <si>
    <t>-726.683097924998 258.633474677351 -442.53898295062</t>
  </si>
  <si>
    <t>-469.575644523004 220.998941859264 -431.519637779529</t>
  </si>
  <si>
    <t>-577.87697982845 489.947123217336 -249.808061130435</t>
  </si>
  <si>
    <t>-613.406204396228 497.403050463106 204.438365173263</t>
  </si>
  <si>
    <t>-643.048122045651 482.460866320494 673.290870905784</t>
  </si>
  <si>
    <t>-487.843840048554 463.153768025071 753.804098718142</t>
  </si>
  <si>
    <t>-668.469433108966 316.258615090732 -255.758344571179</t>
  </si>
  <si>
    <t>-635.053301433427 234.352626677907 191.267870610786</t>
  </si>
  <si>
    <t>-704.794112231888 144.954878308775 647.07292594053</t>
  </si>
  <si>
    <t>-586.404267172581 51.7555239212336 737.854156584299</t>
  </si>
  <si>
    <t>9763-20170724T164058.391095000.bin</t>
  </si>
  <si>
    <t>-623.696731948719 396.60092148986 -252.377490102583</t>
  </si>
  <si>
    <t>-652.493106623282 413.183484425117 -368.840302346899</t>
  </si>
  <si>
    <t>-661.676617440673 413.683527196689 -489.69549347421</t>
  </si>
  <si>
    <t>-661.593945879707 407.786085053314 -599.057565812621</t>
  </si>
  <si>
    <t>-653.113262348674 395.773179551844 -707.586955185754</t>
  </si>
  <si>
    <t>-632.528876840737 372.913670674833 -856.763736104433</t>
  </si>
  <si>
    <t>-582.775853430025 352.026049433203 -943.20072429422</t>
  </si>
  <si>
    <t>-630.191646486877 412.5443066841 -793.701245173387</t>
  </si>
  <si>
    <t>-589.048689362646 553.292198606139 -782.765461907245</t>
  </si>
  <si>
    <t>-584.196212593275 619.511959668111 -473.285923942912</t>
  </si>
  <si>
    <t>-425.80931789129 474.355381009456 -326.707527544908</t>
  </si>
  <si>
    <t>-653.081971364963 353.512351333649 -787.814047905611</t>
  </si>
  <si>
    <t>-709.761718487602 221.797480814324 -755.245210561086</t>
  </si>
  <si>
    <t>-728.924460153094 249.786121533806 -440.545996138546</t>
  </si>
  <si>
    <t>-471.267859596224 215.646206934973 -431.080585958631</t>
  </si>
  <si>
    <t>-580.250993254273 484.451907576574 -250.124094367958</t>
  </si>
  <si>
    <t>-613.852130291781 494.583761222204 204.217258011225</t>
  </si>
  <si>
    <t>-643.064651868589 482.90951207328 673.188363836037</t>
  </si>
  <si>
    <t>-487.878371698299 463.495643354751 753.710590692767</t>
  </si>
  <si>
    <t>-667.099701012851 308.865778872202 -253.905053702916</t>
  </si>
  <si>
    <t>-637.124663846518 226.532575183228 193.286713837937</t>
  </si>
  <si>
    <t>-707.657474183857 123.735592610197 646.477714297855</t>
  </si>
  <si>
    <t>-577.356125329522 48.0014847390324 737.193923175803</t>
  </si>
  <si>
    <t>9763-20170724T164058.427205800.bin</t>
  </si>
  <si>
    <t>-624.114161260875 392.273848069916 -251.806422203388</t>
  </si>
  <si>
    <t>-653.831102696576 408.162865041872 -368.134609765285</t>
  </si>
  <si>
    <t>-663.574092257186 408.2386888363 -488.946943994746</t>
  </si>
  <si>
    <t>-663.850763360433 402.069370023293 -598.293732697668</t>
  </si>
  <si>
    <t>-655.585967305908 389.895017951239 -706.821778196553</t>
  </si>
  <si>
    <t>-635.156156767528 366.925940582696 -856.003067733471</t>
  </si>
  <si>
    <t>-585.401377857264 346.280837127147 -942.497109383366</t>
  </si>
  <si>
    <t>-633.013554493099 406.697238143683 -793.022247960364</t>
  </si>
  <si>
    <t>-593.005313922658 547.802902356663 -782.474141546932</t>
  </si>
  <si>
    <t>-587.502566590978 615.109725979735 -473.239964003034</t>
  </si>
  <si>
    <t>-428.080668922073 471.176314341984 -326.577554916064</t>
  </si>
  <si>
    <t>-655.377862317524 347.480876572385 -786.967612429611</t>
  </si>
  <si>
    <t>-710.884481244808 215.375899430196 -753.853426477135</t>
  </si>
  <si>
    <t>-729.110237028251 243.927498436929 -439.149135268207</t>
  </si>
  <si>
    <t>-471.114965812101 212.197705802343 -430.563479109015</t>
  </si>
  <si>
    <t>-581.612272143698 480.698374428494 -250.167312355348</t>
  </si>
  <si>
    <t>-614.284275990479 492.391874564431 204.204250027566</t>
  </si>
  <si>
    <t>-643.048945124349 482.753104176004 673.215076775155</t>
  </si>
  <si>
    <t>-487.722809505562 464.196332269337 753.669751064402</t>
  </si>
  <si>
    <t>-666.491673366193 303.984715586804 -252.73500250343</t>
  </si>
  <si>
    <t>-639.770754307346 223.411025887998 194.983131912776</t>
  </si>
  <si>
    <t>-704.226535480736 116.222735237131 648.097180732336</t>
  </si>
  <si>
    <t>-567.371935825024 49.0083907507683 735.827228866081</t>
  </si>
  <si>
    <t>9763-20170724T164058.491375000.bin</t>
  </si>
  <si>
    <t>-626.061444761534 381.716890607352 -250.571999391674</t>
  </si>
  <si>
    <t>-655.936571972917 396.115031525717 -367.053509469065</t>
  </si>
  <si>
    <t>-665.935507293478 395.239346664034 -487.841858031595</t>
  </si>
  <si>
    <t>-666.478136953969 388.461003238485 -597.151534646182</t>
  </si>
  <si>
    <t>-658.508874609795 375.941175771582 -705.662408003305</t>
  </si>
  <si>
    <t>-638.513590622205 352.775540414686 -854.87209943042</t>
  </si>
  <si>
    <t>-588.87002522454 332.630562295669 -941.547839231857</t>
  </si>
  <si>
    <t>-636.795177512927 392.839930997287 -792.064318417869</t>
  </si>
  <si>
    <t>-599.758878180506 534.808988143741 -782.378024877795</t>
  </si>
  <si>
    <t>-593.2217879613 603.955867235941 -473.57031578753</t>
  </si>
  <si>
    <t>-430.325556721636 463.754623110783 -327.110522294912</t>
  </si>
  <si>
    <t>-657.926548632637 333.211346996067 -785.638404037495</t>
  </si>
  <si>
    <t>-710.644976887523 200.192428465274 -751.648030548441</t>
  </si>
  <si>
    <t>-727.728108931031 229.829237624713 -436.979979072509</t>
  </si>
  <si>
    <t>-468.852208065464 206.05871851629 -429.216130501533</t>
  </si>
  <si>
    <t>-584.663510986249 470.578396398816 -249.956717656015</t>
  </si>
  <si>
    <t>-614.784220353964 487.054964164673 204.442846770792</t>
  </si>
  <si>
    <t>-643.111848846374 482.475531132561 673.410071771922</t>
  </si>
  <si>
    <t>-487.676552679851 463.885343664992 753.645843815397</t>
  </si>
  <si>
    <t>-666.861512710716 292.98554972453 -250.630866967521</t>
  </si>
  <si>
    <t>-647.257653909347 218.40435359026 198.491505433956</t>
  </si>
  <si>
    <t>-694.740288986755 112.261507946165 653.575769056787</t>
  </si>
  <si>
    <t>-549.090148069572 58.4155080920413 736.220599141913</t>
  </si>
  <si>
    <t>9763-20170724T164058.521988500.bin</t>
  </si>
  <si>
    <t>-627.317844037232 375.145493778249 -249.86844317815</t>
  </si>
  <si>
    <t>-656.840740057321 388.918888601652 -366.515253111795</t>
  </si>
  <si>
    <t>-666.721313533894 387.59894171452 -487.309232411446</t>
  </si>
  <si>
    <t>-667.2398311186 380.523700001713 -596.600285503659</t>
  </si>
  <si>
    <t>-659.320079735761 367.827796783666 -705.094256304419</t>
  </si>
  <si>
    <t>-639.460360816708 344.556974367171 -854.305806490797</t>
  </si>
  <si>
    <t>-589.873631032564 324.714895831785 -941.083844421125</t>
  </si>
  <si>
    <t>-638.012802826184 384.773154123777 -791.588301028622</t>
  </si>
  <si>
    <t>-602.558368029775 527.159912657127 -782.303135825893</t>
  </si>
  <si>
    <t>-595.960219502664 597.046077279305 -473.66320269493</t>
  </si>
  <si>
    <t>-430.758672272684 459.431762359084 -327.332087022846</t>
  </si>
  <si>
    <t>-658.482548952478 324.933999573353 -784.980354416487</t>
  </si>
  <si>
    <t>-709.770961017332 191.443900474391 -750.663369377275</t>
  </si>
  <si>
    <t>-726.307329984989 221.295723423465 -435.986316662875</t>
  </si>
  <si>
    <t>-467.080879379566 201.384429541159 -429.112721504673</t>
  </si>
  <si>
    <t>-586.028679518168 463.938734602063 -249.697931847332</t>
  </si>
  <si>
    <t>-614.794952404244 483.148351796385 204.681970391385</t>
  </si>
  <si>
    <t>-643.137585205672 482.193495487147 673.555012163625</t>
  </si>
  <si>
    <t>-487.581348754898 464.012658745695 753.650155327063</t>
  </si>
  <si>
    <t>-667.842763284939 286.310166346157 -249.676828707453</t>
  </si>
  <si>
    <t>-650.126766288982 215.563150755028 200.143848814763</t>
  </si>
  <si>
    <t>-693.849937604107 113.878530860199 656.285033331734</t>
  </si>
  <si>
    <t>-547.416196714964 64.4156928253951 740.27367713913</t>
  </si>
  <si>
    <t>9763-20170724T164058.564101200.bin</t>
  </si>
  <si>
    <t>-628.542381592242 367.642385782971 -249.491349288948</t>
  </si>
  <si>
    <t>-657.88143683101 381.023410778589 -366.230305766011</t>
  </si>
  <si>
    <t>-667.715158306637 379.405179233863 -487.024505099798</t>
  </si>
  <si>
    <t>-668.231757002342 372.128284998563 -596.302271959849</t>
  </si>
  <si>
    <t>-660.340869407129 359.314948947557 -704.784669980802</t>
  </si>
  <si>
    <t>-640.543832489318 335.983422710951 -853.994991611718</t>
  </si>
  <si>
    <t>-590.981604320434 316.478764917128 -940.863493767634</t>
  </si>
  <si>
    <t>-639.407177272591 376.331563861491 -791.355859440709</t>
  </si>
  <si>
    <t>-605.423986638208 519.080178072864 -782.3484780147</t>
  </si>
  <si>
    <t>-598.835684183839 589.688335754543 -473.872810215099</t>
  </si>
  <si>
    <t>-431.279019636304 455.086926820704 -327.417134101105</t>
  </si>
  <si>
    <t>-659.199600996202 316.282298083625 -784.592220540793</t>
  </si>
  <si>
    <t>-709.192385586581 182.393787434233 -749.918824673918</t>
  </si>
  <si>
    <t>-725.038921568349 212.297491349656 -435.211183991793</t>
  </si>
  <si>
    <t>-465.587185162977 195.158709535404 -429.455349299457</t>
  </si>
  <si>
    <t>-587.404638773112 456.418059412823 -249.472243025082</t>
  </si>
  <si>
    <t>-614.215036399132 478.269878168532 204.907991578818</t>
  </si>
  <si>
    <t>-643.201884215637 481.963582870319 673.743928809473</t>
  </si>
  <si>
    <t>-487.483036727197 464.462790704203 753.674409320155</t>
  </si>
  <si>
    <t>-669.023243740116 278.857297608322 -249.225404422327</t>
  </si>
  <si>
    <t>-652.609767882704 211.335133963785 201.139977548208</t>
  </si>
  <si>
    <t>-696.744891213798 113.434988261835 658.709754651348</t>
  </si>
  <si>
    <t>-550.051552923062 63.4755905045448 741.948240937166</t>
  </si>
  <si>
    <t>9763-20170724T164058.627782800.bin</t>
  </si>
  <si>
    <t>-630.034496099883 352.28159139182 -249.681601628096</t>
  </si>
  <si>
    <t>-658.841939662472 365.478731629283 -366.573809242108</t>
  </si>
  <si>
    <t>-668.415672689652 363.650760742309 -487.385901668723</t>
  </si>
  <si>
    <t>-668.793928107404 356.200565881297 -596.652542543936</t>
  </si>
  <si>
    <t>-660.852836958672 343.242429562431 -705.113977465544</t>
  </si>
  <si>
    <t>-641.068538660288 319.751615222133 -854.301027323879</t>
  </si>
  <si>
    <t>-591.505683056631 300.823757487409 -941.296649937838</t>
  </si>
  <si>
    <t>-640.610896572728 360.369443316072 -791.827779780577</t>
  </si>
  <si>
    <t>-609.342304452777 503.888626509146 -783.64116454991</t>
  </si>
  <si>
    <t>-604.267154136738 574.842761066965 -475.216126464804</t>
  </si>
  <si>
    <t>-432.575509621552 446.638806807428 -327.812787880047</t>
  </si>
  <si>
    <t>-659.034095681975 299.921646246423 -784.752940020789</t>
  </si>
  <si>
    <t>-706.432337072994 165.309885594229 -749.488615377914</t>
  </si>
  <si>
    <t>-722.131717819589 195.151334448156 -434.767858062256</t>
  </si>
  <si>
    <t>-462.222899330583 185.980519311327 -432.449070640437</t>
  </si>
  <si>
    <t>-590.847032489239 441.143130179636 -248.868244225718</t>
  </si>
  <si>
    <t>-610.665991726452 468.018004938403 205.601414943522</t>
  </si>
  <si>
    <t>-643.622110848008 481.83831670686 674.40133477788</t>
  </si>
  <si>
    <t>-487.783141706725 463.545619106981 753.919247315746</t>
  </si>
  <si>
    <t>-668.637221934102 263.732187609616 -249.7692755522</t>
  </si>
  <si>
    <t>-656.665602096593 201.746362111405 201.531115257533</t>
  </si>
  <si>
    <t>-699.456958242014 115.050612708699 661.20044835227</t>
  </si>
  <si>
    <t>-551.551946376503 63.3912102066422 741.193728677325</t>
  </si>
  <si>
    <t>9763-20170724T164058.664897900.bin</t>
  </si>
  <si>
    <t>-631.239460222737 343.240921244433 -249.327647348072</t>
  </si>
  <si>
    <t>-659.81020933763 356.300600677843 -366.293313561407</t>
  </si>
  <si>
    <t>-669.220366021475 354.310279627696 -487.115711106357</t>
  </si>
  <si>
    <t>-669.483619703304 346.703843712242 -596.371926477602</t>
  </si>
  <si>
    <t>-661.462165532883 333.578012681479 -704.807150728077</t>
  </si>
  <si>
    <t>-641.603167718392 309.840821651646 -853.945344783003</t>
  </si>
  <si>
    <t>-592.069892739071 291.107148986377 -940.999900146404</t>
  </si>
  <si>
    <t>-641.521309727494 350.657384916454 -791.600172149327</t>
  </si>
  <si>
    <t>-611.576212275192 494.442802777238 -783.841886130248</t>
  </si>
  <si>
    <t>-607.524530201913 565.692451756049 -475.469916701259</t>
  </si>
  <si>
    <t>-434.014614145567 440.385302690718 -327.70501929296</t>
  </si>
  <si>
    <t>-659.258998337914 290.030218562617 -784.312640642289</t>
  </si>
  <si>
    <t>-705.033681288508 154.91760762722 -748.789077933754</t>
  </si>
  <si>
    <t>-721.132892538688 185.527448681315 -434.162299944103</t>
  </si>
  <si>
    <t>-461.120281535278 179.68148129957 -433.017551190438</t>
  </si>
  <si>
    <t>-593.20752856028 431.969405502572 -248.133200279938</t>
  </si>
  <si>
    <t>-608.808234020801 462.096002869928 206.296862460819</t>
  </si>
  <si>
    <t>-643.749935799878 480.822971758256 674.831029220711</t>
  </si>
  <si>
    <t>-487.58989537512 464.117024813825 754.067758804918</t>
  </si>
  <si>
    <t>-668.929580204704 254.581456009797 -249.70745699366</t>
  </si>
  <si>
    <t>-658.265081790249 197.052046551593 202.215436504911</t>
  </si>
  <si>
    <t>-700.601297380862 115.912987371202 662.76586704027</t>
  </si>
  <si>
    <t>-551.822770050678 63.8603468867848 740.861941773147</t>
  </si>
  <si>
    <t>9763-20170724T164058.725564900.bin</t>
  </si>
  <si>
    <t>-634.523106119944 323.377072516258 -248.510139247397</t>
  </si>
  <si>
    <t>-663.421530446678 336.825603383429 -365.351178514466</t>
  </si>
  <si>
    <t>-672.940617000175 334.847048264928 -486.165291946945</t>
  </si>
  <si>
    <t>-673.215221535102 327.084968076046 -595.410468926275</t>
  </si>
  <si>
    <t>-665.1238370709 313.627248108402 -703.799959153282</t>
  </si>
  <si>
    <t>-645.089357872595 289.240081377119 -852.809657535429</t>
  </si>
  <si>
    <t>-595.609299859596 270.768282481849 -939.95024111558</t>
  </si>
  <si>
    <t>-645.734490433097 330.497497212042 -790.758596022516</t>
  </si>
  <si>
    <t>-618.686909025919 474.856933626587 -783.723626479149</t>
  </si>
  <si>
    <t>-616.630412525751 546.364157880658 -475.39159356247</t>
  </si>
  <si>
    <t>-439.135642436929 427.128907082079 -327.335515293191</t>
  </si>
  <si>
    <t>-662.173454984121 269.563847239384 -782.996291068744</t>
  </si>
  <si>
    <t>-705.138543115039 133.72751696996 -746.544385151721</t>
  </si>
  <si>
    <t>-721.458183704709 167.143456014787 -432.21458403724</t>
  </si>
  <si>
    <t>-461.399969798869 163.906100590761 -431.080251394298</t>
  </si>
  <si>
    <t>-599.300297395939 412.463935247372 -246.101605702691</t>
  </si>
  <si>
    <t>-605.498524548689 449.418576091564 208.049972914219</t>
  </si>
  <si>
    <t>-644.321469500201 479.045162449504 675.888275272951</t>
  </si>
  <si>
    <t>-487.808727433065 463.336211792356 754.631496810146</t>
  </si>
  <si>
    <t>-669.733914549707 234.274218974071 -250.053292592391</t>
  </si>
  <si>
    <t>-662.04088027923 187.311120370995 203.1497078042</t>
  </si>
  <si>
    <t>-701.97005137296 116.472529621586 664.98022036384</t>
  </si>
  <si>
    <t>-551.337823946433 65.5128681261959 740.190228726008</t>
  </si>
  <si>
    <t>9763-20170724T164058.769678000.bin</t>
  </si>
  <si>
    <t>-636.622518867214 313.08621208247 -248.074128740335</t>
  </si>
  <si>
    <t>-665.38270382461 326.61120541041 -364.940436587092</t>
  </si>
  <si>
    <t>-674.754296648185 324.579854171403 -485.765134910016</t>
  </si>
  <si>
    <t>-674.901203826588 316.705554952581 -595.00262648815</t>
  </si>
  <si>
    <t>-666.694452389147 303.061652433856 -703.360080057323</t>
  </si>
  <si>
    <t>-646.517988791511 278.331559313419 -852.294036890512</t>
  </si>
  <si>
    <t>-597.005413770946 259.989088814353 -939.443556770997</t>
  </si>
  <si>
    <t>-647.531834208047 319.806485320765 -790.39313741592</t>
  </si>
  <si>
    <t>-621.746969204775 464.428771654112 -783.797946147361</t>
  </si>
  <si>
    <t>-620.41844210475 535.825014428136 -475.436178517795</t>
  </si>
  <si>
    <t>-441.060746974124 419.597334956107 -327.233568273773</t>
  </si>
  <si>
    <t>-663.359071106333 258.741210396709 -782.397667843086</t>
  </si>
  <si>
    <t>-705.042231003907 122.61853246873 -745.533083364652</t>
  </si>
  <si>
    <t>-721.37763962746 156.893229621078 -431.296637607752</t>
  </si>
  <si>
    <t>-461.327522795144 154.496678161654 -428.094716268701</t>
  </si>
  <si>
    <t>-602.881490098523 402.255177603137 -244.853228738212</t>
  </si>
  <si>
    <t>-603.455962076693 442.813480095061 209.032623411999</t>
  </si>
  <si>
    <t>-644.678909925829 477.633294443458 676.551849703881</t>
  </si>
  <si>
    <t>-487.927150820332 462.98692707183 755.023977032577</t>
  </si>
  <si>
    <t>-670.3913840074 223.566043379942 -250.474871527228</t>
  </si>
  <si>
    <t>-664.685881016483 182.278882511152 203.309813919736</t>
  </si>
  <si>
    <t>-702.356176348737 116.861343699964 665.691382357041</t>
  </si>
  <si>
    <t>-550.878149883425 67.1272967278754 740.017888532755</t>
  </si>
  <si>
    <t>9763-20170724T164058.827377100.bin</t>
  </si>
  <si>
    <t>-640.827577096737 292.579694881455 -246.328297822618</t>
  </si>
  <si>
    <t>-668.75861742619 305.706029886317 -363.440980682985</t>
  </si>
  <si>
    <t>-677.527987802729 303.273203857793 -484.303434576971</t>
  </si>
  <si>
    <t>-677.249989537134 295.016312728711 -593.51246712968</t>
  </si>
  <si>
    <t>-668.752480244681 280.951801542409 -701.793693651446</t>
  </si>
  <si>
    <t>-648.322004140553 255.581736135245 -850.585404270563</t>
  </si>
  <si>
    <t>-598.690876625272 237.465833412587 -937.714785485501</t>
  </si>
  <si>
    <t>-650.109608629105 297.472157660357 -788.982471745071</t>
  </si>
  <si>
    <t>-627.084468267455 442.596908757981 -783.381974764543</t>
  </si>
  <si>
    <t>-626.749078773632 514.08517170718 -475.038822585511</t>
  </si>
  <si>
    <t>-444.174747094707 403.566256605539 -326.397405216546</t>
  </si>
  <si>
    <t>-664.614152046255 236.142275844346 -780.516898746447</t>
  </si>
  <si>
    <t>-703.393131847358 99.322468349532 -743.052560557692</t>
  </si>
  <si>
    <t>-720.624294402301 136.097723868006 -429.14679127894</t>
  </si>
  <si>
    <t>-460.75951885289 134.838606049303 -418.621729275603</t>
  </si>
  <si>
    <t>-610.841258653056 382.355225196597 -241.870116568616</t>
  </si>
  <si>
    <t>-598.798965616379 430.584689595781 211.105060626966</t>
  </si>
  <si>
    <t>-645.738273108737 475.648438869286 677.8250213194</t>
  </si>
  <si>
    <t>-488.52506615516 461.592284136265 755.477673289994</t>
  </si>
  <si>
    <t>-670.573054220124 202.44584680088 -250.172248109049</t>
  </si>
  <si>
    <t>-669.560723791082 170.961892860866 204.43239295341</t>
  </si>
  <si>
    <t>-703.197816972763 116.843862045924 668.006990889867</t>
  </si>
  <si>
    <t>-550.604158265547 68.8576448249505 741.191656904914</t>
  </si>
  <si>
    <t>9763-20170724T164058.889530400.bin</t>
  </si>
  <si>
    <t>-645.264936708531 272.119321429206 -243.787407714415</t>
  </si>
  <si>
    <t>-672.267950201704 284.959512094347 -361.14912423876</t>
  </si>
  <si>
    <t>-680.30404390592 282.174755956777 -482.05500037704</t>
  </si>
  <si>
    <t>-679.463678060858 273.562925642981 -591.233599185366</t>
  </si>
  <si>
    <t>-670.51604178677 259.094038463163 -699.425381245425</t>
  </si>
  <si>
    <t>-649.585163744358 233.100747764013 -848.039756540585</t>
  </si>
  <si>
    <t>-599.801866328183 215.318845412701 -935.151330258204</t>
  </si>
  <si>
    <t>-652.306125830054 275.39395459997 -786.746986723502</t>
  </si>
  <si>
    <t>-632.41017486279 421.020042807543 -782.158791778058</t>
  </si>
  <si>
    <t>-631.993949628079 494.143655655662 -474.199516494631</t>
  </si>
  <si>
    <t>-446.882874970668 388.835113427625 -324.914391455596</t>
  </si>
  <si>
    <t>-665.386659103836 213.810117158463 -777.818042923099</t>
  </si>
  <si>
    <t>-701.072877662225 76.3693120779833 -739.633009218956</t>
  </si>
  <si>
    <t>-719.97989080032 115.28802910369 -426.082420059496</t>
  </si>
  <si>
    <t>-460.261791155268 118.59560683779 -412.7548269174</t>
  </si>
  <si>
    <t>-619.402607073757 362.357631669218 -238.42081555237</t>
  </si>
  <si>
    <t>-592.875459374783 418.52077478791 213.021026455629</t>
  </si>
  <si>
    <t>-646.741847513167 473.624416126566 677.700088686551</t>
  </si>
  <si>
    <t>-489.068514129457 460.155962038951 754.519528143386</t>
  </si>
  <si>
    <t>-670.995618357085 181.751303975276 -248.559739303742</t>
  </si>
  <si>
    <t>-673.590984749754 159.057781039826 206.56220509061</t>
  </si>
  <si>
    <t>-704.050336781357 116.548647935754 671.143264695491</t>
  </si>
  <si>
    <t>-550.612835077592 69.9733947751999 743.470246282242</t>
  </si>
  <si>
    <t>9763-20170724T164058.934192900.bin</t>
  </si>
  <si>
    <t>-647.843598186917 262.648324362904 -242.644915390105</t>
  </si>
  <si>
    <t>-674.402414453391 275.328381789809 -360.125396937241</t>
  </si>
  <si>
    <t>-682.081207189518 272.349310563841 -481.049888520056</t>
  </si>
  <si>
    <t>-680.965760316152 263.540616734289 -590.210323410686</t>
  </si>
  <si>
    <t>-671.798127025372 248.845758713971 -698.353204540596</t>
  </si>
  <si>
    <t>-650.624148401204 222.501955873663 -846.871483207048</t>
  </si>
  <si>
    <t>-600.724824852575 204.920164099683 -933.957174675649</t>
  </si>
  <si>
    <t>-653.799748866696 265.0037420215 -785.745081759789</t>
  </si>
  <si>
    <t>-635.373622213098 410.858697244967 -781.710046699839</t>
  </si>
  <si>
    <t>-635.081983536906 485.125729234265 -474.024314088157</t>
  </si>
  <si>
    <t>-448.874263722528 382.373124564268 -324.322467415111</t>
  </si>
  <si>
    <t>-666.186213875753 203.312836331968 -776.568367197161</t>
  </si>
  <si>
    <t>-700.352533504024 65.6508629149393 -737.879395388984</t>
  </si>
  <si>
    <t>-719.696774644105 105.750878710101 -424.504256544072</t>
  </si>
  <si>
    <t>-460.032390160568 112.222027100357 -411.291847257671</t>
  </si>
  <si>
    <t>-623.992595874752 353.500926747412 -236.961632103344</t>
  </si>
  <si>
    <t>-589.375628456303 412.703381762309 213.542974740366</t>
  </si>
  <si>
    <t>-647.103668979478 472.783918368975 677.212071023692</t>
  </si>
  <si>
    <t>-489.293515131504 459.822426625881 753.837570791765</t>
  </si>
  <si>
    <t>-671.726914947071 171.934156562133 -247.707325112963</t>
  </si>
  <si>
    <t>-675.660062137045 153.618802244457 207.602145112731</t>
  </si>
  <si>
    <t>-704.399779779776 116.500486566844 672.776826446963</t>
  </si>
  <si>
    <t>-550.370149947111 71.3114649046065 744.723507307175</t>
  </si>
  <si>
    <t>9763-20170724T164058.992347900.bin</t>
  </si>
  <si>
    <t>-653.44169901524 245.029533520283 -239.576911134026</t>
  </si>
  <si>
    <t>-679.139521828208 257.105322886569 -357.312323662603</t>
  </si>
  <si>
    <t>-686.135489461519 253.566219831474 -478.26300896625</t>
  </si>
  <si>
    <t>-684.514428630671 244.241341255669 -587.37426161872</t>
  </si>
  <si>
    <t>-674.974457670725 228.995346337697 -695.408568356429</t>
  </si>
  <si>
    <t>-653.438657655826 201.827557720121 -843.726206236152</t>
  </si>
  <si>
    <t>-603.218369549213 184.613902045575 -930.700999632675</t>
  </si>
  <si>
    <t>-657.406595311751 244.773096357543 -782.957314611911</t>
  </si>
  <si>
    <t>-641.717616291057 390.960032499732 -780.141590892444</t>
  </si>
  <si>
    <t>-642.064992825611 467.381832580941 -472.984020370896</t>
  </si>
  <si>
    <t>-453.731492080096 369.847790567712 -322.452763578831</t>
  </si>
  <si>
    <t>-668.528551864109 182.923818484767 -773.243246374923</t>
  </si>
  <si>
    <t>-699.823427234227 44.8313572085306 -733.54373727007</t>
  </si>
  <si>
    <t>-720.720619053477 87.0456443180653 -420.546298454325</t>
  </si>
  <si>
    <t>-461.271990336496 103.06981763643 -412.080019058169</t>
  </si>
  <si>
    <t>-633.559931701308 336.776791711707 -233.081257213624</t>
  </si>
  <si>
    <t>-580.100773299414 402.789417540155 214.62639612673</t>
  </si>
  <si>
    <t>-647.468709519896 471.086434119534 676.503847712091</t>
  </si>
  <si>
    <t>-489.70612255273 457.732462794344 753.159836318918</t>
  </si>
  <si>
    <t>-673.364409019979 153.045022774808 -245.298472513025</t>
  </si>
  <si>
    <t>-680.401247885798 142.939776678107 210.229789316166</t>
  </si>
  <si>
    <t>-705.145993734259 116.167997233975 676.36170156101</t>
  </si>
  <si>
    <t>-550.285672902877 72.8784378399494 747.690574153996</t>
  </si>
  <si>
    <t>9763-20170724T164059.023444500.bin</t>
  </si>
  <si>
    <t>-656.369878688945 236.37069490973 -237.458290756104</t>
  </si>
  <si>
    <t>-681.456478480096 248.186328059045 -355.351722991294</t>
  </si>
  <si>
    <t>-687.983712408166 244.410894156006 -476.321570336091</t>
  </si>
  <si>
    <t>-686.015381622657 234.870791548661 -585.408547172525</t>
  </si>
  <si>
    <t>-676.214383732416 219.397197444684 -693.387038596641</t>
  </si>
  <si>
    <t>-654.413065766572 191.890623520474 -841.603540386048</t>
  </si>
  <si>
    <t>-603.945500657471 174.902209850882 -928.4792109738</t>
  </si>
  <si>
    <t>-658.82461809536 235.024046484646 -780.998453493854</t>
  </si>
  <si>
    <t>-644.661376053233 381.362404321015 -778.785805031573</t>
  </si>
  <si>
    <t>-645.295383855504 458.941678476688 -471.919061564347</t>
  </si>
  <si>
    <t>-455.870547169127 363.876940602551 -321.177590308851</t>
  </si>
  <si>
    <t>-669.294340941795 173.098787698038 -771.046174819231</t>
  </si>
  <si>
    <t>-699.250334321836 34.7884837778523 -731.070704898999</t>
  </si>
  <si>
    <t>-721.436199764943 76.9728244031153 -418.157995050953</t>
  </si>
  <si>
    <t>-462.392658424884 99.3905623502401 -412.16045990588</t>
  </si>
  <si>
    <t>-638.288636934206 328.565716461178 -230.60385601151</t>
  </si>
  <si>
    <t>-574.721825367453 398.214878281655 215.227855838306</t>
  </si>
  <si>
    <t>-647.529110126179 470.066652414339 675.940978017391</t>
  </si>
  <si>
    <t>-489.89224867035 457.107494084509 752.922765651888</t>
  </si>
  <si>
    <t>-674.284398800245 143.898129313595 -243.620596889603</t>
  </si>
  <si>
    <t>-683.031347347681 137.44865512582 211.944580412969</t>
  </si>
  <si>
    <t>-705.545675613771 115.98503939929 678.375924890466</t>
  </si>
  <si>
    <t>-550.088272553714 74.3608839271657 749.396582552457</t>
  </si>
  <si>
    <t>9763-20170724T164059.092629000.bin</t>
  </si>
  <si>
    <t>-661.47082620551 221.786257230336 -233.404034611173</t>
  </si>
  <si>
    <t>-685.541388341986 233.629867308057 -351.506355766894</t>
  </si>
  <si>
    <t>-691.232289292857 229.76397541028 -472.515436495391</t>
  </si>
  <si>
    <t>-688.598531273071 220.087296400304 -581.576390761559</t>
  </si>
  <si>
    <t>-678.23248292988 204.412700116354 -689.473074245582</t>
  </si>
  <si>
    <t>-655.757469335312 176.553228963166 -837.522818246748</t>
  </si>
  <si>
    <t>-604.704193590235 160.120966850828 -924.163000265563</t>
  </si>
  <si>
    <t>-661.172903672322 219.924829628848 -777.169728700141</t>
  </si>
  <si>
    <t>-650.133068000593 366.566625759609 -775.71513709176</t>
  </si>
  <si>
    <t>-651.056671828967 446.002504297778 -469.32442785185</t>
  </si>
  <si>
    <t>-459.210423336282 355.790687203488 -318.662878620038</t>
  </si>
  <si>
    <t>-670.231032861407 157.83554001559 -766.86103860151</t>
  </si>
  <si>
    <t>-696.899725787564 18.969990464829 -726.35923572226</t>
  </si>
  <si>
    <t>-717.157159058744 62.323761450134 -413.475503173609</t>
  </si>
  <si>
    <t>-458.894040051199 92.095839261612 -406.003269485825</t>
  </si>
  <si>
    <t>-646.095079393963 315.876310165364 -226.117737316036</t>
  </si>
  <si>
    <t>-564.79376725763 390.140925641568 216.072785783062</t>
  </si>
  <si>
    <t>-646.993579738489 468.18466358556 674.152543281392</t>
  </si>
  <si>
    <t>-490.087944343476 455.053213797263 752.585377294404</t>
  </si>
  <si>
    <t>-676.663365157321 128.029070477726 -240.275148504847</t>
  </si>
  <si>
    <t>-687.588269379125 127.370959125399 215.287980773718</t>
  </si>
  <si>
    <t>-706.315888453528 115.908425969534 682.274643821753</t>
  </si>
  <si>
    <t>-549.568963732184 78.328891816774 752.71394299637</t>
  </si>
  <si>
    <t>9763-20170724T164059.126226700.bin</t>
  </si>
  <si>
    <t>-663.755694058249 216.012399725978 -231.564709253889</t>
  </si>
  <si>
    <t>-687.566898800503 227.940991519863 -349.711034322684</t>
  </si>
  <si>
    <t>-692.998991249982 223.940224197018 -470.727698572373</t>
  </si>
  <si>
    <t>-690.127692981588 214.061237560701 -579.764523547329</t>
  </si>
  <si>
    <t>-679.519574604169 198.108107519564 -687.596888108999</t>
  </si>
  <si>
    <t>-656.702921448902 169.787735339898 -835.506809899533</t>
  </si>
  <si>
    <t>-605.404980461016 153.577063369074 -922.044145444568</t>
  </si>
  <si>
    <t>-662.670767496881 213.39246531858 -775.374208019986</t>
  </si>
  <si>
    <t>-653.683914532144 360.183918178546 -774.498116251665</t>
  </si>
  <si>
    <t>-654.212823054995 440.10827496777 -468.233556388324</t>
  </si>
  <si>
    <t>-461.163570743159 352.418113279442 -317.620009835585</t>
  </si>
  <si>
    <t>-670.926415240547 151.244770183945 -764.748315023076</t>
  </si>
  <si>
    <t>-695.464893787036 12.2194286995456 -723.63270956901</t>
  </si>
  <si>
    <t>-717.214099327631 55.822311790055 -410.883760291289</t>
  </si>
  <si>
    <t>-459.449068013608 89.3422557154437 -402.186463601901</t>
  </si>
  <si>
    <t>-649.506784280876 310.799780085394 -223.994715281803</t>
  </si>
  <si>
    <t>-560.656932374712 387.075048915484 216.397663386598</t>
  </si>
  <si>
    <t>-646.5130394311 467.787914601557 673.352939987858</t>
  </si>
  <si>
    <t>-489.953119124144 454.654959941963 752.473256781539</t>
  </si>
  <si>
    <t>-678.232694448324 121.349405204155 -238.696881861242</t>
  </si>
  <si>
    <t>-689.426257626649 122.995190503475 216.857451258316</t>
  </si>
  <si>
    <t>-706.693391124165 115.904021644314 684.094772470994</t>
  </si>
  <si>
    <t>-549.189311078163 80.9510588810725 754.19663687378</t>
  </si>
  <si>
    <t>9763-20170724T164059.192404100.bin</t>
  </si>
  <si>
    <t>-667.759336594588 204.70865873315 -228.18487007185</t>
  </si>
  <si>
    <t>-690.972962827299 216.814345178312 -346.432029423325</t>
  </si>
  <si>
    <t>-695.765536579345 212.600498557526 -467.468526291071</t>
  </si>
  <si>
    <t>-692.286842215462 202.395308673171 -576.457643451772</t>
  </si>
  <si>
    <t>-681.037412347902 185.995911775397 -684.157959806135</t>
  </si>
  <si>
    <t>-657.290757425528 156.945862288296 -831.779678037558</t>
  </si>
  <si>
    <t>-605.435487268578 141.411131798077 -918.108626949896</t>
  </si>
  <si>
    <t>-664.459842855288 200.920195056943 -772.048845259799</t>
  </si>
  <si>
    <t>-659.1977072927 347.885328384172 -772.400854160711</t>
  </si>
  <si>
    <t>-659.705520097189 428.719687480498 -466.375140705736</t>
  </si>
  <si>
    <t>-464.432519387871 345.678017465532 -315.993585877104</t>
  </si>
  <si>
    <t>-671.135980400109 138.679045266013 -760.874364984158</t>
  </si>
  <si>
    <t>-715.688189898247 43.7629857841979 -406.357180447416</t>
  </si>
  <si>
    <t>-459.060449850611 83.9033765891732 -393.204368757486</t>
  </si>
  <si>
    <t>-655.134978187648 300.34669829052 -220.03437638137</t>
  </si>
  <si>
    <t>-555.085646883142 378.911655244491 217.544608057457</t>
  </si>
  <si>
    <t>-646.491398395798 464.28424467633 672.239699299963</t>
  </si>
  <si>
    <t>-490.06944693457 454.178851485095 752.074297840398</t>
  </si>
  <si>
    <t>-680.597032015504 108.661009807421 -235.82136554009</t>
  </si>
  <si>
    <t>-693.437192210119 114.405048556424 219.656184537394</t>
  </si>
  <si>
    <t>-707.322964295323 115.349082174844 687.45194323784</t>
  </si>
  <si>
    <t>-549.225638750024 83.0102139732149 757.473070973272</t>
  </si>
  <si>
    <t>9763-20170724T164059.227023000.bin</t>
  </si>
  <si>
    <t>-667.619547990146 199.080914787151 -227.993172215759</t>
  </si>
  <si>
    <t>-690.236707621088 211.159821090746 -346.358692387472</t>
  </si>
  <si>
    <t>-694.599872582583 206.770701676009 -467.405181980101</t>
  </si>
  <si>
    <t>-690.79723461936 196.358101686508 -576.363656484808</t>
  </si>
  <si>
    <t>-679.285261787794 179.70751181633 -683.997737849306</t>
  </si>
  <si>
    <t>-655.234537592299 150.268592050852 -831.493152884605</t>
  </si>
  <si>
    <t>-603.158840377958 134.982879259752 -917.733861868311</t>
  </si>
  <si>
    <t>-662.863564813313 194.423687682104 -771.952993420179</t>
  </si>
  <si>
    <t>-659.268777174147 341.448237358141 -772.917988649695</t>
  </si>
  <si>
    <t>-660.380448438372 422.449543129466 -466.938051535843</t>
  </si>
  <si>
    <t>-464.17928669496 341.682412483287 -316.525817572562</t>
  </si>
  <si>
    <t>-668.888906208291 132.16514831588 -760.509060449526</t>
  </si>
  <si>
    <t>-713.292100583444 39.0951186425954 -405.805239263408</t>
  </si>
  <si>
    <t>-456.840514081265 80.1550680185026 -392.067589483361</t>
  </si>
  <si>
    <t>-653.99124677583 294.884550937416 -220.131661823346</t>
  </si>
  <si>
    <t>-550.623894870034 374.719804901344 216.444981706103</t>
  </si>
  <si>
    <t>-638.482737385444 459.502464273722 670.395484805437</t>
  </si>
  <si>
    <t>-482.072888654696 453.992560899627 750.701870779546</t>
  </si>
  <si>
    <t>-680.740488580044 102.671582481514 -235.516922504789</t>
  </si>
  <si>
    <t>-694.355282411923 110.341961921577 219.909757132745</t>
  </si>
  <si>
    <t>-707.604928643549 114.945962786367 688.071844111536</t>
  </si>
  <si>
    <t>-549.207056475862 84.1343376481001 758.10233686782</t>
  </si>
  <si>
    <t>9763-20170724T164059.294204600.bin</t>
  </si>
  <si>
    <t>-663.130543372985 189.813447022185 -229.744594551068</t>
  </si>
  <si>
    <t>-684.714197725619 201.460512511857 -348.346020636849</t>
  </si>
  <si>
    <t>-688.439037648186 196.527877251931 -469.392993786445</t>
  </si>
  <si>
    <t>-684.221052997964 185.590654100714 -578.284752876067</t>
  </si>
  <si>
    <t>-672.453597535109 168.386131686613 -685.804153497287</t>
  </si>
  <si>
    <t>-648.210585285401 138.150227068204 -833.106736367039</t>
  </si>
  <si>
    <t>-595.890968399873 123.107504591996 -919.242407264791</t>
  </si>
  <si>
    <t>-656.287093515359 182.64790580086 -773.881373551337</t>
  </si>
  <si>
    <t>-654.461882161543 329.680479410974 -775.935433436487</t>
  </si>
  <si>
    <t>-658.006152208114 411.475428115829 -470.185059546987</t>
  </si>
  <si>
    <t>-460.917340550685 334.750242573902 -318.820478724904</t>
  </si>
  <si>
    <t>-661.587624064966 120.409500952604 -761.978321776189</t>
  </si>
  <si>
    <t>-704.1131411499 30.3216955960623 -406.545427734365</t>
  </si>
  <si>
    <t>-447.911408608338 73.2040703868103 -393.744989453096</t>
  </si>
  <si>
    <t>-646.622202140337 286.220805911426 -222.883538414124</t>
  </si>
  <si>
    <t>-540.318825990659 367.479603582226 212.724379613214</t>
  </si>
  <si>
    <t>-625.685625487791 452.512261236973 666.7707387054</t>
  </si>
  <si>
    <t>-469.053714473634 452.899906894404 746.832039048985</t>
  </si>
  <si>
    <t>-679.16501506015 93.1415899193207 -236.319401478485</t>
  </si>
  <si>
    <t>-692.803765717746 104.337496032682 219.033473324647</t>
  </si>
  <si>
    <t>-707.852618337521 114.546930649018 688.116944477638</t>
  </si>
  <si>
    <t>-549.171263599286 85.3676786203027 758.204704880501</t>
  </si>
  <si>
    <t>9763-20170724T164059.323304000.bin</t>
  </si>
  <si>
    <t>-663.128950484523 185.928131604346 -230.50103722426</t>
  </si>
  <si>
    <t>-684.419063342678 197.349167648147 -349.17745666636</t>
  </si>
  <si>
    <t>-687.931099097136 192.158333227935 -470.219942176591</t>
  </si>
  <si>
    <t>-683.553910886708 180.979715947326 -579.080948161377</t>
  </si>
  <si>
    <t>-671.66021072518 163.528110232317 -686.546434700775</t>
  </si>
  <si>
    <t>-647.275326690462 132.944869868741 -833.753982002485</t>
  </si>
  <si>
    <t>-594.868988356771 117.909077774024 -919.838115189266</t>
  </si>
  <si>
    <t>-655.476208855841 177.585508739353 -774.653365456963</t>
  </si>
  <si>
    <t>-653.848897793988 324.591554975221 -777.203126817369</t>
  </si>
  <si>
    <t>-659.055367858555 406.945955490898 -471.626911085827</t>
  </si>
  <si>
    <t>-462.055475513116 331.663615912126 -319.424272041616</t>
  </si>
  <si>
    <t>-660.653528209168 115.368513127444 -762.584943278671</t>
  </si>
  <si>
    <t>-702.714599566877 25.7460426238895 -406.890679531083</t>
  </si>
  <si>
    <t>-447.127151845601 71.4836556297841 -391.884969983947</t>
  </si>
  <si>
    <t>-647.081047236562 282.272070257691 -223.86750051051</t>
  </si>
  <si>
    <t>-539.679449157778 364.791389753564 211.233801162643</t>
  </si>
  <si>
    <t>-625.458441197444 449.180098652428 665.32438014479</t>
  </si>
  <si>
    <t>-468.416905507043 453.235522783617 744.476288242186</t>
  </si>
  <si>
    <t>-679.603906459802 89.2498615054522 -236.714950937822</t>
  </si>
  <si>
    <t>-692.335635333543 101.928413506274 218.625383684269</t>
  </si>
  <si>
    <t>-707.814982524054 114.158357984972 687.980132087258</t>
  </si>
  <si>
    <t>-549.391421770995 84.2472935210709 758.342243544283</t>
  </si>
  <si>
    <t>9763-20170724T164059.390482500.bin</t>
  </si>
  <si>
    <t>-664.997710167894 178.779992915199 -231.324090196291</t>
  </si>
  <si>
    <t>-686.298338512231 189.814759050841 -350.035186442502</t>
  </si>
  <si>
    <t>-689.718381942145 184.194637250269 -471.061242953639</t>
  </si>
  <si>
    <t>-685.207636138069 172.62791418772 -579.876266202874</t>
  </si>
  <si>
    <t>-673.125721889461 154.799057747561 -687.258724683929</t>
  </si>
  <si>
    <t>-648.419481475353 123.713037351271 -834.307246765724</t>
  </si>
  <si>
    <t>-595.907185216018 108.574614054887 -920.308882837119</t>
  </si>
  <si>
    <t>-656.88040077848 168.561362450993 -775.400913978103</t>
  </si>
  <si>
    <t>-655.618247375333 315.574788520219 -778.654321936605</t>
  </si>
  <si>
    <t>-662.080361283194 400.060328755432 -473.68433349214</t>
  </si>
  <si>
    <t>-465.976902496006 326.433306579421 -319.526718657265</t>
  </si>
  <si>
    <t>-661.822082606587 106.373859582229 -763.084742926948</t>
  </si>
  <si>
    <t>-703.473903088427 18.9766117322454 -407.332644513716</t>
  </si>
  <si>
    <t>-448.861128380046 67.5687257353088 -386.04396350792</t>
  </si>
  <si>
    <t>-649.165026902877 275.375772268449 -225.007646340763</t>
  </si>
  <si>
    <t>-540.871813293787 362.201919152342 209.033182632073</t>
  </si>
  <si>
    <t>-627.349204378162 445.016135554861 663.474063964731</t>
  </si>
  <si>
    <t>-468.721732641246 452.83402807516 739.102878132566</t>
  </si>
  <si>
    <t>-681.375801377153 82.0877634800644 -236.972722165857</t>
  </si>
  <si>
    <t>-692.326351213234 97.1576999961792 218.341074166953</t>
  </si>
  <si>
    <t>-707.428610941586 111.895868331749 687.990386749131</t>
  </si>
  <si>
    <t>-549.496993729832 84.7054037833779 760.52861289806</t>
  </si>
  <si>
    <t>9763-20170724T164059.426145100.bin</t>
  </si>
  <si>
    <t>-666.135442106701 175.589197302775 -231.397837448043</t>
  </si>
  <si>
    <t>-687.600334700522 186.417282960433 -350.09833163958</t>
  </si>
  <si>
    <t>-691.048909214745 180.555820425195 -471.112001392021</t>
  </si>
  <si>
    <t>-686.505160195396 168.764713209469 -579.901562802714</t>
  </si>
  <si>
    <t>-674.330445582321 150.710711219888 -687.236071905512</t>
  </si>
  <si>
    <t>-649.432707402316 119.316500542834 -834.186872130182</t>
  </si>
  <si>
    <t>-596.848677752595 104.146488202074 -920.138927499009</t>
  </si>
  <si>
    <t>-658.039384377662 164.291247532399 -775.398025618911</t>
  </si>
  <si>
    <t>-657.050649770995 311.292055952906 -779.042448004851</t>
  </si>
  <si>
    <t>-663.273983311442 396.928476212803 -474.388693512508</t>
  </si>
  <si>
    <t>-467.598934650307 323.892141485315 -319.408005387786</t>
  </si>
  <si>
    <t>-662.858970977528 102.123711393802 -762.933270955099</t>
  </si>
  <si>
    <t>-704.870027775598 15.5041520001549 -407.08008560562</t>
  </si>
  <si>
    <t>-450.679505049167 65.1951418903623 -383.415200939886</t>
  </si>
  <si>
    <t>-650.509289367569 272.276468338249 -225.155644899441</t>
  </si>
  <si>
    <t>-541.958952180339 360.98017088687 208.441156180733</t>
  </si>
  <si>
    <t>-628.147368412048 442.837532019933 662.97256327423</t>
  </si>
  <si>
    <t>-468.895656165792 452.101793365565 737.111425972376</t>
  </si>
  <si>
    <t>-682.274885868783 78.896303013096 -236.810246530703</t>
  </si>
  <si>
    <t>-692.636042404869 94.8587631006757 218.487007785209</t>
  </si>
  <si>
    <t>-707.431741216891 110.807890036771 688.181298101941</t>
  </si>
  <si>
    <t>-549.873552756179 83.5305876392398 761.494728215911</t>
  </si>
  <si>
    <t>9763-20170724T164059.494320400.bin</t>
  </si>
  <si>
    <t>-667.789756756858 172.27984554025 -230.91120998567</t>
  </si>
  <si>
    <t>-689.389481264475 182.683112582186 -349.625273538152</t>
  </si>
  <si>
    <t>-692.834603638411 176.375689444889 -470.616569824718</t>
  </si>
  <si>
    <t>-688.235769733272 164.175284125533 -579.358721835019</t>
  </si>
  <si>
    <t>-675.957677522904 145.707036754166 -686.610856063959</t>
  </si>
  <si>
    <t>-650.869754247903 113.733358542815 -833.404239464337</t>
  </si>
  <si>
    <t>-598.083649586459 98.4527741491481 -919.212817324846</t>
  </si>
  <si>
    <t>-659.585868583394 158.941027253091 -774.810545666952</t>
  </si>
  <si>
    <t>-658.609551562292 305.946050330707 -779.091200878822</t>
  </si>
  <si>
    <t>-664.726583730649 393.053821540783 -474.852786806201</t>
  </si>
  <si>
    <t>-469.275289770387 320.759746987708 -319.242904160119</t>
  </si>
  <si>
    <t>-664.354865307122 96.8204485422308 -762.094812624925</t>
  </si>
  <si>
    <t>-705.69003528111 12.9075295540829 -405.64148467617</t>
  </si>
  <si>
    <t>-451.014797151289 60.3730549181386 -382.628921311569</t>
  </si>
  <si>
    <t>-652.485489202423 269.300539390594 -224.54714947092</t>
  </si>
  <si>
    <t>-543.597418511298 360.163000271024 208.517624105667</t>
  </si>
  <si>
    <t>-628.487312647344 442.560153754114 663.983102740948</t>
  </si>
  <si>
    <t>-468.425079442184 451.822460927138 736.35572182016</t>
  </si>
  <si>
    <t>-683.439080346748 75.4727854975877 -236.205574758277</t>
  </si>
  <si>
    <t>-692.957983322269 92.5628205778573 219.068994352773</t>
  </si>
  <si>
    <t>-707.408008647454 109.627435975659 688.525498790587</t>
  </si>
  <si>
    <t>-550.068473525383 83.3585836346757 762.672224661236</t>
  </si>
  <si>
    <t>9763-20170724T164059.525934700.bin</t>
  </si>
  <si>
    <t>-668.540337712571 171.793929319543 -230.570599990377</t>
  </si>
  <si>
    <t>-690.184119378853 182.042907686424 -349.290109491601</t>
  </si>
  <si>
    <t>-693.586744012591 175.502819162396 -470.270368734271</t>
  </si>
  <si>
    <t>-688.91947528769 163.057926032054 -578.981819322679</t>
  </si>
  <si>
    <t>-676.546770004957 144.31016061216 -686.174599125025</t>
  </si>
  <si>
    <t>-651.304186706838 111.91089643995 -832.84802476719</t>
  </si>
  <si>
    <t>-598.40528793312 96.4785043052456 -918.55994831264</t>
  </si>
  <si>
    <t>-660.050005666498 157.286993650467 -774.389238198366</t>
  </si>
  <si>
    <t>-658.85843662773 304.251557923509 -778.977114992691</t>
  </si>
  <si>
    <t>-664.87912575783 391.934130945929 -474.901983868667</t>
  </si>
  <si>
    <t>-469.342844776401 319.84771883451 -319.302584001235</t>
  </si>
  <si>
    <t>-664.896466494797 95.2061401894014 -761.510000295085</t>
  </si>
  <si>
    <t>-705.509765507762 11.8117109011102 -404.502341706835</t>
  </si>
  <si>
    <t>-450.496011537333 57.5115608079939 -381.664866869037</t>
  </si>
  <si>
    <t>-653.467223541085 268.80583598875 -224.225983012132</t>
  </si>
  <si>
    <t>-544.671870376957 360.124459695534 208.76607729891</t>
  </si>
  <si>
    <t>-628.827789811801 443.230959953712 664.156504492518</t>
  </si>
  <si>
    <t>-468.460001355856 452.036927320122 735.907062516092</t>
  </si>
  <si>
    <t>-683.805206159389 74.9494418710417 -235.903570570416</t>
  </si>
  <si>
    <t>-693.006474977575 92.3509943295657 219.365795807575</t>
  </si>
  <si>
    <t>-707.33929960618 109.618601195243 688.686356723155</t>
  </si>
  <si>
    <t>-549.761903670938 85.1903063570862 762.956999849821</t>
  </si>
  <si>
    <t>9763-20170724T164059.558021000.bin</t>
  </si>
  <si>
    <t>-668.866946175489 171.969089506697 -230.328570249731</t>
  </si>
  <si>
    <t>-690.535717332823 182.187368876416 -349.046151673061</t>
  </si>
  <si>
    <t>-693.897376624089 175.515153505494 -470.020340497951</t>
  </si>
  <si>
    <t>-689.168345517264 162.908921464604 -578.710583774056</t>
  </si>
  <si>
    <t>-676.711303440628 143.958282038529 -685.857861418379</t>
  </si>
  <si>
    <t>-651.330603978304 111.234631935405 -832.435458705808</t>
  </si>
  <si>
    <t>-598.33425595053 95.6182912983695 -918.053805643656</t>
  </si>
  <si>
    <t>-660.092039668882 156.738335127823 -774.078208331965</t>
  </si>
  <si>
    <t>-658.621141775076 303.698988447677 -778.938317404345</t>
  </si>
  <si>
    <t>-664.66203764443 391.557558586655 -474.914305155473</t>
  </si>
  <si>
    <t>-468.965059783642 319.458961162523 -319.522799326436</t>
  </si>
  <si>
    <t>-665.029574409078 94.6892941297543 -761.080614773052</t>
  </si>
  <si>
    <t>-705.16276627718 11.1454388574227 -403.577077792305</t>
  </si>
  <si>
    <t>-450.02882433758 56.2866523686086 -380.972205949077</t>
  </si>
  <si>
    <t>-653.74081622383 269.21987259635 -224.103921759705</t>
  </si>
  <si>
    <t>-545.302257003541 360.327691044433 209.022068500746</t>
  </si>
  <si>
    <t>-629.07558628434 443.736728265405 664.271087557021</t>
  </si>
  <si>
    <t>-468.416620773838 451.245672868757 735.515850073727</t>
  </si>
  <si>
    <t>-684.038424067659 74.8984568231606 -235.685246919409</t>
  </si>
  <si>
    <t>-692.864883011092 92.4387044559652 219.586208353604</t>
  </si>
  <si>
    <t>-707.350597502642 109.33419712085 688.82263373482</t>
  </si>
  <si>
    <t>-550.050271797141 83.7279891907531 763.283665201081</t>
  </si>
  <si>
    <t>9763-20170724T164059.626222500.bin</t>
  </si>
  <si>
    <t>-668.316299517316 172.939122702925 -230.138675660624</t>
  </si>
  <si>
    <t>-689.916417068088 183.151982149281 -348.869214550241</t>
  </si>
  <si>
    <t>-693.16892760866 176.245072225994 -469.833179572416</t>
  </si>
  <si>
    <t>-688.319252038972 163.341961366365 -578.483370107005</t>
  </si>
  <si>
    <t>-675.717610768068 144.017075745856 -685.54677993355</t>
  </si>
  <si>
    <t>-650.110142334473 110.699989331219 -831.951158900553</t>
  </si>
  <si>
    <t>-597.085181758264 94.6814467677323 -917.477481626212</t>
  </si>
  <si>
    <t>-658.924031515253 156.438145024627 -773.785347253496</t>
  </si>
  <si>
    <t>-657.126157165637 303.37848715901 -779.106989966947</t>
  </si>
  <si>
    <t>-662.327063665143 391.995419788908 -475.287722937987</t>
  </si>
  <si>
    <t>-466.559719821448 319.327214337415 -320.250458690952</t>
  </si>
  <si>
    <t>-663.957287283814 94.4453913837444 -760.558159564075</t>
  </si>
  <si>
    <t>-704.622618078538 11.4343131064744 -402.764719035304</t>
  </si>
  <si>
    <t>-449.371772941936 55.2626471386552 -378.929497010029</t>
  </si>
  <si>
    <t>-652.728620668385 269.960369061976 -224.132014942894</t>
  </si>
  <si>
    <t>-544.746505241308 361.076918487419 209.106173477518</t>
  </si>
  <si>
    <t>-629.318443020514 443.635471192385 664.113672208478</t>
  </si>
  <si>
    <t>-468.461155369764 450.980223884713 734.926794730774</t>
  </si>
  <si>
    <t>-683.813768797453 75.818136127732 -235.476073260518</t>
  </si>
  <si>
    <t>-692.189581329257 93.2592934309635 219.807712366899</t>
  </si>
  <si>
    <t>-707.255789944852 109.501051815423 689.005140062547</t>
  </si>
  <si>
    <t>-549.69237166284 85.4933981449851 763.442354145396</t>
  </si>
  <si>
    <t>9763-20170724T164059.693403400.bin</t>
  </si>
  <si>
    <t>-666.76159046789 175.223768624848 -230.393497877834</t>
  </si>
  <si>
    <t>-688.294082072655 185.576843580272 -349.124019150462</t>
  </si>
  <si>
    <t>-691.607075590646 178.621343201586 -470.083584916863</t>
  </si>
  <si>
    <t>-686.856602214426 165.601985416652 -578.724294526919</t>
  </si>
  <si>
    <t>-674.394331025037 146.092128342264 -685.770499261978</t>
  </si>
  <si>
    <t>-649.018495433546 112.450307121376 -832.140896280022</t>
  </si>
  <si>
    <t>-596.157939794461 96.1485659817866 -917.715529186026</t>
  </si>
  <si>
    <t>-657.669186520258 158.314378024728 -774.049961053884</t>
  </si>
  <si>
    <t>-655.467708718764 305.239839103715 -779.640702015036</t>
  </si>
  <si>
    <t>-659.371307598192 394.426446890049 -475.968643591348</t>
  </si>
  <si>
    <t>-463.739469654096 320.640961121427 -321.288516146225</t>
  </si>
  <si>
    <t>-662.823868149079 96.3571441069453 -760.703325457769</t>
  </si>
  <si>
    <t>-703.46683210438 15.4983925135448 -402.877682713067</t>
  </si>
  <si>
    <t>-447.800183599555 56.4364916046911 -378.368684937473</t>
  </si>
  <si>
    <t>-650.999865087716 272.948196741973 -224.602581411153</t>
  </si>
  <si>
    <t>-542.239267040017 362.515622742913 208.763882873395</t>
  </si>
  <si>
    <t>-628.320352104773 445.164168598477 663.177053498936</t>
  </si>
  <si>
    <t>-467.838470060593 451.327544591803 734.948148692481</t>
  </si>
  <si>
    <t>-682.574993362356 77.7769097846985 -235.641402184636</t>
  </si>
  <si>
    <t>-692.252311083792 94.5658046994055 219.641105489094</t>
  </si>
  <si>
    <t>-707.246297161362 110.050383087671 688.93764589934</t>
  </si>
  <si>
    <t>-549.580409584722 85.5106684263002 762.983592304608</t>
  </si>
  <si>
    <t>9763-20170724T164059.725030700.bin</t>
  </si>
  <si>
    <t>-665.648349576507 177.793740721843 -230.784155493543</t>
  </si>
  <si>
    <t>-687.117043291132 188.264368836941 -349.516049229181</t>
  </si>
  <si>
    <t>-690.468011160537 181.320016257933 -470.475171125804</t>
  </si>
  <si>
    <t>-685.791927540265 168.265563740174 -579.114746075588</t>
  </si>
  <si>
    <t>-673.442965782508 148.675324094378 -686.15954988526</t>
  </si>
  <si>
    <t>-648.263881772303 114.873991199689 -832.5271196589</t>
  </si>
  <si>
    <t>-595.513826978361 98.4375008178014 -918.144085234607</t>
  </si>
  <si>
    <t>-656.750014904523 160.79743167059 -774.45877866368</t>
  </si>
  <si>
    <t>-654.184517706732 307.724132834065 -780.124337666673</t>
  </si>
  <si>
    <t>-657.600461393868 396.715142132659 -476.38903617721</t>
  </si>
  <si>
    <t>-461.942843360628 322.655691816007 -321.872464559583</t>
  </si>
  <si>
    <t>-662.059667008044 98.8626106417869 -761.06927682273</t>
  </si>
  <si>
    <t>-702.35200265431 19.1293228193372 -403.133689033947</t>
  </si>
  <si>
    <t>-446.23776389341 57.8296886993321 -379.685333597398</t>
  </si>
  <si>
    <t>-649.429203526397 276.265329378109 -225.159723380348</t>
  </si>
  <si>
    <t>-540.37571457958 364.26544405645 208.454144368122</t>
  </si>
  <si>
    <t>-627.107000168471 447.698646097174 662.488337850658</t>
  </si>
  <si>
    <t>-467.034642095066 451.788182647238 735.314335026522</t>
  </si>
  <si>
    <t>-681.837660567886 79.7050483644425 -235.940088408525</t>
  </si>
  <si>
    <t>-692.272454284438 95.8498117384338 219.348935127318</t>
  </si>
  <si>
    <t>-707.301096544513 110.187405634381 688.806955673124</t>
  </si>
  <si>
    <t>-549.775153249512 84.1110859703728 762.625010636616</t>
  </si>
  <si>
    <t>9763-20170724T164059.791221100.bin</t>
  </si>
  <si>
    <t>-662.549131988036 186.122055946693 -231.940522917597</t>
  </si>
  <si>
    <t>-683.990519955555 197.028387571329 -350.63818933297</t>
  </si>
  <si>
    <t>-687.51377025587 190.238988333887 -471.601183065319</t>
  </si>
  <si>
    <t>-683.070155061978 177.204379525871 -580.252912768609</t>
  </si>
  <si>
    <t>-671.027548852371 157.512579133662 -687.313978093582</t>
  </si>
  <si>
    <t>-646.348726160093 123.443029669694 -833.704559484945</t>
  </si>
  <si>
    <t>-593.881403219142 106.628278073323 -919.421782510547</t>
  </si>
  <si>
    <t>-654.353666825773 169.458581823502 -775.640741638577</t>
  </si>
  <si>
    <t>-650.54513458273 316.342589144892 -781.349914927543</t>
  </si>
  <si>
    <t>-653.35036394452 404.653643778887 -477.409935610412</t>
  </si>
  <si>
    <t>-458.215113761426 329.533642055096 -322.744878056226</t>
  </si>
  <si>
    <t>-660.183025913614 107.576902889574 -762.221792603939</t>
  </si>
  <si>
    <t>-699.508113831808 27.5353696544024 -403.751055472175</t>
  </si>
  <si>
    <t>-442.497335560245 62.3804534979809 -384.429258986301</t>
  </si>
  <si>
    <t>-645.140357650902 286.34067113667 -226.466469234463</t>
  </si>
  <si>
    <t>-535.399728902424 370.515545046781 207.733108289858</t>
  </si>
  <si>
    <t>-623.175922833356 455.972508710938 660.973831730978</t>
  </si>
  <si>
    <t>-464.454826954094 453.358405358479 736.764968589108</t>
  </si>
  <si>
    <t>-679.963383556091 86.325053849516 -236.90803468784</t>
  </si>
  <si>
    <t>-691.584780538497 100.70711091078 218.411357003349</t>
  </si>
  <si>
    <t>-707.291341589258 111.206835897691 688.356973106429</t>
  </si>
  <si>
    <t>-549.604220838988 84.1540765269137 761.476235955237</t>
  </si>
  <si>
    <t>9763-20170724T164059.822801200.bin</t>
  </si>
  <si>
    <t>-660.556324141621 191.600972790495 -232.679856663457</t>
  </si>
  <si>
    <t>-681.877478983942 202.706715748813 -351.380544425415</t>
  </si>
  <si>
    <t>-685.444755697219 195.986383968621 -472.346251659116</t>
  </si>
  <si>
    <t>-681.104099442256 182.959511486393 -581.003003082649</t>
  </si>
  <si>
    <t>-669.224868921978 163.221158364615 -688.073717657752</t>
  </si>
  <si>
    <t>-644.833186931462 129.030418595401 -834.484296031546</t>
  </si>
  <si>
    <t>-592.518222184328 111.959725744035 -920.243951265841</t>
  </si>
  <si>
    <t>-652.570414190183 175.085219847233 -776.415396086168</t>
  </si>
  <si>
    <t>-648.051558529297 321.96638896423 -782.096782650665</t>
  </si>
  <si>
    <t>-650.488683052136 410.229842847137 -478.139791217234</t>
  </si>
  <si>
    <t>-456.14080809932 334.133492638162 -322.961419038694</t>
  </si>
  <si>
    <t>-658.681087684987 113.23229368106 -762.98902968365</t>
  </si>
  <si>
    <t>-697.574807970513 32.4642875916672 -404.390761656634</t>
  </si>
  <si>
    <t>-439.901128135504 64.0094829070711 -388.54089599269</t>
  </si>
  <si>
    <t>-642.456250659149 292.645086966721 -227.354392556307</t>
  </si>
  <si>
    <t>-532.889154201725 374.77936434359 207.279581309803</t>
  </si>
  <si>
    <t>-620.245704387236 461.590284448827 660.180918959407</t>
  </si>
  <si>
    <t>-462.554642132171 455.284524331695 737.880857248532</t>
  </si>
  <si>
    <t>-678.640651155287 90.870984568706 -237.524509410135</t>
  </si>
  <si>
    <t>-690.905596799535 104.102391103526 217.812837014609</t>
  </si>
  <si>
    <t>-707.224893800135 112.136750151335 688.028818542285</t>
  </si>
  <si>
    <t>-549.176475791596 85.841015755837 760.642374862337</t>
  </si>
  <si>
    <t>9763-20170724T164059.889977500.bin</t>
  </si>
  <si>
    <t>-656.138647499618 200.746657911511 -234.200919959907</t>
  </si>
  <si>
    <t>-677.102970389171 212.31068081989 -352.921537413905</t>
  </si>
  <si>
    <t>-680.72125539794 205.722072554153 -473.892954293481</t>
  </si>
  <si>
    <t>-676.578986839166 192.683648615376 -582.556053671325</t>
  </si>
  <si>
    <t>-665.0410158644 172.807168619985 -689.638596027703</t>
  </si>
  <si>
    <t>-641.263281771127 138.295910982586 -836.074878513619</t>
  </si>
  <si>
    <t>-589.241678085212 120.664763224867 -921.899548928405</t>
  </si>
  <si>
    <t>-648.430422754651 184.456793537438 -778.016881264144</t>
  </si>
  <si>
    <t>-642.451180133747 331.288352577109 -783.718884980071</t>
  </si>
  <si>
    <t>-643.921073034138 420.404411759464 -480.004663977767</t>
  </si>
  <si>
    <t>-452.060699248925 341.85170066497 -322.966060763448</t>
  </si>
  <si>
    <t>-655.137943020119 122.675413437327 -764.545748110148</t>
  </si>
  <si>
    <t>-692.29139755576 40.7617289997947 -405.456407936112</t>
  </si>
  <si>
    <t>-433.544731973898 64.1701093963405 -393.444631145345</t>
  </si>
  <si>
    <t>-636.648953342383 300.459877473782 -229.117863166576</t>
  </si>
  <si>
    <t>-530.003277553286 377.593550651786 207.155859065815</t>
  </si>
  <si>
    <t>-617.028044329489 460.807037193143 660.300812858003</t>
  </si>
  <si>
    <t>-461.778443134299 448.08005855905 742.026529814394</t>
  </si>
  <si>
    <t>-675.721449013504 99.9577472705182 -238.796100741407</t>
  </si>
  <si>
    <t>-688.866263588227 110.247454704297 216.592793215233</t>
  </si>
  <si>
    <t>-707.122958668432 113.321794901958 687.270319036765</t>
  </si>
  <si>
    <t>-549.297847016999 83.9946166973813 759.205402567505</t>
  </si>
  <si>
    <t>9763-20170724T164059.924771300.bin</t>
  </si>
  <si>
    <t>-655.139634907912 200.630036789527 -234.05697899753</t>
  </si>
  <si>
    <t>-675.928767847415 212.317894101859 -352.796332314542</t>
  </si>
  <si>
    <t>-679.567868783961 205.64924573464 -473.762624255382</t>
  </si>
  <si>
    <t>-675.517476758714 192.457642310322 -582.410832014937</t>
  </si>
  <si>
    <t>-664.139762304927 172.35057887926 -689.467361640711</t>
  </si>
  <si>
    <t>-640.65185100249 137.441026985794 -835.856058635479</t>
  </si>
  <si>
    <t>-588.743766719598 119.41637470272 -921.667766993208</t>
  </si>
  <si>
    <t>-647.494038517851 183.744387761623 -777.872518678807</t>
  </si>
  <si>
    <t>-640.661662434657 330.575195207842 -783.764982868285</t>
  </si>
  <si>
    <t>-642.254641798599 419.933703253548 -480.122511616726</t>
  </si>
  <si>
    <t>-451.879648185105 339.468338283773 -322.246850512647</t>
  </si>
  <si>
    <t>-654.595012163633 122.030421903044 -764.294714801894</t>
  </si>
  <si>
    <t>-691.631469104497 40.686864315421 -404.911330188004</t>
  </si>
  <si>
    <t>-432.443281618702 60.0030450415736 -395.403122953862</t>
  </si>
  <si>
    <t>-635.738455882732 296.543436423022 -228.338270918814</t>
  </si>
  <si>
    <t>-530.316961420981 371.281996776772 208.649313561925</t>
  </si>
  <si>
    <t>-620.165317473117 449.511679728941 663.076274109622</t>
  </si>
  <si>
    <t>-465.098148906795 435.792674403093 744.987709437228</t>
  </si>
  <si>
    <t>-675.030126766311 102.661075824991 -238.819174011588</t>
  </si>
  <si>
    <t>-688.210720330015 111.151973130632 216.6057194882</t>
  </si>
  <si>
    <t>-707.006063995158 113.760481356093 687.148998445102</t>
  </si>
  <si>
    <t>-549.191823589068 83.94011370008 758.904980810898</t>
  </si>
  <si>
    <t>9763-20170724T164059.955853800.bin</t>
  </si>
  <si>
    <t>-654.214702067769 202.210509785904 -233.65027512552</t>
  </si>
  <si>
    <t>-674.849811767732 213.87823800686 -352.418344326723</t>
  </si>
  <si>
    <t>-678.505741692725 206.982810325422 -473.37142553043</t>
  </si>
  <si>
    <t>-674.536376971249 193.503467539105 -581.987418490488</t>
  </si>
  <si>
    <t>-663.303008428468 173.028597920786 -688.989361207178</t>
  </si>
  <si>
    <t>-640.079240262036 137.52679018155 -835.27776252771</t>
  </si>
  <si>
    <t>-588.309346828131 119.026505278971 -921.071686920414</t>
  </si>
  <si>
    <t>-646.569726860853 184.04496737845 -777.425751036754</t>
  </si>
  <si>
    <t>-638.746991604703 330.759946039982 -783.63174294662</t>
  </si>
  <si>
    <t>-640.401389614843 420.563108624156 -480.120894819454</t>
  </si>
  <si>
    <t>-451.692431549938 338.241927664031 -321.205195158525</t>
  </si>
  <si>
    <t>-654.140302478933 122.425493113801 -763.67354317079</t>
  </si>
  <si>
    <t>-691.376472857598 41.7967924278553 -403.92639041857</t>
  </si>
  <si>
    <t>-431.88793274957 57.7660912187276 -396.665727512304</t>
  </si>
  <si>
    <t>-634.358181982534 296.817919596253 -227.518140389267</t>
  </si>
  <si>
    <t>-530.547172834103 369.17742481227 210.254754258357</t>
  </si>
  <si>
    <t>-621.241554805006 444.751053852278 665.251142257194</t>
  </si>
  <si>
    <t>-465.871138000993 431.315484131631 746.633233722122</t>
  </si>
  <si>
    <t>-674.445317319442 106.322198407393 -238.55889805155</t>
  </si>
  <si>
    <t>-687.584850990314 112.814446689879 216.900156580454</t>
  </si>
  <si>
    <t>-706.905193718771 113.875357112269 687.184058284604</t>
  </si>
  <si>
    <t>-549.45199090123 82.1483868442485 758.915481662474</t>
  </si>
  <si>
    <t>9763-20170724T164100.028056000.bin</t>
  </si>
  <si>
    <t>-650.974208924 211.799937959779 -233.189926532741</t>
  </si>
  <si>
    <t>-671.423957441071 223.145651292156 -352.021306542921</t>
  </si>
  <si>
    <t>-675.215641889478 215.842255049251 -472.946244807048</t>
  </si>
  <si>
    <t>-671.503233562359 201.952465598821 -581.519536020463</t>
  </si>
  <si>
    <t>-660.66082399959 181.023534961501 -688.474007334704</t>
  </si>
  <si>
    <t>-638.118841541431 144.840898109584 -834.702171484493</t>
  </si>
  <si>
    <t>-586.613629503645 125.274522067223 -920.418913479119</t>
  </si>
  <si>
    <t>-643.711995750647 191.570166116757 -776.926621442534</t>
  </si>
  <si>
    <t>-633.21193877865 338.102611768435 -783.428440096173</t>
  </si>
  <si>
    <t>-635.658213277943 428.124876591109 -479.987761748179</t>
  </si>
  <si>
    <t>-450.110039041768 341.645618429198 -319.565599250074</t>
  </si>
  <si>
    <t>-652.473943127914 130.13106323809 -763.074874966959</t>
  </si>
  <si>
    <t>-689.679051118179 51.4893574516659 -403.326975903027</t>
  </si>
  <si>
    <t>-430.101941765862 61.3181817008139 -390.474990672391</t>
  </si>
  <si>
    <t>-628.915143870583 306.333354271048 -227.458804982865</t>
  </si>
  <si>
    <t>-530.552936184546 371.809104084791 212.649606371042</t>
  </si>
  <si>
    <t>-622.450946061761 444.893509007353 667.509115402931</t>
  </si>
  <si>
    <t>-466.519774951052 430.743966545782 747.688677394443</t>
  </si>
  <si>
    <t>-672.958106965619 117.723641506446 -237.854080467085</t>
  </si>
  <si>
    <t>-685.566780642898 119.362075737562 217.663192044082</t>
  </si>
  <si>
    <t>-706.595870879764 114.111861873918 687.407913423144</t>
  </si>
  <si>
    <t>-549.649100911658 80.2032889075193 759.251030334735</t>
  </si>
  <si>
    <t>9763-20170724T164100.100750100.bin</t>
  </si>
  <si>
    <t>-647.333544842013 225.30497320921 -233.321581817195</t>
  </si>
  <si>
    <t>-667.959714395338 236.178195084173 -352.166541056988</t>
  </si>
  <si>
    <t>-672.068428745909 228.354720691074 -473.048644994832</t>
  </si>
  <si>
    <t>-668.692881112694 213.980164194799 -581.56974083651</t>
  </si>
  <si>
    <t>-658.23234097616 192.558106635888 -688.464741827194</t>
  </si>
  <si>
    <t>-636.263346816051 155.684699702426 -834.607515204067</t>
  </si>
  <si>
    <t>-585.07101527956 134.937287273947 -920.233787493942</t>
  </si>
  <si>
    <t>-641.008517910437 202.61725988048 -776.920929219899</t>
  </si>
  <si>
    <t>-627.81156258217 348.929708957676 -783.593719323272</t>
  </si>
  <si>
    <t>-629.182603483554 439.787276018648 -480.395375241281</t>
  </si>
  <si>
    <t>-447.214907514251 348.607428679286 -318.481726414795</t>
  </si>
  <si>
    <t>-650.959385062211 141.382785727476 -762.966656553543</t>
  </si>
  <si>
    <t>-680.540276809136 5.8259397938867 -714.300370559943</t>
  </si>
  <si>
    <t>-689.858372876901 66.0586318040804 -403.701913946242</t>
  </si>
  <si>
    <t>-430.797736944512 65.5793525450022 -380.692239295608</t>
  </si>
  <si>
    <t>-623.185600694157 318.806734381499 -228.700081263928</t>
  </si>
  <si>
    <t>-531.721680457808 377.338098152743 213.867512625345</t>
  </si>
  <si>
    <t>-622.999519961198 444.216893579748 669.165519410491</t>
  </si>
  <si>
    <t>-466.662035700796 430.532864389233 748.631538501543</t>
  </si>
  <si>
    <t>-671.675533300633 131.955517779679 -237.305960976187</t>
  </si>
  <si>
    <t>-683.564458883027 128.041608100833 218.216814191416</t>
  </si>
  <si>
    <t>-706.219889566665 114.26627248682 687.583250617787</t>
  </si>
  <si>
    <t>-549.753026859698 78.5983773532728 759.621021340257</t>
  </si>
  <si>
    <t>9763-20170724T164100.126320800.bin</t>
  </si>
  <si>
    <t>-646.044042314628 232.244589362095 -233.725432367319</t>
  </si>
  <si>
    <t>-666.980567042058 242.827789807845 -352.542325929051</t>
  </si>
  <si>
    <t>-671.444902678575 234.718385298858 -473.393049639298</t>
  </si>
  <si>
    <t>-668.406674241346 220.087008739226 -581.889613566515</t>
  </si>
  <si>
    <t>-658.296997229347 198.411532782162 -688.767267658314</t>
  </si>
  <si>
    <t>-636.828067929412 161.189723415892 -834.89615819235</t>
  </si>
  <si>
    <t>-585.827463079163 139.854011204901 -920.492327975347</t>
  </si>
  <si>
    <t>-641.025159909135 208.215386359087 -777.242847867127</t>
  </si>
  <si>
    <t>-626.384237200132 354.405074793955 -784.037871780724</t>
  </si>
  <si>
    <t>-626.806301271271 445.745644715651 -480.981979031351</t>
  </si>
  <si>
    <t>-447.036976649632 351.731138466656 -318.235777451979</t>
  </si>
  <si>
    <t>-651.6296393472 147.103103100894 -763.234386411198</t>
  </si>
  <si>
    <t>-682.533469521732 11.9354264347081 -714.315968767272</t>
  </si>
  <si>
    <t>-691.062337567597 73.3076244944052 -403.917936628851</t>
  </si>
  <si>
    <t>-432.375947196455 68.5236736057557 -377.451009487292</t>
  </si>
  <si>
    <t>-621.189493904755 325.214555442025 -229.761367451844</t>
  </si>
  <si>
    <t>-534.112039594668 381.349273500445 213.99991672124</t>
  </si>
  <si>
    <t>-623.025072094455 444.553015963433 670.050449962254</t>
  </si>
  <si>
    <t>-466.605424916231 430.512217176737 749.292234760699</t>
  </si>
  <si>
    <t>-671.340518444237 139.193758713793 -237.141081833729</t>
  </si>
  <si>
    <t>-683.01681453666 132.403848828953 218.353386988186</t>
  </si>
  <si>
    <t>-706.044352591001 114.267908273652 687.588073291941</t>
  </si>
  <si>
    <t>-550.031101824528 76.9245230116952 759.760429966532</t>
  </si>
  <si>
    <t>9763-20170724T164100.192511600.bin</t>
  </si>
  <si>
    <t>-643.369818696111 246.428787920294 -234.956450222327</t>
  </si>
  <si>
    <t>-664.870813778638 256.080747349779 -353.751840212027</t>
  </si>
  <si>
    <t>-669.94801129375 247.26036036973 -474.528482003778</t>
  </si>
  <si>
    <t>-667.490557088877 232.069511010763 -582.96299260809</t>
  </si>
  <si>
    <t>-657.990614400015 209.915639184464 -689.798498785996</t>
  </si>
  <si>
    <t>-637.400555532391 172.108269742561 -835.90327757386</t>
  </si>
  <si>
    <t>-586.656821432612 149.623881384883 -921.358087227674</t>
  </si>
  <si>
    <t>-640.425162528106 219.245009101637 -778.267501632238</t>
  </si>
  <si>
    <t>-622.310082532371 365.007849995333 -785.078077436618</t>
  </si>
  <si>
    <t>-620.18112446014 458.676815158202 -482.740950260984</t>
  </si>
  <si>
    <t>-446.112566582571 357.869795185825 -317.877040792967</t>
  </si>
  <si>
    <t>-652.596842418428 158.428667927398 -764.245347088476</t>
  </si>
  <si>
    <t>-686.551966544033 24.0677436864629 -715.0966857785</t>
  </si>
  <si>
    <t>-694.552165305898 87.2197925719338 -405.041959949286</t>
  </si>
  <si>
    <t>-436.329284697307 74.4539080823799 -376.757053417647</t>
  </si>
  <si>
    <t>-615.899088796832 339.025020200568 -232.627844397999</t>
  </si>
  <si>
    <t>-542.401244966573 389.722216235852 214.234098930465</t>
  </si>
  <si>
    <t>-622.89404304299 446.712184152865 672.380810359007</t>
  </si>
  <si>
    <t>-466.212718361993 431.385827489092 750.863881469034</t>
  </si>
  <si>
    <t>-670.785009589574 153.849746179075 -236.897719569715</t>
  </si>
  <si>
    <t>-682.266967019142 141.425214854224 218.482783255994</t>
  </si>
  <si>
    <t>-705.690954282412 114.32822368444 687.46348739003</t>
  </si>
  <si>
    <t>-550.090665834925 75.7038668423363 759.85290250005</t>
  </si>
  <si>
    <t>9763-20170724T164100.223204100.bin</t>
  </si>
  <si>
    <t>-641.69743990163 253.654099264992 -235.705044845028</t>
  </si>
  <si>
    <t>-663.488399271109 262.722653664736 -354.493532465811</t>
  </si>
  <si>
    <t>-668.879093410078 253.593835089086 -475.233607601354</t>
  </si>
  <si>
    <t>-666.725064057859 238.22674069469 -583.649792186725</t>
  </si>
  <si>
    <t>-657.552819716302 215.993522772654 -690.497324440019</t>
  </si>
  <si>
    <t>-637.446743990089 178.168836838833 -836.665164126217</t>
  </si>
  <si>
    <t>-586.842108900881 155.187647446379 -922.070240756026</t>
  </si>
  <si>
    <t>-639.792449563652 225.231392350574 -778.937060307919</t>
  </si>
  <si>
    <t>-619.442658833966 370.716564599819 -785.496019136674</t>
  </si>
  <si>
    <t>-616.545709696974 465.150850416433 -483.403443745666</t>
  </si>
  <si>
    <t>-445.593530116191 360.741666813539 -317.523478864739</t>
  </si>
  <si>
    <t>-652.893618045163 164.578786858961 -765.043915792206</t>
  </si>
  <si>
    <t>-688.762864041989 30.650977977978 -716.04860649019</t>
  </si>
  <si>
    <t>-695.537775726634 93.560381919092 -405.915310534662</t>
  </si>
  <si>
    <t>-437.617189079607 76.2927884766858 -377.264849051368</t>
  </si>
  <si>
    <t>-612.849325593184 345.795162751655 -234.213254437731</t>
  </si>
  <si>
    <t>-548.032496073214 393.518324037007 214.316571369768</t>
  </si>
  <si>
    <t>-622.96148130116 447.373271367717 673.723292540043</t>
  </si>
  <si>
    <t>-466.091679607213 431.719066819703 751.763792136363</t>
  </si>
  <si>
    <t>-670.431114914977 161.30654302917 -236.752642037915</t>
  </si>
  <si>
    <t>-681.823287868092 146.00666777712 218.5426181695</t>
  </si>
  <si>
    <t>-705.51348549514 114.257703969763 687.360796989747</t>
  </si>
  <si>
    <t>-550.291347458973 74.4148661458268 759.90146020052</t>
  </si>
  <si>
    <t>9763-20170724T164100.293391800.bin</t>
  </si>
  <si>
    <t>-639.211876511035 267.596838090941 -236.647813003629</t>
  </si>
  <si>
    <t>-661.376064930348 275.738518875447 -355.434415137146</t>
  </si>
  <si>
    <t>-667.22552244841 266.255904329291 -476.125875495923</t>
  </si>
  <si>
    <t>-665.537735505586 250.785088660655 -584.535454466736</t>
  </si>
  <si>
    <t>-656.888673303157 228.6546952267 -691.448099539228</t>
  </si>
  <si>
    <t>-637.572823001654 191.173754130548 -837.811024113157</t>
  </si>
  <si>
    <t>-587.278596951341 167.505079752524 -923.211563495728</t>
  </si>
  <si>
    <t>-638.603606792159 237.908817923921 -779.779131424035</t>
  </si>
  <si>
    <t>-613.652718804397 382.718586555258 -785.374070609451</t>
  </si>
  <si>
    <t>-610.090286352626 477.056686042356 -483.258537698259</t>
  </si>
  <si>
    <t>-444.606666565415 365.992915274268 -316.159503301654</t>
  </si>
  <si>
    <t>-653.635364255284 177.606953155164 -766.32070158139</t>
  </si>
  <si>
    <t>-693.584968120262 44.4695884109056 -718.276694240597</t>
  </si>
  <si>
    <t>-698.943092844641 106.16032908817 -407.870896741966</t>
  </si>
  <si>
    <t>-442.054828979219 80.699740937155 -376.212308133057</t>
  </si>
  <si>
    <t>-607.655399039976 358.587260806928 -236.535284209748</t>
  </si>
  <si>
    <t>-561.807647811626 400.604915044052 214.895907802802</t>
  </si>
  <si>
    <t>-623.385145767804 448.246271963464 676.814596205099</t>
  </si>
  <si>
    <t>-465.901070272855 433.786302523289 753.841737833421</t>
  </si>
  <si>
    <t>-670.721376559975 176.263628948848 -236.268494840636</t>
  </si>
  <si>
    <t>-681.237190272639 154.730955498395 218.795806913358</t>
  </si>
  <si>
    <t>-705.098028668003 114.319603338821 687.013810584101</t>
  </si>
  <si>
    <t>-550.484219277711 72.6172431348636 759.808041522268</t>
  </si>
  <si>
    <t>9763-20170724T164100.328029800.bin</t>
  </si>
  <si>
    <t>-638.096702155622 274.587199582639 -237.299053903659</t>
  </si>
  <si>
    <t>-660.53107236587 282.743824973243 -356.033999912689</t>
  </si>
  <si>
    <t>-666.627823867398 273.329448670613 -476.718485052846</t>
  </si>
  <si>
    <t>-665.14764483466 257.943566980995 -585.143287368079</t>
  </si>
  <si>
    <t>-656.685590891161 235.925437267348 -692.093924469948</t>
  </si>
  <si>
    <t>-637.604516205752 198.631221930473 -838.535309528496</t>
  </si>
  <si>
    <t>-587.466355303149 174.76354473786 -923.972210713007</t>
  </si>
  <si>
    <t>-638.117372085094 245.200765876012 -780.363647740501</t>
  </si>
  <si>
    <t>-611.269614497912 389.67397132059 -785.473312387309</t>
  </si>
  <si>
    <t>-606.981475134678 483.14484965187 -483.097688845874</t>
  </si>
  <si>
    <t>-443.690618507655 369.082050259453 -315.861894349087</t>
  </si>
  <si>
    <t>-653.977266486709 185.064770143656 -767.11540651964</t>
  </si>
  <si>
    <t>-695.683327259468 52.2829722545676 -719.612382643856</t>
  </si>
  <si>
    <t>-701.646988080037 113.440799792909 -409.112181316528</t>
  </si>
  <si>
    <t>-445.318500594181 84.0795328073822 -376.31444172152</t>
  </si>
  <si>
    <t>-604.818966857164 365.336833455475 -237.726156591306</t>
  </si>
  <si>
    <t>-569.350944907722 404.903775931356 214.859848944271</t>
  </si>
  <si>
    <t>-623.436534948201 449.160223812624 677.904386298757</t>
  </si>
  <si>
    <t>-465.80704414982 433.840150061289 754.466439485885</t>
  </si>
  <si>
    <t>-671.294999035699 183.874176590459 -236.505228560276</t>
  </si>
  <si>
    <t>-680.857520863901 159.021995773412 218.410820731535</t>
  </si>
  <si>
    <t>-704.902310252251 114.459437436464 686.302833819619</t>
  </si>
  <si>
    <t>-550.26126256721 72.937436157495 759.14233120643</t>
  </si>
  <si>
    <t>9763-20170724T164100.394205400.bin</t>
  </si>
  <si>
    <t>-636.474749544055 288.425795611603 -239.00688488311</t>
  </si>
  <si>
    <t>-659.635179136412 297.506682926373 -357.535103496124</t>
  </si>
  <si>
    <t>-666.266117266564 288.740265232743 -478.240321894293</t>
  </si>
  <si>
    <t>-665.162497672263 273.837263502848 -586.736940968756</t>
  </si>
  <si>
    <t>-656.955319113839 252.214452217633 -693.788144694768</t>
  </si>
  <si>
    <t>-638.090581839264 215.391972734554 -840.376805000309</t>
  </si>
  <si>
    <t>-588.106126010919 191.226753706745 -925.820254137938</t>
  </si>
  <si>
    <t>-637.718135845309 261.584704318099 -781.904442954459</t>
  </si>
  <si>
    <t>-607.500851980607 405.465500366074 -785.818477279596</t>
  </si>
  <si>
    <t>-601.399829204818 496.509006399748 -482.734137983731</t>
  </si>
  <si>
    <t>-441.73403389726 376.404037190903 -316.22984528458</t>
  </si>
  <si>
    <t>-655.157132759798 201.784857606379 -769.127156050005</t>
  </si>
  <si>
    <t>-700.446848408877 69.8376953589769 -722.669621299686</t>
  </si>
  <si>
    <t>-707.547706155166 130.660964137854 -412.127747415043</t>
  </si>
  <si>
    <t>-452.803943570798 92.6636926799744 -376.018810840554</t>
  </si>
  <si>
    <t>-599.476031645918 378.259494742696 -239.68435553096</t>
  </si>
  <si>
    <t>-583.014715747113 414.53763815985 214.265597827493</t>
  </si>
  <si>
    <t>-623.367857029194 451.33079083561 679.212914106163</t>
  </si>
  <si>
    <t>-465.319077346191 436.807610593316 755.062554577281</t>
  </si>
  <si>
    <t>-673.258307864079 198.823640100704 -237.825819723017</t>
  </si>
  <si>
    <t>-680.155774590418 167.234584403557 216.720310660677</t>
  </si>
  <si>
    <t>-704.60088842806 114.38420546025 684.048555179768</t>
  </si>
  <si>
    <t>-550.506731339994 71.1636236279941 757.05880523802</t>
  </si>
  <si>
    <t>9763-20170724T164100.428473400.bin</t>
  </si>
  <si>
    <t>-635.554654018986 295.646501542853 -240.040275847412</t>
  </si>
  <si>
    <t>-659.014293763128 305.490075317054 -358.448734501753</t>
  </si>
  <si>
    <t>-665.869106509815 297.18972689313 -479.174368944948</t>
  </si>
  <si>
    <t>-664.919772951961 282.591842980947 -587.713976170195</t>
  </si>
  <si>
    <t>-656.809550661447 261.166630284974 -694.812311574828</t>
  </si>
  <si>
    <t>-638.013621074296 224.515492411054 -841.452600308752</t>
  </si>
  <si>
    <t>-588.057465980054 200.124504263058 -926.848496156903</t>
  </si>
  <si>
    <t>-637.193683342612 270.531390072758 -782.845673523383</t>
  </si>
  <si>
    <t>-605.167778638498 414.022405212791 -786.184890249764</t>
  </si>
  <si>
    <t>-598.594137506114 503.595333799628 -482.672591575476</t>
  </si>
  <si>
    <t>-440.779642316549 380.560223365793 -316.543162438348</t>
  </si>
  <si>
    <t>-655.466788228438 210.933589165388 -770.291956593271</t>
  </si>
  <si>
    <t>-702.619444004223 79.4885594678325 -724.24061887517</t>
  </si>
  <si>
    <t>-710.570471462278 140.178375284235 -413.693148652096</t>
  </si>
  <si>
    <t>-456.637370794393 97.8556564066871 -376.69594535207</t>
  </si>
  <si>
    <t>-596.542550743713 385.008096302538 -240.601671732151</t>
  </si>
  <si>
    <t>-589.056333212607 419.407367601713 213.731220003229</t>
  </si>
  <si>
    <t>-623.238153728473 452.273095030668 679.502591061085</t>
  </si>
  <si>
    <t>-465.089730743242 437.474636173656 755.090865606964</t>
  </si>
  <si>
    <t>-674.288537761949 206.638476664583 -238.764634834489</t>
  </si>
  <si>
    <t>-679.94549106032 171.319085380616 215.524006121513</t>
  </si>
  <si>
    <t>-704.486226689666 114.320824898206 682.533080764724</t>
  </si>
  <si>
    <t>-550.705772108559 70.1102604363467 755.611918572754</t>
  </si>
  <si>
    <t>9763-20170724T164100.494650100.bin</t>
  </si>
  <si>
    <t>-635.008600932632 310.993742728671 -241.899212767917</t>
  </si>
  <si>
    <t>-658.344996585424 322.236387804659 -360.207334496625</t>
  </si>
  <si>
    <t>-665.221204812009 314.806449977656 -480.988413783033</t>
  </si>
  <si>
    <t>-664.324984418768 300.781474724962 -589.604051813046</t>
  </si>
  <si>
    <t>-656.286292752442 279.726955171876 -696.781146262709</t>
  </si>
  <si>
    <t>-637.597725295679 243.390586480439 -843.513704685767</t>
  </si>
  <si>
    <t>-587.698194976846 218.317469981986 -928.744840999981</t>
  </si>
  <si>
    <t>-635.778088152034 289.009803937905 -784.619730994401</t>
  </si>
  <si>
    <t>-599.504137388786 431.515313909237 -786.795048483466</t>
  </si>
  <si>
    <t>-592.318814233039 518.861998541121 -482.648522485774</t>
  </si>
  <si>
    <t>-439.739797740688 389.44262616554 -316.478909581571</t>
  </si>
  <si>
    <t>-655.955553632767 229.926841066688 -772.55855564144</t>
  </si>
  <si>
    <t>-707.267380360659 99.734062377367 -727.382856866076</t>
  </si>
  <si>
    <t>-715.645665459409 159.147603620595 -416.599919727881</t>
  </si>
  <si>
    <t>-463.447857621473 109.084920713144 -377.458712529425</t>
  </si>
  <si>
    <t>-592.422396375123 399.097557911759 -242.079689998873</t>
  </si>
  <si>
    <t>-598.682255756773 429.814292762247 212.535502670081</t>
  </si>
  <si>
    <t>-622.903676713955 454.397312474462 679.798381559696</t>
  </si>
  <si>
    <t>-464.647668015568 438.915149974097 755.023679991143</t>
  </si>
  <si>
    <t>-677.470410677665 223.065660804043 -240.699828689862</t>
  </si>
  <si>
    <t>-679.817089778262 179.720247288801 212.922671290019</t>
  </si>
  <si>
    <t>-704.208365371345 114.091995079951 679.10680867055</t>
  </si>
  <si>
    <t>-550.692840231529 69.3997364966892 752.449133405012</t>
  </si>
  <si>
    <t>9763-20170724T164100.526274600.bin</t>
  </si>
  <si>
    <t>-635.219774282678 318.826668719301 -242.562125175246</t>
  </si>
  <si>
    <t>-658.427762022677 330.558640380718 -360.848070089887</t>
  </si>
  <si>
    <t>-665.249926563971 323.443446096657 -481.651061677883</t>
  </si>
  <si>
    <t>-664.328823541089 309.629777685135 -590.293620612974</t>
  </si>
  <si>
    <t>-656.284624600977 288.716330219055 -697.497932344965</t>
  </si>
  <si>
    <t>-637.605324811739 252.505404519656 -844.262552751066</t>
  </si>
  <si>
    <t>-587.753965404795 226.977276578394 -929.386818528745</t>
  </si>
  <si>
    <t>-635.295167823878 297.923649388465 -785.230652210193</t>
  </si>
  <si>
    <t>-596.810665559355 439.856227191695 -786.856975521818</t>
  </si>
  <si>
    <t>-589.428576213417 526.488443097479 -482.510991192997</t>
  </si>
  <si>
    <t>-440.213392156238 393.6164959326 -316.011873368198</t>
  </si>
  <si>
    <t>-656.445477112818 239.131649266085 -773.416883027848</t>
  </si>
  <si>
    <t>-709.865498477924 109.626350321968 -728.770038080004</t>
  </si>
  <si>
    <t>-718.601213104313 168.764660670549 -417.944433692419</t>
  </si>
  <si>
    <t>-467.357800377455 115.156067995948 -377.386971987132</t>
  </si>
  <si>
    <t>-590.672609864615 406.22987400268 -242.675992771051</t>
  </si>
  <si>
    <t>-601.525424728366 435.300253367988 211.961007098428</t>
  </si>
  <si>
    <t>-622.497025183837 455.48905692159 679.852111382951</t>
  </si>
  <si>
    <t>-464.370380499394 438.937757567568 755.121800301275</t>
  </si>
  <si>
    <t>-679.483643219321 231.232265552084 -241.416415386484</t>
  </si>
  <si>
    <t>-679.425106071523 183.656473901173 211.787965780878</t>
  </si>
  <si>
    <t>-704.020292576923 113.872907375388 677.425098058821</t>
  </si>
  <si>
    <t>-551.106111658277 67.5748933686933 751.027134206621</t>
  </si>
  <si>
    <t>9763-20170724T164100.593454800.bin</t>
  </si>
  <si>
    <t>-636.051614479073 333.046171669486 -243.370012319447</t>
  </si>
  <si>
    <t>-659.17690179249 345.862432571945 -361.559470290639</t>
  </si>
  <si>
    <t>-665.832252907563 339.464303542029 -482.412064847098</t>
  </si>
  <si>
    <t>-664.715751853019 326.144348225232 -591.114312606585</t>
  </si>
  <si>
    <t>-656.425409650477 305.577209020921 -698.36695771955</t>
  </si>
  <si>
    <t>-637.348219800314 269.700520643301 -845.162437904338</t>
  </si>
  <si>
    <t>-587.517673539447 243.349588655522 -930.047796588471</t>
  </si>
  <si>
    <t>-634.265543842648 314.67033505527 -785.823292567635</t>
  </si>
  <si>
    <t>-591.475168591531 455.359918223238 -786.210586300008</t>
  </si>
  <si>
    <t>-583.634172053749 541.039058820756 -481.606288373401</t>
  </si>
  <si>
    <t>-441.897738929963 401.295365887487 -314.20097255608</t>
  </si>
  <si>
    <t>-657.313010019614 256.479412828517 -774.596668758032</t>
  </si>
  <si>
    <t>-715.20804615316 128.384854855423 -731.420037684587</t>
  </si>
  <si>
    <t>-724.601594298001 187.760542799323 -420.658858888417</t>
  </si>
  <si>
    <t>-475.969538259978 125.396642997834 -376.671508225634</t>
  </si>
  <si>
    <t>-588.174474552153 419.435179630463 -243.32262481019</t>
  </si>
  <si>
    <t>-604.017039655457 444.072744788037 211.429678066687</t>
  </si>
  <si>
    <t>-621.970785729593 456.396262909836 679.805566586891</t>
  </si>
  <si>
    <t>-464.271294171774 437.466334541215 755.410119371915</t>
  </si>
  <si>
    <t>-683.513149103737 246.538479560042 -242.439662831623</t>
  </si>
  <si>
    <t>-677.426504657147 190.701195945806 209.780146016567</t>
  </si>
  <si>
    <t>-703.64360593678 113.530936084179 674.188584677418</t>
  </si>
  <si>
    <t>-551.492901845392 65.578609169434 748.311690121197</t>
  </si>
  <si>
    <t>9763-20170724T164100.626075800.bin</t>
  </si>
  <si>
    <t>-636.213530771211 339.54340019519 -243.685222823581</t>
  </si>
  <si>
    <t>-659.3953339233 352.965949833634 -361.796359692288</t>
  </si>
  <si>
    <t>-666.015862655037 346.92321102749 -482.669110105852</t>
  </si>
  <si>
    <t>-664.825903912208 333.818655774977 -591.396777136669</t>
  </si>
  <si>
    <t>-656.417944658937 313.364261988782 -698.661660416265</t>
  </si>
  <si>
    <t>-637.131158236033 277.540652059838 -845.44291231008</t>
  </si>
  <si>
    <t>-587.282019742251 250.765775943025 -930.184538510119</t>
  </si>
  <si>
    <t>-633.683447610937 322.325521539885 -785.984083602173</t>
  </si>
  <si>
    <t>-588.953693609618 462.436529186942 -785.870439449429</t>
  </si>
  <si>
    <t>-581.112348386158 547.523345513451 -481.100066946361</t>
  </si>
  <si>
    <t>-443.031038105259 404.806848500352 -313.148931054692</t>
  </si>
  <si>
    <t>-657.646506649353 264.457346544709 -775.009352918724</t>
  </si>
  <si>
    <t>-717.710405206143 137.146525364717 -732.5164869841</t>
  </si>
  <si>
    <t>-728.261342501173 197.52556299166 -421.985921700469</t>
  </si>
  <si>
    <t>-480.930781626656 130.719765039359 -377.190376931929</t>
  </si>
  <si>
    <t>-586.965768981929 425.43172340571 -243.462070924339</t>
  </si>
  <si>
    <t>-604.677971204182 448.143941906476 211.32143537703</t>
  </si>
  <si>
    <t>-621.785022126551 456.82603313142 679.78833190835</t>
  </si>
  <si>
    <t>-464.222514836614 437.494453572666 755.576615269482</t>
  </si>
  <si>
    <t>-685.294134062614 253.577667339988 -242.871098078362</t>
  </si>
  <si>
    <t>-676.023986820388 193.662466752394 208.772423106077</t>
  </si>
  <si>
    <t>-703.412112858219 113.222294682235 672.632702381348</t>
  </si>
  <si>
    <t>-551.811316626381 64.1671882955532 747.160015225432</t>
  </si>
  <si>
    <t>9763-20170724T164100.693248600.bin</t>
  </si>
  <si>
    <t>-636.658932431852 349.855151339118 -243.941796233003</t>
  </si>
  <si>
    <t>-659.653375041567 364.491131525844 -361.945417417097</t>
  </si>
  <si>
    <t>-666.087553225398 359.171612115231 -482.862250290481</t>
  </si>
  <si>
    <t>-664.725867460104 346.507216231487 -591.640018606677</t>
  </si>
  <si>
    <t>-656.140637828329 326.281145072573 -698.934264098563</t>
  </si>
  <si>
    <t>-636.602334563644 290.556130767199 -845.706062935015</t>
  </si>
  <si>
    <t>-586.621918216522 263.082515318975 -930.146260099181</t>
  </si>
  <si>
    <t>-632.337505123381 334.942195030535 -786.001772821767</t>
  </si>
  <si>
    <t>-583.638241274468 473.689708470618 -785.038212797958</t>
  </si>
  <si>
    <t>-575.723879511367 557.955794758151 -480.04191478577</t>
  </si>
  <si>
    <t>-444.446401735976 409.948467850006 -311.216090397361</t>
  </si>
  <si>
    <t>-658.157296604154 277.784505780026 -775.526390696816</t>
  </si>
  <si>
    <t>-722.434156260991 152.090430201662 -734.378149222911</t>
  </si>
  <si>
    <t>-734.701755418225 214.381302033421 -424.288541158692</t>
  </si>
  <si>
    <t>-489.922032126312 137.034867265309 -382.545256903144</t>
  </si>
  <si>
    <t>-585.019513995202 434.537962789715 -243.45566434505</t>
  </si>
  <si>
    <t>-606.411343986134 454.782598510325 211.286283834378</t>
  </si>
  <si>
    <t>-621.604019313922 457.154008151846 679.764302498201</t>
  </si>
  <si>
    <t>-464.381186601678 435.980564184009 755.76552060762</t>
  </si>
  <si>
    <t>-688.195060783135 265.121357583867 -243.54661750999</t>
  </si>
  <si>
    <t>-674.226357499081 197.418196036535 206.874154344729</t>
  </si>
  <si>
    <t>-703.011960321761 112.421771446793 669.710152942594</t>
  </si>
  <si>
    <t>-553.063594225647 59.9159267656742 745.222660102968</t>
  </si>
  <si>
    <t>9763-20170724T164100.724849100.bin</t>
  </si>
  <si>
    <t>-636.685578346147 354.343371392776 -244.161006460364</t>
  </si>
  <si>
    <t>-659.553769879668 369.583144529852 -362.112791834544</t>
  </si>
  <si>
    <t>-665.916802818416 364.647980423743 -483.049679797664</t>
  </si>
  <si>
    <t>-664.519414558869 352.22686144808 -591.85491664589</t>
  </si>
  <si>
    <t>-655.930115547287 332.134942326063 -699.174083163133</t>
  </si>
  <si>
    <t>-636.422625064263 296.478601342382 -845.966763864291</t>
  </si>
  <si>
    <t>-586.320318828425 268.666802012482 -930.223724588494</t>
  </si>
  <si>
    <t>-631.660105927464 340.633365304512 -786.128699951617</t>
  </si>
  <si>
    <t>-580.954727374242 478.648008742268 -784.670953431301</t>
  </si>
  <si>
    <t>-573.129344247055 562.991201795829 -479.693710703692</t>
  </si>
  <si>
    <t>-444.959349394348 412.830873284658 -310.382108302206</t>
  </si>
  <si>
    <t>-658.448077127927 283.877452262887 -775.902492542684</t>
  </si>
  <si>
    <t>-724.986456813816 159.205790374348 -735.255134151525</t>
  </si>
  <si>
    <t>-738.264717534794 221.076359316475 -425.123127256798</t>
  </si>
  <si>
    <t>-494.256828250767 139.480702984156 -387.118251095738</t>
  </si>
  <si>
    <t>-584.065797544358 438.867387195755 -243.574398289911</t>
  </si>
  <si>
    <t>-607.265819402832 457.592503070646 211.143996821848</t>
  </si>
  <si>
    <t>-621.576383304762 457.573812871634 679.545021590872</t>
  </si>
  <si>
    <t>-464.477702636682 435.860216445369 755.650510907302</t>
  </si>
  <si>
    <t>-689.0747244547 269.884700594762 -243.950323330129</t>
  </si>
  <si>
    <t>-673.581807046311 198.651703185742 205.875715172391</t>
  </si>
  <si>
    <t>-703.07458148077 111.839973599969 668.262531222007</t>
  </si>
  <si>
    <t>-553.777784651626 57.9497539010352 744.090048990245</t>
  </si>
  <si>
    <t>9763-20170724T164100.791023300.bin</t>
  </si>
  <si>
    <t>-633.966111019375 362.805201010371 -245.731271380895</t>
  </si>
  <si>
    <t>-656.996350616471 379.113104459226 -363.508407591138</t>
  </si>
  <si>
    <t>-663.385561275548 375.087523051851 -484.477582064407</t>
  </si>
  <si>
    <t>-661.978983655615 363.387646258032 -593.362692972007</t>
  </si>
  <si>
    <t>-653.359932142988 343.900922055295 -700.791019663882</t>
  </si>
  <si>
    <t>-633.802781304657 308.950517831521 -847.746720680972</t>
  </si>
  <si>
    <t>-583.530521466698 280.731354742253 -931.766675887121</t>
  </si>
  <si>
    <t>-628.135628194792 352.400844864063 -787.473321215852</t>
  </si>
  <si>
    <t>-573.166107809792 488.76310295432 -784.590251557441</t>
  </si>
  <si>
    <t>-566.533956863436 572.721255889543 -479.478342748668</t>
  </si>
  <si>
    <t>-443.310717939856 419.82945486283 -308.943404473167</t>
  </si>
  <si>
    <t>-656.77672373521 296.429121807937 -777.973323238178</t>
  </si>
  <si>
    <t>-727.613643452796 173.604378578271 -738.898397875792</t>
  </si>
  <si>
    <t>-742.786503320899 233.834530834783 -428.530386410287</t>
  </si>
  <si>
    <t>-500.133029468371 145.542925902387 -397.450589146835</t>
  </si>
  <si>
    <t>-581.047448803167 446.545072872291 -244.85592496806</t>
  </si>
  <si>
    <t>-606.69876967798 463.464848972806 209.801472144182</t>
  </si>
  <si>
    <t>-621.359152239215 458.964067512066 678.455299653758</t>
  </si>
  <si>
    <t>-464.760874502939 435.14745752458 754.961934787076</t>
  </si>
  <si>
    <t>-685.877160267712 279.515291332556 -246.227131699942</t>
  </si>
  <si>
    <t>-667.435933537367 201.543327375045 202.368332851962</t>
  </si>
  <si>
    <t>-696.523600324122 115.421757145396 663.45963121949</t>
  </si>
  <si>
    <t>-549.475847572989 55.3626024373603 739.046432373586</t>
  </si>
  <si>
    <t>9763-20170724T164100.830645100.bin</t>
  </si>
  <si>
    <t>-632.00249022157 366.456395379171 -247.114740254037</t>
  </si>
  <si>
    <t>-655.27759806775 383.333853921876 -364.763435888048</t>
  </si>
  <si>
    <t>-661.736195878884 379.867583192025 -485.746283432945</t>
  </si>
  <si>
    <t>-660.32809011531 368.653880885452 -594.682536481454</t>
  </si>
  <si>
    <t>-651.647719054301 349.627932797796 -702.18839950024</t>
  </si>
  <si>
    <t>-631.948706806652 315.28590458679 -849.268740741521</t>
  </si>
  <si>
    <t>-581.665021799789 287.002881351895 -933.260411987069</t>
  </si>
  <si>
    <t>-625.966967700645 358.307644673451 -788.718886250634</t>
  </si>
  <si>
    <t>-569.411662187662 494.003668289602 -784.904478656134</t>
  </si>
  <si>
    <t>-563.334670664455 577.414306764818 -479.631026223853</t>
  </si>
  <si>
    <t>-441.914707914077 423.47153444258 -308.748396424789</t>
  </si>
  <si>
    <t>-655.362827079644 302.654756621015 -779.661532294613</t>
  </si>
  <si>
    <t>-727.701184508381 180.474040343612 -741.488949483661</t>
  </si>
  <si>
    <t>-744.056502368638 238.942679083089 -430.844304430144</t>
  </si>
  <si>
    <t>-501.838462657486 148.032829922514 -404.238455788806</t>
  </si>
  <si>
    <t>-579.357652252262 449.387252111494 -245.904684092544</t>
  </si>
  <si>
    <t>-605.397859541333 465.646488640485 208.754752870472</t>
  </si>
  <si>
    <t>-621.083011439957 459.483142771897 677.704229315146</t>
  </si>
  <si>
    <t>-464.807561414024 434.854072716138 754.612621064253</t>
  </si>
  <si>
    <t>-683.855145321874 283.908710837669 -248.114231208233</t>
  </si>
  <si>
    <t>-663.133583727971 203.739339743672 199.99426792562</t>
  </si>
  <si>
    <t>-694.772389824347 120.06764543496 660.801378057471</t>
  </si>
  <si>
    <t>-550.512039077379 53.392332505647 736.212586217339</t>
  </si>
  <si>
    <t>9763-20170724T164100.890804100.bin</t>
  </si>
  <si>
    <t>-631.304775291822 369.787439329888 -249.493007830498</t>
  </si>
  <si>
    <t>-655.776759565297 387.560629986599 -366.766445622519</t>
  </si>
  <si>
    <t>-662.477532003826 385.543949069637 -487.768887801406</t>
  </si>
  <si>
    <t>-660.927982336725 375.826265701884 -596.84691510456</t>
  </si>
  <si>
    <t>-651.764874182669 358.462135398524 -704.593730892721</t>
  </si>
  <si>
    <t>-631.060406615788 326.58376004546 -852.089829615935</t>
  </si>
  <si>
    <t>-580.639416883999 298.753730624755 -936.150506011347</t>
  </si>
  <si>
    <t>-624.874401369284 368.271909871034 -790.634608103326</t>
  </si>
  <si>
    <t>-565.833178605721 502.783284030695 -783.7213501086</t>
  </si>
  <si>
    <t>-562.042988384253 584.194618458114 -477.871756344736</t>
  </si>
  <si>
    <t>-442.184060908402 428.216086187971 -307.734652673337</t>
  </si>
  <si>
    <t>-655.56857306221 313.1059634474 -783.020090160115</t>
  </si>
  <si>
    <t>-731.04205218136 191.853607651977 -747.878440568296</t>
  </si>
  <si>
    <t>-747.60770056587 241.773392605081 -435.756962285653</t>
  </si>
  <si>
    <t>-507.139695762254 144.08963275697 -419.171197696936</t>
  </si>
  <si>
    <t>-578.205228128872 451.554103912221 -247.85976896134</t>
  </si>
  <si>
    <t>-604.112183672908 467.52074187779 206.817671839059</t>
  </si>
  <si>
    <t>-620.503964602111 460.124105096743 676.305142943591</t>
  </si>
  <si>
    <t>-464.748536510703 434.898987960975 754.070524833715</t>
  </si>
  <si>
    <t>-684.250640948479 288.124819332179 -250.542860951531</t>
  </si>
  <si>
    <t>-656.021846230875 204.954698960004 196.60762463679</t>
  </si>
  <si>
    <t>-702.859458051498 127.234097095684 657.463563778385</t>
  </si>
  <si>
    <t>-578.027068640561 29.2083840866274 733.301116249704</t>
  </si>
  <si>
    <t>9763-20170724T164100.929437500.bin</t>
  </si>
  <si>
    <t>-632.188152885568 369.269491314875 -250.556090930814</t>
  </si>
  <si>
    <t>-657.884338423926 387.82479248506 -367.445899445334</t>
  </si>
  <si>
    <t>-664.951002821596 386.959054195596 -488.441172167676</t>
  </si>
  <si>
    <t>-663.395350951074 378.403178402174 -597.616440794175</t>
  </si>
  <si>
    <t>-653.901671986474 362.307844929811 -705.53150608799</t>
  </si>
  <si>
    <t>-632.414413311404 332.292586038816 -853.306315508418</t>
  </si>
  <si>
    <t>-581.779334515351 305.081134181685 -937.440767454883</t>
  </si>
  <si>
    <t>-626.325473121904 373.079534324983 -791.239598965038</t>
  </si>
  <si>
    <t>-566.26301624462 506.968967657169 -782.090278649235</t>
  </si>
  <si>
    <t>-565.05080638438 586.485931625446 -475.721564529248</t>
  </si>
  <si>
    <t>-444.725003750942 429.831124957137 -306.538255771998</t>
  </si>
  <si>
    <t>-657.518205224414 318.067303433217 -784.601324370426</t>
  </si>
  <si>
    <t>-734.277525344192 196.982378596096 -751.578872375103</t>
  </si>
  <si>
    <t>-752.227385882941 241.19457526924 -438.67442486156</t>
  </si>
  <si>
    <t>-512.225790411478 141.891266989509 -425.253154830904</t>
  </si>
  <si>
    <t>-578.98062067995 450.914639391317 -248.627247349115</t>
  </si>
  <si>
    <t>-604.315968748878 467.332729539433 206.066361053058</t>
  </si>
  <si>
    <t>-620.34278094491 460.446401177421 675.817816658107</t>
  </si>
  <si>
    <t>-464.784273978405 434.691289243808 753.80321735877</t>
  </si>
  <si>
    <t>-685.495518145065 287.440014439881 -251.591316095005</t>
  </si>
  <si>
    <t>-652.786551191889 203.890035282736 195.182804689547</t>
  </si>
  <si>
    <t>-708.289838525441 129.687418454303 655.803225403644</t>
  </si>
  <si>
    <t>-599.578813943646 15.0873994919399 733.212991156837</t>
  </si>
  <si>
    <t>9763-20170724T164100.963528100.bin</t>
  </si>
  <si>
    <t>-633.642004302872 367.575464328279 -251.291589993801</t>
  </si>
  <si>
    <t>-660.273076348175 386.840899279359 -367.856826675638</t>
  </si>
  <si>
    <t>-667.401801251767 387.190133654042 -488.851122803097</t>
  </si>
  <si>
    <t>-665.554120830037 379.917579869136 -598.114719736138</t>
  </si>
  <si>
    <t>-655.429121068709 365.280689369104 -706.18006207212</t>
  </si>
  <si>
    <t>-632.722742699392 337.466431493943 -854.203073027069</t>
  </si>
  <si>
    <t>-581.577714158269 311.354470470448 -938.377419813098</t>
  </si>
  <si>
    <t>-627.080760607896 377.28827886347 -791.470999977986</t>
  </si>
  <si>
    <t>-566.933513593593 510.951585738481 -779.973366123595</t>
  </si>
  <si>
    <t>-568.112677857925 588.145250130874 -473.010960316035</t>
  </si>
  <si>
    <t>-446.740597350235 431.000691626619 -305.033380441551</t>
  </si>
  <si>
    <t>-658.458456604054 322.258454062283 -785.94379038465</t>
  </si>
  <si>
    <t>-735.98301312169 201.047591360587 -755.375223310796</t>
  </si>
  <si>
    <t>-758.308675900876 238.180862409821 -441.832767188579</t>
  </si>
  <si>
    <t>-517.325594069057 141.170846063532 -429.251969355019</t>
  </si>
  <si>
    <t>-580.219179794266 449.314555415129 -249.155324514291</t>
  </si>
  <si>
    <t>-605.049005191267 466.589612776924 205.534337571172</t>
  </si>
  <si>
    <t>-620.336914264492 460.954630696732 675.527891608823</t>
  </si>
  <si>
    <t>-464.953737356331 434.42018372466 753.601653722762</t>
  </si>
  <si>
    <t>-687.166392367856 285.532364764808 -252.442184877928</t>
  </si>
  <si>
    <t>-649.772658809026 201.595659955337 193.891897646126</t>
  </si>
  <si>
    <t>-711.159246863406 132.633696338375 654.499484414446</t>
  </si>
  <si>
    <t>-618.502218938101 7.4772222469567 736.316692866465</t>
  </si>
  <si>
    <t>9763-20170724T164101.028733700.bin</t>
  </si>
  <si>
    <t>-636.778413736065 361.546423332425 -252.069077394097</t>
  </si>
  <si>
    <t>-665.147607096808 382.035936259142 -368.013815980108</t>
  </si>
  <si>
    <t>-672.047991541266 385.016646235529 -488.985151890961</t>
  </si>
  <si>
    <t>-669.19655683468 380.672188102772 -598.382794521642</t>
  </si>
  <si>
    <t>-657.284941788905 369.49989266004 -706.679449031791</t>
  </si>
  <si>
    <t>-631.300804814528 347.049635752974 -855.073420143275</t>
  </si>
  <si>
    <t>-578.575099295218 324.149928380322 -939.207798471715</t>
  </si>
  <si>
    <t>-627.368096399455 384.741493829833 -790.911288393159</t>
  </si>
  <si>
    <t>-568.460202051953 518.355904338554 -773.825795635753</t>
  </si>
  <si>
    <t>-573.743512281952 589.401623242759 -465.425302787269</t>
  </si>
  <si>
    <t>-449.057691275049 430.040691232454 -302.025222286302</t>
  </si>
  <si>
    <t>-658.227856422268 329.224854553227 -787.916021468678</t>
  </si>
  <si>
    <t>-735.079825125463 206.302976230852 -762.969191091852</t>
  </si>
  <si>
    <t>-766.182849850291 234.69155745167 -449.260880380067</t>
  </si>
  <si>
    <t>-524.585325125932 140.015912308734 -431.676414548839</t>
  </si>
  <si>
    <t>-583.491020962005 443.990290945711 -249.736171690394</t>
  </si>
  <si>
    <t>-606.295501297411 463.046583736611 204.988480218246</t>
  </si>
  <si>
    <t>-620.298566547267 461.212416959603 675.155204119232</t>
  </si>
  <si>
    <t>-465.043419375299 434.236288745348 753.33212784866</t>
  </si>
  <si>
    <t>-689.967060321761 278.759770201413 -253.639053473611</t>
  </si>
  <si>
    <t>-643.590913807413 195.234514270378 191.928576747036</t>
  </si>
  <si>
    <t>-714.862298376002 134.466554543728 652.455997946109</t>
  </si>
  <si>
    <t>-628.487110535463 8.03649124040548 739.048619440559</t>
  </si>
  <si>
    <t>9763-20170724T164101.095911900.bin</t>
  </si>
  <si>
    <t>-639.257654933409 354.307663631355 -252.729422030149</t>
  </si>
  <si>
    <t>-668.176938349545 375.90574976246 -368.336473506291</t>
  </si>
  <si>
    <t>-674.325111379366 381.323431628075 -489.263706836252</t>
  </si>
  <si>
    <t>-670.258438141399 379.727658457161 -598.697605681428</t>
  </si>
  <si>
    <t>-656.602143662333 371.850198473388 -707.077988310189</t>
  </si>
  <si>
    <t>-627.651314346135 354.549394063288 -855.612506797749</t>
  </si>
  <si>
    <t>-573.446828450656 335.197535609528 -939.698108842138</t>
  </si>
  <si>
    <t>-625.658891923299 390.339672940006 -790.282708950562</t>
  </si>
  <si>
    <t>-569.630547954959 524.536928529819 -768.415037618906</t>
  </si>
  <si>
    <t>-578.652784069027 587.772341609635 -458.405196860648</t>
  </si>
  <si>
    <t>-449.33932767257 426.903125195988 -300.161172622548</t>
  </si>
  <si>
    <t>-655.263366863476 334.069305304291 -789.498603378227</t>
  </si>
  <si>
    <t>-729.958753759944 208.991544656996 -769.197834525313</t>
  </si>
  <si>
    <t>-764.68930943404 231.661286316274 -455.40472060395</t>
  </si>
  <si>
    <t>-523.591022622533 137.494000014039 -429.984263303678</t>
  </si>
  <si>
    <t>-586.779090977326 437.466141252483 -249.649557567086</t>
  </si>
  <si>
    <t>-606.761574557533 457.989750200744 205.143975804892</t>
  </si>
  <si>
    <t>-620.231513341599 460.187428976503 675.151461656275</t>
  </si>
  <si>
    <t>-464.557532797545 435.566828034167 753.272947329646</t>
  </si>
  <si>
    <t>-691.223963183952 271.680818936408 -254.930036856766</t>
  </si>
  <si>
    <t>-640.735633163362 184.257182437163 189.441179561944</t>
  </si>
  <si>
    <t>-717.940559068865 117.843016240516 647.981285614941</t>
  </si>
  <si>
    <t>-626.410297086341 -2.01754654593807 738.530648855697</t>
  </si>
  <si>
    <t>9763-20170724T164101.159097700.bin</t>
  </si>
  <si>
    <t>-641.009020673394 346.693872619854 -252.691774041885</t>
  </si>
  <si>
    <t>-670.216964692792 368.407833055954 -368.204574763372</t>
  </si>
  <si>
    <t>-675.921376427196 375.151756972599 -489.086833026271</t>
  </si>
  <si>
    <t>-671.147754316809 375.277755459035 -598.503772567792</t>
  </si>
  <si>
    <t>-656.478926779589 369.656711719633 -706.892269608292</t>
  </si>
  <si>
    <t>-625.804024855245 356.058773831183 -855.465997389371</t>
  </si>
  <si>
    <t>-570.808139357043 339.848298624732 -939.701881108223</t>
  </si>
  <si>
    <t>-625.47168768093 390.666269354075 -789.472622628049</t>
  </si>
  <si>
    <t>-573.182297578015 525.911724987291 -764.856624664597</t>
  </si>
  <si>
    <t>-586.493450573028 581.998440947549 -453.627914788996</t>
  </si>
  <si>
    <t>-451.965454559215 421.620890059934 -299.279946882628</t>
  </si>
  <si>
    <t>-653.281770567058 333.484557388966 -789.980959971429</t>
  </si>
  <si>
    <t>-724.018589896331 205.800070651316 -772.45275951638</t>
  </si>
  <si>
    <t>-763.20348851262 224.798407025003 -458.940729143181</t>
  </si>
  <si>
    <t>-522.334953570238 132.803312247442 -424.862674322605</t>
  </si>
  <si>
    <t>-590.394580839342 430.598898328242 -249.255512472054</t>
  </si>
  <si>
    <t>-608.49690822832 453.966108296472 205.479512595365</t>
  </si>
  <si>
    <t>-620.231811699453 459.807937915289 675.238458785353</t>
  </si>
  <si>
    <t>-464.339388813393 435.985036421747 753.171308719222</t>
  </si>
  <si>
    <t>-691.55640582734 262.74102879466 -255.475664303549</t>
  </si>
  <si>
    <t>-643.382271160701 170.839192598646 188.248247816243</t>
  </si>
  <si>
    <t>-726.206243573637 88.8506461956979 643.414907572205</t>
  </si>
  <si>
    <t>-621.304666940154 -16.4562888505985 737.487313969229</t>
  </si>
  <si>
    <t>9763-20170724T164101.192187900.bin</t>
  </si>
  <si>
    <t>-641.64483174916 342.203874001781 -252.452182673415</t>
  </si>
  <si>
    <t>-671.498581336747 363.472835468246 -367.882681477647</t>
  </si>
  <si>
    <t>-677.416808206141 370.440339780193 -488.742033622308</t>
  </si>
  <si>
    <t>-672.658110058556 371.053329022234 -598.157877724046</t>
  </si>
  <si>
    <t>-657.828049180613 366.207163309167 -706.561883733367</t>
  </si>
  <si>
    <t>-626.748386146984 353.988985536191 -855.171464105455</t>
  </si>
  <si>
    <t>-571.609848424 339.118218967528 -939.560865428599</t>
  </si>
  <si>
    <t>-627.106953719213 388.227239870037 -788.985731377841</t>
  </si>
  <si>
    <t>-576.994658948813 524.136441254639 -763.636889982323</t>
  </si>
  <si>
    <t>-591.348564078953 577.867380785769 -452.039204274339</t>
  </si>
  <si>
    <t>-454.138472185581 418.535246505781 -298.974740634552</t>
  </si>
  <si>
    <t>-653.89334169867 330.563129902289 -789.846852257672</t>
  </si>
  <si>
    <t>-722.260553308132 201.493742837234 -772.876650005221</t>
  </si>
  <si>
    <t>-761.921077146446 218.511068823679 -459.31063557848</t>
  </si>
  <si>
    <t>-521.263282395012 128.184361756075 -419.725885708167</t>
  </si>
  <si>
    <t>-592.327531482248 426.81617882753 -249.150851741821</t>
  </si>
  <si>
    <t>-609.629708976926 451.814064614461 205.528684917541</t>
  </si>
  <si>
    <t>-620.168301267385 459.451593701915 675.247985614467</t>
  </si>
  <si>
    <t>-463.962050211191 437.102995506715 752.988946945805</t>
  </si>
  <si>
    <t>-690.933225754503 257.19122216889 -255.257980570585</t>
  </si>
  <si>
    <t>-646.730605663579 166.004063723806 189.026500517452</t>
  </si>
  <si>
    <t>-728.922213467394 75.7472482478227 642.953089145014</t>
  </si>
  <si>
    <t>-615.694981091501 -20.9419415648003 736.624402146391</t>
  </si>
  <si>
    <t>9763-20170724T164101.228795600.bin</t>
  </si>
  <si>
    <t>-642.192499080537 337.351519577598 -252.232116861124</t>
  </si>
  <si>
    <t>-672.719711636895 357.928403058813 -367.611924832359</t>
  </si>
  <si>
    <t>-679.045614289249 364.866480589947 -488.452281423887</t>
  </si>
  <si>
    <t>-674.544269358998 365.737419461338 -597.877281658302</t>
  </si>
  <si>
    <t>-659.860601742034 361.43692526709 -706.324315000118</t>
  </si>
  <si>
    <t>-628.86874463841 350.278988823789 -855.035516892723</t>
  </si>
  <si>
    <t>-573.768059489584 336.571012213415 -939.646249863892</t>
  </si>
  <si>
    <t>-629.74792847341 384.300398452711 -788.743093515721</t>
  </si>
  <si>
    <t>-582.103229654307 521.079061250704 -763.156489514355</t>
  </si>
  <si>
    <t>-597.072083114691 573.098074013972 -451.297346238788</t>
  </si>
  <si>
    <t>-457.017935143667 415.547839698202 -298.966018255081</t>
  </si>
  <si>
    <t>-655.415434953544 326.131620878176 -789.727758316474</t>
  </si>
  <si>
    <t>-721.19288252466 195.706114234354 -772.863937612197</t>
  </si>
  <si>
    <t>-760.250837650101 211.714632350391 -459.169237697343</t>
  </si>
  <si>
    <t>-519.305526101981 123.832960800922 -415.992575935181</t>
  </si>
  <si>
    <t>-594.306925262181 422.824894663538 -249.145529895696</t>
  </si>
  <si>
    <t>-610.643947032058 449.598994864358 205.468527728388</t>
  </si>
  <si>
    <t>-620.131924637951 459.469726575051 675.219728004663</t>
  </si>
  <si>
    <t>-463.787095890735 437.540145845127 752.8012933624</t>
  </si>
  <si>
    <t>-689.952072601663 251.654987799561 -254.80095472092</t>
  </si>
  <si>
    <t>-651.509948267001 162.071783366973 190.344837991968</t>
  </si>
  <si>
    <t>-730.637766532954 64.9201373149073 643.405043067898</t>
  </si>
  <si>
    <t>-611.731342306614 -26.7862249946775 735.027760908791</t>
  </si>
  <si>
    <t>9763-20170724T164101.263888000.bin</t>
  </si>
  <si>
    <t>-642.793716799717 332.068363522753 -251.782302765633</t>
  </si>
  <si>
    <t>-673.890410494827 351.807293122666 -367.15633261962</t>
  </si>
  <si>
    <t>-680.689012123773 358.442155057403 -487.98816460176</t>
  </si>
  <si>
    <t>-676.568036441075 359.281218806945 -597.428296946891</t>
  </si>
  <si>
    <t>-662.214087655268 355.200177998703 -705.927935574291</t>
  </si>
  <si>
    <t>-631.623419463943 344.616503306834 -854.764129253787</t>
  </si>
  <si>
    <t>-576.676190884338 331.894118880237 -939.62839273906</t>
  </si>
  <si>
    <t>-632.925031534513 378.642292583285 -788.480755248968</t>
  </si>
  <si>
    <t>-588.06586098182 516.381356887638 -763.176543765184</t>
  </si>
  <si>
    <t>-603.01828155312 567.808095360157 -451.218355705677</t>
  </si>
  <si>
    <t>-460.006673432055 412.6229159052 -299.207551328491</t>
  </si>
  <si>
    <t>-657.39264374224 319.956659570777 -789.336627328327</t>
  </si>
  <si>
    <t>-720.241188286605 188.142871214572 -772.140382353168</t>
  </si>
  <si>
    <t>-758.504192436479 204.949048911401 -458.389445184063</t>
  </si>
  <si>
    <t>-516.940739036399 119.462645372173 -413.878487510604</t>
  </si>
  <si>
    <t>-596.289074840792 418.247395829018 -249.073263063457</t>
  </si>
  <si>
    <t>-611.456027079262 447.021706000188 205.459082759211</t>
  </si>
  <si>
    <t>-620.094330232454 459.468707766663 675.212467630177</t>
  </si>
  <si>
    <t>-463.567015894197 438.314961351149 752.641333258336</t>
  </si>
  <si>
    <t>-689.117276441594 245.964497029167 -253.827752884231</t>
  </si>
  <si>
    <t>-656.645565118444 158.143507941608 192.143908275287</t>
  </si>
  <si>
    <t>-731.069605007512 54.6920109210064 644.386798016941</t>
  </si>
  <si>
    <t>-608.159418182589 -34.3657391490431 733.298661524856</t>
  </si>
  <si>
    <t>9763-20170724T164101.327587200.bin</t>
  </si>
  <si>
    <t>-644.204484336315 319.849695309885 -249.995428352897</t>
  </si>
  <si>
    <t>-676.150844225651 337.69096924313 -365.446291432882</t>
  </si>
  <si>
    <t>-683.860444003559 343.150035750749 -486.282220954677</t>
  </si>
  <si>
    <t>-680.565645619823 343.288747995722 -595.753605984565</t>
  </si>
  <si>
    <t>-667.027422330305 338.901458226324 -704.346043870182</t>
  </si>
  <si>
    <t>-637.545342639182 328.330091804056 -853.406612864814</t>
  </si>
  <si>
    <t>-583.125530588169 317.065596795234 -938.815004744798</t>
  </si>
  <si>
    <t>-639.489698047364 362.800596662533 -787.369316367414</t>
  </si>
  <si>
    <t>-600.05492228252 502.467970411929 -763.633784504225</t>
  </si>
  <si>
    <t>-615.027252535262 556.318740195321 -452.085714078392</t>
  </si>
  <si>
    <t>-465.926375573878 406.930569315994 -300.118128383543</t>
  </si>
  <si>
    <t>-661.690771958725 303.214610207516 -787.534536424672</t>
  </si>
  <si>
    <t>-719.023150020073 169.084464731419 -768.892002219956</t>
  </si>
  <si>
    <t>-754.323519421351 187.700203022228 -454.895949791762</t>
  </si>
  <si>
    <t>-510.297159526318 108.115582704458 -412.949765308504</t>
  </si>
  <si>
    <t>-599.809251273507 407.046161898769 -248.435626935784</t>
  </si>
  <si>
    <t>-612.400340046024 440.976416530469 205.819692184623</t>
  </si>
  <si>
    <t>-620.048531265242 459.426802455304 675.285122633988</t>
  </si>
  <si>
    <t>-463.259635112997 439.331462302643 752.466261970466</t>
  </si>
  <si>
    <t>-687.995911958246 232.63117828882 -250.910024793855</t>
  </si>
  <si>
    <t>-665.228354309092 148.246652504047 196.324276641825</t>
  </si>
  <si>
    <t>-728.492210567414 38.3957397397972 648.659664730538</t>
  </si>
  <si>
    <t>-600.235346539763 -48.1154509794391 732.382342154896</t>
  </si>
  <si>
    <t>9763-20170724T164101.366688200.bin</t>
  </si>
  <si>
    <t>-645.687244560062 312.030218384851 -248.712964691202</t>
  </si>
  <si>
    <t>-677.643290867091 328.858547015519 -364.313235769251</t>
  </si>
  <si>
    <t>-685.662909259502 333.526204736595 -485.162142387025</t>
  </si>
  <si>
    <t>-682.760425274763 333.079921141204 -594.643658462076</t>
  </si>
  <si>
    <t>-669.717470846434 328.257751828268 -703.278428223555</t>
  </si>
  <si>
    <t>-641.020012134002 317.25506826113 -852.460864169437</t>
  </si>
  <si>
    <t>-587.006629136302 306.359894166113 -938.174532674106</t>
  </si>
  <si>
    <t>-643.075025585457 352.082658352355 -786.614500149094</t>
  </si>
  <si>
    <t>-605.853194290383 492.553492621255 -764.100982223992</t>
  </si>
  <si>
    <t>-621.859584292542 548.710027051135 -453.011942712261</t>
  </si>
  <si>
    <t>-469.652141777779 402.896289074225 -300.652843078803</t>
  </si>
  <si>
    <t>-664.360432254913 292.164192378557 -786.28982755734</t>
  </si>
  <si>
    <t>-719.410835281604 157.243625051058 -766.644514829854</t>
  </si>
  <si>
    <t>-752.626092061809 177.091058406374 -452.496519900618</t>
  </si>
  <si>
    <t>-507.090610627818 101.163904483757 -412.62843733202</t>
  </si>
  <si>
    <t>-601.965010331231 399.439971544513 -247.867696413877</t>
  </si>
  <si>
    <t>-612.888721414621 436.787964734811 206.162476128079</t>
  </si>
  <si>
    <t>-620.03449753182 459.43079738571 675.353078365661</t>
  </si>
  <si>
    <t>-463.106213555831 440.003110053783 752.42178085123</t>
  </si>
  <si>
    <t>-688.829010785241 224.395853993883 -249.144054654528</t>
  </si>
  <si>
    <t>-669.03069171483 142.670227364751 198.724967254189</t>
  </si>
  <si>
    <t>-727.175768974968 33.8784869120721 652.138828134558</t>
  </si>
  <si>
    <t>-596.689444101421 -50.5065559164527 734.576636215985</t>
  </si>
  <si>
    <t>9763-20170724T164101.425309800.bin</t>
  </si>
  <si>
    <t>-650.671762906918 292.314113118295 -246.153897185607</t>
  </si>
  <si>
    <t>-682.225142291222 307.434310578713 -362.100169177839</t>
  </si>
  <si>
    <t>-690.589883931678 310.429643332478 -482.978785655699</t>
  </si>
  <si>
    <t>-688.286671623782 308.549812729557 -592.459469350842</t>
  </si>
  <si>
    <t>-676.113649793987 302.404291797458 -701.128180875562</t>
  </si>
  <si>
    <t>-648.886973604287 289.704410180283 -850.451524243392</t>
  </si>
  <si>
    <t>-595.877444556333 278.819659715418 -936.790881412104</t>
  </si>
  <si>
    <t>-651.01038058261 325.519694341222 -785.139309955455</t>
  </si>
  <si>
    <t>-617.194935018633 467.238481556655 -765.359736707544</t>
  </si>
  <si>
    <t>-635.739995524741 530.072665777821 -455.692053196508</t>
  </si>
  <si>
    <t>-477.803984641706 391.944390644756 -302.007763194004</t>
  </si>
  <si>
    <t>-670.857507221747 265.127739044223 -783.621749431611</t>
  </si>
  <si>
    <t>-721.969052749933 129.043063150817 -761.417459540216</t>
  </si>
  <si>
    <t>-752.630531479618 149.600616713473 -447.055554366356</t>
  </si>
  <si>
    <t>-502.826875907535 87.1155224818281 -410.506940830813</t>
  </si>
  <si>
    <t>-607.729445200968 380.171703709787 -246.256379826276</t>
  </si>
  <si>
    <t>-613.813359771042 425.015994998844 207.185561966873</t>
  </si>
  <si>
    <t>-620.067081136123 458.891323425322 675.714961518927</t>
  </si>
  <si>
    <t>-462.833338611434 440.631909509757 752.445997095728</t>
  </si>
  <si>
    <t>-693.007446277774 204.316751953804 -245.819400364628</t>
  </si>
  <si>
    <t>-674.63408787758 131.407693612757 203.62953917518</t>
  </si>
  <si>
    <t>-730.44723957782 32.6504772362397 659.618219909692</t>
  </si>
  <si>
    <t>-598.435386366941 -46.6859333834437 744.601234951043</t>
  </si>
  <si>
    <t>9763-20170724T164101.495496800.bin</t>
  </si>
  <si>
    <t>-656.430805400028 268.144073746608 -244.88159076309</t>
  </si>
  <si>
    <t>-687.805717156381 282.872026106218 -360.926911099524</t>
  </si>
  <si>
    <t>-696.541217405083 284.823464119186 -481.8006883979</t>
  </si>
  <si>
    <t>-694.791062026663 281.725701893445 -591.263837254474</t>
  </si>
  <si>
    <t>-683.383330523314 274.077075759958 -699.920307430156</t>
  </si>
  <si>
    <t>-657.432748069102 258.983693813683 -849.247905354463</t>
  </si>
  <si>
    <t>-605.359243295046 247.303301128763 -936.051836254497</t>
  </si>
  <si>
    <t>-659.652895612394 296.04168907977 -784.636110579064</t>
  </si>
  <si>
    <t>-628.851221482981 438.861610508022 -767.794640436143</t>
  </si>
  <si>
    <t>-647.205441830171 509.610257065496 -459.827219470436</t>
  </si>
  <si>
    <t>-484.669792358194 379.402347495536 -304.038476556173</t>
  </si>
  <si>
    <t>-678.177304590095 235.282334447246 -781.714062384816</t>
  </si>
  <si>
    <t>-726.142102194369 98.5620691897092 -756.972185000496</t>
  </si>
  <si>
    <t>-753.491298005109 121.076767958724 -442.438654514185</t>
  </si>
  <si>
    <t>-500.883825615641 68.8937443120258 -409.145221879161</t>
  </si>
  <si>
    <t>-615.832184156912 357.47701132956 -243.834716178486</t>
  </si>
  <si>
    <t>-612.738722725198 409.506230047805 208.869409999787</t>
  </si>
  <si>
    <t>-620.464104257057 457.699457712048 676.609502694666</t>
  </si>
  <si>
    <t>-462.828709483648 440.480958519313 752.754860650804</t>
  </si>
  <si>
    <t>-696.838290682851 178.859067395929 -245.182089924858</t>
  </si>
  <si>
    <t>-682.179812222929 113.33162797022 205.538455264793</t>
  </si>
  <si>
    <t>-741.112135457568 25.9232301050649 663.48472459991</t>
  </si>
  <si>
    <t>-607.084492373621 -56.0387586944169 742.619704076809</t>
  </si>
  <si>
    <t>9763-20170724T164101.522124300.bin</t>
  </si>
  <si>
    <t>-659.724119575326 254.965347372403 -244.072628609541</t>
  </si>
  <si>
    <t>-690.651509835056 269.717887991322 -360.234863984834</t>
  </si>
  <si>
    <t>-699.356325259207 271.193352898863 -481.11764291893</t>
  </si>
  <si>
    <t>-697.762885595555 267.423925674783 -590.56197344465</t>
  </si>
  <si>
    <t>-686.70253175467 258.835541913391 -699.184096913946</t>
  </si>
  <si>
    <t>-661.435516232194 242.134161953704 -848.457840304714</t>
  </si>
  <si>
    <t>-609.915783101901 229.745784398663 -935.493691765839</t>
  </si>
  <si>
    <t>-663.67859314401 279.977127788215 -784.303404087685</t>
  </si>
  <si>
    <t>-634.43438466239 423.420083266621 -769.44200988435</t>
  </si>
  <si>
    <t>-652.26089202625 496.345670781354 -461.951691715931</t>
  </si>
  <si>
    <t>-487.627446402682 370.341606413236 -304.91399945823</t>
  </si>
  <si>
    <t>-681.552201763011 219.070870059426 -780.514330296496</t>
  </si>
  <si>
    <t>-728.687337333157 82.2087709336669 -755.373767898455</t>
  </si>
  <si>
    <t>-755.661217921539 102.604147999629 -440.663305466158</t>
  </si>
  <si>
    <t>-502.451243866438 53.5739563259689 -407.154987368356</t>
  </si>
  <si>
    <t>-621.018466139949 345.297848459003 -241.892871748478</t>
  </si>
  <si>
    <t>-611.220647110607 400.632636132966 210.323649350985</t>
  </si>
  <si>
    <t>-621.025331889805 456.334426918902 677.538880426797</t>
  </si>
  <si>
    <t>-462.977249804977 440.589344895957 753.145765517224</t>
  </si>
  <si>
    <t>-698.495108676201 164.942167112314 -245.166026119746</t>
  </si>
  <si>
    <t>-685.394738513676 105.76915907976 206.480525825448</t>
  </si>
  <si>
    <t>-742.123824469151 25.4538793566001 665.839642409415</t>
  </si>
  <si>
    <t>-607.434321150006 -57.4589573345171 742.831218163997</t>
  </si>
  <si>
    <t>9763-20170724T164101.593313400.bin</t>
  </si>
  <si>
    <t>-666.931350351401 227.55659421938 -242.21015396294</t>
  </si>
  <si>
    <t>-696.27048911008 242.668159827068 -358.737705749677</t>
  </si>
  <si>
    <t>-704.867244220143 243.200279694072 -479.635930894587</t>
  </si>
  <si>
    <t>-703.824479157052 237.956295869126 -589.026366298113</t>
  </si>
  <si>
    <t>-693.981202238327 227.205080883645 -697.572955949537</t>
  </si>
  <si>
    <t>-671.106740880358 206.723899010265 -846.761727047079</t>
  </si>
  <si>
    <t>-621.041170162283 192.632067292721 -934.384997363781</t>
  </si>
  <si>
    <t>-673.034964490065 246.365136909735 -783.692179542822</t>
  </si>
  <si>
    <t>-646.717694001563 390.706847273137 -773.25673696521</t>
  </si>
  <si>
    <t>-663.850799187973 466.575969703161 -466.439934325466</t>
  </si>
  <si>
    <t>-494.816008075785 348.013073395372 -308.287767502475</t>
  </si>
  <si>
    <t>-689.421034232114 185.207302490213 -777.808572962459</t>
  </si>
  <si>
    <t>-732.674460650593 47.3011963810077 -750.558739836992</t>
  </si>
  <si>
    <t>-752.682449889815 68.4620839504905 -435.379238657963</t>
  </si>
  <si>
    <t>-499.802311716138 17.5180156078648 -402.237497214996</t>
  </si>
  <si>
    <t>-633.734007793477 318.592971702665 -237.618213585669</t>
  </si>
  <si>
    <t>-607.610081792573 383.715032197648 212.641989413276</t>
  </si>
  <si>
    <t>-622.822900817768 453.383526127434 677.206432823474</t>
  </si>
  <si>
    <t>-463.751158664046 442.321820368976 751.48522468541</t>
  </si>
  <si>
    <t>-699.445369393079 136.67503283811 -246.248718258691</t>
  </si>
  <si>
    <t>-693.232516129857 91.7377118162019 207.182340412784</t>
  </si>
  <si>
    <t>-743.55966276288 25.8531696107603 668.300574632811</t>
  </si>
  <si>
    <t>-608.052578390859 -57.7797970129912 743.045892100076</t>
  </si>
  <si>
    <t>9763-20170724T164101.625447100.bin</t>
  </si>
  <si>
    <t>-670.605596579619 213.424813950711 -241.379887596155</t>
  </si>
  <si>
    <t>-699.565090592743 228.665332393396 -357.985554619668</t>
  </si>
  <si>
    <t>-708.444704397092 228.596184980212 -478.864471509847</t>
  </si>
  <si>
    <t>-707.95875588847 222.457045866682 -588.212253654817</t>
  </si>
  <si>
    <t>-698.990428875145 210.420949672402 -696.699835951025</t>
  </si>
  <si>
    <t>-677.67506412445 187.71562040016 -845.797548272431</t>
  </si>
  <si>
    <t>-628.458600805917 172.613720284622 -933.733034151086</t>
  </si>
  <si>
    <t>-679.272799021609 228.371521836404 -783.367771782222</t>
  </si>
  <si>
    <t>-654.430120286476 373.134513330561 -775.289626046966</t>
  </si>
  <si>
    <t>-670.50958773787 450.088946991145 -468.686173425628</t>
  </si>
  <si>
    <t>-499.170757111729 334.886591164694 -310.529654197255</t>
  </si>
  <si>
    <t>-694.940090459385 167.152535544294 -776.284877025325</t>
  </si>
  <si>
    <t>-735.538526963717 29.0659101076282 -746.046032102466</t>
  </si>
  <si>
    <t>-747.999222628082 53.3851685523501 -430.705923390713</t>
  </si>
  <si>
    <t>-495.363963043338 0.374450560578708 -398.967560097169</t>
  </si>
  <si>
    <t>-640.908223598272 304.480741150602 -235.315475237686</t>
  </si>
  <si>
    <t>-604.472529045778 376.157640272302 213.229459205411</t>
  </si>
  <si>
    <t>-623.611405602827 452.281638242713 676.744447799153</t>
  </si>
  <si>
    <t>-464.247724705499 442.782353892779 750.612484218078</t>
  </si>
  <si>
    <t>-700.113851807351 121.789080986765 -246.650762464413</t>
  </si>
  <si>
    <t>-698.930900843387 84.1148325469727 207.482326038866</t>
  </si>
  <si>
    <t>-744.295307547092 25.2381174926404 669.928015557055</t>
  </si>
  <si>
    <t>-607.184237747878 -56.0708875417546 744.311486476435</t>
  </si>
  <si>
    <t>9763-20170724T164101.693628400.bin</t>
  </si>
  <si>
    <t>-678.949920996285 184.15763152017 -234.869883974584</t>
  </si>
  <si>
    <t>-706.780697481856 198.972787036392 -351.804745155474</t>
  </si>
  <si>
    <t>-715.493510552057 197.28567222991 -472.683958685483</t>
  </si>
  <si>
    <t>-715.302322751974 189.145272930543 -581.901965274845</t>
  </si>
  <si>
    <t>-707.105173949917 174.529261205992 -690.133330706176</t>
  </si>
  <si>
    <t>-687.382253445967 147.603411924314 -838.746876267267</t>
  </si>
  <si>
    <t>-639.232943230835 130.827997817874 -926.969418487298</t>
  </si>
  <si>
    <t>-689.039068525468 190.169549145713 -777.605350455509</t>
  </si>
  <si>
    <t>-667.312774092707 335.471003224853 -773.826922781374</t>
  </si>
  <si>
    <t>-679.385791433304 416.298515492263 -468.037276724179</t>
  </si>
  <si>
    <t>-503.800849540589 306.522948725922 -310.680021697311</t>
  </si>
  <si>
    <t>-703.179052308164 128.86496742154 -768.374717541509</t>
  </si>
  <si>
    <t>-740.217886613205 17.0693268165427 -417.523352192891</t>
  </si>
  <si>
    <t>-655.350833613606 276.166245329909 -227.464815248932</t>
  </si>
  <si>
    <t>-593.120599472541 361.587559972622 215.805114153636</t>
  </si>
  <si>
    <t>-624.914084427106 449.918575610144 676.89166232398</t>
  </si>
  <si>
    <t>-465.059817229373 442.088183326416 749.89034321034</t>
  </si>
  <si>
    <t>-702.877449929119 91.5224877456851 -241.486931449087</t>
  </si>
  <si>
    <t>-710.522422537335 66.0413627459339 213.430494458439</t>
  </si>
  <si>
    <t>-746.357431507346 22.8006587880995 678.249721741346</t>
  </si>
  <si>
    <t>-606.807450410419 -54.6725094686647 752.190410877849</t>
  </si>
  <si>
    <t>9763-20170724T164101.744378100.bin</t>
  </si>
  <si>
    <t>-682.216212801469 172.396166243369 -230.172494419119</t>
  </si>
  <si>
    <t>-709.745173829869 186.740277908157 -347.237380762926</t>
  </si>
  <si>
    <t>-718.253415535718 184.317044862177 -468.118845637278</t>
  </si>
  <si>
    <t>-717.935384429081 175.395040590349 -577.275286179463</t>
  </si>
  <si>
    <t>-709.681573096788 159.872756398632 -685.376055662137</t>
  </si>
  <si>
    <t>-689.963559070325 131.551935297875 -833.730928650275</t>
  </si>
  <si>
    <t>-641.957227116185 114.335509785998 -921.946383656485</t>
  </si>
  <si>
    <t>-692.056114343214 174.776498292478 -773.066390598244</t>
  </si>
  <si>
    <t>-671.768242227885 320.29952129115 -770.782348109734</t>
  </si>
  <si>
    <t>-681.141439119337 403.625379370263 -465.569066876815</t>
  </si>
  <si>
    <t>-503.795867662668 295.814315638392 -308.829075359942</t>
  </si>
  <si>
    <t>-705.320202141352 113.389596396711 -763.110618474308</t>
  </si>
  <si>
    <t>-735.698995762224 2.42862984818711 -410.989481723683</t>
  </si>
  <si>
    <t>-660.282152369432 265.863121044305 -222.738982150321</t>
  </si>
  <si>
    <t>-581.576860834906 356.983810797969 216.760932625212</t>
  </si>
  <si>
    <t>-621.04485530168 451.299628882045 675.769482273318</t>
  </si>
  <si>
    <t>-461.161712088016 443.781956949603 748.737838537988</t>
  </si>
  <si>
    <t>-704.114540951348 78.7630780909066 -237.029986673646</t>
  </si>
  <si>
    <t>-714.883058377643 58.0841039800242 218.0678780625</t>
  </si>
  <si>
    <t>-746.944919910787 22.0175965736771 683.671973275819</t>
  </si>
  <si>
    <t>-605.822120319606 -52.5939540206371 757.570398299635</t>
  </si>
  <si>
    <t>9763-20170724T164101.795514600.bin</t>
  </si>
  <si>
    <t>-684.84850383765 154.608706817169 -227.165762632757</t>
  </si>
  <si>
    <t>-712.772597205764 168.042015073375 -344.245190352615</t>
  </si>
  <si>
    <t>-721.281715655479 164.364710184213 -465.09478811952</t>
  </si>
  <si>
    <t>-720.814124369002 154.174031046016 -574.139712339223</t>
  </si>
  <si>
    <t>-712.272779927357 137.247298627222 -682.0071912989</t>
  </si>
  <si>
    <t>-692.02494795684 106.837288701737 -829.876161450206</t>
  </si>
  <si>
    <t>-643.934322567019 89.302194469654 -917.982928486412</t>
  </si>
  <si>
    <t>-695.30895989365 151.07901806199 -770.003050590692</t>
  </si>
  <si>
    <t>-678.396040557778 297.076836647514 -769.53470150645</t>
  </si>
  <si>
    <t>-682.284155328818 387.263464663401 -466.157983740527</t>
  </si>
  <si>
    <t>-501.958646053086 282.420490987731 -310.810889699907</t>
  </si>
  <si>
    <t>-706.659005179641 89.5065191647775 -758.894537398063</t>
  </si>
  <si>
    <t>-664.071827317678 251.331268698384 -221.02938444607</t>
  </si>
  <si>
    <t>-554.302791541186 341.092567514109 212.042667398301</t>
  </si>
  <si>
    <t>-615.903256610055 438.66016710979 667.354540952976</t>
  </si>
  <si>
    <t>-457.310475055068 431.415921469291 743.113084320094</t>
  </si>
  <si>
    <t>-705.034549984318 58.6463241802762 -233.780577827263</t>
  </si>
  <si>
    <t>-721.182873001475 44.6832805023195 221.413834489882</t>
  </si>
  <si>
    <t>-747.348002834848 21.4601228866638 688.544692285507</t>
  </si>
  <si>
    <t>-602.736865472041 -46.218886122838 762.373461858741</t>
  </si>
  <si>
    <t>9763-20170724T164101.826618200.bin</t>
  </si>
  <si>
    <t>-685.798983555414 146.590410115746 -227.240609656072</t>
  </si>
  <si>
    <t>-713.688837976321 159.516858753594 -344.385284523071</t>
  </si>
  <si>
    <t>-722.081035594162 155.060433565965 -465.216771038214</t>
  </si>
  <si>
    <t>-721.466052402961 144.076266615973 -574.183818324592</t>
  </si>
  <si>
    <t>-712.733212913048 126.279098169348 -681.895742274772</t>
  </si>
  <si>
    <t>-692.172141721125 94.592459822577 -829.453212581819</t>
  </si>
  <si>
    <t>-643.902132866803 76.7911004748496 -917.408365146069</t>
  </si>
  <si>
    <t>-696.005894123439 139.411574215853 -770.043918958357</t>
  </si>
  <si>
    <t>-680.660568428753 285.751745600179 -770.819140530263</t>
  </si>
  <si>
    <t>-682.873564672819 378.126710709699 -468.08452174203</t>
  </si>
  <si>
    <t>-501.561663090907 274.869693943575 -312.823440421862</t>
  </si>
  <si>
    <t>-706.533663261698 77.8140678799699 -758.283345133728</t>
  </si>
  <si>
    <t>-666.736908774127 242.249333521271 -221.815585335543</t>
  </si>
  <si>
    <t>-546.132388029515 330.222289011527 208.7340348358</t>
  </si>
  <si>
    <t>-615.857358747736 417.821942575652 664.811590110725</t>
  </si>
  <si>
    <t>-457.207185992739 417.972469161463 740.795835544675</t>
  </si>
  <si>
    <t>-705.118359578055 50.3633427361569 -233.469023673075</t>
  </si>
  <si>
    <t>-723.053069600212 39.3405472008048 221.73918481954</t>
  </si>
  <si>
    <t>-747.399956446842 21.5835793451044 689.70129012739</t>
  </si>
  <si>
    <t>-601.700858649937 -43.9442247726286 763.331411047427</t>
  </si>
  <si>
    <t>9763-20170724T164101.895802800.bin</t>
  </si>
  <si>
    <t>-687.080778204945 134.363549590314 -228.575921787599</t>
  </si>
  <si>
    <t>-714.341515240752 145.826219147777 -346.020667805447</t>
  </si>
  <si>
    <t>-722.628660504314 139.342419048881 -466.767600988729</t>
  </si>
  <si>
    <t>-722.104722132394 126.356736700138 -575.51472862474</t>
  </si>
  <si>
    <t>-713.63111095154 106.424045806263 -682.87283780563</t>
  </si>
  <si>
    <t>-693.588282120112 71.6617163157402 -829.807704072509</t>
  </si>
  <si>
    <t>-645.026331039184 52.5935217301794 -917.335512681894</t>
  </si>
  <si>
    <t>-697.666189714335 117.769673098148 -771.409543760998</t>
  </si>
  <si>
    <t>-684.201161652802 264.149641622475 -775.307618864938</t>
  </si>
  <si>
    <t>-687.018088952607 357.723202492006 -472.946601441882</t>
  </si>
  <si>
    <t>-504.842644217291 257.752318284454 -316.549668383725</t>
  </si>
  <si>
    <t>-707.247042676797 56.3162462388719 -758.177614968673</t>
  </si>
  <si>
    <t>-669.089823433677 230.36235717761 -223.141804911976</t>
  </si>
  <si>
    <t>-535.867924658903 313.932387746736 204.556264224474</t>
  </si>
  <si>
    <t>-606.974607842159 368.815142998454 664.97155314955</t>
  </si>
  <si>
    <t>-448.270001513219 389.778621485966 737.888678902573</t>
  </si>
  <si>
    <t>-705.385163568613 38.5278425679649 -233.423257576369</t>
  </si>
  <si>
    <t>-724.530323433662 35.2662612488623 221.857460396793</t>
  </si>
  <si>
    <t>-746.978887403523 22.8973891613025 690.818707108408</t>
  </si>
  <si>
    <t>-601.038064022993 -42.8396924884283 763.780439324783</t>
  </si>
  <si>
    <t>9763-20170724T164101.932487300.bin</t>
  </si>
  <si>
    <t>-686.391985121077 131.492746101527 -229.418775210013</t>
  </si>
  <si>
    <t>-712.917259604112 142.121633768065 -347.110173445815</t>
  </si>
  <si>
    <t>-720.947311810676 134.633812914275 -467.816410417394</t>
  </si>
  <si>
    <t>-720.380043549969 120.694575374246 -576.445250605725</t>
  </si>
  <si>
    <t>-712.04561577141 99.7747073245948 -683.626191455644</t>
  </si>
  <si>
    <t>-692.378001029518 63.614974154015 -830.274235853024</t>
  </si>
  <si>
    <t>-643.775711744138 43.8040276231424 -917.61451250551</t>
  </si>
  <si>
    <t>-696.320752910979 110.278414204948 -772.309652548338</t>
  </si>
  <si>
    <t>-682.729109057606 256.578625903577 -777.675401339774</t>
  </si>
  <si>
    <t>-687.75753691315 351.271452081348 -475.691699854406</t>
  </si>
  <si>
    <t>-505.669059873211 252.798645754113 -318.246507334106</t>
  </si>
  <si>
    <t>-705.839831983415 48.9506386328483 -758.464346506243</t>
  </si>
  <si>
    <t>-667.317964378985 227.864765761516 -224.52003345659</t>
  </si>
  <si>
    <t>-534.754695061793 303.295515754525 204.892129385953</t>
  </si>
  <si>
    <t>-602.993292475131 348.249799618247 666.585097321182</t>
  </si>
  <si>
    <t>-445.554329934751 373.53084837096 740.863899440069</t>
  </si>
  <si>
    <t>-705.123300795392 35.7259392870341 -233.430229258555</t>
  </si>
  <si>
    <t>-724.123446234792 34.5804240497523 221.8667669524</t>
  </si>
  <si>
    <t>-746.67041231531 23.6189269249267 691.035455118489</t>
  </si>
  <si>
    <t>-601.228606341811 -43.5425064529204 763.695793988367</t>
  </si>
  <si>
    <t>9763-20170724T164101.993650800.bin</t>
  </si>
  <si>
    <t>-684.54350335758 127.816623482535 -230.392820999065</t>
  </si>
  <si>
    <t>-710.538850051445 137.480988809285 -348.285309722225</t>
  </si>
  <si>
    <t>-718.452764867142 128.176824216975 -468.872945741574</t>
  </si>
  <si>
    <t>-717.913716369892 112.30457829717 -577.236372761948</t>
  </si>
  <si>
    <t>-709.720559441034 89.1994266997223 -683.978435355882</t>
  </si>
  <si>
    <t>-690.349852627389 49.7759397111579 -829.822769474282</t>
  </si>
  <si>
    <t>-641.786512686485 28.2785936916985 -916.785129127034</t>
  </si>
  <si>
    <t>-694.035360008135 97.7048461290556 -772.88284789677</t>
  </si>
  <si>
    <t>-679.905070044216 243.820617242999 -781.53798168208</t>
  </si>
  <si>
    <t>-688.825778739672 342.984448658837 -481.083154055369</t>
  </si>
  <si>
    <t>-508.493576151733 247.02313714164 -320.105524595686</t>
  </si>
  <si>
    <t>-703.806234511805 36.7343962675086 -757.699582916758</t>
  </si>
  <si>
    <t>-663.440712255409 223.040083965446 -226.899250569037</t>
  </si>
  <si>
    <t>-537.937937618701 279.680007659599 207.495300448902</t>
  </si>
  <si>
    <t>-602.734924216152 340.691320501662 669.735134575867</t>
  </si>
  <si>
    <t>-445.400848949486 355.525786997691 746.997326769658</t>
  </si>
  <si>
    <t>-705.746841707045 32.0987294141843 -233.341824516879</t>
  </si>
  <si>
    <t>-722.528086743461 33.7274574042448 222.040895898248</t>
  </si>
  <si>
    <t>-746.375903708843 24.305131931993 691.226017123895</t>
  </si>
  <si>
    <t>-601.465264956351 -44.353894421673 763.54720678677</t>
  </si>
  <si>
    <t>9763-20170724T164102.026756300.bin</t>
  </si>
  <si>
    <t>-684.126416880924 125.698123908767 -230.482746191434</t>
  </si>
  <si>
    <t>-710.187805803021 135.511830953574 -348.348226967381</t>
  </si>
  <si>
    <t>-718.226931100542 125.551532033798 -468.875150353312</t>
  </si>
  <si>
    <t>-717.794161849468 108.789584755822 -577.105013814869</t>
  </si>
  <si>
    <t>-709.685890764354 84.5244019354566 -683.595987460855</t>
  </si>
  <si>
    <t>-690.400517271317 43.2342449758523 -828.934079668175</t>
  </si>
  <si>
    <t>-641.919518959449 20.7902408291718 -915.703063899312</t>
  </si>
  <si>
    <t>-693.957655609535 91.8779323874469 -772.595353878595</t>
  </si>
  <si>
    <t>-679.356458887663 237.820229150397 -783.095791349081</t>
  </si>
  <si>
    <t>-689.185155411739 340.439697026946 -483.83195794444</t>
  </si>
  <si>
    <t>-510.099210274744 245.730898137742 -320.735321120418</t>
  </si>
  <si>
    <t>-703.909749887297 31.1297854374494 -756.657570146691</t>
  </si>
  <si>
    <t>-662.387634604756 220.824779512585 -227.129200818443</t>
  </si>
  <si>
    <t>-536.996841373024 273.07101822933 207.847958652131</t>
  </si>
  <si>
    <t>-600.814246428845 342.663604192284 669.19091076146</t>
  </si>
  <si>
    <t>-443.472558581352 344.947707198616 747.81585694763</t>
  </si>
  <si>
    <t>-706.262397093315 30.1688424953707 -233.341636222751</t>
  </si>
  <si>
    <t>-722.20912196139 32.493778096295 222.067992358782</t>
  </si>
  <si>
    <t>-746.389048396344 24.3781842964503 691.273420435929</t>
  </si>
  <si>
    <t>-602.09269214356 -45.7001329370572 763.461338058705</t>
  </si>
  <si>
    <t>9763-20170724T164102.092929400.bin</t>
  </si>
  <si>
    <t>-683.448734655887 121.764397937922 -230.809133371162</t>
  </si>
  <si>
    <t>-709.433546946512 131.74861473709 -348.677359374836</t>
  </si>
  <si>
    <t>-717.685525726287 120.467890649033 -469.073463496689</t>
  </si>
  <si>
    <t>-717.52313274681 101.945590274351 -577.016806138142</t>
  </si>
  <si>
    <t>-709.745434124631 75.3916953958434 -682.984987073228</t>
  </si>
  <si>
    <t>-690.970541492396 30.4105628366553 -827.290836489803</t>
  </si>
  <si>
    <t>-642.537001383706 5.82737942811309 -913.504753214789</t>
  </si>
  <si>
    <t>-693.972419448141 80.4306841028015 -772.137489642088</t>
  </si>
  <si>
    <t>-677.921176106832 225.927789037743 -786.172108366279</t>
  </si>
  <si>
    <t>-687.331290773903 335.389176310008 -489.328897332843</t>
  </si>
  <si>
    <t>-510.612017091999 242.343236666132 -322.731086414411</t>
  </si>
  <si>
    <t>-704.583242136022 20.1959807684483 -754.742353314126</t>
  </si>
  <si>
    <t>-660.692174180508 217.125447911003 -227.004117160586</t>
  </si>
  <si>
    <t>-534.212910325617 269.848493790785 207.600260459191</t>
  </si>
  <si>
    <t>-593.080995657253 336.92986854305 669.316351933423</t>
  </si>
  <si>
    <t>-437.735951339947 318.064845642628 749.662666123458</t>
  </si>
  <si>
    <t>-706.831104467675 26.2567936490746 -233.367015130122</t>
  </si>
  <si>
    <t>-724.238019677144 28.95669447028 221.987104009018</t>
  </si>
  <si>
    <t>-746.76343405696 23.4294359403572 691.306204185107</t>
  </si>
  <si>
    <t>-602.999082542412 -47.3326005540765 763.887614716499</t>
  </si>
  <si>
    <t>9763-20170724T164102.122570800.bin</t>
  </si>
  <si>
    <t>-683.175012503243 120.534446538785 -231.212885058405</t>
  </si>
  <si>
    <t>-708.760942287274 129.934093783527 -349.216399459462</t>
  </si>
  <si>
    <t>-716.924764530848 117.713475690218 -469.526783458378</t>
  </si>
  <si>
    <t>-716.812270055002 98.2054804522789 -577.296235971694</t>
  </si>
  <si>
    <t>-709.21515291242 70.5366578668544 -682.991902750515</t>
  </si>
  <si>
    <t>-690.828065041267 23.8776534647666 -826.814262705384</t>
  </si>
  <si>
    <t>-693.483996734474 74.5113362850608 -772.205541857838</t>
  </si>
  <si>
    <t>-676.469751392903 219.765489086345 -787.776694392825</t>
  </si>
  <si>
    <t>-684.63357267272 332.955884378293 -492.298429521882</t>
  </si>
  <si>
    <t>-509.32903271663 240.37374091337 -323.956613247553</t>
  </si>
  <si>
    <t>-704.443595321747 14.5343238242255 -754.148885139379</t>
  </si>
  <si>
    <t>-659.862723845141 215.953893139121 -227.921836115838</t>
  </si>
  <si>
    <t>-532.691173494171 267.216862816132 206.655141370572</t>
  </si>
  <si>
    <t>-591.80931522821 322.824189693187 669.261620919746</t>
  </si>
  <si>
    <t>-437.16438832501 299.915624663027 749.906893146297</t>
  </si>
  <si>
    <t>-706.800198604466 25.1787087416064 -233.339088641169</t>
  </si>
  <si>
    <t>-725.641126306724 27.5787858492116 221.959623506565</t>
  </si>
  <si>
    <t>-747.045771499165 22.9944951222182 691.359783441396</t>
  </si>
  <si>
    <t>-603.099416585758 -47.3630738238892 763.97370875115</t>
  </si>
  <si>
    <t>9763-20170724T164102.192757800.bin</t>
  </si>
  <si>
    <t>-682.206720254694 122.490530832114 -232.914410818038</t>
  </si>
  <si>
    <t>-706.574096238968 130.181992046828 -351.298848414473</t>
  </si>
  <si>
    <t>-714.176611585373 115.896532187391 -471.418259025484</t>
  </si>
  <si>
    <t>-713.8409535813 94.3956968181458 -578.807562723264</t>
  </si>
  <si>
    <t>-706.311082485498 64.6178308680657 -683.933300141977</t>
  </si>
  <si>
    <t>-688.322767824038 14.913974723187 -826.782680652521</t>
  </si>
  <si>
    <t>-690.604630108622 66.6668290343128 -773.216482027882</t>
  </si>
  <si>
    <t>-672.083263549769 211.3715095088 -791.528919611739</t>
  </si>
  <si>
    <t>-677.460583944462 330.903271761916 -498.494025649238</t>
  </si>
  <si>
    <t>-504.525410505986 239.028656828958 -327.337614092691</t>
  </si>
  <si>
    <t>-701.959456676498 7.14591660282339 -753.936315332028</t>
  </si>
  <si>
    <t>-658.449843530176 217.964659529938 -231.222661075009</t>
  </si>
  <si>
    <t>-537.184557004725 258.966468827155 206.123044268199</t>
  </si>
  <si>
    <t>-599.979867350778 286.422903449937 670.882251734462</t>
  </si>
  <si>
    <t>-445.926595727902 263.736419898794 752.714062226053</t>
  </si>
  <si>
    <t>-705.96836004542 27.8576618814074 -233.596299601862</t>
  </si>
  <si>
    <t>-727.258036045996 29.2786392130008 221.598612653023</t>
  </si>
  <si>
    <t>-747.212198733412 23.0532776620826 691.290144936613</t>
  </si>
  <si>
    <t>-603.227320066265 -47.5045265257492 763.632887979043</t>
  </si>
  <si>
    <t>9763-20170724T164102.227391800.bin</t>
  </si>
  <si>
    <t>-680.739649423753 126.341556742288 -233.251693638245</t>
  </si>
  <si>
    <t>-704.223530067119 133.335558627247 -351.857745291467</t>
  </si>
  <si>
    <t>-711.367249327693 118.193207458161 -471.900426246129</t>
  </si>
  <si>
    <t>-710.803608098703 95.8570151619998 -579.118101287295</t>
  </si>
  <si>
    <t>-703.238003099293 65.1835835923718 -683.98350517088</t>
  </si>
  <si>
    <t>-685.403446677864 14.1720888258569 -826.390437920913</t>
  </si>
  <si>
    <t>-687.583795047288 66.4080134250617 -773.290794275437</t>
  </si>
  <si>
    <t>-668.65447189729 210.938426717895 -792.724225905556</t>
  </si>
  <si>
    <t>-672.465418222129 332.885251587408 -500.661466764146</t>
  </si>
  <si>
    <t>-500.353719515384 240.683213977681 -328.852250446329</t>
  </si>
  <si>
    <t>-699.005597512098 7.07820914068785 -753.468879946467</t>
  </si>
  <si>
    <t>-656.682328380731 221.246861741728 -232.417383278294</t>
  </si>
  <si>
    <t>-543.384071598184 254.221455935652 207.734743639705</t>
  </si>
  <si>
    <t>-608.404263970004 267.618461876477 672.809458055465</t>
  </si>
  <si>
    <t>-454.747850366021 244.598154116961 755.291389837075</t>
  </si>
  <si>
    <t>-704.269227406412 31.8935655195546 -233.608617967838</t>
  </si>
  <si>
    <t>-726.615114954832 31.7021206569331 221.537755665284</t>
  </si>
  <si>
    <t>-747.102480130255 23.2580495735178 691.237181855247</t>
  </si>
  <si>
    <t>-603.042193218218 -47.2544624141916 763.473706726205</t>
  </si>
  <si>
    <t>9763-20170724T164102.290560000.bin</t>
  </si>
  <si>
    <t>-676.199860855023 134.944635507895 -233.33602967713</t>
  </si>
  <si>
    <t>-699.055496315423 140.787413569626 -352.126899012328</t>
  </si>
  <si>
    <t>-705.681636798377 124.349557742175 -472.028726557972</t>
  </si>
  <si>
    <t>-704.728029217244 100.784343943641 -578.980164393785</t>
  </si>
  <si>
    <t>-696.869684242105 68.823246708578 -683.438758840483</t>
  </si>
  <si>
    <t>-678.746147358913 15.960220373715 -825.132239519464</t>
  </si>
  <si>
    <t>-680.95025108005 68.8726053724353 -772.707691408579</t>
  </si>
  <si>
    <t>-661.723350314426 213.217970229994 -793.489774634308</t>
  </si>
  <si>
    <t>-663.419343154194 337.510955593189 -502.39757672476</t>
  </si>
  <si>
    <t>-492.925878431753 243.169439362306 -330.137112119384</t>
  </si>
  <si>
    <t>-692.580301491696 9.82836308916106 -752.167046364077</t>
  </si>
  <si>
    <t>-653.014230106605 228.791358894878 -233.089740327066</t>
  </si>
  <si>
    <t>-559.373997447714 250.104817477796 212.370597685043</t>
  </si>
  <si>
    <t>-617.968784912258 260.910037311643 678.43013828844</t>
  </si>
  <si>
    <t>-465.606351856529 236.809807569186 762.978258518708</t>
  </si>
  <si>
    <t>-699.446430069023 40.1903792018985 -233.218798817756</t>
  </si>
  <si>
    <t>-722.218993662194 37.7374590682019 221.900007697609</t>
  </si>
  <si>
    <t>-746.80137030926 23.5495734938164 691.210654910496</t>
  </si>
  <si>
    <t>-603.583511257018 -48.6385475623264 763.467442610111</t>
  </si>
  <si>
    <t>9763-20170724T164102.325702500.bin</t>
  </si>
  <si>
    <t>-673.494359258194 139.278514893952 -233.577235762604</t>
  </si>
  <si>
    <t>-696.629869821802 144.581436684737 -352.339342880465</t>
  </si>
  <si>
    <t>-703.379199870664 127.822136858803 -472.189798568212</t>
  </si>
  <si>
    <t>-702.480321674561 104.053942241725 -579.096859198306</t>
  </si>
  <si>
    <t>-694.62422488146 71.9754136173919 -683.519519415766</t>
  </si>
  <si>
    <t>-676.452813566535 19.0351655001692 -825.178088342842</t>
  </si>
  <si>
    <t>-678.570332455262 71.9618273907427 -772.764367301717</t>
  </si>
  <si>
    <t>-659.110800107169 216.196992089362 -793.483589754664</t>
  </si>
  <si>
    <t>-660.299090259961 340.962723733661 -502.591360093969</t>
  </si>
  <si>
    <t>-490.890468902276 244.833733727944 -330.248741288805</t>
  </si>
  <si>
    <t>-690.415855463213 12.9572668950166 -752.232801018986</t>
  </si>
  <si>
    <t>-651.540525636354 233.857380786446 -233.260326190604</t>
  </si>
  <si>
    <t>-560.076474314091 256.246209779533 212.599177850851</t>
  </si>
  <si>
    <t>-615.436919655593 271.845188260993 679.617758611893</t>
  </si>
  <si>
    <t>-463.192502036448 247.014530958782 764.16708987222</t>
  </si>
  <si>
    <t>-696.75056715681 44.5897452157791 -232.867710706632</t>
  </si>
  <si>
    <t>-719.00497292414 41.096030140255 222.269883219611</t>
  </si>
  <si>
    <t>-746.551668269628 23.8037969670258 691.244878554053</t>
  </si>
  <si>
    <t>-603.765130799292 -49.1892647527863 763.5464584763</t>
  </si>
  <si>
    <t>9763-20170724T164102.390872800.bin</t>
  </si>
  <si>
    <t>-666.41543505023 149.043876661451 -233.413347720709</t>
  </si>
  <si>
    <t>-689.597890363086 153.636450747551 -352.195815651317</t>
  </si>
  <si>
    <t>-696.372263995106 137.090281636311 -472.074424571118</t>
  </si>
  <si>
    <t>-695.494339693963 113.877514881684 -579.10366437687</t>
  </si>
  <si>
    <t>-687.65632522052 82.7027160350726 -683.801036333304</t>
  </si>
  <si>
    <t>-669.503346986496 31.3617907456485 -826.049407731569</t>
  </si>
  <si>
    <t>-620.317140614148 2.27503584482012 -910.415630793198</t>
  </si>
  <si>
    <t>-671.327765177605 83.6532309182993 -772.990925005893</t>
  </si>
  <si>
    <t>-650.968243092529 228.0208176067 -792.185063368707</t>
  </si>
  <si>
    <t>-652.511832939311 351.485675447652 -500.740021292111</t>
  </si>
  <si>
    <t>-485.852756376761 250.736052105858 -328.355670549541</t>
  </si>
  <si>
    <t>-683.743201369617 24.503918059989 -753.226911642483</t>
  </si>
  <si>
    <t>-641.807828943242 244.470313465056 -233.913316634845</t>
  </si>
  <si>
    <t>-561.001316835251 265.725209418406 214.05558446127</t>
  </si>
  <si>
    <t>-610.129430690175 277.77137377576 681.177971604413</t>
  </si>
  <si>
    <t>-456.613251845 252.425395283516 763.238246806186</t>
  </si>
  <si>
    <t>-690.335302051956 53.9835926660861 -231.93138982593</t>
  </si>
  <si>
    <t>-712.04152131058 48.6005479140021 223.214294821388</t>
  </si>
  <si>
    <t>-746.15734332494 24.096042145803 691.328178405907</t>
  </si>
  <si>
    <t>-604.298885827619 -50.5838061881929 763.734062032102</t>
  </si>
  <si>
    <t>9763-20170724T164102.429482600.bin</t>
  </si>
  <si>
    <t>-662.712929850442 153.737967890519 -233.761352807981</t>
  </si>
  <si>
    <t>-685.68432085987 157.76832332017 -352.605220303395</t>
  </si>
  <si>
    <t>-692.252375507699 141.344099617362 -472.512098287813</t>
  </si>
  <si>
    <t>-691.198361033757 118.511526462482 -579.621406318209</t>
  </si>
  <si>
    <t>-683.195906161279 87.9764821337029 -684.494945577231</t>
  </si>
  <si>
    <t>-664.825132286129 37.7815628133297 -827.123699059379</t>
  </si>
  <si>
    <t>-615.469721938188 9.30642477283979 -911.599713327808</t>
  </si>
  <si>
    <t>-666.63862147758 89.6303567165187 -773.632289800485</t>
  </si>
  <si>
    <t>-645.94980095292 234.127436859444 -791.683918131515</t>
  </si>
  <si>
    <t>-647.334593114142 355.267827854916 -499.264234276748</t>
  </si>
  <si>
    <t>-482.423696062007 252.246543540631 -326.541704931267</t>
  </si>
  <si>
    <t>-679.268642861756 30.3521722272833 -754.397428618006</t>
  </si>
  <si>
    <t>-637.202350545645 248.460179714282 -235.181899814123</t>
  </si>
  <si>
    <t>-567.094580419445 267.827003604838 214.67090849355</t>
  </si>
  <si>
    <t>-614.645448897308 278.300410845328 681.807359260684</t>
  </si>
  <si>
    <t>-460.376930689784 253.824071532368 762.712538116658</t>
  </si>
  <si>
    <t>-687.24740751633 58.8641759774262 -231.798427534822</t>
  </si>
  <si>
    <t>-708.169373075118 52.561100948069 223.372003334842</t>
  </si>
  <si>
    <t>-745.833451826023 24.4222584962438 691.14518205677</t>
  </si>
  <si>
    <t>-604.241109993026 -50.6858391040873 763.628996255623</t>
  </si>
  <si>
    <t>9763-20170724T164102.490649700.bin</t>
  </si>
  <si>
    <t>-653.067993690018 160.554948288924 -234.841300110368</t>
  </si>
  <si>
    <t>-676.062473109716 164.425688997753 -353.686145715939</t>
  </si>
  <si>
    <t>-682.305088327755 148.878038341322 -473.727204804369</t>
  </si>
  <si>
    <t>-680.815877599465 127.252333403041 -581.081559086747</t>
  </si>
  <si>
    <t>-672.234210223792 98.3296828542315 -686.365359481532</t>
  </si>
  <si>
    <t>-652.903957051435 50.785731705235 -829.773637671829</t>
  </si>
  <si>
    <t>-602.982813785701 23.8329793797576 -914.416425706202</t>
  </si>
  <si>
    <t>-655.015724677535 101.624204823679 -775.331760423216</t>
  </si>
  <si>
    <t>-633.758283012404 246.339710282271 -790.370311150682</t>
  </si>
  <si>
    <t>-634.222648589624 361.460091746953 -495.525748396761</t>
  </si>
  <si>
    <t>-472.77949988072 252.86590108076 -322.941256440535</t>
  </si>
  <si>
    <t>-667.898270679978 42.0206882965059 -757.308053979289</t>
  </si>
  <si>
    <t>-626.69130531441 252.765243044527 -236.768508957438</t>
  </si>
  <si>
    <t>-569.788313635603 270.271020116153 215.020475582552</t>
  </si>
  <si>
    <t>-614.790066621765 277.49812408291 681.919281317584</t>
  </si>
  <si>
    <t>-459.21810978251 257.255080509553 761.487521210543</t>
  </si>
  <si>
    <t>-679.621231066518 68.0536675966336 -232.177322862343</t>
  </si>
  <si>
    <t>-698.474708886651 58.6172106129343 223.02945632988</t>
  </si>
  <si>
    <t>-745.088331777784 24.7827089516155 690.012220249843</t>
  </si>
  <si>
    <t>-605.011686397376 -52.8139823789162 762.818791119782</t>
  </si>
  <si>
    <t>9763-20170724T164102.521296000.bin</t>
  </si>
  <si>
    <t>-648.81043197779 164.187871620333 -235.104415585008</t>
  </si>
  <si>
    <t>-671.7519088109 168.297194092946 -353.951439387346</t>
  </si>
  <si>
    <t>-677.78531413374 153.511678866998 -474.099542484737</t>
  </si>
  <si>
    <t>-676.043753015803 132.781303251499 -581.62654598577</t>
  </si>
  <si>
    <t>-667.144914499576 104.954756957992 -687.179109839632</t>
  </si>
  <si>
    <t>-647.304149556217 59.1362056766943 -831.078402522319</t>
  </si>
  <si>
    <t>-597.046337284725 33.0103782410879 -915.781365514688</t>
  </si>
  <si>
    <t>-649.549774715388 109.307342332001 -776.026277074935</t>
  </si>
  <si>
    <t>-627.867684929734 254.155220512741 -789.275716048509</t>
  </si>
  <si>
    <t>-628.639705289779 365.257043999213 -492.894247822867</t>
  </si>
  <si>
    <t>-468.210817151662 253.342156464447 -321.489102923994</t>
  </si>
  <si>
    <t>-662.61640123269 49.511674337988 -758.788557441297</t>
  </si>
  <si>
    <t>-621.097487308782 255.764149461174 -237.11158906963</t>
  </si>
  <si>
    <t>-568.73732470357 273.820851267864 215.204683282528</t>
  </si>
  <si>
    <t>-614.730098433964 278.440696090411 681.624651618103</t>
  </si>
  <si>
    <t>-459.137209525033 257.68521492807 761.019695186377</t>
  </si>
  <si>
    <t>-676.304158395968 72.712691742749 -232.410326641957</t>
  </si>
  <si>
    <t>-692.984579964304 61.2742440437684 222.83537141477</t>
  </si>
  <si>
    <t>-744.650367533565 24.9279712739262 689.182415986458</t>
  </si>
  <si>
    <t>-605.423284858734 -53.9814349245164 762.207229195206</t>
  </si>
  <si>
    <t>9763-20170724T164102.565414400.bin</t>
  </si>
  <si>
    <t>-644.723211312319 167.914330616474 -235.419576941693</t>
  </si>
  <si>
    <t>-667.604401145558 172.494167687316 -354.261011178598</t>
  </si>
  <si>
    <t>-673.41131418625 158.651546541817 -474.532415558417</t>
  </si>
  <si>
    <t>-671.394658909615 138.96081128694 -582.2499480612</t>
  </si>
  <si>
    <t>-662.147119599027 112.357558588903 -688.087578005502</t>
  </si>
  <si>
    <t>-641.741709246345 68.4258428459298 -832.495447136185</t>
  </si>
  <si>
    <t>-591.079384391929 43.1735209943601 -917.222261788972</t>
  </si>
  <si>
    <t>-644.133267202681 117.860310904134 -776.786973782815</t>
  </si>
  <si>
    <t>-622.053710818891 262.797435828019 -788.077421500071</t>
  </si>
  <si>
    <t>-623.224867454234 369.819853079659 -490.199817163575</t>
  </si>
  <si>
    <t>-463.697162241459 254.139681794159 -320.461706520043</t>
  </si>
  <si>
    <t>-657.407667282672 57.8682341935834 -760.411894172722</t>
  </si>
  <si>
    <t>-615.831696673812 258.724834700411 -237.551137441853</t>
  </si>
  <si>
    <t>-567.224077746875 277.477826783773 215.155450614897</t>
  </si>
  <si>
    <t>-614.566456433426 279.452679938453 681.203279639487</t>
  </si>
  <si>
    <t>-459.060124179527 257.988799428152 760.57954810451</t>
  </si>
  <si>
    <t>-673.095385269668 77.2610691841042 -232.812663724636</t>
  </si>
  <si>
    <t>-687.074734426893 63.9694883430417 222.473572206421</t>
  </si>
  <si>
    <t>-744.199446338066 25.0130938778372 688.098047042748</t>
  </si>
  <si>
    <t>-605.608839032725 -54.7749793987658 761.378414518817</t>
  </si>
  <si>
    <t>9763-20170724T164102.624577200.bin</t>
  </si>
  <si>
    <t>-637.560646779674 175.516016846904 -236.650339249099</t>
  </si>
  <si>
    <t>-660.766403846002 181.083381344024 -355.386635207112</t>
  </si>
  <si>
    <t>-666.304290821992 169.159279770406 -475.876043173953</t>
  </si>
  <si>
    <t>-663.794188058013 151.578344210044 -583.947615825931</t>
  </si>
  <si>
    <t>-653.797028860404 127.459644810385 -690.311089678125</t>
  </si>
  <si>
    <t>-632.077697384306 87.3679006298215 -835.641549512852</t>
  </si>
  <si>
    <t>-580.558554562947 63.9108821962865 -920.36772250016</t>
  </si>
  <si>
    <t>-634.845790113398 135.285222344132 -778.639811101097</t>
  </si>
  <si>
    <t>-611.907346100952 280.382383526401 -785.947471718816</t>
  </si>
  <si>
    <t>-613.442819183785 379.279544926698 -485.276360867239</t>
  </si>
  <si>
    <t>-455.944095459292 257.048982867694 -318.255552276481</t>
  </si>
  <si>
    <t>-648.52981462007 74.9292972005723 -764.034788725122</t>
  </si>
  <si>
    <t>-607.711302312743 264.778161727926 -238.45134613909</t>
  </si>
  <si>
    <t>-564.714153355006 281.149137916051 214.914832991766</t>
  </si>
  <si>
    <t>-614.171722830572 280.36993295371 680.736047007053</t>
  </si>
  <si>
    <t>-458.786214496714 258.913595262772 760.350549686072</t>
  </si>
  <si>
    <t>-667.756546771601 86.2852917600564 -234.100015676656</t>
  </si>
  <si>
    <t>-676.400023479821 69.0881626469203 221.188094557617</t>
  </si>
  <si>
    <t>-743.365812845376 24.57401757841 685.343397225417</t>
  </si>
  <si>
    <t>-606.898595858656 -57.9729403765887 759.547362736234</t>
  </si>
  <si>
    <t>9763-20170724T164102.695767400.bin</t>
  </si>
  <si>
    <t>-632.774918157049 182.687868270357 -237.699463187517</t>
  </si>
  <si>
    <t>-655.441768780461 188.539495766826 -356.526163192281</t>
  </si>
  <si>
    <t>-660.155395322099 177.925069158212 -477.172990213409</t>
  </si>
  <si>
    <t>-656.786414286079 161.947863418326 -585.46999448601</t>
  </si>
  <si>
    <t>-645.814527897807 139.852853395082 -692.176565406844</t>
  </si>
  <si>
    <t>-622.616539434297 103.008055527336 -838.136579613547</t>
  </si>
  <si>
    <t>-570.199690148421 81.2342095173597 -922.761346852501</t>
  </si>
  <si>
    <t>-625.862119652364 149.623438882381 -780.09010824802</t>
  </si>
  <si>
    <t>-602.015637539147 294.666379322225 -784.207112426466</t>
  </si>
  <si>
    <t>-604.037602285936 386.838070652186 -481.409328195415</t>
  </si>
  <si>
    <t>-449.340128788682 259.312568740174 -315.73506914336</t>
  </si>
  <si>
    <t>-639.899708717248 88.998002561746 -767.017364081584</t>
  </si>
  <si>
    <t>-671.488763469647 3.28702232568276 -408.79387842742</t>
  </si>
  <si>
    <t>-411.846286508017 2.13034121942348 -423.844129988837</t>
  </si>
  <si>
    <t>-600.748852284735 270.573295288962 -239.375899753843</t>
  </si>
  <si>
    <t>-565.929939155799 284.817001944506 214.763310017516</t>
  </si>
  <si>
    <t>-614.128120563847 280.477000409186 680.824797909085</t>
  </si>
  <si>
    <t>-458.608889083291 260.305924797667 760.514267788207</t>
  </si>
  <si>
    <t>-664.598850183144 94.3825357167963 -235.294143864794</t>
  </si>
  <si>
    <t>-668.851206740354 72.9714780330392 219.877362124524</t>
  </si>
  <si>
    <t>-742.474738183217 24.0047273576232 682.501139195727</t>
  </si>
  <si>
    <t>-607.840225333898 -60.551194169578 757.783032685356</t>
  </si>
  <si>
    <t>9763-20170724T164102.726866400.bin</t>
  </si>
  <si>
    <t>-630.790609908973 185.383168433619 -238.30267407855</t>
  </si>
  <si>
    <t>-653.574051956924 191.733590718626 -357.081517800343</t>
  </si>
  <si>
    <t>-658.136369319975 181.851754475749 -477.796356571479</t>
  </si>
  <si>
    <t>-654.515088117811 166.637673052447 -586.195092529895</t>
  </si>
  <si>
    <t>-643.172254956081 145.411731225267 -693.039084201547</t>
  </si>
  <si>
    <t>-619.333319895093 109.889965889381 -839.223746805785</t>
  </si>
  <si>
    <t>-566.509250438149 88.8116962210225 -923.771227010628</t>
  </si>
  <si>
    <t>-622.770837390817 155.965689875087 -780.758839459889</t>
  </si>
  <si>
    <t>-598.510773889269 300.988631967234 -783.501829027753</t>
  </si>
  <si>
    <t>-600.733336236553 390.752084532595 -479.982987443019</t>
  </si>
  <si>
    <t>-447.514390414761 261.122526527772 -314.567723092587</t>
  </si>
  <si>
    <t>-636.991737897742 95.2487831116147 -768.324161816304</t>
  </si>
  <si>
    <t>-670.704062505204 6.66369468138122 -411.017586076085</t>
  </si>
  <si>
    <t>-411.047096158912 4.0655712215999 -425.631790037639</t>
  </si>
  <si>
    <t>-598.047306057591 273.156810154201 -239.73288960441</t>
  </si>
  <si>
    <t>-567.722823210294 286.785571650414 214.747355410869</t>
  </si>
  <si>
    <t>-614.308411614878 281.045960740661 680.943406012931</t>
  </si>
  <si>
    <t>-458.876361024697 260.032901272784 760.585429502455</t>
  </si>
  <si>
    <t>-663.721940409547 97.384040640747 -236.151794191834</t>
  </si>
  <si>
    <t>-666.503417337478 74.3198374772841 218.950331042479</t>
  </si>
  <si>
    <t>-742.047847219476 23.8529509928302 681.069503063771</t>
  </si>
  <si>
    <t>-607.878283590485 -61.048800885693 756.79093254767</t>
  </si>
  <si>
    <t>9763-20170724T164102.795040300.bin</t>
  </si>
  <si>
    <t>-628.440852895539 190.487617297563 -239.953511477876</t>
  </si>
  <si>
    <t>-651.250362008478 197.362258548187 -358.697996124567</t>
  </si>
  <si>
    <t>-655.47932425225 188.545687370513 -479.507669402433</t>
  </si>
  <si>
    <t>-651.411722198921 174.514780550196 -588.04985155852</t>
  </si>
  <si>
    <t>-639.477958833836 154.694191278238 -695.099326740036</t>
  </si>
  <si>
    <t>-614.668034201994 121.357249973833 -841.63650979693</t>
  </si>
  <si>
    <t>-561.196488235938 101.284814735176 -926.02175056667</t>
  </si>
  <si>
    <t>-618.270809376744 166.510667420249 -782.466306599183</t>
  </si>
  <si>
    <t>-592.813347609709 311.331582416911 -782.838380203831</t>
  </si>
  <si>
    <t>-595.490070870852 397.595207533354 -478.309935866747</t>
  </si>
  <si>
    <t>-445.417002187047 263.867802738493 -313.273255934635</t>
  </si>
  <si>
    <t>-633.0205174301 105.704943808919 -771.130406672314</t>
  </si>
  <si>
    <t>-669.156916114587 11.993380768921 -415.207954620906</t>
  </si>
  <si>
    <t>-409.501997945 5.51159930069298 -428.601012431417</t>
  </si>
  <si>
    <t>-594.599160774061 278.207247926161 -241.005067488976</t>
  </si>
  <si>
    <t>-573.399270298768 290.099469945382 214.040815236877</t>
  </si>
  <si>
    <t>-614.501879359824 282.4218244591 680.741592058259</t>
  </si>
  <si>
    <t>-459.065319507647 260.767805314831 760.202776327463</t>
  </si>
  <si>
    <t>-662.527290227157 102.468367959441 -238.13180372417</t>
  </si>
  <si>
    <t>-664.935521191834 76.5124109977146 216.816683327507</t>
  </si>
  <si>
    <t>-741.805608256628 23.3520646087132 678.280082901178</t>
  </si>
  <si>
    <t>-607.600400491942 -61.1929246801395 754.336852938421</t>
  </si>
  <si>
    <t>9763-20170724T164102.826806900.bin</t>
  </si>
  <si>
    <t>-627.900984595515 192.606086319931 -240.781982045509</t>
  </si>
  <si>
    <t>-650.62895539214 199.658884333875 -359.531710144134</t>
  </si>
  <si>
    <t>-654.666166971525 191.284063888504 -480.379272028902</t>
  </si>
  <si>
    <t>-650.381388375402 177.760365249989 -588.977712746506</t>
  </si>
  <si>
    <t>-638.186590678346 158.555842177253 -696.109873424671</t>
  </si>
  <si>
    <t>-612.968204573391 126.18889254584 -842.794605273946</t>
  </si>
  <si>
    <t>-559.24883767148 106.476141853885 -927.107360881684</t>
  </si>
  <si>
    <t>-616.607876723783 170.923402520295 -783.309388350095</t>
  </si>
  <si>
    <t>-590.557099735669 315.640743426876 -782.608709818868</t>
  </si>
  <si>
    <t>-593.315678470117 400.608161545006 -477.716728115311</t>
  </si>
  <si>
    <t>-444.71457419658 265.131006658171 -312.775157453937</t>
  </si>
  <si>
    <t>-631.645215620945 110.097074224378 -772.473041221431</t>
  </si>
  <si>
    <t>-668.909710605789 14.1926236408813 -417.200987637777</t>
  </si>
  <si>
    <t>-409.260897885542 5.78941331235089 -429.608818853157</t>
  </si>
  <si>
    <t>-593.541274786698 280.149171087738 -241.815500812637</t>
  </si>
  <si>
    <t>-577.499774256737 291.362589708294 213.458722670053</t>
  </si>
  <si>
    <t>-614.514879388906 282.668557096525 680.589451450716</t>
  </si>
  <si>
    <t>-458.909673238561 261.861201558279 759.946828654291</t>
  </si>
  <si>
    <t>-662.372922012159 104.78856867612 -239.068533867034</t>
  </si>
  <si>
    <t>-664.96629900856 77.3643331839777 215.79281562601</t>
  </si>
  <si>
    <t>-741.84932106228 23.0395510761801 676.962054277058</t>
  </si>
  <si>
    <t>-608.008733427862 -62.078481095768 753.022087867444</t>
  </si>
  <si>
    <t>9763-20170724T164102.888969000.bin</t>
  </si>
  <si>
    <t>-627.445731921198 196.820308465651 -242.366575525458</t>
  </si>
  <si>
    <t>-649.685488030372 204.434701790901 -361.174074871856</t>
  </si>
  <si>
    <t>-653.176659421784 196.863615761772 -482.091616060991</t>
  </si>
  <si>
    <t>-648.370840684003 184.172001902616 -590.768529476573</t>
  </si>
  <si>
    <t>-635.624002512526 165.911941119178 -698.001683181423</t>
  </si>
  <si>
    <t>-609.602759734573 134.979632881364 -844.85554483996</t>
  </si>
  <si>
    <t>-555.608391889606 115.750617138577 -929.10431406938</t>
  </si>
  <si>
    <t>-613.31722653374 179.076572301343 -784.900690519676</t>
  </si>
  <si>
    <t>-586.025453939581 323.565096459573 -782.476914666415</t>
  </si>
  <si>
    <t>-589.368219651948 405.827229506048 -476.849696091394</t>
  </si>
  <si>
    <t>-443.101629716939 267.089196351689 -312.533304419818</t>
  </si>
  <si>
    <t>-628.915398623989 118.25590683125 -774.853724003502</t>
  </si>
  <si>
    <t>-669.334406262669 19.3286746566373 -420.900601598502</t>
  </si>
  <si>
    <t>-409.72118192808 7.84489973844904 -431.442276273805</t>
  </si>
  <si>
    <t>-592.014339047785 283.875430969602 -243.101055070897</t>
  </si>
  <si>
    <t>-585.58726955785 294.460971753997 212.425359424225</t>
  </si>
  <si>
    <t>-614.57773653912 283.243476235951 680.439822988838</t>
  </si>
  <si>
    <t>-458.622158065878 263.552190918336 759.393165000373</t>
  </si>
  <si>
    <t>-662.496518635946 109.809643465158 -240.890729049632</t>
  </si>
  <si>
    <t>-664.336122918981 79.1349307397481 213.766625008831</t>
  </si>
  <si>
    <t>-741.713875615936 22.7380772806906 674.43304932308</t>
  </si>
  <si>
    <t>-607.621902015223 -61.9718941602503 750.505833213987</t>
  </si>
  <si>
    <t>9763-20170724T164102.936663700.bin</t>
  </si>
  <si>
    <t>-627.422231791311 199.351879451557 -242.90460480024</t>
  </si>
  <si>
    <t>-649.294446564404 207.158285765365 -361.767754934077</t>
  </si>
  <si>
    <t>-652.508668822237 199.903751475261 -482.712475631335</t>
  </si>
  <si>
    <t>-647.491911470814 187.546266867881 -591.418356524504</t>
  </si>
  <si>
    <t>-634.573447070865 169.667205411781 -698.695154338102</t>
  </si>
  <si>
    <t>-608.353874036949 139.311114768499 -845.634035817268</t>
  </si>
  <si>
    <t>-554.258626856723 120.229472126907 -929.851440658133</t>
  </si>
  <si>
    <t>-612.008440335185 183.141091494191 -785.480122834453</t>
  </si>
  <si>
    <t>-583.968554382756 327.471229992919 -782.315233491673</t>
  </si>
  <si>
    <t>-587.821224525544 408.189274571961 -476.282698328205</t>
  </si>
  <si>
    <t>-442.486628278647 267.721505285846 -312.610183389278</t>
  </si>
  <si>
    <t>-627.90193719673 122.344399213957 -775.756121473068</t>
  </si>
  <si>
    <t>-669.983957598196 22.50804212298 -422.328103178222</t>
  </si>
  <si>
    <t>-410.389677631479 9.84071808793129 -431.939747704059</t>
  </si>
  <si>
    <t>-591.582137068149 286.496708021455 -243.45004661488</t>
  </si>
  <si>
    <t>-588.503432554011 296.735908702138 212.119167423136</t>
  </si>
  <si>
    <t>-614.78538441661 284.404459016086 680.577587348718</t>
  </si>
  <si>
    <t>-458.899749829918 263.343835371348 759.315196572707</t>
  </si>
  <si>
    <t>-662.787966783127 112.350825833637 -241.639257964925</t>
  </si>
  <si>
    <t>-663.586199453717 80.0782438738929 212.910508096084</t>
  </si>
  <si>
    <t>-741.640568098692 22.4158084524337 673.271631910438</t>
  </si>
  <si>
    <t>-608.451354508534 -63.5598836751385 749.510274404318</t>
  </si>
  <si>
    <t>9763-20170724T164102.957714900.bin</t>
  </si>
  <si>
    <t>-627.146438175912 201.818884912463 -243.448285292729</t>
  </si>
  <si>
    <t>-649.143378848761 209.912020196912 -362.269358577049</t>
  </si>
  <si>
    <t>-652.366235577592 203.013491400208 -483.234442197531</t>
  </si>
  <si>
    <t>-647.311657011371 191.001529220471 -591.977448201987</t>
  </si>
  <si>
    <t>-634.310986432925 173.490330322801 -699.304952448325</t>
  </si>
  <si>
    <t>-607.932566250107 143.667307817658 -846.324588019699</t>
  </si>
  <si>
    <t>-553.716544805738 124.717863121777 -930.494092191176</t>
  </si>
  <si>
    <t>-611.510893439226 187.246546240057 -785.984068387933</t>
  </si>
  <si>
    <t>-582.745429739713 331.395785041572 -782.032987633298</t>
  </si>
  <si>
    <t>-586.644507164199 410.762660511914 -475.647808308967</t>
  </si>
  <si>
    <t>-442.145204621845 268.431639733621 -312.847646221342</t>
  </si>
  <si>
    <t>-627.697520510926 126.479647244139 -776.561624880956</t>
  </si>
  <si>
    <t>-671.245426974694 25.9675576735301 -423.617536706069</t>
  </si>
  <si>
    <t>-411.690150148626 11.971271392508 -432.407062627838</t>
  </si>
  <si>
    <t>-591.082275460137 288.971948492452 -243.745360471099</t>
  </si>
  <si>
    <t>-590.384291282774 298.512808166969 211.848948467725</t>
  </si>
  <si>
    <t>-614.784242420738 284.743562972298 680.425118310316</t>
  </si>
  <si>
    <t>-458.747164048768 264.06197267999 758.963062944365</t>
  </si>
  <si>
    <t>-662.923864448267 114.831759210291 -242.283254519641</t>
  </si>
  <si>
    <t>-662.535641219188 81.0208059649024 212.155211629809</t>
  </si>
  <si>
    <t>-741.466959099105 22.2595619170949 672.206480184796</t>
  </si>
  <si>
    <t>-608.210482525919 -63.4649425606498 748.61017954414</t>
  </si>
  <si>
    <t>9763-20170724T164103.025462200.bin</t>
  </si>
  <si>
    <t>-626.753807951658 206.287929719224 -243.968559318624</t>
  </si>
  <si>
    <t>-648.751204467486 214.899409387822 -362.753031597526</t>
  </si>
  <si>
    <t>-651.874483236471 208.655813506493 -483.756398974486</t>
  </si>
  <si>
    <t>-646.692347180534 197.283708647758 -592.562123707015</t>
  </si>
  <si>
    <t>-633.528102479283 180.456960608837 -699.979007869113</t>
  </si>
  <si>
    <t>-606.886669858881 151.628470306765 -847.149528565731</t>
  </si>
  <si>
    <t>-552.437945027683 132.924184507008 -931.223796702523</t>
  </si>
  <si>
    <t>-610.340019296805 194.743447167818 -786.469343021649</t>
  </si>
  <si>
    <t>-580.404095547297 338.615199902345 -781.185179826498</t>
  </si>
  <si>
    <t>-583.203165684833 415.489415244328 -474.153118247029</t>
  </si>
  <si>
    <t>-439.925030689656 269.251651199846 -313.753593437496</t>
  </si>
  <si>
    <t>-627.00938483593 134.024952402963 -777.593124240207</t>
  </si>
  <si>
    <t>-673.130158006313 32.5834590910009 -425.565332469694</t>
  </si>
  <si>
    <t>-413.703358562035 15.6623723684966 -432.877183805753</t>
  </si>
  <si>
    <t>-590.241140670919 293.438406971684 -244.047938297127</t>
  </si>
  <si>
    <t>-592.224476452388 301.540224508034 211.570361365358</t>
  </si>
  <si>
    <t>-614.894783265413 285.674157141424 680.216126232503</t>
  </si>
  <si>
    <t>-458.712080160992 264.925969306347 758.446447720645</t>
  </si>
  <si>
    <t>-663.193948576138 119.140055980385 -243.256741585173</t>
  </si>
  <si>
    <t>-660.745092404799 82.5343947621048 210.95875292993</t>
  </si>
  <si>
    <t>-741.15173624392 21.4442549654718 670.319170825824</t>
  </si>
  <si>
    <t>-608.578650180545 -64.9298677214495 747.178845001951</t>
  </si>
  <si>
    <t>9763-20170724T164103.093643800.bin</t>
  </si>
  <si>
    <t>-626.562635389529 209.573097987443 -244.631033006225</t>
  </si>
  <si>
    <t>-649.023753249989 219.031055947418 -363.264307318036</t>
  </si>
  <si>
    <t>-652.46218287938 213.494578378099 -484.293596027388</t>
  </si>
  <si>
    <t>-647.491446028518 202.70708787904 -593.168640246187</t>
  </si>
  <si>
    <t>-634.459049642495 186.415599968501 -700.684153877223</t>
  </si>
  <si>
    <t>-607.914482602978 158.284901586014 -848.007122287053</t>
  </si>
  <si>
    <t>-553.445752471335 139.716070439508 -932.098469589539</t>
  </si>
  <si>
    <t>-611.126356349097 201.062337541201 -787.075196834245</t>
  </si>
  <si>
    <t>-580.292975376626 344.715638940997 -780.827148390032</t>
  </si>
  <si>
    <t>-581.191874404673 419.395393881143 -473.242579656632</t>
  </si>
  <si>
    <t>-438.833324606267 269.936153140183 -315.008391718113</t>
  </si>
  <si>
    <t>-628.192932625821 140.401425637979 -778.567342922266</t>
  </si>
  <si>
    <t>-671.452972723919 4.72454795815069 -741.939680155679</t>
  </si>
  <si>
    <t>-676.096297367866 38.6445142428622 -427.274614589216</t>
  </si>
  <si>
    <t>-416.8765682075 18.4933810638586 -433.687384385083</t>
  </si>
  <si>
    <t>-589.081764089746 296.624598910899 -244.254324378076</t>
  </si>
  <si>
    <t>-593.069315415583 303.376908827941 211.372933599116</t>
  </si>
  <si>
    <t>-614.947465435309 286.146628295272 679.988118192867</t>
  </si>
  <si>
    <t>-458.695285133108 265.622569143112 758.138730432846</t>
  </si>
  <si>
    <t>-663.994781802961 122.453378672805 -244.394368332794</t>
  </si>
  <si>
    <t>-659.738116258073 83.548430227764 209.616520581847</t>
  </si>
  <si>
    <t>-740.886219963886 20.9404606119798 668.393974528082</t>
  </si>
  <si>
    <t>-608.087544871355 -64.7306550709535 745.650079474819</t>
  </si>
  <si>
    <t>9763-20170724T164103.126780700.bin</t>
  </si>
  <si>
    <t>-626.34223387757 211.192088678905 -245.015844057823</t>
  </si>
  <si>
    <t>-649.086815857662 221.064527453094 -363.561361387358</t>
  </si>
  <si>
    <t>-652.75186838056 215.848013056959 -484.598117569913</t>
  </si>
  <si>
    <t>-647.956805458881 205.310003163797 -593.505491685311</t>
  </si>
  <si>
    <t>-635.068252067739 189.229386513449 -701.070121562991</t>
  </si>
  <si>
    <t>-608.688655180734 161.352976851012 -848.470996110227</t>
  </si>
  <si>
    <t>-554.305908334727 142.802361260252 -932.621973835408</t>
  </si>
  <si>
    <t>-611.696260725246 203.990874698566 -787.43100610118</t>
  </si>
  <si>
    <t>-580.269988600173 347.492104326296 -780.845148250285</t>
  </si>
  <si>
    <t>-580.397666305496 421.338670328661 -473.058135958336</t>
  </si>
  <si>
    <t>-438.513455330641 270.530118322601 -315.680529255745</t>
  </si>
  <si>
    <t>-629.025406733283 143.383917867319 -779.070464586216</t>
  </si>
  <si>
    <t>-672.927021870979 7.82897533636802 -742.730035012563</t>
  </si>
  <si>
    <t>-677.657226226464 41.1022369417708 -427.997273702186</t>
  </si>
  <si>
    <t>-418.568955647354 19.1938388768263 -433.941759385527</t>
  </si>
  <si>
    <t>-588.311867987574 298.170017914651 -244.431910024629</t>
  </si>
  <si>
    <t>-593.45097969406 304.164433750664 211.194341606081</t>
  </si>
  <si>
    <t>-614.933821552373 286.387374721965 679.830229108031</t>
  </si>
  <si>
    <t>-458.659541144952 266.095658640396 757.997487438603</t>
  </si>
  <si>
    <t>-664.288695076936 124.152813554051 -244.936058111114</t>
  </si>
  <si>
    <t>-659.108486102182 84.1173029465765 208.966977434906</t>
  </si>
  <si>
    <t>-740.687517401274 21.0281567945121 667.612972857592</t>
  </si>
  <si>
    <t>-608.633611231269 -65.6034053136186 745.074199652547</t>
  </si>
  <si>
    <t>9763-20170724T164103.189949200.bin</t>
  </si>
  <si>
    <t>-626.664876055198 213.834550995523 -245.567211060069</t>
  </si>
  <si>
    <t>-650.064097171882 224.480576151474 -363.918136017912</t>
  </si>
  <si>
    <t>-654.282700753943 219.89421495567 -484.962540394401</t>
  </si>
  <si>
    <t>-649.936137183702 209.861983987657 -593.936477633141</t>
  </si>
  <si>
    <t>-637.439008594885 194.223663870344 -701.612466975823</t>
  </si>
  <si>
    <t>-611.540996653741 166.896654686 -849.201505886374</t>
  </si>
  <si>
    <t>-557.465392736938 148.289404574574 -933.537569093315</t>
  </si>
  <si>
    <t>-614.027970237699 209.223063235086 -787.921754712773</t>
  </si>
  <si>
    <t>-580.951811714055 352.330992669335 -780.681771535983</t>
  </si>
  <si>
    <t>-580.617632821659 424.808448699592 -472.56957814295</t>
  </si>
  <si>
    <t>-439.89971665021 271.679055964815 -316.39041473894</t>
  </si>
  <si>
    <t>-631.972097489124 148.75296128355 -779.873931736907</t>
  </si>
  <si>
    <t>-677.394090540609 13.561253102699 -744.043824023024</t>
  </si>
  <si>
    <t>-680.800104462792 45.177432137708 -429.123100849048</t>
  </si>
  <si>
    <t>-421.959303806213 20.3112725724143 -434.141240216875</t>
  </si>
  <si>
    <t>-587.563443613077 300.817519332041 -244.763756603929</t>
  </si>
  <si>
    <t>-594.414684336947 305.680372177197 210.853482981962</t>
  </si>
  <si>
    <t>-615.050241949036 287.260311686679 679.607913369212</t>
  </si>
  <si>
    <t>-458.928382248288 265.922136402618 757.801030789049</t>
  </si>
  <si>
    <t>-665.68950436566 126.774939593523 -245.666248567225</t>
  </si>
  <si>
    <t>-657.669562115566 84.9633600075807 208.035338571091</t>
  </si>
  <si>
    <t>-740.524712248002 20.6301082433005 666.286013194077</t>
  </si>
  <si>
    <t>-608.504403817958 -65.8765336275141 743.943809509844</t>
  </si>
  <si>
    <t>9763-20170724T164103.223105000.bin</t>
  </si>
  <si>
    <t>-626.944914803578 215.129698020017 -245.808114026165</t>
  </si>
  <si>
    <t>-650.775416075009 226.093827934634 -364.043848662081</t>
  </si>
  <si>
    <t>-655.334812954369 221.764712504175 -485.085312798259</t>
  </si>
  <si>
    <t>-651.251800301889 211.940678668951 -594.088478922438</t>
  </si>
  <si>
    <t>-638.970333478559 196.48826083849 -701.816085771511</t>
  </si>
  <si>
    <t>-613.319989617538 169.398674590469 -849.492069714981</t>
  </si>
  <si>
    <t>-559.433025615639 150.735168689978 -933.936484511158</t>
  </si>
  <si>
    <t>-615.582189045954 211.593682832624 -788.113110950994</t>
  </si>
  <si>
    <t>-581.931499409047 354.555797637346 -780.643570804351</t>
  </si>
  <si>
    <t>-581.039330632935 426.474872368664 -472.401744736199</t>
  </si>
  <si>
    <t>-440.950232266676 272.43280789512 -316.555135243205</t>
  </si>
  <si>
    <t>-633.756706857437 151.176289411424 -780.186936687501</t>
  </si>
  <si>
    <t>-679.778410099416 16.129870645178 -744.580606056095</t>
  </si>
  <si>
    <t>-682.714913696551 47.1049334643689 -429.591483139394</t>
  </si>
  <si>
    <t>-423.992865741942 21.0864591802845 -434.88108481025</t>
  </si>
  <si>
    <t>-587.354226411699 302.19094086074 -244.971128340478</t>
  </si>
  <si>
    <t>-595.20450863288 306.610951728122 210.634405836296</t>
  </si>
  <si>
    <t>-615.11061988431 287.977778192513 679.42444799961</t>
  </si>
  <si>
    <t>-459.212549364393 265.089364980729 757.625708825531</t>
  </si>
  <si>
    <t>-666.434171003561 128.017295421547 -245.899157664145</t>
  </si>
  <si>
    <t>-656.59640212423 85.4220491810993 207.693773848646</t>
  </si>
  <si>
    <t>-740.370526771025 20.7294700014953 665.71270734648</t>
  </si>
  <si>
    <t>-608.680823806881 -66.2337129681922 743.421967038597</t>
  </si>
  <si>
    <t>9763-20170724T164103.289289100.bin</t>
  </si>
  <si>
    <t>-628.175767322457 216.855384389419 -246.066623400252</t>
  </si>
  <si>
    <t>-652.87858565857 228.532168639775 -364.055053298765</t>
  </si>
  <si>
    <t>-658.097362109472 224.719295275527 -485.087179316618</t>
  </si>
  <si>
    <t>-654.505424841549 215.285483235614 -594.141970086729</t>
  </si>
  <si>
    <t>-642.601872375999 200.153556308417 -701.957541966908</t>
  </si>
  <si>
    <t>-617.354417994481 173.443404250534 -849.772029278502</t>
  </si>
  <si>
    <t>-563.769845385816 154.745284724574 -934.400889172765</t>
  </si>
  <si>
    <t>-619.262498349308 215.429275414005 -788.237715692598</t>
  </si>
  <si>
    <t>-584.8316317064 358.188475104425 -780.369202622555</t>
  </si>
  <si>
    <t>-582.477047550003 429.266664231902 -471.940100093258</t>
  </si>
  <si>
    <t>-443.118406221052 273.977455809135 -316.677505996435</t>
  </si>
  <si>
    <t>-637.788800231152 155.094391045748 -780.499685651933</t>
  </si>
  <si>
    <t>-684.66654947444 20.2524850616917 -745.258315337946</t>
  </si>
  <si>
    <t>-687.266699986947 50.1672172951256 -430.163791097167</t>
  </si>
  <si>
    <t>-428.836337740878 21.6878498607594 -436.851497883879</t>
  </si>
  <si>
    <t>-587.838855808231 303.921526055054 -245.215634589752</t>
  </si>
  <si>
    <t>-597.810582716735 307.89087559317 210.352726419381</t>
  </si>
  <si>
    <t>-615.128929495974 288.560746078819 679.218917286283</t>
  </si>
  <si>
    <t>-459.121716240151 265.797492607619 757.238799910716</t>
  </si>
  <si>
    <t>-668.364253078706 129.748638089469 -246.198739227303</t>
  </si>
  <si>
    <t>-654.709379413927 85.4155356699085 207.128763392055</t>
  </si>
  <si>
    <t>-740.398150453033 20.3840059857018 664.816041195739</t>
  </si>
  <si>
    <t>-608.346985620829 -66.0717963205379 742.478085443705</t>
  </si>
  <si>
    <t>9763-20170724T164103.327936000.bin</t>
  </si>
  <si>
    <t>-628.489220521092 217.929769102896 -246.09313933626</t>
  </si>
  <si>
    <t>-653.632894672893 229.749204253734 -363.973979215672</t>
  </si>
  <si>
    <t>-659.183401148688 226.057953288285 -484.995283574487</t>
  </si>
  <si>
    <t>-655.841340712771 216.725842619911 -594.066673660346</t>
  </si>
  <si>
    <t>-644.135548134197 201.688754828002 -701.91723724795</t>
  </si>
  <si>
    <t>-619.107571752462 175.105038352233 -849.791775858834</t>
  </si>
  <si>
    <t>-565.640209619876 156.405521612048 -934.494457598886</t>
  </si>
  <si>
    <t>-620.841583066785 217.015012737862 -788.200723470533</t>
  </si>
  <si>
    <t>-586.024234301153 359.668722018513 -780.137875443089</t>
  </si>
  <si>
    <t>-583.258405238297 430.310256907956 -471.611928043021</t>
  </si>
  <si>
    <t>-444.024344476845 274.485047548297 -316.775046890552</t>
  </si>
  <si>
    <t>-639.521763933909 156.719886637835 -780.522920936859</t>
  </si>
  <si>
    <t>-686.68948863924 21.963272779478 -745.326893496949</t>
  </si>
  <si>
    <t>-689.187995866045 51.9993333940843 -430.243036977335</t>
  </si>
  <si>
    <t>-430.961615975662 21.9581459522264 -437.906678769531</t>
  </si>
  <si>
    <t>-588.047292627998 304.993096696004 -245.30836920455</t>
  </si>
  <si>
    <t>-598.577822674183 308.776424328065 210.248992983655</t>
  </si>
  <si>
    <t>-615.19495147467 289.31401838141 679.156772922257</t>
  </si>
  <si>
    <t>-459.358772371052 265.322469218231 757.15041373794</t>
  </si>
  <si>
    <t>-668.580159645349 130.861118403728 -246.097515849238</t>
  </si>
  <si>
    <t>-653.615178252005 85.489298856023 207.085796221645</t>
  </si>
  <si>
    <t>-740.399464710252 20.6180566023411 664.528127313791</t>
  </si>
  <si>
    <t>-609.119130759086 -67.0633388050482 742.122866768077</t>
  </si>
  <si>
    <t>9763-20170724T164103.364026300.bin</t>
  </si>
  <si>
    <t>-628.702303853885 218.720555046445 -246.023870216371</t>
  </si>
  <si>
    <t>-654.207359657382 230.504985551715 -363.83062612976</t>
  </si>
  <si>
    <t>-660.012348212686 226.836644225561 -484.840542999864</t>
  </si>
  <si>
    <t>-656.85546973076 217.547914484916 -593.921305313669</t>
  </si>
  <si>
    <t>-645.289689741567 202.576990193544 -701.795960291</t>
  </si>
  <si>
    <t>-620.409823231166 176.1087636861 -849.716404498586</t>
  </si>
  <si>
    <t>-567.007612088 157.462174703961 -934.471739313705</t>
  </si>
  <si>
    <t>-622.010669175924 217.950388467858 -788.075187869585</t>
  </si>
  <si>
    <t>-586.981437386108 360.51606770331 -779.859614314033</t>
  </si>
  <si>
    <t>-583.785270886905 430.977735946692 -471.296662376939</t>
  </si>
  <si>
    <t>-444.438913582353 274.996670642638 -316.71794696425</t>
  </si>
  <si>
    <t>-640.826165471517 157.689795095539 -780.457156483343</t>
  </si>
  <si>
    <t>-688.403066954788 23.0491296903913 -745.311607797811</t>
  </si>
  <si>
    <t>-691.00210078526 52.8711090525998 -430.208260491882</t>
  </si>
  <si>
    <t>-432.951645893802 21.394497582047 -438.034266972212</t>
  </si>
  <si>
    <t>-588.423876783152 305.706532864133 -245.344149710588</t>
  </si>
  <si>
    <t>-599.195701158061 309.222925948162 210.209711005686</t>
  </si>
  <si>
    <t>-615.25173457453 289.356164911762 679.232716861013</t>
  </si>
  <si>
    <t>-459.365564124562 265.407260019301 757.139364086955</t>
  </si>
  <si>
    <t>-668.628231005873 131.561389294075 -245.863803890961</t>
  </si>
  <si>
    <t>-652.336583711224 85.2984771073708 207.183658777197</t>
  </si>
  <si>
    <t>-740.681606423652 20.312523013661 664.38393657398</t>
  </si>
  <si>
    <t>-609.096422997299 -67.1756421550754 741.679995275203</t>
  </si>
  <si>
    <t>9763-20170724T164103.428206100.bin</t>
  </si>
  <si>
    <t>-629.116020447135 218.972982983707 -245.858817829139</t>
  </si>
  <si>
    <t>-655.779688200756 230.899839397542 -363.394466799559</t>
  </si>
  <si>
    <t>-662.34057897969 227.439003492258 -484.371917752149</t>
  </si>
  <si>
    <t>-659.69700320766 218.360077572374 -593.48385098841</t>
  </si>
  <si>
    <t>-648.474360503674 203.62085093254 -701.426702656321</t>
  </si>
  <si>
    <t>-623.896422937017 177.497927957793 -849.458899179427</t>
  </si>
  <si>
    <t>-570.5741843781 158.929265920636 -934.281763371891</t>
  </si>
  <si>
    <t>-625.221486796734 219.152543571618 -787.684566862883</t>
  </si>
  <si>
    <t>-589.527480184391 361.559481635337 -779.118382415766</t>
  </si>
  <si>
    <t>-585.946799879581 431.012425727433 -470.33103503984</t>
  </si>
  <si>
    <t>-445.918410898566 275.120221151245 -316.280118810452</t>
  </si>
  <si>
    <t>-644.321321669417 158.960520578435 -780.233848261663</t>
  </si>
  <si>
    <t>-692.626257678241 24.5217758064672 -745.309830449389</t>
  </si>
  <si>
    <t>-694.033952606975 53.3034922708923 -430.102123561242</t>
  </si>
  <si>
    <t>-436.135355346487 20.3903383638803 -436.964309390347</t>
  </si>
  <si>
    <t>-589.018571571921 305.989082605297 -245.412189730332</t>
  </si>
  <si>
    <t>-599.812919817836 309.361687132859 210.142119515181</t>
  </si>
  <si>
    <t>-615.276749333501 289.139290903321 679.272408767156</t>
  </si>
  <si>
    <t>-459.161429377718 266.088703334828 756.99102997771</t>
  </si>
  <si>
    <t>-669.050303751987 131.735274089728 -245.369585326362</t>
  </si>
  <si>
    <t>-649.106594576437 84.4832441276922 207.429688212496</t>
  </si>
  <si>
    <t>-741.13271535228 20.0237250079418 663.880064839844</t>
  </si>
  <si>
    <t>-609.913403912455 -68.508808148573 740.60674298393</t>
  </si>
  <si>
    <t>9763-20170724T164103.489368300.bin</t>
  </si>
  <si>
    <t>-629.837687312068 218.581480793712 -245.353157381595</t>
  </si>
  <si>
    <t>-657.781718916197 230.720600929896 -362.569209875233</t>
  </si>
  <si>
    <t>-665.128937832195 227.479351001356 -483.507439789718</t>
  </si>
  <si>
    <t>-662.974707115988 218.615231919974 -592.647959969336</t>
  </si>
  <si>
    <t>-652.013019290923 204.118770580412 -700.650542960408</t>
  </si>
  <si>
    <t>-627.557607587437 178.373921724846 -848.7691825825</t>
  </si>
  <si>
    <t>-574.389984785278 159.939884328933 -933.718465180905</t>
  </si>
  <si>
    <t>-628.848724653148 219.875647790095 -786.891382442625</t>
  </si>
  <si>
    <t>-593.129514072674 362.253602669201 -778.046920279926</t>
  </si>
  <si>
    <t>-588.530028009791 431.045007040685 -469.124830235665</t>
  </si>
  <si>
    <t>-447.745458612689 275.013554815693 -315.906265478663</t>
  </si>
  <si>
    <t>-647.908037375471 159.654765445018 -779.571131656117</t>
  </si>
  <si>
    <t>-696.108971713553 25.1396597548961 -744.883715968989</t>
  </si>
  <si>
    <t>-697.090452307171 53.5673479558769 -429.642550578478</t>
  </si>
  <si>
    <t>-439.281877476631 20.0810737015569 -437.089097514201</t>
  </si>
  <si>
    <t>-589.86402804601 305.540244145786 -245.391422505931</t>
  </si>
  <si>
    <t>-600.235882368501 309.701941672558 210.166247688513</t>
  </si>
  <si>
    <t>-615.36657055081 290.16688773954 679.22297831295</t>
  </si>
  <si>
    <t>-459.472328898987 265.674428538766 756.944349122451</t>
  </si>
  <si>
    <t>-669.557443205411 131.709989336997 -244.556336740306</t>
  </si>
  <si>
    <t>-643.435346843346 83.3117283103937 207.807430547925</t>
  </si>
  <si>
    <t>-741.337880537482 19.6925476724414 662.924428918725</t>
  </si>
  <si>
    <t>-610.895836221112 -70.1601678792038 739.441597445321</t>
  </si>
  <si>
    <t>9763-20170724T164103.526005900.bin</t>
  </si>
  <si>
    <t>-629.85147512122 217.854886261586 -245.160218768648</t>
  </si>
  <si>
    <t>-658.627888547823 230.023236345386 -362.171469752407</t>
  </si>
  <si>
    <t>-666.499189292342 226.805063923919 -483.077532945009</t>
  </si>
  <si>
    <t>-664.682089889621 217.965736553087 -592.226060583277</t>
  </si>
  <si>
    <t>-653.917668260424 203.503522819134 -700.253009772736</t>
  </si>
  <si>
    <t>-629.590342567159 177.822231352572 -848.403913502031</t>
  </si>
  <si>
    <t>-576.517314188495 159.479711039219 -933.432031348657</t>
  </si>
  <si>
    <t>-630.857878355321 219.306110492706 -786.513550464777</t>
  </si>
  <si>
    <t>-595.321848705414 361.7321232897 -777.589085836888</t>
  </si>
  <si>
    <t>-589.924319931047 430.390596043116 -468.650461178242</t>
  </si>
  <si>
    <t>-448.661894442643 274.420652461111 -315.809430247507</t>
  </si>
  <si>
    <t>-649.850957333457 159.064729830202 -779.189737669305</t>
  </si>
  <si>
    <t>-697.839703861035 24.5012964685154 -744.400792782908</t>
  </si>
  <si>
    <t>-698.703233292619 53.3322796392809 -429.195709008006</t>
  </si>
  <si>
    <t>-440.966256994904 19.4532873723849 -437.315358939817</t>
  </si>
  <si>
    <t>-590.131103879077 304.70706051529 -245.407018483306</t>
  </si>
  <si>
    <t>-600.380461074824 309.420640986338 210.1479880509</t>
  </si>
  <si>
    <t>-615.344186037871 290.453222880426 679.194305455626</t>
  </si>
  <si>
    <t>-459.437434737819 266.116605561855 756.939553551154</t>
  </si>
  <si>
    <t>-669.269418703013 131.022625383899 -244.108424794878</t>
  </si>
  <si>
    <t>-639.993492018757 82.5194711704119 208.050933041568</t>
  </si>
  <si>
    <t>-741.395376262098 19.4225445224261 662.435080021126</t>
  </si>
  <si>
    <t>-611.344244195712 -70.9161149621707 739.045386770999</t>
  </si>
  <si>
    <t>9763-20170724T164103.591179400.bin</t>
  </si>
  <si>
    <t>-630.390396259527 215.508773609678 -244.847448838029</t>
  </si>
  <si>
    <t>-660.870397146697 227.485098500675 -361.446512554466</t>
  </si>
  <si>
    <t>-669.772648549501 224.180701353783 -482.278647760597</t>
  </si>
  <si>
    <t>-668.599694224944 215.311252390598 -591.433622060469</t>
  </si>
  <si>
    <t>-658.190364726455 200.871677084477 -699.498321655306</t>
  </si>
  <si>
    <t>-634.059061925472 175.28309660036 -847.697299218025</t>
  </si>
  <si>
    <t>-581.093246438066 157.200819432615 -932.847883606727</t>
  </si>
  <si>
    <t>-635.317073411713 216.749028424365 -785.79485709633</t>
  </si>
  <si>
    <t>-600.194239652513 359.255761449347 -776.860735105438</t>
  </si>
  <si>
    <t>-593.735373339737 427.986565886971 -467.958518363635</t>
  </si>
  <si>
    <t>-450.916866329351 273.001925911845 -315.561968964777</t>
  </si>
  <si>
    <t>-654.155774797148 156.461466532503 -778.452829917629</t>
  </si>
  <si>
    <t>-701.814253740837 21.7796796040572 -743.507225019454</t>
  </si>
  <si>
    <t>-702.545413829719 50.8469976062266 -428.323532316363</t>
  </si>
  <si>
    <t>-444.788905551482 17.2709414394898 -437.05801171777</t>
  </si>
  <si>
    <t>-591.47530418287 302.222499005771 -245.611079302092</t>
  </si>
  <si>
    <t>-600.847748700878 308.317174690999 209.946525423925</t>
  </si>
  <si>
    <t>-615.341229975725 290.848244151816 679.219533179558</t>
  </si>
  <si>
    <t>-459.527407434146 265.994796392171 756.987583006382</t>
  </si>
  <si>
    <t>-669.239687350735 128.983668128827 -243.229833805842</t>
  </si>
  <si>
    <t>-633.99342761132 80.7114575648757 208.527964236004</t>
  </si>
  <si>
    <t>-741.326114924028 19.2084280561503 661.594332919658</t>
  </si>
  <si>
    <t>-611.871028041273 -71.8735207521232 738.333942355703</t>
  </si>
  <si>
    <t>9763-20170724T164103.628341300.bin</t>
  </si>
  <si>
    <t>-630.929398744349 213.723147590964 -244.736517764911</t>
  </si>
  <si>
    <t>-661.977816629752 225.522768281554 -361.203642061114</t>
  </si>
  <si>
    <t>-671.228368654376 222.157775236995 -482.007832305144</t>
  </si>
  <si>
    <t>-670.279997882492 213.278653794795 -591.164253102918</t>
  </si>
  <si>
    <t>-660.006798083333 198.872451084572 -699.246514571333</t>
  </si>
  <si>
    <t>-635.975045574563 173.374158273167 -847.477084453141</t>
  </si>
  <si>
    <t>-583.042529194476 155.432069760888 -932.678066979469</t>
  </si>
  <si>
    <t>-637.252280664153 214.81981362961 -785.56150186422</t>
  </si>
  <si>
    <t>-602.306918402622 357.368271445256 -776.605336173603</t>
  </si>
  <si>
    <t>-595.371515313721 426.077978964322 -467.708870386986</t>
  </si>
  <si>
    <t>-451.551717465673 271.958926963761 -315.376259077797</t>
  </si>
  <si>
    <t>-655.964367622754 154.492990030513 -778.217808833834</t>
  </si>
  <si>
    <t>-703.384567631383 19.757463315234 -743.188193122048</t>
  </si>
  <si>
    <t>-703.828864855917 48.7812399454418 -428.000021249978</t>
  </si>
  <si>
    <t>-445.940742324594 16.14950787143 -436.422611173238</t>
  </si>
  <si>
    <t>-592.459500577202 300.312695623807 -245.719325142308</t>
  </si>
  <si>
    <t>-601.084828329561 307.233017582612 209.841256632328</t>
  </si>
  <si>
    <t>-615.345580875573 290.791122718955 679.242239920435</t>
  </si>
  <si>
    <t>-459.443490723875 266.342035598232 756.96148349821</t>
  </si>
  <si>
    <t>-669.103428340411 127.168998737949 -243.121018233146</t>
  </si>
  <si>
    <t>-632.512103970453 79.8841647938096 208.634341686682</t>
  </si>
  <si>
    <t>-741.339692690271 19.2368807180728 661.286811880842</t>
  </si>
  <si>
    <t>-612.056729319295 -72.2127930367321 737.879068319376</t>
  </si>
  <si>
    <t>9763-20170724T164103.688499900.bin</t>
  </si>
  <si>
    <t>-632.684840550242 208.424902379268 -245.000472516005</t>
  </si>
  <si>
    <t>-664.357233194097 219.86515193656 -361.335243640116</t>
  </si>
  <si>
    <t>-674.039232575171 216.323461356368 -482.100617663279</t>
  </si>
  <si>
    <t>-673.4024549862 207.357534179416 -591.252217641146</t>
  </si>
  <si>
    <t>-663.364076197919 192.935140685919 -699.354346838749</t>
  </si>
  <si>
    <t>-639.581140597188 167.485202734984 -847.633361860726</t>
  </si>
  <si>
    <t>-586.766395852283 149.792450361075 -932.95959678879</t>
  </si>
  <si>
    <t>-640.99539367298 208.978097911237 -785.752387454741</t>
  </si>
  <si>
    <t>-607.123513391627 351.7886470289 -776.914415246284</t>
  </si>
  <si>
    <t>-598.399050177747 420.581247460779 -468.081631985247</t>
  </si>
  <si>
    <t>-452.384068986332 268.650032279567 -315.639538493267</t>
  </si>
  <si>
    <t>-659.213337004901 148.513904872199 -778.296638761431</t>
  </si>
  <si>
    <t>-705.507139302287 13.4667323928413 -742.977071225276</t>
  </si>
  <si>
    <t>-705.2419161496 43.0728131569052 -427.842935364738</t>
  </si>
  <si>
    <t>-446.983832968199 13.349019558999 -435.673657833243</t>
  </si>
  <si>
    <t>-594.9930614251 295.202163628232 -246.024085000764</t>
  </si>
  <si>
    <t>-601.013389310314 303.771915639447 209.550234431544</t>
  </si>
  <si>
    <t>-615.432067665381 290.607665407583 679.250466031543</t>
  </si>
  <si>
    <t>-459.385002037681 266.70409735367 756.848432765453</t>
  </si>
  <si>
    <t>-670.147106425026 121.483036770697 -243.636921475089</t>
  </si>
  <si>
    <t>-633.017418380444 78.2673801530769 208.481866126203</t>
  </si>
  <si>
    <t>-741.342502835945 19.7202354470918 661.158686947227</t>
  </si>
  <si>
    <t>-612.410009021291 -72.8658950504933 736.972544583486</t>
  </si>
  <si>
    <t>9763-20170724T164103.725143500.bin</t>
  </si>
  <si>
    <t>-633.761364886002 205.169645044913 -245.397159848125</t>
  </si>
  <si>
    <t>-665.705369999014 216.517674383225 -361.666673512788</t>
  </si>
  <si>
    <t>-675.57818802747 212.919424198723 -482.414957709004</t>
  </si>
  <si>
    <t>-675.077784588825 203.919694462899 -591.564510494642</t>
  </si>
  <si>
    <t>-665.138960974763 189.481525681817 -699.673772182451</t>
  </si>
  <si>
    <t>-641.45581502863 164.029979995901 -847.968443500171</t>
  </si>
  <si>
    <t>-588.729248125072 146.483263890081 -933.379222980734</t>
  </si>
  <si>
    <t>-642.991352015385 205.56795762499 -786.120619500076</t>
  </si>
  <si>
    <t>-609.875772782339 348.576989107904 -777.41806844019</t>
  </si>
  <si>
    <t>-600.489861147013 417.398614495041 -468.61118346924</t>
  </si>
  <si>
    <t>-453.015611348567 266.861021057189 -316.191300704561</t>
  </si>
  <si>
    <t>-660.878387492198 145.01502619797 -778.584586276881</t>
  </si>
  <si>
    <t>-706.423021362787 9.7720598852305 -743.079319718512</t>
  </si>
  <si>
    <t>-705.556471011252 40.009102102917 -428.006035113459</t>
  </si>
  <si>
    <t>-447.109091976079 11.9228483023122 -435.632876631397</t>
  </si>
  <si>
    <t>-596.387382229735 292.186805165799 -246.230175379213</t>
  </si>
  <si>
    <t>-600.697696416835 301.664389892468 209.345557287412</t>
  </si>
  <si>
    <t>-615.47848791897 290.546192755753 679.185297121772</t>
  </si>
  <si>
    <t>-459.422482002209 266.593005383551 756.749950143264</t>
  </si>
  <si>
    <t>-670.945142370605 118.121800302016 -244.082660834826</t>
  </si>
  <si>
    <t>-634.184445042467 77.2173295975336 208.281190967266</t>
  </si>
  <si>
    <t>-741.38169096161 20.0394862083029 661.315038511089</t>
  </si>
  <si>
    <t>-612.34385617176 -72.8378117977038 736.591591504123</t>
  </si>
  <si>
    <t>9763-20170724T164103.792316000.bin</t>
  </si>
  <si>
    <t>-636.488546408082 197.276022487524 -246.204885259522</t>
  </si>
  <si>
    <t>-668.502499090454 208.449234733832 -362.472207814758</t>
  </si>
  <si>
    <t>-678.491882148051 204.685182005575 -483.205773551512</t>
  </si>
  <si>
    <t>-678.115418549763 195.540994632548 -592.343681426418</t>
  </si>
  <si>
    <t>-668.31910713679 180.962137440912 -700.447094674583</t>
  </si>
  <si>
    <t>-644.852635199111 155.31821858706 -848.743060720662</t>
  </si>
  <si>
    <t>-592.335043645605 138.045921535163 -934.338463896006</t>
  </si>
  <si>
    <t>-646.674141473199 197.035238052543 -787.023647782473</t>
  </si>
  <si>
    <t>-615.237455207562 340.448724777534 -778.778502227484</t>
  </si>
  <si>
    <t>-605.21509063525 409.329082167379 -470.004698226546</t>
  </si>
  <si>
    <t>-454.402216560091 262.005871249292 -317.711035263431</t>
  </si>
  <si>
    <t>-663.797476478951 136.294442473944 -779.229796933006</t>
  </si>
  <si>
    <t>-707.672895585505 0.660686130693584 -743.143839497919</t>
  </si>
  <si>
    <t>-705.95857092288 32.1310465496541 -428.194797898433</t>
  </si>
  <si>
    <t>-447.194292540051 7.26758160360748 -436.250562947818</t>
  </si>
  <si>
    <t>-599.825182979081 284.686699228875 -246.569262321599</t>
  </si>
  <si>
    <t>-600.588949334882 296.302987649726 208.976707727055</t>
  </si>
  <si>
    <t>-615.549510393684 289.856178951284 679.067276686953</t>
  </si>
  <si>
    <t>-459.310243193219 266.802459566486 756.535633473687</t>
  </si>
  <si>
    <t>-672.971949387232 109.707769177882 -245.328811353114</t>
  </si>
  <si>
    <t>-638.574175832162 74.4147920246775 207.693117353396</t>
  </si>
  <si>
    <t>-741.315030272136 20.8619217030663 662.133146494238</t>
  </si>
  <si>
    <t>-611.178572307533 -71.3263363453551 736.358060534344</t>
  </si>
  <si>
    <t>9763-20170724T164103.831619800.bin</t>
  </si>
  <si>
    <t>-637.784300286022 192.788670555925 -246.668054549471</t>
  </si>
  <si>
    <t>-669.654102307336 203.923066642873 -362.97868665001</t>
  </si>
  <si>
    <t>-679.581340210838 200.107166491553 -483.715846167991</t>
  </si>
  <si>
    <t>-679.18574395222 190.907557384494 -592.849037640431</t>
  </si>
  <si>
    <t>-669.409060523082 176.260844399417 -700.944976919907</t>
  </si>
  <si>
    <t>-646.01082972128 150.506328278769 -849.232681818168</t>
  </si>
  <si>
    <t>-593.573396288095 133.369047370183 -934.904210249418</t>
  </si>
  <si>
    <t>-648.00218950563 192.319365010358 -787.583475190645</t>
  </si>
  <si>
    <t>-617.430008814332 335.918817552136 -779.557146003149</t>
  </si>
  <si>
    <t>-606.813333591199 404.974627961238 -470.842480427911</t>
  </si>
  <si>
    <t>-454.264711911523 259.472365494434 -318.526731570393</t>
  </si>
  <si>
    <t>-664.725411099169 131.484411351555 -779.656399834496</t>
  </si>
  <si>
    <t>-705.420552552604 27.5551114182706 -428.331222957698</t>
  </si>
  <si>
    <t>-446.519761874452 4.04895811964008 -436.069590246454</t>
  </si>
  <si>
    <t>-601.86064863869 280.895134074006 -246.679507795174</t>
  </si>
  <si>
    <t>-600.592499651676 293.568852126738 208.837214086269</t>
  </si>
  <si>
    <t>-615.746763199197 290.386784135997 679.032526282364</t>
  </si>
  <si>
    <t>-459.679294122261 266.149890456591 756.485923921326</t>
  </si>
  <si>
    <t>-673.405599961659 104.583968562592 -246.151973689051</t>
  </si>
  <si>
    <t>-642.063609003435 72.6462557587979 207.340355826302</t>
  </si>
  <si>
    <t>-741.418650423281 21.0906812676592 662.754367714668</t>
  </si>
  <si>
    <t>-610.571126022146 -70.4606370334157 736.516189052963</t>
  </si>
  <si>
    <t>9763-20170724T164103.894789700.bin</t>
  </si>
  <si>
    <t>-640.314299131232 182.797989222466 -247.392133848154</t>
  </si>
  <si>
    <t>-671.296014615091 193.789518360041 -363.955978796521</t>
  </si>
  <si>
    <t>-680.793082161761 189.825725372373 -484.723008497519</t>
  </si>
  <si>
    <t>-680.207794033576 180.484251379624 -593.843237126217</t>
  </si>
  <si>
    <t>-670.443863891842 165.678344703197 -701.918716592046</t>
  </si>
  <si>
    <t>-647.272966293941 139.676219292676 -850.19890881715</t>
  </si>
  <si>
    <t>-595.011003995027 122.715537771101 -936.01266861909</t>
  </si>
  <si>
    <t>-649.613595113997 181.698874649207 -788.70474951486</t>
  </si>
  <si>
    <t>-621.173143825447 325.790069111602 -781.283412595069</t>
  </si>
  <si>
    <t>-609.145342533777 394.899446992338 -472.632436346202</t>
  </si>
  <si>
    <t>-453.203057372809 253.26936404323 -320.103875425911</t>
  </si>
  <si>
    <t>-665.437100008083 120.66385572981 -780.474339326571</t>
  </si>
  <si>
    <t>-703.242783507382 17.0580497033733 -428.539721438521</t>
  </si>
  <si>
    <t>-605.676493280323 271.836980125869 -246.748034377609</t>
  </si>
  <si>
    <t>-600.531952997149 287.335893045323 208.654009606575</t>
  </si>
  <si>
    <t>-615.90922353096 290.134120535935 678.925091768458</t>
  </si>
  <si>
    <t>-459.65749775744 266.706708874239 756.256012935791</t>
  </si>
  <si>
    <t>-674.550454159894 93.5481227004344 -247.505079332328</t>
  </si>
  <si>
    <t>-650.217898493868 68.0071786815656 206.822117233853</t>
  </si>
  <si>
    <t>-741.682411661133 21.3581841397608 664.305784039882</t>
  </si>
  <si>
    <t>-609.201860812216 -68.44814439543 737.293641793476</t>
  </si>
  <si>
    <t>9763-20170724T164103.927399000.bin</t>
  </si>
  <si>
    <t>-641.662253624581 177.590154727496 -247.604601616553</t>
  </si>
  <si>
    <t>-672.013340483791 188.405806007898 -364.350644565472</t>
  </si>
  <si>
    <t>-681.149391959882 184.285764908828 -485.140281172596</t>
  </si>
  <si>
    <t>-680.357065569814 174.808094978823 -594.247558388075</t>
  </si>
  <si>
    <t>-670.508156536478 159.865900180239 -702.296533365256</t>
  </si>
  <si>
    <t>-647.346634966999 133.669344807112 -850.543916381298</t>
  </si>
  <si>
    <t>-595.14170448752 116.800586419707 -936.410465294955</t>
  </si>
  <si>
    <t>-649.914956596371 175.825525272622 -789.15025854825</t>
  </si>
  <si>
    <t>-622.592863085164 320.131076913334 -782.047324648777</t>
  </si>
  <si>
    <t>-609.629865020262 389.694458446062 -473.536266295775</t>
  </si>
  <si>
    <t>-452.185843940861 250.120567655312 -320.655495482367</t>
  </si>
  <si>
    <t>-665.274801396033 114.695561041342 -780.747772244387</t>
  </si>
  <si>
    <t>-701.804814115743 11.1996876965539 -428.510486315113</t>
  </si>
  <si>
    <t>-607.744196037852 267.05060093096 -246.647396802478</t>
  </si>
  <si>
    <t>-600.687816550635 284.150426087074 208.671608858872</t>
  </si>
  <si>
    <t>-616.004782789545 289.933968408251 678.933332273419</t>
  </si>
  <si>
    <t>-459.679516987203 266.740817019771 756.1861174276</t>
  </si>
  <si>
    <t>-675.252802493492 87.8939682095848 -248.006073030482</t>
  </si>
  <si>
    <t>-654.445797587489 65.5490634424409 206.664659038406</t>
  </si>
  <si>
    <t>-741.795696210157 21.4695223283627 665.197908392387</t>
  </si>
  <si>
    <t>-608.324512285496 -67.1176089553158 737.870263395175</t>
  </si>
  <si>
    <t>9763-20170724T164103.988566400.bin</t>
  </si>
  <si>
    <t>-644.360906353901 167.579108257893 -247.713217495323</t>
  </si>
  <si>
    <t>-673.229338125737 177.577786702604 -364.90715082462</t>
  </si>
  <si>
    <t>-681.458990015057 172.904231392846 -485.741826631748</t>
  </si>
  <si>
    <t>-680.110463606013 163.024800070538 -594.808025791534</t>
  </si>
  <si>
    <t>-669.978631001798 147.765729553748 -702.78645339459</t>
  </si>
  <si>
    <t>-646.711740004599 121.203276483078 -850.95222268526</t>
  </si>
  <si>
    <t>-594.498932842719 104.530336819091 -936.852295406782</t>
  </si>
  <si>
    <t>-649.804137219832 163.614453220131 -789.758706046961</t>
  </si>
  <si>
    <t>-624.634587014055 308.362186027671 -783.32822613679</t>
  </si>
  <si>
    <t>-609.93695599782 379.45558607238 -475.243920784167</t>
  </si>
  <si>
    <t>-450.009502150658 243.77842619707 -321.435772322756</t>
  </si>
  <si>
    <t>-664.209122426173 102.298243465464 -781.028269255645</t>
  </si>
  <si>
    <t>-612.284537545705 257.885126261677 -246.225043322018</t>
  </si>
  <si>
    <t>-601.064515980795 278.033203040585 208.885789210361</t>
  </si>
  <si>
    <t>-616.375930174762 289.277986659187 679.264255233578</t>
  </si>
  <si>
    <t>-459.913986739407 266.337979173386 756.315778030951</t>
  </si>
  <si>
    <t>-676.178498072914 77.0553616460416 -248.430001473534</t>
  </si>
  <si>
    <t>-663.329343499193 60.6956561189483 206.78950671546</t>
  </si>
  <si>
    <t>-742.247975382046 21.2353375713296 667.227697914637</t>
  </si>
  <si>
    <t>-607.690808255999 -66.0874696655311 739.426115037766</t>
  </si>
  <si>
    <t>9763-20170724T164104.023910600.bin</t>
  </si>
  <si>
    <t>-645.687939292135 162.855302749694 -247.520372966507</t>
  </si>
  <si>
    <t>-673.82622560121 172.221128302777 -364.944051776458</t>
  </si>
  <si>
    <t>-681.586666384233 167.149123681154 -485.793582093488</t>
  </si>
  <si>
    <t>-679.936817985888 157.000503591673 -594.830994148137</t>
  </si>
  <si>
    <t>-669.63294728318 141.555865075043 -702.766673484951</t>
  </si>
  <si>
    <t>-646.264466222258 114.814512308807 -850.88434113949</t>
  </si>
  <si>
    <t>-593.98336532104 98.2749759059895 -936.768675178611</t>
  </si>
  <si>
    <t>-649.658994329875 157.352256531776 -789.794664126341</t>
  </si>
  <si>
    <t>-625.655659365034 302.289585268974 -783.745555240266</t>
  </si>
  <si>
    <t>-610.12080695425 374.478720207568 -475.957461942654</t>
  </si>
  <si>
    <t>-448.980336577084 240.71878576045 -321.73658278648</t>
  </si>
  <si>
    <t>-663.549604858335 95.9411715151373 -780.899056631436</t>
  </si>
  <si>
    <t>-614.825339101675 253.538702193188 -245.885737488596</t>
  </si>
  <si>
    <t>-601.225430087263 275.222102395165 209.089610235329</t>
  </si>
  <si>
    <t>-616.665631225326 288.818583028677 679.568534181193</t>
  </si>
  <si>
    <t>-460.184272280893 265.670585572337 756.518351255444</t>
  </si>
  <si>
    <t>-676.448467325534 71.8656929729569 -248.260032636675</t>
  </si>
  <si>
    <t>-667.856526220455 58.4311390949711 207.155583823773</t>
  </si>
  <si>
    <t>-742.483908758167 21.0706351091909 668.422317473354</t>
  </si>
  <si>
    <t>-607.228648043832 -65.3504858619376 740.400950442716</t>
  </si>
  <si>
    <t>9763-20170724T164104.095098400.bin</t>
  </si>
  <si>
    <t>-648.24187517437 154.477493967404 -246.348984058033</t>
  </si>
  <si>
    <t>-675.066739988428 162.601351450681 -364.171886728862</t>
  </si>
  <si>
    <t>-681.957893196244 156.618047651635 -485.032477632746</t>
  </si>
  <si>
    <t>-679.727097316128 145.780359387134 -593.993094736541</t>
  </si>
  <si>
    <t>-669.056075184942 129.772868040964 -701.811179768181</t>
  </si>
  <si>
    <t>-645.403403794471 102.372297223661 -849.762993995544</t>
  </si>
  <si>
    <t>-592.923217651605 86.0148596501955 -935.560740711105</t>
  </si>
  <si>
    <t>-649.464990660203 145.285029515564 -788.977200138855</t>
  </si>
  <si>
    <t>-627.988896747821 290.664213460407 -783.917211364732</t>
  </si>
  <si>
    <t>-610.993667767917 364.877758969454 -476.688113461379</t>
  </si>
  <si>
    <t>-447.188622451052 234.871459593661 -322.065017382864</t>
  </si>
  <si>
    <t>-662.272949178584 83.70735035293 -779.620644745296</t>
  </si>
  <si>
    <t>-619.675632803565 246.050476573053 -244.818325775399</t>
  </si>
  <si>
    <t>-600.869967035257 269.926384774933 209.861788271064</t>
  </si>
  <si>
    <t>-617.37121454768 287.691826252552 680.366993421254</t>
  </si>
  <si>
    <t>-460.724719516733 264.939148146084 757.098467708825</t>
  </si>
  <si>
    <t>-676.85682824395 62.8748047327495 -246.982115893397</t>
  </si>
  <si>
    <t>-675.676071765644 53.7511033848819 208.619789584581</t>
  </si>
  <si>
    <t>-742.904289745016 20.8221765239812 671.117816162636</t>
  </si>
  <si>
    <t>-606.020668504708 -63.327461032118 742.708495745298</t>
  </si>
  <si>
    <t>9763-20170724T164104.124690700.bin</t>
  </si>
  <si>
    <t>-649.077373273095 151.235505037663 -245.567183033868</t>
  </si>
  <si>
    <t>-675.389289181187 158.710741371141 -363.548689202211</t>
  </si>
  <si>
    <t>-681.86675175216 152.240144058349 -484.40707450738</t>
  </si>
  <si>
    <t>-679.310969150216 141.032399050688 -593.322973805031</t>
  </si>
  <si>
    <t>-668.367803098193 124.724802100926 -701.068833654126</t>
  </si>
  <si>
    <t>-644.393839868864 96.9791120970469 -848.90468940745</t>
  </si>
  <si>
    <t>-591.751579480049 80.7162814060722 -934.621094534381</t>
  </si>
  <si>
    <t>-648.874567685043 140.083371560484 -788.284133109838</t>
  </si>
  <si>
    <t>-628.624691195074 285.657984599415 -783.739304402871</t>
  </si>
  <si>
    <t>-611.067285896651 360.986060565791 -476.813394552041</t>
  </si>
  <si>
    <t>-445.827627780549 232.891757507187 -322.120814891088</t>
  </si>
  <si>
    <t>-661.128536900189 78.4280133405038 -778.699821572413</t>
  </si>
  <si>
    <t>-621.494470894333 243.202894812028 -244.335939378512</t>
  </si>
  <si>
    <t>-600.105931886758 268.091987476903 210.175551078841</t>
  </si>
  <si>
    <t>-617.554719384359 287.577760982608 680.444741386412</t>
  </si>
  <si>
    <t>-460.935512533948 264.670532015125 757.185758728484</t>
  </si>
  <si>
    <t>-676.579625959553 59.3953075238305 -246.063809828706</t>
  </si>
  <si>
    <t>-677.908335373698 51.8376342889531 209.566292884433</t>
  </si>
  <si>
    <t>-743.089809049744 20.6621376525401 672.462423824451</t>
  </si>
  <si>
    <t>-605.591193100608 -62.6001382456459 743.911962222652</t>
  </si>
  <si>
    <t>9763-20170724T164104.193874200.bin</t>
  </si>
  <si>
    <t>-649.787804523902 145.482882480708 -244.000506704928</t>
  </si>
  <si>
    <t>-675.775580941602 151.91577381582 -362.114999284895</t>
  </si>
  <si>
    <t>-681.924180147895 144.514843831607 -482.937117280625</t>
  </si>
  <si>
    <t>-679.080145643141 132.517358252071 -591.761948128107</t>
  </si>
  <si>
    <t>-667.863867709749 115.469988969288 -699.365014614917</t>
  </si>
  <si>
    <t>-643.530723970326 86.7475384439763 -846.955477045819</t>
  </si>
  <si>
    <t>-590.65726275901 70.5131295422376 -932.534770437305</t>
  </si>
  <si>
    <t>-648.646938058967 130.329472029151 -786.727818548744</t>
  </si>
  <si>
    <t>-630.789329313679 276.25827581032 -783.418071041234</t>
  </si>
  <si>
    <t>-612.699817002804 353.622427614546 -477.029879443763</t>
  </si>
  <si>
    <t>-444.972937558585 229.143005449773 -322.06331873743</t>
  </si>
  <si>
    <t>-659.947829851564 68.5831857680661 -776.574680654134</t>
  </si>
  <si>
    <t>-624.133056287182 237.437903772831 -243.325199258342</t>
  </si>
  <si>
    <t>-598.293447272447 264.943837654214 210.804070520009</t>
  </si>
  <si>
    <t>-617.589535640505 286.500424355459 680.579349902242</t>
  </si>
  <si>
    <t>-460.692529283945 265.473394885289 757.291214553486</t>
  </si>
  <si>
    <t>-675.556638173956 53.5508086086093 -244.051829815319</t>
  </si>
  <si>
    <t>-679.733882637094 49.2166148502182 211.603086414765</t>
  </si>
  <si>
    <t>-743.132823270717 20.5884030009022 675.010264053172</t>
  </si>
  <si>
    <t>-604.881049410804 -61.5654876690481 746.289232478345</t>
  </si>
  <si>
    <t>9763-20170724T164104.223981700.bin</t>
  </si>
  <si>
    <t>-650.009259093786 143.54915825817 -243.182785083956</t>
  </si>
  <si>
    <t>-675.84983725853 149.643030333874 -361.347538094138</t>
  </si>
  <si>
    <t>-681.872594064808 141.876494593936 -482.153032157434</t>
  </si>
  <si>
    <t>-678.926566561947 129.539966621012 -590.937228859553</t>
  </si>
  <si>
    <t>-667.62215644368 112.144590456705 -698.475377063226</t>
  </si>
  <si>
    <t>-643.182283678861 82.92932214953 -845.951362674435</t>
  </si>
  <si>
    <t>-590.234874827943 66.6667112530871 -931.479647064997</t>
  </si>
  <si>
    <t>-648.547106932632 126.742307930949 -785.913459519601</t>
  </si>
  <si>
    <t>-631.642691875799 272.784110151793 -783.253957020992</t>
  </si>
  <si>
    <t>-613.464770969161 351.404386164925 -477.190921466067</t>
  </si>
  <si>
    <t>-444.868695547539 228.491022578704 -321.917867408211</t>
  </si>
  <si>
    <t>-659.445243317313 64.9699993246676 -775.482235389065</t>
  </si>
  <si>
    <t>-625.352147871932 235.527545457188 -242.790859154073</t>
  </si>
  <si>
    <t>-597.537529103577 263.989380918203 211.162857852993</t>
  </si>
  <si>
    <t>-617.584041224212 286.278369042604 680.669357225433</t>
  </si>
  <si>
    <t>-460.731360887378 265.144261269408 757.442443356486</t>
  </si>
  <si>
    <t>-674.874503866157 51.8535053622722 -243.070709742667</t>
  </si>
  <si>
    <t>-679.546573463856 48.2781307591183 212.585965892819</t>
  </si>
  <si>
    <t>-743.11186383773 20.565591041703 676.082319874436</t>
  </si>
  <si>
    <t>-604.731817193338 -61.4294604787399 747.295178828152</t>
  </si>
  <si>
    <t>9763-20170724T164104.289155500.bin</t>
  </si>
  <si>
    <t>-650.028599693628 141.869648781738 -242.069702161312</t>
  </si>
  <si>
    <t>-676.228450717646 147.548384165786 -360.176212167646</t>
  </si>
  <si>
    <t>-682.423952335685 139.199974084654 -480.934218864321</t>
  </si>
  <si>
    <t>-679.554387116555 126.27929421876 -589.652488703622</t>
  </si>
  <si>
    <t>-668.247372686056 108.246056165415 -697.085230959566</t>
  </si>
  <si>
    <t>-643.723310164086 78.0940291136715 -844.358507008273</t>
  </si>
  <si>
    <t>-590.708708756225 61.7312686463444 -929.826092546511</t>
  </si>
  <si>
    <t>-649.515769064971 122.341237251293 -784.679750477542</t>
  </si>
  <si>
    <t>-634.365671485069 268.620604334611 -783.298476791684</t>
  </si>
  <si>
    <t>-615.880729617247 349.814186076958 -477.926370775912</t>
  </si>
  <si>
    <t>-445.988257470824 229.640297984077 -321.92378666897</t>
  </si>
  <si>
    <t>-659.633117010366 60.5294943263644 -773.709514129083</t>
  </si>
  <si>
    <t>-626.78319168248 233.980379781774 -242.019848168529</t>
  </si>
  <si>
    <t>-596.67066014751 263.452928825683 211.722724895886</t>
  </si>
  <si>
    <t>-617.572914102011 286.662318037055 680.831763899823</t>
  </si>
  <si>
    <t>-460.847139310986 265.019384277831 757.722186629657</t>
  </si>
  <si>
    <t>-673.40745603475 49.9127923428625 -241.592293123493</t>
  </si>
  <si>
    <t>-678.084293396428 47.8229056287033 214.073614282999</t>
  </si>
  <si>
    <t>-743.063277606684 20.5104174833705 677.64084028466</t>
  </si>
  <si>
    <t>-604.612015577045 -61.4210158148706 748.788582428339</t>
  </si>
  <si>
    <t>9763-20170724T164104.326297000.bin</t>
  </si>
  <si>
    <t>-649.925767606629 141.324156287065 -241.703454072327</t>
  </si>
  <si>
    <t>-676.418237651448 146.765793779118 -359.755708459495</t>
  </si>
  <si>
    <t>-682.785625106623 138.124421789706 -480.484307098401</t>
  </si>
  <si>
    <t>-680.019182203755 124.922190158246 -589.171329491653</t>
  </si>
  <si>
    <t>-668.762617428716 106.593673902478 -696.559423620865</t>
  </si>
  <si>
    <t>-644.254272466571 76.020559836481 -843.748562100752</t>
  </si>
  <si>
    <t>-591.244369258575 59.5868708918041 -929.205332727036</t>
  </si>
  <si>
    <t>-650.226098635049 120.461650570759 -784.231749525704</t>
  </si>
  <si>
    <t>-635.95911287184 266.819844703175 -783.41375414378</t>
  </si>
  <si>
    <t>-617.253514971798 349.111036333061 -478.349106184473</t>
  </si>
  <si>
    <t>-446.727126128432 230.176827889853 -322.088229325919</t>
  </si>
  <si>
    <t>-659.970786983065 58.6348137229298 -773.012087765309</t>
  </si>
  <si>
    <t>-627.260632885972 233.287476126002 -241.774693206048</t>
  </si>
  <si>
    <t>-596.715337336755 263.150884954474 211.913281877593</t>
  </si>
  <si>
    <t>-617.525923453342 286.656385510243 680.929073132132</t>
  </si>
  <si>
    <t>-460.676800853832 265.921170305434 757.817985691305</t>
  </si>
  <si>
    <t>-672.717944331145 49.3383021596195 -240.98070406191</t>
  </si>
  <si>
    <t>-677.27124064649 47.8947213619709 214.689056268173</t>
  </si>
  <si>
    <t>-742.995024174353 20.5390722463016 678.239750021006</t>
  </si>
  <si>
    <t>-604.436262769178 -61.2413248882236 749.351954713889</t>
  </si>
  <si>
    <t>9763-20170724T164104.392473000.bin</t>
  </si>
  <si>
    <t>-649.945055545701 141.257511332182 -241.078395786452</t>
  </si>
  <si>
    <t>-676.647665144079 146.30124374048 -359.101008976535</t>
  </si>
  <si>
    <t>-683.142575852941 137.191033052694 -479.788170387766</t>
  </si>
  <si>
    <t>-680.454912274312 123.544695696994 -588.422378283708</t>
  </si>
  <si>
    <t>-669.240274758243 104.755465208022 -695.735325747564</t>
  </si>
  <si>
    <t>-644.75211900574 73.5288864873511 -842.790512340042</t>
  </si>
  <si>
    <t>-591.776697353159 56.9700056597356 -928.244610240342</t>
  </si>
  <si>
    <t>-651.0261910242 118.270144090223 -783.530223425253</t>
  </si>
  <si>
    <t>-638.170938827686 264.755822384544 -783.660321014698</t>
  </si>
  <si>
    <t>-619.396466742727 348.897306159264 -479.105094184014</t>
  </si>
  <si>
    <t>-447.67650525632 232.177034819294 -322.482402360344</t>
  </si>
  <si>
    <t>-660.148565716399 56.4212210458082 -771.915985189703</t>
  </si>
  <si>
    <t>-628.18636194822 233.15591242315 -241.425128599565</t>
  </si>
  <si>
    <t>-597.383391114798 263.327039340753 212.225132162539</t>
  </si>
  <si>
    <t>-617.499064340575 286.940915774762 681.150339360303</t>
  </si>
  <si>
    <t>-460.654302170096 266.104722366745 758.020928679185</t>
  </si>
  <si>
    <t>-671.798078527174 49.2839755780742 -240.052886848191</t>
  </si>
  <si>
    <t>-675.5440546347 48.5161093728632 215.62586664843</t>
  </si>
  <si>
    <t>-742.815866908376 20.6621485489012 679.114152853741</t>
  </si>
  <si>
    <t>-603.873579893876 -60.5405550895079 750.139996483468</t>
  </si>
  <si>
    <t>9763-20170724T164104.422640400.bin</t>
  </si>
  <si>
    <t>-649.97060602287 141.69237630341 -240.84448977182</t>
  </si>
  <si>
    <t>-676.82923175366 146.613445296685 -358.836908640706</t>
  </si>
  <si>
    <t>-683.441186405567 137.330197351286 -479.504515358671</t>
  </si>
  <si>
    <t>-680.840955366047 123.510499063878 -588.118973544001</t>
  </si>
  <si>
    <t>-669.694766096928 104.532736599942 -695.405744333089</t>
  </si>
  <si>
    <t>-645.281594191169 73.0303964591927 -842.41468014951</t>
  </si>
  <si>
    <t>-592.341310086127 56.4114394650469 -927.878790505585</t>
  </si>
  <si>
    <t>-651.648868910074 117.8962379929 -783.258640760854</t>
  </si>
  <si>
    <t>-639.326402769069 264.43566021353 -783.813973650525</t>
  </si>
  <si>
    <t>-620.524716273067 349.347577676527 -479.474239961387</t>
  </si>
  <si>
    <t>-448.473106082129 233.455651472549 -322.60063129579</t>
  </si>
  <si>
    <t>-660.518501322371 56.0422252934113 -771.476924486071</t>
  </si>
  <si>
    <t>-628.494748745067 233.564675870383 -241.282540383126</t>
  </si>
  <si>
    <t>-597.860403350976 263.777372719262 212.376324281374</t>
  </si>
  <si>
    <t>-617.497614243844 287.189235636831 681.255984233503</t>
  </si>
  <si>
    <t>-460.685784882407 265.997444556576 758.096549354143</t>
  </si>
  <si>
    <t>-671.526411089351 49.7909189425199 -239.693794334082</t>
  </si>
  <si>
    <t>-674.480348289216 49.0476948928142 215.990770334059</t>
  </si>
  <si>
    <t>-742.705665480813 20.7283898175136 679.393748963684</t>
  </si>
  <si>
    <t>-603.594592736776 -60.2104256240621 750.390387890564</t>
  </si>
  <si>
    <t>9763-20170724T164104.494839800.bin</t>
  </si>
  <si>
    <t>-649.868203267567 142.806702827531 -240.501030256789</t>
  </si>
  <si>
    <t>-676.965902093527 147.536032873819 -358.446570367495</t>
  </si>
  <si>
    <t>-683.795063111965 137.979439079063 -479.080854120688</t>
  </si>
  <si>
    <t>-681.378126001201 123.884458900462 -587.664104512089</t>
  </si>
  <si>
    <t>-670.400592759616 104.605479720854 -694.914536438002</t>
  </si>
  <si>
    <t>-646.205606904898 72.660191072883 -841.863859892245</t>
  </si>
  <si>
    <t>-593.385041602422 55.9315148695499 -927.380732894263</t>
  </si>
  <si>
    <t>-652.666540627249 117.722962855064 -782.86794647199</t>
  </si>
  <si>
    <t>-641.247787530518 264.324731594111 -784.078781886963</t>
  </si>
  <si>
    <t>-622.193198510225 350.627085541093 -480.146295257901</t>
  </si>
  <si>
    <t>-449.896461396566 235.852035829011 -322.721436884883</t>
  </si>
  <si>
    <t>-661.155722993526 55.8670623182861 -770.818827856378</t>
  </si>
  <si>
    <t>-628.713252878633 234.432871944532 -241.127550979863</t>
  </si>
  <si>
    <t>-598.584141657742 264.808456875247 212.554277129495</t>
  </si>
  <si>
    <t>-617.4066205098 287.329966141261 681.383806601285</t>
  </si>
  <si>
    <t>-460.412652547304 266.901507711837 758.059015198409</t>
  </si>
  <si>
    <t>-670.993079484155 51.0825992162069 -239.205510659761</t>
  </si>
  <si>
    <t>-672.656874080924 50.1871363109107 216.485218185443</t>
  </si>
  <si>
    <t>-742.458893165901 20.8224711872392 679.732236962882</t>
  </si>
  <si>
    <t>-603.045672349755 -59.6025044761084 750.720252592055</t>
  </si>
  <si>
    <t>9763-20170724T164104.524604200.bin</t>
  </si>
  <si>
    <t>-649.798066986979 143.604736858342 -240.39711616976</t>
  </si>
  <si>
    <t>-676.960366793701 148.294514926108 -358.329292374847</t>
  </si>
  <si>
    <t>-683.87392936256 138.665815559422 -478.952879795817</t>
  </si>
  <si>
    <t>-681.539996071885 124.493273341336 -587.528037476244</t>
  </si>
  <si>
    <t>-670.651565575757 105.124341123918 -694.771327261916</t>
  </si>
  <si>
    <t>-646.586086158401 73.0414660136846 -841.712033564244</t>
  </si>
  <si>
    <t>-593.830997109565 56.2749566550159 -927.261738514784</t>
  </si>
  <si>
    <t>-653.049498784635 118.164872554726 -782.762720781978</t>
  </si>
  <si>
    <t>-641.860824463634 264.779709516524 -784.202989327939</t>
  </si>
  <si>
    <t>-622.645693576281 351.636711251971 -480.438591438454</t>
  </si>
  <si>
    <t>-450.397163850408 237.098875250175 -322.788383273318</t>
  </si>
  <si>
    <t>-661.419036705173 56.309382322753 -770.627989704457</t>
  </si>
  <si>
    <t>-628.704544752079 235.25819544511 -241.099680582392</t>
  </si>
  <si>
    <t>-599.001981563655 265.267714935048 212.634701209712</t>
  </si>
  <si>
    <t>-617.386242053515 287.417141494512 681.482078930172</t>
  </si>
  <si>
    <t>-460.319136977064 267.287609903245 758.086487073275</t>
  </si>
  <si>
    <t>-670.807817107842 51.8329734333135 -239.082218911728</t>
  </si>
  <si>
    <t>-672.220329922961 50.7023622223144 216.608829996006</t>
  </si>
  <si>
    <t>-742.368647004672 20.8425483146212 679.807140623922</t>
  </si>
  <si>
    <t>-602.752446784948 -59.2401451039511 750.783178493519</t>
  </si>
  <si>
    <t>9763-20170724T164104.556688200.bin</t>
  </si>
  <si>
    <t>-649.674978205985 144.509893790732 -240.38527137164</t>
  </si>
  <si>
    <t>-676.967020641732 149.185173113584 -358.288123869575</t>
  </si>
  <si>
    <t>-684.010828104801 139.504162628364 -478.900018485704</t>
  </si>
  <si>
    <t>-681.793408762254 125.268880137727 -587.469328889233</t>
  </si>
  <si>
    <t>-671.019402988143 105.821691397611 -694.710131049617</t>
  </si>
  <si>
    <t>-647.110468534856 73.6140218084311 -841.649040738121</t>
  </si>
  <si>
    <t>-594.416874286698 56.7909517442725 -927.225517063733</t>
  </si>
  <si>
    <t>-653.540357755429 118.790381741276 -782.736524961508</t>
  </si>
  <si>
    <t>-642.516153561386 265.424394768954 -784.348921686455</t>
  </si>
  <si>
    <t>-623.142410375306 352.602770719048 -480.686737259896</t>
  </si>
  <si>
    <t>-451.00987353758 238.178333601764 -322.827658543669</t>
  </si>
  <si>
    <t>-661.838501102633 56.9395249611704 -770.529626830836</t>
  </si>
  <si>
    <t>-628.666091945987 236.193656628138 -241.097591940732</t>
  </si>
  <si>
    <t>-599.402616011145 265.683473622848 212.699397000643</t>
  </si>
  <si>
    <t>-617.370218682095 287.467043596765 681.575899934005</t>
  </si>
  <si>
    <t>-460.184484140868 267.983765067313 758.104018892637</t>
  </si>
  <si>
    <t>-670.748512789603 52.6878727868684 -239.023666297759</t>
  </si>
  <si>
    <t>-671.90301090763 51.1662584682571 216.66705691731</t>
  </si>
  <si>
    <t>-742.284201425795 20.8403037274212 679.844564463878</t>
  </si>
  <si>
    <t>-602.494736990022 -58.9484562549847 750.810564471509</t>
  </si>
  <si>
    <t>9763-20170724T164104.624380700.bin</t>
  </si>
  <si>
    <t>-649.463212203756 146.601482100199 -240.453261415812</t>
  </si>
  <si>
    <t>-676.824586129988 151.360400099359 -358.336672843443</t>
  </si>
  <si>
    <t>-684.031322923358 141.67258711653 -478.938431900427</t>
  </si>
  <si>
    <t>-681.99480085787 127.395474547392 -587.505776111251</t>
  </si>
  <si>
    <t>-671.4325259264 107.871729630218 -694.753683241361</t>
  </si>
  <si>
    <t>-647.847058564285 75.522168716133 -841.713625387316</t>
  </si>
  <si>
    <t>-595.296405662647 58.5980085083796 -927.358147110819</t>
  </si>
  <si>
    <t>-654.138425530699 120.754521974385 -782.829187269629</t>
  </si>
  <si>
    <t>-643.124912306304 267.38221006051 -784.594759917768</t>
  </si>
  <si>
    <t>-623.263835100977 354.766736494647 -481.023180367925</t>
  </si>
  <si>
    <t>-451.547397672308 240.451151856466 -322.633071691895</t>
  </si>
  <si>
    <t>-662.427447800206 58.9171843982178 -770.547552110546</t>
  </si>
  <si>
    <t>-628.192706246827 238.461925129665 -241.139999898495</t>
  </si>
  <si>
    <t>-600.025573254331 266.964718721523 212.789342114684</t>
  </si>
  <si>
    <t>-617.357485218202 287.589043445552 681.730235494926</t>
  </si>
  <si>
    <t>-460.140729548546 267.991624159805 758.165444800237</t>
  </si>
  <si>
    <t>-670.644070323499 54.6204258859004 -239.084145972416</t>
  </si>
  <si>
    <t>-671.983880849616 52.1684421712657 216.601981796439</t>
  </si>
  <si>
    <t>-742.170419142582 20.7713591900593 679.828656154256</t>
  </si>
  <si>
    <t>-602.068140809734 -58.4793705627847 750.780556564979</t>
  </si>
  <si>
    <t>9763-20170724T164104.692562100.bin</t>
  </si>
  <si>
    <t>-648.767894178999 149.297830667174 -240.643325555739</t>
  </si>
  <si>
    <t>-676.315621852962 154.258775577926 -358.475185150151</t>
  </si>
  <si>
    <t>-683.716700628835 144.69138621052 -479.074803758943</t>
  </si>
  <si>
    <t>-681.853777715248 130.490646611126 -587.655173961232</t>
  </si>
  <si>
    <t>-671.460178368392 111.012304838552 -694.927741198592</t>
  </si>
  <si>
    <t>-648.101940208918 78.6953194071041 -841.931243813389</t>
  </si>
  <si>
    <t>-595.638534769343 61.6933655511787 -927.613947728867</t>
  </si>
  <si>
    <t>-654.205478532851 123.904968396118 -783.009684683586</t>
  </si>
  <si>
    <t>-642.757914441574 270.498871039129 -784.719833925824</t>
  </si>
  <si>
    <t>-622.79655964102 357.331608271214 -480.996679968775</t>
  </si>
  <si>
    <t>-451.636572116106 242.87701552495 -322.105272641007</t>
  </si>
  <si>
    <t>-662.669018309394 62.0841953435036 -770.763897420879</t>
  </si>
  <si>
    <t>-626.95055542982 241.533797281928 -241.302441210401</t>
  </si>
  <si>
    <t>-600.31128074141 268.31175127576 212.824172003698</t>
  </si>
  <si>
    <t>-617.439223874976 288.163855115836 681.834688419524</t>
  </si>
  <si>
    <t>-460.243783653437 268.249772191006 758.231942247955</t>
  </si>
  <si>
    <t>-670.493406199028 56.9188059223338 -239.278940902957</t>
  </si>
  <si>
    <t>-672.456786938928 53.3619022774825 216.397607984269</t>
  </si>
  <si>
    <t>-742.115803282103 20.6015990935454 679.717584206916</t>
  </si>
  <si>
    <t>-601.95017465692 -58.5175390291954 750.691270594418</t>
  </si>
  <si>
    <t>9763-20170724T164104.722555000.bin</t>
  </si>
  <si>
    <t>-648.323385119853 150.548428965367 -240.778335551014</t>
  </si>
  <si>
    <t>-675.992541422696 155.571967955558 -358.579011977713</t>
  </si>
  <si>
    <t>-683.523791328342 146.061493652244 -479.174982782249</t>
  </si>
  <si>
    <t>-681.781075391674 131.907781948306 -587.763541376137</t>
  </si>
  <si>
    <t>-671.509549131507 112.471113658428 -695.055586114507</t>
  </si>
  <si>
    <t>-648.322351411572 80.2055510120335 -842.097375264008</t>
  </si>
  <si>
    <t>-595.906303455758 63.1417804374149 -927.796586475744</t>
  </si>
  <si>
    <t>-654.279191067617 125.386606394707 -783.138824703352</t>
  </si>
  <si>
    <t>-642.506589661249 271.966204634549 -784.760404708389</t>
  </si>
  <si>
    <t>-622.309902944176 358.372620406421 -480.931212399323</t>
  </si>
  <si>
    <t>-451.615298040794 243.868625093151 -321.57552092546</t>
  </si>
  <si>
    <t>-662.884771605636 63.5775460215032 -770.932956239758</t>
  </si>
  <si>
    <t>-626.200637374999 242.850457699306 -241.410576613545</t>
  </si>
  <si>
    <t>-600.336186972925 268.93764029855 212.800965913915</t>
  </si>
  <si>
    <t>-617.393550110487 287.923845648776 681.86461730526</t>
  </si>
  <si>
    <t>-460.159512943429 268.208521778559 758.233965976319</t>
  </si>
  <si>
    <t>-670.470455417987 58.0180288545607 -239.387583425235</t>
  </si>
  <si>
    <t>-672.913425080607 53.98853739974 216.282866402336</t>
  </si>
  <si>
    <t>-742.093475719576 20.5003845383918 679.672639876019</t>
  </si>
  <si>
    <t>-601.873043926145 -58.4988341804282 750.671570918186</t>
  </si>
  <si>
    <t>9763-20170724T164104.792737400.bin</t>
  </si>
  <si>
    <t>-647.616584125516 153.59173458956 -240.999874435937</t>
  </si>
  <si>
    <t>-675.715931880954 158.640160247191 -358.697667286467</t>
  </si>
  <si>
    <t>-683.499381692669 149.195008041358 -479.282754822961</t>
  </si>
  <si>
    <t>-681.914861969953 135.108289798674 -587.882449389787</t>
  </si>
  <si>
    <t>-671.734547989273 115.742940113091 -695.196018047393</t>
  </si>
  <si>
    <t>-648.607903597907 83.5774237554846 -842.269289859663</t>
  </si>
  <si>
    <t>-596.147635911435 66.3737614914327 -927.913604530657</t>
  </si>
  <si>
    <t>-654.32863411488 128.695640488188 -783.239381746873</t>
  </si>
  <si>
    <t>-641.557742072529 275.172930653395 -784.642020291187</t>
  </si>
  <si>
    <t>-619.785199498449 360.582119650145 -480.639627431616</t>
  </si>
  <si>
    <t>-450.987556089732 246.218311324694 -319.17661636277</t>
  </si>
  <si>
    <t>-663.352816282538 66.9236655641202 -771.148448402853</t>
  </si>
  <si>
    <t>-624.8872085183 246.523608552918 -241.69416326263</t>
  </si>
  <si>
    <t>-600.349605326857 270.895037467941 212.686328582836</t>
  </si>
  <si>
    <t>-617.604389939536 288.745053416646 681.896792836164</t>
  </si>
  <si>
    <t>-460.383677040428 268.747539610903 758.220167711308</t>
  </si>
  <si>
    <t>-670.429729615666 60.5199710478591 -239.488204935673</t>
  </si>
  <si>
    <t>-674.336710860643 55.4830377753319 216.161899480777</t>
  </si>
  <si>
    <t>-742.141484809709 20.2403777258161 679.66989755787</t>
  </si>
  <si>
    <t>-601.483424957786 -57.9521177984379 750.696250743271</t>
  </si>
  <si>
    <t>9763-20170724T164104.823340300.bin</t>
  </si>
  <si>
    <t>-647.358652291452 155.400123443647 -241.033607170562</t>
  </si>
  <si>
    <t>-675.78163589692 160.396907667832 -358.655663041898</t>
  </si>
  <si>
    <t>-683.703800608551 150.96129532085 -479.232593171385</t>
  </si>
  <si>
    <t>-682.172110290131 136.902929484496 -587.836754225987</t>
  </si>
  <si>
    <t>-671.974940482686 117.58352946604 -695.156920847057</t>
  </si>
  <si>
    <t>-648.755692784935 85.4982201164846 -842.23318721751</t>
  </si>
  <si>
    <t>-596.194280378679 68.208091104753 -927.797919183255</t>
  </si>
  <si>
    <t>-654.392451960346 130.570595188574 -783.160131508957</t>
  </si>
  <si>
    <t>-640.991141568834 276.995695156641 -784.501296435025</t>
  </si>
  <si>
    <t>-616.526680269864 361.617957386266 -480.483707754894</t>
  </si>
  <si>
    <t>-449.520995089889 248.012142786517 -316.639626496315</t>
  </si>
  <si>
    <t>-663.666560254638 68.819325022795 -771.152972988155</t>
  </si>
  <si>
    <t>-624.237228245409 248.568631238571 -241.877433738919</t>
  </si>
  <si>
    <t>-600.243805324703 271.766432065397 212.593487370277</t>
  </si>
  <si>
    <t>-617.675197707375 288.618747183223 681.852973988006</t>
  </si>
  <si>
    <t>-460.492250182868 268.286144573778 758.165597208769</t>
  </si>
  <si>
    <t>-670.468949040035 62.093799437814 -239.380592642565</t>
  </si>
  <si>
    <t>-674.590873458769 56.3866158524536 216.259723800562</t>
  </si>
  <si>
    <t>-742.240499109906 20.0130825263889 679.713208500537</t>
  </si>
  <si>
    <t>-601.280119447473 -57.6312469535479 750.741632890581</t>
  </si>
  <si>
    <t>9763-20170724T164104.893526600.bin</t>
  </si>
  <si>
    <t>-646.751728400039 160.223668555055 -240.877256111607</t>
  </si>
  <si>
    <t>-675.670510241219 165.150693964341 -358.381440039642</t>
  </si>
  <si>
    <t>-683.793275799134 155.778052365693 -478.949843404296</t>
  </si>
  <si>
    <t>-682.325871327495 141.82401382818 -587.568355844879</t>
  </si>
  <si>
    <t>-672.079409294117 122.654401112775 -694.910762496931</t>
  </si>
  <si>
    <t>-648.678236010441 90.82254540768 -842.013135269484</t>
  </si>
  <si>
    <t>-595.801834942573 73.4365006819454 -927.364284677459</t>
  </si>
  <si>
    <t>-654.131835914149 135.762551968058 -782.822166663939</t>
  </si>
  <si>
    <t>-639.291807243022 282.034689656346 -783.947058152886</t>
  </si>
  <si>
    <t>-603.960444507979 362.303804763456 -479.817556641895</t>
  </si>
  <si>
    <t>-443.195200428311 249.572889749892 -309.26452136237</t>
  </si>
  <si>
    <t>-663.933235666451 74.051789048355 -771.027639266259</t>
  </si>
  <si>
    <t>-622.745139787922 253.477825833642 -242.11563746586</t>
  </si>
  <si>
    <t>-599.618417697135 274.05769407519 212.526329777092</t>
  </si>
  <si>
    <t>-617.885421714677 288.434369433936 681.795933538781</t>
  </si>
  <si>
    <t>-460.604634219438 268.652026297946 758.051461521598</t>
  </si>
  <si>
    <t>-670.655000929535 67.0854671639454 -238.864883463644</t>
  </si>
  <si>
    <t>-672.804309270823 58.8209701364273 216.749813196095</t>
  </si>
  <si>
    <t>-742.360937821793 19.6512044018182 679.772985464269</t>
  </si>
  <si>
    <t>-601.063095680343 -57.4172440302059 750.758122009834</t>
  </si>
  <si>
    <t>9763-20170724T164104.925850300.bin</t>
  </si>
  <si>
    <t>-646.114160101862 163.335069572531 -240.559097101235</t>
  </si>
  <si>
    <t>-675.139245356426 168.153739932012 -358.041526512711</t>
  </si>
  <si>
    <t>-683.258475997554 158.852012315801 -478.615694359957</t>
  </si>
  <si>
    <t>-681.748642878504 145.028820266234 -587.250368643003</t>
  </si>
  <si>
    <t>-671.423814388333 126.053268370802 -694.619677870279</t>
  </si>
  <si>
    <t>-647.879314886601 94.5531134823077 -841.770711082051</t>
  </si>
  <si>
    <t>-594.817521769186 77.1896510298063 -927.011107193609</t>
  </si>
  <si>
    <t>-653.24026448939 139.340632532691 -782.455732199445</t>
  </si>
  <si>
    <t>-637.246422504565 285.497905356855 -783.323802268602</t>
  </si>
  <si>
    <t>-594.813841551649 362.373977924657 -479.225570536993</t>
  </si>
  <si>
    <t>-437.579568745755 249.920524970389 -305.232355945439</t>
  </si>
  <si>
    <t>-663.353845458503 77.641355111842 -770.866104367062</t>
  </si>
  <si>
    <t>-621.751999336359 256.380540522469 -242.116798123479</t>
  </si>
  <si>
    <t>-599.117464601469 275.588824622184 212.609939303587</t>
  </si>
  <si>
    <t>-618.037636643567 288.25271005453 681.8009372193</t>
  </si>
  <si>
    <t>-460.798242463781 267.929082250752 757.999643834777</t>
  </si>
  <si>
    <t>-670.360758031012 70.4101016272408 -238.401624239802</t>
  </si>
  <si>
    <t>-670.517585809668 60.5609577306886 217.186533458485</t>
  </si>
  <si>
    <t>-742.263139046958 19.6222775265942 679.75393257152</t>
  </si>
  <si>
    <t>-601.193769980192 -57.8766508935754 750.724885675051</t>
  </si>
  <si>
    <t>9763-20170724T164104.992022400.bin</t>
  </si>
  <si>
    <t>-643.996509288173 170.890652523762 -240.028434502041</t>
  </si>
  <si>
    <t>-673.909526519073 175.533689972596 -357.295027120452</t>
  </si>
  <si>
    <t>-682.429120931757 166.51827077574 -477.863294315808</t>
  </si>
  <si>
    <t>-681.095982628681 153.116125439528 -586.553022666465</t>
  </si>
  <si>
    <t>-670.772447922206 134.709998145399 -694.021592226534</t>
  </si>
  <si>
    <t>-647.057657077955 104.14206246717 -841.341719518946</t>
  </si>
  <si>
    <t>-593.622678289251 86.810075679983 -926.355104988933</t>
  </si>
  <si>
    <t>-652.033633679926 148.49076153204 -781.664647042616</t>
  </si>
  <si>
    <t>-633.051059373087 294.281276269484 -781.098611523727</t>
  </si>
  <si>
    <t>-573.715766135913 360.780475653429 -477.382642751515</t>
  </si>
  <si>
    <t>-424.250817770069 248.303810784726 -296.685888028936</t>
  </si>
  <si>
    <t>-663.067800555004 86.8440709839323 -770.649543061185</t>
  </si>
  <si>
    <t>-618.89862523917 263.237332122792 -242.121629638135</t>
  </si>
  <si>
    <t>-598.050393276398 279.582640643171 212.802417561362</t>
  </si>
  <si>
    <t>-618.328165730566 288.000304639925 681.874622489092</t>
  </si>
  <si>
    <t>-461.153813764557 266.811534584748 757.971648455576</t>
  </si>
  <si>
    <t>-669.054195411206 78.6005581260814 -237.26193590772</t>
  </si>
  <si>
    <t>-664.352943669506 65.1150769471086 218.208829481416</t>
  </si>
  <si>
    <t>-741.830014821058 19.84881249868 679.559205585629</t>
  </si>
  <si>
    <t>-601.390827180285 -58.8125115737958 750.501072770184</t>
  </si>
  <si>
    <t>9763-20170724T164105.028123000.bin</t>
  </si>
  <si>
    <t>-642.661170185319 175.185261035662 -239.706483436905</t>
  </si>
  <si>
    <t>-672.80633319498 179.802931432887 -356.914739490229</t>
  </si>
  <si>
    <t>-681.435703342198 171.040411728059 -477.493775183829</t>
  </si>
  <si>
    <t>-680.160625463035 157.963696222941 -586.223752125133</t>
  </si>
  <si>
    <t>-669.85864831141 139.970655555502 -693.764453882353</t>
  </si>
  <si>
    <t>-646.140084291308 110.058753435065 -841.218510882494</t>
  </si>
  <si>
    <t>-592.591514497443 92.7451928281481 -926.164228443665</t>
  </si>
  <si>
    <t>-650.80935323928 154.094881837243 -781.28574529769</t>
  </si>
  <si>
    <t>-629.840518874263 299.616552052363 -779.637958443226</t>
  </si>
  <si>
    <t>-562.313117345729 359.697374893266 -476.295673463062</t>
  </si>
  <si>
    <t>-416.721615164625 247.491595330848 -292.298238771456</t>
  </si>
  <si>
    <t>-662.460230754828 92.4927702432967 -770.663396868152</t>
  </si>
  <si>
    <t>-429.102016512535 1.04470700013223 -420.583620212555</t>
  </si>
  <si>
    <t>-616.940483510578 267.140858970949 -242.085701651331</t>
  </si>
  <si>
    <t>-597.500058662477 281.959792089796 212.95284058471</t>
  </si>
  <si>
    <t>-618.475968302204 287.930117782082 681.960154614366</t>
  </si>
  <si>
    <t>-461.278083614486 266.5610072396 757.958235533373</t>
  </si>
  <si>
    <t>-668.293602990559 83.2876234575566 -236.599715557816</t>
  </si>
  <si>
    <t>-660.571755679711 67.6768927233955 218.762036700885</t>
  </si>
  <si>
    <t>-741.54937280984 20.0312914964738 679.318542855797</t>
  </si>
  <si>
    <t>-601.547681932826 -59.440811207788 750.221421647168</t>
  </si>
  <si>
    <t>9763-20170724T164105.089285800.bin</t>
  </si>
  <si>
    <t>-638.860853905983 185.63011857583 -238.756007687237</t>
  </si>
  <si>
    <t>-669.158552405878 189.947607741603 -355.936333041539</t>
  </si>
  <si>
    <t>-677.799338616568 181.539528693194 -476.539872602067</t>
  </si>
  <si>
    <t>-676.49768972447 169.017579181684 -585.334781880812</t>
  </si>
  <si>
    <t>-666.141634435164 151.796472879597 -692.996528614474</t>
  </si>
  <si>
    <t>-642.327294203768 123.16412292214 -840.689089318151</t>
  </si>
  <si>
    <t>-588.587165348742 105.722720881746 -925.487485804978</t>
  </si>
  <si>
    <t>-646.236118984342 166.542257584999 -780.224348112824</t>
  </si>
  <si>
    <t>-620.353221755476 311.251831519394 -776.268083734689</t>
  </si>
  <si>
    <t>-539.738765089155 357.659234807342 -473.722390565234</t>
  </si>
  <si>
    <t>-401.647804930784 244.191389449021 -284.783187619093</t>
  </si>
  <si>
    <t>-659.49272222166 105.123847626612 -770.455005509851</t>
  </si>
  <si>
    <t>-690.833956515201 8.75491498371213 -415.31847317318</t>
  </si>
  <si>
    <t>-430.79463832132 9.06958598114916 -419.957115110946</t>
  </si>
  <si>
    <t>-611.585453068324 276.239712912121 -241.994061123324</t>
  </si>
  <si>
    <t>-595.657041960825 287.913344843697 213.272512618413</t>
  </si>
  <si>
    <t>-618.785797614074 288.016058926066 682.117424549475</t>
  </si>
  <si>
    <t>-461.504298018333 266.381993610211 757.867011246804</t>
  </si>
  <si>
    <t>-666.030949154573 94.9437783334421 -234.722589381059</t>
  </si>
  <si>
    <t>-650.638471730131 73.3962471786975 220.202117957701</t>
  </si>
  <si>
    <t>-740.870230208408 20.5943187273552 678.489829644357</t>
  </si>
  <si>
    <t>-602.114669764592 -61.1975388718797 749.204022487323</t>
  </si>
  <si>
    <t>9763-20170724T164105.125925600.bin</t>
  </si>
  <si>
    <t>-636.394788417027 191.602040059347 -238.049675695171</t>
  </si>
  <si>
    <t>-666.756289621566 195.676559540766 -355.222145651737</t>
  </si>
  <si>
    <t>-675.390729431078 187.335345438811 -475.830716002235</t>
  </si>
  <si>
    <t>-674.064250864817 174.985867703175 -584.645120684621</t>
  </si>
  <si>
    <t>-663.668464717283 158.042146088556 -692.347038748731</t>
  </si>
  <si>
    <t>-639.787025743088 129.896455268992 -840.122245920943</t>
  </si>
  <si>
    <t>-585.968623869411 112.260691238074 -924.830784402796</t>
  </si>
  <si>
    <t>-643.230277492336 172.979800239925 -779.418915315348</t>
  </si>
  <si>
    <t>-614.39346380845 317.094518515129 -774.371198546106</t>
  </si>
  <si>
    <t>-529.319046415471 356.935363285261 -472.110979168629</t>
  </si>
  <si>
    <t>-394.623363824147 242.590228158562 -281.259360339186</t>
  </si>
  <si>
    <t>-657.477325631743 111.72035942668 -770.053687644939</t>
  </si>
  <si>
    <t>-691.8230668103 14.5145351139069 -415.523971704871</t>
  </si>
  <si>
    <t>-431.775675989904 12.9969163583504 -419.412691473489</t>
  </si>
  <si>
    <t>-608.172463326339 281.38678196271 -241.886905744562</t>
  </si>
  <si>
    <t>-594.43871582773 291.308409045899 213.492771866102</t>
  </si>
  <si>
    <t>-618.960607391583 287.990218109981 682.201229433682</t>
  </si>
  <si>
    <t>-461.691360417374 265.889603143845 757.841437700832</t>
  </si>
  <si>
    <t>-664.481476312813 101.698002538128 -233.479475386477</t>
  </si>
  <si>
    <t>-644.708285572861 76.5814880804541 221.092709819296</t>
  </si>
  <si>
    <t>-740.444495406214 20.8906674950851 677.914574236229</t>
  </si>
  <si>
    <t>-602.573947499439 -62.4374488282944 748.566235963644</t>
  </si>
  <si>
    <t>9763-20170724T164105.191098000.bin</t>
  </si>
  <si>
    <t>-630.230822779082 204.575231074605 -236.17662803017</t>
  </si>
  <si>
    <t>-660.430074695565 207.98622807239 -353.412244570226</t>
  </si>
  <si>
    <t>-668.860356692498 199.499270468871 -474.025123867247</t>
  </si>
  <si>
    <t>-667.349689612895 187.208780130664 -582.84373913052</t>
  </si>
  <si>
    <t>-656.776846492178 170.506763025206 -690.566175044347</t>
  </si>
  <si>
    <t>-632.661949811814 142.87594791738 -838.400596124458</t>
  </si>
  <si>
    <t>-578.591300888422 124.473583218221 -922.784862207975</t>
  </si>
  <si>
    <t>-635.072078889409 185.496483774876 -777.321923898563</t>
  </si>
  <si>
    <t>-600.089650131156 328.176131365292 -770.543614490214</t>
  </si>
  <si>
    <t>-509.352565090955 357.246820222878 -468.702787784563</t>
  </si>
  <si>
    <t>-380.946215216067 241.07034171263 -274.648973164792</t>
  </si>
  <si>
    <t>-651.592028000439 124.706922688848 -768.654944283411</t>
  </si>
  <si>
    <t>-692.318845880962 26.2965584580134 -415.207437030728</t>
  </si>
  <si>
    <t>-432.328569698881 19.9996492162619 -417.936138030514</t>
  </si>
  <si>
    <t>-599.623242098898 292.440739623263 -241.446760566907</t>
  </si>
  <si>
    <t>-590.541712225905 299.0873571184 214.109021806821</t>
  </si>
  <si>
    <t>-619.246756227743 287.952029000151 682.415905182487</t>
  </si>
  <si>
    <t>-461.917161845546 265.444865077095 757.810399795588</t>
  </si>
  <si>
    <t>-660.686651461625 116.419241193812 -230.14412907981</t>
  </si>
  <si>
    <t>-630.740589639146 82.9965300003415 223.335606999957</t>
  </si>
  <si>
    <t>-739.481754203188 21.3449221260145 676.365007707117</t>
  </si>
  <si>
    <t>-603.979638219807 -65.6965973382172 747.121391958302</t>
  </si>
  <si>
    <t>9763-20170724T164105.222503100.bin</t>
  </si>
  <si>
    <t>-626.650157969284 211.352237784309 -235.095886779991</t>
  </si>
  <si>
    <t>-656.898135106318 214.203856999384 -352.333800271847</t>
  </si>
  <si>
    <t>-665.26805639004 205.409922933053 -472.928954452068</t>
  </si>
  <si>
    <t>-663.665425632634 192.938962071699 -581.725728854709</t>
  </si>
  <si>
    <t>-652.966219031135 176.152787482183 -689.422546266497</t>
  </si>
  <si>
    <t>-628.643256910524 148.502046993429 -837.219155123248</t>
  </si>
  <si>
    <t>-574.37363405492 129.560248363115 -921.355897287912</t>
  </si>
  <si>
    <t>-630.552227443415 190.982574024168 -776.025431209663</t>
  </si>
  <si>
    <t>-592.537518951203 332.864834769792 -768.636689867955</t>
  </si>
  <si>
    <t>-500.452956504164 357.763573924018 -466.830904018501</t>
  </si>
  <si>
    <t>-374.847717808157 240.343828718915 -271.695236803529</t>
  </si>
  <si>
    <t>-648.258658846227 130.490682419537 -767.622137396835</t>
  </si>
  <si>
    <t>-692.210324284263 31.9446697767529 -414.555178730881</t>
  </si>
  <si>
    <t>-432.310181824566 22.5575492729277 -416.970092629952</t>
  </si>
  <si>
    <t>-594.844258243965 298.170683016371 -241.177546501615</t>
  </si>
  <si>
    <t>-587.809120362693 303.169427421517 214.435416210112</t>
  </si>
  <si>
    <t>-619.359482108434 287.9634465297 682.529009150176</t>
  </si>
  <si>
    <t>-462.107325520781 264.733056500964 757.865638689455</t>
  </si>
  <si>
    <t>-658.359421350228 124.194819271901 -228.259686185512</t>
  </si>
  <si>
    <t>-623.722731886451 86.4399916893193 224.545500310224</t>
  </si>
  <si>
    <t>-739.001177432201 21.3576778994403 675.459753650128</t>
  </si>
  <si>
    <t>-604.907896983181 -67.6501131790088 746.453547105318</t>
  </si>
  <si>
    <t>9763-20170724T164105.289676700.bin</t>
  </si>
  <si>
    <t>-618.97500255071 225.046217533981 -232.609819561893</t>
  </si>
  <si>
    <t>-649.860716729176 226.753008228131 -349.703727111691</t>
  </si>
  <si>
    <t>-658.406971557476 217.135387087222 -470.223372735186</t>
  </si>
  <si>
    <t>-656.780488424634 204.048438318554 -578.947540381243</t>
  </si>
  <si>
    <t>-645.877783038984 186.780411073099 -686.547703045898</t>
  </si>
  <si>
    <t>-621.091219778452 158.601551751142 -834.167401520264</t>
  </si>
  <si>
    <t>-566.360776693778 138.348128598579 -917.698091240055</t>
  </si>
  <si>
    <t>-622.022788595376 200.968870025455 -772.872622393275</t>
  </si>
  <si>
    <t>-578.195703432971 341.118589460849 -764.781719216922</t>
  </si>
  <si>
    <t>-486.614339295948 360.202232350123 -462.399753291098</t>
  </si>
  <si>
    <t>-365.061634412078 240.253570730362 -266.238220510216</t>
  </si>
  <si>
    <t>-642.094274549682 141.170700190633 -764.828080337747</t>
  </si>
  <si>
    <t>-690.399652523965 7.58161376367259 -726.81662261448</t>
  </si>
  <si>
    <t>-692.228247724704 43.3508351903365 -412.327433075574</t>
  </si>
  <si>
    <t>-432.659417549621 27.121736758525 -413.973240786082</t>
  </si>
  <si>
    <t>-584.36745321876 310.284502869396 -240.430241795632</t>
  </si>
  <si>
    <t>-580.828556401586 312.21316015034 215.2467194709</t>
  </si>
  <si>
    <t>-618.825868353774 288.904700014436 682.826789275923</t>
  </si>
  <si>
    <t>-462.02424822934 264.676349797494 758.785595126787</t>
  </si>
  <si>
    <t>-653.779915678828 139.800017060402 -223.758063066602</t>
  </si>
  <si>
    <t>-609.922431375622 93.5043740317213 227.4524683235</t>
  </si>
  <si>
    <t>-738.001169230653 20.9864818989226 673.634953577393</t>
  </si>
  <si>
    <t>-606.625360311959 -71.2223515465276 745.617069966514</t>
  </si>
  <si>
    <t>9763-20170724T164105.326672900.bin</t>
  </si>
  <si>
    <t>-615.423621370268 232.058077864915 -231.137066141051</t>
  </si>
  <si>
    <t>-646.828850419521 233.363267017501 -348.097757505671</t>
  </si>
  <si>
    <t>-655.588880606615 223.336338726997 -468.568785002295</t>
  </si>
  <si>
    <t>-654.028832115135 209.877781601539 -577.248692745794</t>
  </si>
  <si>
    <t>-643.066321157599 192.241909869161 -684.782951770173</t>
  </si>
  <si>
    <t>-618.068514593406 163.559270000802 -832.27005390352</t>
  </si>
  <si>
    <t>-563.102982587024 142.579196547764 -915.466217193241</t>
  </si>
  <si>
    <t>-618.542670112642 205.964049136848 -770.995837867863</t>
  </si>
  <si>
    <t>-572.175166423243 345.267432563822 -762.707664804837</t>
  </si>
  <si>
    <t>-481.521787794576 363.072330942612 -459.968332284827</t>
  </si>
  <si>
    <t>-361.694068654769 241.319135071832 -263.857275093185</t>
  </si>
  <si>
    <t>-639.71586064719 146.536814059843 -763.027419380872</t>
  </si>
  <si>
    <t>-690.468094234535 13.7981418733477 -725.19827324918</t>
  </si>
  <si>
    <t>-693.246841591787 49.6400404628728 -410.724208270473</t>
  </si>
  <si>
    <t>-433.909564410457 30.0144315631899 -411.75375182978</t>
  </si>
  <si>
    <t>-579.058826908948 316.392545478139 -239.853011161597</t>
  </si>
  <si>
    <t>-577.124434281238 316.753642928612 215.837521305503</t>
  </si>
  <si>
    <t>-618.486006082059 289.243237783477 682.958024011649</t>
  </si>
  <si>
    <t>-461.830208418143 264.699030088494 759.116044396381</t>
  </si>
  <si>
    <t>-651.928366960713 147.873905712258 -221.384720055846</t>
  </si>
  <si>
    <t>-603.819205475741 97.207124922431 228.921907144918</t>
  </si>
  <si>
    <t>-737.520062435595 20.5715309397734 672.718427472906</t>
  </si>
  <si>
    <t>-607.384348099979 -72.8470269439487 745.390178372831</t>
  </si>
  <si>
    <t>9763-20170724T164105.394853900.bin</t>
  </si>
  <si>
    <t>-608.399859835678 245.198821046613 -228.676189004061</t>
  </si>
  <si>
    <t>-640.456731727475 246.270082092713 -345.462332076062</t>
  </si>
  <si>
    <t>-649.336744360073 235.712328627595 -465.879309765127</t>
  </si>
  <si>
    <t>-647.665199685847 221.654969665326 -574.481540112657</t>
  </si>
  <si>
    <t>-636.373847562978 203.310736008984 -681.863379594381</t>
  </si>
  <si>
    <t>-610.70041105915 173.537700796379 -829.01782618967</t>
  </si>
  <si>
    <t>-555.11913720681 151.156768583477 -911.436330736737</t>
  </si>
  <si>
    <t>-610.513052911371 216.07288485876 -767.832587487521</t>
  </si>
  <si>
    <t>-559.923419387836 353.852606509319 -759.092716828772</t>
  </si>
  <si>
    <t>-471.905403483459 370.816526809298 -455.528574098014</t>
  </si>
  <si>
    <t>-354.88940007183 246.373847459183 -259.407927169033</t>
  </si>
  <si>
    <t>-633.607213286236 157.349765433293 -759.980523127017</t>
  </si>
  <si>
    <t>-688.804689503298 26.3259999440909 -722.34434420292</t>
  </si>
  <si>
    <t>-692.997072900787 63.2447417305249 -408.010649786052</t>
  </si>
  <si>
    <t>-434.26550830139 36.7870044503325 -407.888842482428</t>
  </si>
  <si>
    <t>-569.293502670809 328.544077450225 -238.588948485005</t>
  </si>
  <si>
    <t>-569.616526117373 324.436246262108 217.087105921019</t>
  </si>
  <si>
    <t>-618.172463253077 289.798872701894 683.040496287604</t>
  </si>
  <si>
    <t>-462.087258589224 263.171351572839 759.668877726877</t>
  </si>
  <si>
    <t>-647.25775984107 161.927072700223 -218.160983942079</t>
  </si>
  <si>
    <t>-594.645141395499 105.489204593949 230.954150078259</t>
  </si>
  <si>
    <t>-735.949397637528 20.1113408573537 670.310855925681</t>
  </si>
  <si>
    <t>-608.578227589996 -75.5793446944471 744.898939893366</t>
  </si>
  <si>
    <t>9763-20170724T164105.456023400.bin</t>
  </si>
  <si>
    <t>-602.044962493996 257.335575426509 -227.512522891673</t>
  </si>
  <si>
    <t>-634.420516361115 258.560509493053 -344.209237274841</t>
  </si>
  <si>
    <t>-643.138865603419 247.55382621278 -464.597934458397</t>
  </si>
  <si>
    <t>-641.12422906388 232.846724220008 -573.108321190846</t>
  </si>
  <si>
    <t>-629.297997489653 213.618181636653 -680.277477704614</t>
  </si>
  <si>
    <t>-602.691936427694 182.381099214751 -826.962039864104</t>
  </si>
  <si>
    <t>-546.427121269191 158.658641025003 -908.537304295542</t>
  </si>
  <si>
    <t>-602.204171835894 225.268173166784 -766.024611645674</t>
  </si>
  <si>
    <t>-548.533344672526 361.920165564928 -757.339461489264</t>
  </si>
  <si>
    <t>-463.287979035661 378.941598170638 -452.988171947857</t>
  </si>
  <si>
    <t>-349.054643060588 252.28602796975 -256.643694566148</t>
  </si>
  <si>
    <t>-626.724392606331 167.136917071633 -758.092814129447</t>
  </si>
  <si>
    <t>-685.225801051839 37.5971107806483 -720.471738197168</t>
  </si>
  <si>
    <t>-691.544695506185 76.9563474859243 -406.469944026331</t>
  </si>
  <si>
    <t>-433.695880736146 43.0043921369677 -404.648740148533</t>
  </si>
  <si>
    <t>-560.687322091175 340.177782956022 -237.89779742813</t>
  </si>
  <si>
    <t>-562.52116468526 331.204363989644 217.704794160576</t>
  </si>
  <si>
    <t>-617.827994372707 290.990974658745 682.300886348527</t>
  </si>
  <si>
    <t>-462.101915226906 263.658191094116 759.410063374513</t>
  </si>
  <si>
    <t>-643.335329285923 174.682577231169 -216.725766464838</t>
  </si>
  <si>
    <t>-585.240816935638 113.452048026268 231.08396303118</t>
  </si>
  <si>
    <t>-733.363657341756 20.2118968658246 666.000760075723</t>
  </si>
  <si>
    <t>-609.560588672784 -77.9356131968801 743.353140209028</t>
  </si>
  <si>
    <t>9763-20170724T164105.492116900.bin</t>
  </si>
  <si>
    <t>-598.993494651185 262.815614944174 -227.19297234347</t>
  </si>
  <si>
    <t>-631.59083499654 264.013374406235 -343.828246942383</t>
  </si>
  <si>
    <t>-640.264894942849 252.71868761686 -464.193255910017</t>
  </si>
  <si>
    <t>-638.106450714838 237.635541611993 -572.649148938123</t>
  </si>
  <si>
    <t>-626.039503496579 217.912433663895 -679.701747830635</t>
  </si>
  <si>
    <t>-599.006410219003 185.863385773482 -826.132893208494</t>
  </si>
  <si>
    <t>-542.394867889635 161.483190550293 -907.273039024732</t>
  </si>
  <si>
    <t>-598.414521630134 228.977628914424 -765.356764584514</t>
  </si>
  <si>
    <t>-543.52271423212 365.152576840714 -756.803187889472</t>
  </si>
  <si>
    <t>-459.444426770836 382.347792685497 -452.137153677431</t>
  </si>
  <si>
    <t>-346.617458699331 255.013108987197 -255.419059136428</t>
  </si>
  <si>
    <t>-623.520840809914 171.110639328429 -757.326511484913</t>
  </si>
  <si>
    <t>-683.417487797861 42.2479021534835 -719.521462211341</t>
  </si>
  <si>
    <t>-690.595428335981 83.0181112200008 -405.718363831998</t>
  </si>
  <si>
    <t>-433.223058259112 45.6721307972376 -403.109165325685</t>
  </si>
  <si>
    <t>-557.034885479335 345.441696772584 -237.636855699811</t>
  </si>
  <si>
    <t>-559.516451868435 334.211835550614 217.912719856879</t>
  </si>
  <si>
    <t>-617.887964149641 291.260780199329 682.143875024743</t>
  </si>
  <si>
    <t>-462.263235123719 263.685644696467 759.371191870518</t>
  </si>
  <si>
    <t>-640.837175790369 180.281557823244 -216.325029341773</t>
  </si>
  <si>
    <t>-580.094355783018 117.326869308401 230.893844987445</t>
  </si>
  <si>
    <t>-731.750021771853 20.6146541447511 663.959958473702</t>
  </si>
  <si>
    <t>-610.080532951704 -79.0392050427855 742.758211097555</t>
  </si>
  <si>
    <t>9763-20170724T164105.524205400.bin</t>
  </si>
  <si>
    <t>-596.155963095511 267.587492659488 -227.069867527581</t>
  </si>
  <si>
    <t>-628.958207509754 268.848164601064 -343.647041295137</t>
  </si>
  <si>
    <t>-637.555033911652 257.340307356028 -463.997449098406</t>
  </si>
  <si>
    <t>-635.218678008537 241.938540293198 -572.404862993426</t>
  </si>
  <si>
    <t>-622.873664107853 221.766408774971 -679.341977185462</t>
  </si>
  <si>
    <t>-595.36044377675 188.954200626408 -825.514321989803</t>
  </si>
  <si>
    <t>-538.387045286664 163.956239753641 -906.212178762618</t>
  </si>
  <si>
    <t>-594.72056466465 232.285887557866 -764.893628664377</t>
  </si>
  <si>
    <t>-538.732733235232 367.988624547936 -756.438298032707</t>
  </si>
  <si>
    <t>-455.552017077246 385.474439022802 -451.542608080227</t>
  </si>
  <si>
    <t>-344.117430718224 257.538294722647 -254.421513669273</t>
  </si>
  <si>
    <t>-620.347810775008 174.659201040006 -756.781518335323</t>
  </si>
  <si>
    <t>-681.417629748859 46.3578323116327 -718.845570144357</t>
  </si>
  <si>
    <t>-689.248373129916 88.0698958939489 -405.18169612115</t>
  </si>
  <si>
    <t>-432.329199543186 47.824383031419 -401.323446276713</t>
  </si>
  <si>
    <t>-553.775388836197 350.480016947308 -237.500117117234</t>
  </si>
  <si>
    <t>-556.903251247794 337.128274179159 217.988159256826</t>
  </si>
  <si>
    <t>-617.686019999635 292.006213274184 681.634294815777</t>
  </si>
  <si>
    <t>-462.309165013146 263.57055787093 759.048435699643</t>
  </si>
  <si>
    <t>-638.438200862396 184.883617255967 -216.198399272715</t>
  </si>
  <si>
    <t>-575.802334485174 120.148230700396 230.504736025173</t>
  </si>
  <si>
    <t>-729.786864495247 22.5380121532425 662.746869402781</t>
  </si>
  <si>
    <t>-610.437152160502 -79.1264587483712 742.518344775872</t>
  </si>
  <si>
    <t>9763-20170724T164105.588376800.bin</t>
  </si>
  <si>
    <t>-590.084621571129 274.416816792149 -228.002947852767</t>
  </si>
  <si>
    <t>-622.71965739777 275.813681764585 -344.625454698168</t>
  </si>
  <si>
    <t>-630.842030485704 264.097977738809 -464.98883325159</t>
  </si>
  <si>
    <t>-627.971092940459 248.342284518205 -573.332489215815</t>
  </si>
  <si>
    <t>-615.002173567224 227.638715507087 -680.094059280943</t>
  </si>
  <si>
    <t>-586.546761638036 193.894073402608 -825.873243819348</t>
  </si>
  <si>
    <t>-528.874882131828 168.019506996762 -905.794835943385</t>
  </si>
  <si>
    <t>-585.998786171203 237.489581441363 -765.441006244965</t>
  </si>
  <si>
    <t>-528.510586992647 372.559408455992 -756.854652358724</t>
  </si>
  <si>
    <t>-446.545285045611 390.367325919639 -451.64859319021</t>
  </si>
  <si>
    <t>-338.199201766093 261.999538209269 -253.0916231129</t>
  </si>
  <si>
    <t>-612.276014013388 180.160480129798 -757.299886546004</t>
  </si>
  <si>
    <t>-674.962544483487 52.6923377052675 -719.231386406281</t>
  </si>
  <si>
    <t>-683.848921754832 96.1545230215127 -405.833473938418</t>
  </si>
  <si>
    <t>-427.607623274267 52.0765634657877 -399.541912930477</t>
  </si>
  <si>
    <t>-547.476274562905 358.326561189178 -237.765035664875</t>
  </si>
  <si>
    <t>-551.878573412564 341.418516393645 217.594588348625</t>
  </si>
  <si>
    <t>-617.623453934139 292.833747899798 680.734035029609</t>
  </si>
  <si>
    <t>-462.296343561425 264.650038666631 758.339885311729</t>
  </si>
  <si>
    <t>-632.206722560752 190.182987250264 -217.926525520627</t>
  </si>
  <si>
    <t>-568.544558990116 123.680969372751 228.371880909649</t>
  </si>
  <si>
    <t>-723.930054350759 28.019430010166 659.858239289054</t>
  </si>
  <si>
    <t>-611.12924070999 -78.5017278744247 742.760165749674</t>
  </si>
  <si>
    <t>9763-20170724T164105.625482000.bin</t>
  </si>
  <si>
    <t>-586.948757685667 276.602030033738 -228.812940002619</t>
  </si>
  <si>
    <t>-619.360906094194 278.195945773609 -345.494963095791</t>
  </si>
  <si>
    <t>-627.191512244214 266.491453493912 -465.878829267636</t>
  </si>
  <si>
    <t>-624.038076455801 250.65958946744 -574.203617068253</t>
  </si>
  <si>
    <t>-610.775088977874 229.788290938499 -680.896348722646</t>
  </si>
  <si>
    <t>-581.906214174624 195.711729185474 -826.516933223185</t>
  </si>
  <si>
    <t>-523.920572274694 169.537445930601 -906.113138372397</t>
  </si>
  <si>
    <t>-581.457932241084 239.414821134939 -766.161667868507</t>
  </si>
  <si>
    <t>-523.5193376129 374.313013003771 -757.560104249194</t>
  </si>
  <si>
    <t>-442.23534718643 392.29198982854 -452.181932217588</t>
  </si>
  <si>
    <t>-335.397658424459 263.851638847622 -252.856029340984</t>
  </si>
  <si>
    <t>-607.901710683319 182.164241492967 -758.006993054419</t>
  </si>
  <si>
    <t>-671.07984395689 54.9477755828399 -719.977553348436</t>
  </si>
  <si>
    <t>-680.627033984541 99.0233626494201 -406.684786869355</t>
  </si>
  <si>
    <t>-424.619099174633 53.8386649471661 -398.917415591656</t>
  </si>
  <si>
    <t>-544.248105747761 361.457992472222 -238.04341218526</t>
  </si>
  <si>
    <t>-549.362287079332 342.777539788894 217.239509389172</t>
  </si>
  <si>
    <t>-617.502063217279 293.404841359891 680.114483657904</t>
  </si>
  <si>
    <t>-462.370310708462 264.801375785423 757.957230402004</t>
  </si>
  <si>
    <t>-629.176951928321 191.682943466154 -219.210182480301</t>
  </si>
  <si>
    <t>-565.807103404254 125.120871395016 227.120919376871</t>
  </si>
  <si>
    <t>-721.52033411915 28.9959926608691 658.804454382421</t>
  </si>
  <si>
    <t>-611.359150215862 -78.4274325111764 744.058386490935</t>
  </si>
  <si>
    <t>9763-20170724T164105.692659000.bin</t>
  </si>
  <si>
    <t>-579.901091935102 279.287865347452 -229.667804237105</t>
  </si>
  <si>
    <t>-611.753679656983 281.188446597348 -346.499352760958</t>
  </si>
  <si>
    <t>-618.970206219 269.537705939721 -466.926759388253</t>
  </si>
  <si>
    <t>-615.263174313795 253.62368773555 -575.221968079492</t>
  </si>
  <si>
    <t>-601.464129564658 232.523839646413 -681.801638367377</t>
  </si>
  <si>
    <t>-571.883612305513 197.964400259182 -827.165403130677</t>
  </si>
  <si>
    <t>-513.425846153922 171.470721669553 -906.309318813966</t>
  </si>
  <si>
    <t>-571.682240272572 241.847430882559 -766.939569019988</t>
  </si>
  <si>
    <t>-513.298821106148 376.547877792108 -758.298627006647</t>
  </si>
  <si>
    <t>-434.005780952086 395.256016863227 -452.441174821984</t>
  </si>
  <si>
    <t>-329.780435155735 266.163316517498 -252.155851336946</t>
  </si>
  <si>
    <t>-598.261905792839 184.6643503337 -758.753447747503</t>
  </si>
  <si>
    <t>-661.929176312163 57.6596613743035 -720.860658605692</t>
  </si>
  <si>
    <t>-672.986894931131 103.100170835437 -407.812586946275</t>
  </si>
  <si>
    <t>-417.322145383877 56.3286473650616 -398.324269564618</t>
  </si>
  <si>
    <t>-537.773661604871 366.397552252463 -238.298961535545</t>
  </si>
  <si>
    <t>-544.688306912814 344.498993806715 216.81674307549</t>
  </si>
  <si>
    <t>-616.862747841494 293.887489601152 678.691093381827</t>
  </si>
  <si>
    <t>-462.121553490722 265.198002400293 757.276026708559</t>
  </si>
  <si>
    <t>-621.417683538554 191.932664478374 -220.382628140974</t>
  </si>
  <si>
    <t>-561.816731063523 124.841471736984 226.388213877337</t>
  </si>
  <si>
    <t>-716.161965625187 22.8630250193117 658.523630471377</t>
  </si>
  <si>
    <t>-607.809331278293 -84.1275794596964 746.593100949999</t>
  </si>
  <si>
    <t>9763-20170724T164105.729005700.bin</t>
  </si>
  <si>
    <t>-575.029531476784 278.94283791741 -229.76741554271</t>
  </si>
  <si>
    <t>-606.547323413623 280.929736126132 -346.688277804669</t>
  </si>
  <si>
    <t>-613.426177985022 269.294068392357 -467.136770716138</t>
  </si>
  <si>
    <t>-609.424670657308 253.35286325216 -575.41753572708</t>
  </si>
  <si>
    <t>-595.349406961465 232.177778010372 -681.946251947229</t>
  </si>
  <si>
    <t>-565.410662184674 197.457736611447 -827.198387158037</t>
  </si>
  <si>
    <t>-506.722932901437 170.929623900066 -906.16036127618</t>
  </si>
  <si>
    <t>-565.385054134089 241.418771757253 -767.029161897813</t>
  </si>
  <si>
    <t>-507.050847065977 376.129552688702 -758.328838698724</t>
  </si>
  <si>
    <t>-428.461970774128 395.16490036152 -452.309862312805</t>
  </si>
  <si>
    <t>-325.439756756758 265.834370316988 -251.556022743696</t>
  </si>
  <si>
    <t>-591.930160306399 184.221709670165 -758.82851206838</t>
  </si>
  <si>
    <t>-655.596053639547 57.1978055979208 -720.9459317264</t>
  </si>
  <si>
    <t>-667.243038392145 103.35905279216 -408.024865198989</t>
  </si>
  <si>
    <t>-411.772575860928 55.6146617257524 -398.158037162582</t>
  </si>
  <si>
    <t>-534.238468937608 367.685049262534 -238.205709546991</t>
  </si>
  <si>
    <t>-542.393608907102 344.968323367966 216.849361508606</t>
  </si>
  <si>
    <t>-616.670652971329 294.300079593137 678.340983404838</t>
  </si>
  <si>
    <t>-462.114397086437 265.29156977166 757.172414278214</t>
  </si>
  <si>
    <t>-615.180680599817 189.760339157974 -220.418815377316</t>
  </si>
  <si>
    <t>-558.063721776421 122.356231095631 226.629306593229</t>
  </si>
  <si>
    <t>-710.198417666006 17.5573859121181 659.056074564099</t>
  </si>
  <si>
    <t>-601.432537535739 -88.7856988456277 747.399948909475</t>
  </si>
  <si>
    <t>9763-20170724T164105.765109800.bin</t>
  </si>
  <si>
    <t>-571.048978220257 279.514261825173 -229.691121621866</t>
  </si>
  <si>
    <t>-602.116096296465 281.537452383633 -346.73198278226</t>
  </si>
  <si>
    <t>-608.610496105675 269.941523938966 -467.205753742823</t>
  </si>
  <si>
    <t>-604.301778151462 254.024944752822 -575.478305642889</t>
  </si>
  <si>
    <t>-589.966936014986 232.854384368088 -681.973194870897</t>
  </si>
  <si>
    <t>-559.722636973141 198.111808279914 -827.156649936027</t>
  </si>
  <si>
    <t>-500.81029307903 171.601690632957 -905.957324495981</t>
  </si>
  <si>
    <t>-559.862065755892 242.098318756934 -767.006105114843</t>
  </si>
  <si>
    <t>-501.656124618168 376.853878971277 -758.219676502728</t>
  </si>
  <si>
    <t>-423.837868921462 396.192469962798 -452.022828779688</t>
  </si>
  <si>
    <t>-321.87908616767 266.579124978005 -250.908843491819</t>
  </si>
  <si>
    <t>-586.347470635201 184.870334475261 -758.828901307334</t>
  </si>
  <si>
    <t>-649.985444321066 57.8052127715232 -720.986121391528</t>
  </si>
  <si>
    <t>-662.002970645375 104.485934213577 -408.15593588019</t>
  </si>
  <si>
    <t>-406.71928980229 55.8864937317935 -397.649091255238</t>
  </si>
  <si>
    <t>-531.373384480839 369.091356584431 -237.980880065089</t>
  </si>
  <si>
    <t>-540.727312480228 345.841366897115 217.024205236029</t>
  </si>
  <si>
    <t>-616.540279799257 294.646011116286 678.195492697235</t>
  </si>
  <si>
    <t>-462.142524302913 265.282745241501 757.205853092432</t>
  </si>
  <si>
    <t>-610.347253770595 189.905407381974 -220.36295322993</t>
  </si>
  <si>
    <t>-556.030683841196 121.689064590489 226.910857855214</t>
  </si>
  <si>
    <t>-707.138919253773 16.5408534753429 659.461135459477</t>
  </si>
  <si>
    <t>-597.715350666129 -89.3112446399179 747.582215668289</t>
  </si>
  <si>
    <t>9763-20170724T164105.828277700.bin</t>
  </si>
  <si>
    <t>-566.189054524758 280.922712400617 -229.306531781512</t>
  </si>
  <si>
    <t>-596.366872905652 283.180143950256 -346.575521311567</t>
  </si>
  <si>
    <t>-602.083954664398 271.772929864448 -467.106596487374</t>
  </si>
  <si>
    <t>-597.135941528185 255.997980579353 -575.372566436756</t>
  </si>
  <si>
    <t>-582.234420966929 234.932316619607 -681.810521994389</t>
  </si>
  <si>
    <t>-551.285198949366 200.290634203184 -826.869445034255</t>
  </si>
  <si>
    <t>-491.920462174964 173.922357847222 -905.377705845042</t>
  </si>
  <si>
    <t>-551.850858197423 244.2912006014 -766.731718379877</t>
  </si>
  <si>
    <t>-494.298578560738 379.305470833858 -757.70871662989</t>
  </si>
  <si>
    <t>-417.7714287979 399.041982705329 -451.211946383024</t>
  </si>
  <si>
    <t>-317.748697567927 269.277268566625 -249.225229180097</t>
  </si>
  <si>
    <t>-578.107671120022 186.945830525295 -758.639054248993</t>
  </si>
  <si>
    <t>-641.482103152925 59.6678437960838 -721.098164292335</t>
  </si>
  <si>
    <t>-654.764555842092 106.709026303 -408.373209282511</t>
  </si>
  <si>
    <t>-399.555795571242 57.9150928896433 -396.984670372196</t>
  </si>
  <si>
    <t>-527.286731087244 371.564513350796 -237.263173680827</t>
  </si>
  <si>
    <t>-538.457865027931 347.023036769458 217.633016989611</t>
  </si>
  <si>
    <t>-616.24987868452 294.659077563289 678.057950340133</t>
  </si>
  <si>
    <t>-461.963427961744 265.616896461256 757.403756053826</t>
  </si>
  <si>
    <t>-605.495179057784 190.437922682618 -220.520938206217</t>
  </si>
  <si>
    <t>-555.856454941912 122.224834185356 227.296659999207</t>
  </si>
  <si>
    <t>-706.737805347025 16.5374816972868 660.30604376945</t>
  </si>
  <si>
    <t>-596.204406250698 -88.4605582526424 748.062938676272</t>
  </si>
  <si>
    <t>9763-20170724T164105.893450500.bin</t>
  </si>
  <si>
    <t>-564.230351881287 282.300001148314 -228.876680687658</t>
  </si>
  <si>
    <t>-593.74845732758 284.906656114502 -346.306209749965</t>
  </si>
  <si>
    <t>-598.772357333868 273.769473840964 -466.893389986349</t>
  </si>
  <si>
    <t>-593.188973426217 258.214139037368 -575.160287146534</t>
  </si>
  <si>
    <t>-577.646696078913 237.348573153028 -681.54609941648</t>
  </si>
  <si>
    <t>-545.804058248333 202.970056036799 -826.474177246481</t>
  </si>
  <si>
    <t>-485.968291727798 176.908717813019 -904.726839549293</t>
  </si>
  <si>
    <t>-546.896350586535 246.925506055658 -766.310716097257</t>
  </si>
  <si>
    <t>-489.93472006734 382.175769605673 -756.924864780065</t>
  </si>
  <si>
    <t>-414.929724262954 402.541799845706 -450.093374417257</t>
  </si>
  <si>
    <t>-316.346008775607 272.472171995596 -247.595883084089</t>
  </si>
  <si>
    <t>-572.890490756154 189.437429165346 -758.385147926179</t>
  </si>
  <si>
    <t>-636.001101840339 61.8646534406786 -721.426762763743</t>
  </si>
  <si>
    <t>-651.311685793763 108.791432486397 -408.777207994005</t>
  </si>
  <si>
    <t>-396.015923762942 60.8610709814646 -395.784115987544</t>
  </si>
  <si>
    <t>-524.896258036299 373.44774836752 -236.459640234905</t>
  </si>
  <si>
    <t>-537.037395111248 347.428843498233 218.329593714793</t>
  </si>
  <si>
    <t>-616.052100663353 294.022392190443 678.090720795627</t>
  </si>
  <si>
    <t>-461.779434746865 265.679404204673 757.715655924426</t>
  </si>
  <si>
    <t>-603.678937352332 191.48376873604 -220.612316134796</t>
  </si>
  <si>
    <t>-557.023006579828 122.103036905622 227.346626784046</t>
  </si>
  <si>
    <t>-706.581701772839 16.4406339114187 660.621785126031</t>
  </si>
  <si>
    <t>-596.052824471752 -88.6789446291053 748.238887468197</t>
  </si>
  <si>
    <t>9763-20170724T164105.926544600.bin</t>
  </si>
  <si>
    <t>-563.260355006299 283.282972184501 -228.651049894711</t>
  </si>
  <si>
    <t>-592.496162409072 285.997800537878 -346.148737419229</t>
  </si>
  <si>
    <t>-597.2117693508 274.971680863064 -466.758687230496</t>
  </si>
  <si>
    <t>-591.340985331369 259.522119036655 -575.025502174073</t>
  </si>
  <si>
    <t>-575.503661052683 238.770222660677 -681.389943951695</t>
  </si>
  <si>
    <t>-543.244056442624 204.560117626064 -826.26559351033</t>
  </si>
  <si>
    <t>-483.161170207898 178.636655388966 -904.374597848935</t>
  </si>
  <si>
    <t>-544.564397838336 248.4680443617 -766.071988454313</t>
  </si>
  <si>
    <t>-487.848938470002 383.801195937617 -756.468429743916</t>
  </si>
  <si>
    <t>-413.545204892482 404.47456307682 -449.486760849344</t>
  </si>
  <si>
    <t>-315.558995028131 274.189179014785 -246.838071687557</t>
  </si>
  <si>
    <t>-570.471507220934 190.925978725458 -758.253219166929</t>
  </si>
  <si>
    <t>-633.509138209695 63.2343397033264 -721.594437139785</t>
  </si>
  <si>
    <t>-649.525145407624 109.984949191655 -408.954052967595</t>
  </si>
  <si>
    <t>-394.194538980389 62.4990676495549 -395.046407337762</t>
  </si>
  <si>
    <t>-523.838301530903 374.619376497149 -236.096598379048</t>
  </si>
  <si>
    <t>-536.358538283369 348.143783651152 218.656001525059</t>
  </si>
  <si>
    <t>-616.078925027945 294.417825284463 678.135260423885</t>
  </si>
  <si>
    <t>-462.136983358641 264.691810695071 757.895896211239</t>
  </si>
  <si>
    <t>-602.552748741232 192.135727836476 -220.590609585818</t>
  </si>
  <si>
    <t>-556.815667341045 122.334640815438 227.3976897115</t>
  </si>
  <si>
    <t>-706.476821824123 16.8466173077345 660.733658915296</t>
  </si>
  <si>
    <t>-596.227374420161 -88.6530749187568 748.245840404018</t>
  </si>
  <si>
    <t>9763-20170724T164105.989711700.bin</t>
  </si>
  <si>
    <t>-561.353678392929 284.216740680086 -228.431106555641</t>
  </si>
  <si>
    <t>-590.239013467146 287.109986969037 -346.011129490856</t>
  </si>
  <si>
    <t>-594.478097830279 276.302803680241 -466.658591909401</t>
  </si>
  <si>
    <t>-588.129861432023 261.069498876561 -574.929042359586</t>
  </si>
  <si>
    <t>-571.772315557631 240.553661197946 -681.260488262592</t>
  </si>
  <si>
    <t>-538.749063253694 206.694019717227 -826.046508008358</t>
  </si>
  <si>
    <t>-478.1877126025 181.007576018734 -903.863645102971</t>
  </si>
  <si>
    <t>-540.469755460135 250.489761793547 -765.78131568739</t>
  </si>
  <si>
    <t>-484.174429202042 385.956496846297 -755.662340271595</t>
  </si>
  <si>
    <t>-411.101952718602 406.823998672807 -448.398391684165</t>
  </si>
  <si>
    <t>-314.179882599115 276.240662432798 -245.429971021245</t>
  </si>
  <si>
    <t>-566.251913462966 192.861934856594 -758.184989336759</t>
  </si>
  <si>
    <t>-629.202944158306 64.9738365773682 -722.008152542868</t>
  </si>
  <si>
    <t>-646.319482023222 111.304265625067 -409.363407330782</t>
  </si>
  <si>
    <t>-390.834979217954 65.1979678416903 -393.745183708825</t>
  </si>
  <si>
    <t>-521.986804483563 375.721929847866 -235.523727801392</t>
  </si>
  <si>
    <t>-534.857425999903 348.431347813003 219.170902494068</t>
  </si>
  <si>
    <t>-616.155638862015 294.029146948547 678.310182431034</t>
  </si>
  <si>
    <t>-462.196821710242 264.548282969062 758.129169802411</t>
  </si>
  <si>
    <t>-600.537698674919 192.662817293393 -220.781407265593</t>
  </si>
  <si>
    <t>-555.602291019529 122.690196611568 227.26139007584</t>
  </si>
  <si>
    <t>-705.840064247531 17.5237414217392 660.391442025788</t>
  </si>
  <si>
    <t>-596.532194125862 -88.7691932211923 748.124575718271</t>
  </si>
  <si>
    <t>9763-20170724T164106.026705100.bin</t>
  </si>
  <si>
    <t>-560.489238375069 284.640700158832 -228.390289366622</t>
  </si>
  <si>
    <t>-589.256894465752 287.648617927306 -345.996283941763</t>
  </si>
  <si>
    <t>-593.309165557645 276.945861141104 -466.659543324049</t>
  </si>
  <si>
    <t>-586.764997175972 261.804560809274 -574.931266561292</t>
  </si>
  <si>
    <t>-570.185938594541 241.379654627953 -681.245914831927</t>
  </si>
  <si>
    <t>-536.829997441588 207.646986441939 -825.985202125912</t>
  </si>
  <si>
    <t>-476.048442976289 182.04442265453 -903.65825530212</t>
  </si>
  <si>
    <t>-538.733686262555 251.407937232287 -765.700303639434</t>
  </si>
  <si>
    <t>-482.635356209915 386.95083401513 -755.351124087906</t>
  </si>
  <si>
    <t>-410.195171289619 407.711116953835 -447.930264202617</t>
  </si>
  <si>
    <t>-313.685401571032 277.016062000575 -244.837251112299</t>
  </si>
  <si>
    <t>-564.444215932119 193.73736311676 -758.184854360671</t>
  </si>
  <si>
    <t>-627.268166559679 65.7455380787688 -722.229607584069</t>
  </si>
  <si>
    <t>-645.207824947874 112.090644963516 -409.63318858705</t>
  </si>
  <si>
    <t>-389.646092761839 66.6069804136443 -393.462643933098</t>
  </si>
  <si>
    <t>-521.240383909416 376.204903383931 -235.314244279418</t>
  </si>
  <si>
    <t>-534.301596954336 348.520187183271 219.351216049766</t>
  </si>
  <si>
    <t>-616.217980223555 293.784660571574 678.384215434486</t>
  </si>
  <si>
    <t>-462.208896936828 264.534857979217 758.191260143403</t>
  </si>
  <si>
    <t>-599.573639430532 193.194660391094 -220.911954713848</t>
  </si>
  <si>
    <t>-554.975023600246 122.699714114785 227.082603208565</t>
  </si>
  <si>
    <t>-705.304577682071 18.0570581859875 660.264532236467</t>
  </si>
  <si>
    <t>-596.715995046849 -88.7184825963013 748.304414368304</t>
  </si>
  <si>
    <t>9763-20170724T164106.093874800.bin</t>
  </si>
  <si>
    <t>-558.907959935904 285.435951693363 -228.458603578439</t>
  </si>
  <si>
    <t>-587.334179468316 288.54836850931 -346.1449354901</t>
  </si>
  <si>
    <t>-591.005560054481 277.967686586079 -466.831082029959</t>
  </si>
  <si>
    <t>-584.104058672682 262.948049264724 -575.097612814471</t>
  </si>
  <si>
    <t>-567.156650535472 242.658356187853 -681.380049242741</t>
  </si>
  <si>
    <t>-533.279128592934 209.129971056039 -826.04578138435</t>
  </si>
  <si>
    <t>-472.096011471913 183.682636319383 -903.453928436785</t>
  </si>
  <si>
    <t>-535.477279519 252.836729471581 -765.731554438651</t>
  </si>
  <si>
    <t>-479.817560864517 388.525602816369 -755.047320981165</t>
  </si>
  <si>
    <t>-408.573902902589 409.166282027991 -447.338957724804</t>
  </si>
  <si>
    <t>-312.590702565783 278.149311357837 -244.203863862323</t>
  </si>
  <si>
    <t>-561.060469665967 195.093710689612 -758.339745531632</t>
  </si>
  <si>
    <t>-623.661953068486 66.9023518163544 -722.678314589571</t>
  </si>
  <si>
    <t>-642.954762827952 113.454418842604 -410.193247200358</t>
  </si>
  <si>
    <t>-387.371736489869 68.6069161129176 -392.641346453206</t>
  </si>
  <si>
    <t>-519.93434175162 376.95458733199 -235.072423718122</t>
  </si>
  <si>
    <t>-533.837406304972 348.790139885895 219.538557530384</t>
  </si>
  <si>
    <t>-616.338903769682 293.49523112804 678.477795424649</t>
  </si>
  <si>
    <t>-462.121324824738 265.168998032558 758.215276624033</t>
  </si>
  <si>
    <t>-597.756487777941 193.822400951 -221.259940121312</t>
  </si>
  <si>
    <t>-553.799251452218 122.505381469312 226.667806764421</t>
  </si>
  <si>
    <t>-704.09257235907 20.2755915758597 660.405649553832</t>
  </si>
  <si>
    <t>-597.486369839038 -88.5174065864873 748.39829371246</t>
  </si>
  <si>
    <t>9763-20170724T164106.124610700.bin</t>
  </si>
  <si>
    <t>-558.201984866903 285.770326454937 -228.511106089229</t>
  </si>
  <si>
    <t>-586.426003817733 288.934122565767 -346.244733461985</t>
  </si>
  <si>
    <t>-589.913051009963 278.398550753017 -466.940255022182</t>
  </si>
  <si>
    <t>-582.854346128772 263.418327854175 -575.202122594122</t>
  </si>
  <si>
    <t>-565.760133465944 243.167132945237 -681.468391590643</t>
  </si>
  <si>
    <t>-531.690060123634 209.692011963355 -826.101099381386</t>
  </si>
  <si>
    <t>-470.352347765815 184.272857098011 -903.396209677407</t>
  </si>
  <si>
    <t>-533.98069265414 253.381499976002 -765.77784331959</t>
  </si>
  <si>
    <t>-478.406756835617 389.104124174541 -754.973287149313</t>
  </si>
  <si>
    <t>-407.893969451422 409.792728384884 -447.099802723403</t>
  </si>
  <si>
    <t>-311.992381519604 278.449196874689 -244.137217879689</t>
  </si>
  <si>
    <t>-559.549350823611 195.625949732385 -758.433520383767</t>
  </si>
  <si>
    <t>-622.155466511657 67.4062673523944 -722.875701029778</t>
  </si>
  <si>
    <t>-641.936708424408 114.124033031144 -410.445910948081</t>
  </si>
  <si>
    <t>-386.365188179777 69.495791745941 -392.181879583264</t>
  </si>
  <si>
    <t>-519.377309897015 377.332454688307 -235.029025483679</t>
  </si>
  <si>
    <t>-533.583372272182 349.013498452712 219.562959703697</t>
  </si>
  <si>
    <t>-616.391229266102 293.610223794267 678.480718743279</t>
  </si>
  <si>
    <t>-462.249424750603 264.882061547559 758.220951991398</t>
  </si>
  <si>
    <t>-596.845264174659 194.205402995491 -221.37657732289</t>
  </si>
  <si>
    <t>-553.005237341255 122.681689702509 226.5297046246</t>
  </si>
  <si>
    <t>-703.369513093545 21.8033988488415 660.541173129</t>
  </si>
  <si>
    <t>-597.967501273028 -88.5207988066597 748.076826819918</t>
  </si>
  <si>
    <t>9763-20170724T164106.188782700.bin</t>
  </si>
  <si>
    <t>-556.877318702023 286.496882728712 -228.568104632953</t>
  </si>
  <si>
    <t>-584.862075973342 289.722877102367 -346.357001099138</t>
  </si>
  <si>
    <t>-588.102224371813 279.242019330467 -467.064196141774</t>
  </si>
  <si>
    <t>-580.820584281155 264.308764340739 -575.317650488168</t>
  </si>
  <si>
    <t>-563.505597724222 244.102586561169 -681.556933759591</t>
  </si>
  <si>
    <t>-529.132545805325 210.688179514782 -826.13206727322</t>
  </si>
  <si>
    <t>-467.597151473169 185.255470294451 -903.265388538642</t>
  </si>
  <si>
    <t>-531.546922975739 254.351234426078 -765.794434027458</t>
  </si>
  <si>
    <t>-476.007429745314 390.064379201561 -754.761185978536</t>
  </si>
  <si>
    <t>-406.78358553103 411.04470459661 -446.614952053912</t>
  </si>
  <si>
    <t>-310.315313954884 278.715480354907 -244.563120306426</t>
  </si>
  <si>
    <t>-557.136181914229 196.594702414866 -758.529518122859</t>
  </si>
  <si>
    <t>-619.849296901759 68.3708655788877 -723.194015853914</t>
  </si>
  <si>
    <t>-640.570730798111 115.360300912179 -410.865928863108</t>
  </si>
  <si>
    <t>-385.076950074494 70.7428933112892 -391.519608478194</t>
  </si>
  <si>
    <t>-518.244716430102 377.985588933643 -234.973421790194</t>
  </si>
  <si>
    <t>-533.073887421926 349.613579120751 219.595324852202</t>
  </si>
  <si>
    <t>-616.355929845487 293.509039264347 678.397131162038</t>
  </si>
  <si>
    <t>-462.406543983134 263.907288326115 758.189697727284</t>
  </si>
  <si>
    <t>-595.382652947225 195.03234103 -221.498699327971</t>
  </si>
  <si>
    <t>-551.163217812263 123.149663652535 226.31285747245</t>
  </si>
  <si>
    <t>-701.978322104853 24.078773386416 660.406194358464</t>
  </si>
  <si>
    <t>-598.607529385199 -88.4228652477265 747.592012574208</t>
  </si>
  <si>
    <t>9763-20170724T164106.224426300.bin</t>
  </si>
  <si>
    <t>-556.393886579595 286.846766722456 -228.571362509268</t>
  </si>
  <si>
    <t>-584.307672478568 290.058074871235 -346.377714103399</t>
  </si>
  <si>
    <t>-587.441978475721 279.571541416376 -467.08712499317</t>
  </si>
  <si>
    <t>-580.052839485879 264.635543261509 -575.332905803036</t>
  </si>
  <si>
    <t>-562.620281469921 244.428691827103 -681.552699903554</t>
  </si>
  <si>
    <t>-528.075093329434 211.015069160323 -826.086949866797</t>
  </si>
  <si>
    <t>-466.44038974312 185.536293094335 -903.125849172482</t>
  </si>
  <si>
    <t>-530.54929629323 254.672973958067 -765.748077883179</t>
  </si>
  <si>
    <t>-474.947894138894 390.351431372196 -754.630252935748</t>
  </si>
  <si>
    <t>-406.35771712574 411.400311292876 -446.347112031356</t>
  </si>
  <si>
    <t>-309.004520975043 278.500512841705 -245.096003810559</t>
  </si>
  <si>
    <t>-556.171218236003 196.926157188906 -758.522088880561</t>
  </si>
  <si>
    <t>-618.978816036005 68.7219934581763 -723.257807194196</t>
  </si>
  <si>
    <t>-639.95450234002 115.686622627301 -410.94307829765</t>
  </si>
  <si>
    <t>-384.511123341548 70.9233757821904 -391.270710951648</t>
  </si>
  <si>
    <t>-517.910052992454 378.320511490217 -234.977591679687</t>
  </si>
  <si>
    <t>-532.903302495206 349.916402181866 219.583804330495</t>
  </si>
  <si>
    <t>-616.36987822875 293.725977650618 678.377485234042</t>
  </si>
  <si>
    <t>-462.536508200812 263.555925063931 758.180877397164</t>
  </si>
  <si>
    <t>-594.812473314431 195.354557946695 -221.533269897578</t>
  </si>
  <si>
    <t>-550.377747673167 123.345274221512 226.236589605744</t>
  </si>
  <si>
    <t>-701.513194313696 24.6565688309766 660.291546652178</t>
  </si>
  <si>
    <t>-598.741683376308 -88.3217243088223 747.569535306956</t>
  </si>
  <si>
    <t>9763-20170724T164106.292596000.bin</t>
  </si>
  <si>
    <t>-555.959714570639 287.377016859879 -228.500816845103</t>
  </si>
  <si>
    <t>-583.918763133988 290.558332009075 -346.296973969522</t>
  </si>
  <si>
    <t>-586.985868463468 280.024540056758 -467.004158260545</t>
  </si>
  <si>
    <t>-579.491921118682 265.038183761118 -575.235877524326</t>
  </si>
  <si>
    <t>-561.913174256586 244.773454151764 -681.420513282971</t>
  </si>
  <si>
    <t>-527.124830033536 211.272285238542 -825.876206619913</t>
  </si>
  <si>
    <t>-465.313305758752 185.647548899412 -902.724797216463</t>
  </si>
  <si>
    <t>-529.692532500139 254.963538897824 -765.565304759791</t>
  </si>
  <si>
    <t>-474.162522177331 390.66712300958 -754.412120965398</t>
  </si>
  <si>
    <t>-405.750356089149 411.681798866536 -446.086981109993</t>
  </si>
  <si>
    <t>-306.670455339975 277.834759312033 -246.31164494771</t>
  </si>
  <si>
    <t>-555.342644816246 197.227490351594 -758.352766606176</t>
  </si>
  <si>
    <t>-618.240068691178 69.0544925482234 -723.126060242138</t>
  </si>
  <si>
    <t>-639.664098362205 115.89067192644 -410.822463758337</t>
  </si>
  <si>
    <t>-384.282555636032 70.9220584264615 -390.819019994282</t>
  </si>
  <si>
    <t>-517.614223613702 378.822301333401 -234.916056760496</t>
  </si>
  <si>
    <t>-532.666218529757 350.426237466283 219.643957752342</t>
  </si>
  <si>
    <t>-616.366288896454 293.736339532597 678.377152675412</t>
  </si>
  <si>
    <t>-462.521326910533 263.55329682468 758.153157051609</t>
  </si>
  <si>
    <t>-594.300068924473 195.955312832961 -221.40908190208</t>
  </si>
  <si>
    <t>-549.575495070909 123.975533428868 226.336733755605</t>
  </si>
  <si>
    <t>-701.261618510949 24.8638953172837 660.167502540494</t>
  </si>
  <si>
    <t>-598.845570377548 -88.2545380958205 747.681434801367</t>
  </si>
  <si>
    <t>9763-20170724T164106.322175600.bin</t>
  </si>
  <si>
    <t>-555.866669370909 287.433636264483 -228.412959142243</t>
  </si>
  <si>
    <t>-583.863192235249 290.605047723606 -346.200722905885</t>
  </si>
  <si>
    <t>-586.924887155046 280.052432333051 -466.906292735631</t>
  </si>
  <si>
    <t>-579.408955999555 265.045270061111 -575.133629364423</t>
  </si>
  <si>
    <t>-561.791776957022 244.756130659452 -681.307160569407</t>
  </si>
  <si>
    <t>-526.93412704865 211.217621939215 -825.737484216734</t>
  </si>
  <si>
    <t>-465.025925696569 185.527533535826 -902.486325018834</t>
  </si>
  <si>
    <t>-529.532081560143 254.924970766693 -765.439602483549</t>
  </si>
  <si>
    <t>-474.012501139355 390.629154027627 -754.312459999414</t>
  </si>
  <si>
    <t>-405.320866150326 411.78813978318 -446.059377540478</t>
  </si>
  <si>
    <t>-305.624359424636 278.052469096238 -246.516380392643</t>
  </si>
  <si>
    <t>-555.183045230106 197.189782502633 -758.223512329296</t>
  </si>
  <si>
    <t>-618.06317062111 69.0060301259764 -722.989083917811</t>
  </si>
  <si>
    <t>-639.669627597537 115.816459875245 -410.694123554923</t>
  </si>
  <si>
    <t>-384.279266567692 70.9209951902081 -390.638891757106</t>
  </si>
  <si>
    <t>-517.492511561318 378.726607140049 -234.846375415756</t>
  </si>
  <si>
    <t>-532.563573618026 350.232156191793 219.706810522058</t>
  </si>
  <si>
    <t>-616.318930895496 293.220291306484 678.415594142203</t>
  </si>
  <si>
    <t>-462.23822128435 264.115480117523 758.137394462606</t>
  </si>
  <si>
    <t>-594.219200410504 196.114874362247 -221.269979684125</t>
  </si>
  <si>
    <t>-549.526015124028 124.05302862999 226.465740622837</t>
  </si>
  <si>
    <t>-701.363644777368 24.831611289835 660.233297565739</t>
  </si>
  <si>
    <t>-598.828723240152 -88.1647405646271 747.765727131346</t>
  </si>
  <si>
    <t>9763-20170724T164106.387351900.bin</t>
  </si>
  <si>
    <t>-555.840487463282 287.570653180728 -228.219407591858</t>
  </si>
  <si>
    <t>-583.81834206389 290.690549387822 -346.013041671379</t>
  </si>
  <si>
    <t>-586.91252900369 280.0696352692 -466.711776848548</t>
  </si>
  <si>
    <t>-579.446124062364 264.995510906276 -574.933182411969</t>
  </si>
  <si>
    <t>-561.897681292864 244.634746598302 -681.104395996627</t>
  </si>
  <si>
    <t>-527.154357233791 210.992468990416 -825.538088261837</t>
  </si>
  <si>
    <t>-465.141978772921 185.228098117437 -902.177815379043</t>
  </si>
  <si>
    <t>-529.71333209731 254.746630238455 -765.272645752558</t>
  </si>
  <si>
    <t>-474.320926540973 390.529798868536 -754.329191756793</t>
  </si>
  <si>
    <t>-404.815136308141 411.88564330099 -446.272231139352</t>
  </si>
  <si>
    <t>-304.496820529001 278.23474062224 -246.984136577168</t>
  </si>
  <si>
    <t>-555.3410984665 197.00970612766 -757.988902344633</t>
  </si>
  <si>
    <t>-618.107362767983 68.8149130684702 -722.640522538338</t>
  </si>
  <si>
    <t>-639.78580181415 115.684328842242 -410.359515205065</t>
  </si>
  <si>
    <t>-384.388724595004 70.8499498689068 -390.252493976914</t>
  </si>
  <si>
    <t>-517.474377304288 378.888562467549 -234.700741023555</t>
  </si>
  <si>
    <t>-532.356846787119 350.427221382964 219.860685925844</t>
  </si>
  <si>
    <t>-616.354168165641 293.400376222611 678.477200436556</t>
  </si>
  <si>
    <t>-462.441644971581 263.393862146556 758.189607728695</t>
  </si>
  <si>
    <t>-594.062139523972 196.243734757615 -221.04042137794</t>
  </si>
  <si>
    <t>-549.447688633195 124.282780876151 226.719351346707</t>
  </si>
  <si>
    <t>-701.526316857687 25.0619997050036 660.406503416791</t>
  </si>
  <si>
    <t>-598.982295531221 -88.1167795084076 747.692268729798</t>
  </si>
  <si>
    <t>9763-20170724T164106.429174800.bin</t>
  </si>
  <si>
    <t>-555.874964184952 287.527585927578 -228.129914175615</t>
  </si>
  <si>
    <t>-583.901495621124 290.6722934391 -345.911212397913</t>
  </si>
  <si>
    <t>-587.04953225761 280.038424721992 -466.607383139412</t>
  </si>
  <si>
    <t>-579.632331136082 264.938706799152 -574.828766046183</t>
  </si>
  <si>
    <t>-562.132893662966 244.53958952088 -681.000752056166</t>
  </si>
  <si>
    <t>-527.456768995638 210.831766249937 -825.435261159044</t>
  </si>
  <si>
    <t>-465.421295770033 185.037720640454 -902.046236085278</t>
  </si>
  <si>
    <t>-529.991609152085 254.614869143521 -765.189573498343</t>
  </si>
  <si>
    <t>-474.59534540869 390.403948263269 -754.346831517936</t>
  </si>
  <si>
    <t>-404.980148467278 411.812663275408 -446.318198949733</t>
  </si>
  <si>
    <t>-304.430474560814 278.245832338714 -247.090457446937</t>
  </si>
  <si>
    <t>-555.608185448449 196.878055399467 -757.865170924189</t>
  </si>
  <si>
    <t>-618.344281354865 68.6878739902051 -722.439395371739</t>
  </si>
  <si>
    <t>-639.814402886278 115.556396416574 -410.143652751542</t>
  </si>
  <si>
    <t>-384.42993438152 70.6663648963362 -390.00123252351</t>
  </si>
  <si>
    <t>-517.504343377068 378.715999981938 -234.648197195236</t>
  </si>
  <si>
    <t>-532.203368857701 350.184739803717 219.91488006566</t>
  </si>
  <si>
    <t>-616.300047870582 292.917287212128 678.508858490397</t>
  </si>
  <si>
    <t>-462.275990599248 263.453764956387 758.208299491014</t>
  </si>
  <si>
    <t>-594.105598119959 196.332798380814 -220.908999233597</t>
  </si>
  <si>
    <t>-549.383734601889 124.311283127069 226.830293671656</t>
  </si>
  <si>
    <t>-701.59286872491 25.2825980758988 660.498042373396</t>
  </si>
  <si>
    <t>-599.097852792442 -88.158748481329 747.500000934114</t>
  </si>
  <si>
    <t>9763-20170724T164106.490336200.bin</t>
  </si>
  <si>
    <t>-556.192501483229 287.546263619861 -227.881571154379</t>
  </si>
  <si>
    <t>-584.341846442333 290.72153628701 -345.63274972861</t>
  </si>
  <si>
    <t>-587.595180632998 280.058476106102 -466.323673216452</t>
  </si>
  <si>
    <t>-580.260775636744 264.914640109064 -574.544262712015</t>
  </si>
  <si>
    <t>-562.829199044596 244.458297768135 -680.716512482851</t>
  </si>
  <si>
    <t>-528.230239692333 210.661476109018 -825.148840576878</t>
  </si>
  <si>
    <t>-466.200368993566 184.838069390726 -901.754504445778</t>
  </si>
  <si>
    <t>-530.764303683035 254.494246168345 -764.939336333873</t>
  </si>
  <si>
    <t>-475.50542284345 390.343637251463 -754.259676940864</t>
  </si>
  <si>
    <t>-405.704960916412 412.15899198485 -446.301571216503</t>
  </si>
  <si>
    <t>-305.112461015768 278.463240340161 -247.181958692502</t>
  </si>
  <si>
    <t>-556.314163823943 196.736763651797 -757.544673533435</t>
  </si>
  <si>
    <t>-618.932595093345 68.52998884618 -721.953139126167</t>
  </si>
  <si>
    <t>-640.016959402589 115.580316865842 -409.658575276217</t>
  </si>
  <si>
    <t>-384.625554232449 70.7112557689481 -389.557717873846</t>
  </si>
  <si>
    <t>-517.853294098913 378.582223028268 -234.4539260755</t>
  </si>
  <si>
    <t>-532.041239869642 350.075480764382 220.126859880326</t>
  </si>
  <si>
    <t>-616.371116842151 293.008718454048 678.668823461784</t>
  </si>
  <si>
    <t>-462.275527308129 263.763084268668 758.310242726623</t>
  </si>
  <si>
    <t>-594.426763861585 196.528301378492 -220.598685023785</t>
  </si>
  <si>
    <t>-549.147824981023 124.587949479835 227.097718117689</t>
  </si>
  <si>
    <t>-701.726706175512 25.8185621189414 660.628035628752</t>
  </si>
  <si>
    <t>-599.414330214112 -88.3087479540479 746.945150876273</t>
  </si>
  <si>
    <t>9763-20170724T164106.527550700.bin</t>
  </si>
  <si>
    <t>-556.444026957146 287.625503396268 -227.75650637741</t>
  </si>
  <si>
    <t>-584.661422918503 290.817440059287 -345.490868875053</t>
  </si>
  <si>
    <t>-587.960310316334 280.152910411631 -466.180409110328</t>
  </si>
  <si>
    <t>-580.655203646398 265.004040386093 -574.402417762353</t>
  </si>
  <si>
    <t>-563.239768343436 244.541222626151 -680.57590033582</t>
  </si>
  <si>
    <t>-528.64870437991 210.736159252507 -825.008240071599</t>
  </si>
  <si>
    <t>-466.614260249372 184.917296654407 -901.61173105636</t>
  </si>
  <si>
    <t>-531.19786425268 254.579728386585 -764.807146832583</t>
  </si>
  <si>
    <t>-476.047536856792 390.484289301457 -754.202870528754</t>
  </si>
  <si>
    <t>-406.106722197545 412.414466624658 -446.284850156552</t>
  </si>
  <si>
    <t>-306.056580289234 278.579834719737 -246.985221140963</t>
  </si>
  <si>
    <t>-556.710550129253 196.807981467344 -757.395718499491</t>
  </si>
  <si>
    <t>-619.237477843075 68.5626926827724 -721.771619611752</t>
  </si>
  <si>
    <t>-640.171900203144 115.540066819346 -409.456077908111</t>
  </si>
  <si>
    <t>-384.746021650232 70.9158513001643 -389.248529471741</t>
  </si>
  <si>
    <t>-518.085698621653 378.548970690622 -234.364537229399</t>
  </si>
  <si>
    <t>-532.012847016275 350.037824589273 220.224043236481</t>
  </si>
  <si>
    <t>-616.415338513651 292.899833170387 678.77294044929</t>
  </si>
  <si>
    <t>-462.420022145298 263.053311271485 758.385372483471</t>
  </si>
  <si>
    <t>-594.67759237193 196.747651052503 -220.473094104477</t>
  </si>
  <si>
    <t>-549.069074650522 124.826394985694 227.192938299658</t>
  </si>
  <si>
    <t>-701.759424950852 25.9767207919195 660.607235090215</t>
  </si>
  <si>
    <t>-599.648249366042 -88.4465542384345 746.770610659703</t>
  </si>
  <si>
    <t>9763-20170724T164106.588713200.bin</t>
  </si>
  <si>
    <t>-557.241014610923 287.365291031068 -227.648568966212</t>
  </si>
  <si>
    <t>-585.635858429288 290.643824831429 -345.337853244277</t>
  </si>
  <si>
    <t>-589.067585743642 280.044503232819 -466.029475204641</t>
  </si>
  <si>
    <t>-581.856564637328 264.954550177458 -574.266006842402</t>
  </si>
  <si>
    <t>-564.505460476947 244.556539351671 -680.462526751373</t>
  </si>
  <si>
    <t>-529.96971603006 210.853072327494 -824.931823662516</t>
  </si>
  <si>
    <t>-467.901102334808 185.123993083297 -901.537845158179</t>
  </si>
  <si>
    <t>-532.54990889538 254.675780890833 -764.716918685382</t>
  </si>
  <si>
    <t>-477.694881594836 390.703321434107 -754.20001646655</t>
  </si>
  <si>
    <t>-406.944138973912 413.363237769502 -446.519813762189</t>
  </si>
  <si>
    <t>-309.725312091948 279.497202508761 -245.844913657862</t>
  </si>
  <si>
    <t>-557.951574501677 196.855813654424 -757.300372917198</t>
  </si>
  <si>
    <t>-620.288222501528 68.5119185066611 -721.723523443349</t>
  </si>
  <si>
    <t>-641.259164855261 115.257857744705 -409.375642123125</t>
  </si>
  <si>
    <t>-385.696882163764 71.3117464940796 -389.407751737583</t>
  </si>
  <si>
    <t>-518.847606014104 378.126903616629 -234.280021146985</t>
  </si>
  <si>
    <t>-532.158240347961 349.598390031531 220.325988923863</t>
  </si>
  <si>
    <t>-616.469663183901 292.6980318119 678.923106512657</t>
  </si>
  <si>
    <t>-462.447539845967 262.831992167962 758.476240451745</t>
  </si>
  <si>
    <t>-595.548864207478 196.554347909003 -220.36156752665</t>
  </si>
  <si>
    <t>-548.953746241957 124.758189760568 227.222951486359</t>
  </si>
  <si>
    <t>-701.798162831535 26.5212302661753 660.671185782632</t>
  </si>
  <si>
    <t>-600.293335532053 -88.5087090421252 746.743223000783</t>
  </si>
  <si>
    <t>9763-20170724T164106.626671700.bin</t>
  </si>
  <si>
    <t>-557.744041267055 287.190103520379 -227.651640210944</t>
  </si>
  <si>
    <t>-586.201132346686 290.5083683938 -345.324935418336</t>
  </si>
  <si>
    <t>-589.664409081721 279.953544988031 -466.019351429458</t>
  </si>
  <si>
    <t>-582.466338662645 264.909773298113 -574.263155709701</t>
  </si>
  <si>
    <t>-565.111066593523 244.566294184142 -680.469582995086</t>
  </si>
  <si>
    <t>-530.550740195889 210.949881170973 -824.95322688875</t>
  </si>
  <si>
    <t>-468.445107914328 185.309728442876 -901.558925182074</t>
  </si>
  <si>
    <t>-533.169314031348 254.747443057598 -764.721705160468</t>
  </si>
  <si>
    <t>-478.376195411846 390.806506263568 -754.171153410662</t>
  </si>
  <si>
    <t>-407.395179174485 413.807982233926 -446.569403290107</t>
  </si>
  <si>
    <t>-311.483955473484 279.860633386773 -245.320348631947</t>
  </si>
  <si>
    <t>-558.515939633004 196.900711970959 -757.325611703785</t>
  </si>
  <si>
    <t>-620.757604099637 68.4976619331295 -721.814171291278</t>
  </si>
  <si>
    <t>-641.728227786408 115.055506190786 -409.438128328972</t>
  </si>
  <si>
    <t>-386.123097069344 71.2917830486159 -389.618039981254</t>
  </si>
  <si>
    <t>-519.394582074363 378.031876661007 -234.280520148206</t>
  </si>
  <si>
    <t>-532.380715336666 349.540421264263 220.337193885971</t>
  </si>
  <si>
    <t>-616.551419073799 293.029709637485 679.001850552777</t>
  </si>
  <si>
    <t>-462.681579553569 262.304103736242 758.522470800933</t>
  </si>
  <si>
    <t>-595.950733272615 196.317339041204 -220.372162424767</t>
  </si>
  <si>
    <t>-548.665520233633 124.625057053723 227.156627993951</t>
  </si>
  <si>
    <t>-701.58994478638 26.9386853540882 660.619829129492</t>
  </si>
  <si>
    <t>-600.508885144549 -88.4660624535694 746.688943887234</t>
  </si>
  <si>
    <t>9763-20170724T164106.659759900.bin</t>
  </si>
  <si>
    <t>-558.24168793271 286.770316760144 -227.670859756624</t>
  </si>
  <si>
    <t>-586.807143768696 290.123367163971 -345.316842481183</t>
  </si>
  <si>
    <t>-590.332416175451 279.626336238555 -466.014535030067</t>
  </si>
  <si>
    <t>-583.168889372201 264.645739590445 -574.269426454885</t>
  </si>
  <si>
    <t>-565.825657629186 244.377712792042 -680.4921810803</t>
  </si>
  <si>
    <t>-531.258118143841 210.880080825632 -825.001702420078</t>
  </si>
  <si>
    <t>-469.120571332325 185.336053478348 -901.613794866596</t>
  </si>
  <si>
    <t>-533.892678611379 254.633299477627 -764.738605179129</t>
  </si>
  <si>
    <t>-479.117998829079 390.699153150422 -754.094839401293</t>
  </si>
  <si>
    <t>-408.438255510104 413.802363593989 -446.431530273596</t>
  </si>
  <si>
    <t>-313.174775480567 279.739191425459 -244.951994358682</t>
  </si>
  <si>
    <t>-559.21366421762 196.770233888734 -757.382839944012</t>
  </si>
  <si>
    <t>-621.417446693567 68.3250600321582 -721.954044987928</t>
  </si>
  <si>
    <t>-642.384941126564 114.658775941877 -409.544538235534</t>
  </si>
  <si>
    <t>-386.745661281004 70.9746390901324 -389.991863866706</t>
  </si>
  <si>
    <t>-519.941260899124 377.599156604203 -234.300032100443</t>
  </si>
  <si>
    <t>-532.590798623457 349.241884439238 220.335572565039</t>
  </si>
  <si>
    <t>-616.571207003788 292.788148882741 679.072637585715</t>
  </si>
  <si>
    <t>-462.671788358044 262.06115141864 758.535365725823</t>
  </si>
  <si>
    <t>-596.378987623106 195.849333451848 -220.391835404397</t>
  </si>
  <si>
    <t>-548.185129102726 124.438518381321 227.085015714488</t>
  </si>
  <si>
    <t>-701.391886653389 27.3360312299699 660.533809499776</t>
  </si>
  <si>
    <t>-600.745183450757 -88.4448624813718 746.606551683927</t>
  </si>
  <si>
    <t>9763-20170724T164106.722429100.bin</t>
  </si>
  <si>
    <t>-559.223645906101 285.909354189495 -227.716268081179</t>
  </si>
  <si>
    <t>-587.951768596482 289.252963281329 -345.322919792464</t>
  </si>
  <si>
    <t>-591.535260071445 278.884122472091 -466.030015745152</t>
  </si>
  <si>
    <t>-584.377860102586 264.078522977787 -574.309369403313</t>
  </si>
  <si>
    <t>-566.992914511072 244.046076997861 -680.5698779512</t>
  </si>
  <si>
    <t>-532.316520237287 210.9400429067 -825.143590077217</t>
  </si>
  <si>
    <t>-470.111299932523 185.650699019082 -901.785279747749</t>
  </si>
  <si>
    <t>-535.029713371086 254.543027677486 -764.775233117977</t>
  </si>
  <si>
    <t>-480.440365838499 390.632030759344 -753.714172538003</t>
  </si>
  <si>
    <t>-410.633290792433 413.12557259879 -445.806331573342</t>
  </si>
  <si>
    <t>-315.380245135233 279.235911224454 -244.206530779379</t>
  </si>
  <si>
    <t>-560.289798329602 196.633928365598 -757.57319856637</t>
  </si>
  <si>
    <t>-622.412241510765 68.0607811891803 -722.422816919322</t>
  </si>
  <si>
    <t>-643.505419265262 113.652989425514 -409.912620700338</t>
  </si>
  <si>
    <t>-387.805109470024 70.1590350754543 -390.737785823326</t>
  </si>
  <si>
    <t>-521.114864824377 376.675483095687 -234.391339181531</t>
  </si>
  <si>
    <t>-533.225804316843 348.691480587145 220.282005564012</t>
  </si>
  <si>
    <t>-616.667818737861 292.846346693789 679.229556593338</t>
  </si>
  <si>
    <t>-462.65865919967 262.261314375308 758.534272063661</t>
  </si>
  <si>
    <t>-597.236256252611 195.129595471836 -220.376749019622</t>
  </si>
  <si>
    <t>-547.331423363277 124.014364120267 226.959608596527</t>
  </si>
  <si>
    <t>-701.116671287878 27.9123714875483 660.354998801756</t>
  </si>
  <si>
    <t>-601.137428077441 -88.4534019017047 746.417114701176</t>
  </si>
  <si>
    <t>9763-20170724T164106.794862300.bin</t>
  </si>
  <si>
    <t>-560.352863806851 285.136333953338 -227.790017112558</t>
  </si>
  <si>
    <t>-589.27793669628 288.492210004131 -345.348056040616</t>
  </si>
  <si>
    <t>-592.970028588626 278.27923318376 -466.065181064409</t>
  </si>
  <si>
    <t>-585.870536180757 263.675182424678 -574.375777567</t>
  </si>
  <si>
    <t>-568.501008682238 243.905789308044 -680.688109184969</t>
  </si>
  <si>
    <t>-533.800432351231 211.230410041103 -825.353941272369</t>
  </si>
  <si>
    <t>-471.544608272339 186.208970895376 -902.042426375016</t>
  </si>
  <si>
    <t>-536.565324455158 254.669813290928 -764.870065756456</t>
  </si>
  <si>
    <t>-482.183729883835 390.819712382783 -753.4647905688</t>
  </si>
  <si>
    <t>-412.720301158652 412.4744126994 -445.41926580003</t>
  </si>
  <si>
    <t>-317.040881172833 278.996906385299 -243.747963171125</t>
  </si>
  <si>
    <t>-561.743411737146 196.706671061339 -757.817538483523</t>
  </si>
  <si>
    <t>-623.679460027442 67.9724380395837 -722.964438430437</t>
  </si>
  <si>
    <t>-645.035103040145 112.655386362535 -410.340768245653</t>
  </si>
  <si>
    <t>-389.225681386004 69.6676125753831 -391.482424280293</t>
  </si>
  <si>
    <t>-522.390642441386 375.84004296232 -234.521549814384</t>
  </si>
  <si>
    <t>-533.841766609169 348.095543718784 220.183616581343</t>
  </si>
  <si>
    <t>-616.701951003834 292.536225407098 679.372925459599</t>
  </si>
  <si>
    <t>-462.627028489228 261.952431914247 758.55030234967</t>
  </si>
  <si>
    <t>-598.238925786148 194.420475125979 -220.390257713737</t>
  </si>
  <si>
    <t>-547.157748936546 123.519275103777 226.847232653697</t>
  </si>
  <si>
    <t>-701.239872683948 28.0408471522869 660.271022394344</t>
  </si>
  <si>
    <t>-601.378348927698 -88.4354960941533 746.320142336997</t>
  </si>
  <si>
    <t>9763-20170724T164106.825660500.bin</t>
  </si>
  <si>
    <t>-560.96758673326 284.661859022556 -227.827452718888</t>
  </si>
  <si>
    <t>-589.984457941577 288.068121757497 -345.361521427676</t>
  </si>
  <si>
    <t>-593.733059384325 277.949594660044 -466.084842289451</t>
  </si>
  <si>
    <t>-586.667536736221 263.450474473458 -574.411597311433</t>
  </si>
  <si>
    <t>-569.313616057163 243.806599976978 -680.749784376228</t>
  </si>
  <si>
    <t>-534.614541997687 211.327900935215 -825.460318607695</t>
  </si>
  <si>
    <t>-472.34053000055 186.444831709034 -902.178963924285</t>
  </si>
  <si>
    <t>-537.401850986422 254.694158654235 -764.925001682922</t>
  </si>
  <si>
    <t>-483.089928168851 390.857510772133 -753.379433518799</t>
  </si>
  <si>
    <t>-413.539539613935 412.19783872803 -445.331472080014</t>
  </si>
  <si>
    <t>-317.741127917579 278.930646925028 -243.577764597788</t>
  </si>
  <si>
    <t>-562.533821946627 196.703303867398 -757.935721694968</t>
  </si>
  <si>
    <t>-624.380747743939 67.8902809809834 -723.20220591127</t>
  </si>
  <si>
    <t>-645.704024176744 112.122193566141 -410.512086041045</t>
  </si>
  <si>
    <t>-389.846675403713 69.4013188684954 -391.697487080825</t>
  </si>
  <si>
    <t>-523.023179500021 375.319873175376 -234.547411855244</t>
  </si>
  <si>
    <t>-534.103150173479 347.765405580575 220.178450219074</t>
  </si>
  <si>
    <t>-616.719098020678 292.432645441819 679.444993953252</t>
  </si>
  <si>
    <t>-462.578562460606 262.000548368014 758.553155712309</t>
  </si>
  <si>
    <t>-598.822109732633 193.9543839369 -220.433520738704</t>
  </si>
  <si>
    <t>-547.328025762746 123.237841182394 226.78582791685</t>
  </si>
  <si>
    <t>-701.366681351462 28.0684145560619 660.269526632497</t>
  </si>
  <si>
    <t>-601.506999689927 -88.4216429630483 746.302219101673</t>
  </si>
  <si>
    <t>9763-20170724T164106.891837900.bin</t>
  </si>
  <si>
    <t>-562.174751492847 283.741582237468 -227.929765957493</t>
  </si>
  <si>
    <t>-591.343216566237 287.267912963159 -345.422554026331</t>
  </si>
  <si>
    <t>-595.23646016146 277.299557496251 -466.153894702842</t>
  </si>
  <si>
    <t>-588.292184023752 262.953906699005 -574.508872169958</t>
  </si>
  <si>
    <t>-571.046057838189 243.48466194399 -680.896794732273</t>
  </si>
  <si>
    <t>-536.47931799183 211.273583970255 -825.698674707356</t>
  </si>
  <si>
    <t>-474.237892168782 186.597337860385 -902.510666999137</t>
  </si>
  <si>
    <t>-539.248615919966 254.542489807016 -765.092944748146</t>
  </si>
  <si>
    <t>-485.082306056381 390.765503392268 -753.426328880815</t>
  </si>
  <si>
    <t>-415.26030758029 411.626432664265 -445.407066819595</t>
  </si>
  <si>
    <t>-319.126402879847 278.66927056991 -243.6082613328</t>
  </si>
  <si>
    <t>-564.299432525806 196.509426257017 -758.1636283171</t>
  </si>
  <si>
    <t>-625.957227606455 67.586256052842 -723.537031007355</t>
  </si>
  <si>
    <t>-647.036422074769 111.202231225425 -410.744002640468</t>
  </si>
  <si>
    <t>-391.099595221999 68.8406322968547 -392.19912034428</t>
  </si>
  <si>
    <t>-524.279651440698 374.448808681109 -234.637474168064</t>
  </si>
  <si>
    <t>-534.711512959821 346.979085112072 220.108940696877</t>
  </si>
  <si>
    <t>-616.76752230429 292.604672152947 679.553976773748</t>
  </si>
  <si>
    <t>-462.468198706776 262.696693619623 758.552373143245</t>
  </si>
  <si>
    <t>-600.018857987076 193.065954772515 -220.51333337224</t>
  </si>
  <si>
    <t>-547.771462761359 122.587782194881 226.656340582823</t>
  </si>
  <si>
    <t>-701.682893265189 28.1094428307574 660.30315523345</t>
  </si>
  <si>
    <t>-601.743673626457 -88.3675233859831 746.261207974283</t>
  </si>
  <si>
    <t>9763-20170724T164106.923639100.bin</t>
  </si>
  <si>
    <t>-562.795195538428 283.406182182665 -227.958484115274</t>
  </si>
  <si>
    <t>-592.0173639557 286.964230387593 -345.43703547523</t>
  </si>
  <si>
    <t>-595.962680087588 277.030842932948 -466.169487334275</t>
  </si>
  <si>
    <t>-589.062231353937 262.720604989998 -574.532106187973</t>
  </si>
  <si>
    <t>-571.855335901271 243.292056072607 -680.933702239704</t>
  </si>
  <si>
    <t>-537.33705087935 211.144618107487 -825.761222900668</t>
  </si>
  <si>
    <t>-475.126444828047 186.539208317284 -902.620907290264</t>
  </si>
  <si>
    <t>-540.090366812829 254.388627908156 -765.137116450958</t>
  </si>
  <si>
    <t>-485.983774996168 390.61923745587 -753.440742017024</t>
  </si>
  <si>
    <t>-416.015468079112 411.38441349157 -445.448202294762</t>
  </si>
  <si>
    <t>-319.647762313905 278.524755086091 -243.696784296193</t>
  </si>
  <si>
    <t>-565.130240241574 196.349160469822 -758.221954720719</t>
  </si>
  <si>
    <t>-626.721231659624 67.3780931786222 -723.626823350372</t>
  </si>
  <si>
    <t>-647.640181898337 110.70814025088 -410.783297352424</t>
  </si>
  <si>
    <t>-391.666127177086 68.5031660552847 -392.396632437632</t>
  </si>
  <si>
    <t>-524.836627960304 374.138227475375 -234.683922022751</t>
  </si>
  <si>
    <t>-535.088813377436 346.744686652923 220.071215724898</t>
  </si>
  <si>
    <t>-616.770600840004 292.574695379917 679.610958387108</t>
  </si>
  <si>
    <t>-462.591643487477 262.001795570362 758.589854880408</t>
  </si>
  <si>
    <t>-600.653976977384 192.704721695898 -220.563083990377</t>
  </si>
  <si>
    <t>-548.016178502878 122.35631289703 226.581288896934</t>
  </si>
  <si>
    <t>-701.81241005217 28.1616861446538 660.309704387732</t>
  </si>
  <si>
    <t>-601.90757125435 -88.3701958170259 746.233178931489</t>
  </si>
  <si>
    <t>9763-20170724T164106.966745100.bin</t>
  </si>
  <si>
    <t>-563.3455581693 283.009820828419 -228.011316221191</t>
  </si>
  <si>
    <t>-592.618740065645 286.595026417735 -345.476285537208</t>
  </si>
  <si>
    <t>-596.591345358068 276.709573415606 -466.211764197737</t>
  </si>
  <si>
    <t>-589.703900405404 262.453405397866 -574.582335140474</t>
  </si>
  <si>
    <t>-572.497082090003 243.091277665442 -680.99605756416</t>
  </si>
  <si>
    <t>-537.964907294572 211.050109046677 -825.843885380827</t>
  </si>
  <si>
    <t>-475.770133345675 186.512611446869 -902.738029900302</t>
  </si>
  <si>
    <t>-540.731015759516 254.252363262636 -765.190577459345</t>
  </si>
  <si>
    <t>-486.655345486729 390.48776900152 -753.453164215506</t>
  </si>
  <si>
    <t>-416.67141173013 411.100060476259 -445.453772849574</t>
  </si>
  <si>
    <t>-320.112849984503 278.260820177952 -243.780265174049</t>
  </si>
  <si>
    <t>-565.757598183542 196.202322838694 -758.315941822298</t>
  </si>
  <si>
    <t>-627.35829314792 67.2206765464221 -723.740373020463</t>
  </si>
  <si>
    <t>-648.063734908876 110.218870355364 -410.836826224402</t>
  </si>
  <si>
    <t>-392.034496762182 68.2748579812296 -392.621938599683</t>
  </si>
  <si>
    <t>-525.33885226857 373.606638314818 -234.75291235052</t>
  </si>
  <si>
    <t>-535.348812691012 346.308283339722 220.013308186407</t>
  </si>
  <si>
    <t>-616.718642891701 292.172940091265 679.644768986662</t>
  </si>
  <si>
    <t>-462.418964872641 262.102837116719 758.580951598575</t>
  </si>
  <si>
    <t>-601.210547251329 192.38687041845 -220.598066804603</t>
  </si>
  <si>
    <t>-548.158487423562 122.069322070694 226.502181548528</t>
  </si>
  <si>
    <t>-701.918225263114 28.222725933355 660.291064557314</t>
  </si>
  <si>
    <t>-602.097608145332 -88.3955897771633 746.195232185233</t>
  </si>
  <si>
    <t>9763-20170724T164107.024552800.bin</t>
  </si>
  <si>
    <t>-564.510097065305 282.676087388492 -228.065170440521</t>
  </si>
  <si>
    <t>-593.990191744956 286.344007428982 -345.475873217983</t>
  </si>
  <si>
    <t>-598.07485371744 276.513459927487 -466.212075596073</t>
  </si>
  <si>
    <t>-591.245981599637 262.29806159136 -574.591736172852</t>
  </si>
  <si>
    <t>-574.054363202251 242.969962786037 -681.014188694878</t>
  </si>
  <si>
    <t>-539.498171797616 210.971652708214 -825.865612519153</t>
  </si>
  <si>
    <t>-477.320761080901 186.485930515509 -902.790348660109</t>
  </si>
  <si>
    <t>-542.277524046847 254.157214736699 -765.201048935394</t>
  </si>
  <si>
    <t>-488.185052890684 390.393778781301 -753.401694279482</t>
  </si>
  <si>
    <t>-418.106005859973 410.777985135402 -445.408855389557</t>
  </si>
  <si>
    <t>-321.272110935015 278.218236625495 -243.683370099837</t>
  </si>
  <si>
    <t>-567.298866549928 196.102581120973 -758.34566670618</t>
  </si>
  <si>
    <t>-628.857574039725 67.1031062652508 -723.802896917529</t>
  </si>
  <si>
    <t>-649.543984042598 109.490443050858 -410.814848604347</t>
  </si>
  <si>
    <t>-393.353956673266 68.2969401259422 -393.156488616709</t>
  </si>
  <si>
    <t>-526.52682319837 373.319122151394 -234.826441775884</t>
  </si>
  <si>
    <t>-535.696735647912 345.987745508578 219.955461114165</t>
  </si>
  <si>
    <t>-616.707256176239 292.251688856807 679.707548324258</t>
  </si>
  <si>
    <t>-462.508090182452 261.559571982423 758.600630867648</t>
  </si>
  <si>
    <t>-602.366194091038 192.03240255027 -220.598210213668</t>
  </si>
  <si>
    <t>-548.205292413665 121.743169175761 226.373531161225</t>
  </si>
  <si>
    <t>-702.056852365072 28.3462832498285 660.180760466548</t>
  </si>
  <si>
    <t>-602.311727651976 -88.3526403558105 746.063211399306</t>
  </si>
  <si>
    <t>9763-20170724T164107.088724100.bin</t>
  </si>
  <si>
    <t>-565.503221096741 282.158958862789 -228.094085020523</t>
  </si>
  <si>
    <t>-595.185123986654 285.804645794417 -345.454674316407</t>
  </si>
  <si>
    <t>-599.410654245871 275.945895463573 -466.183799740237</t>
  </si>
  <si>
    <t>-592.681595340505 261.703246069948 -574.566027301304</t>
  </si>
  <si>
    <t>-575.56146795951 242.34717207033 -680.994828944221</t>
  </si>
  <si>
    <t>-541.075362227755 210.309998221666 -825.85458444226</t>
  </si>
  <si>
    <t>-478.92540902452 185.802963666203 -902.794579686626</t>
  </si>
  <si>
    <t>-543.823504981061 253.511091260507 -765.199554498354</t>
  </si>
  <si>
    <t>-489.73024233643 389.746341641113 -753.428174914971</t>
  </si>
  <si>
    <t>-419.440473713323 410.074027632829 -445.479562075757</t>
  </si>
  <si>
    <t>-322.619858862722 277.617871473316 -243.679717350214</t>
  </si>
  <si>
    <t>-568.845289165437 195.459791832173 -758.317724919081</t>
  </si>
  <si>
    <t>-630.352340266598 66.443277478367 -723.728082603156</t>
  </si>
  <si>
    <t>-650.979872926866 108.42690128473 -410.681775267167</t>
  </si>
  <si>
    <t>-394.635462360802 67.844304803356 -393.869545838298</t>
  </si>
  <si>
    <t>-527.509304978766 372.620307577961 -234.926312096865</t>
  </si>
  <si>
    <t>-536.198009243439 345.324632087532 219.867167030241</t>
  </si>
  <si>
    <t>-616.603075460038 291.621768998288 679.755848437031</t>
  </si>
  <si>
    <t>-462.172447507038 261.890986804363 758.564302384676</t>
  </si>
  <si>
    <t>-603.419306143483 191.605645532209 -220.5820278026</t>
  </si>
  <si>
    <t>-548.153226416263 121.443726993608 226.274373727859</t>
  </si>
  <si>
    <t>-702.212880198278 28.4409561320523 660.087866900909</t>
  </si>
  <si>
    <t>-602.451421502618 -88.2828699907867 745.917362749687</t>
  </si>
  <si>
    <t>9763-20170724T164107.126619200.bin</t>
  </si>
  <si>
    <t>-566.037576571591 282.007790327842 -228.117540893047</t>
  </si>
  <si>
    <t>-595.828538639278 285.633654474688 -345.450987596335</t>
  </si>
  <si>
    <t>-600.131224326674 275.758775469184 -466.17604583248</t>
  </si>
  <si>
    <t>-593.457642931653 261.502929108474 -574.560044683004</t>
  </si>
  <si>
    <t>-576.378487446313 242.135176351773 -680.993360801222</t>
  </si>
  <si>
    <t>-541.934273263983 210.083618017748 -825.859731847644</t>
  </si>
  <si>
    <t>-479.79150169415 185.557484219117 -902.799620799076</t>
  </si>
  <si>
    <t>-544.663159993858 253.290025950323 -765.207825947223</t>
  </si>
  <si>
    <t>-490.551748093961 389.514064263591 -753.443038071608</t>
  </si>
  <si>
    <t>-420.221051225909 409.783525794918 -445.499932131337</t>
  </si>
  <si>
    <t>-323.291427600898 277.372657426696 -243.722718285482</t>
  </si>
  <si>
    <t>-569.686369553903 195.240780388163 -758.314145128779</t>
  </si>
  <si>
    <t>-631.196957687129 66.2337044053104 -723.694186523069</t>
  </si>
  <si>
    <t>-651.789227907606 107.99478226919 -410.615699021317</t>
  </si>
  <si>
    <t>-395.384650097815 67.6919124190821 -394.05040962684</t>
  </si>
  <si>
    <t>-528.041307902377 372.483921295484 -234.985460305107</t>
  </si>
  <si>
    <t>-536.485685274495 345.229291170829 219.815157155095</t>
  </si>
  <si>
    <t>-616.606439501876 291.79138974978 679.775581767344</t>
  </si>
  <si>
    <t>-462.169328068494 261.994215642489 758.546202150843</t>
  </si>
  <si>
    <t>-603.955951203946 191.505194104037 -220.548483556135</t>
  </si>
  <si>
    <t>-548.163734224278 121.358942344428 226.244982485137</t>
  </si>
  <si>
    <t>-702.300335621364 28.4912583660582 660.064235322648</t>
  </si>
  <si>
    <t>-602.476569108353 -88.2222182005229 745.83537671902</t>
  </si>
  <si>
    <t>9763-20170724T164107.192793000.bin</t>
  </si>
  <si>
    <t>-567.182023513814 281.912272518403 -228.126168823287</t>
  </si>
  <si>
    <t>-597.143093835707 285.509096649962 -345.417285693325</t>
  </si>
  <si>
    <t>-601.585185070804 275.625790549021 -466.136656124342</t>
  </si>
  <si>
    <t>-595.021865258044 261.372553002299 -574.527617790797</t>
  </si>
  <si>
    <t>-578.035684937723 242.018500970874 -680.97830166363</t>
  </si>
  <si>
    <t>-543.701666592669 209.998596086473 -825.877882729125</t>
  </si>
  <si>
    <t>-481.610576437767 185.448749655283 -902.85191909268</t>
  </si>
  <si>
    <t>-546.394738531165 253.19581470819 -765.21759600569</t>
  </si>
  <si>
    <t>-492.265794365296 389.41475008035 -753.45219654642</t>
  </si>
  <si>
    <t>-421.76434917433 409.488975768405 -445.535337975685</t>
  </si>
  <si>
    <t>-324.805345807236 277.17670136081 -243.707614645246</t>
  </si>
  <si>
    <t>-571.392114076658 195.136983056312 -758.311021765502</t>
  </si>
  <si>
    <t>-632.830107490808 66.106611770205 -723.632062711144</t>
  </si>
  <si>
    <t>-652.779292888407 108.515737673691 -410.599075157602</t>
  </si>
  <si>
    <t>-396.458837105576 67.8273229214881 -393.6781052728</t>
  </si>
  <si>
    <t>-529.186007030965 372.341846798199 -235.103516820712</t>
  </si>
  <si>
    <t>-537.145692829062 345.101429308749 219.706697207807</t>
  </si>
  <si>
    <t>-616.531316244487 291.636488176788 679.792682904904</t>
  </si>
  <si>
    <t>-462.025559697587 262.049250508824 758.507831177827</t>
  </si>
  <si>
    <t>-605.071390084336 191.458113263926 -220.464128430413</t>
  </si>
  <si>
    <t>-548.317316620821 121.270138808995 226.201628472223</t>
  </si>
  <si>
    <t>-702.496371963018 28.6115880835263 660.026621483035</t>
  </si>
  <si>
    <t>-602.504103603902 -88.0775172343433 745.634525442582</t>
  </si>
  <si>
    <t>9763-20170724T164107.224497500.bin</t>
  </si>
  <si>
    <t>-567.737121522316 282.000093850972 -228.12589941666</t>
  </si>
  <si>
    <t>-597.802014943697 285.589616364858 -345.390606687285</t>
  </si>
  <si>
    <t>-602.325822523015 275.700312459869 -466.106486602442</t>
  </si>
  <si>
    <t>-595.823986179312 261.445726056972 -574.501009470021</t>
  </si>
  <si>
    <t>-578.885382811167 242.096791936935 -680.960174680769</t>
  </si>
  <si>
    <t>-544.601779125619 210.092834598727 -825.875244447829</t>
  </si>
  <si>
    <t>-482.537320972659 185.564812196801 -902.87771774944</t>
  </si>
  <si>
    <t>-547.295566484916 253.291934422397 -765.216444824015</t>
  </si>
  <si>
    <t>-493.211055090094 389.526708341377 -753.466496065087</t>
  </si>
  <si>
    <t>-422.608095709911 409.571065505553 -445.571149212476</t>
  </si>
  <si>
    <t>-325.690869526382 277.259496542648 -243.722800863209</t>
  </si>
  <si>
    <t>-572.246853157079 195.215228008635 -758.293328412873</t>
  </si>
  <si>
    <t>-633.55891925989 66.14973438387 -723.562075367472</t>
  </si>
  <si>
    <t>-653.513420276581 108.978767201553 -410.586559216809</t>
  </si>
  <si>
    <t>-397.19978717671 68.2152801503169 -393.741958554159</t>
  </si>
  <si>
    <t>-529.732421739627 372.489367346575 -235.155346857142</t>
  </si>
  <si>
    <t>-537.463519715442 345.231177771552 219.657699000653</t>
  </si>
  <si>
    <t>-616.532219682586 291.979750833151 679.796537517818</t>
  </si>
  <si>
    <t>-462.195275356704 261.547135275872 758.520591687949</t>
  </si>
  <si>
    <t>-605.638991259347 191.492787687812 -220.419850017881</t>
  </si>
  <si>
    <t>-548.412687192172 121.262929240827 226.179173461545</t>
  </si>
  <si>
    <t>-702.618367594869 28.6882918353402 660.03577758665</t>
  </si>
  <si>
    <t>-602.549103516281 -88.0168126290836 745.53179665431</t>
  </si>
  <si>
    <t>9763-20170724T164107.288667500.bin</t>
  </si>
  <si>
    <t>-568.847606217475 282.069428756969 -228.20583849743</t>
  </si>
  <si>
    <t>-599.041023447464 285.621429505304 -345.438747708242</t>
  </si>
  <si>
    <t>-603.65512236014 275.7199258603 -466.150075167434</t>
  </si>
  <si>
    <t>-597.215476569285 261.469467693001 -574.548879142565</t>
  </si>
  <si>
    <t>-580.317574585404 242.143037858537 -681.018656554268</t>
  </si>
  <si>
    <t>-546.066777643443 210.192025238753 -825.953177092886</t>
  </si>
  <si>
    <t>-483.987973957298 185.739906602685 -902.968145677546</t>
  </si>
  <si>
    <t>-548.775885437401 253.380330437433 -765.28722519424</t>
  </si>
  <si>
    <t>-494.688222432667 389.620953482489 -753.571740074946</t>
  </si>
  <si>
    <t>-424.086485382494 409.761742215388 -445.682247872032</t>
  </si>
  <si>
    <t>-327.439495711334 277.893094738211 -243.414905202514</t>
  </si>
  <si>
    <t>-573.667581960169 195.278412840991 -758.360932665982</t>
  </si>
  <si>
    <t>-634.829744018594 66.1535265219994 -723.55942595041</t>
  </si>
  <si>
    <t>-654.875682270609 109.147690437248 -410.612481093585</t>
  </si>
  <si>
    <t>-398.454824916908 69.0308021213599 -393.84825823083</t>
  </si>
  <si>
    <t>-530.814599628284 372.576675379246 -235.300064742469</t>
  </si>
  <si>
    <t>-538.09373981311 345.272671765017 219.517672725421</t>
  </si>
  <si>
    <t>-616.471646340356 292.171020387137 679.792538881036</t>
  </si>
  <si>
    <t>-462.226201039914 261.263480513347 758.51092649637</t>
  </si>
  <si>
    <t>-606.772575234911 191.592695794444 -220.411635696223</t>
  </si>
  <si>
    <t>-548.829824744325 121.135754092873 226.059033560098</t>
  </si>
  <si>
    <t>-702.857227152468 28.8747191467184 660.069568304167</t>
  </si>
  <si>
    <t>-602.719234665864 -87.9416014240399 745.332905209484</t>
  </si>
  <si>
    <t>9763-20170724T164107.326787900.bin</t>
  </si>
  <si>
    <t>-569.396222157266 281.974317617358 -228.262237112872</t>
  </si>
  <si>
    <t>-599.590812890912 285.513125525859 -345.49521088629</t>
  </si>
  <si>
    <t>-604.23263666199 275.614177706248 -466.205754144711</t>
  </si>
  <si>
    <t>-597.827084570824 261.375048303959 -574.608041883343</t>
  </si>
  <si>
    <t>-580.971090791628 242.069964555548 -681.088238871341</t>
  </si>
  <si>
    <t>-546.785106441764 210.160134875513 -826.047280288305</t>
  </si>
  <si>
    <t>-484.706497756256 185.743997970805 -903.073628032268</t>
  </si>
  <si>
    <t>-549.487620297798 253.339185531872 -765.374368548339</t>
  </si>
  <si>
    <t>-495.441337332747 389.597708461787 -753.690863396493</t>
  </si>
  <si>
    <t>-424.724832102444 409.820244493916 -445.833157334686</t>
  </si>
  <si>
    <t>-328.450952868292 278.612774049824 -242.95880643459</t>
  </si>
  <si>
    <t>-574.335065849621 195.219273129231 -758.440385922318</t>
  </si>
  <si>
    <t>-635.392418547885 66.0539719120708 -723.651695924923</t>
  </si>
  <si>
    <t>-655.800849519545 109.018123971705 -410.723974387894</t>
  </si>
  <si>
    <t>-399.313809579285 69.3941299980722 -393.800599501301</t>
  </si>
  <si>
    <t>-531.346603737653 372.412846561511 -235.383529023455</t>
  </si>
  <si>
    <t>-538.523440361691 345.18148299855 219.440223248351</t>
  </si>
  <si>
    <t>-616.414413011203 292.012947560596 679.795619724671</t>
  </si>
  <si>
    <t>-462.065819437629 261.563592514395 758.49030619299</t>
  </si>
  <si>
    <t>-607.325612895553 191.548893200243 -220.45691424467</t>
  </si>
  <si>
    <t>-549.149133407634 121.001240760883 225.969132053623</t>
  </si>
  <si>
    <t>-703.013561072273 28.9245645803947 660.088368992347</t>
  </si>
  <si>
    <t>-602.784834405251 -87.8976881592 745.236880659261</t>
  </si>
  <si>
    <t>9763-20170724T164107.362884200.bin</t>
  </si>
  <si>
    <t>-569.949862947983 281.932811551294 -228.304312849066</t>
  </si>
  <si>
    <t>-600.167953094175 285.463927604588 -345.531390473256</t>
  </si>
  <si>
    <t>-604.832333127282 275.591628011801 -466.243262275888</t>
  </si>
  <si>
    <t>-598.445612379214 261.391782230394 -574.651837877357</t>
  </si>
  <si>
    <t>-581.606135188567 242.141613937426 -681.144649914647</t>
  </si>
  <si>
    <t>-547.439932469393 210.324762259959 -826.128606511923</t>
  </si>
  <si>
    <t>-485.349718538257 185.962658706381 -903.162910084338</t>
  </si>
  <si>
    <t>-550.154362307812 253.47267058957 -765.434236072717</t>
  </si>
  <si>
    <t>-496.124587849309 389.732133913441 -753.722197544431</t>
  </si>
  <si>
    <t>-425.344138932408 410.061888733887 -445.886204280602</t>
  </si>
  <si>
    <t>-329.527695990125 279.368939843167 -242.463929694123</t>
  </si>
  <si>
    <t>-574.960449650397 195.332639545698 -758.521000812363</t>
  </si>
  <si>
    <t>-635.916980300948 66.096521244822 -723.772469869861</t>
  </si>
  <si>
    <t>-656.385161906269 108.837696831233 -410.81803470804</t>
  </si>
  <si>
    <t>-399.854942061077 69.6123818268637 -393.623174065711</t>
  </si>
  <si>
    <t>-531.894020684553 372.41968616287 -235.456325938717</t>
  </si>
  <si>
    <t>-538.978639139444 345.162333082162 219.367343176924</t>
  </si>
  <si>
    <t>-616.389278825866 292.195611873884 679.79531457157</t>
  </si>
  <si>
    <t>-462.11984763397 261.363073213745 758.49592083323</t>
  </si>
  <si>
    <t>-607.896390989103 191.458562169856 -220.485103301204</t>
  </si>
  <si>
    <t>-549.485787057381 120.988103040578 225.922569330962</t>
  </si>
  <si>
    <t>-703.214762916501 28.9373233303495 660.116637716124</t>
  </si>
  <si>
    <t>-602.796249641002 -87.805884239707 745.149965949618</t>
  </si>
  <si>
    <t>9763-20170724T164107.430081000.bin</t>
  </si>
  <si>
    <t>-571.14266125771 281.644351425921 -228.427744824782</t>
  </si>
  <si>
    <t>-601.428372332384 285.192988129732 -345.636881592047</t>
  </si>
  <si>
    <t>-606.165627245119 275.412254827886 -466.353451728449</t>
  </si>
  <si>
    <t>-599.84430529847 261.327000997522 -574.780744568714</t>
  </si>
  <si>
    <t>-583.06767385416 242.223878674397 -681.310016329</t>
  </si>
  <si>
    <t>-548.984276516807 210.645611994579 -826.365569698457</t>
  </si>
  <si>
    <t>-486.901876207106 186.418543971142 -903.448714693364</t>
  </si>
  <si>
    <t>-551.702147191039 253.708429740579 -765.610965728564</t>
  </si>
  <si>
    <t>-497.817772828985 390.022222390508 -753.750510367065</t>
  </si>
  <si>
    <t>-427.273477820078 410.3664548137 -445.861289520655</t>
  </si>
  <si>
    <t>-331.921299696734 280.061704448652 -241.972379270915</t>
  </si>
  <si>
    <t>-576.428116227347 195.527525158487 -758.75488025216</t>
  </si>
  <si>
    <t>-637.174668710375 66.1716910498058 -724.105943063091</t>
  </si>
  <si>
    <t>-657.277941853126 108.913077105416 -411.127976041164</t>
  </si>
  <si>
    <t>-400.758746618821 69.7454609816716 -393.639071229735</t>
  </si>
  <si>
    <t>-533.044292040135 372.096990579057 -235.571366742783</t>
  </si>
  <si>
    <t>-539.712629180008 344.857266367228 219.259624173914</t>
  </si>
  <si>
    <t>-616.313751243187 291.960794307139 679.837116383884</t>
  </si>
  <si>
    <t>-461.911038553646 261.667395556502 758.485897412242</t>
  </si>
  <si>
    <t>-609.139310727194 191.24087875931 -220.576439171516</t>
  </si>
  <si>
    <t>-550.251989128442 120.797675478947 225.77291860963</t>
  </si>
  <si>
    <t>-703.60207293354 28.9292640602765 660.137775265361</t>
  </si>
  <si>
    <t>-602.770762880493 -87.6006357455191 744.974935541244</t>
  </si>
  <si>
    <t>9763-20170724T164107.489230400.bin</t>
  </si>
  <si>
    <t>-572.249463550414 281.421226059367 -228.522604495411</t>
  </si>
  <si>
    <t>-602.61352766439 285.010588460803 -345.710265360244</t>
  </si>
  <si>
    <t>-607.412045711503 275.322401675341 -466.431719140723</t>
  </si>
  <si>
    <t>-601.136742708172 261.343284259172 -574.875634177411</t>
  </si>
  <si>
    <t>-584.395409674608 242.369266737474 -681.433337568247</t>
  </si>
  <si>
    <t>-550.348607184069 210.994859588152 -826.541827890977</t>
  </si>
  <si>
    <t>-488.246371485191 186.94891637551 -903.665764538157</t>
  </si>
  <si>
    <t>-553.079021164921 253.98314932663 -765.73499413978</t>
  </si>
  <si>
    <t>-499.388723069625 390.34416314507 -753.706042560548</t>
  </si>
  <si>
    <t>-429.650275437762 409.87971467517 -445.580884921343</t>
  </si>
  <si>
    <t>-333.872365226511 278.936002167457 -242.3018526722</t>
  </si>
  <si>
    <t>-577.7473860478 195.771010487887 -758.936728874743</t>
  </si>
  <si>
    <t>-638.307091595457 66.2768189261248 -724.442081063634</t>
  </si>
  <si>
    <t>-658.839896192276 109.21601358768 -411.518934469144</t>
  </si>
  <si>
    <t>-402.402585557865 69.8514185786414 -393.28731786554</t>
  </si>
  <si>
    <t>-534.115176321997 371.864339367614 -235.653198097565</t>
  </si>
  <si>
    <t>-540.410892313405 344.610328897603 219.18222663402</t>
  </si>
  <si>
    <t>-616.252140940449 291.721977232364 679.882022123669</t>
  </si>
  <si>
    <t>-461.781121798736 261.645814223119 758.479975566186</t>
  </si>
  <si>
    <t>-610.267953583178 191.019189184734 -220.677718327381</t>
  </si>
  <si>
    <t>-550.772379586846 120.55809460514 225.588082348453</t>
  </si>
  <si>
    <t>-703.872193454041 28.9710880968093 660.091654314003</t>
  </si>
  <si>
    <t>-602.865327078738 -87.490715870543 744.813280792187</t>
  </si>
  <si>
    <t>9763-20170724T164107.525015400.bin</t>
  </si>
  <si>
    <t>-572.701367234909 281.318771024832 -228.577010496817</t>
  </si>
  <si>
    <t>-603.090152827989 284.890160008749 -345.758725877088</t>
  </si>
  <si>
    <t>-607.8880226079 275.256959939089 -466.484599185639</t>
  </si>
  <si>
    <t>-601.602284254136 261.355610823675 -574.937741681178</t>
  </si>
  <si>
    <t>-584.84110182678 242.486105501023 -681.511152510579</t>
  </si>
  <si>
    <t>-550.757187596849 211.283485845494 -826.647859016723</t>
  </si>
  <si>
    <t>-488.615060500316 187.332507073358 -903.76915443943</t>
  </si>
  <si>
    <t>-553.502950193975 254.199625998501 -765.790832601981</t>
  </si>
  <si>
    <t>-499.759158562273 390.536620207989 -753.637195072982</t>
  </si>
  <si>
    <t>-430.557183428443 409.672928071779 -445.366007061538</t>
  </si>
  <si>
    <t>-334.365989625691 278.697364061219 -242.302787127387</t>
  </si>
  <si>
    <t>-578.173625863837 195.979719235964 -759.067927097546</t>
  </si>
  <si>
    <t>-638.739174828294 66.4582437258709 -724.702654157031</t>
  </si>
  <si>
    <t>-659.722594391356 109.199694378281 -411.78239337382</t>
  </si>
  <si>
    <t>-403.289664775063 70.0619307875756 -393.009033912187</t>
  </si>
  <si>
    <t>-534.544736934789 371.704358291374 -235.708935382231</t>
  </si>
  <si>
    <t>-540.641703031821 344.475481061772 219.130660368872</t>
  </si>
  <si>
    <t>-616.212026549839 291.582316867379 679.886229105911</t>
  </si>
  <si>
    <t>-461.685196685132 261.748140017021 758.466693655798</t>
  </si>
  <si>
    <t>-610.725462827511 190.917356269907 -220.73169928163</t>
  </si>
  <si>
    <t>-550.948233470157 120.461112851145 225.497200284743</t>
  </si>
  <si>
    <t>-703.966374427817 29.008183789449 660.053185317934</t>
  </si>
  <si>
    <t>-602.91980731739 -87.4491185697762 744.733758509647</t>
  </si>
  <si>
    <t>9763-20170724T164107.593196000.bin</t>
  </si>
  <si>
    <t>-573.475035976515 281.19558477371 -228.686316957125</t>
  </si>
  <si>
    <t>-603.891794288563 284.800773941617 -345.859877172414</t>
  </si>
  <si>
    <t>-608.703641653078 275.284681577685 -466.594474347225</t>
  </si>
  <si>
    <t>-602.423756503187 261.523530096056 -575.065863133389</t>
  </si>
  <si>
    <t>-585.660495082803 242.828827337454 -681.669638511026</t>
  </si>
  <si>
    <t>-551.564428425016 211.904855204061 -826.863177604376</t>
  </si>
  <si>
    <t>-489.362248075339 188.031958505477 -903.960253744541</t>
  </si>
  <si>
    <t>-554.310703928786 254.702322961595 -765.922596647534</t>
  </si>
  <si>
    <t>-500.46072807098 390.996172098837 -753.59689713489</t>
  </si>
  <si>
    <t>-431.415111269835 409.766342838711 -445.268299592915</t>
  </si>
  <si>
    <t>-335.373156799974 280.116019723178 -241.285862753853</t>
  </si>
  <si>
    <t>-578.991013386759 196.473146569124 -759.31642213513</t>
  </si>
  <si>
    <t>-639.566152509616 66.8947438790171 -725.206249168751</t>
  </si>
  <si>
    <t>-660.978281200195 109.005260426113 -412.229581145855</t>
  </si>
  <si>
    <t>-404.442618838885 70.9019425095539 -392.745013242219</t>
  </si>
  <si>
    <t>-535.240626275937 371.604706545636 -235.82458870573</t>
  </si>
  <si>
    <t>-541.062700952601 344.473650401117 219.024517513333</t>
  </si>
  <si>
    <t>-616.182416240914 291.766976542872 679.891545348781</t>
  </si>
  <si>
    <t>-461.881639552241 260.828000953582 758.489027518599</t>
  </si>
  <si>
    <t>-611.594788761719 190.804819557172 -220.834807601722</t>
  </si>
  <si>
    <t>-551.263425675521 120.344252499972 225.318875737544</t>
  </si>
  <si>
    <t>-704.148635798465 29.0354231366233 659.960288814127</t>
  </si>
  <si>
    <t>-603.003547606763 -87.362856000718 744.604409991087</t>
  </si>
  <si>
    <t>9763-20170724T164107.624993900.bin</t>
  </si>
  <si>
    <t>-573.792309070297 280.957849841929 -228.70125520665</t>
  </si>
  <si>
    <t>-604.213357142559 284.588779084295 -345.872911366487</t>
  </si>
  <si>
    <t>-609.055777187919 275.106586884896 -466.608978370085</t>
  </si>
  <si>
    <t>-602.811946665071 261.382393271013 -575.087218229682</t>
  </si>
  <si>
    <t>-586.09161699487 242.732577800635 -681.705495364685</t>
  </si>
  <si>
    <t>-552.060613327963 211.88074319322 -826.929556046399</t>
  </si>
  <si>
    <t>-489.867439338668 188.025091253994 -904.039323124</t>
  </si>
  <si>
    <t>-554.788368307872 254.651384976289 -765.969296194757</t>
  </si>
  <si>
    <t>-500.97392410547 390.957059128299 -753.643010336184</t>
  </si>
  <si>
    <t>-431.701302246481 409.986902207977 -445.381344167717</t>
  </si>
  <si>
    <t>-335.959035050862 280.69146075687 -241.033182374962</t>
  </si>
  <si>
    <t>-579.448203236067 196.412103004942 -759.375441986111</t>
  </si>
  <si>
    <t>-639.933138718333 66.796022496417 -725.309775840822</t>
  </si>
  <si>
    <t>-661.445834986495 108.897758250772 -412.338787328233</t>
  </si>
  <si>
    <t>-404.856448729555 70.8074852081518 -393.54808266556</t>
  </si>
  <si>
    <t>-535.471668667017 371.260791149421 -235.856564607962</t>
  </si>
  <si>
    <t>-541.137603644628 344.13659585614 218.994921080431</t>
  </si>
  <si>
    <t>-616.137645915574 291.545165297245 679.899580569182</t>
  </si>
  <si>
    <t>-461.673962191027 261.358431368862 758.469472776773</t>
  </si>
  <si>
    <t>-611.991649615356 190.609670680789 -220.873845792341</t>
  </si>
  <si>
    <t>-551.423912773656 120.159216335723 225.249399670431</t>
  </si>
  <si>
    <t>-704.256037838212 29.0545736911729 659.945903750189</t>
  </si>
  <si>
    <t>-603.078291977745 -87.3374154009739 744.559582390654</t>
  </si>
  <si>
    <t>9763-20170724T164107.690167800.bin</t>
  </si>
  <si>
    <t>-574.363628790663 280.628223551638 -228.746981304143</t>
  </si>
  <si>
    <t>-604.853383200022 284.305141881698 -345.89933766842</t>
  </si>
  <si>
    <t>-609.71254598002 274.838761533853 -466.636060909665</t>
  </si>
  <si>
    <t>-603.461690775866 261.117156011396 -575.114120685422</t>
  </si>
  <si>
    <t>-586.712364374086 242.459139112921 -681.72636867824</t>
  </si>
  <si>
    <t>-552.619082487975 211.585640966186 -826.931428044638</t>
  </si>
  <si>
    <t>-490.392522217279 187.733084303779 -904.01506870459</t>
  </si>
  <si>
    <t>-555.349601568289 254.35625006935 -765.971315173006</t>
  </si>
  <si>
    <t>-501.521262576741 390.630076225527 -753.681636062966</t>
  </si>
  <si>
    <t>-432.644196478477 409.952643371871 -445.349393489973</t>
  </si>
  <si>
    <t>-336.754137441109 280.972734045977 -240.871207880342</t>
  </si>
  <si>
    <t>-580.059040886023 196.136154925689 -759.394156687204</t>
  </si>
  <si>
    <t>-640.631208096697 66.5095981214814 -725.39055361967</t>
  </si>
  <si>
    <t>-662.439977028536 108.359995256534 -412.406382755543</t>
  </si>
  <si>
    <t>-405.932101672899 69.5977105793117 -393.880251445671</t>
  </si>
  <si>
    <t>-535.892396319664 370.888101416636 -235.888601952116</t>
  </si>
  <si>
    <t>-541.178228925842 343.814124204673 218.970490872982</t>
  </si>
  <si>
    <t>-616.090672621379 291.497049089645 679.914210838089</t>
  </si>
  <si>
    <t>-461.631895221581 261.261463959445 758.475009106859</t>
  </si>
  <si>
    <t>-612.703111089772 190.371053689659 -220.923922144019</t>
  </si>
  <si>
    <t>-551.726419902997 119.86159455763 225.134302522523</t>
  </si>
  <si>
    <t>-704.491134290438 29.088789174244 659.953008419868</t>
  </si>
  <si>
    <t>-603.218053782884 -87.2667240296181 744.502825696376</t>
  </si>
  <si>
    <t>9763-20170724T164107.728176400.bin</t>
  </si>
  <si>
    <t>-574.526378034812 280.460646418648 -228.80250934414</t>
  </si>
  <si>
    <t>-605.049493384915 284.197211568032 -345.944220891185</t>
  </si>
  <si>
    <t>-609.927577041637 274.794605661109 -466.685138756187</t>
  </si>
  <si>
    <t>-603.688024873977 261.130115258614 -575.171040026814</t>
  </si>
  <si>
    <t>-586.944409034167 242.527941355771 -681.794104040716</t>
  </si>
  <si>
    <t>-552.853525953239 211.729766199894 -827.015457945204</t>
  </si>
  <si>
    <t>-490.60439363997 187.858098247303 -904.075106728884</t>
  </si>
  <si>
    <t>-555.555321114257 254.458033017272 -766.024403256685</t>
  </si>
  <si>
    <t>-501.585748213173 390.693722628819 -753.680447799483</t>
  </si>
  <si>
    <t>-433.123528645974 409.938269162789 -445.250920878044</t>
  </si>
  <si>
    <t>-337.04495576804 281.015776908061 -240.825014756708</t>
  </si>
  <si>
    <t>-580.320060513945 196.256060341236 -759.49474950311</t>
  </si>
  <si>
    <t>-641.031943828769 66.6763159580596 -725.590405920075</t>
  </si>
  <si>
    <t>-662.889699030769 108.135487711231 -412.557585244984</t>
  </si>
  <si>
    <t>-406.390439662318 69.5101940831421 -393.630077488802</t>
  </si>
  <si>
    <t>-535.966362531274 370.65999325464 -235.9134987694</t>
  </si>
  <si>
    <t>-541.130274779467 343.568373674891 218.945796523582</t>
  </si>
  <si>
    <t>-616.046721057926 291.365101199124 679.907106793503</t>
  </si>
  <si>
    <t>-461.512141353977 261.500645152611 758.460758964882</t>
  </si>
  <si>
    <t>-612.970376260048 190.281184713516 -220.967859582766</t>
  </si>
  <si>
    <t>-551.829315370863 119.686853163524 225.054376605413</t>
  </si>
  <si>
    <t>-704.54876679608 29.1155113952873 659.906230517465</t>
  </si>
  <si>
    <t>-603.299541366612 -87.2525688182274 744.467283356211</t>
  </si>
  <si>
    <t>9763-20170724T164107.795354900.bin</t>
  </si>
  <si>
    <t>-574.845905757457 280.287054962539 -228.909776386761</t>
  </si>
  <si>
    <t>-605.334405044412 284.084029138443 -346.058570744171</t>
  </si>
  <si>
    <t>-610.243402318244 274.779305725786 -466.805807365911</t>
  </si>
  <si>
    <t>-604.057025913601 261.219485279528 -575.30792277531</t>
  </si>
  <si>
    <t>-587.389747654538 242.738346262004 -681.963774281783</t>
  </si>
  <si>
    <t>-553.426680549818 212.125246013802 -827.254456783181</t>
  </si>
  <si>
    <t>-491.219886691052 188.204463748898 -904.332931051587</t>
  </si>
  <si>
    <t>-556.047946748717 254.765259270095 -766.198083686238</t>
  </si>
  <si>
    <t>-501.944848644639 390.936050813034 -753.726109241996</t>
  </si>
  <si>
    <t>-433.51950227096 409.874571286733 -445.269618115862</t>
  </si>
  <si>
    <t>-337.635736977194 281.156858627497 -240.623321963062</t>
  </si>
  <si>
    <t>-580.860656876591 196.575915679528 -759.737682730232</t>
  </si>
  <si>
    <t>-641.639143313186 66.9983745343837 -726.008717060047</t>
  </si>
  <si>
    <t>-663.289093251993 107.684698888492 -412.860070177347</t>
  </si>
  <si>
    <t>-406.645028950687 70.1563452054082 -393.689982105409</t>
  </si>
  <si>
    <t>-536.139974899337 370.519336105401 -236.005775477058</t>
  </si>
  <si>
    <t>-541.136121523145 343.523737424758 218.86113604732</t>
  </si>
  <si>
    <t>-616.008238220239 291.730813410117 679.852467232584</t>
  </si>
  <si>
    <t>-461.640814419594 261.148426880028 758.458699263882</t>
  </si>
  <si>
    <t>-613.438415777917 190.070349122639 -221.119611043494</t>
  </si>
  <si>
    <t>-552.127748381516 119.499866514758 224.883165264829</t>
  </si>
  <si>
    <t>-704.622616237608 29.2010920299864 659.84960209609</t>
  </si>
  <si>
    <t>-603.475223253047 -87.2498854077371 744.41845145047</t>
  </si>
  <si>
    <t>9763-20170724T164107.825991600.bin</t>
  </si>
  <si>
    <t>-574.976889257071 280.056798513069 -228.898234438011</t>
  </si>
  <si>
    <t>-605.476222186737 283.870094436375 -346.043627618505</t>
  </si>
  <si>
    <t>-610.426077597386 274.580327468925 -466.790412581298</t>
  </si>
  <si>
    <t>-604.287317697649 261.035279103031 -575.297089466701</t>
  </si>
  <si>
    <t>-587.676928213161 242.571083592495 -681.964806694262</t>
  </si>
  <si>
    <t>-553.801185939363 211.984553521257 -827.281432515148</t>
  </si>
  <si>
    <t>-491.646192430393 188.079993545846 -904.406754330604</t>
  </si>
  <si>
    <t>-556.396643839927 254.61764682044 -766.219194510112</t>
  </si>
  <si>
    <t>-502.335581375347 390.799293899362 -753.733065041177</t>
  </si>
  <si>
    <t>-433.746148451857 409.654387628257 -445.307761635646</t>
  </si>
  <si>
    <t>-338.081794301596 280.902041336231 -240.580560893646</t>
  </si>
  <si>
    <t>-581.183635180638 196.4185668644 -759.747602973693</t>
  </si>
  <si>
    <t>-641.820107319402 66.7708116231379 -726.034470213435</t>
  </si>
  <si>
    <t>-663.533523007107 107.681058749941 -412.9192508753</t>
  </si>
  <si>
    <t>-406.880503064075 70.0542522565387 -394.064987660944</t>
  </si>
  <si>
    <t>-536.232726758803 370.231982046743 -236.020322325981</t>
  </si>
  <si>
    <t>-541.051577408536 343.242228326512 218.848926211554</t>
  </si>
  <si>
    <t>-615.958566696195 291.489913641481 679.85617721084</t>
  </si>
  <si>
    <t>-461.485184920928 261.418877936665 758.451456396126</t>
  </si>
  <si>
    <t>-613.607768989509 189.862881716624 -221.140517967967</t>
  </si>
  <si>
    <t>-552.265392801051 119.384117848492 224.872473408441</t>
  </si>
  <si>
    <t>-704.737963181115 29.220212642088 659.902236835811</t>
  </si>
  <si>
    <t>-603.549693570209 -87.2237750976446 744.43171033853</t>
  </si>
  <si>
    <t>9763-20170724T164107.894172300.bin</t>
  </si>
  <si>
    <t>-575.286734228925 279.990321904806 -228.925310451024</t>
  </si>
  <si>
    <t>-605.862795903 283.875380082407 -346.048453801725</t>
  </si>
  <si>
    <t>-610.875403458709 274.64460925952 -466.797052079419</t>
  </si>
  <si>
    <t>-604.787561553821 261.144329751447 -575.312206257388</t>
  </si>
  <si>
    <t>-588.222507147314 242.714716908707 -681.992990075137</t>
  </si>
  <si>
    <t>-554.404432456829 212.164216943953 -827.330595211889</t>
  </si>
  <si>
    <t>-492.264662540957 188.332793394862 -904.490892498648</t>
  </si>
  <si>
    <t>-556.964188866612 254.777697127389 -766.25312017418</t>
  </si>
  <si>
    <t>-502.88760383953 390.950689134992 -753.759502218495</t>
  </si>
  <si>
    <t>-434.423523083772 409.639149728738 -445.296182974651</t>
  </si>
  <si>
    <t>-338.719659386415 280.854373760298 -240.607935998112</t>
  </si>
  <si>
    <t>-581.771508424839 196.586049288829 -759.793340050896</t>
  </si>
  <si>
    <t>-642.454207456461 66.9336863498324 -726.118188401019</t>
  </si>
  <si>
    <t>-664.294441146928 108.051853974354 -413.039168242845</t>
  </si>
  <si>
    <t>-407.741306818128 69.880795747272 -393.920467182927</t>
  </si>
  <si>
    <t>-536.485240927278 370.220555404296 -236.00046796356</t>
  </si>
  <si>
    <t>-540.787760389701 343.220036498389 218.873360636618</t>
  </si>
  <si>
    <t>-615.921318305129 291.639591369041 679.845425727484</t>
  </si>
  <si>
    <t>-461.623487508193 260.781024153092 758.480214586044</t>
  </si>
  <si>
    <t>-613.988757418828 189.823733664888 -221.148547659194</t>
  </si>
  <si>
    <t>-552.475896363595 119.255176812494 224.826651145505</t>
  </si>
  <si>
    <t>-704.949140145383 29.2486720796625 659.932853359182</t>
  </si>
  <si>
    <t>-603.634162833674 -87.1260694558127 744.405942835772</t>
  </si>
  <si>
    <t>9763-20170724T164107.923757500.bin</t>
  </si>
  <si>
    <t>-575.443169509575 279.93069728629 -228.949178298183</t>
  </si>
  <si>
    <t>-606.053969653403 283.828863252478 -346.062630747247</t>
  </si>
  <si>
    <t>-611.107405371741 274.639021564285 -466.812756456762</t>
  </si>
  <si>
    <t>-605.059919470252 261.183278232296 -575.33577385991</t>
  </si>
  <si>
    <t>-588.53900698612 242.803185881712 -682.031863342291</t>
  </si>
  <si>
    <t>-554.786453390833 212.324520292942 -827.399722297229</t>
  </si>
  <si>
    <t>-492.659836533565 188.4980791926 -904.572144094299</t>
  </si>
  <si>
    <t>-557.299506455672 254.900203673896 -766.293999552145</t>
  </si>
  <si>
    <t>-503.123098136721 391.031405261331 -753.788432096578</t>
  </si>
  <si>
    <t>-434.730738518973 409.601238555161 -445.302238878599</t>
  </si>
  <si>
    <t>-338.994518884579 280.861465280427 -240.600643015959</t>
  </si>
  <si>
    <t>-582.142343001046 196.720463956603 -759.863936551707</t>
  </si>
  <si>
    <t>-642.90114007277 67.0871110411316 -726.247924866104</t>
  </si>
  <si>
    <t>-664.87642555407 107.962736916405 -413.146657474381</t>
  </si>
  <si>
    <t>-408.358796132575 69.9428667276519 -393.265796925917</t>
  </si>
  <si>
    <t>-536.675819115369 370.111092313277 -236.011418526183</t>
  </si>
  <si>
    <t>-540.702035306053 343.033941182515 218.860307538438</t>
  </si>
  <si>
    <t>-615.873793201503 291.511569712297 679.828387564384</t>
  </si>
  <si>
    <t>-461.477896463877 261.153590295514 758.465638842072</t>
  </si>
  <si>
    <t>-614.129622162583 189.77652765414 -221.193300455181</t>
  </si>
  <si>
    <t>-552.49961946374 119.204892932094 224.765295608381</t>
  </si>
  <si>
    <t>-704.951926401416 29.2881173557865 659.869003384232</t>
  </si>
  <si>
    <t>-603.670515850538 -87.0993650817095 744.36474468595</t>
  </si>
  <si>
    <t>9763-20170724T164107.988934200.bin</t>
  </si>
  <si>
    <t>-575.749773927415 279.787446702303 -228.984084543045</t>
  </si>
  <si>
    <t>-606.386708652433 283.704233945847 -346.090236226629</t>
  </si>
  <si>
    <t>-611.479908920456 274.583917002433 -466.843968607912</t>
  </si>
  <si>
    <t>-605.471043650401 261.215251052731 -575.379736015054</t>
  </si>
  <si>
    <t>-588.989672551964 242.948099658357 -682.101392830785</t>
  </si>
  <si>
    <t>-555.290832006419 212.654816193781 -827.520528606515</t>
  </si>
  <si>
    <t>-493.293473728662 188.635296516415 -904.736991299747</t>
  </si>
  <si>
    <t>-557.815806134735 255.166093177007 -766.370420145522</t>
  </si>
  <si>
    <t>-503.69270409263 391.310589629403 -753.78499647063</t>
  </si>
  <si>
    <t>-434.997223129295 409.608728196518 -445.349679961108</t>
  </si>
  <si>
    <t>-339.286482187108 280.70326198341 -240.740588353913</t>
  </si>
  <si>
    <t>-582.587245844436 196.951145804418 -759.983656206137</t>
  </si>
  <si>
    <t>-643.121738567877 67.2020482836378 -726.451463536744</t>
  </si>
  <si>
    <t>-665.219114688112 107.830513749677 -413.326578518339</t>
  </si>
  <si>
    <t>-408.676574460872 70.3867221145095 -392.687733752084</t>
  </si>
  <si>
    <t>-536.902018648224 369.894030356823 -236.035236483835</t>
  </si>
  <si>
    <t>-540.472040662476 342.855747649545 218.842570219534</t>
  </si>
  <si>
    <t>-615.802448531765 291.371962430503 679.806126487945</t>
  </si>
  <si>
    <t>-461.371335067587 261.215665509236 758.451812885295</t>
  </si>
  <si>
    <t>-614.475733832082 189.647474197109 -221.261811160502</t>
  </si>
  <si>
    <t>-552.585431966218 119.089482515903 224.66292011652</t>
  </si>
  <si>
    <t>-704.929431829437 29.4114276244948 659.812272105336</t>
  </si>
  <si>
    <t>-603.825288289701 -87.1136835151975 744.330732395881</t>
  </si>
  <si>
    <t>9763-20170724T164108.026636700.bin</t>
  </si>
  <si>
    <t>-575.929556528603 279.697569728923 -228.967483351117</t>
  </si>
  <si>
    <t>-606.637432132678 283.624355152648 -346.054722534005</t>
  </si>
  <si>
    <t>-611.73853683205 274.547960775931 -466.811328041317</t>
  </si>
  <si>
    <t>-605.708231619336 261.237911609163 -575.353185375263</t>
  </si>
  <si>
    <t>-589.175667892746 243.051345273913 -682.080797508229</t>
  </si>
  <si>
    <t>-555.374211168839 212.895883401503 -827.504684215804</t>
  </si>
  <si>
    <t>-493.561951708636 188.501647717442 -904.751960293622</t>
  </si>
  <si>
    <t>-558.016345331061 255.37814703437 -766.339388214457</t>
  </si>
  <si>
    <t>-504.146085700837 391.625254551478 -753.69570756895</t>
  </si>
  <si>
    <t>-435.307028168 409.640288388002 -445.275846494158</t>
  </si>
  <si>
    <t>-339.337849192248 280.691044694048 -240.81546934259</t>
  </si>
  <si>
    <t>-582.644279923601 197.099429827713 -759.978929813923</t>
  </si>
  <si>
    <t>-642.782460276325 67.1382028453884 -726.537879015151</t>
  </si>
  <si>
    <t>-665.070162015601 107.697422585378 -413.417359947505</t>
  </si>
  <si>
    <t>-408.550772407852 70.4104589419517 -392.215347267959</t>
  </si>
  <si>
    <t>-537.132471740973 369.854644695442 -236.015348267586</t>
  </si>
  <si>
    <t>-540.17151514135 342.650625611059 218.856503398738</t>
  </si>
  <si>
    <t>-615.762626883477 291.206829539219 679.799869963394</t>
  </si>
  <si>
    <t>-461.330685442966 261.082394136273 758.456202193818</t>
  </si>
  <si>
    <t>-614.618937898374 189.54880703174 -221.242485909335</t>
  </si>
  <si>
    <t>-552.634014393313 119.065254489367 224.680848354851</t>
  </si>
  <si>
    <t>-705.014301262161 29.4547990387643 659.874246174019</t>
  </si>
  <si>
    <t>-603.892446715543 -87.0904306617283 744.343801726995</t>
  </si>
  <si>
    <t>9763-20170724T164108.093816600.bin</t>
  </si>
  <si>
    <t>-576.272495147033 279.505193047995 -228.978050285107</t>
  </si>
  <si>
    <t>-607.027144460479 283.45832287534 -346.052080087781</t>
  </si>
  <si>
    <t>-612.124853360512 274.59809368612 -466.824955444984</t>
  </si>
  <si>
    <t>-606.068810991145 261.563264009034 -575.398744864494</t>
  </si>
  <si>
    <t>-589.486697479149 243.731773779519 -682.178542537186</t>
  </si>
  <si>
    <t>-555.590215854926 214.152973230417 -827.698756254018</t>
  </si>
  <si>
    <t>-494.465582138958 188.549303978015 -905.101654186714</t>
  </si>
  <si>
    <t>-558.426315782254 256.451881078509 -766.415053612518</t>
  </si>
  <si>
    <t>-505.291045368871 392.947157787082 -753.356615111592</t>
  </si>
  <si>
    <t>-436.478175449767 410.546333812187 -444.906748890451</t>
  </si>
  <si>
    <t>-339.3468182087 281.329332456608 -241.165453240224</t>
  </si>
  <si>
    <t>-582.750369217649 198.029456727345 -760.205879131886</t>
  </si>
  <si>
    <t>-642.093654643986 67.607953267695 -727.160495703905</t>
  </si>
  <si>
    <t>-664.812906201578 108.219728877594 -414.077985032157</t>
  </si>
  <si>
    <t>-408.302982591253 71.662220496688 -391.532961994609</t>
  </si>
  <si>
    <t>-537.671877896039 369.615528358669 -235.940690628356</t>
  </si>
  <si>
    <t>-540.027717667373 342.268660069388 218.926597934206</t>
  </si>
  <si>
    <t>-615.64157818519 290.456797431804 679.814331976347</t>
  </si>
  <si>
    <t>-460.944502562492 261.658843910836 758.446397682146</t>
  </si>
  <si>
    <t>-614.751343712969 189.43082055878 -221.314091312337</t>
  </si>
  <si>
    <t>-552.928209563109 119.013224786224 224.642059785577</t>
  </si>
  <si>
    <t>-705.202544692347 29.4427537753299 659.912442112093</t>
  </si>
  <si>
    <t>-603.854908455826 -86.9473388035528 744.325217115405</t>
  </si>
  <si>
    <t>9763-20170724T164108.121891600.bin</t>
  </si>
  <si>
    <t>-576.523372332891 279.555955340843 -228.966918889817</t>
  </si>
  <si>
    <t>-607.240445946972 283.458634565969 -346.052454008418</t>
  </si>
  <si>
    <t>-612.313873083262 274.671814268876 -466.831757519556</t>
  </si>
  <si>
    <t>-606.24341251858 261.750441475714 -575.418228428613</t>
  </si>
  <si>
    <t>-589.654926796706 244.076543782892 -682.223233284087</t>
  </si>
  <si>
    <t>-555.757933439787 214.759463229679 -827.796282884994</t>
  </si>
  <si>
    <t>-495.047395027542 188.488308991904 -905.301349621391</t>
  </si>
  <si>
    <t>-558.631835507431 256.962486163893 -766.448438907072</t>
  </si>
  <si>
    <t>-505.645569330399 393.501205577305 -753.210035673382</t>
  </si>
  <si>
    <t>-437.033432907761 411.033344856156 -444.711687753694</t>
  </si>
  <si>
    <t>-339.476409683731 281.620972635958 -241.298106416747</t>
  </si>
  <si>
    <t>-582.880795001308 198.500167739014 -760.321065332786</t>
  </si>
  <si>
    <t>-642.051639268617 67.9660754845464 -727.450012507939</t>
  </si>
  <si>
    <t>-664.748912284202 108.156591821486 -414.311557112347</t>
  </si>
  <si>
    <t>-408.211215741218 72.0973669960206 -391.285201580509</t>
  </si>
  <si>
    <t>-538.077874415919 369.680379525342 -235.940122107918</t>
  </si>
  <si>
    <t>-540.283508248297 342.311997513415 218.926597243696</t>
  </si>
  <si>
    <t>-615.627803283973 290.461924321859 679.828051229347</t>
  </si>
  <si>
    <t>-460.996732914935 261.318577469709 758.462668997824</t>
  </si>
  <si>
    <t>-614.883057509423 189.40896250974 -221.325266487367</t>
  </si>
  <si>
    <t>-553.033341035635 119.094592280651 224.643502617429</t>
  </si>
  <si>
    <t>-705.272633764783 29.4314485293402 659.901101078067</t>
  </si>
  <si>
    <t>-603.796033964805 -86.8559013396947 744.300550178149</t>
  </si>
  <si>
    <t>9763-20170724T164108.164590700.bin</t>
  </si>
  <si>
    <t>-576.780342875804 279.623572892372 -228.976512486279</t>
  </si>
  <si>
    <t>-607.590631311288 283.505240077411 -346.038423059414</t>
  </si>
  <si>
    <t>-612.735198890714 274.756207745438 -466.817385046333</t>
  </si>
  <si>
    <t>-606.719793390498 261.890656758 -575.413558145763</t>
  </si>
  <si>
    <t>-590.177084697615 244.292454268375 -682.238238129558</t>
  </si>
  <si>
    <t>-556.334273804735 215.099621911609 -827.848837618823</t>
  </si>
  <si>
    <t>-496.065132959026 188.203552867231 -905.483893505245</t>
  </si>
  <si>
    <t>-559.199149190298 257.255647162274 -766.468028093608</t>
  </si>
  <si>
    <t>-506.245134663396 393.799807048078 -753.158620917191</t>
  </si>
  <si>
    <t>-437.657837103931 411.441840619544 -444.661110378908</t>
  </si>
  <si>
    <t>-340.01276349374 282.023779704826 -241.293352453884</t>
  </si>
  <si>
    <t>-583.418174033838 198.777532214371 -760.373081983545</t>
  </si>
  <si>
    <t>-642.505186864405 68.2011820102924 -727.521032189345</t>
  </si>
  <si>
    <t>-665.010607191129 108.107423052286 -414.332368721111</t>
  </si>
  <si>
    <t>-408.423970984501 72.3189575975646 -391.429549928845</t>
  </si>
  <si>
    <t>-538.447634754069 369.738311417852 -235.98109281834</t>
  </si>
  <si>
    <t>-540.617792423819 342.337638517876 218.883892297871</t>
  </si>
  <si>
    <t>-615.603309834546 290.44161011405 679.830623629961</t>
  </si>
  <si>
    <t>-461.001586134427 261.160698833624 758.471910264441</t>
  </si>
  <si>
    <t>-615.075016735096 189.457807883306 -221.290672263762</t>
  </si>
  <si>
    <t>-553.008404313831 119.24817226447 224.664478993151</t>
  </si>
  <si>
    <t>-705.308392724551 29.433027919658 659.848918861889</t>
  </si>
  <si>
    <t>-603.745918081259 -86.7777623634972 744.250496983235</t>
  </si>
  <si>
    <t>9763-20170724T164108.225756400.bin</t>
  </si>
  <si>
    <t>-577.378135889928 279.966397218181 -229.032536845028</t>
  </si>
  <si>
    <t>-608.267768147996 283.7784462869 -346.075680220957</t>
  </si>
  <si>
    <t>-613.504722634749 274.947985192775 -466.84466105944</t>
  </si>
  <si>
    <t>-607.576199053928 262.006244353177 -575.436671413858</t>
  </si>
  <si>
    <t>-591.122333166159 244.3307898678 -682.262225813842</t>
  </si>
  <si>
    <t>-557.403716126437 215.03083675495 -827.880165803697</t>
  </si>
  <si>
    <t>-497.841771078652 187.15744806491 -905.716023733019</t>
  </si>
  <si>
    <t>-560.211879625364 257.230304900736 -766.526712519894</t>
  </si>
  <si>
    <t>-507.209873900145 393.751260760822 -753.318360001442</t>
  </si>
  <si>
    <t>-438.369456153807 411.79700511109 -444.900517978861</t>
  </si>
  <si>
    <t>-341.071386046463 282.951008110103 -241.003845279141</t>
  </si>
  <si>
    <t>-584.434416222366 198.760066635612 -760.370745408195</t>
  </si>
  <si>
    <t>-643.565008935257 68.2326631397693 -727.316890990936</t>
  </si>
  <si>
    <t>-665.435488920988 107.904657248291 -414.053426101733</t>
  </si>
  <si>
    <t>-408.708249190496 72.283476140642 -392.505551771881</t>
  </si>
  <si>
    <t>-539.020293285498 370.163087279584 -236.115137468738</t>
  </si>
  <si>
    <t>-541.322736787689 342.781753328416 218.750332501148</t>
  </si>
  <si>
    <t>-615.615358761784 291.103528037948 679.817176669316</t>
  </si>
  <si>
    <t>-461.21169089085 260.854950890341 758.481217675003</t>
  </si>
  <si>
    <t>-615.628114452402 189.737291426553 -221.278351740294</t>
  </si>
  <si>
    <t>-552.834379237079 119.484137071851 224.568088342174</t>
  </si>
  <si>
    <t>-705.246453001684 29.5070831609295 659.640949965157</t>
  </si>
  <si>
    <t>-603.8158881365 -86.7588901045618 744.12515697481</t>
  </si>
  <si>
    <t>9763-20170724T164108.289927400.bin</t>
  </si>
  <si>
    <t>-577.885458667586 280.052399860886 -229.079649269164</t>
  </si>
  <si>
    <t>-608.899007512322 283.907206237179 -346.088655750008</t>
  </si>
  <si>
    <t>-614.251236801032 274.994448567397 -466.846590132731</t>
  </si>
  <si>
    <t>-608.41954654968 261.93098670466 -575.429313064109</t>
  </si>
  <si>
    <t>-592.053861950087 244.089656511027 -682.240772473303</t>
  </si>
  <si>
    <t>-558.448077305243 214.516125825232 -827.829397470231</t>
  </si>
  <si>
    <t>-499.297375876167 185.924203858924 -905.718382632495</t>
  </si>
  <si>
    <t>-561.18422604802 256.821454702272 -766.545678687555</t>
  </si>
  <si>
    <t>-507.94417960299 393.284057157642 -753.572942496012</t>
  </si>
  <si>
    <t>-438.882875989518 411.651881521416 -445.223708079716</t>
  </si>
  <si>
    <t>-341.851053852142 283.633217703155 -240.679922412728</t>
  </si>
  <si>
    <t>-585.450997081566 198.38153547235 -760.276132859846</t>
  </si>
  <si>
    <t>-644.812756969692 68.0602450701604 -726.861119587021</t>
  </si>
  <si>
    <t>-665.768969155292 107.566233066387 -413.514241869488</t>
  </si>
  <si>
    <t>-408.922169136113 72.2261074413272 -392.950945931218</t>
  </si>
  <si>
    <t>-539.383427338343 370.208542208342 -236.207106852217</t>
  </si>
  <si>
    <t>-541.635782108485 342.624608720012 218.646408331171</t>
  </si>
  <si>
    <t>-615.544223996343 290.892483025508 679.803379207474</t>
  </si>
  <si>
    <t>-461.137832709434 260.624548528396 758.454724221856</t>
  </si>
  <si>
    <t>-616.324938855133 189.885768058359 -221.290921976576</t>
  </si>
  <si>
    <t>-553.044991168723 119.532533280194 224.471023107539</t>
  </si>
  <si>
    <t>-705.360551826706 29.5385095190686 659.648430742076</t>
  </si>
  <si>
    <t>-603.923228099691 -86.7242191785247 744.128901300835</t>
  </si>
  <si>
    <t>9763-20170724T164108.324579100.bin</t>
  </si>
  <si>
    <t>-578.224246730303 280.072307398833 -229.108006038164</t>
  </si>
  <si>
    <t>-609.287135419784 283.951435894102 -346.103175378598</t>
  </si>
  <si>
    <t>-614.718547485603 274.971833824264 -466.852679121327</t>
  </si>
  <si>
    <t>-608.967086579317 261.815794397852 -575.428383719442</t>
  </si>
  <si>
    <t>-592.688206237775 243.853071039018 -682.232869048486</t>
  </si>
  <si>
    <t>-559.208135708769 214.084220912081 -827.810744749122</t>
  </si>
  <si>
    <t>-500.218797350337 185.193980027958 -905.71185600046</t>
  </si>
  <si>
    <t>-561.888922083431 256.470787057881 -766.580671377432</t>
  </si>
  <si>
    <t>-508.577203356752 392.9286770585 -753.791519210334</t>
  </si>
  <si>
    <t>-439.275685134326 411.541189208244 -445.510655928732</t>
  </si>
  <si>
    <t>-342.321972756831 283.80562837148 -240.753141984499</t>
  </si>
  <si>
    <t>-586.155143525698 198.041242317294 -760.213286547349</t>
  </si>
  <si>
    <t>-645.552548298722 67.811820561892 -726.514099645277</t>
  </si>
  <si>
    <t>-666.018481681817 107.775562980219 -413.192718112847</t>
  </si>
  <si>
    <t>-409.121692027178 72.3405429429654 -393.432926561363</t>
  </si>
  <si>
    <t>-539.643896297029 370.214381622915 -236.248364430563</t>
  </si>
  <si>
    <t>-542.128489822268 342.65474700751 218.605402782466</t>
  </si>
  <si>
    <t>-615.539323006704 291.045026837756 679.808090159154</t>
  </si>
  <si>
    <t>-461.076282907697 261.004933085686 758.435584352785</t>
  </si>
  <si>
    <t>-616.752269116571 189.930549822655 -221.301091817523</t>
  </si>
  <si>
    <t>-553.326684668435 119.535742832886 224.433625896964</t>
  </si>
  <si>
    <t>-705.457802549879 29.558503249399 659.683520295043</t>
  </si>
  <si>
    <t>-604.011056448881 -86.7085758200893 744.146734997689</t>
  </si>
  <si>
    <t>9763-20170724T164108.390760700.bin</t>
  </si>
  <si>
    <t>-579.099920172758 280.112678619289 -229.254395347795</t>
  </si>
  <si>
    <t>-610.191512225967 283.970973676291 -346.2426160698</t>
  </si>
  <si>
    <t>-615.6958239697 274.782961525734 -466.973121919488</t>
  </si>
  <si>
    <t>-610.026292852268 261.365387956127 -575.521129707328</t>
  </si>
  <si>
    <t>-593.844456335789 243.071028635107 -682.284071554063</t>
  </si>
  <si>
    <t>-560.514692959958 212.771227366494 -827.786797041496</t>
  </si>
  <si>
    <t>-501.751733807349 183.34672473251 -905.659135940216</t>
  </si>
  <si>
    <t>-563.076805784403 255.359681698011 -766.692012090949</t>
  </si>
  <si>
    <t>-509.612514748008 391.776131519187 -754.315142421986</t>
  </si>
  <si>
    <t>-439.973036047837 411.005122132128 -446.148253082687</t>
  </si>
  <si>
    <t>-342.868025398973 283.564353620193 -241.278780895639</t>
  </si>
  <si>
    <t>-587.447240039066 196.99620467406 -760.120633209905</t>
  </si>
  <si>
    <t>-647.0495846833 66.9774078548779 -725.917751181549</t>
  </si>
  <si>
    <t>-666.903536489512 107.528251747096 -412.632574968964</t>
  </si>
  <si>
    <t>-410.047660789112 71.5974244562776 -393.239599981449</t>
  </si>
  <si>
    <t>-540.455026147965 370.220329147606 -236.460252712756</t>
  </si>
  <si>
    <t>-543.481402150016 342.724291316117 218.394154366213</t>
  </si>
  <si>
    <t>-615.467128570641 290.946298353318 679.803922799523</t>
  </si>
  <si>
    <t>-460.964653542594 261.068064737832 758.415583914482</t>
  </si>
  <si>
    <t>-617.6580922767 190.044784592701 -221.357083648919</t>
  </si>
  <si>
    <t>-553.831281455639 119.434261553966 224.286285862883</t>
  </si>
  <si>
    <t>-705.568925000022 29.6210538663038 659.658293793681</t>
  </si>
  <si>
    <t>-604.175246455557 -86.6988369587465 744.112567579484</t>
  </si>
  <si>
    <t>9763-20170724T164108.428587700.bin</t>
  </si>
  <si>
    <t>-579.597390308047 280.254274936637 -229.365155059497</t>
  </si>
  <si>
    <t>-610.673398506467 284.095066343426 -346.358074810757</t>
  </si>
  <si>
    <t>-616.185243457208 274.843686603617 -467.083349416424</t>
  </si>
  <si>
    <t>-610.532602526208 261.34929238397 -575.622660418644</t>
  </si>
  <si>
    <t>-594.378216168702 242.958016067184 -682.3731135442</t>
  </si>
  <si>
    <t>-561.09755711847 212.502350925613 -827.854679035466</t>
  </si>
  <si>
    <t>-502.418606495326 182.849649047209 -905.703605519589</t>
  </si>
  <si>
    <t>-563.610875169612 255.145479509476 -766.795922727261</t>
  </si>
  <si>
    <t>-509.99678235818 391.531048861411 -754.560009997746</t>
  </si>
  <si>
    <t>-440.263571285984 410.962438468542 -446.427117130323</t>
  </si>
  <si>
    <t>-343.023409151377 283.517765903568 -241.624095831026</t>
  </si>
  <si>
    <t>-588.035574988901 196.810648896447 -760.171297821274</t>
  </si>
  <si>
    <t>-647.809534348814 66.9262432147726 -725.772287158961</t>
  </si>
  <si>
    <t>-667.002208375062 107.70009203797 -412.47485316618</t>
  </si>
  <si>
    <t>-410.175897568115 71.5776932509917 -393.046478403551</t>
  </si>
  <si>
    <t>-540.922432214147 370.389610124915 -236.597419375274</t>
  </si>
  <si>
    <t>-544.081623109719 342.912895394436 218.257185978058</t>
  </si>
  <si>
    <t>-615.442635793831 291.087964332729 679.786840651008</t>
  </si>
  <si>
    <t>-461.074791198438 260.567611533356 758.416256646953</t>
  </si>
  <si>
    <t>-618.109996130621 190.170068541469 -221.436903693721</t>
  </si>
  <si>
    <t>-554.104031752299 119.444644731429 224.162507675889</t>
  </si>
  <si>
    <t>-705.612119030161 29.6337464065817 659.609398972074</t>
  </si>
  <si>
    <t>-604.22931063775 -86.6864261085234 744.07636921637</t>
  </si>
  <si>
    <t>9763-20170724T164108.488747700.bin</t>
  </si>
  <si>
    <t>-580.619393037293 280.314679304342 -229.435810879997</t>
  </si>
  <si>
    <t>-611.796807798365 284.174773785453 -346.401038961731</t>
  </si>
  <si>
    <t>-617.393647570207 274.78821320166 -467.111979618587</t>
  </si>
  <si>
    <t>-611.809107759668 261.110479624911 -575.631972802497</t>
  </si>
  <si>
    <t>-595.71370552635 242.47703297826 -682.349283645829</t>
  </si>
  <si>
    <t>-562.506207877081 211.626020477493 -827.764148598336</t>
  </si>
  <si>
    <t>-504.012402856318 181.607708423605 -905.61246420553</t>
  </si>
  <si>
    <t>-564.971320678431 254.428258134869 -766.814814889618</t>
  </si>
  <si>
    <t>-511.278240403315 390.802855497082 -754.856057572667</t>
  </si>
  <si>
    <t>-440.866736576416 410.623468120307 -446.902252031439</t>
  </si>
  <si>
    <t>-343.42996514941 283.301195878779 -242.116602951293</t>
  </si>
  <si>
    <t>-589.427622703308 196.125078876674 -760.030167628908</t>
  </si>
  <si>
    <t>-649.267614978333 66.374713259285 -725.28610478444</t>
  </si>
  <si>
    <t>-668.171222772923 107.79413657759 -412.055706430389</t>
  </si>
  <si>
    <t>-411.364564926479 71.4805896402826 -392.723999864291</t>
  </si>
  <si>
    <t>-542.007993799623 370.431942378686 -236.707687792635</t>
  </si>
  <si>
    <t>-544.963089751475 342.806427243669 218.139325454842</t>
  </si>
  <si>
    <t>-615.386152113697 290.880984391703 679.829796683953</t>
  </si>
  <si>
    <t>-460.911146268606 260.77556060697 758.408690247196</t>
  </si>
  <si>
    <t>-619.115037188696 190.204222074855 -221.455828726043</t>
  </si>
  <si>
    <t>-554.563371507517 119.479849668829 224.06504768665</t>
  </si>
  <si>
    <t>-705.788929758171 29.6701890552671 659.611877365018</t>
  </si>
  <si>
    <t>-604.308790464034 -86.6094017419555 744.017794424663</t>
  </si>
  <si>
    <t>9763-20170724T164108.525876800.bin</t>
  </si>
  <si>
    <t>-581.093129209464 280.307514536776 -229.428490405477</t>
  </si>
  <si>
    <t>-612.313589748351 284.137246407571 -346.383287005099</t>
  </si>
  <si>
    <t>-617.963343827835 274.679232411661 -467.086235847759</t>
  </si>
  <si>
    <t>-612.429995703653 260.920505786508 -575.598553251201</t>
  </si>
  <si>
    <t>-596.388913958622 242.189944210113 -682.307074509485</t>
  </si>
  <si>
    <t>-563.260044741651 211.187596754528 -827.707555794259</t>
  </si>
  <si>
    <t>-504.870801600286 181.047118146377 -905.58735591673</t>
  </si>
  <si>
    <t>-565.685576670328 254.050649808999 -766.799454661243</t>
  </si>
  <si>
    <t>-511.966514453957 390.430398313048 -754.983705475136</t>
  </si>
  <si>
    <t>-441.328922296386 410.311082016484 -447.085573147352</t>
  </si>
  <si>
    <t>-343.630708816792 283.019000276296 -242.405647636415</t>
  </si>
  <si>
    <t>-590.151464598854 195.759713373473 -759.945128059017</t>
  </si>
  <si>
    <t>-650.0046227855 66.0521588418146 -725.026198133778</t>
  </si>
  <si>
    <t>-668.609883099183 107.761136054029 -411.81634795844</t>
  </si>
  <si>
    <t>-411.820057340577 71.3106700991094 -392.518953444952</t>
  </si>
  <si>
    <t>-542.459774254681 370.405283696088 -236.731814811344</t>
  </si>
  <si>
    <t>-545.336032205408 342.766032070256 218.114794968146</t>
  </si>
  <si>
    <t>-615.368494094169 290.816771027271 679.848891160973</t>
  </si>
  <si>
    <t>-460.803778662336 261.075223318735 758.389822625695</t>
  </si>
  <si>
    <t>-619.625261760898 190.172240391 -221.449865221429</t>
  </si>
  <si>
    <t>-554.775240073649 119.484658571105 224.033418804416</t>
  </si>
  <si>
    <t>-705.904226327014 29.6842513910736 659.63555471238</t>
  </si>
  <si>
    <t>-604.330282477068 -86.5482874032327 743.993407600619</t>
  </si>
  <si>
    <t>9763-20170724T164108.590047500.bin</t>
  </si>
  <si>
    <t>-582.136267376652 280.40905586423 -229.444063880332</t>
  </si>
  <si>
    <t>-613.496536241365 284.253126492695 -346.361030905441</t>
  </si>
  <si>
    <t>-619.276850649443 274.702086566511 -467.050304533556</t>
  </si>
  <si>
    <t>-613.85374086716 260.819610992716 -575.552572241147</t>
  </si>
  <si>
    <t>-597.913377405094 241.928594557624 -682.247792400298</t>
  </si>
  <si>
    <t>-564.913668450055 210.668281898747 -827.622556904316</t>
  </si>
  <si>
    <t>-506.648625734445 180.360338570934 -905.53009459589</t>
  </si>
  <si>
    <t>-567.290649229802 253.64146919819 -766.790194685477</t>
  </si>
  <si>
    <t>-513.603116656382 390.042759843764 -755.214810912125</t>
  </si>
  <si>
    <t>-442.321721736917 409.982985885581 -447.468796244019</t>
  </si>
  <si>
    <t>-344.129419617709 282.725384020629 -243.003994263321</t>
  </si>
  <si>
    <t>-591.739430241697 195.358538635407 -759.807271435016</t>
  </si>
  <si>
    <t>-651.547138205237 65.7035152811599 -724.625345853296</t>
  </si>
  <si>
    <t>-669.908200562803 107.821909693223 -411.456015945429</t>
  </si>
  <si>
    <t>-413.173375351099 70.9704263157222 -392.187962725965</t>
  </si>
  <si>
    <t>-543.56839721894 370.585424440786 -236.802183663521</t>
  </si>
  <si>
    <t>-546.325549429019 342.833923726893 218.038300539445</t>
  </si>
  <si>
    <t>-615.32532894756 290.754240928205 679.887068064633</t>
  </si>
  <si>
    <t>-460.772744649062 260.837133299959 758.385350663503</t>
  </si>
  <si>
    <t>-620.631310871198 190.300486252244 -221.40244731046</t>
  </si>
  <si>
    <t>-555.167222872347 119.433038513555 223.962482459652</t>
  </si>
  <si>
    <t>-706.102584497813 29.7214964258943 659.633161377697</t>
  </si>
  <si>
    <t>-604.378514702673 -86.4472344679781 743.897943267189</t>
  </si>
  <si>
    <t>9763-20170724T164108.623642700.bin</t>
  </si>
  <si>
    <t>-582.687932598752 280.563966776093 -229.444696960291</t>
  </si>
  <si>
    <t>-614.098600319005 284.402076756043 -346.348272382958</t>
  </si>
  <si>
    <t>-619.937549658326 274.824569422216 -467.032773953741</t>
  </si>
  <si>
    <t>-614.570495018945 260.90854954975 -575.53336369581</t>
  </si>
  <si>
    <t>-598.689090262469 241.973965581618 -682.229736452631</t>
  </si>
  <si>
    <t>-565.774228740635 210.641915585761 -827.608337591517</t>
  </si>
  <si>
    <t>-507.528557732149 180.308019885169 -905.520307347431</t>
  </si>
  <si>
    <t>-568.093509035922 253.636557880889 -766.788900732897</t>
  </si>
  <si>
    <t>-514.341249866631 390.035955029195 -755.287941507712</t>
  </si>
  <si>
    <t>-442.878597766948 409.958197404991 -447.58300956753</t>
  </si>
  <si>
    <t>-344.430033085236 282.660063145551 -243.266803064664</t>
  </si>
  <si>
    <t>-592.582584650426 195.374110367905 -759.776723496713</t>
  </si>
  <si>
    <t>-652.476780497699 65.7853616074978 -724.512143252329</t>
  </si>
  <si>
    <t>-670.409928060932 107.955192201497 -411.324932875261</t>
  </si>
  <si>
    <t>-413.711424886662 70.9279148864337 -391.911054985498</t>
  </si>
  <si>
    <t>-544.172530403804 370.77171721934 -236.849705588302</t>
  </si>
  <si>
    <t>-546.940525018305 343.038160725014 217.99188013817</t>
  </si>
  <si>
    <t>-615.32785604927 290.940863886357 679.913374869127</t>
  </si>
  <si>
    <t>-460.820340453673 260.742625089745 758.392753459716</t>
  </si>
  <si>
    <t>-621.096107162301 190.406030143105 -221.374976264338</t>
  </si>
  <si>
    <t>-555.321374048733 119.449170899478 223.930026531464</t>
  </si>
  <si>
    <t>-706.178788716305 29.7723680088068 659.604189691107</t>
  </si>
  <si>
    <t>-604.39830053618 -86.3882601864508 743.811962128093</t>
  </si>
  <si>
    <t>9763-20170724T164108.695849900.bin</t>
  </si>
  <si>
    <t>-583.53054710231 280.494631216993 -229.408490769125</t>
  </si>
  <si>
    <t>-615.125700348444 284.331539354566 -346.262399430975</t>
  </si>
  <si>
    <t>-621.151923363481 274.731284272652 -466.935892075585</t>
  </si>
  <si>
    <t>-615.952649750856 260.784572545013 -575.440743999998</t>
  </si>
  <si>
    <t>-600.236244733415 241.808687864739 -682.154168341495</t>
  </si>
  <si>
    <t>-567.546776619355 210.407810374495 -827.568664836242</t>
  </si>
  <si>
    <t>-509.094238747273 180.170824414892 -905.363404770663</t>
  </si>
  <si>
    <t>-569.716793602542 253.410123105847 -766.749254888961</t>
  </si>
  <si>
    <t>-515.779591730573 389.728975310776 -755.294822059095</t>
  </si>
  <si>
    <t>-443.905700713382 409.466478502675 -447.673669536048</t>
  </si>
  <si>
    <t>-345.296288583875 282.038864200652 -243.515825706982</t>
  </si>
  <si>
    <t>-594.304928553962 195.193257840953 -759.705283377963</t>
  </si>
  <si>
    <t>-654.399500717258 65.7336170117406 -724.312717240418</t>
  </si>
  <si>
    <t>-671.830540659982 107.832898510216 -411.087569779058</t>
  </si>
  <si>
    <t>-415.214233800861 70.0127085077807 -392.120394286416</t>
  </si>
  <si>
    <t>-544.925266041382 370.473131077583 -236.904450971016</t>
  </si>
  <si>
    <t>-547.392690584514 342.746624577078 217.939350098588</t>
  </si>
  <si>
    <t>-615.241925506254 290.431828785195 679.974344089192</t>
  </si>
  <si>
    <t>-460.519324804925 261.116668708033 758.364663951647</t>
  </si>
  <si>
    <t>-621.986592848378 190.437246627862 -221.230810801169</t>
  </si>
  <si>
    <t>-555.316681070189 119.196468011636 223.895650709104</t>
  </si>
  <si>
    <t>-706.314317062057 29.9489502219686 659.571686803696</t>
  </si>
  <si>
    <t>-604.542312653333 -86.3355428295637 743.618652021011</t>
  </si>
  <si>
    <t>9763-20170724T164108.723926600.bin</t>
  </si>
  <si>
    <t>-583.849241790424 280.506184877892 -229.368557721384</t>
  </si>
  <si>
    <t>-615.579031217576 284.380711357656 -346.184836027079</t>
  </si>
  <si>
    <t>-621.726501968992 274.773279661921 -466.851595336281</t>
  </si>
  <si>
    <t>-616.629141738703 260.801599948233 -575.358019145379</t>
  </si>
  <si>
    <t>-601.006059609855 241.782439566346 -682.07751149702</t>
  </si>
  <si>
    <t>-568.436957315171 210.302901396169 -827.502009743971</t>
  </si>
  <si>
    <t>-509.839113228964 180.196651475411 -905.238063317668</t>
  </si>
  <si>
    <t>-570.521768713172 253.324761072652 -766.693385144602</t>
  </si>
  <si>
    <t>-516.448932196447 389.598145971291 -755.266773637603</t>
  </si>
  <si>
    <t>-444.383857840108 409.201446573217 -447.681647722416</t>
  </si>
  <si>
    <t>-345.793384259052 281.834920084469 -243.476555135773</t>
  </si>
  <si>
    <t>-595.173793762739 195.138576196785 -759.619095377696</t>
  </si>
  <si>
    <t>-655.37243374095 65.7531230574611 -724.117551061559</t>
  </si>
  <si>
    <t>-672.570497818942 107.914378659794 -410.887884264483</t>
  </si>
  <si>
    <t>-416.001600600317 69.6214641506406 -392.22994799187</t>
  </si>
  <si>
    <t>-545.159123068071 370.476849820735 -236.8928880466</t>
  </si>
  <si>
    <t>-547.406994724651 342.700903515249 217.948968938589</t>
  </si>
  <si>
    <t>-615.23480493825 290.421778005046 680.006161196195</t>
  </si>
  <si>
    <t>-460.540628391788 260.888168194835 758.370642918875</t>
  </si>
  <si>
    <t>-622.383861257034 190.502843916036 -221.141067778119</t>
  </si>
  <si>
    <t>-555.297375134897 119.106234970766 223.897789805259</t>
  </si>
  <si>
    <t>-706.390050885116 30.0454866913212 659.573671726573</t>
  </si>
  <si>
    <t>-604.665307571347 -86.3441901210645 743.532158813301</t>
  </si>
  <si>
    <t>9763-20170724T164108.795034000.bin</t>
  </si>
  <si>
    <t>-584.591054297282 280.687727352968 -229.35934801265</t>
  </si>
  <si>
    <t>-616.478378536728 284.692547876851 -346.12827866955</t>
  </si>
  <si>
    <t>-622.807956509177 275.099400325695 -466.786824147729</t>
  </si>
  <si>
    <t>-617.880893709274 261.094026593469 -575.296738014567</t>
  </si>
  <si>
    <t>-602.431535914994 241.996082639888 -682.027419168561</t>
  </si>
  <si>
    <t>-570.105818084096 210.361712060775 -827.472744252537</t>
  </si>
  <si>
    <t>-511.281873414777 180.558319452271 -905.15457067666</t>
  </si>
  <si>
    <t>-572.024727696207 253.42341780014 -766.686772953702</t>
  </si>
  <si>
    <t>-517.723593111633 389.61308316294 -755.403915315736</t>
  </si>
  <si>
    <t>-445.403900007064 409.116901595988 -447.872419758811</t>
  </si>
  <si>
    <t>-346.91900532624 281.720062044049 -243.635223942479</t>
  </si>
  <si>
    <t>-596.793122604723 195.294475664014 -759.548479415282</t>
  </si>
  <si>
    <t>-657.252005947824 66.0905422960504 -723.828211458584</t>
  </si>
  <si>
    <t>-674.153691869248 108.379888808688 -410.599687533496</t>
  </si>
  <si>
    <t>-417.692850580546 69.280132529755 -392.131118310207</t>
  </si>
  <si>
    <t>-545.847831903599 370.811424226865 -236.868254599454</t>
  </si>
  <si>
    <t>-547.743338334482 342.907403383782 217.967409891835</t>
  </si>
  <si>
    <t>-615.266835996845 290.907166867279 680.064150293423</t>
  </si>
  <si>
    <t>-460.755210429944 260.371208392714 758.404542729242</t>
  </si>
  <si>
    <t>-623.253431529979 190.630700498019 -221.13231454442</t>
  </si>
  <si>
    <t>-555.565487669631 118.988809794122 223.776053288554</t>
  </si>
  <si>
    <t>-706.583023520003 30.1490912696466 659.554839031284</t>
  </si>
  <si>
    <t>-604.877891472874 -86.331882837005 743.410419814511</t>
  </si>
  <si>
    <t>9763-20170724T164108.826640800.bin</t>
  </si>
  <si>
    <t>-584.993756070856 280.509155484508 -229.373967284857</t>
  </si>
  <si>
    <t>-616.885061285544 284.559216737372 -346.140136737266</t>
  </si>
  <si>
    <t>-623.274670019635 274.992509375978 -466.797596598689</t>
  </si>
  <si>
    <t>-618.423542270886 261.003182604694 -575.31306844253</t>
  </si>
  <si>
    <t>-603.070507788403 241.913325790737 -682.059152782357</t>
  </si>
  <si>
    <t>-570.898261998925 210.281582106851 -827.539010358957</t>
  </si>
  <si>
    <t>-512.016967301029 180.576564070711 -905.215101239357</t>
  </si>
  <si>
    <t>-572.729030691553 253.332852215308 -766.74291296268</t>
  </si>
  <si>
    <t>-518.333950780345 389.492473532113 -755.509155587377</t>
  </si>
  <si>
    <t>-445.893216678096 408.918887836379 -448.001137237856</t>
  </si>
  <si>
    <t>-347.359031339517 281.394688463251 -243.867263878281</t>
  </si>
  <si>
    <t>-597.538016240098 195.222505925438 -759.594369284249</t>
  </si>
  <si>
    <t>-658.085333911416 66.0711302924721 -723.826231966282</t>
  </si>
  <si>
    <t>-674.686258306094 108.470987131483 -410.596497818458</t>
  </si>
  <si>
    <t>-418.274654782889 69.0722151648215 -392.079932683325</t>
  </si>
  <si>
    <t>-546.178983628662 370.461805511062 -236.890056510827</t>
  </si>
  <si>
    <t>-547.92024152915 342.505369747148 217.943024982852</t>
  </si>
  <si>
    <t>-615.187265007269 290.326662023357 680.094112825866</t>
  </si>
  <si>
    <t>-460.431430242946 260.90635373009 758.379471972532</t>
  </si>
  <si>
    <t>-623.687593076539 190.498766665088 -221.182405607614</t>
  </si>
  <si>
    <t>-555.845207654477 118.756479972235 223.686240013151</t>
  </si>
  <si>
    <t>-706.686197091884 30.1773464127939 659.553004608664</t>
  </si>
  <si>
    <t>-604.972520411508 -86.3204753172196 743.374789019114</t>
  </si>
  <si>
    <t>9763-20170724T164108.893821100.bin</t>
  </si>
  <si>
    <t>-585.804505176609 280.387396784435 -229.393614846519</t>
  </si>
  <si>
    <t>-617.807457975813 284.545159732756 -346.125523378685</t>
  </si>
  <si>
    <t>-624.353596009879 275.069029502002 -466.781679804541</t>
  </si>
  <si>
    <t>-619.657878158808 261.156457627874 -575.313877070134</t>
  </si>
  <si>
    <t>-604.470953253876 242.139548357617 -682.096624266026</t>
  </si>
  <si>
    <t>-572.537773850337 210.606277692111 -827.650560873314</t>
  </si>
  <si>
    <t>-513.669984697449 180.904186821376 -905.33810286748</t>
  </si>
  <si>
    <t>-574.251956815251 253.609888211811 -766.817420556638</t>
  </si>
  <si>
    <t>-519.797667298458 389.747995221909 -755.564191740675</t>
  </si>
  <si>
    <t>-447.041283347848 408.851629793546 -448.11051711942</t>
  </si>
  <si>
    <t>-348.225960667642 280.967751147729 -244.337937977947</t>
  </si>
  <si>
    <t>-599.082408761239 195.507691715638 -759.67748933044</t>
  </si>
  <si>
    <t>-659.717837824618 66.413248772321 -723.892023846265</t>
  </si>
  <si>
    <t>-675.753423694373 108.730489019257 -410.62162458041</t>
  </si>
  <si>
    <t>-419.391363232415 69.0054849914262 -392.115401953692</t>
  </si>
  <si>
    <t>-546.920180647053 370.370509483133 -236.916665671758</t>
  </si>
  <si>
    <t>-548.337147710076 342.388697089026 217.915844832045</t>
  </si>
  <si>
    <t>-615.142503179592 290.286632461021 680.143414041051</t>
  </si>
  <si>
    <t>-460.440575689944 260.510078370044 758.400580160166</t>
  </si>
  <si>
    <t>-624.535947639286 190.374459876741 -221.193284976835</t>
  </si>
  <si>
    <t>-556.363740343128 118.481519770396 223.600680538444</t>
  </si>
  <si>
    <t>-706.932437549854 30.2787588338905 659.601148205663</t>
  </si>
  <si>
    <t>-605.143394507097 -86.2492740032412 743.289481903668</t>
  </si>
  <si>
    <t>9763-20170724T164108.925914800.bin</t>
  </si>
  <si>
    <t>-586.161301209599 280.360002808046 -229.377729685361</t>
  </si>
  <si>
    <t>-618.224834906913 284.565595117546 -346.091278175873</t>
  </si>
  <si>
    <t>-624.845038057368 275.131166482612 -466.746719879061</t>
  </si>
  <si>
    <t>-620.220240851782 261.253403591341 -575.286330171352</t>
  </si>
  <si>
    <t>-605.10714143966 242.268366633769 -682.085358606542</t>
  </si>
  <si>
    <t>-573.278797547936 210.776073309577 -827.671087435341</t>
  </si>
  <si>
    <t>-514.467653905233 180.975752291316 -905.363782210784</t>
  </si>
  <si>
    <t>-574.939608028686 253.758829191451 -766.82158670978</t>
  </si>
  <si>
    <t>-520.485463343479 389.888528520258 -755.540168097597</t>
  </si>
  <si>
    <t>-447.689789601407 408.664594204125 -448.075715520441</t>
  </si>
  <si>
    <t>-348.484494921868 280.637910332008 -244.582258597933</t>
  </si>
  <si>
    <t>-599.784146647953 195.662071087467 -759.686183269813</t>
  </si>
  <si>
    <t>-660.44204712135 66.5750661717151 -723.890461845983</t>
  </si>
  <si>
    <t>-676.342048609043 108.778108165785 -410.597820533723</t>
  </si>
  <si>
    <t>-419.971977907956 69.0011626458331 -392.315178768332</t>
  </si>
  <si>
    <t>-547.273552522314 370.407701383171 -236.909074625464</t>
  </si>
  <si>
    <t>-548.51455988079 342.368936898102 217.920510453723</t>
  </si>
  <si>
    <t>-615.145057668565 290.37203162654 680.185037192941</t>
  </si>
  <si>
    <t>-460.488335547198 260.279438628477 758.410636145244</t>
  </si>
  <si>
    <t>-624.910030711431 190.296045298473 -221.175061513602</t>
  </si>
  <si>
    <t>-556.527851313988 118.342288169364 223.576763929546</t>
  </si>
  <si>
    <t>-707.053473956157 30.3537955079157 659.637649522919</t>
  </si>
  <si>
    <t>-605.215239695955 -86.2021514255156 743.227036694458</t>
  </si>
  <si>
    <t>9763-20170724T164108.992273800.bin</t>
  </si>
  <si>
    <t>-586.673350874595 280.397105739202 -229.291771901168</t>
  </si>
  <si>
    <t>-618.897445733909 284.7381164137 -345.956159373319</t>
  </si>
  <si>
    <t>-625.645621449501 275.420676997949 -466.613650797604</t>
  </si>
  <si>
    <t>-621.119145741732 261.641911235165 -575.170080680585</t>
  </si>
  <si>
    <t>-606.085106954948 242.750630810269 -681.996859193089</t>
  </si>
  <si>
    <t>-574.345271026761 211.384469355495 -827.629125513024</t>
  </si>
  <si>
    <t>-515.640234123698 181.266378672028 -905.279443364247</t>
  </si>
  <si>
    <t>-575.933251061292 254.300468187517 -766.730690064055</t>
  </si>
  <si>
    <t>-521.228220302759 390.311739692103 -755.254647666811</t>
  </si>
  <si>
    <t>-449.049914823596 408.228302939709 -447.593325558122</t>
  </si>
  <si>
    <t>-347.582351763421 279.958874792591 -245.372322232576</t>
  </si>
  <si>
    <t>-600.845088565481 196.225593249066 -759.651994025731</t>
  </si>
  <si>
    <t>-661.709655445324 67.2102237368719 -723.924719544843</t>
  </si>
  <si>
    <t>-677.436082224643 108.94183606014 -410.560168174355</t>
  </si>
  <si>
    <t>-421.040976877334 69.2591872789225 -392.424999121674</t>
  </si>
  <si>
    <t>-547.66982598924 370.368903235136 -236.835817015458</t>
  </si>
  <si>
    <t>-549.033530442534 342.388668664364 217.997054194045</t>
  </si>
  <si>
    <t>-615.129585969336 290.28818151502 680.290901522004</t>
  </si>
  <si>
    <t>-460.359740320108 260.458252773446 758.393266780189</t>
  </si>
  <si>
    <t>-625.542787445316 190.406231840681 -221.071275231405</t>
  </si>
  <si>
    <t>-556.651622979463 118.078570993092 223.541403348847</t>
  </si>
  <si>
    <t>-707.283268291966 30.5256829282841 659.655518516048</t>
  </si>
  <si>
    <t>-605.386789773327 -86.1230579258504 743.044373058216</t>
  </si>
  <si>
    <t>9763-20170724T164109.021955700.bin</t>
  </si>
  <si>
    <t>-586.767819205732 280.399122462316 -229.295240139947</t>
  </si>
  <si>
    <t>-619.061201365976 284.758933307524 -345.939704865358</t>
  </si>
  <si>
    <t>-625.872975780307 275.470595909387 -466.595806619094</t>
  </si>
  <si>
    <t>-621.39985137039 261.723256464784 -575.158470330791</t>
  </si>
  <si>
    <t>-606.414024806473 242.869051383435 -681.998520112943</t>
  </si>
  <si>
    <t>-574.735099324406 211.560763018054 -827.656339829884</t>
  </si>
  <si>
    <t>-516.078628723359 181.187152755885 -905.244107879492</t>
  </si>
  <si>
    <t>-576.270175184939 254.441729992998 -766.732017923993</t>
  </si>
  <si>
    <t>-521.41696438956 390.398295490648 -755.152542752628</t>
  </si>
  <si>
    <t>-449.761055343109 407.552397415932 -447.325696694581</t>
  </si>
  <si>
    <t>-346.295639650717 279.085795856722 -246.245372776863</t>
  </si>
  <si>
    <t>-601.233970999994 196.385615111647 -759.682631778786</t>
  </si>
  <si>
    <t>-662.275362574655 67.4642710721832 -723.957460850816</t>
  </si>
  <si>
    <t>-677.749705219223 109.067874866186 -410.563282599243</t>
  </si>
  <si>
    <t>-421.366267555944 69.1924300724613 -392.687765844196</t>
  </si>
  <si>
    <t>-547.688657672029 370.284560671268 -236.882461189951</t>
  </si>
  <si>
    <t>-549.215589043536 342.424289132445 217.957155898031</t>
  </si>
  <si>
    <t>-615.078364300165 290.409424843767 680.26842798844</t>
  </si>
  <si>
    <t>-460.366648613683 260.28138961941 758.371637025063</t>
  </si>
  <si>
    <t>-625.715720457275 190.450490882697 -221.031735716239</t>
  </si>
  <si>
    <t>-556.612465105186 117.902647701027 223.512073925367</t>
  </si>
  <si>
    <t>-707.369393676669 30.6162039470926 659.620717597496</t>
  </si>
  <si>
    <t>-605.508056292052 -86.117244001381 742.933812917028</t>
  </si>
  <si>
    <t>9763-20170724T164109.090200500.bin</t>
  </si>
  <si>
    <t>-586.901729923489 280.405287183286 -229.330664700992</t>
  </si>
  <si>
    <t>-619.312631697001 284.851171986498 -345.939280074025</t>
  </si>
  <si>
    <t>-626.240281284625 275.530911688584 -466.586399394207</t>
  </si>
  <si>
    <t>-621.868739363924 261.706603055075 -575.143268030789</t>
  </si>
  <si>
    <t>-606.980572494656 242.728038395957 -681.975036732144</t>
  </si>
  <si>
    <t>-575.433012475921 211.198993202842 -827.613835647287</t>
  </si>
  <si>
    <t>-516.861521109148 180.090968118529 -904.974463829573</t>
  </si>
  <si>
    <t>-576.858612839378 254.150859120014 -766.736855842535</t>
  </si>
  <si>
    <t>-521.845878325621 390.043104917214 -755.296517001263</t>
  </si>
  <si>
    <t>-450.59102889669 406.954716279216 -447.363232936054</t>
  </si>
  <si>
    <t>-343.581976357432 277.33931145689 -248.891648636888</t>
  </si>
  <si>
    <t>-601.925034766595 196.148418928361 -759.609686047979</t>
  </si>
  <si>
    <t>-663.352976661129 67.4537904177585 -723.734323851001</t>
  </si>
  <si>
    <t>-678.707409488625 109.187355261561 -410.351540159796</t>
  </si>
  <si>
    <t>-422.399254834074 68.3926652061287 -393.499877274573</t>
  </si>
  <si>
    <t>-547.69432171538 370.257075350744 -236.922767347491</t>
  </si>
  <si>
    <t>-548.862239725612 342.257661780392 217.909473314609</t>
  </si>
  <si>
    <t>-614.967097807347 290.232428193067 680.270136205971</t>
  </si>
  <si>
    <t>-460.278560915237 259.961761460471 758.364027281229</t>
  </si>
  <si>
    <t>-625.942047794844 190.567920520715 -221.058277824235</t>
  </si>
  <si>
    <t>-556.677941128185 117.664237657293 223.402277116628</t>
  </si>
  <si>
    <t>-707.526256122528 30.7438580689811 659.535096734318</t>
  </si>
  <si>
    <t>-605.713921481148 -86.0929078466751 742.763291577047</t>
  </si>
  <si>
    <t>9763-20170724T164109.124793700.bin</t>
  </si>
  <si>
    <t>-586.931527081814 280.555679830284 -229.33427237999</t>
  </si>
  <si>
    <t>-619.334243280221 285.048197179168 -345.943334731347</t>
  </si>
  <si>
    <t>-626.26205888652 275.62790795323 -466.582630352629</t>
  </si>
  <si>
    <t>-621.895909821594 261.649986157684 -575.120287868432</t>
  </si>
  <si>
    <t>-607.019871256401 242.45382502489 -681.914675846665</t>
  </si>
  <si>
    <t>-575.498193942979 210.555125056543 -827.478545890835</t>
  </si>
  <si>
    <t>-516.932700272124 178.910992519042 -904.625988557119</t>
  </si>
  <si>
    <t>-576.859285647682 253.640154832671 -766.694063987229</t>
  </si>
  <si>
    <t>-521.673598856653 389.502567970593 -755.545677245017</t>
  </si>
  <si>
    <t>-450.511219241798 406.966207963078 -447.621660842734</t>
  </si>
  <si>
    <t>-341.97678711142 277.393582007248 -249.952170106229</t>
  </si>
  <si>
    <t>-602.031806348018 195.698473120338 -759.447987080313</t>
  </si>
  <si>
    <t>-663.753240891865 67.2116035538107 -723.353135624145</t>
  </si>
  <si>
    <t>-678.878177086323 109.158286549764 -409.987727957739</t>
  </si>
  <si>
    <t>-422.631283381729 67.7631183455719 -393.677022457342</t>
  </si>
  <si>
    <t>-547.628398490301 370.457644425752 -236.885493260097</t>
  </si>
  <si>
    <t>-548.397835431056 342.295659777067 217.937525291447</t>
  </si>
  <si>
    <t>-614.96798833478 290.553189733824 680.261237195946</t>
  </si>
  <si>
    <t>-460.344372861284 259.976941146601 758.364724987116</t>
  </si>
  <si>
    <t>-626.055361996894 190.684164722073 -221.113115093366</t>
  </si>
  <si>
    <t>-556.799066111264 117.663857769808 223.329483576918</t>
  </si>
  <si>
    <t>-707.593025702868 30.7842781246572 659.498872379836</t>
  </si>
  <si>
    <t>-605.781590428268 -86.0594217216752 742.718516695706</t>
  </si>
  <si>
    <t>9763-20170724T164109.191016200.bin</t>
  </si>
  <si>
    <t>-586.843870585426 280.88911830984 -229.239116585241</t>
  </si>
  <si>
    <t>-619.300225170722 285.466037546189 -345.830099031429</t>
  </si>
  <si>
    <t>-626.269605440286 275.704360806548 -466.439814910281</t>
  </si>
  <si>
    <t>-621.937331357993 261.241917050777 -574.915221493247</t>
  </si>
  <si>
    <t>-607.094744352248 241.386682815473 -681.593750967433</t>
  </si>
  <si>
    <t>-575.623540279963 208.39291640587 -826.924348741467</t>
  </si>
  <si>
    <t>-517.04341001583 175.3974427585 -903.492430761553</t>
  </si>
  <si>
    <t>-576.856166448456 251.891767171091 -766.432542343091</t>
  </si>
  <si>
    <t>-521.329414718733 387.668986176656 -756.225258271853</t>
  </si>
  <si>
    <t>-449.248868511056 407.345727330646 -448.648574885336</t>
  </si>
  <si>
    <t>-339.621436650937 277.846090546488 -251.535090219783</t>
  </si>
  <si>
    <t>-602.240949134278 194.091531536281 -758.807527510336</t>
  </si>
  <si>
    <t>-664.468931371223 66.0310477192108 -722.037176280875</t>
  </si>
  <si>
    <t>-679.170777627509 108.818061562823 -408.765347168135</t>
  </si>
  <si>
    <t>-423.047010795088 66.3683667857204 -393.250662805246</t>
  </si>
  <si>
    <t>-547.325386859509 370.836281395882 -236.707818757784</t>
  </si>
  <si>
    <t>-547.164225709105 342.262998265671 218.090096198402</t>
  </si>
  <si>
    <t>-614.94055051036 290.761756988289 680.242632749483</t>
  </si>
  <si>
    <t>-460.448400731394 259.568040941638 758.36209967697</t>
  </si>
  <si>
    <t>-626.267260176926 190.939300117933 -221.088236118805</t>
  </si>
  <si>
    <t>-557.019195712351 117.805531171751 223.337137962923</t>
  </si>
  <si>
    <t>-707.754693308538 30.8548323415649 659.569677974452</t>
  </si>
  <si>
    <t>-605.864718673309 -85.9527668645988 742.743750315012</t>
  </si>
  <si>
    <t>9763-20170724T164109.223104000.bin</t>
  </si>
  <si>
    <t>-586.761274942365 281.002285121943 -229.17842096395</t>
  </si>
  <si>
    <t>-619.288015301107 285.631848937094 -345.747702692372</t>
  </si>
  <si>
    <t>-626.344797853054 275.658280540935 -466.335018761638</t>
  </si>
  <si>
    <t>-622.097628025129 260.896660253298 -574.773512539239</t>
  </si>
  <si>
    <t>-607.346879828759 240.636149763987 -681.388600612902</t>
  </si>
  <si>
    <t>-576.011945526419 206.971112449894 -826.594562138173</t>
  </si>
  <si>
    <t>-517.466062168728 173.220419082726 -902.859061893675</t>
  </si>
  <si>
    <t>-577.117796044726 250.721085919237 -766.281803872594</t>
  </si>
  <si>
    <t>-521.368889276021 386.458443315781 -756.618295532734</t>
  </si>
  <si>
    <t>-448.577996392456 407.551443583762 -449.302972884669</t>
  </si>
  <si>
    <t>-338.984878838053 278.438769431719 -251.916719138186</t>
  </si>
  <si>
    <t>-602.635577582977 193.012622792908 -758.409042332549</t>
  </si>
  <si>
    <t>-665.195781351946 65.2484561629226 -721.180046666671</t>
  </si>
  <si>
    <t>-679.395610136502 108.746304341614 -407.982821199526</t>
  </si>
  <si>
    <t>-423.332793870559 65.8207395602709 -392.77548212187</t>
  </si>
  <si>
    <t>-547.111697994231 370.869448727784 -236.624948119523</t>
  </si>
  <si>
    <t>-546.662684280645 342.098260206163 218.160408992344</t>
  </si>
  <si>
    <t>-614.885014645097 290.461933335048 680.238084326351</t>
  </si>
  <si>
    <t>-460.163017107041 260.343576149646 758.324648186641</t>
  </si>
  <si>
    <t>-626.354004891734 191.162924609141 -220.99505745377</t>
  </si>
  <si>
    <t>-557.034128686804 117.862473870685 223.39161772616</t>
  </si>
  <si>
    <t>-707.810111723371 30.9100761485795 659.61816082232</t>
  </si>
  <si>
    <t>-605.922212155743 -85.915499469811 742.769545367211</t>
  </si>
  <si>
    <t>9763-20170724T164109.289283900.bin</t>
  </si>
  <si>
    <t>-586.392831077623 281.554915125894 -228.913200887473</t>
  </si>
  <si>
    <t>-618.913778999963 286.15628747761 -345.485234602876</t>
  </si>
  <si>
    <t>-626.097662908457 275.648221362416 -466.019506450025</t>
  </si>
  <si>
    <t>-622.021192102829 260.196202033168 -574.368348323112</t>
  </si>
  <si>
    <t>-607.498871178488 239.040435519797 -680.840826197511</t>
  </si>
  <si>
    <t>-576.543838367474 203.921379156469 -825.78371145769</t>
  </si>
  <si>
    <t>-518.151598568663 168.721394586281 -901.508840821331</t>
  </si>
  <si>
    <t>-577.328454145737 248.208102320421 -765.858770122076</t>
  </si>
  <si>
    <t>-520.941442420147 383.752101861833 -757.46605060633</t>
  </si>
  <si>
    <t>-447.079353393121 407.547834430295 -450.603942522293</t>
  </si>
  <si>
    <t>-338.169641462973 279.787945066751 -251.963113623647</t>
  </si>
  <si>
    <t>-603.152489311778 190.712920561024 -757.443161252917</t>
  </si>
  <si>
    <t>-666.41597610881 63.6086895837589 -719.13502812437</t>
  </si>
  <si>
    <t>-679.258632332823 108.975028155455 -406.1443458993</t>
  </si>
  <si>
    <t>-423.332234299786 65.0174052058457 -391.603477819758</t>
  </si>
  <si>
    <t>-546.405243184891 371.276005225683 -236.475248064203</t>
  </si>
  <si>
    <t>-545.770878557367 342.230296598524 218.292495619531</t>
  </si>
  <si>
    <t>-614.820890095517 290.366315149501 680.209824241313</t>
  </si>
  <si>
    <t>-460.221735114676 259.673916450887 758.316019046661</t>
  </si>
  <si>
    <t>-626.27484150802 191.840410721928 -220.704877673598</t>
  </si>
  <si>
    <t>-556.829167420628 118.143861706733 223.596596301097</t>
  </si>
  <si>
    <t>-707.881145273034 31.0290977531657 659.705768855675</t>
  </si>
  <si>
    <t>-606.111387343179 -85.901358141744 742.85434233601</t>
  </si>
  <si>
    <t>9763-20170724T164109.325883400.bin</t>
  </si>
  <si>
    <t>-586.206321160116 281.876308480803 -228.836416782482</t>
  </si>
  <si>
    <t>-618.796351592081 286.511094995143 -345.387669855253</t>
  </si>
  <si>
    <t>-626.109162670085 275.751293367113 -465.892108806396</t>
  </si>
  <si>
    <t>-622.172669956643 259.955693446242 -574.196637923444</t>
  </si>
  <si>
    <t>-607.814195098869 238.342228787513 -680.599312746937</t>
  </si>
  <si>
    <t>-577.11262529576 202.470640587812 -825.411727339869</t>
  </si>
  <si>
    <t>-518.823876828586 166.603012217462 -900.90300259256</t>
  </si>
  <si>
    <t>-577.709687464946 247.034521747688 -765.690586057087</t>
  </si>
  <si>
    <t>-520.999564613036 382.491414841311 -757.920624164537</t>
  </si>
  <si>
    <t>-446.834881103027 407.470341800295 -451.225653178058</t>
  </si>
  <si>
    <t>-338.285697626646 280.439069793885 -251.921377286468</t>
  </si>
  <si>
    <t>-603.68451579975 189.650870865516 -756.982983650115</t>
  </si>
  <si>
    <t>-667.287608565096 62.8928678884433 -718.098772944689</t>
  </si>
  <si>
    <t>-679.41496889397 109.486080390976 -405.259803108097</t>
  </si>
  <si>
    <t>-423.573060537143 64.9287105734413 -391.061287299972</t>
  </si>
  <si>
    <t>-546.128007995238 371.607627122617 -236.413552127031</t>
  </si>
  <si>
    <t>-545.478855589861 342.425679428743 218.345393521166</t>
  </si>
  <si>
    <t>-614.799749811856 290.426819600115 680.197696553773</t>
  </si>
  <si>
    <t>-460.284996621779 259.330447267783 758.311282574616</t>
  </si>
  <si>
    <t>-626.236117376983 192.209485305526 -220.573266208813</t>
  </si>
  <si>
    <t>-556.768383088493 118.33227732728 223.694765229877</t>
  </si>
  <si>
    <t>-707.908930493345 31.0844092473731 659.755178286809</t>
  </si>
  <si>
    <t>-606.173306486852 -85.8789191581206 742.899389743101</t>
  </si>
  <si>
    <t>9763-20170724T164109.371043000.bin</t>
  </si>
  <si>
    <t>-586.075699799758 282.11961524376 -228.717347552329</t>
  </si>
  <si>
    <t>-618.657588522202 286.723398614734 -345.27209914915</t>
  </si>
  <si>
    <t>-626.056817444255 275.698457444512 -465.747252457754</t>
  </si>
  <si>
    <t>-622.237127853837 259.568652715096 -574.006674775788</t>
  </si>
  <si>
    <t>-608.034291259596 237.528017579024 -680.342533495621</t>
  </si>
  <si>
    <t>-577.589636911393 200.967974241635 -825.037161704445</t>
  </si>
  <si>
    <t>-519.41229177647 164.492504630937 -900.322768329813</t>
  </si>
  <si>
    <t>-578.006825978719 245.785395385595 -765.504435972852</t>
  </si>
  <si>
    <t>-520.991136674721 381.143831924109 -758.346322712905</t>
  </si>
  <si>
    <t>-446.554173152056 407.252533672412 -451.811482586907</t>
  </si>
  <si>
    <t>-338.422773621583 281.014860509338 -251.777062116282</t>
  </si>
  <si>
    <t>-604.114120746395 188.503971436632 -756.524191359476</t>
  </si>
  <si>
    <t>-668.03184300594 62.0699150011286 -717.086591029606</t>
  </si>
  <si>
    <t>-679.474693810231 109.777475958782 -404.38989050099</t>
  </si>
  <si>
    <t>-423.724069622774 64.6060623316127 -390.49001057886</t>
  </si>
  <si>
    <t>-545.875289516306 371.746967618325 -236.370314099766</t>
  </si>
  <si>
    <t>-545.334294640652 342.420941377854 218.379555840452</t>
  </si>
  <si>
    <t>-614.75929906772 290.290024538971 680.194231330101</t>
  </si>
  <si>
    <t>-460.130747149608 259.727809045108 758.29342025313</t>
  </si>
  <si>
    <t>-626.219803956221 192.504990214697 -220.426124457368</t>
  </si>
  <si>
    <t>-556.701177344456 118.491074107238 223.811088017316</t>
  </si>
  <si>
    <t>-707.946491784433 31.1362970082663 659.817063015769</t>
  </si>
  <si>
    <t>-606.232919611894 -85.8532188891499 742.951302373655</t>
  </si>
  <si>
    <t>9763-20170724T164109.425187000.bin</t>
  </si>
  <si>
    <t>-585.771674538109 282.483034563461 -228.587109805517</t>
  </si>
  <si>
    <t>-618.382258959069 287.032387546097 -345.135925593467</t>
  </si>
  <si>
    <t>-625.962913735938 275.543622227747 -465.556517752372</t>
  </si>
  <si>
    <t>-622.368840002583 258.830186824858 -573.735039643473</t>
  </si>
  <si>
    <t>-608.453055695593 236.045071164888 -679.95203521306</t>
  </si>
  <si>
    <t>-578.471663631351 198.28738520016 -824.435438958232</t>
  </si>
  <si>
    <t>-520.489150798656 160.73336100204 -899.340058003747</t>
  </si>
  <si>
    <t>-578.566807078507 243.542758716672 -765.233653833293</t>
  </si>
  <si>
    <t>-521.040158971998 378.725203429158 -759.138878909154</t>
  </si>
  <si>
    <t>-446.023959206849 406.932298414317 -452.931230306821</t>
  </si>
  <si>
    <t>-339.206057332331 281.556253866616 -251.653312348748</t>
  </si>
  <si>
    <t>-604.908114965928 186.445208742159 -755.778468260859</t>
  </si>
  <si>
    <t>-669.378434868673 60.600847139264 -715.359849272774</t>
  </si>
  <si>
    <t>-679.630459145437 110.211425509653 -402.918115490739</t>
  </si>
  <si>
    <t>-424.026997498237 64.0476909354747 -389.582424671402</t>
  </si>
  <si>
    <t>-545.358636570439 371.952964414019 -236.336948374977</t>
  </si>
  <si>
    <t>-545.199496298954 342.521603876567 218.406293530249</t>
  </si>
  <si>
    <t>-614.67447903913 290.075632810839 680.172782865649</t>
  </si>
  <si>
    <t>-459.968013849415 259.915760524026 758.274064141611</t>
  </si>
  <si>
    <t>-626.050933807537 193.071795887257 -220.199483868773</t>
  </si>
  <si>
    <t>-556.579929050611 118.764856810079 223.996329512341</t>
  </si>
  <si>
    <t>-707.961972035641 31.2235448038623 659.871738446639</t>
  </si>
  <si>
    <t>-606.35381799352 -85.8203445404709 743.058383586248</t>
  </si>
  <si>
    <t>9763-20170724T164109.492452600.bin</t>
  </si>
  <si>
    <t>-585.383356443918 282.980401852685 -228.520207116425</t>
  </si>
  <si>
    <t>-618.015409159414 287.44280237283 -345.066516591001</t>
  </si>
  <si>
    <t>-625.732309430492 275.559741784458 -465.440100007846</t>
  </si>
  <si>
    <t>-622.30950804207 258.364620731708 -573.548829035679</t>
  </si>
  <si>
    <t>-608.614174100509 234.974405983194 -679.662832335748</t>
  </si>
  <si>
    <t>-578.991699821172 196.249187953368 -823.964068526888</t>
  </si>
  <si>
    <t>-521.15560064976 157.832615544514 -898.543781877939</t>
  </si>
  <si>
    <t>-578.828964246878 241.854795830832 -765.031659696055</t>
  </si>
  <si>
    <t>-520.796231486686 376.871634474014 -759.795775072054</t>
  </si>
  <si>
    <t>-445.51234552255 406.778104653579 -453.815150817567</t>
  </si>
  <si>
    <t>-339.934318143043 282.202067811893 -251.389555134179</t>
  </si>
  <si>
    <t>-605.368442825223 184.912979233652 -755.198621729363</t>
  </si>
  <si>
    <t>-670.284347289475 59.5533796136446 -714.014467495788</t>
  </si>
  <si>
    <t>-679.547939842056 110.402657657188 -401.740876620086</t>
  </si>
  <si>
    <t>-424.069164549454 63.4241377629655 -388.870029422592</t>
  </si>
  <si>
    <t>-544.760110060791 372.513157992497 -236.348873330718</t>
  </si>
  <si>
    <t>-544.842598064932 343.034261531219 218.391326372133</t>
  </si>
  <si>
    <t>-614.652545204037 290.551107430654 680.110658418037</t>
  </si>
  <si>
    <t>-460.218445222724 259.162718181694 758.266913080659</t>
  </si>
  <si>
    <t>-625.847375232087 193.504484072632 -220.031383130881</t>
  </si>
  <si>
    <t>-556.350134941347 119.168685029107 224.155543188819</t>
  </si>
  <si>
    <t>-707.912226662677 31.3106708386451 659.91938791244</t>
  </si>
  <si>
    <t>-606.447425319273 -85.7794006231992 743.21599681597</t>
  </si>
  <si>
    <t>9763-20170724T164109.524538300.bin</t>
  </si>
  <si>
    <t>-585.210034703397 283.009670593667 -228.456601574591</t>
  </si>
  <si>
    <t>-617.820637088769 287.425990188375 -345.010477415149</t>
  </si>
  <si>
    <t>-625.573697415623 275.384286632237 -465.366095463517</t>
  </si>
  <si>
    <t>-622.208358435465 257.99954141429 -573.446194859585</t>
  </si>
  <si>
    <t>-608.596016290454 234.373620102138 -679.518677371637</t>
  </si>
  <si>
    <t>-579.115802486042 195.273400751424 -823.747996331503</t>
  </si>
  <si>
    <t>-521.344352123689 156.523695808199 -898.205400251275</t>
  </si>
  <si>
    <t>-578.85466395106 241.015454425447 -764.92169016912</t>
  </si>
  <si>
    <t>-520.630033426302 375.956084572881 -760.029092321374</t>
  </si>
  <si>
    <t>-445.307078757749 406.55274024897 -454.126428761533</t>
  </si>
  <si>
    <t>-340.191744656135 282.25958689947 -251.286540696486</t>
  </si>
  <si>
    <t>-605.465117297273 184.132632964178 -754.940139710709</t>
  </si>
  <si>
    <t>-670.560381762381 58.9649645086869 -713.457014716457</t>
  </si>
  <si>
    <t>-679.452083331858 110.298946554168 -401.252114363443</t>
  </si>
  <si>
    <t>-424.019313267493 63.0001638052308 -388.644060928565</t>
  </si>
  <si>
    <t>-544.513166064171 372.432236474492 -236.333900628089</t>
  </si>
  <si>
    <t>-544.764287080593 342.956060794241 218.40632150484</t>
  </si>
  <si>
    <t>-614.604595246924 290.23838249064 680.113226706211</t>
  </si>
  <si>
    <t>-460.1493119746 258.93857051307 758.263010733885</t>
  </si>
  <si>
    <t>-625.733961104318 193.621280171458 -219.930555751002</t>
  </si>
  <si>
    <t>-556.233437374828 119.307741002337 224.259500040497</t>
  </si>
  <si>
    <t>-707.927295121935 31.3036003498839 659.967355883845</t>
  </si>
  <si>
    <t>-606.460334128682 -85.7440014284892 743.320922959139</t>
  </si>
  <si>
    <t>9763-20170724T164109.595234800.bin</t>
  </si>
  <si>
    <t>-585.107264324263 282.840109874434 -228.424041811487</t>
  </si>
  <si>
    <t>-617.702365694581 287.137855705024 -344.987049677706</t>
  </si>
  <si>
    <t>-625.522263333428 274.840185162557 -465.312213118476</t>
  </si>
  <si>
    <t>-622.252104203293 257.168903819307 -573.348758440521</t>
  </si>
  <si>
    <t>-608.770077731022 233.202384846352 -679.361455094678</t>
  </si>
  <si>
    <t>-579.507927216312 193.573450996076 -823.490829542125</t>
  </si>
  <si>
    <t>-521.838179989095 154.394550589142 -897.802368623696</t>
  </si>
  <si>
    <t>-579.118489907528 239.514602021115 -764.820728615481</t>
  </si>
  <si>
    <t>-520.714067422696 374.398517479326 -760.407946778534</t>
  </si>
  <si>
    <t>-445.368031103122 405.816235846132 -454.594066424752</t>
  </si>
  <si>
    <t>-340.747780334959 281.989382675272 -251.2137197667</t>
  </si>
  <si>
    <t>-605.792580095056 182.701391459687 -754.615306725208</t>
  </si>
  <si>
    <t>-671.081294699999 57.7895238411754 -712.663957289946</t>
  </si>
  <si>
    <t>-679.342949670212 109.76548172789 -400.547938278754</t>
  </si>
  <si>
    <t>-423.981484956214 62.0262092934046 -388.156462693199</t>
  </si>
  <si>
    <t>-544.431167026285 372.163466903608 -236.380665438195</t>
  </si>
  <si>
    <t>-544.952257125605 342.86233293607 218.370703806017</t>
  </si>
  <si>
    <t>-614.53580169 290.047828023904 680.107853693952</t>
  </si>
  <si>
    <t>-459.99766039144 259.125490515232 758.244173934162</t>
  </si>
  <si>
    <t>-625.653840097733 193.541848136923 -219.818948509548</t>
  </si>
  <si>
    <t>-556.128502420055 119.554455190456 224.42171940613</t>
  </si>
  <si>
    <t>-707.901872262631 31.3490434222922 660.036207980024</t>
  </si>
  <si>
    <t>-606.514517907662 -85.6741705555155 743.520793744323</t>
  </si>
  <si>
    <t>9763-20170724T164109.622811600.bin</t>
  </si>
  <si>
    <t>-585.018244113262 282.612400951654 -228.438637792817</t>
  </si>
  <si>
    <t>-617.615264806579 286.866969748879 -345.002662716778</t>
  </si>
  <si>
    <t>-625.4553200576 274.479268810155 -465.31734872818</t>
  </si>
  <si>
    <t>-622.210949304937 256.708222927818 -573.338339352021</t>
  </si>
  <si>
    <t>-608.76249022148 232.624052325748 -679.328541587606</t>
  </si>
  <si>
    <t>-579.55517830105 192.813845957111 -823.419074388307</t>
  </si>
  <si>
    <t>-521.905596235264 153.516611819516 -897.683767931478</t>
  </si>
  <si>
    <t>-579.142202178169 238.82826366604 -764.806688270232</t>
  </si>
  <si>
    <t>-520.716165518849 373.707067400033 -760.558259650622</t>
  </si>
  <si>
    <t>-445.395449325292 405.372593318685 -454.763839273499</t>
  </si>
  <si>
    <t>-340.856882347641 281.754120053658 -251.214793953205</t>
  </si>
  <si>
    <t>-605.814848292266 182.028985904244 -754.520406499145</t>
  </si>
  <si>
    <t>-671.08650232192 57.1615355450885 -712.410680207747</t>
  </si>
  <si>
    <t>-679.297586126617 109.491328724935 -400.352472468171</t>
  </si>
  <si>
    <t>-423.922734028077 61.7962450688827 -388.068230119058</t>
  </si>
  <si>
    <t>-544.316804745746 371.834388193337 -236.413893255905</t>
  </si>
  <si>
    <t>-544.99423198171 342.624949343083 218.343205028992</t>
  </si>
  <si>
    <t>-614.471456527265 289.700788125614 680.102515931836</t>
  </si>
  <si>
    <t>-459.829214051622 259.282708290769 758.230752079695</t>
  </si>
  <si>
    <t>-625.584247328327 193.389255720852 -219.806047925788</t>
  </si>
  <si>
    <t>-556.017702883469 119.590024012993 224.459437435019</t>
  </si>
  <si>
    <t>-707.853274318075 31.3699159026127 660.042140623818</t>
  </si>
  <si>
    <t>-606.580839220154 -85.6794378551318 743.629671005677</t>
  </si>
  <si>
    <t>9763-20170724T164109.693103300.bin</t>
  </si>
  <si>
    <t>-584.984914789581 282.273733568249 -228.499589689568</t>
  </si>
  <si>
    <t>-617.497104862108 286.412231275874 -345.091358196229</t>
  </si>
  <si>
    <t>-625.299467739054 273.878438353468 -465.39340944648</t>
  </si>
  <si>
    <t>-622.04248902393 255.963784616668 -573.390197498746</t>
  </si>
  <si>
    <t>-608.603674301393 231.724618854515 -679.34634457873</t>
  </si>
  <si>
    <t>-579.433422548038 191.687005930228 -823.381524989547</t>
  </si>
  <si>
    <t>-521.764591446281 152.285606448022 -897.57592678688</t>
  </si>
  <si>
    <t>-579.021242841043 237.800427483593 -764.846913720044</t>
  </si>
  <si>
    <t>-520.664567557105 372.717976985345 -760.829762419515</t>
  </si>
  <si>
    <t>-445.27147808747 404.645623504902 -455.080435509198</t>
  </si>
  <si>
    <t>-340.782661007617 281.235918354808 -251.379211679087</t>
  </si>
  <si>
    <t>-605.659430098093 181.004355303347 -754.454028318801</t>
  </si>
  <si>
    <t>-670.862140032368 56.1720112678542 -712.144991766256</t>
  </si>
  <si>
    <t>-678.941680428139 108.851564351519 -400.142193571247</t>
  </si>
  <si>
    <t>-423.492477446321 61.591031981982 -387.724662372253</t>
  </si>
  <si>
    <t>-544.33342610038 371.503602427793 -236.48563245689</t>
  </si>
  <si>
    <t>-545.088811623019 342.575560065395 218.28931298332</t>
  </si>
  <si>
    <t>-614.430620613733 289.663630903076 680.099231764861</t>
  </si>
  <si>
    <t>-459.892799611212 258.763674425694 758.244991772839</t>
  </si>
  <si>
    <t>-625.471743420515 193.075082672281 -219.848371730878</t>
  </si>
  <si>
    <t>-555.873171659229 119.639219922101 224.472307526537</t>
  </si>
  <si>
    <t>-707.72786853238 31.3876349561166 660.048658376163</t>
  </si>
  <si>
    <t>-606.754133969138 -85.7206800182957 743.914351667965</t>
  </si>
  <si>
    <t>9763-20170724T164109.724183400.bin</t>
  </si>
  <si>
    <t>-584.976078468261 282.118822254435 -228.506013399495</t>
  </si>
  <si>
    <t>-617.470029430494 286.219310957898 -345.104211305974</t>
  </si>
  <si>
    <t>-625.25859296605 273.640676183114 -465.40247334074</t>
  </si>
  <si>
    <t>-621.992098265821 255.682160452165 -573.391680992171</t>
  </si>
  <si>
    <t>-608.547546522569 231.39519849413 -679.336231966467</t>
  </si>
  <si>
    <t>-579.373883828196 191.286727288621 -823.350863677419</t>
  </si>
  <si>
    <t>-521.680388456041 151.866731556476 -897.516227670699</t>
  </si>
  <si>
    <t>-578.980835898563 237.436258463592 -764.844444897118</t>
  </si>
  <si>
    <t>-520.677472567076 372.384610179885 -760.906211353954</t>
  </si>
  <si>
    <t>-445.30098315265 404.329558614946 -455.15464969479</t>
  </si>
  <si>
    <t>-340.77593386135 280.953255242255 -251.451719703092</t>
  </si>
  <si>
    <t>-605.583810420724 180.63071972042 -754.413216483242</t>
  </si>
  <si>
    <t>-670.697121161019 55.7781470598833 -712.043520094411</t>
  </si>
  <si>
    <t>-678.791722444648 108.595761294838 -400.064336808947</t>
  </si>
  <si>
    <t>-423.287147234675 61.6290015655707 -387.671551279415</t>
  </si>
  <si>
    <t>-544.386924706287 371.37404955545 -236.492513074587</t>
  </si>
  <si>
    <t>-545.10168541216 342.53757707394 218.288307541434</t>
  </si>
  <si>
    <t>-614.431436552711 289.839012936659 680.097834798037</t>
  </si>
  <si>
    <t>-459.899765972006 258.914106592456 758.245999517031</t>
  </si>
  <si>
    <t>-625.438823604656 192.888207470925 -219.851985411549</t>
  </si>
  <si>
    <t>-555.698932773853 119.702488777625 224.487889075903</t>
  </si>
  <si>
    <t>-707.674001304606 31.3531590824452 660.02066153566</t>
  </si>
  <si>
    <t>-606.826578863496 -85.7395053468365 744.060088415175</t>
  </si>
  <si>
    <t>9763-20170724T164109.794974700.bin</t>
  </si>
  <si>
    <t>-584.813674893649 281.783746082531 -228.529716092934</t>
  </si>
  <si>
    <t>-617.252965818706 285.822669224431 -345.145243095921</t>
  </si>
  <si>
    <t>-624.997222425772 273.197362212657 -465.441592510294</t>
  </si>
  <si>
    <t>-621.696186180451 255.203012123953 -573.423801463656</t>
  </si>
  <si>
    <t>-608.223329623447 230.886230506884 -679.357861572649</t>
  </si>
  <si>
    <t>-579.017225106475 190.742165091359 -823.356019129323</t>
  </si>
  <si>
    <t>-521.249451516826 151.334894081947 -897.470407335077</t>
  </si>
  <si>
    <t>-578.682339916397 236.924489016558 -764.875248397092</t>
  </si>
  <si>
    <t>-520.599867255227 371.96458531207 -761.0119312766</t>
  </si>
  <si>
    <t>-445.220257153521 404.007165042797 -455.271292557259</t>
  </si>
  <si>
    <t>-340.574919497241 280.543602958837 -251.68308659006</t>
  </si>
  <si>
    <t>-605.197695672205 180.084791350762 -754.407394096869</t>
  </si>
  <si>
    <t>-670.167717831962 55.1710610897275 -711.978899183169</t>
  </si>
  <si>
    <t>-678.317795075488 108.127048217981 -400.024736381432</t>
  </si>
  <si>
    <t>-422.721846585727 61.6650319909621 -387.613010476323</t>
  </si>
  <si>
    <t>-544.314305884209 370.918121894324 -236.500048269178</t>
  </si>
  <si>
    <t>-545.009206609534 342.339276988516 218.297125733793</t>
  </si>
  <si>
    <t>-614.388070504964 289.678657911599 680.114407115201</t>
  </si>
  <si>
    <t>-459.860450277915 258.752222102718 758.269873480947</t>
  </si>
  <si>
    <t>-625.170419627897 192.636172544022 -219.892110093146</t>
  </si>
  <si>
    <t>-555.225068298168 119.658331185042 224.449622274791</t>
  </si>
  <si>
    <t>-707.45522376671 31.3247248687959 659.874134346703</t>
  </si>
  <si>
    <t>-606.966740500845 -85.7987164701754 744.29967149856</t>
  </si>
  <si>
    <t>9763-20170724T164109.826060400.bin</t>
  </si>
  <si>
    <t>-584.610337622397 281.595263407201 -228.537351531914</t>
  </si>
  <si>
    <t>-617.045863059074 285.601015631279 -345.155132682931</t>
  </si>
  <si>
    <t>-624.777290983097 272.95234389993 -465.44964944271</t>
  </si>
  <si>
    <t>-621.462037105155 254.940221230695 -573.428622436204</t>
  </si>
  <si>
    <t>-607.972998555262 230.608327309463 -679.357136544981</t>
  </si>
  <si>
    <t>-578.742858111792 190.445735968119 -823.345174138111</t>
  </si>
  <si>
    <t>-520.931222006099 151.043697540412 -897.428111653676</t>
  </si>
  <si>
    <t>-578.441341729627 236.6452523902 -764.877830138243</t>
  </si>
  <si>
    <t>-520.416188433665 371.71759955152 -761.058993205293</t>
  </si>
  <si>
    <t>-445.119204321665 403.751220548762 -455.296921452801</t>
  </si>
  <si>
    <t>-340.409101169731 280.260153289235 -251.758813010621</t>
  </si>
  <si>
    <t>-604.911186380305 179.78755831415 -754.3919443348</t>
  </si>
  <si>
    <t>-669.786262948386 54.84334593036 -711.92887984721</t>
  </si>
  <si>
    <t>-677.928710084944 107.82084918364 -399.977952539578</t>
  </si>
  <si>
    <t>-422.272441684137 61.6601554137287 -387.685164625983</t>
  </si>
  <si>
    <t>-544.157228126687 370.680464163497 -236.507249347109</t>
  </si>
  <si>
    <t>-544.877957712333 342.204984186171 218.296306680233</t>
  </si>
  <si>
    <t>-614.364197237181 289.644957441546 680.109302199813</t>
  </si>
  <si>
    <t>-459.817103297236 258.83769963112 758.27332236966</t>
  </si>
  <si>
    <t>-624.923971109027 192.461446517872 -219.893218366733</t>
  </si>
  <si>
    <t>-554.910583750851 119.590932951693 224.45536811797</t>
  </si>
  <si>
    <t>-707.378624537649 31.299613838334 659.82590159001</t>
  </si>
  <si>
    <t>-606.976888089546 -85.7968574797047 744.392006020049</t>
  </si>
  <si>
    <t>9763-20170724T164109.890749100.bin</t>
  </si>
  <si>
    <t>-584.11596931458 281.195607498382 -228.487261087006</t>
  </si>
  <si>
    <t>-616.500174006311 285.089882035126 -345.122991084827</t>
  </si>
  <si>
    <t>-624.187275564722 272.367753712419 -465.412742777355</t>
  </si>
  <si>
    <t>-620.836275274846 254.30523176775 -573.381959988864</t>
  </si>
  <si>
    <t>-607.316778533395 229.938290198513 -679.298586857202</t>
  </si>
  <si>
    <t>-578.050042555686 189.742445848924 -823.269986047457</t>
  </si>
  <si>
    <t>-520.156662955545 150.348174171698 -897.293168371133</t>
  </si>
  <si>
    <t>-577.812930796603 235.975588343973 -764.828947600138</t>
  </si>
  <si>
    <t>-520.002506071422 371.135037427295 -761.06509136132</t>
  </si>
  <si>
    <t>-444.694755880934 403.340111223989 -455.323709256343</t>
  </si>
  <si>
    <t>-339.717534831132 279.912495971034 -251.88463728518</t>
  </si>
  <si>
    <t>-604.186467974124 179.080160493578 -754.305308252533</t>
  </si>
  <si>
    <t>-668.897890117405 54.0661961661805 -711.781625624252</t>
  </si>
  <si>
    <t>-677.179107225504 107.035394020511 -399.833099647467</t>
  </si>
  <si>
    <t>-421.438733155686 61.2991148553628 -387.703894316679</t>
  </si>
  <si>
    <t>-543.784684069492 370.239470113225 -236.478345126634</t>
  </si>
  <si>
    <t>-544.550346161272 342.08015796118 218.34484282427</t>
  </si>
  <si>
    <t>-614.304758902502 289.57307400677 680.098869619406</t>
  </si>
  <si>
    <t>-459.729103972791 258.976811633653 758.289332757537</t>
  </si>
  <si>
    <t>-624.332096469813 192.133696922282 -219.821654933793</t>
  </si>
  <si>
    <t>-554.436991060906 119.514467154443 224.586753889928</t>
  </si>
  <si>
    <t>-707.341778338532 31.2891881786318 659.844295410117</t>
  </si>
  <si>
    <t>-607.001648968421 -85.7507390904019 744.561569549503</t>
  </si>
  <si>
    <t>9763-20170724T164109.922346400.bin</t>
  </si>
  <si>
    <t>-583.887282653997 281.05881816661 -228.442184904668</t>
  </si>
  <si>
    <t>-616.208072062944 284.890038015954 -345.097529565253</t>
  </si>
  <si>
    <t>-623.854300164444 272.128470360153 -465.385669596839</t>
  </si>
  <si>
    <t>-620.478053084481 254.038291738723 -573.349717862281</t>
  </si>
  <si>
    <t>-606.945811523937 229.650560083325 -679.259806932894</t>
  </si>
  <si>
    <t>-577.675123426961 189.43118856806 -823.223805543915</t>
  </si>
  <si>
    <t>-519.75307232846 150.016721234429 -897.213774700411</t>
  </si>
  <si>
    <t>-577.452463501017 235.679062591126 -764.794228952925</t>
  </si>
  <si>
    <t>-519.691245986591 370.862276863431 -761.088124771505</t>
  </si>
  <si>
    <t>-444.434718298682 403.100186647111 -455.337690467727</t>
  </si>
  <si>
    <t>-339.249383541734 279.653253347702 -252.017825575379</t>
  </si>
  <si>
    <t>-603.80052250087 178.774934233861 -754.254039934016</t>
  </si>
  <si>
    <t>-668.440399231832 53.7360215597893 -711.697182242966</t>
  </si>
  <si>
    <t>-676.627018144733 106.687238788495 -399.743092314872</t>
  </si>
  <si>
    <t>-420.848651961283 61.1533042800607 -387.654364926653</t>
  </si>
  <si>
    <t>-543.555346053951 370.083953755471 -236.46099729337</t>
  </si>
  <si>
    <t>-544.202889603112 341.954168159574 218.364245730013</t>
  </si>
  <si>
    <t>-614.276253998176 289.516630180016 680.090607188736</t>
  </si>
  <si>
    <t>-459.68116101685 259.047984745392 758.292435711279</t>
  </si>
  <si>
    <t>-624.081069776359 191.992590628655 -219.799796404834</t>
  </si>
  <si>
    <t>-554.307841386663 119.535419436402 224.654183016047</t>
  </si>
  <si>
    <t>-707.342911459937 31.2974173139134 659.884026261234</t>
  </si>
  <si>
    <t>-607.005661641266 -85.7200599165167 744.635754775999</t>
  </si>
  <si>
    <t>9763-20170724T164109.991358100.bin</t>
  </si>
  <si>
    <t>-583.596318107292 281.008843257499 -228.306591618261</t>
  </si>
  <si>
    <t>-615.954584857836 284.834761981031 -344.951822453186</t>
  </si>
  <si>
    <t>-623.58261950244 272.033344403472 -465.236937399248</t>
  </si>
  <si>
    <t>-620.165824453054 253.896194274689 -573.191603521565</t>
  </si>
  <si>
    <t>-606.568983605268 229.452967724062 -679.080724671111</t>
  </si>
  <si>
    <t>-577.184365694072 189.149894445379 -822.998155007413</t>
  </si>
  <si>
    <t>-519.195248777622 149.651906298037 -896.891050298817</t>
  </si>
  <si>
    <t>-577.051717459146 235.449448591476 -764.609213853974</t>
  </si>
  <si>
    <t>-519.478513600803 370.717330660673 -760.999039849784</t>
  </si>
  <si>
    <t>-444.002176275533 403.118303525964 -455.320013555788</t>
  </si>
  <si>
    <t>-338.375429723595 279.432482855011 -252.374634948994</t>
  </si>
  <si>
    <t>-603.320564495642 178.516021506196 -754.028924950968</t>
  </si>
  <si>
    <t>-667.750920676428 53.3918178167128 -711.429166908757</t>
  </si>
  <si>
    <t>-675.972639335323 106.405886785406 -399.486747705955</t>
  </si>
  <si>
    <t>-420.113411873716 61.2850883660072 -387.560114569605</t>
  </si>
  <si>
    <t>-543.322111641201 370.070882123081 -236.323249123548</t>
  </si>
  <si>
    <t>-543.645645841967 341.930417702727 218.501623755238</t>
  </si>
  <si>
    <t>-614.24356811804 289.487517527726 680.105929500322</t>
  </si>
  <si>
    <t>-459.592599018603 259.309762479554 758.310183598456</t>
  </si>
  <si>
    <t>-623.808499671948 191.965848868946 -219.63590369574</t>
  </si>
  <si>
    <t>-554.035563027372 119.719849620021 224.85245635136</t>
  </si>
  <si>
    <t>-707.341327750822 31.3554080687417 659.962767171098</t>
  </si>
  <si>
    <t>-606.976218889717 -85.6399987659513 744.711979258426</t>
  </si>
  <si>
    <t>9763-20170724T164110.028990800.bin</t>
  </si>
  <si>
    <t>-583.458180287315 280.927597521608 -228.267588061473</t>
  </si>
  <si>
    <t>-615.837921405475 284.751716475122 -344.906954074318</t>
  </si>
  <si>
    <t>-623.461588101931 271.926067608464 -465.189797390708</t>
  </si>
  <si>
    <t>-620.030432160996 253.758205333641 -573.138839595936</t>
  </si>
  <si>
    <t>-606.409416647728 229.275549594043 -679.01562479883</t>
  </si>
  <si>
    <t>-576.981746624939 188.909369926521 -822.906627786114</t>
  </si>
  <si>
    <t>-518.95237384647 149.364169133654 -896.742596369894</t>
  </si>
  <si>
    <t>-576.870991079727 235.236289185008 -764.53946011805</t>
  </si>
  <si>
    <t>-519.381854126998 370.537597692229 -760.974326548267</t>
  </si>
  <si>
    <t>-443.805990813483 403.070573206193 -455.333889697311</t>
  </si>
  <si>
    <t>-337.92167409693 279.327456630178 -252.557513821953</t>
  </si>
  <si>
    <t>-603.134135900351 178.3040805566 -753.939240318593</t>
  </si>
  <si>
    <t>-667.574480942325 53.1948920301388 -711.28537354066</t>
  </si>
  <si>
    <t>-675.795072154611 106.180634041738 -399.338025869561</t>
  </si>
  <si>
    <t>-419.89008735954 61.2958992226244 -387.503181621928</t>
  </si>
  <si>
    <t>-543.151624258646 369.913142411455 -236.257728329418</t>
  </si>
  <si>
    <t>-543.219928612283 341.744309690744 218.565516501317</t>
  </si>
  <si>
    <t>-614.191133072094 289.080014901101 680.11344205848</t>
  </si>
  <si>
    <t>-459.416976779705 259.49816229984 758.301629746062</t>
  </si>
  <si>
    <t>-623.657955031189 191.924679788936 -219.594218954777</t>
  </si>
  <si>
    <t>-553.863135044222 119.742941866062 224.901154532029</t>
  </si>
  <si>
    <t>-707.311733917225 31.3958888983459 659.977728043945</t>
  </si>
  <si>
    <t>-606.997870424895 -85.6335736538742 744.740650086832</t>
  </si>
  <si>
    <t>9763-20170724T164110.090153300.bin</t>
  </si>
  <si>
    <t>-583.202745065853 280.971201462949 -228.11422186009</t>
  </si>
  <si>
    <t>-615.60850927166 284.785874152072 -344.746705443133</t>
  </si>
  <si>
    <t>-623.254071893551 271.88988778212 -465.020590966573</t>
  </si>
  <si>
    <t>-619.841449702503 253.633183566089 -572.95520951877</t>
  </si>
  <si>
    <t>-606.238782951888 229.036471350967 -678.808042765536</t>
  </si>
  <si>
    <t>-576.837277974894 188.486201267625 -822.652462377544</t>
  </si>
  <si>
    <t>-518.785049860149 148.793449469867 -896.391303683182</t>
  </si>
  <si>
    <t>-576.712370665238 234.886365437165 -764.343536247859</t>
  </si>
  <si>
    <t>-519.195640107209 370.186474198616 -760.962853679318</t>
  </si>
  <si>
    <t>-443.317094493484 402.877051386904 -455.414181376266</t>
  </si>
  <si>
    <t>-337.262704687599 279.173072684371 -252.702984130809</t>
  </si>
  <si>
    <t>-602.980685198965 177.97062057964 -753.668029766558</t>
  </si>
  <si>
    <t>-667.359421503045 52.8729959548325 -710.912744065873</t>
  </si>
  <si>
    <t>-675.516146054998 105.96072661979 -398.9811141265</t>
  </si>
  <si>
    <t>-419.559473135507 61.3479663467831 -387.236210321715</t>
  </si>
  <si>
    <t>-542.934140270418 369.958570460963 -236.137535635212</t>
  </si>
  <si>
    <t>-542.622356495145 341.646947431638 218.67670797825</t>
  </si>
  <si>
    <t>-614.167688131661 288.99134182735 680.122240590199</t>
  </si>
  <si>
    <t>-459.451823459088 259.159003064325 758.330527077693</t>
  </si>
  <si>
    <t>-623.385941252318 191.942311607926 -219.456925925455</t>
  </si>
  <si>
    <t>-553.59177490161 119.862611231924 225.055222971934</t>
  </si>
  <si>
    <t>-707.271526134541 31.4694351469954 660.037450955042</t>
  </si>
  <si>
    <t>-607.020097391403 -85.6076349410387 744.808455165851</t>
  </si>
  <si>
    <t>9763-20170724T164110.127252800.bin</t>
  </si>
  <si>
    <t>-583.134411209309 280.946572127847 -228.0969480972</t>
  </si>
  <si>
    <t>-615.576365919195 284.78090586225 -344.718628208791</t>
  </si>
  <si>
    <t>-623.269152298772 271.87222517613 -464.987987916497</t>
  </si>
  <si>
    <t>-619.902962741131 253.590876992493 -572.92013802147</t>
  </si>
  <si>
    <t>-606.349721057241 228.957057373667 -678.770460541481</t>
  </si>
  <si>
    <t>-577.01978849616 188.342493716834 -822.61142059372</t>
  </si>
  <si>
    <t>-518.982593154207 148.574328675981 -896.321504483058</t>
  </si>
  <si>
    <t>-576.857868034311 234.765412602492 -764.320837744582</t>
  </si>
  <si>
    <t>-519.35132019514 370.061790266315 -760.987725477746</t>
  </si>
  <si>
    <t>-443.278711782947 402.83561680833 -455.496372430319</t>
  </si>
  <si>
    <t>-337.241876866554 279.36197105172 -252.635564452217</t>
  </si>
  <si>
    <t>-603.136840464934 177.860863638787 -753.611754528867</t>
  </si>
  <si>
    <t>-667.565783142754 52.7928090919999 -710.808518798856</t>
  </si>
  <si>
    <t>-675.585951311418 105.904396625015 -398.877477811541</t>
  </si>
  <si>
    <t>-419.628094863203 61.3001362964547 -387.12573635736</t>
  </si>
  <si>
    <t>-542.850254652699 369.959284518315 -236.113176749292</t>
  </si>
  <si>
    <t>-542.553862343773 341.672898319819 218.702760220241</t>
  </si>
  <si>
    <t>-614.185282991143 289.27732027798 680.123808172339</t>
  </si>
  <si>
    <t>-459.513150807466 259.251004313885 758.344419523719</t>
  </si>
  <si>
    <t>-623.353359720545 191.927746334412 -219.407125834667</t>
  </si>
  <si>
    <t>-553.525540275343 119.895591117208 225.107390432598</t>
  </si>
  <si>
    <t>-707.284172386338 31.4989770880686 660.078438348901</t>
  </si>
  <si>
    <t>-607.011740878648 -85.5776158935312 744.82525351397</t>
  </si>
  <si>
    <t>9763-20170724T164110.193619900.bin</t>
  </si>
  <si>
    <t>-583.22814900572 280.915157877231 -228.027111221024</t>
  </si>
  <si>
    <t>-615.703579592256 284.746218000574 -344.639661001697</t>
  </si>
  <si>
    <t>-623.476689890959 271.836591879278 -464.903869470414</t>
  </si>
  <si>
    <t>-620.201911872958 253.553747075457 -572.838531408305</t>
  </si>
  <si>
    <t>-606.758340516464 228.91633939198 -678.702161726103</t>
  </si>
  <si>
    <t>-577.59862318484 188.293313569803 -822.575210158982</t>
  </si>
  <si>
    <t>-519.643939180636 148.419123905401 -896.29289598673</t>
  </si>
  <si>
    <t>-577.335072791852 234.706533935071 -764.277189807257</t>
  </si>
  <si>
    <t>-519.684692617324 369.941285141595 -761.001725214331</t>
  </si>
  <si>
    <t>-443.355625461877 402.520933180561 -455.55344675392</t>
  </si>
  <si>
    <t>-337.752855578783 279.316046945532 -252.303254898748</t>
  </si>
  <si>
    <t>-603.666697271141 177.828954251841 -753.554462699887</t>
  </si>
  <si>
    <t>-668.182775477745 52.8131839456755 -710.723311844184</t>
  </si>
  <si>
    <t>-675.861966214544 105.88757083531 -398.777252716801</t>
  </si>
  <si>
    <t>-419.930938981725 61.1697202940135 -386.874939042616</t>
  </si>
  <si>
    <t>-542.944325701203 369.898083814914 -236.094650249145</t>
  </si>
  <si>
    <t>-542.566804672925 341.614853895776 218.721368268513</t>
  </si>
  <si>
    <t>-614.160917288618 289.217213698037 680.150822875172</t>
  </si>
  <si>
    <t>-459.414601778438 259.532833887713 758.355258053311</t>
  </si>
  <si>
    <t>-623.403843549966 191.939552737345 -219.295870253582</t>
  </si>
  <si>
    <t>-553.457940561261 119.831640101293 225.18777889654</t>
  </si>
  <si>
    <t>-707.33005011894 31.5719629091834 660.146788043197</t>
  </si>
  <si>
    <t>-607.056564527395 -85.5440957378326 744.837864489302</t>
  </si>
  <si>
    <t>9763-20170724T164110.225705600.bin</t>
  </si>
  <si>
    <t>-583.30857662106 280.885897894315 -228.0324447141</t>
  </si>
  <si>
    <t>-615.839590838711 284.773508756857 -344.627632883887</t>
  </si>
  <si>
    <t>-623.668835142572 271.911007922162 -464.893107403249</t>
  </si>
  <si>
    <t>-620.443547878052 253.66659561209 -572.835775276954</t>
  </si>
  <si>
    <t>-607.047339758313 229.063466756533 -678.713371347916</t>
  </si>
  <si>
    <t>-577.950743894001 188.483883937342 -822.611665830157</t>
  </si>
  <si>
    <t>-520.039177522389 148.580432721718 -896.347290573165</t>
  </si>
  <si>
    <t>-577.645088942407 234.872876421353 -764.294365368808</t>
  </si>
  <si>
    <t>-519.886906586543 370.058730398435 -760.982742534653</t>
  </si>
  <si>
    <t>-443.591468097235 402.549854049015 -455.516710552936</t>
  </si>
  <si>
    <t>-338.060883809213 279.593772055719 -252.07830688563</t>
  </si>
  <si>
    <t>-604.005085945302 178.005290845344 -753.587751833282</t>
  </si>
  <si>
    <t>-668.585662635011 53.0196932100862 -710.758627075794</t>
  </si>
  <si>
    <t>-676.166554058679 106.105892153811 -398.812136968934</t>
  </si>
  <si>
    <t>-420.265402324185 61.2281276194714 -386.868587713238</t>
  </si>
  <si>
    <t>-542.9916898022 369.870528536643 -236.099286870996</t>
  </si>
  <si>
    <t>-542.617293542643 341.582089296311 218.716357099053</t>
  </si>
  <si>
    <t>-614.142134838595 289.175858677806 680.159453910611</t>
  </si>
  <si>
    <t>-459.34902696088 259.710059428023 758.353865393879</t>
  </si>
  <si>
    <t>-623.512850684593 191.937674844294 -219.285051104561</t>
  </si>
  <si>
    <t>-553.485328667878 119.751165046308 225.172862029285</t>
  </si>
  <si>
    <t>-707.345105544754 31.6023068453638 660.149200249583</t>
  </si>
  <si>
    <t>-607.109164046407 -85.5489273769086 744.835914418905</t>
  </si>
  <si>
    <t>9763-20170724T164110.291407700.bin</t>
  </si>
  <si>
    <t>-583.553234292077 280.962762707003 -228.03780705251</t>
  </si>
  <si>
    <t>-616.095236902566 284.905467947019 -344.628030449705</t>
  </si>
  <si>
    <t>-623.973596664236 272.090238311073 -464.895630732983</t>
  </si>
  <si>
    <t>-620.807576957043 253.884051097351 -572.846202216035</t>
  </si>
  <si>
    <t>-607.48471665603 229.314095110382 -678.740861053804</t>
  </si>
  <si>
    <t>-578.50357731577 188.774631570018 -822.673732395998</t>
  </si>
  <si>
    <t>-520.676823350064 148.793939934147 -896.434197995909</t>
  </si>
  <si>
    <t>-578.104908417726 235.128632254303 -764.329382186137</t>
  </si>
  <si>
    <t>-520.13016961842 370.232132012989 -760.976031814177</t>
  </si>
  <si>
    <t>-444.047698534536 402.724354770869 -455.456889301681</t>
  </si>
  <si>
    <t>-338.723375057747 279.776936246277 -251.906536249284</t>
  </si>
  <si>
    <t>-604.548712759349 178.295517545581 -753.646461948937</t>
  </si>
  <si>
    <t>-669.294352756834 53.3827080733879 -710.883234012926</t>
  </si>
  <si>
    <t>-676.83921762771 106.328468866908 -398.911970843644</t>
  </si>
  <si>
    <t>-420.983434220449 61.1588222076129 -387.097531166854</t>
  </si>
  <si>
    <t>-543.129591522263 370.044038987878 -236.100109099335</t>
  </si>
  <si>
    <t>-542.672206435699 341.718798887957 218.713166882108</t>
  </si>
  <si>
    <t>-614.154987856573 289.489598118007 680.170731491662</t>
  </si>
  <si>
    <t>-459.607764097334 258.850269921081 758.400571488417</t>
  </si>
  <si>
    <t>-623.844591672329 191.921023195494 -219.283071603804</t>
  </si>
  <si>
    <t>-553.662399326074 119.650610958831 225.136907941031</t>
  </si>
  <si>
    <t>-707.426853294513 31.6744227183803 660.202635564973</t>
  </si>
  <si>
    <t>-607.230670717343 -85.5468393031242 744.839570827914</t>
  </si>
  <si>
    <t>9763-20170724T164110.321992300.bin</t>
  </si>
  <si>
    <t>-583.632453231711 280.869817735626 -228.036985204611</t>
  </si>
  <si>
    <t>-616.176928245201 284.847559219399 -344.625228445843</t>
  </si>
  <si>
    <t>-624.088238477771 272.061432727092 -464.89373182269</t>
  </si>
  <si>
    <t>-620.964534125906 253.877776209325 -572.849483784291</t>
  </si>
  <si>
    <t>-607.696061027857 229.325652513507 -678.755017821012</t>
  </si>
  <si>
    <t>-578.802683272756 188.805151238995 -822.71082132887</t>
  </si>
  <si>
    <t>-521.022318924656 148.774930546836 -896.480797144093</t>
  </si>
  <si>
    <t>-578.345389004533 235.142060354876 -764.35331847162</t>
  </si>
  <si>
    <t>-520.257394713347 370.191919871402 -761.008358565067</t>
  </si>
  <si>
    <t>-444.247226809656 402.799726846647 -455.48364657036</t>
  </si>
  <si>
    <t>-338.959719238827 279.757278308489 -251.971656414785</t>
  </si>
  <si>
    <t>-604.82882601508 178.326369033834 -753.676280858972</t>
  </si>
  <si>
    <t>-669.653532765795 53.450096445554 -710.927065631243</t>
  </si>
  <si>
    <t>-677.234533648179 106.322655650474 -398.944322267927</t>
  </si>
  <si>
    <t>-421.408288684897 60.9517612506975 -387.262124434144</t>
  </si>
  <si>
    <t>-543.114053182015 369.862875390373 -236.096229444381</t>
  </si>
  <si>
    <t>-542.61682191805 341.566308377683 218.71880294606</t>
  </si>
  <si>
    <t>-614.11102424114 289.230004921339 680.174394724545</t>
  </si>
  <si>
    <t>-459.483373280549 258.977774047044 758.395842293257</t>
  </si>
  <si>
    <t>-623.963519239578 191.851771584611 -219.307892866149</t>
  </si>
  <si>
    <t>-553.790817534779 119.485582277233 225.097895434873</t>
  </si>
  <si>
    <t>-707.483806887085 31.7137113399601 660.243008875905</t>
  </si>
  <si>
    <t>-607.296518292294 -85.5446583843999 744.839092297235</t>
  </si>
  <si>
    <t>9763-20170724T164110.392744200.bin</t>
  </si>
  <si>
    <t>-584.029312060844 280.7350983171 -228.045548309285</t>
  </si>
  <si>
    <t>-616.608674543767 284.798394317105 -344.621160052287</t>
  </si>
  <si>
    <t>-624.609021227059 272.083009159995 -464.891211574742</t>
  </si>
  <si>
    <t>-621.587525974065 253.954091439487 -572.859023587505</t>
  </si>
  <si>
    <t>-608.442164340819 229.445697450634 -678.790158096649</t>
  </si>
  <si>
    <t>-579.74050259919 188.972534347877 -822.797598983429</t>
  </si>
  <si>
    <t>-522.056044522071 148.849297251477 -896.591887244159</t>
  </si>
  <si>
    <t>-579.151781404218 235.268362537236 -764.408619640073</t>
  </si>
  <si>
    <t>-520.877766555914 370.242696868699 -761.05145501651</t>
  </si>
  <si>
    <t>-444.846160248134 402.670039165164 -455.512823374499</t>
  </si>
  <si>
    <t>-339.659216545912 279.55472091471 -251.992852372185</t>
  </si>
  <si>
    <t>-605.728440346014 178.492985483515 -753.748857767735</t>
  </si>
  <si>
    <t>-670.723702518351 53.6802729735631 -711.071964320407</t>
  </si>
  <si>
    <t>-678.21853986112 106.231607174637 -399.032951645816</t>
  </si>
  <si>
    <t>-422.457453003555 60.4798763548145 -387.410289403669</t>
  </si>
  <si>
    <t>-543.408744724844 369.751610972661 -236.098610807636</t>
  </si>
  <si>
    <t>-542.74829694924 341.407967353321 218.713333811098</t>
  </si>
  <si>
    <t>-614.098122318277 289.292850937522 680.192584853356</t>
  </si>
  <si>
    <t>-459.54571981088 258.669427480666 758.418266550479</t>
  </si>
  <si>
    <t>-624.547102275456 191.719331429269 -219.302411774246</t>
  </si>
  <si>
    <t>-554.189875238118 119.278906090724 225.062269943671</t>
  </si>
  <si>
    <t>-707.681856747517 31.7420352722736 660.361919353039</t>
  </si>
  <si>
    <t>-607.388334083763 -85.4966171411709 744.859306041372</t>
  </si>
  <si>
    <t>9763-20170724T164110.424834100.bin</t>
  </si>
  <si>
    <t>-584.366527136118 280.555146914134 -228.072685388905</t>
  </si>
  <si>
    <t>-616.987714489692 284.659129060362 -344.635183155901</t>
  </si>
  <si>
    <t>-625.054724297033 271.984382245499 -464.904997005598</t>
  </si>
  <si>
    <t>-622.103044680509 253.890645944804 -572.880758473456</t>
  </si>
  <si>
    <t>-609.036259290686 229.414868256871 -678.829126011723</t>
  </si>
  <si>
    <t>-580.452186277372 188.983645587046 -822.871724618139</t>
  </si>
  <si>
    <t>-522.832013325936 148.834955742977 -896.70236539155</t>
  </si>
  <si>
    <t>-579.789921263152 235.251927599433 -764.461672557271</t>
  </si>
  <si>
    <t>-521.420611474077 370.181232616978 -761.082791003079</t>
  </si>
  <si>
    <t>-445.12017169289 402.314845662114 -455.580226670928</t>
  </si>
  <si>
    <t>-340.355159270402 279.296321341915 -251.784330537516</t>
  </si>
  <si>
    <t>-606.409553927331 178.494573691385 -753.812944996047</t>
  </si>
  <si>
    <t>-671.468932667693 53.703309697199 -711.169400755126</t>
  </si>
  <si>
    <t>-678.837307224358 106.174822150887 -399.11379811797</t>
  </si>
  <si>
    <t>-423.130349159138 60.1894273211354 -387.224882714233</t>
  </si>
  <si>
    <t>-543.70088704419 369.469717913765 -236.1187251624</t>
  </si>
  <si>
    <t>-542.960991858685 341.166067432542 218.695515013566</t>
  </si>
  <si>
    <t>-614.048420299143 288.936849089549 680.210237419826</t>
  </si>
  <si>
    <t>-459.331069800562 259.083529746756 758.407630868736</t>
  </si>
  <si>
    <t>-624.927092876365 191.619852476254 -219.319999825982</t>
  </si>
  <si>
    <t>-554.437206571744 119.132214729233 225.015846416915</t>
  </si>
  <si>
    <t>-707.762531594561 31.763427483942 660.392959218703</t>
  </si>
  <si>
    <t>-607.442737958999 -85.4794976847246 744.853274982635</t>
  </si>
  <si>
    <t>9763-20170724T164110.495580700.bin</t>
  </si>
  <si>
    <t>-585.00309072255 280.393651334371 -228.167153710598</t>
  </si>
  <si>
    <t>-617.710304664872 284.499586458583 -344.705494740798</t>
  </si>
  <si>
    <t>-625.944706829688 271.872061256355 -464.969023915327</t>
  </si>
  <si>
    <t>-623.17704156082 253.835103923067 -572.959046188776</t>
  </si>
  <si>
    <t>-610.325244659713 229.427216754005 -678.949331686895</t>
  </si>
  <si>
    <t>-582.070161712822 189.098285942367 -823.085441727282</t>
  </si>
  <si>
    <t>-524.64580193206 148.979132488476 -897.084558227766</t>
  </si>
  <si>
    <t>-581.216530358595 235.301259382276 -764.626233719724</t>
  </si>
  <si>
    <t>-522.635376489664 370.116105693616 -761.03215642827</t>
  </si>
  <si>
    <t>-445.368582373195 402.159166938824 -455.762991617001</t>
  </si>
  <si>
    <t>-341.244234781048 280.055373382431 -251.090450937672</t>
  </si>
  <si>
    <t>-607.92777259439 178.584013775018 -753.993122674328</t>
  </si>
  <si>
    <t>-673.050585859199 53.7995025028772 -711.446371280328</t>
  </si>
  <si>
    <t>-680.320057477218 106.435825220659 -399.416330750624</t>
  </si>
  <si>
    <t>-424.69041906578 60.047904120115 -387.428504972915</t>
  </si>
  <si>
    <t>-544.24683203068 369.396359326156 -236.287116261724</t>
  </si>
  <si>
    <t>-543.44596280725 341.204856266932 218.534107136678</t>
  </si>
  <si>
    <t>-614.014167682244 289.52228843479 680.123173432395</t>
  </si>
  <si>
    <t>-459.525368345661 258.695830312604 758.39491253262</t>
  </si>
  <si>
    <t>-625.641149929332 191.431569463649 -219.348549640186</t>
  </si>
  <si>
    <t>-554.759070849769 118.958931630539 224.927347208963</t>
  </si>
  <si>
    <t>-707.899088382462 31.8128332490836 660.413523201336</t>
  </si>
  <si>
    <t>-607.55102299951 -85.4547381983499 744.805901842133</t>
  </si>
  <si>
    <t>9763-20170724T164110.526663500.bin</t>
  </si>
  <si>
    <t>-585.377125050155 280.114126844244 -228.284958380845</t>
  </si>
  <si>
    <t>-618.103756342392 284.169641898846 -344.819557338201</t>
  </si>
  <si>
    <t>-626.390683481191 271.60216018144 -465.085649301698</t>
  </si>
  <si>
    <t>-623.686643170448 253.658502132535 -573.092953546188</t>
  </si>
  <si>
    <t>-610.915074290085 229.37845284081 -679.12228791041</t>
  </si>
  <si>
    <t>-582.788411231125 189.258459291254 -823.341850086889</t>
  </si>
  <si>
    <t>-525.466368328282 149.253274624411 -897.482025937115</t>
  </si>
  <si>
    <t>-581.833158298772 235.356140854415 -764.801150299858</t>
  </si>
  <si>
    <t>-523.013088834869 370.056523728681 -760.872108116454</t>
  </si>
  <si>
    <t>-445.258651857565 403.307204723716 -455.855949576114</t>
  </si>
  <si>
    <t>-340.98470679392 281.704196077317 -250.961630758422</t>
  </si>
  <si>
    <t>-608.633982114393 178.664496744089 -754.257169910263</t>
  </si>
  <si>
    <t>-673.884290337348 53.8567723105334 -711.947559898974</t>
  </si>
  <si>
    <t>-681.190445992134 106.088191604041 -399.850393981484</t>
  </si>
  <si>
    <t>-425.546518792506 59.7668122255817 -387.911365122393</t>
  </si>
  <si>
    <t>-544.59425206498 369.071182941833 -236.482626926715</t>
  </si>
  <si>
    <t>-543.756243091656 341.165215775466 218.3559861991</t>
  </si>
  <si>
    <t>-613.911255271106 289.690061563464 679.991490738145</t>
  </si>
  <si>
    <t>-459.464035000868 258.842504080231 758.336853227505</t>
  </si>
  <si>
    <t>-625.981226591467 191.209517976229 -219.409686056126</t>
  </si>
  <si>
    <t>-554.924960105687 118.812379358232 224.850767009667</t>
  </si>
  <si>
    <t>-707.962266078802 31.8452629047 660.398918102726</t>
  </si>
  <si>
    <t>-607.591242947369 -85.4313840797848 744.751450126819</t>
  </si>
  <si>
    <t>9763-20170724T164110.588835900.bin</t>
  </si>
  <si>
    <t>-586.120202693589 278.595637208341 -228.911208732572</t>
  </si>
  <si>
    <t>-618.915041917995 282.603913645651 -345.428281394172</t>
  </si>
  <si>
    <t>-627.301569854372 270.411672041562 -465.72620026593</t>
  </si>
  <si>
    <t>-624.708255525326 252.959090868286 -573.816642971662</t>
  </si>
  <si>
    <t>-612.069948961422 229.30673038114 -680.003628022909</t>
  </si>
  <si>
    <t>-584.15179556458 190.185840008781 -824.537805789672</t>
  </si>
  <si>
    <t>-527.026074207217 150.704317769663 -899.108973685569</t>
  </si>
  <si>
    <t>-583.044323449564 235.849108573922 -765.660342454324</t>
  </si>
  <si>
    <t>-524.176502416003 370.54730964292 -760.945580178236</t>
  </si>
  <si>
    <t>-448.810840539944 404.487218019697 -455.406308666527</t>
  </si>
  <si>
    <t>-342.689922276006 282.57265222504 -251.648453502536</t>
  </si>
  <si>
    <t>-609.965127141632 179.142176969589 -755.511573221076</t>
  </si>
  <si>
    <t>-675.364389862462 54.1177602453815 -714.079969821405</t>
  </si>
  <si>
    <t>-683.085338839293 104.436136976679 -401.678467901683</t>
  </si>
  <si>
    <t>-427.279718922439 59.1848881813372 -389.114489505894</t>
  </si>
  <si>
    <t>-545.562767041986 367.431770271281 -237.173372625723</t>
  </si>
  <si>
    <t>-544.68178800985 340.334276077334 217.714073305591</t>
  </si>
  <si>
    <t>-613.545639160523 289.577581018123 679.615589622899</t>
  </si>
  <si>
    <t>-459.117988188329 259.221744176566 758.191269986251</t>
  </si>
  <si>
    <t>-626.529610377693 189.768818909738 -219.990817732656</t>
  </si>
  <si>
    <t>-555.543091509354 118.049049406411 224.390668775132</t>
  </si>
  <si>
    <t>-708.087825235644 31.7706484918207 660.22545955906</t>
  </si>
  <si>
    <t>-607.478899352255 -85.2857873880017 744.60047991004</t>
  </si>
  <si>
    <t>9763-20170724T164110.628612900.bin</t>
  </si>
  <si>
    <t>-586.856929466061 277.203856257261 -229.396050655232</t>
  </si>
  <si>
    <t>-619.64740022723 281.228182885061 -345.91391214464</t>
  </si>
  <si>
    <t>-628.007055318891 269.324764729344 -466.242546533295</t>
  </si>
  <si>
    <t>-625.383318950392 252.236073761628 -574.390341912834</t>
  </si>
  <si>
    <t>-612.708934459956 229.043476032869 -680.674360801434</t>
  </si>
  <si>
    <t>-584.734338713783 190.654368142097 -825.393808517707</t>
  </si>
  <si>
    <t>-527.656286809611 151.616771271683 -900.234638153198</t>
  </si>
  <si>
    <t>-583.686925554012 236.034636961741 -766.296819788658</t>
  </si>
  <si>
    <t>-525.14788861189 370.856288781342 -761.01216026139</t>
  </si>
  <si>
    <t>-452.410441201841 405.26760296756 -454.888929741015</t>
  </si>
  <si>
    <t>-344.439367674972 282.831413568887 -252.420073838727</t>
  </si>
  <si>
    <t>-610.537575833287 179.246011269833 -756.423048620757</t>
  </si>
  <si>
    <t>-675.735103648101 53.9117509418652 -715.616864450025</t>
  </si>
  <si>
    <t>-683.993917188709 102.953429519369 -403.026236850945</t>
  </si>
  <si>
    <t>-428.061980840516 58.556102729581 -389.996472306522</t>
  </si>
  <si>
    <t>-546.511676938845 366.307060064792 -237.567089344311</t>
  </si>
  <si>
    <t>-545.384199211226 339.700344852942 217.348818049325</t>
  </si>
  <si>
    <t>-613.406568037898 289.671473043127 679.470663492387</t>
  </si>
  <si>
    <t>-459.087526119047 259.057996176727 758.159677293164</t>
  </si>
  <si>
    <t>-627.112148040239 188.111953640467 -220.590403850637</t>
  </si>
  <si>
    <t>-556.358066536879 117.159772130615 223.951275338689</t>
  </si>
  <si>
    <t>-708.255058576848 31.4381367316628 660.093856873855</t>
  </si>
  <si>
    <t>-607.036398732744 -84.9493207914599 744.664835474815</t>
  </si>
  <si>
    <t>9763-20170724T164110.695793100.bin</t>
  </si>
  <si>
    <t>-590.177102220683 270.857524724534 -231.145373100296</t>
  </si>
  <si>
    <t>-623.306464011453 275.126578988696 -347.55852268112</t>
  </si>
  <si>
    <t>-631.675661075396 264.078196589806 -467.968054451217</t>
  </si>
  <si>
    <t>-628.924789332596 247.997215602462 -576.26719601962</t>
  </si>
  <si>
    <t>-615.988117661282 226.03577337804 -682.780915521031</t>
  </si>
  <si>
    <t>-587.509365236554 189.579404608818 -827.901160333951</t>
  </si>
  <si>
    <t>-530.295285852513 151.828240457973 -903.296073700097</t>
  </si>
  <si>
    <t>-586.961155925252 234.289795520303 -768.289225583766</t>
  </si>
  <si>
    <t>-529.869320018309 369.669433087442 -761.579030057263</t>
  </si>
  <si>
    <t>-463.847789248925 404.877966442892 -454.027820459566</t>
  </si>
  <si>
    <t>-350.671590385211 282.220753593103 -254.557528185614</t>
  </si>
  <si>
    <t>-613.259551631579 177.130547306611 -759.090735894094</t>
  </si>
  <si>
    <t>-677.151087749567 50.6717290111794 -719.770129088069</t>
  </si>
  <si>
    <t>-687.012886850068 96.6112842874191 -406.755013470563</t>
  </si>
  <si>
    <t>-430.788444489539 54.3174174669566 -392.530797595499</t>
  </si>
  <si>
    <t>-549.838864396314 361.729999097577 -238.750041036274</t>
  </si>
  <si>
    <t>-547.436370163945 336.735987036605 216.252387195729</t>
  </si>
  <si>
    <t>-613.171987940884 289.573723206313 679.019250648597</t>
  </si>
  <si>
    <t>-459.021376823235 258.640062512894 757.912885747899</t>
  </si>
  <si>
    <t>-630.673088630429 179.700202795168 -222.999133771753</t>
  </si>
  <si>
    <t>-561.105041698226 112.126698978318 222.255609541894</t>
  </si>
  <si>
    <t>-709.379699501284 29.1727140679845 660.39746472499</t>
  </si>
  <si>
    <t>-602.9818302185 -81.9860069068978 745.642664432943</t>
  </si>
  <si>
    <t>9763-20170724T164110.725873400.bin</t>
  </si>
  <si>
    <t>-592.311484860631 266.41664773612 -232.247726668829</t>
  </si>
  <si>
    <t>-625.904167128551 270.934899651788 -348.518570134323</t>
  </si>
  <si>
    <t>-634.389189834546 260.490599241102 -468.973867636011</t>
  </si>
  <si>
    <t>-631.596911032292 245.091452890757 -577.370885454142</t>
  </si>
  <si>
    <t>-618.473536948026 223.940670415119 -684.025891263986</t>
  </si>
  <si>
    <t>-589.586292817998 188.739746961831 -829.375184985779</t>
  </si>
  <si>
    <t>-532.162644777051 151.872012641972 -905.047381967396</t>
  </si>
  <si>
    <t>-589.472748594368 233.042216215743 -769.456964845866</t>
  </si>
  <si>
    <t>-533.618411866221 368.889225498448 -761.943852311574</t>
  </si>
  <si>
    <t>-471.079915491362 404.343504766466 -453.693765387929</t>
  </si>
  <si>
    <t>-355.197455769019 281.311618433461 -256.016127303212</t>
  </si>
  <si>
    <t>-615.263324752831 175.587886081264 -760.668304056544</t>
  </si>
  <si>
    <t>-677.933179603904 48.2368527403426 -722.234380576526</t>
  </si>
  <si>
    <t>-688.970942645754 92.4017057291966 -409.003138177092</t>
  </si>
  <si>
    <t>-432.526817560326 51.7187155296266 -394.057526304354</t>
  </si>
  <si>
    <t>-552.231705674516 358.551858626352 -239.453214420356</t>
  </si>
  <si>
    <t>-548.700123766136 334.992962781604 215.618411380002</t>
  </si>
  <si>
    <t>-613.087127046747 289.94030005806 678.689604345173</t>
  </si>
  <si>
    <t>-459.097856445803 258.506583386959 757.700597287364</t>
  </si>
  <si>
    <t>-632.471358811868 174.255852913702 -224.414775378199</t>
  </si>
  <si>
    <t>-563.908180064906 109.145498808567 221.362626646947</t>
  </si>
  <si>
    <t>-710.193882588458 27.5620732791247 660.855862032552</t>
  </si>
  <si>
    <t>-600.415734904354 -79.884260587035 746.573723199699</t>
  </si>
  <si>
    <t>9763-20170724T164110.792053300.bin</t>
  </si>
  <si>
    <t>-596.008851158164 257.567922338797 -233.755147531919</t>
  </si>
  <si>
    <t>-630.603799322703 262.67362511879 -349.707310467844</t>
  </si>
  <si>
    <t>-639.369812142787 253.824717349116 -470.270421198792</t>
  </si>
  <si>
    <t>-636.527319942412 240.254357495405 -578.910183432719</t>
  </si>
  <si>
    <t>-623.050372075141 221.298969958535 -685.933170245378</t>
  </si>
  <si>
    <t>-593.359163603219 189.513692270954 -831.906245521543</t>
  </si>
  <si>
    <t>-535.359205294529 155.06953127111 -908.277570002849</t>
  </si>
  <si>
    <t>-594.353749794604 232.705099551569 -771.190193761469</t>
  </si>
  <si>
    <t>-542.357654466116 369.913300070127 -761.775155014289</t>
  </si>
  <si>
    <t>-485.300754478028 405.284096591374 -452.453984445639</t>
  </si>
  <si>
    <t>-364.544486150515 282.350699815272 -257.653167069945</t>
  </si>
  <si>
    <t>-618.639453960793 174.450338845136 -763.445137018789</t>
  </si>
  <si>
    <t>-677.804651827342 44.7480390356212 -727.313045814988</t>
  </si>
  <si>
    <t>-691.492597155537 84.3421863867833 -413.575708826566</t>
  </si>
  <si>
    <t>-434.474215551524 48.0880238527883 -397.166504214787</t>
  </si>
  <si>
    <t>-557.660151483281 351.009692453868 -240.556397094844</t>
  </si>
  <si>
    <t>-551.94785384846 331.444399447298 214.682238599564</t>
  </si>
  <si>
    <t>-612.707590148485 289.400513411997 678.214349604694</t>
  </si>
  <si>
    <t>-458.476761229004 259.63917424302 757.401696349896</t>
  </si>
  <si>
    <t>-634.002650480991 164.785593505911 -226.100127334666</t>
  </si>
  <si>
    <t>-567.363089114449 104.081743237697 220.589809028171</t>
  </si>
  <si>
    <t>-712.310583647887 24.5361477553361 661.933935857297</t>
  </si>
  <si>
    <t>-597.591178861992 -76.9922181138462 748.391808532964</t>
  </si>
  <si>
    <t>9763-20170724T164110.823638300.bin</t>
  </si>
  <si>
    <t>-597.40529044426 254.085457386063 -233.982260973758</t>
  </si>
  <si>
    <t>-632.477701245752 259.359798116163 -349.783425753102</t>
  </si>
  <si>
    <t>-641.376902889189 251.430807994817 -470.400627559861</t>
  </si>
  <si>
    <t>-638.506920474156 238.991275007233 -579.175009594455</t>
  </si>
  <si>
    <t>-624.852183727089 221.456990538372 -686.417407725354</t>
  </si>
  <si>
    <t>-594.755654147003 191.940909332521 -832.783455545416</t>
  </si>
  <si>
    <t>-536.477619490508 159.16405814786 -909.675230332721</t>
  </si>
  <si>
    <t>-596.430430168793 234.375219310054 -771.550846592496</t>
  </si>
  <si>
    <t>-546.920763681202 372.388350026069 -760.739733696418</t>
  </si>
  <si>
    <t>-491.80148461873 407.136538984548 -450.996972453677</t>
  </si>
  <si>
    <t>-368.484050674487 283.883238866886 -258.011223107856</t>
  </si>
  <si>
    <t>-619.714398378892 175.626510631334 -764.49132305209</t>
  </si>
  <si>
    <t>-676.658739320131 44.5059852062278 -729.852624615275</t>
  </si>
  <si>
    <t>-691.782277118788 80.9864414973922 -415.803885763198</t>
  </si>
  <si>
    <t>-434.41470106867 47.6960972850734 -398.606374014968</t>
  </si>
  <si>
    <t>-560.38049263025 347.482004596991 -240.797481075401</t>
  </si>
  <si>
    <t>-554.28861229491 330.384628880844 214.535581756203</t>
  </si>
  <si>
    <t>-612.532297178219 289.320709848533 678.214609318232</t>
  </si>
  <si>
    <t>-458.348791295813 259.529433825443 757.482643322522</t>
  </si>
  <si>
    <t>-634.028936797934 161.280064933838 -226.278153348842</t>
  </si>
  <si>
    <t>-567.482606263668 101.802825419474 220.590666255771</t>
  </si>
  <si>
    <t>-713.874795627669 21.9926806609465 661.543510952729</t>
  </si>
  <si>
    <t>-597.8115723906 -77.2424331742014 748.866179809313</t>
  </si>
  <si>
    <t>9763-20170724T164110.894329200.bin</t>
  </si>
  <si>
    <t>-599.244957936047 249.265140986366 -234.647324759211</t>
  </si>
  <si>
    <t>-635.141475543081 254.899435408234 -350.178681088528</t>
  </si>
  <si>
    <t>-644.230877660013 249.08733214576 -470.902127458184</t>
  </si>
  <si>
    <t>-641.245321946478 239.303200101125 -579.944405213178</t>
  </si>
  <si>
    <t>-627.173162794674 225.171483766401 -687.634380151083</t>
  </si>
  <si>
    <t>-596.169581990898 201.165354365944 -834.816147708748</t>
  </si>
  <si>
    <t>-537.394058793707 172.624326296382 -913.007271224504</t>
  </si>
  <si>
    <t>-599.43054592576 241.692859916036 -772.367760671409</t>
  </si>
  <si>
    <t>-555.574871175225 381.277526585759 -757.926403406293</t>
  </si>
  <si>
    <t>-504.22688805436 413.580370203501 -447.272153892492</t>
  </si>
  <si>
    <t>-374.78868901513 289.219218894958 -259.06455774798</t>
  </si>
  <si>
    <t>-620.344861511799 181.881777125411 -767.01772612676</t>
  </si>
  <si>
    <t>-672.171391481373 47.8261452373123 -735.805744172816</t>
  </si>
  <si>
    <t>-689.708793411957 77.1538616725235 -421.13357836899</t>
  </si>
  <si>
    <t>-431.61701215928 51.0443580632768 -402.452405029975</t>
  </si>
  <si>
    <t>-565.293242341463 341.488935214282 -241.296599880272</t>
  </si>
  <si>
    <t>-561.018212206034 329.061547736283 214.208557556651</t>
  </si>
  <si>
    <t>-612.339239106522 289.468303492513 678.603968329419</t>
  </si>
  <si>
    <t>-458.009931398272 260.350852090199 757.838717265321</t>
  </si>
  <si>
    <t>-632.710767305107 157.698519352624 -227.243308416488</t>
  </si>
  <si>
    <t>-565.743489132408 95.524604569148 219.195362441648</t>
  </si>
  <si>
    <t>-718.087776521919 10.7593100460822 656.642223751709</t>
  </si>
  <si>
    <t>-599.712571834789 -82.1714049568175 747.717545903284</t>
  </si>
  <si>
    <t>9763-20170724T164110.926919800.bin</t>
  </si>
  <si>
    <t>-600.291232103976 246.086042226585 -235.549153959799</t>
  </si>
  <si>
    <t>-636.483327151712 251.753012408168 -350.986613677903</t>
  </si>
  <si>
    <t>-645.587079100901 246.941819327873 -471.753175496426</t>
  </si>
  <si>
    <t>-642.487422650862 238.481027984108 -580.902733133169</t>
  </si>
  <si>
    <t>-628.167865689574 226.099843363269 -688.775431850473</t>
  </si>
  <si>
    <t>-596.675892452091 204.978561549194 -836.295406282098</t>
  </si>
  <si>
    <t>-537.700769928746 178.842014776815 -915.173860722581</t>
  </si>
  <si>
    <t>-600.806615516957 244.486778340004 -773.248160641776</t>
  </si>
  <si>
    <t>-559.9487904222 384.763968267469 -756.811220484546</t>
  </si>
  <si>
    <t>-510.773429325385 415.398138100529 -445.636753796281</t>
  </si>
  <si>
    <t>-377.100997963592 290.776173806148 -260.587886741821</t>
  </si>
  <si>
    <t>-620.413504257092 184.161432217215 -768.796665677809</t>
  </si>
  <si>
    <t>-669.304834914218 48.6174128058917 -739.3541173952</t>
  </si>
  <si>
    <t>-688.082313752499 74.0950398986593 -424.418417919205</t>
  </si>
  <si>
    <t>-429.680800468839 51.8709038062346 -405.007443012634</t>
  </si>
  <si>
    <t>-567.498327716759 337.916216262276 -241.874520230821</t>
  </si>
  <si>
    <t>-564.304706768483 327.723222338383 213.695006136961</t>
  </si>
  <si>
    <t>-612.268894454719 289.691243742149 678.681861932169</t>
  </si>
  <si>
    <t>-457.822264012767 260.999504356441 757.843290432558</t>
  </si>
  <si>
    <t>-632.641043069389 154.340082026156 -228.759871459814</t>
  </si>
  <si>
    <t>-566.128556622124 89.4892401633862 217.36576204396</t>
  </si>
  <si>
    <t>-720.724422490166 -0.42740378856395 652.38194329009</t>
  </si>
  <si>
    <t>-600.742994568717 -89.687048823037 745.013840646602</t>
  </si>
  <si>
    <t>9763-20170724T164110.989587600.bin</t>
  </si>
  <si>
    <t>-603.642849423214 236.804622368786 -238.55890538859</t>
  </si>
  <si>
    <t>-640.33970666249 242.340256063676 -353.843382327936</t>
  </si>
  <si>
    <t>-649.381796829074 239.300350964405 -474.672078627932</t>
  </si>
  <si>
    <t>-645.982685962818 233.259501774225 -583.973526171793</t>
  </si>
  <si>
    <t>-631.116357268775 224.131665744786 -692.096256501865</t>
  </si>
  <si>
    <t>-598.604464359416 208.411807377202 -840.068656579477</t>
  </si>
  <si>
    <t>-539.362788203128 187.353922948906 -920.255789165182</t>
  </si>
  <si>
    <t>-604.555969111085 245.990196532072 -775.995662265139</t>
  </si>
  <si>
    <t>-570.097887060149 387.514232345771 -755.95301771422</t>
  </si>
  <si>
    <t>-526.873094052958 414.440864523113 -443.554591976657</t>
  </si>
  <si>
    <t>-383.803689929905 290.519630578632 -265.182123745426</t>
  </si>
  <si>
    <t>-621.424018406976 184.744538519662 -773.195371963564</t>
  </si>
  <si>
    <t>-664.517956980692 46.5803301125995 -747.132167394751</t>
  </si>
  <si>
    <t>-685.27405662303 64.9465297823927 -431.825922880092</t>
  </si>
  <si>
    <t>-426.394924162897 50.1504574982717 -411.707854570218</t>
  </si>
  <si>
    <t>-573.27051792252 329.350962951065 -243.670870415895</t>
  </si>
  <si>
    <t>-571.142667109562 323.239787728347 211.977919456392</t>
  </si>
  <si>
    <t>-612.149513946425 289.742703724859 678.494262121655</t>
  </si>
  <si>
    <t>-457.342884093881 262.387843170912 757.425439459993</t>
  </si>
  <si>
    <t>-633.93220759693 143.824423790814 -233.130190982645</t>
  </si>
  <si>
    <t>-569.156731296813 75.1085691147218 212.672396575036</t>
  </si>
  <si>
    <t>-719.458941966472 -27.2150814331499 645.927873775314</t>
  </si>
  <si>
    <t>-596.964074096308 -112.876374368839 738.667668794965</t>
  </si>
  <si>
    <t>9763-20170724T164111.068803400.bin</t>
  </si>
  <si>
    <t>-607.967796166499 227.362908403864 -241.101877274331</t>
  </si>
  <si>
    <t>-644.766504147058 232.80275034173 -356.358403109047</t>
  </si>
  <si>
    <t>-653.634440099088 231.014551668196 -477.224963515714</t>
  </si>
  <si>
    <t>-649.964920033485 226.687416479797 -586.59883270703</t>
  </si>
  <si>
    <t>-634.717217530847 219.865873325039 -694.838597169749</t>
  </si>
  <si>
    <t>-601.561369285588 207.977071332085 -843.025379013396</t>
  </si>
  <si>
    <t>-542.376943322411 191.462350906208 -924.311698084463</t>
  </si>
  <si>
    <t>-609.038635580182 244.194695299019 -778.331553321052</t>
  </si>
  <si>
    <t>-580.826973036952 386.762536821798 -755.768329551205</t>
  </si>
  <si>
    <t>-543.578776734273 411.666738646675 -442.433711474763</t>
  </si>
  <si>
    <t>-391.505442198501 288.588670010362 -271.06411661856</t>
  </si>
  <si>
    <t>-623.42490902129 182.280357074641 -776.583139709369</t>
  </si>
  <si>
    <t>-660.981166331174 42.1121128136337 -753.133305009936</t>
  </si>
  <si>
    <t>-681.111850044403 56.1373406236123 -437.563701618169</t>
  </si>
  <si>
    <t>-421.939993263504 46.7052165369558 -417.992204715624</t>
  </si>
  <si>
    <t>-579.984880375634 321.093460413935 -245.21101143362</t>
  </si>
  <si>
    <t>-577.244944429367 318.912266145403 210.470245263081</t>
  </si>
  <si>
    <t>-612.126497541824 290.285907029906 678.168077673587</t>
  </si>
  <si>
    <t>-457.111983372357 263.194836243986 756.781535968844</t>
  </si>
  <si>
    <t>-635.66744094723 133.514098271298 -236.528012909887</t>
  </si>
  <si>
    <t>-573.065520952886 62.3501928460158 209.200990086201</t>
  </si>
  <si>
    <t>-707.526990890483 -57.3764987184012 643.334449737082</t>
  </si>
  <si>
    <t>-581.373610232818 -141.837062875472 732.189683653195</t>
  </si>
  <si>
    <t>9763-20170724T164111.123450500.bin</t>
  </si>
  <si>
    <t>-611.386675424722 217.147377408725 -242.696114192563</t>
  </si>
  <si>
    <t>-648.517941298926 221.624236303384 -357.88745452467</t>
  </si>
  <si>
    <t>-657.523804477576 220.072052415803 -478.747015278453</t>
  </si>
  <si>
    <t>-653.905849874372 216.453283506296 -588.148471363015</t>
  </si>
  <si>
    <t>-638.641884373318 210.827873016888 -696.454536498833</t>
  </si>
  <si>
    <t>-605.39691937341 201.102985673298 -844.779119609569</t>
  </si>
  <si>
    <t>-546.391519826453 187.961647369955 -926.807666431985</t>
  </si>
  <si>
    <t>-614.041772894735 236.608444026812 -779.836507384093</t>
  </si>
  <si>
    <t>-591.229974030507 379.978686710516 -756.292293575472</t>
  </si>
  <si>
    <t>-558.661011580594 403.566460468593 -442.335133588507</t>
  </si>
  <si>
    <t>-400.420449481418 281.535517921569 -275.870743167566</t>
  </si>
  <si>
    <t>-626.171800110744 174.203524500952 -778.463708224272</t>
  </si>
  <si>
    <t>-658.735106457254 32.5420818516764 -756.363435711451</t>
  </si>
  <si>
    <t>-675.262932417422 45.17203636528 -440.525717705542</t>
  </si>
  <si>
    <t>-415.81718942575 37.9442563582091 -423.860881717561</t>
  </si>
  <si>
    <t>-586.659721017438 311.778800343081 -246.318824094714</t>
  </si>
  <si>
    <t>-582.757219700555 313.302614382155 209.356597948243</t>
  </si>
  <si>
    <t>-612.069943317621 290.272222980916 677.926884151908</t>
  </si>
  <si>
    <t>-456.548721357713 265.168603735949 756.19870904876</t>
  </si>
  <si>
    <t>-635.847742884743 122.212984992002 -238.419430424716</t>
  </si>
  <si>
    <t>-575.74693551115 49.9824993399348 207.482263083533</t>
  </si>
  <si>
    <t>-683.695152983777 -81.3952213364612 645.390285293639</t>
  </si>
  <si>
    <t>-545.079297256802 -151.641985681765 727.819309139646</t>
  </si>
  <si>
    <t>9763-20170724T164111.190703100.bin</t>
  </si>
  <si>
    <t>-614.526680976378 204.600922180425 -243.053881245469</t>
  </si>
  <si>
    <t>-651.465088819998 208.301288619733 -358.334781526719</t>
  </si>
  <si>
    <t>-660.634439800202 206.55860578777 -479.179458409157</t>
  </si>
  <si>
    <t>-657.315295819582 203.022302847306 -588.593135102076</t>
  </si>
  <si>
    <t>-642.499121830449 197.73471383288 -696.978304520636</t>
  </si>
  <si>
    <t>-610.024653921943 188.746040536524 -845.519972306441</t>
  </si>
  <si>
    <t>-551.498902571502 177.770904940158 -928.207764729538</t>
  </si>
  <si>
    <t>-619.344365374806 224.103590401379 -780.58999915756</t>
  </si>
  <si>
    <t>-601.13936828808 368.13720619232 -757.305548495442</t>
  </si>
  <si>
    <t>-570.747582957717 394.234057010708 -443.328677403811</t>
  </si>
  <si>
    <t>-409.509970091922 273.142698864568 -279.068661851108</t>
  </si>
  <si>
    <t>-629.44277312279 161.342954428119 -778.99995550231</t>
  </si>
  <si>
    <t>-657.374214371206 18.6800437386884 -756.787345502728</t>
  </si>
  <si>
    <t>-670.545303573759 30.737000995936 -440.769471782727</t>
  </si>
  <si>
    <t>-410.773238159797 27.3230446507711 -428.56868809014</t>
  </si>
  <si>
    <t>-592.544440496174 300.084255649789 -246.73979012788</t>
  </si>
  <si>
    <t>-590.214967699469 307.025232725394 208.896167598576</t>
  </si>
  <si>
    <t>-612.1439240801 291.133520457726 677.928221126723</t>
  </si>
  <si>
    <t>-456.408449988042 266.104173393729 755.796731228513</t>
  </si>
  <si>
    <t>-636.063660705348 109.110451261273 -238.950774243139</t>
  </si>
  <si>
    <t>-577.800345419399 37.5258757803487 207.298884811685</t>
  </si>
  <si>
    <t>-655.100997408356 -89.9975163688258 652.585353639292</t>
  </si>
  <si>
    <t>-502.70167477651 -134.686021360198 728.221973634962</t>
  </si>
  <si>
    <t>9763-20170724T164111.223794400.bin</t>
  </si>
  <si>
    <t>-615.546887704957 197.505854671599 -243.112969725358</t>
  </si>
  <si>
    <t>-652.090023871426 200.904190033101 -358.528965294112</t>
  </si>
  <si>
    <t>-661.163939294081 198.962720626175 -479.3778666271</t>
  </si>
  <si>
    <t>-657.884182865386 195.311119040075 -588.788696319788</t>
  </si>
  <si>
    <t>-643.23088035313 189.982374871203 -697.194171953295</t>
  </si>
  <si>
    <t>-611.10627647337 181.022943377545 -845.813765088078</t>
  </si>
  <si>
    <t>-552.821900851169 170.808573063663 -928.769008724565</t>
  </si>
  <si>
    <t>-620.763380230153 216.4395692674 -780.965202842354</t>
  </si>
  <si>
    <t>-604.637715925331 360.844558934669 -758.255924293885</t>
  </si>
  <si>
    <t>-575.668625582429 389.655189985182 -444.38197215495</t>
  </si>
  <si>
    <t>-413.841581534614 268.641539496589 -280.645148193287</t>
  </si>
  <si>
    <t>-629.877504042917 153.534810682939 -779.14310030236</t>
  </si>
  <si>
    <t>-655.394333254437 10.5032098832162 -756.407907701</t>
  </si>
  <si>
    <t>-667.403169404593 22.4072870357924 -440.337843777726</t>
  </si>
  <si>
    <t>-407.544970767142 22.2114050876792 -429.581927460182</t>
  </si>
  <si>
    <t>-594.446123235393 293.067320187987 -246.721234744497</t>
  </si>
  <si>
    <t>-593.883902894992 303.329817218998 208.857635555083</t>
  </si>
  <si>
    <t>-612.258399108097 291.462334535127 678.104701480591</t>
  </si>
  <si>
    <t>-456.133866600453 267.159626718033 755.422342762367</t>
  </si>
  <si>
    <t>-635.997459213276 101.831728194335 -239.025319360568</t>
  </si>
  <si>
    <t>-577.065816966712 32.3385703433793 207.466990683149</t>
  </si>
  <si>
    <t>-645.539961484698 -89.7524701571705 655.426806244691</t>
  </si>
  <si>
    <t>-490.47842813181 -119.052031146583 733.150478864977</t>
  </si>
  <si>
    <t>9763-20170724T164111.290004600.bin</t>
  </si>
  <si>
    <t>-617.136558020611 181.800380188587 -243.396230255728</t>
  </si>
  <si>
    <t>-653.90767810761 184.570016616731 -358.756533566226</t>
  </si>
  <si>
    <t>-663.149156002474 181.973055249765 -479.580401136211</t>
  </si>
  <si>
    <t>-659.986773672091 177.764646571359 -588.974880590274</t>
  </si>
  <si>
    <t>-645.413784614752 171.937940304601 -697.365515700429</t>
  </si>
  <si>
    <t>-613.360475933308 162.370669211714 -845.962525108899</t>
  </si>
  <si>
    <t>-555.359700668228 153.292236524514 -929.248007012846</t>
  </si>
  <si>
    <t>-623.933847953942 198.167328754573 -781.466564159237</t>
  </si>
  <si>
    <t>-612.179684884928 343.238506483764 -760.378373614706</t>
  </si>
  <si>
    <t>-587.585933377617 380.571099827447 -447.029362748576</t>
  </si>
  <si>
    <t>-425.101172425878 260.541012180848 -283.219916629814</t>
  </si>
  <si>
    <t>-631.152294676985 135.040457887818 -778.959240867776</t>
  </si>
  <si>
    <t>-663.182333885309 4.79943374674068 -438.408359485339</t>
  </si>
  <si>
    <t>-403.415264705669 12.700928459327 -428.37426758827</t>
  </si>
  <si>
    <t>-598.248902714336 277.99411817139 -246.518752481054</t>
  </si>
  <si>
    <t>-599.332444373784 294.357007475245 208.880730354037</t>
  </si>
  <si>
    <t>-612.771284073343 292.631229342402 678.668972913295</t>
  </si>
  <si>
    <t>-455.991632333224 268.423591044147 754.67976158217</t>
  </si>
  <si>
    <t>-636.414150960905 85.8903872891444 -239.456826221564</t>
  </si>
  <si>
    <t>-577.074039841513 25.8917523000237 208.356279841021</t>
  </si>
  <si>
    <t>-638.405680896411 -89.6290063063626 660.017107190746</t>
  </si>
  <si>
    <t>-482.98510934903 -93.5552587526635 742.312591430564</t>
  </si>
  <si>
    <t>9763-20170724T164111.329128900.bin</t>
  </si>
  <si>
    <t>-617.803340055717 172.775417617487 -243.66259615026</t>
  </si>
  <si>
    <t>-654.720058162459 175.618233289905 -358.974635705395</t>
  </si>
  <si>
    <t>-664.007919068065 172.876030582991 -479.791748521442</t>
  </si>
  <si>
    <t>-660.842328953198 168.449612353913 -589.17747471576</t>
  </si>
  <si>
    <t>-646.220616547202 162.317667385788 -697.544644522353</t>
  </si>
  <si>
    <t>-614.053106031829 152.236397455192 -846.083124486393</t>
  </si>
  <si>
    <t>-556.167589954571 143.587600975231 -929.494438308562</t>
  </si>
  <si>
    <t>-625.153048663998 188.302138924495 -781.825926294915</t>
  </si>
  <si>
    <t>-615.569358519073 333.615152110293 -761.722954272646</t>
  </si>
  <si>
    <t>-594.477404577061 375.285609797933 -448.665619641712</t>
  </si>
  <si>
    <t>-431.341067529636 256.82860504541 -284.359220096354</t>
  </si>
  <si>
    <t>-631.419373005212 125.091949655714 -778.892880998814</t>
  </si>
  <si>
    <t>-401.686582698992 8.88375659273424 -426.834992746104</t>
  </si>
  <si>
    <t>-600.478413912119 269.339621667636 -246.18326582286</t>
  </si>
  <si>
    <t>-600.250132747277 288.484331021018 209.109004999215</t>
  </si>
  <si>
    <t>-613.024147580117 292.275647064638 679.19703838403</t>
  </si>
  <si>
    <t>-455.831640109459 268.937617152409 754.624962471143</t>
  </si>
  <si>
    <t>-634.58012738049 76.8414620767624 -240.506912812015</t>
  </si>
  <si>
    <t>-581.368577633495 20.3624976671088 208.532398435457</t>
  </si>
  <si>
    <t>-640.510318650081 -89.737717087856 661.638466346561</t>
  </si>
  <si>
    <t>-484.505792578011 -90.5967076577261 742.911797049155</t>
  </si>
  <si>
    <t>9763-20170724T164111.390294500.bin</t>
  </si>
  <si>
    <t>-618.567963312517 153.677869613773 -244.38060250767</t>
  </si>
  <si>
    <t>-653.698303368627 157.32377260598 -360.226860141671</t>
  </si>
  <si>
    <t>-661.83698732125 154.4811881538 -481.124563095544</t>
  </si>
  <si>
    <t>-657.909934344887 149.587165113318 -590.465734837741</t>
  </si>
  <si>
    <t>-642.806511486826 142.599534943535 -698.714852616656</t>
  </si>
  <si>
    <t>-610.256244521062 130.919669607357 -847.052596198496</t>
  </si>
  <si>
    <t>-552.566466543501 122.666931886225 -930.639381091952</t>
  </si>
  <si>
    <t>-622.590703247079 167.748631537257 -783.456940057633</t>
  </si>
  <si>
    <t>-617.927504241224 313.713911752381 -765.98930791411</t>
  </si>
  <si>
    <t>-604.753446137868 362.419240226758 -453.514552475259</t>
  </si>
  <si>
    <t>-438.873820994645 249.861254576321 -287.814089646421</t>
  </si>
  <si>
    <t>-626.726776804892 104.426731793696 -779.378679561424</t>
  </si>
  <si>
    <t>-394.276920877886 3.64569499951403 -423.535918199433</t>
  </si>
  <si>
    <t>-604.836258687491 250.994145931455 -244.883406894567</t>
  </si>
  <si>
    <t>-597.181232284977 276.275325352702 210.045123842739</t>
  </si>
  <si>
    <t>-613.224005602935 291.322394886246 679.817840266372</t>
  </si>
  <si>
    <t>-455.651087328948 269.341559322003 754.85868149626</t>
  </si>
  <si>
    <t>-631.93219514168 56.3620819852683 -243.215599557864</t>
  </si>
  <si>
    <t>-587.901019084717 6.43812108008898 207.590973571231</t>
  </si>
  <si>
    <t>-640.659147726564 -90.4717111629304 664.316009077507</t>
  </si>
  <si>
    <t>-483.819979632084 -88.7641969150181 743.95309797153</t>
  </si>
  <si>
    <t>9763-20170724T164111.423385200.bin</t>
  </si>
  <si>
    <t>-619.711530555101 144.105948356516 -244.458486914078</t>
  </si>
  <si>
    <t>-653.900152924222 147.62955606214 -360.589901441326</t>
  </si>
  <si>
    <t>-661.346179298366 144.394168074557 -481.522378258069</t>
  </si>
  <si>
    <t>-656.908929844799 139.026412308662 -590.82179547329</t>
  </si>
  <si>
    <t>-641.416134702141 131.436937051295 -698.975380482705</t>
  </si>
  <si>
    <t>-608.451970453141 118.780680726858 -847.141616405521</t>
  </si>
  <si>
    <t>-551.045648087553 110.588261929933 -930.929265500639</t>
  </si>
  <si>
    <t>-621.519122149606 156.0499327424 -783.949943621482</t>
  </si>
  <si>
    <t>-619.672290200715 302.247329331262 -767.934181316868</t>
  </si>
  <si>
    <t>-611.908361953764 353.861287071169 -455.745319500659</t>
  </si>
  <si>
    <t>-443.348285284391 244.423462811629 -290.660771725558</t>
  </si>
  <si>
    <t>-624.556053611 92.7114520557569 -779.215329570622</t>
  </si>
  <si>
    <t>-392.088475467883 0.441515028880481 -421.708169383926</t>
  </si>
  <si>
    <t>-607.719787881709 241.283246953645 -244.046352555576</t>
  </si>
  <si>
    <t>-595.535112771735 271.054731414209 210.511467332331</t>
  </si>
  <si>
    <t>-613.268796237433 290.463131547048 680.032053568935</t>
  </si>
  <si>
    <t>-455.56344044024 269.343785691613 755.042177175621</t>
  </si>
  <si>
    <t>-631.36276679269 46.3722516402293 -243.929119031277</t>
  </si>
  <si>
    <t>-592.291637411156 0.0493851071150431 207.718183688467</t>
  </si>
  <si>
    <t>-641.569446397023 -90.4461196344435 666.026916087609</t>
  </si>
  <si>
    <t>-483.911318086435 -88.4965302130487 744.024640824762</t>
  </si>
  <si>
    <t>9763-20170724T164111.488560800.bin</t>
  </si>
  <si>
    <t>-621.692975084017 123.651288845077 -238.283380128232</t>
  </si>
  <si>
    <t>-653.282992922573 126.82628937443 -355.158574862501</t>
  </si>
  <si>
    <t>-659.044147994204 122.847069077215 -476.160723605435</t>
  </si>
  <si>
    <t>-653.492836478829 116.631923961005 -585.364142883175</t>
  </si>
  <si>
    <t>-637.303411108335 108.00164091348 -693.337788248367</t>
  </si>
  <si>
    <t>-603.803711422565 93.6833937857833 -841.232059412319</t>
  </si>
  <si>
    <t>-547.188743218536 85.8284027435568 -925.588718449043</t>
  </si>
  <si>
    <t>-618.257836171489 131.670473523589 -778.774300165541</t>
  </si>
  <si>
    <t>-622.115595809741 278.027803159078 -765.341264802878</t>
  </si>
  <si>
    <t>-625.113184824564 334.681718569095 -453.945153926443</t>
  </si>
  <si>
    <t>-450.084481705852 231.459122559648 -291.611732436649</t>
  </si>
  <si>
    <t>-618.994754169162 68.3670663341355 -772.812594657052</t>
  </si>
  <si>
    <t>-614.253764221186 220.846070655955 -237.506781666734</t>
  </si>
  <si>
    <t>-591.307695323185 261.073852515613 215.828451445436</t>
  </si>
  <si>
    <t>-613.421313787653 289.836244309416 683.874559080085</t>
  </si>
  <si>
    <t>-455.299418485522 270.405834480898 758.462941629801</t>
  </si>
  <si>
    <t>-629.022904311983 26.0053460812045 -238.113760029729</t>
  </si>
  <si>
    <t>-601.846925136711 -12.7246672634715 215.118147479098</t>
  </si>
  <si>
    <t>-642.518782580073 -90.9590599434036 676.994132050061</t>
  </si>
  <si>
    <t>-483.732256226575 -85.2064185649447 752.474194472852</t>
  </si>
  <si>
    <t>9763-20170724T164111.525163100.bin</t>
  </si>
  <si>
    <t>-623.328409344049 113.490259524095 -238.238182366503</t>
  </si>
  <si>
    <t>-654.04379015704 116.334514693617 -355.354691317949</t>
  </si>
  <si>
    <t>-659.16648269047 111.930340403102 -476.37097472076</t>
  </si>
  <si>
    <t>-653.147851796447 105.288681838258 -585.524596553135</t>
  </si>
  <si>
    <t>-636.605363261785 96.1822915473654 -693.405365224445</t>
  </si>
  <si>
    <t>-602.735628718614 81.145575163933 -841.14413317261</t>
  </si>
  <si>
    <t>-546.365920989767 73.4657187694422 -925.680868992417</t>
  </si>
  <si>
    <t>-617.917223351026 119.424195419503 -779.037791659263</t>
  </si>
  <si>
    <t>-624.66476371794 265.808198511189 -766.843903399175</t>
  </si>
  <si>
    <t>-632.202649254607 324.845234520527 -455.967756465701</t>
  </si>
  <si>
    <t>-453.586445202809 225.958088742568 -294.847743391002</t>
  </si>
  <si>
    <t>-617.526673981689 56.1735477044553 -772.510752081752</t>
  </si>
  <si>
    <t>-618.413669408034 210.889538882514 -236.889029328826</t>
  </si>
  <si>
    <t>-587.961873724455 256.647132745044 215.478781798765</t>
  </si>
  <si>
    <t>-613.467457278642 289.362356940612 683.37306722474</t>
  </si>
  <si>
    <t>-455.342840982205 270.081870243113 757.994623997092</t>
  </si>
  <si>
    <t>-628.723680849431 15.5472190293741 -238.816180211736</t>
  </si>
  <si>
    <t>-606.693609714218 -19.3035608530388 215.009538686362</t>
  </si>
  <si>
    <t>-642.858650523325 -91.7806296084661 677.615130118825</t>
  </si>
  <si>
    <t>-483.776023005668 -83.9738443495466 752.282892451308</t>
  </si>
  <si>
    <t>9763-20170724T164111.590400500.bin</t>
  </si>
  <si>
    <t>-628.20289502849 96.9286583768645 -233.796333583556</t>
  </si>
  <si>
    <t>-658.385338212454 98.1645148389994 -351.079320580845</t>
  </si>
  <si>
    <t>-662.695471921493 92.3540873929766 -472.067918814748</t>
  </si>
  <si>
    <t>-655.842875809002 84.54816906738 -581.095313085452</t>
  </si>
  <si>
    <t>-638.377877928331 74.3906888655649 -688.736584242087</t>
  </si>
  <si>
    <t>-603.144685503384 58.0191315933899 -836.013901857177</t>
  </si>
  <si>
    <t>-546.921617937157 50.72595389314 -920.682388335002</t>
  </si>
  <si>
    <t>-620.075516859622 96.7973245376391 -774.674436946991</t>
  </si>
  <si>
    <t>-632.154429952784 242.953123127062 -764.612694159254</t>
  </si>
  <si>
    <t>-644.914357408172 307.993577366241 -455.108037591404</t>
  </si>
  <si>
    <t>-459.584436939469 217.075045080536 -296.903414245615</t>
  </si>
  <si>
    <t>-617.393027473027 33.7287550864882 -767.021846168067</t>
  </si>
  <si>
    <t>-627.114829920116 194.224508439485 -232.612363025083</t>
  </si>
  <si>
    <t>-577.56952017231 253.205936709759 216.524709064355</t>
  </si>
  <si>
    <t>-613.638843973341 289.312105906623 683.800387281582</t>
  </si>
  <si>
    <t>-454.29033295151 273.67923438855 756.650836741426</t>
  </si>
  <si>
    <t>-614.503397996779 -30.4086196693091 220.318474046544</t>
  </si>
  <si>
    <t>-643.883677759817 -91.5349599371646 684.412839073473</t>
  </si>
  <si>
    <t>-484.258296997505 -78.3682507809069 757.144572697136</t>
  </si>
  <si>
    <t>9763-20170724T164111.621984400.bin</t>
  </si>
  <si>
    <t>-630.019407957895 91.6970430881791 -232.283572343582</t>
  </si>
  <si>
    <t>-660.243168159758 91.9420569557786 -349.562247580505</t>
  </si>
  <si>
    <t>-664.354600023351 85.2163826739269 -470.51027643626</t>
  </si>
  <si>
    <t>-657.22808649468 76.6295327672217 -579.461222522592</t>
  </si>
  <si>
    <t>-639.399721190109 65.7434637831185 -686.971679765562</t>
  </si>
  <si>
    <t>-603.574308517391 48.4200884547259 -833.997083299969</t>
  </si>
  <si>
    <t>-547.304639120758 41.1799957089268 -918.639170603949</t>
  </si>
  <si>
    <t>-621.260622711578 87.5529322866685 -773.097568378949</t>
  </si>
  <si>
    <t>-635.634303968925 233.642186634207 -764.080526497801</t>
  </si>
  <si>
    <t>-649.154624919718 302.252223203766 -455.379913628188</t>
  </si>
  <si>
    <t>-460.886202916916 214.615351309513 -298.801285227947</t>
  </si>
  <si>
    <t>-617.591277330372 24.6173329592346 -764.788106999824</t>
  </si>
  <si>
    <t>-629.749997115609 189.771345360073 -231.295630602312</t>
  </si>
  <si>
    <t>-565.648624067933 258.337611818021 214.627410121937</t>
  </si>
  <si>
    <t>-613.426125426242 289.359083213926 681.407701866919</t>
  </si>
  <si>
    <t>-452.663134939848 281.383271845292 752.366543291343</t>
  </si>
  <si>
    <t>-616.420151645121 -34.7398189476059 222.058585296272</t>
  </si>
  <si>
    <t>-644.448283558357 -91.4993022306068 686.551784786022</t>
  </si>
  <si>
    <t>-484.644343862201 -76.1858192494022 758.466325180383</t>
  </si>
  <si>
    <t>9763-20170724T164111.692182300.bin</t>
  </si>
  <si>
    <t>-632.500064555699 84.7113352375423 -230.885672214534</t>
  </si>
  <si>
    <t>-662.567047261522 84.0044620029307 -348.202791314753</t>
  </si>
  <si>
    <t>-666.397642449219 76.0415621376177 -469.084856321823</t>
  </si>
  <si>
    <t>-658.975791948526 66.2151801409814 -577.911397610236</t>
  </si>
  <si>
    <t>-640.817433196235 53.9604471591382 -685.219023238203</t>
  </si>
  <si>
    <t>-604.504328650108 34.5956867434369 -831.869525976943</t>
  </si>
  <si>
    <t>-548.306567734332 26.9238836235998 -916.521409494493</t>
  </si>
  <si>
    <t>-623.057473681135 74.5020560563565 -771.734822204277</t>
  </si>
  <si>
    <t>-640.444061025664 220.378043349761 -764.936679393055</t>
  </si>
  <si>
    <t>-654.010716814657 293.607988991605 -457.301220130612</t>
  </si>
  <si>
    <t>-460.850895289051 212.423736148707 -303.22182466946</t>
  </si>
  <si>
    <t>-618.08602334898 11.8259636360215 -762.227648022943</t>
  </si>
  <si>
    <t>-634.689020308742 182.779100760695 -231.126522016993</t>
  </si>
  <si>
    <t>-547.56987289325 264.684351618198 208.600100469431</t>
  </si>
  <si>
    <t>-611.154347646982 275.099337688735 673.726600515902</t>
  </si>
  <si>
    <t>-449.281353802555 286.199595716336 741.678228875155</t>
  </si>
  <si>
    <t>-618.521200142122 -42.063408710316 223.307845467978</t>
  </si>
  <si>
    <t>-645.16448369881 -91.0317232208878 688.970997888208</t>
  </si>
  <si>
    <t>-485.32552584679 -71.363653497205 759.73943155995</t>
  </si>
  <si>
    <t>9763-20170724T164111.723767300.bin</t>
  </si>
  <si>
    <t>-632.485638577333 81.0555596288069 -230.899440738839</t>
  </si>
  <si>
    <t>-663.710132323714 80.5799063588565 -347.914792291638</t>
  </si>
  <si>
    <t>-668.220088385051 72.3721089006208 -468.7571214005</t>
  </si>
  <si>
    <t>-661.202286122026 62.1310747105384 -577.572250688982</t>
  </si>
  <si>
    <t>-643.237389624191 49.2706485029609 -684.841591139684</t>
  </si>
  <si>
    <t>-606.979180158692 28.8694775718818 -831.365174815492</t>
  </si>
  <si>
    <t>-550.867512292948 20.6594658801714 -916.0236368655</t>
  </si>
  <si>
    <t>-625.624873555022 69.1864245802737 -771.533793953617</t>
  </si>
  <si>
    <t>-643.47206170278 215.115863287451 -765.500621632035</t>
  </si>
  <si>
    <t>-656.328197440691 289.241678059617 -458.049435827929</t>
  </si>
  <si>
    <t>-461.399327381063 209.510919778893 -305.445908332077</t>
  </si>
  <si>
    <t>-620.419747646706 6.60624338968864 -761.532396013194</t>
  </si>
  <si>
    <t>-635.915318479464 178.338961889136 -230.570675626711</t>
  </si>
  <si>
    <t>-544.404844856045 268.108868747047 206.721944704637</t>
  </si>
  <si>
    <t>-610.673282447195 274.495534683319 670.863537051232</t>
  </si>
  <si>
    <t>-449.942540442665 298.324363634942 738.252886687987</t>
  </si>
  <si>
    <t>-620.339096476699 -44.5819362919395 223.272792767523</t>
  </si>
  <si>
    <t>-645.298518166213 -90.9630193316073 689.606551303659</t>
  </si>
  <si>
    <t>-485.405462490339 -71.0167281298932 760.174762696782</t>
  </si>
  <si>
    <t>9763-20170724T164111.793593200.bin</t>
  </si>
  <si>
    <t>-631.444282343924 74.3519202450813 -231.484982561797</t>
  </si>
  <si>
    <t>-663.659548776829 74.2322936202291 -348.232486762496</t>
  </si>
  <si>
    <t>-669.311634693889 65.6475683656003 -469.000413884576</t>
  </si>
  <si>
    <t>-663.371531404138 54.7479943271899 -577.815813361706</t>
  </si>
  <si>
    <t>-646.520496622103 40.9015284314643 -685.143120666726</t>
  </si>
  <si>
    <t>-611.840725236049 18.7818855679574 -831.799420873029</t>
  </si>
  <si>
    <t>-556.426790079809 9.26503158307347 -916.779994558764</t>
  </si>
  <si>
    <t>-629.68160423208 59.8180631451846 -772.212020246784</t>
  </si>
  <si>
    <t>-646.887825082766 205.780475205815 -767.403945923926</t>
  </si>
  <si>
    <t>-656.527834470298 282.784384907588 -460.542996538148</t>
  </si>
  <si>
    <t>-460.084910722044 203.57844701837 -309.616999702903</t>
  </si>
  <si>
    <t>-635.566013939128 171.706555651828 -229.745613169286</t>
  </si>
  <si>
    <t>-540.733175086727 269.669405999051 205.073554938624</t>
  </si>
  <si>
    <t>-619.187746786862 288.1786866188 667.765974856614</t>
  </si>
  <si>
    <t>-462.035825619311 327.271555557964 736.457570656924</t>
  </si>
  <si>
    <t>-629.12849142477 -50.0689813738868 222.635618158479</t>
  </si>
  <si>
    <t>-645.078232031246 -91.8006176664651 690.316665820572</t>
  </si>
  <si>
    <t>-485.772726481385 -69.2767603492766 761.435829667401</t>
  </si>
  <si>
    <t>9763-20170724T164111.824678100.bin</t>
  </si>
  <si>
    <t>-630.557662975567 71.8070156741776 -231.529833186013</t>
  </si>
  <si>
    <t>-662.673791013772 71.9729011857625 -348.304510327813</t>
  </si>
  <si>
    <t>-668.727757874397 63.3087667734914 -469.047414775211</t>
  </si>
  <si>
    <t>-663.352282386224 52.1760485262791 -577.868549388626</t>
  </si>
  <si>
    <t>-647.260134205341 37.9284706351784 -685.259858017759</t>
  </si>
  <si>
    <t>-613.827419905956 15.0698917173563 -832.092186253621</t>
  </si>
  <si>
    <t>-559.029972788137 4.91077949739508 -917.397562152926</t>
  </si>
  <si>
    <t>-630.876653513392 56.4382309197717 -772.50268031806</t>
  </si>
  <si>
    <t>-646.770146894256 202.527383270954 -768.050855571316</t>
  </si>
  <si>
    <t>-654.715831436259 281.664995884372 -461.684480785648</t>
  </si>
  <si>
    <t>-458.218252859393 200.762039005875 -311.7330693675</t>
  </si>
  <si>
    <t>-634.09847410956 169.936071226699 -229.790081202869</t>
  </si>
  <si>
    <t>-538.638790951361 266.009497819543 205.313371010241</t>
  </si>
  <si>
    <t>-620.541192339352 292.6385654854 667.126314872178</t>
  </si>
  <si>
    <t>-462.837715489934 330.013137270675 735.509581341964</t>
  </si>
  <si>
    <t>-634.468950197016 -53.4742892963701 222.472775709415</t>
  </si>
  <si>
    <t>-645.216089845401 -92.7103155475838 690.494905103229</t>
  </si>
  <si>
    <t>-486.225232633897 -68.4067936305077 761.732206282289</t>
  </si>
  <si>
    <t>9763-20170724T164111.895419800.bin</t>
  </si>
  <si>
    <t>-628.978957972333 69.9049671529835 -230.688549528358</t>
  </si>
  <si>
    <t>-660.881234774506 71.6955227532295 -347.508283863647</t>
  </si>
  <si>
    <t>-667.813761428971 63.2129875469061 -468.216858535149</t>
  </si>
  <si>
    <t>-663.669849664851 51.6188958099235 -577.043564882878</t>
  </si>
  <si>
    <t>-649.233751848898 36.2687002335921 -684.518333133576</t>
  </si>
  <si>
    <t>-618.52767154689 11.1954130834561 -831.584480220497</t>
  </si>
  <si>
    <t>-633.408889385023 53.5592485843835 -772.113726107278</t>
  </si>
  <si>
    <t>-645.0082844206 200.140941830516 -768.390037118513</t>
  </si>
  <si>
    <t>-651.410500462297 284.183294525641 -463.296472178989</t>
  </si>
  <si>
    <t>-456.382304874233 196.910148295027 -315.008066958716</t>
  </si>
  <si>
    <t>-629.402246711977 167.554692504363 -228.477948698102</t>
  </si>
  <si>
    <t>-544.947569040896 263.157811076629 208.997868274554</t>
  </si>
  <si>
    <t>-621.037466457605 311.107711265806 670.090114451067</t>
  </si>
  <si>
    <t>-460.624693565519 332.56725629952 739.015618974686</t>
  </si>
  <si>
    <t>-641.834870351693 -56.786527915943 222.494691246742</t>
  </si>
  <si>
    <t>-645.766244448066 -93.6444829460227 690.669492876719</t>
  </si>
  <si>
    <t>-486.812614799011 -67.9055347085827 761.484514961451</t>
  </si>
  <si>
    <t>9763-20170724T164111.923498000.bin</t>
  </si>
  <si>
    <t>-628.906548228558 72.2640337167972 -230.103980838204</t>
  </si>
  <si>
    <t>-660.712994309265 75.3536096980327 -346.922671157165</t>
  </si>
  <si>
    <t>-668.030637770017 67.1753352289913 -467.629615090508</t>
  </si>
  <si>
    <t>-664.431097151169 55.4192313841428 -576.458269644698</t>
  </si>
  <si>
    <t>-650.734427848528 39.4564447703189 -683.940629470821</t>
  </si>
  <si>
    <t>-621.256490800547 13.0508674514611 -831.024928814194</t>
  </si>
  <si>
    <t>-634.921188913481 56.0001806859582 -771.682207333968</t>
  </si>
  <si>
    <t>-643.737641976239 202.770018781348 -768.481634901902</t>
  </si>
  <si>
    <t>-650.222970152162 288.10867263461 -463.749877228678</t>
  </si>
  <si>
    <t>-457.062239319617 195.711514010058 -316.122854573997</t>
  </si>
  <si>
    <t>-628.348723528093 170.199131276366 -227.238196502368</t>
  </si>
  <si>
    <t>-551.387462265423 262.807585074565 212.259581737082</t>
  </si>
  <si>
    <t>-618.612729659017 317.423882388099 674.265372649581</t>
  </si>
  <si>
    <t>-457.614109778628 326.642344639078 744.536133488029</t>
  </si>
  <si>
    <t>-643.582122969039 -56.0538333388807 222.400404088829</t>
  </si>
  <si>
    <t>-645.98147573696 -93.8191121652931 690.668004747483</t>
  </si>
  <si>
    <t>-486.956456193925 -67.930964337393 761.268114854984</t>
  </si>
  <si>
    <t>9763-20170724T164111.995261900.bin</t>
  </si>
  <si>
    <t>-631.060455916414 83.5663218012229 -229.199075534337</t>
  </si>
  <si>
    <t>-661.589046718012 88.0508326658367 -346.313036825858</t>
  </si>
  <si>
    <t>-668.538830357755 80.0373543515707 -467.052619100253</t>
  </si>
  <si>
    <t>-665.006679604109 67.8696299852733 -575.838325030808</t>
  </si>
  <si>
    <t>-651.788940885808 50.9068089463644 -683.227365433997</t>
  </si>
  <si>
    <t>-623.412013398713 22.4721886354131 -830.149984120066</t>
  </si>
  <si>
    <t>-574.662568154351 7.14830031694618 -918.306872514273</t>
  </si>
  <si>
    <t>-635.24084449508 66.2860255431573 -771.045365943352</t>
  </si>
  <si>
    <t>-638.512853486254 213.241118323236 -768.603497580238</t>
  </si>
  <si>
    <t>-646.086530303747 301.443946432001 -464.713570022811</t>
  </si>
  <si>
    <t>-459.114462560901 197.536050269674 -316.772202839839</t>
  </si>
  <si>
    <t>-636.695060113817 3.82122246878998 -759.237220702369</t>
  </si>
  <si>
    <t>-627.35614752754 181.061088114247 -226.500970219365</t>
  </si>
  <si>
    <t>-566.435293346609 263.263848711025 217.558743850965</t>
  </si>
  <si>
    <t>-612.308566608339 324.844683041692 681.066167138358</t>
  </si>
  <si>
    <t>-456.097560658864 330.945255579319 761.716141814086</t>
  </si>
  <si>
    <t>-646.528886776394 -47.9699574904657 222.82358546586</t>
  </si>
  <si>
    <t>-645.887560630041 -93.2778885120758 690.780083418352</t>
  </si>
  <si>
    <t>-486.978433467984 -66.9235368806858 761.468516513441</t>
  </si>
  <si>
    <t>9763-20170724T164112.024340100.bin</t>
  </si>
  <si>
    <t>-632.098852878133 91.4504012824708 -228.810331174954</t>
  </si>
  <si>
    <t>-661.622053940264 96.3540821101173 -346.165145993572</t>
  </si>
  <si>
    <t>-668.042749395875 88.4247645836516 -466.939565666517</t>
  </si>
  <si>
    <t>-664.235394954376 76.1928382446897 -575.708762171265</t>
  </si>
  <si>
    <t>-650.946739433583 59.0260422084748 -683.056569676246</t>
  </si>
  <si>
    <t>-622.681945011369 30.1611876960862 -829.916749993671</t>
  </si>
  <si>
    <t>-576.132895917225 14.2716064410794 -919.156246949613</t>
  </si>
  <si>
    <t>-633.882391799141 74.1502691880024 -770.820040055164</t>
  </si>
  <si>
    <t>-634.758660220949 221.109128955008 -768.483602830806</t>
  </si>
  <si>
    <t>-643.750730529832 310.963524950024 -465.116530452146</t>
  </si>
  <si>
    <t>-460.66148740115 201.086927098738 -316.632433079326</t>
  </si>
  <si>
    <t>-636.494113953423 11.7157024060044 -759.051360192624</t>
  </si>
  <si>
    <t>-626.613228677446 188.718431929932 -226.00661666187</t>
  </si>
  <si>
    <t>-572.774301325785 267.761448432633 219.539331176454</t>
  </si>
  <si>
    <t>-615.212490620173 327.900168257787 684.562494858662</t>
  </si>
  <si>
    <t>-459.359353426166 335.763774865289 765.750417964599</t>
  </si>
  <si>
    <t>-647.550377678079 -42.8881936788496 223.327250629957</t>
  </si>
  <si>
    <t>-645.589917403971 -93.0874641998356 690.868094156361</t>
  </si>
  <si>
    <t>-486.56249338622 -68.0824096626548 761.780402841393</t>
  </si>
  <si>
    <t>9763-20170724T164112.087564000.bin</t>
  </si>
  <si>
    <t>-635.021051671416 108.099272935907 -231.596829326588</t>
  </si>
  <si>
    <t>-662.497224210668 113.408553670242 -349.42997947852</t>
  </si>
  <si>
    <t>-667.876101032758 105.63755724486 -470.265560822114</t>
  </si>
  <si>
    <t>-663.530890630812 93.4802384966866 -579.023116857078</t>
  </si>
  <si>
    <t>-650.094649586715 76.3436766288228 -686.3573926445</t>
  </si>
  <si>
    <t>-622.012251190535 47.4910547609217 -833.254872529981</t>
  </si>
  <si>
    <t>-578.869541823463 31.3924764302801 -924.153475468516</t>
  </si>
  <si>
    <t>-632.0797780091 91.4515134311611 -773.933506117008</t>
  </si>
  <si>
    <t>-628.655044159632 238.416035430842 -771.400255945621</t>
  </si>
  <si>
    <t>-641.339904544618 330.768089935342 -468.916546368249</t>
  </si>
  <si>
    <t>-466.372467991954 209.556354992602 -319.463852171066</t>
  </si>
  <si>
    <t>-636.795919505915 29.0633849745916 -762.581150924711</t>
  </si>
  <si>
    <t>-625.400276383736 205.356139834474 -230.134465704694</t>
  </si>
  <si>
    <t>-587.479201011883 275.642792725888 218.50729402744</t>
  </si>
  <si>
    <t>-617.411992474894 330.358290404756 683.483629723358</t>
  </si>
  <si>
    <t>-460.182166307288 338.64809536163 761.92836353904</t>
  </si>
  <si>
    <t>-644.572930353885 10.5502342471899 -232.049527776411</t>
  </si>
  <si>
    <t>-649.838353060963 -32.5902768752114 221.567936951826</t>
  </si>
  <si>
    <t>-645.207021791783 -93.1483178291642 688.779594156074</t>
  </si>
  <si>
    <t>-485.618656243208 -73.7625231779628 760.188687092515</t>
  </si>
  <si>
    <t>9763-20170724T164112.124669200.bin</t>
  </si>
  <si>
    <t>-636.49951859565 117.181693562436 -232.418237710168</t>
  </si>
  <si>
    <t>-662.713670781408 122.673725134737 -350.53025881679</t>
  </si>
  <si>
    <t>-667.454536986176 115.038335715924 -471.40121879152</t>
  </si>
  <si>
    <t>-662.78309355717 103.001034641792 -580.158320192953</t>
  </si>
  <si>
    <t>-649.262383183018 85.9940961779206 -687.502743919612</t>
  </si>
  <si>
    <t>-621.302523049705 57.3393451344278 -834.462473963089</t>
  </si>
  <si>
    <t>-579.276963855084 41.3409478156108 -925.900326347402</t>
  </si>
  <si>
    <t>-630.752990310065 101.192166754894 -774.960030925396</t>
  </si>
  <si>
    <t>-624.864101099792 248.05463102632 -772.056367808641</t>
  </si>
  <si>
    <t>-639.735099853173 341.21800065211 -469.921227853452</t>
  </si>
  <si>
    <t>-468.390714535283 215.021382125771 -320.396795036078</t>
  </si>
  <si>
    <t>-636.594751930583 38.8442110991675 -763.914608438061</t>
  </si>
  <si>
    <t>-624.537919595832 214.578821792638 -231.617970700796</t>
  </si>
  <si>
    <t>-593.890600394095 278.282613421651 218.560032941759</t>
  </si>
  <si>
    <t>-618.061779003434 330.52918607423 683.356790264647</t>
  </si>
  <si>
    <t>-460.510149438696 339.187877334311 761.112936522445</t>
  </si>
  <si>
    <t>-648.283550712358 19.8234013501274 -232.696429729455</t>
  </si>
  <si>
    <t>-651.293046502215 -27.3937711265576 220.535475264704</t>
  </si>
  <si>
    <t>-645.096651818103 -93.2637034129256 687.146519541782</t>
  </si>
  <si>
    <t>-485.336283594689 -75.9893665085738 758.712819290266</t>
  </si>
  <si>
    <t>9763-20170724T164112.188380400.bin</t>
  </si>
  <si>
    <t>-638.869324609204 136.856216682048 -234.956404322427</t>
  </si>
  <si>
    <t>-663.854753672194 143.377401301834 -353.28218498856</t>
  </si>
  <si>
    <t>-667.832688875298 136.51233994491 -474.226955099614</t>
  </si>
  <si>
    <t>-662.630982618629 125.113404560899 -583.028798874063</t>
  </si>
  <si>
    <t>-648.717074598754 108.7250068266 -690.419045025816</t>
  </si>
  <si>
    <t>-620.332210901032 80.9399974050746 -837.464341428241</t>
  </si>
  <si>
    <t>-579.363217389212 65.3571335487369 -929.451747404199</t>
  </si>
  <si>
    <t>-628.904780633646 124.359954129859 -777.513075830939</t>
  </si>
  <si>
    <t>-618.63841526623 270.992243763325 -773.272985515536</t>
  </si>
  <si>
    <t>-637.113024142131 364.249792805203 -471.365862994115</t>
  </si>
  <si>
    <t>-472.507199895281 228.854464146387 -322.318536833666</t>
  </si>
  <si>
    <t>-636.878582544678 62.1080777992616 -767.289499619978</t>
  </si>
  <si>
    <t>-621.30753493314 234.375688350359 -234.657206896544</t>
  </si>
  <si>
    <t>-604.501521584145 285.123247689575 217.891069834895</t>
  </si>
  <si>
    <t>-618.239478054019 332.520686578217 683.349028584091</t>
  </si>
  <si>
    <t>-460.325420886898 340.684700367946 760.420441128402</t>
  </si>
  <si>
    <t>-656.274386092667 39.4342753064858 -234.567942902149</t>
  </si>
  <si>
    <t>-652.94269374708 -16.1472192629601 217.71207422275</t>
  </si>
  <si>
    <t>-644.990972460303 -93.3264410382393 683.125209183671</t>
  </si>
  <si>
    <t>-484.906922668536 -80.7867840111393 754.953801096861</t>
  </si>
  <si>
    <t>9763-20170724T164112.228989500.bin</t>
  </si>
  <si>
    <t>-640.279352760928 146.876763952819 -236.379251122265</t>
  </si>
  <si>
    <t>-664.258551789046 153.704496809016 -354.895942314771</t>
  </si>
  <si>
    <t>-667.570246841526 147.171824367355 -475.879071180668</t>
  </si>
  <si>
    <t>-661.890276245135 136.113039950011 -584.692124061021</t>
  </si>
  <si>
    <t>-647.609924764529 120.125461837902 -692.094696329357</t>
  </si>
  <si>
    <t>-618.819694748136 92.9776684731646 -839.180220664981</t>
  </si>
  <si>
    <t>-578.043528298225 77.6539386481284 -931.296849028491</t>
  </si>
  <si>
    <t>-627.109245764685 136.091859631702 -778.969179263968</t>
  </si>
  <si>
    <t>-614.845121030868 282.555342557491 -773.852024845631</t>
  </si>
  <si>
    <t>-634.498148977063 374.841140176047 -471.720922976342</t>
  </si>
  <si>
    <t>-473.120476755136 235.593032669284 -322.69314403976</t>
  </si>
  <si>
    <t>-636.007756297215 73.8876639306432 -769.229693378544</t>
  </si>
  <si>
    <t>-619.522531483054 244.374584992171 -236.389834044022</t>
  </si>
  <si>
    <t>-610.336530974588 289.72363256023 216.949673372972</t>
  </si>
  <si>
    <t>-618.185357445125 333.233821151678 682.92672137129</t>
  </si>
  <si>
    <t>-460.067906372113 341.311459891798 759.589236976862</t>
  </si>
  <si>
    <t>-660.679148702173 49.4730244116272 -235.601480870347</t>
  </si>
  <si>
    <t>-652.389568782787 -10.4637241542325 216.058258264144</t>
  </si>
  <si>
    <t>-644.934533192003 -93.4034842339975 680.798826765557</t>
  </si>
  <si>
    <t>-484.702869775747 -83.7150260700418 752.739610853049</t>
  </si>
  <si>
    <t>9763-20170724T164112.290726800.bin</t>
  </si>
  <si>
    <t>-643.840889147523 165.552456218492 -238.39730577985</t>
  </si>
  <si>
    <t>-666.042605925668 171.866001404083 -357.28818949146</t>
  </si>
  <si>
    <t>-668.069372997317 165.371373003535 -478.301628657395</t>
  </si>
  <si>
    <t>-661.43495319874 154.587105318299 -587.088267366976</t>
  </si>
  <si>
    <t>-646.403033838776 139.127031878888 -694.465589361732</t>
  </si>
  <si>
    <t>-616.771942897676 112.981492717973 -841.565620365052</t>
  </si>
  <si>
    <t>-576.165216475319 97.9342941876873 -933.802571986446</t>
  </si>
  <si>
    <t>-624.489320478198 155.568848635907 -780.905242101736</t>
  </si>
  <si>
    <t>-608.162588529091 301.593811771178 -773.864252919552</t>
  </si>
  <si>
    <t>-629.604603308291 391.606057744916 -471.16929795623</t>
  </si>
  <si>
    <t>-473.945118961557 246.370493146594 -321.774406986363</t>
  </si>
  <si>
    <t>-635.276248090813 93.5313467535167 -772.051476675803</t>
  </si>
  <si>
    <t>-619.206893166119 262.121283616264 -239.051626237002</t>
  </si>
  <si>
    <t>-617.197207731535 299.71451080378 215.085355989865</t>
  </si>
  <si>
    <t>-618.121625682914 334.206164397727 682.413063649653</t>
  </si>
  <si>
    <t>-460.007357381496 339.848828710242 759.299589406569</t>
  </si>
  <si>
    <t>-668.426996835448 68.5547835928624 -236.817220002459</t>
  </si>
  <si>
    <t>-649.897583227997 -0.188006205235681 213.281348873913</t>
  </si>
  <si>
    <t>-645.082269020301 -93.8077587604046 676.141742372673</t>
  </si>
  <si>
    <t>-484.559502597299 -90.0349403018922 747.986834928478</t>
  </si>
  <si>
    <t>9763-20170724T164112.324811800.bin</t>
  </si>
  <si>
    <t>-646.348065874186 175.252134085104 -239.237118346888</t>
  </si>
  <si>
    <t>-668.103948406434 180.477311086674 -358.262956537989</t>
  </si>
  <si>
    <t>-669.601889710174 173.556464786537 -479.260643941725</t>
  </si>
  <si>
    <t>-662.473404224176 162.653150345275 -588.00421519229</t>
  </si>
  <si>
    <t>-646.939211046195 147.337738941575 -695.330654695907</t>
  </si>
  <si>
    <t>-616.607123830908 121.662760590854 -842.370755464114</t>
  </si>
  <si>
    <t>-575.8719999237 106.819093783777 -934.584051176148</t>
  </si>
  <si>
    <t>-624.231786617267 163.999037213672 -781.523116117165</t>
  </si>
  <si>
    <t>-606.129595042649 309.684632927449 -773.578836169259</t>
  </si>
  <si>
    <t>-628.277540808521 398.755344606231 -470.656378632482</t>
  </si>
  <si>
    <t>-474.982256155275 251.457347686652 -320.836759535464</t>
  </si>
  <si>
    <t>-635.824462536356 102.047303511948 -773.096948282052</t>
  </si>
  <si>
    <t>-620.728881446775 271.448996059039 -240.496655013807</t>
  </si>
  <si>
    <t>-617.682644650644 304.863084718324 213.961182699671</t>
  </si>
  <si>
    <t>-617.700751951573 333.987406121874 681.936721261022</t>
  </si>
  <si>
    <t>-459.991595180061 339.251879852537 759.677451693382</t>
  </si>
  <si>
    <t>-672.296860225736 78.8412921986032 -236.708911325528</t>
  </si>
  <si>
    <t>-648.84264487526 4.83736092436342 212.324513262718</t>
  </si>
  <si>
    <t>-645.26168007668 -93.9660133902758 673.998500584893</t>
  </si>
  <si>
    <t>-484.645414581658 -90.4344368419076 745.646743102163</t>
  </si>
  <si>
    <t>9763-20170724T164112.394642600.bin</t>
  </si>
  <si>
    <t>-650.986865010257 196.242823682252 -237.172790003906</t>
  </si>
  <si>
    <t>-672.164789560466 197.907216926447 -356.405827050834</t>
  </si>
  <si>
    <t>-672.78077225239 189.380075801802 -477.308614813556</t>
  </si>
  <si>
    <t>-664.769592426253 177.822745929895 -585.923012046209</t>
  </si>
  <si>
    <t>-648.284033635527 162.64941837017 -693.127694239162</t>
  </si>
  <si>
    <t>-616.57059582848 137.993313044771 -840.050699694402</t>
  </si>
  <si>
    <t>-575.569435472207 123.654908107493 -932.226123711797</t>
  </si>
  <si>
    <t>-624.287872172565 179.827432404171 -778.868428246473</t>
  </si>
  <si>
    <t>-603.380573828707 325.073614582851 -769.440433285948</t>
  </si>
  <si>
    <t>-625.908705215277 412.440722942945 -466.050252270003</t>
  </si>
  <si>
    <t>-476.299894356994 260.70959125009 -316.929748082123</t>
  </si>
  <si>
    <t>-636.917698601241 117.978299676921 -771.215286710652</t>
  </si>
  <si>
    <t>-415.146520903555 0.512358245600211 -390.77285359987</t>
  </si>
  <si>
    <t>-622.247765872079 291.574393816893 -241.561553948904</t>
  </si>
  <si>
    <t>-619.376337033232 316.983882097546 213.415167502089</t>
  </si>
  <si>
    <t>-616.900275435051 334.256753797388 681.588956219394</t>
  </si>
  <si>
    <t>-460.349428547837 337.913404874665 761.726123640442</t>
  </si>
  <si>
    <t>-679.833805066913 100.568445712703 -231.633405095451</t>
  </si>
  <si>
    <t>-644.795735085489 16.0342840837602 214.778942764592</t>
  </si>
  <si>
    <t>-645.211114960375 -93.8033624845236 673.826169036768</t>
  </si>
  <si>
    <t>-484.475335180966 -93.2547944165537 745.291005151879</t>
  </si>
  <si>
    <t>9763-20170724T164112.428236100.bin</t>
  </si>
  <si>
    <t>-652.639589030309 207.035520988359 -237.213874169434</t>
  </si>
  <si>
    <t>-674.180919351964 207.574776122947 -356.392267347317</t>
  </si>
  <si>
    <t>-674.755249298205 198.460587051028 -477.252367221967</t>
  </si>
  <si>
    <t>-666.541584033106 186.616690168117 -585.820781767861</t>
  </si>
  <si>
    <t>-649.690205296336 171.417502612588 -692.964917527272</t>
  </si>
  <si>
    <t>-617.300954111212 147.010599600705 -839.782000068705</t>
  </si>
  <si>
    <t>-576.170768777267 132.848418540555 -931.927014400181</t>
  </si>
  <si>
    <t>-625.159908452692 188.716113999358 -778.530059205501</t>
  </si>
  <si>
    <t>-603.540622935845 333.795892753109 -768.684250206121</t>
  </si>
  <si>
    <t>-625.337838376227 420.638394150875 -465.089930834477</t>
  </si>
  <si>
    <t>-476.902466125225 266.649938227743 -317.115166828562</t>
  </si>
  <si>
    <t>-638.104481343188 126.90366622264 -771.109955715085</t>
  </si>
  <si>
    <t>-421.483710888722 13.2297998913 -391.025844396867</t>
  </si>
  <si>
    <t>-622.111846164252 302.217421100706 -243.179523793108</t>
  </si>
  <si>
    <t>-621.38218106614 324.969916271306 211.946246113163</t>
  </si>
  <si>
    <t>-616.171795050639 335.797516335939 679.646726399578</t>
  </si>
  <si>
    <t>-460.295225333855 338.119061711828 761.136782024005</t>
  </si>
  <si>
    <t>-683.298089204917 112.577008996632 -230.571174784929</t>
  </si>
  <si>
    <t>-641.224411472849 21.685077678702 213.980378056115</t>
  </si>
  <si>
    <t>-644.92588416826 -93.5114956379026 671.620201789989</t>
  </si>
  <si>
    <t>-484.297536160554 -95.1601954916415 743.309274185437</t>
  </si>
  <si>
    <t>9763-20170724T164112.493917400.bin</t>
  </si>
  <si>
    <t>-654.599210853956 227.479400995352 -237.798611869597</t>
  </si>
  <si>
    <t>-677.904161218182 226.652611318196 -356.643106368449</t>
  </si>
  <si>
    <t>-679.44359674416 216.640636134184 -477.423740796636</t>
  </si>
  <si>
    <t>-671.755896445931 204.237387535725 -585.96818577017</t>
  </si>
  <si>
    <t>-655.077615534674 188.77292742469 -693.101507710484</t>
  </si>
  <si>
    <t>-622.561171772676 164.339919188727 -839.885987404317</t>
  </si>
  <si>
    <t>-581.596760458577 150.14745216201 -932.100344333125</t>
  </si>
  <si>
    <t>-630.254493445525 206.01626915941 -778.593182073278</t>
  </si>
  <si>
    <t>-607.607963365938 351.037106016119 -768.528424919498</t>
  </si>
  <si>
    <t>-627.114426896929 435.336444009885 -464.062831393209</t>
  </si>
  <si>
    <t>-479.435087591158 277.691641287649 -319.214711645656</t>
  </si>
  <si>
    <t>-643.642949807552 144.285209075977 -771.283691104854</t>
  </si>
  <si>
    <t>-675.513367948885 5.374311740434 -735.307637518174</t>
  </si>
  <si>
    <t>-688.286066728231 15.8317408998178 -419.216374979633</t>
  </si>
  <si>
    <t>-430.507473352028 39.2308544102113 -393.825185855398</t>
  </si>
  <si>
    <t>-621.60211552781 321.249983583677 -245.95291970279</t>
  </si>
  <si>
    <t>-628.204115448684 339.917108329951 209.311470463719</t>
  </si>
  <si>
    <t>-615.273039867916 339.038374998453 676.817239099752</t>
  </si>
  <si>
    <t>-460.215640746506 338.430220805354 759.885549438379</t>
  </si>
  <si>
    <t>-688.025806793906 133.825637562881 -229.311727944462</t>
  </si>
  <si>
    <t>-634.304863085621 33.9629267046871 212.04880746019</t>
  </si>
  <si>
    <t>-643.9215971712 -92.539591369342 666.924470750477</t>
  </si>
  <si>
    <t>-483.668828405393 -96.36239176603 739.367235696478</t>
  </si>
  <si>
    <t>9763-20170724T164112.527002700.bin</t>
  </si>
  <si>
    <t>-655.335481123228 236.445780710158 -238.31683684419</t>
  </si>
  <si>
    <t>-679.634416707716 234.965330813277 -356.955654947832</t>
  </si>
  <si>
    <t>-681.944035410608 224.366835465526 -477.673921675382</t>
  </si>
  <si>
    <t>-674.85105201965 211.477020290752 -586.202324240303</t>
  </si>
  <si>
    <t>-658.662140809778 195.580554623812 -693.347342514911</t>
  </si>
  <si>
    <t>-626.714509271216 170.613519365792 -840.166964627719</t>
  </si>
  <si>
    <t>-586.014710233831 156.141540640349 -932.454932821231</t>
  </si>
  <si>
    <t>-634.057764892869 212.491445513151 -778.968653064892</t>
  </si>
  <si>
    <t>-611.158509420276 357.511742109188 -769.301494021492</t>
  </si>
  <si>
    <t>-628.137873717375 440.243299275282 -464.254987112285</t>
  </si>
  <si>
    <t>-480.872867483751 280.811507723409 -320.949216201684</t>
  </si>
  <si>
    <t>-647.642925010386 150.829932204228 -771.439069911355</t>
  </si>
  <si>
    <t>-679.866535508497 12.1816485766844 -734.765296166414</t>
  </si>
  <si>
    <t>-690.887296002971 27.0003249922235 -418.782460498223</t>
  </si>
  <si>
    <t>-432.644040180789 47.8218381253475 -396.002511851464</t>
  </si>
  <si>
    <t>-621.976405239083 329.848072950098 -247.041050976444</t>
  </si>
  <si>
    <t>-632.092283951578 346.633048136019 208.231951838059</t>
  </si>
  <si>
    <t>-615.17911581415 340.526129702528 675.953785504048</t>
  </si>
  <si>
    <t>-460.190507902572 338.228595028254 759.120968875386</t>
  </si>
  <si>
    <t>-689.226690833061 143.112875201167 -228.966832714817</t>
  </si>
  <si>
    <t>-631.94618248071 39.4046138955274 211.057206641108</t>
  </si>
  <si>
    <t>-643.311286338395 -91.8284548349917 664.717420265433</t>
  </si>
  <si>
    <t>-483.320447746757 -96.8899114139251 737.661359721064</t>
  </si>
  <si>
    <t>9763-20170724T164112.592021100.bin</t>
  </si>
  <si>
    <t>-656.269207681175 253.243027513511 -239.14059574794</t>
  </si>
  <si>
    <t>-681.176683517019 250.168703220275 -357.622716841213</t>
  </si>
  <si>
    <t>-684.50026409259 238.355145173391 -478.204292707771</t>
  </si>
  <si>
    <t>-678.497260620517 224.488366249098 -586.678089702057</t>
  </si>
  <si>
    <t>-663.5717671817 207.712732474233 -693.872471066</t>
  </si>
  <si>
    <t>-633.557238993216 181.602318785773 -840.900986633763</t>
  </si>
  <si>
    <t>-593.586784240199 166.419432571173 -933.393287394765</t>
  </si>
  <si>
    <t>-639.909146135086 223.919791297334 -779.89441856863</t>
  </si>
  <si>
    <t>-616.105135099367 368.787662330917 -771.606354319433</t>
  </si>
  <si>
    <t>-626.491975351656 448.848471643569 -465.553168197131</t>
  </si>
  <si>
    <t>-480.101368540707 286.908862245029 -324.176376425201</t>
  </si>
  <si>
    <t>-653.766349921152 162.390912429223 -771.796534103258</t>
  </si>
  <si>
    <t>-686.726617841508 24.1190003214266 -734.088072183897</t>
  </si>
  <si>
    <t>-693.22108846811 46.0127168647952 -418.390906610471</t>
  </si>
  <si>
    <t>-434.09602518812 60.7041095633684 -401.645408264983</t>
  </si>
  <si>
    <t>-623.036677113559 347.990268612417 -248.985642983956</t>
  </si>
  <si>
    <t>-636.07862648176 357.654295454864 206.419879187886</t>
  </si>
  <si>
    <t>-614.747674706641 342.817712837206 674.194979662157</t>
  </si>
  <si>
    <t>-460.361307050082 338.030239050958 758.37005425607</t>
  </si>
  <si>
    <t>-688.708482259429 159.177813897365 -228.579033470383</t>
  </si>
  <si>
    <t>-629.813198954277 50.3612095394398 209.99591975697</t>
  </si>
  <si>
    <t>-642.142572139935 -90.8997435657411 660.702617741764</t>
  </si>
  <si>
    <t>-482.706290907344 -97.8320303820253 734.699440569228</t>
  </si>
  <si>
    <t>9763-20170724T164112.623104300.bin</t>
  </si>
  <si>
    <t>-655.111205962054 260.369090217985 -239.75895302064</t>
  </si>
  <si>
    <t>-680.462730400395 256.992467485765 -358.138393886628</t>
  </si>
  <si>
    <t>-684.341464197944 244.949368815043 -478.680794716257</t>
  </si>
  <si>
    <t>-678.887080225624 230.887207374255 -587.158264809174</t>
  </si>
  <si>
    <t>-664.556708475189 213.916253394002 -694.403201811275</t>
  </si>
  <si>
    <t>-635.416784627368 187.523261807488 -841.557125670719</t>
  </si>
  <si>
    <t>-595.824840380256 172.026387581698 -934.16024648584</t>
  </si>
  <si>
    <t>-641.395453781834 229.955820631345 -780.592800107011</t>
  </si>
  <si>
    <t>-617.352885490889 374.813222651179 -772.977115028984</t>
  </si>
  <si>
    <t>-624.043706809261 454.291848283415 -466.669266574788</t>
  </si>
  <si>
    <t>-478.25416971037 290.581414113456 -326.71811925028</t>
  </si>
  <si>
    <t>-655.225106039045 168.446841141005 -772.299408119844</t>
  </si>
  <si>
    <t>-688.368277388109 30.1570749328859 -734.770689873094</t>
  </si>
  <si>
    <t>-693.900624043281 54.2414670833829 -419.214870954692</t>
  </si>
  <si>
    <t>-434.497824200462 66.8912975547637 -405.351078610123</t>
  </si>
  <si>
    <t>-622.067801797264 355.18268202415 -249.737687093938</t>
  </si>
  <si>
    <t>-636.28097643618 362.60757007876 205.674841568923</t>
  </si>
  <si>
    <t>-614.217343087328 342.867502075344 673.403017626071</t>
  </si>
  <si>
    <t>-460.321908756737 338.284792974408 758.483607887389</t>
  </si>
  <si>
    <t>-687.337431749711 166.17420220672 -228.88045529095</t>
  </si>
  <si>
    <t>-627.796036173329 56.1695045573414 209.310739619489</t>
  </si>
  <si>
    <t>-640.750597489709 -90.0990862619098 657.958298962269</t>
  </si>
  <si>
    <t>-481.709229719089 -98.2817452551433 732.673629568635</t>
  </si>
  <si>
    <t>9763-20170724T164112.691823700.bin</t>
  </si>
  <si>
    <t>-649.538604013011 272.938807748499 -242.893959687715</t>
  </si>
  <si>
    <t>-676.38281840663 269.876218982849 -360.952473656946</t>
  </si>
  <si>
    <t>-681.868333716163 258.178136692636 -481.466456792343</t>
  </si>
  <si>
    <t>-677.902065113673 244.416666998596 -590.04698601609</t>
  </si>
  <si>
    <t>-665.089210616327 227.719034807468 -697.526708438866</t>
  </si>
  <si>
    <t>-638.083123297406 201.663149466615 -845.147010121535</t>
  </si>
  <si>
    <t>-599.397781634308 185.846820026925 -938.078540858473</t>
  </si>
  <si>
    <t>-643.309758509727 243.981267057786 -784.034137652888</t>
  </si>
  <si>
    <t>-619.24472514209 388.883136727955 -777.387509167915</t>
  </si>
  <si>
    <t>-617.782854694191 468.154518818836 -470.956278873358</t>
  </si>
  <si>
    <t>-472.548117280507 301.140171957597 -334.372590966047</t>
  </si>
  <si>
    <t>-656.755206106575 182.402857924508 -775.624918668096</t>
  </si>
  <si>
    <t>-689.287163650218 43.9156528911865 -738.351479813835</t>
  </si>
  <si>
    <t>-694.636015828469 70.9097037865396 -423.028029545622</t>
  </si>
  <si>
    <t>-434.84572708973 80.3569479258688 -415.166622454195</t>
  </si>
  <si>
    <t>-618.511950908909 367.920532105593 -252.178500081856</t>
  </si>
  <si>
    <t>-634.13560781478 370.392194182764 203.241610377883</t>
  </si>
  <si>
    <t>-613.098196940612 344.156099658361 671.058754644284</t>
  </si>
  <si>
    <t>-460.218500703272 339.221643618681 757.931971205351</t>
  </si>
  <si>
    <t>-680.379946490334 178.455463966339 -233.312528232487</t>
  </si>
  <si>
    <t>-620.596992747935 68.6276082625519 204.89003971382</t>
  </si>
  <si>
    <t>-634.496546173189 -82.1613209797772 650.56335058664</t>
  </si>
  <si>
    <t>-476.765713339922 -95.0113737009473 727.370836937173</t>
  </si>
  <si>
    <t>9763-20170724T164112.725415400.bin</t>
  </si>
  <si>
    <t>-645.351118174995 278.272113676459 -245.169117982496</t>
  </si>
  <si>
    <t>-672.808162523028 275.666297138378 -363.09763143625</t>
  </si>
  <si>
    <t>-679.142536675966 264.409336071013 -483.612026705126</t>
  </si>
  <si>
    <t>-676.03091907463 251.031812266049 -592.268466205266</t>
  </si>
  <si>
    <t>-664.153628195733 234.697183588999 -699.91117442509</t>
  </si>
  <si>
    <t>-638.525563898254 209.118919535089 -847.860306022561</t>
  </si>
  <si>
    <t>-600.174086051786 193.232882000459 -940.918244247736</t>
  </si>
  <si>
    <t>-643.266478271916 251.255165587827 -786.58255891559</t>
  </si>
  <si>
    <t>-619.341159802142 396.22097136774 -780.114537012957</t>
  </si>
  <si>
    <t>-613.687965034338 475.132154398002 -473.638918797523</t>
  </si>
  <si>
    <t>-468.611326038089 306.518731804474 -338.863913392156</t>
  </si>
  <si>
    <t>-656.463982683902 189.617809559108 -778.212331757751</t>
  </si>
  <si>
    <t>-688.577916845249 51.0230835373076 -741.044465619729</t>
  </si>
  <si>
    <t>-693.37193254092 78.9623632416049 -425.794389667011</t>
  </si>
  <si>
    <t>-433.447976564622 86.3252847906248 -420.559483179343</t>
  </si>
  <si>
    <t>-615.703763457539 372.975847650355 -253.519826837757</t>
  </si>
  <si>
    <t>-631.852678173357 373.037190314534 201.888714033895</t>
  </si>
  <si>
    <t>-612.673143986409 343.763330912419 670.196198854151</t>
  </si>
  <si>
    <t>-460.12872456669 339.83854493009 757.708067028984</t>
  </si>
  <si>
    <t>-674.55073981113 183.963389509055 -236.465607495231</t>
  </si>
  <si>
    <t>-616.212409537293 74.5132709291798 202.026184441022</t>
  </si>
  <si>
    <t>-629.61329333318 -75.3499945236504 647.304826979437</t>
  </si>
  <si>
    <t>-472.976515293307 -93.9513974126184 725.166396374185</t>
  </si>
  <si>
    <t>9763-20170724T164112.791124200.bin</t>
  </si>
  <si>
    <t>-638.91229493882 285.727520470061 -247.765229176151</t>
  </si>
  <si>
    <t>-666.414129221111 284.00158506581 -365.699606564865</t>
  </si>
  <si>
    <t>-674.151665263945 273.835543959402 -486.228991077194</t>
  </si>
  <si>
    <t>-672.860726296726 261.483455654472 -595.043556362058</t>
  </si>
  <si>
    <t>-663.346253675651 246.180908927922 -703.072048316597</t>
  </si>
  <si>
    <t>-641.550708745595 222.012924557934 -851.870182563835</t>
  </si>
  <si>
    <t>-603.254999873455 205.838477409183 -944.901415099852</t>
  </si>
  <si>
    <t>-644.775223843724 263.577929482786 -790.105487060483</t>
  </si>
  <si>
    <t>-620.717836272649 408.549126974864 -783.578188675878</t>
  </si>
  <si>
    <t>-607.041411929976 485.517445866327 -476.861551671555</t>
  </si>
  <si>
    <t>-462.169483901278 313.628070421513 -346.063287449001</t>
  </si>
  <si>
    <t>-657.613930602581 201.835048166703 -781.957816293391</t>
  </si>
  <si>
    <t>-689.156548238672 63.0339976383227 -745.200254764681</t>
  </si>
  <si>
    <t>-691.272729723914 93.2781897344112 -430.133616791068</t>
  </si>
  <si>
    <t>-431.223635261578 92.2134224543446 -426.210802491683</t>
  </si>
  <si>
    <t>-610.997896187196 380.729073675422 -254.357983149904</t>
  </si>
  <si>
    <t>-629.059320597944 375.952360579588 200.953621230995</t>
  </si>
  <si>
    <t>-613.683612269649 342.34611126412 670.66802713708</t>
  </si>
  <si>
    <t>-460.526397982629 341.230857430758 757.184722473969</t>
  </si>
  <si>
    <t>-666.424427081549 191.020997713846 -240.472987082246</t>
  </si>
  <si>
    <t>-611.538321268924 82.2773867638525 198.639746112186</t>
  </si>
  <si>
    <t>-627.634163894087 -68.2607782568892 643.602987277464</t>
  </si>
  <si>
    <t>-472.96774785308 -94.6729294558229 723.127861117754</t>
  </si>
  <si>
    <t>9763-20170724T164112.823221100.bin</t>
  </si>
  <si>
    <t>-635.992302041422 287.330288830338 -247.895758315633</t>
  </si>
  <si>
    <t>-664.04290905004 286.285821515891 -365.708714096983</t>
  </si>
  <si>
    <t>-672.744601482056 276.788068485185 -486.2269542208</t>
  </si>
  <si>
    <t>-672.492678869063 265.007721413391 -595.112273207031</t>
  </si>
  <si>
    <t>-664.181568179871 250.226514337593 -703.312553951819</t>
  </si>
  <si>
    <t>-644.225201155177 226.714705497302 -852.473214513368</t>
  </si>
  <si>
    <t>-605.378865956377 210.220743307834 -945.219720101646</t>
  </si>
  <si>
    <t>-646.679492740352 268.006058068184 -790.490010086282</t>
  </si>
  <si>
    <t>-622.58712346426 412.968203063422 -783.743786971644</t>
  </si>
  <si>
    <t>-605.732208529661 488.542057112733 -476.838672684815</t>
  </si>
  <si>
    <t>-460.430492378402 315.621259597421 -347.889599913059</t>
  </si>
  <si>
    <t>-659.431040476618 206.229924013044 -782.458568120028</t>
  </si>
  <si>
    <t>-690.860325067702 67.3780312858376 -745.854008384058</t>
  </si>
  <si>
    <t>-692.19478333833 97.4790065658614 -430.769403562226</t>
  </si>
  <si>
    <t>-432.184357928331 92.6101974266172 -427.16937731203</t>
  </si>
  <si>
    <t>-609.333136824322 382.489758093884 -253.538989850901</t>
  </si>
  <si>
    <t>-628.472335782388 376.602851106807 201.715562310449</t>
  </si>
  <si>
    <t>-615.052357627512 341.881622654527 671.721030503319</t>
  </si>
  <si>
    <t>-460.9450261676 342.356097586396 756.539860559522</t>
  </si>
  <si>
    <t>-662.596082730828 192.171198765872 -241.279832205266</t>
  </si>
  <si>
    <t>-610.357509381808 83.6225865762974 198.203929002239</t>
  </si>
  <si>
    <t>-626.705043782995 -66.2282487941046 643.234281263727</t>
  </si>
  <si>
    <t>-472.678827896505 -94.1073007095617 723.497525714802</t>
  </si>
  <si>
    <t>9763-20170724T164112.892428600.bin</t>
  </si>
  <si>
    <t>-631.404890726167 290.464983710029 -247.081331962401</t>
  </si>
  <si>
    <t>-660.301887032256 290.606073818941 -364.694010862396</t>
  </si>
  <si>
    <t>-670.393085651769 282.377190574815 -485.197239911267</t>
  </si>
  <si>
    <t>-671.619885313666 271.73248506954 -594.192767104756</t>
  </si>
  <si>
    <t>-665.008231711971 258.046322543418 -702.653998385049</t>
  </si>
  <si>
    <t>-647.640167199877 235.987552880143 -852.35959862408</t>
  </si>
  <si>
    <t>-606.454452353979 218.780033721921 -943.959857512693</t>
  </si>
  <si>
    <t>-649.009001182568 276.672511125362 -789.943417086304</t>
  </si>
  <si>
    <t>-624.783074779433 421.519372534695 -782.345855429176</t>
  </si>
  <si>
    <t>-603.119282941861 495.294533539869 -475.304985829493</t>
  </si>
  <si>
    <t>-457.181297123598 320.443195624398 -349.721788669637</t>
  </si>
  <si>
    <t>-661.641033814467 214.823254156583 -782.295571398257</t>
  </si>
  <si>
    <t>-693.063917047954 75.7550214988391 -746.229537982738</t>
  </si>
  <si>
    <t>-693.65463447993 106.028244226682 -431.159120517486</t>
  </si>
  <si>
    <t>-433.917883161175 92.9047438532801 -428.581312811184</t>
  </si>
  <si>
    <t>-606.760922740469 385.905888926738 -251.631275176835</t>
  </si>
  <si>
    <t>-626.807243915746 377.936986095011 203.552462840136</t>
  </si>
  <si>
    <t>-616.982262457044 342.192912752043 672.926628337451</t>
  </si>
  <si>
    <t>-461.545652275721 342.986267592753 755.281687084984</t>
  </si>
  <si>
    <t>-655.997485665955 195.35751176138 -241.369850739265</t>
  </si>
  <si>
    <t>-608.556575810532 87.3457329728905 198.789794438949</t>
  </si>
  <si>
    <t>-625.142813282059 -60.4469541064252 644.559363058868</t>
  </si>
  <si>
    <t>-471.598539902768 -89.5036544511307 725.326826660771</t>
  </si>
  <si>
    <t>9763-20170724T164112.923010700.bin</t>
  </si>
  <si>
    <t>-629.858556836018 292.400031701709 -246.573530414008</t>
  </si>
  <si>
    <t>-659.078718553232 293.09868522578 -364.104345648073</t>
  </si>
  <si>
    <t>-669.653692688386 285.508748489146 -484.607856830295</t>
  </si>
  <si>
    <t>-671.384328744231 275.457787103698 -593.65305559592</t>
  </si>
  <si>
    <t>-665.342879565864 262.370626707064 -702.221269968933</t>
  </si>
  <si>
    <t>-648.835636882184 241.140322762439 -852.144028228941</t>
  </si>
  <si>
    <t>-606.419499992133 223.687025229543 -943.134209703225</t>
  </si>
  <si>
    <t>-649.836877635856 281.478017930793 -789.495793309305</t>
  </si>
  <si>
    <t>-625.506753927055 426.247396921991 -781.257796876146</t>
  </si>
  <si>
    <t>-602.671123994029 499.079246996741 -474.076621302194</t>
  </si>
  <si>
    <t>-456.824954033509 322.924560893395 -350.220006213745</t>
  </si>
  <si>
    <t>-662.442272595226 219.590181587249 -782.119911859705</t>
  </si>
  <si>
    <t>-694.061635595679 80.4255453511931 -746.600461622158</t>
  </si>
  <si>
    <t>-695.114901043414 110.306620883107 -431.493923006179</t>
  </si>
  <si>
    <t>-435.532332228446 94.2909784614518 -429.929002701875</t>
  </si>
  <si>
    <t>-605.462846179248 387.31666543649 -250.870100438968</t>
  </si>
  <si>
    <t>-625.85409577341 378.866512193252 204.289726873488</t>
  </si>
  <si>
    <t>-617.329515650388 342.453124096623 673.177856567366</t>
  </si>
  <si>
    <t>-461.663797170707 343.441160999255 755.096814641438</t>
  </si>
  <si>
    <t>-654.189896924211 197.710270746581 -240.90972135861</t>
  </si>
  <si>
    <t>-608.563197725504 90.0132272663341 199.518717394327</t>
  </si>
  <si>
    <t>-625.24878881629 -55.786318822758 645.917601795294</t>
  </si>
  <si>
    <t>-471.572330476921 -83.9300335232421 726.756842728212</t>
  </si>
  <si>
    <t>9763-20170724T164112.991853200.bin</t>
  </si>
  <si>
    <t>-627.174867273278 292.590279798333 -245.94814836885</t>
  </si>
  <si>
    <t>-655.894368741744 294.6321537898 -363.586796213554</t>
  </si>
  <si>
    <t>-666.272026501733 288.480093839045 -484.189484645732</t>
  </si>
  <si>
    <t>-667.955415090764 279.743319718871 -593.348445224378</t>
  </si>
  <si>
    <t>-662.000496643745 267.969943064251 -702.071921495792</t>
  </si>
  <si>
    <t>-645.753493394381 248.55225167533 -852.268333838451</t>
  </si>
  <si>
    <t>-601.499891944497 231.051141598198 -942.370006802987</t>
  </si>
  <si>
    <t>-646.567894454999 288.115437687641 -789.125593230473</t>
  </si>
  <si>
    <t>-621.920645063618 432.724547229867 -779.055816800647</t>
  </si>
  <si>
    <t>-599.136798593296 503.890829087406 -471.48065639537</t>
  </si>
  <si>
    <t>-454.307277980359 325.24358181758 -350.024317943944</t>
  </si>
  <si>
    <t>-659.316689558949 226.172512382345 -782.496603026183</t>
  </si>
  <si>
    <t>-692.051569888162 86.955915423951 -748.231536932686</t>
  </si>
  <si>
    <t>-695.50517186284 114.866842308263 -432.96138401447</t>
  </si>
  <si>
    <t>-436.247237852088 94.199591702033 -432.462463904165</t>
  </si>
  <si>
    <t>-602.471377113443 387.10633727355 -249.823069393497</t>
  </si>
  <si>
    <t>-624.084098780046 378.256332053558 205.272700714305</t>
  </si>
  <si>
    <t>-617.249834664532 341.94995413615 673.566331214733</t>
  </si>
  <si>
    <t>-461.514779000047 344.342692725729 755.324490096377</t>
  </si>
  <si>
    <t>-651.387721182996 197.91125377393 -241.251040385325</t>
  </si>
  <si>
    <t>-609.248711792067 92.9410376338549 200.182046627505</t>
  </si>
  <si>
    <t>-625.363388850843 -49.2444509550294 647.773037199515</t>
  </si>
  <si>
    <t>-471.179147594559 -75.1676061021812 728.387626459876</t>
  </si>
  <si>
    <t>9763-20170724T164113.024445900.bin</t>
  </si>
  <si>
    <t>-625.887293886429 291.660507889728 -246.146138097272</t>
  </si>
  <si>
    <t>-654.246481566184 294.368537013833 -363.858601181623</t>
  </si>
  <si>
    <t>-664.280119463235 288.910039107462 -484.523841718694</t>
  </si>
  <si>
    <t>-665.665421392335 280.797723945165 -593.735220278589</t>
  </si>
  <si>
    <t>-659.428377771568 269.638934156481 -702.507749993486</t>
  </si>
  <si>
    <t>-642.808596394304 251.058401671437 -852.769269943671</t>
  </si>
  <si>
    <t>-597.808782380669 233.588804405587 -942.506807013258</t>
  </si>
  <si>
    <t>-643.657503736703 290.245291851916 -789.39279023076</t>
  </si>
  <si>
    <t>-618.485915465982 434.711511316324 -778.434317568543</t>
  </si>
  <si>
    <t>-597.587983352186 504.298731724194 -470.364341465244</t>
  </si>
  <si>
    <t>-453.675786031158 324.608358230875 -349.357414080594</t>
  </si>
  <si>
    <t>-656.667202546381 228.31411275518 -783.173562805746</t>
  </si>
  <si>
    <t>-690.256615082229 89.096528534696 -749.772979221235</t>
  </si>
  <si>
    <t>-695.329600912322 115.568581081771 -434.400607341096</t>
  </si>
  <si>
    <t>-436.199594104434 93.370295299176 -433.427442069567</t>
  </si>
  <si>
    <t>-600.973249485919 386.122070757287 -249.703061641837</t>
  </si>
  <si>
    <t>-623.01985883274 377.461526308083 205.375753660733</t>
  </si>
  <si>
    <t>-617.090290821361 342.000452290915 673.613176387493</t>
  </si>
  <si>
    <t>-461.411186047031 344.74919952764 755.466425916946</t>
  </si>
  <si>
    <t>-650.257331973985 196.947694185775 -242.032603512561</t>
  </si>
  <si>
    <t>-609.431511412666 93.0497797536472 199.777511121677</t>
  </si>
  <si>
    <t>-625.750754193372 -46.8689546956455 648.094834897015</t>
  </si>
  <si>
    <t>-471.096352432013 -71.8953621920579 728.089945494983</t>
  </si>
  <si>
    <t>9763-20170724T164113.088705400.bin</t>
  </si>
  <si>
    <t>-624.245559221766 289.184541028761 -247.192230173962</t>
  </si>
  <si>
    <t>-652.15340390071 293.326251650469 -364.970858455557</t>
  </si>
  <si>
    <t>-661.505205729735 289.21869194495 -485.744463865536</t>
  </si>
  <si>
    <t>-662.181669899139 282.288891435784 -595.043811670604</t>
  </si>
  <si>
    <t>-655.14499008335 272.274101019637 -703.878685805838</t>
  </si>
  <si>
    <t>-637.321462151838 255.243964999095 -854.186149879814</t>
  </si>
  <si>
    <t>-591.027201248998 238.062060170043 -943.318606703867</t>
  </si>
  <si>
    <t>-638.444131396883 293.727392613016 -790.384254052778</t>
  </si>
  <si>
    <t>-611.71336061684 437.717431124321 -777.630300746825</t>
  </si>
  <si>
    <t>-595.877400038991 503.603964363 -468.446878167774</t>
  </si>
  <si>
    <t>-455.075289686832 321.545897499582 -347.320149220576</t>
  </si>
  <si>
    <t>-651.971514955149 231.831091276676 -784.975321872166</t>
  </si>
  <si>
    <t>-687.073791770676 92.4794462611872 -753.583463926498</t>
  </si>
  <si>
    <t>-695.757712038534 116.595963962451 -438.101088484458</t>
  </si>
  <si>
    <t>-436.736698436491 93.4241475176329 -434.463679279167</t>
  </si>
  <si>
    <t>-598.594467606024 383.574138057931 -249.720804808135</t>
  </si>
  <si>
    <t>-621.351089510969 375.905657622282 205.340702082019</t>
  </si>
  <si>
    <t>-617.077601762168 342.363497862084 673.747967661345</t>
  </si>
  <si>
    <t>-461.437781625239 344.482449440447 755.694722998805</t>
  </si>
  <si>
    <t>-649.704932226559 194.682261177851 -244.103249053818</t>
  </si>
  <si>
    <t>-609.698412063936 92.8920815804107 198.272036337206</t>
  </si>
  <si>
    <t>-626.538509894643 -43.8803802864127 647.502734288921</t>
  </si>
  <si>
    <t>-471.130286776477 -68.7317006555819 726.078855183058</t>
  </si>
  <si>
    <t>9763-20170724T164113.123801700.bin</t>
  </si>
  <si>
    <t>-623.801877514333 288.294634949259 -247.577721737419</t>
  </si>
  <si>
    <t>-651.45741340615 292.968269215175 -365.395990192182</t>
  </si>
  <si>
    <t>-660.450844351113 289.39443863025 -486.21359682932</t>
  </si>
  <si>
    <t>-660.757666612289 282.955789344945 -595.544815249737</t>
  </si>
  <si>
    <t>-653.304461106334 273.44717930484 -704.397437217639</t>
  </si>
  <si>
    <t>-634.85267264125 257.142032288718 -854.709242497793</t>
  </si>
  <si>
    <t>-588.031682232115 240.265470668025 -943.624784694769</t>
  </si>
  <si>
    <t>-636.169104933824 295.302055505859 -790.717106769479</t>
  </si>
  <si>
    <t>-608.887963776605 439.152642285144 -777.14704893293</t>
  </si>
  <si>
    <t>-594.551783512154 503.943059003861 -467.659037452036</t>
  </si>
  <si>
    <t>-455.63306918626 320.735926095463 -346.090963526729</t>
  </si>
  <si>
    <t>-649.86491394151 233.411036186479 -785.684723178237</t>
  </si>
  <si>
    <t>-685.37774876756 94.0234059284199 -755.139506734135</t>
  </si>
  <si>
    <t>-696.087532331936 116.849744442047 -439.623390117536</t>
  </si>
  <si>
    <t>-437.068906812158 94.0655940405015 -433.940274156725</t>
  </si>
  <si>
    <t>-597.516212398872 382.581016374954 -249.739369034955</t>
  </si>
  <si>
    <t>-620.642303828276 375.472159034347 205.312650448909</t>
  </si>
  <si>
    <t>-617.192312574308 342.820868609267 673.840052158843</t>
  </si>
  <si>
    <t>-461.519760647432 344.28633826836 755.738941585337</t>
  </si>
  <si>
    <t>-649.934225218744 194.091859052201 -244.606569496944</t>
  </si>
  <si>
    <t>-610.036213220134 92.2839316344882 197.774529056773</t>
  </si>
  <si>
    <t>-627.860235310566 -42.8320693730691 647.853262015787</t>
  </si>
  <si>
    <t>-472.159855449487 -68.9899448529596 725.420464409868</t>
  </si>
  <si>
    <t>9763-20170724T164113.188979500.bin</t>
  </si>
  <si>
    <t>-622.448074629681 284.694923651087 -247.598729375637</t>
  </si>
  <si>
    <t>-649.103196192976 289.623613270321 -365.636932285863</t>
  </si>
  <si>
    <t>-657.269577099238 286.564223319994 -486.527397289763</t>
  </si>
  <si>
    <t>-656.89841737984 280.718106920267 -595.891761688296</t>
  </si>
  <si>
    <t>-648.834175125099 271.944777883318 -704.762425104319</t>
  </si>
  <si>
    <t>-629.599408620314 256.822999959724 -855.099932938136</t>
  </si>
  <si>
    <t>-581.987802304756 240.472014298952 -943.693175822115</t>
  </si>
  <si>
    <t>-631.175051824308 294.462224916815 -790.805864506254</t>
  </si>
  <si>
    <t>-603.638097206547 438.171796196531 -776.088034967382</t>
  </si>
  <si>
    <t>-591.551566082499 501.573817644678 -466.216645749122</t>
  </si>
  <si>
    <t>-456.119860108102 316.181898780657 -344.027674796956</t>
  </si>
  <si>
    <t>-645.045346035669 232.565586293935 -786.354571620967</t>
  </si>
  <si>
    <t>-680.799314739332 92.9690478038421 -757.09375990214</t>
  </si>
  <si>
    <t>-695.561458070451 113.829376331561 -441.605042889185</t>
  </si>
  <si>
    <t>-436.49187902916 92.733950845241 -432.66115433363</t>
  </si>
  <si>
    <t>-594.773019811924 378.342956380838 -249.635728197938</t>
  </si>
  <si>
    <t>-619.216800180747 373.832356153261 205.380456060218</t>
  </si>
  <si>
    <t>-617.32131492498 342.862555258646 674.121534839498</t>
  </si>
  <si>
    <t>-461.510134466908 344.362056025922 755.75579795522</t>
  </si>
  <si>
    <t>-649.873496992442 190.831590962516 -244.979827450577</t>
  </si>
  <si>
    <t>-612.575045819688 89.4534832359519 197.726586578019</t>
  </si>
  <si>
    <t>-631.860472270558 -42.3086094583962 648.391538451795</t>
  </si>
  <si>
    <t>-476.65345366665 -74.8580610888268 724.515265672015</t>
  </si>
  <si>
    <t>9763-20170724T164113.224579000.bin</t>
  </si>
  <si>
    <t>-621.690360069318 281.970746985013 -247.644840355243</t>
  </si>
  <si>
    <t>-647.852449233366 287.069141155089 -365.786153097239</t>
  </si>
  <si>
    <t>-655.637395756091 284.239347990035 -486.707280719149</t>
  </si>
  <si>
    <t>-654.966467526935 278.634225083795 -596.082749165356</t>
  </si>
  <si>
    <t>-646.646167455896 270.141467320509 -704.956624580479</t>
  </si>
  <si>
    <t>-627.099483518479 255.456116336911 -855.29699200953</t>
  </si>
  <si>
    <t>-579.162529004805 239.313923506978 -943.75299656157</t>
  </si>
  <si>
    <t>-628.793842689854 292.905414702736 -790.895172081696</t>
  </si>
  <si>
    <t>-601.329735529187 436.573287911913 -775.711812168291</t>
  </si>
  <si>
    <t>-590.342345736639 499.583864525345 -465.71976240623</t>
  </si>
  <si>
    <t>-456.263960534777 313.447163491697 -343.170986884484</t>
  </si>
  <si>
    <t>-642.702757477016 231.002443643376 -786.656925224123</t>
  </si>
  <si>
    <t>-678.469464222751 91.3093568675419 -757.815813897497</t>
  </si>
  <si>
    <t>-694.952864334726 111.775268298518 -442.386468800166</t>
  </si>
  <si>
    <t>-435.839144145552 91.6618814614636 -432.50799682865</t>
  </si>
  <si>
    <t>-593.561893096301 375.636700148888 -249.594754738867</t>
  </si>
  <si>
    <t>-618.4930071015 372.302721860688 205.405213524241</t>
  </si>
  <si>
    <t>-617.533462717578 343.133795678721 674.284101722893</t>
  </si>
  <si>
    <t>-461.658557794362 344.537703994781 755.798268419056</t>
  </si>
  <si>
    <t>-649.561672594408 188.305214601483 -245.245620330368</t>
  </si>
  <si>
    <t>-614.064999327809 87.053520998736 197.637776877047</t>
  </si>
  <si>
    <t>-634.368766407419 -42.9102209189753 648.740967249816</t>
  </si>
  <si>
    <t>-479.424887326122 -78.9768334208604 723.808254540667</t>
  </si>
  <si>
    <t>9763-20170724T164113.294087900.bin</t>
  </si>
  <si>
    <t>-620.120818669393 274.439819189873 -248.204817015822</t>
  </si>
  <si>
    <t>-645.543765874717 279.885361814195 -366.491861086316</t>
  </si>
  <si>
    <t>-652.693268838335 277.481154686733 -487.46158790695</t>
  </si>
  <si>
    <t>-651.488944206259 272.307572156174 -596.853644738665</t>
  </si>
  <si>
    <t>-642.674758775793 264.303097648615 -705.725663789391</t>
  </si>
  <si>
    <t>-622.480809498758 250.364403020109 -856.051649918567</t>
  </si>
  <si>
    <t>-573.894555956034 234.636695506469 -944.227677321994</t>
  </si>
  <si>
    <t>-624.480821291411 287.499411898056 -791.476795883652</t>
  </si>
  <si>
    <t>-597.350572933144 431.170247187784 -775.569404089398</t>
  </si>
  <si>
    <t>-589.649295550159 493.166466793276 -465.273677426601</t>
  </si>
  <si>
    <t>-456.951483565059 306.745961538467 -341.658439515352</t>
  </si>
  <si>
    <t>-638.351242549031 225.564246145911 -787.597343299936</t>
  </si>
  <si>
    <t>-674.122932623779 85.7579183873541 -759.428955190166</t>
  </si>
  <si>
    <t>-693.220231674766 105.875977072996 -444.124717646252</t>
  </si>
  <si>
    <t>-434.059837053628 87.612819627474 -432.107223842837</t>
  </si>
  <si>
    <t>-591.237297916116 367.974963663288 -249.720719624422</t>
  </si>
  <si>
    <t>-616.63444855086 367.718291018659 205.265677413458</t>
  </si>
  <si>
    <t>-617.588632019575 342.787955889718 674.454246961511</t>
  </si>
  <si>
    <t>-461.679136047459 344.843294440566 755.888411269083</t>
  </si>
  <si>
    <t>-648.848499887852 181.032223989103 -246.080092189818</t>
  </si>
  <si>
    <t>-616.128101158139 80.431167784537 197.165203739715</t>
  </si>
  <si>
    <t>-638.768776981616 -44.9769040661769 649.360766031372</t>
  </si>
  <si>
    <t>-484.968007475606 -87.4614339924271 723.414223184959</t>
  </si>
  <si>
    <t>9763-20170724T164113.325685900.bin</t>
  </si>
  <si>
    <t>-619.273712537653 269.632608470375 -248.451960941531</t>
  </si>
  <si>
    <t>-644.452578838923 275.258644664003 -366.78272970201</t>
  </si>
  <si>
    <t>-651.318503115384 273.060170292027 -487.772763826217</t>
  </si>
  <si>
    <t>-649.841281964409 268.089058515182 -597.170868596451</t>
  </si>
  <si>
    <t>-640.737590046944 260.307476353478 -706.035108413874</t>
  </si>
  <si>
    <t>-620.123962892726 246.703749908359 -856.334941795803</t>
  </si>
  <si>
    <t>-571.205979823271 231.168303801985 -944.361332162315</t>
  </si>
  <si>
    <t>-622.351562996823 283.704838557768 -791.690707741355</t>
  </si>
  <si>
    <t>-595.367076506462 427.349416615731 -775.391977931615</t>
  </si>
  <si>
    <t>-589.733112362844 488.982666083641 -464.979598601504</t>
  </si>
  <si>
    <t>-457.292035416603 302.748711306574 -340.80902899475</t>
  </si>
  <si>
    <t>-636.138165646102 221.741136721608 -787.973178133522</t>
  </si>
  <si>
    <t>-671.645988293715 81.781557327421 -760.153231508263</t>
  </si>
  <si>
    <t>-691.851440325239 102.127222016485 -444.932633905334</t>
  </si>
  <si>
    <t>-432.688128358439 84.6410721627518 -431.868302080074</t>
  </si>
  <si>
    <t>-590.183188234264 363.128098400547 -249.839973799821</t>
  </si>
  <si>
    <t>-615.369412164089 364.796499397266 205.155103119815</t>
  </si>
  <si>
    <t>-617.470415618828 342.272010084258 674.474754043276</t>
  </si>
  <si>
    <t>-461.580943871721 344.770790492617 755.934721549947</t>
  </si>
  <si>
    <t>-648.096190459621 176.144412942415 -246.497163833882</t>
  </si>
  <si>
    <t>-616.251102270509 76.4896602539451 197.025697710734</t>
  </si>
  <si>
    <t>-640.5276690196 -46.2890044926399 649.817975381966</t>
  </si>
  <si>
    <t>-487.961134827993 -93.0620053727838 723.839831599285</t>
  </si>
  <si>
    <t>9763-20170724T164113.391368200.bin</t>
  </si>
  <si>
    <t>-617.611164026831 258.5721166467 -249.276994997354</t>
  </si>
  <si>
    <t>-642.968441423494 264.806295053787 -367.53927941372</t>
  </si>
  <si>
    <t>-649.643333558769 263.229133784524 -488.549690123986</t>
  </si>
  <si>
    <t>-647.836620300148 258.840955860138 -597.967796351941</t>
  </si>
  <si>
    <t>-638.24529653702 251.674464403485 -706.832446035486</t>
  </si>
  <si>
    <t>-616.789657504343 238.969773955454 -857.092990431401</t>
  </si>
  <si>
    <t>-567.284774426029 224.081959216439 -944.903028012522</t>
  </si>
  <si>
    <t>-619.584633792569 275.626613837326 -792.275009214733</t>
  </si>
  <si>
    <t>-593.640556175802 419.352880595071 -775.076876536462</t>
  </si>
  <si>
    <t>-592.752293800601 480.298666090744 -464.479077945877</t>
  </si>
  <si>
    <t>-459.236361119145 295.553720490374 -339.239900444085</t>
  </si>
  <si>
    <t>-632.981643771966 213.555730771825 -788.93978495212</t>
  </si>
  <si>
    <t>-668.028558562277 73.3157762513777 -761.955532373421</t>
  </si>
  <si>
    <t>-691.065045034269 93.6841336381847 -446.930777620164</t>
  </si>
  <si>
    <t>-431.848676297189 78.6397393099975 -432.011008166421</t>
  </si>
  <si>
    <t>-588.565298879065 352.271781623564 -250.138043306423</t>
  </si>
  <si>
    <t>-612.933352118901 357.903021925302 204.869828851997</t>
  </si>
  <si>
    <t>-617.4700298301 342.044724935868 674.499341719212</t>
  </si>
  <si>
    <t>-461.624679122176 345.083242778086 756.025368596406</t>
  </si>
  <si>
    <t>-646.482732531037 165.170572086223 -247.697205317671</t>
  </si>
  <si>
    <t>-615.284107685873 68.2895117899425 196.485640776392</t>
  </si>
  <si>
    <t>-640.840529903053 -48.8248992717333 650.840207725422</t>
  </si>
  <si>
    <t>-488.004409913594 -93.5791219019148 725.550865446564</t>
  </si>
  <si>
    <t>9763-20170724T164113.427491000.bin</t>
  </si>
  <si>
    <t>-617.061649288517 252.763286850115 -249.480613748627</t>
  </si>
  <si>
    <t>-642.199434685252 258.993701093708 -367.78981820111</t>
  </si>
  <si>
    <t>-648.635973398304 257.630728018453 -488.815741275561</t>
  </si>
  <si>
    <t>-646.608874093463 253.529260070568 -598.241216691672</t>
  </si>
  <si>
    <t>-636.793645366809 246.744336241429 -707.110298236595</t>
  </si>
  <si>
    <t>-615.024102682528 234.670827851529 -857.37791512744</t>
  </si>
  <si>
    <t>-565.289622563729 220.257175248405 -945.137174394415</t>
  </si>
  <si>
    <t>-618.121521517644 271.089380236409 -792.439328166548</t>
  </si>
  <si>
    <t>-593.004919473637 414.910862420919 -774.808720049553</t>
  </si>
  <si>
    <t>-594.662700957345 475.573650224562 -464.158666452119</t>
  </si>
  <si>
    <t>-459.88959433015 292.012328353081 -338.526313649987</t>
  </si>
  <si>
    <t>-631.191332636527 208.936578935143 -789.338961476449</t>
  </si>
  <si>
    <t>-665.820138812006 68.4736370580121 -762.941791917481</t>
  </si>
  <si>
    <t>-690.140748978718 88.5695547194931 -447.996005322753</t>
  </si>
  <si>
    <t>-430.873518045136 75.2059405980309 -432.377038494737</t>
  </si>
  <si>
    <t>-588.275682883328 346.504963100575 -250.181001871846</t>
  </si>
  <si>
    <t>-611.912105491936 354.544552287722 204.829321903189</t>
  </si>
  <si>
    <t>-617.624850182201 342.015565622835 674.65405856742</t>
  </si>
  <si>
    <t>-461.743135873845 343.868775338677 756.146211583108</t>
  </si>
  <si>
    <t>-645.711174747184 159.144805616239 -248.100242928708</t>
  </si>
  <si>
    <t>-616.151206549532 63.8473615683706 196.537022517663</t>
  </si>
  <si>
    <t>-638.903863463343 -50.208075396492 651.6559957779</t>
  </si>
  <si>
    <t>-485.982073705272 -90.5385199930673 728.674795478622</t>
  </si>
  <si>
    <t>9763-20170724T164113.493293300.bin</t>
  </si>
  <si>
    <t>-616.048493778 239.586258227767 -249.35170490788</t>
  </si>
  <si>
    <t>-641.144592201658 245.648114698375 -367.678533211816</t>
  </si>
  <si>
    <t>-647.416215846398 244.684610558683 -488.71703839764</t>
  </si>
  <si>
    <t>-645.193492669959 241.188043315736 -598.159595654441</t>
  </si>
  <si>
    <t>-635.138653132607 235.257500285841 -707.056685303486</t>
  </si>
  <si>
    <t>-612.992500513832 224.637190422809 -857.378924537519</t>
  </si>
  <si>
    <t>-562.863931275817 211.443405515949 -945.10598159807</t>
  </si>
  <si>
    <t>-616.736695340913 260.520845735258 -792.177178284983</t>
  </si>
  <si>
    <t>-593.899570606406 404.550261071167 -773.453737909624</t>
  </si>
  <si>
    <t>-600.420980400196 464.660805805734 -462.760397402586</t>
  </si>
  <si>
    <t>-460.947321841988 285.153070705195 -336.403171498118</t>
  </si>
  <si>
    <t>-628.846248907122 198.151914659825 -789.554838015171</t>
  </si>
  <si>
    <t>-661.745748577677 57.0470281307925 -764.220314661436</t>
  </si>
  <si>
    <t>-688.18812765602 76.3732907476639 -449.397371151423</t>
  </si>
  <si>
    <t>-428.782077317918 67.2874688785679 -433.026674736379</t>
  </si>
  <si>
    <t>-588.22382296073 333.630105633979 -249.907730464582</t>
  </si>
  <si>
    <t>-609.304859883287 346.597149740618 205.114342925797</t>
  </si>
  <si>
    <t>-617.803360826139 341.053325509723 675.127563817576</t>
  </si>
  <si>
    <t>-461.7655766437 344.020359788922 756.287367794664</t>
  </si>
  <si>
    <t>-643.808394331063 145.7656645116 -248.242458999139</t>
  </si>
  <si>
    <t>-621.160139831408 55.1308269487012 197.773262867769</t>
  </si>
  <si>
    <t>-640.790990641296 -51.9541181720104 655.075289025738</t>
  </si>
  <si>
    <t>-486.730577319159 -90.2671789322523 730.844794594809</t>
  </si>
  <si>
    <t>9763-20170724T164113.523377500.bin</t>
  </si>
  <si>
    <t>-615.534724673186 232.810618751325 -249.686742363279</t>
  </si>
  <si>
    <t>-640.624984336677 239.227891095566 -367.996060043181</t>
  </si>
  <si>
    <t>-646.847101284758 238.67492634487 -489.039597324105</t>
  </si>
  <si>
    <t>-644.55887947437 235.580605318465 -598.493041171447</t>
  </si>
  <si>
    <t>-634.417014856184 230.087781851729 -707.404957023106</t>
  </si>
  <si>
    <t>-612.126669098835 220.117439096248 -857.750301114598</t>
  </si>
  <si>
    <t>-561.741324278138 207.540512676817 -945.420872043174</t>
  </si>
  <si>
    <t>-616.251643884741 255.776904213514 -792.448648199788</t>
  </si>
  <si>
    <t>-595.063873668713 399.986434208713 -773.154901621298</t>
  </si>
  <si>
    <t>-603.29275831838 459.387227377055 -462.365633029819</t>
  </si>
  <si>
    <t>-461.051413284141 282.287735543948 -335.695953642497</t>
  </si>
  <si>
    <t>-627.72727152808 193.281025223903 -790.005661474746</t>
  </si>
  <si>
    <t>-659.594881520433 51.8984337476481 -765.00599059194</t>
  </si>
  <si>
    <t>-686.530893859641 70.5375817346822 -450.183479415246</t>
  </si>
  <si>
    <t>-427.076520060916 64.2227954358226 -433.283553135393</t>
  </si>
  <si>
    <t>-588.316330051969 327.107479962351 -249.73304823968</t>
  </si>
  <si>
    <t>-607.28536869914 342.238828993289 205.315178777979</t>
  </si>
  <si>
    <t>-617.998290818472 340.66825463307 675.427304599856</t>
  </si>
  <si>
    <t>-461.841185051649 343.547292253824 756.360501225761</t>
  </si>
  <si>
    <t>-642.466526367919 138.85656636021 -249.063919410713</t>
  </si>
  <si>
    <t>-625.578978318044 52.0679116419332 197.970978907461</t>
  </si>
  <si>
    <t>-642.115191464843 -51.1223263566137 656.000492068389</t>
  </si>
  <si>
    <t>-487.458184539049 -89.2950617676016 730.616672346213</t>
  </si>
  <si>
    <t>9763-20170724T164113.591559500.bin</t>
  </si>
  <si>
    <t>-614.593894750816 218.664314650998 -249.872163024489</t>
  </si>
  <si>
    <t>-638.546128355275 225.606087217214 -368.387632079693</t>
  </si>
  <si>
    <t>-644.051822333626 225.612902512094 -489.467058253949</t>
  </si>
  <si>
    <t>-641.287092858617 223.054870454567 -598.923364601933</t>
  </si>
  <si>
    <t>-630.83801061881 218.134443134998 -707.833719902231</t>
  </si>
  <si>
    <t>-608.293366860734 209.00442938619 -858.194535428881</t>
  </si>
  <si>
    <t>-557.505540067928 197.309847160103 -945.75482573958</t>
  </si>
  <si>
    <t>-613.250275873984 244.418349986407 -792.817132061004</t>
  </si>
  <si>
    <t>-595.392705399725 389.056918898771 -773.010508395909</t>
  </si>
  <si>
    <t>-606.600600697366 446.443524968607 -461.936019386976</t>
  </si>
  <si>
    <t>-458.868278070024 274.142320492752 -334.934016242198</t>
  </si>
  <si>
    <t>-623.287006492456 181.670056757583 -790.51185274354</t>
  </si>
  <si>
    <t>-652.289181625851 39.6042234255184 -766.116241733738</t>
  </si>
  <si>
    <t>-679.852578692689 56.9800596827218 -451.27578958376</t>
  </si>
  <si>
    <t>-420.36939846951 56.0166196827147 -433.680463775484</t>
  </si>
  <si>
    <t>-588.994853221335 313.654920338161 -248.858241302911</t>
  </si>
  <si>
    <t>-602.904983220692 333.346244414555 206.198246259005</t>
  </si>
  <si>
    <t>-618.351947683434 339.042902168873 676.257397942952</t>
  </si>
  <si>
    <t>-461.876972467674 342.921966229865 756.532246567877</t>
  </si>
  <si>
    <t>-639.801688370517 123.603580721425 -250.424958485201</t>
  </si>
  <si>
    <t>-633.199032685639 44.7785037523244 198.35184208939</t>
  </si>
  <si>
    <t>-642.959257728494 -51.2138048268454 657.482875926935</t>
  </si>
  <si>
    <t>-487.309079851658 -87.6656479258507 730.884346258146</t>
  </si>
  <si>
    <t>9763-20170724T164113.624663200.bin</t>
  </si>
  <si>
    <t>-613.824727221947 212.149552668129 -249.915085533053</t>
  </si>
  <si>
    <t>-637.756942591561 219.362556551245 -368.418326444365</t>
  </si>
  <si>
    <t>-643.228846977491 219.569510006752 -489.499298421863</t>
  </si>
  <si>
    <t>-640.423711145529 217.172443042492 -598.958136014474</t>
  </si>
  <si>
    <t>-629.922514080307 212.397160688148 -707.86982366649</t>
  </si>
  <si>
    <t>-607.291994488128 203.45708735579 -858.229235366445</t>
  </si>
  <si>
    <t>-556.45167212873 192.021176672872 -945.79327622364</t>
  </si>
  <si>
    <t>-612.632013658542 238.839724330829 -792.865050057464</t>
  </si>
  <si>
    <t>-596.408561988544 383.624673573993 -772.931102278104</t>
  </si>
  <si>
    <t>-609.139254625612 440.34078795576 -461.792288564568</t>
  </si>
  <si>
    <t>-458.787248132593 270.293728986992 -334.826278382531</t>
  </si>
  <si>
    <t>-621.978615887501 175.985882460805 -790.53463565847</t>
  </si>
  <si>
    <t>-649.556664582142 33.6147452563285 -766.147001109326</t>
  </si>
  <si>
    <t>-677.310534290999 50.6385162569733 -451.304005524102</t>
  </si>
  <si>
    <t>-417.818888704164 52.2966462004342 -433.886357937776</t>
  </si>
  <si>
    <t>-589.344664733644 307.471215159573 -248.325217768529</t>
  </si>
  <si>
    <t>-601.227169763282 329.763177715163 206.668835841208</t>
  </si>
  <si>
    <t>-618.563992115656 338.396178576091 676.631323903618</t>
  </si>
  <si>
    <t>-461.898224429585 341.922124731004 756.549507270644</t>
  </si>
  <si>
    <t>-638.224076742125 116.725496001163 -250.94763913162</t>
  </si>
  <si>
    <t>-636.027466782699 41.1181790281539 198.425730714049</t>
  </si>
  <si>
    <t>-643.40970992606 -51.3598077155621 658.243850275781</t>
  </si>
  <si>
    <t>-487.213106297121 -86.4358148188046 731.153310861007</t>
  </si>
  <si>
    <t>9763-20170724T164113.691519700.bin</t>
  </si>
  <si>
    <t>-612.105720259161 199.689313713767 -250.044966503326</t>
  </si>
  <si>
    <t>-635.711393992422 207.33510712906 -368.586677392421</t>
  </si>
  <si>
    <t>-641.032373461353 207.841402430872 -489.673266329351</t>
  </si>
  <si>
    <t>-638.158592249411 205.665756745793 -599.135020697208</t>
  </si>
  <si>
    <t>-627.654366296713 201.0633033684 -708.053843489314</t>
  </si>
  <si>
    <t>-605.085337155807 192.314374512113 -858.433733449203</t>
  </si>
  <si>
    <t>-554.362332232684 181.175568546595 -946.104171005297</t>
  </si>
  <si>
    <t>-610.925947603646 227.684663160981 -793.105758862677</t>
  </si>
  <si>
    <t>-597.624350108428 372.777827916672 -773.239128513041</t>
  </si>
  <si>
    <t>-612.018802616779 429.535638224257 -462.180406237116</t>
  </si>
  <si>
    <t>-457.671796366628 262.98185979895 -335.37769062827</t>
  </si>
  <si>
    <t>-619.216897568312 164.68631660585 -790.684934378001</t>
  </si>
  <si>
    <t>-644.83900315468 22.0573224177587 -765.805992002074</t>
  </si>
  <si>
    <t>-671.060624818046 38.2429867209651 -450.787391508259</t>
  </si>
  <si>
    <t>-411.633736838469 45.4647829026095 -433.828915285882</t>
  </si>
  <si>
    <t>-589.33556151663 295.421508032815 -247.716392896371</t>
  </si>
  <si>
    <t>-599.610750112552 322.822698556203 207.037633886654</t>
  </si>
  <si>
    <t>-618.757389177546 338.072785103399 676.704577562732</t>
  </si>
  <si>
    <t>-461.894278540762 343.218099653608 756.14635069757</t>
  </si>
  <si>
    <t>-634.89646515374 103.781369810276 -251.851337498253</t>
  </si>
  <si>
    <t>-639.251553530036 34.5670253685605 198.535204561574</t>
  </si>
  <si>
    <t>-644.097375879789 -51.4782687470839 659.761335244756</t>
  </si>
  <si>
    <t>-487.378530664173 -85.6081209915414 731.996211467579</t>
  </si>
  <si>
    <t>9763-20170724T164113.722603300.bin</t>
  </si>
  <si>
    <t>-611.310293327327 194.071373024408 -246.104868489788</t>
  </si>
  <si>
    <t>-634.897860753226 201.958910401685 -364.634419844234</t>
  </si>
  <si>
    <t>-640.225942429905 202.530614245189 -485.720402480678</t>
  </si>
  <si>
    <t>-637.366600107054 200.340122438485 -595.182267340655</t>
  </si>
  <si>
    <t>-626.883910923085 195.646060074201 -704.09920083765</t>
  </si>
  <si>
    <t>-604.351141034302 186.688464019925 -854.472241058132</t>
  </si>
  <si>
    <t>-553.647144523175 175.516557140753 -942.149514665683</t>
  </si>
  <si>
    <t>-610.348745302594 222.170561821792 -789.219217443589</t>
  </si>
  <si>
    <t>-597.869905848954 367.395635470088 -769.583638509672</t>
  </si>
  <si>
    <t>-612.81235229531 424.303838655463 -458.578227381794</t>
  </si>
  <si>
    <t>-457.090640869782 259.291037316485 -331.442329016214</t>
  </si>
  <si>
    <t>-618.29362577165 159.133292247177 -786.654609578492</t>
  </si>
  <si>
    <t>-643.024327054637 16.4266086785784 -761.350404597791</t>
  </si>
  <si>
    <t>-667.956299273161 32.4786945243316 -446.220513714903</t>
  </si>
  <si>
    <t>-408.600602294679 42.4656039130662 -429.578256878683</t>
  </si>
  <si>
    <t>-589.604733813663 289.87275786604 -244.422249654515</t>
  </si>
  <si>
    <t>-599.257720687789 319.736944318274 210.190467560297</t>
  </si>
  <si>
    <t>-618.69790260863 338.164795458438 678.905569243409</t>
  </si>
  <si>
    <t>-461.546359949033 342.676576543997 757.813970068581</t>
  </si>
  <si>
    <t>-633.238645590161 98.1664690750452 -247.021545886987</t>
  </si>
  <si>
    <t>-639.768191353981 31.9504343897129 203.789367836498</t>
  </si>
  <si>
    <t>-643.983595255138 -51.0505755313455 666.847163495286</t>
  </si>
  <si>
    <t>-486.921688606959 -83.9872100259857 738.890388399681</t>
  </si>
  <si>
    <t>9763-20170724T164113.776300900.bin</t>
  </si>
  <si>
    <t>-610.108193060219 188.522245709278 -243.183767851647</t>
  </si>
  <si>
    <t>-633.662082497382 196.562102932916 -361.709661780839</t>
  </si>
  <si>
    <t>-638.98759563756 197.087118652563 -482.796182763281</t>
  </si>
  <si>
    <t>-636.13709895894 194.7693246855 -592.255486076067</t>
  </si>
  <si>
    <t>-625.673782703877 189.859492985007 -701.164886874347</t>
  </si>
  <si>
    <t>-603.178174055134 180.507222619309 -851.519418486528</t>
  </si>
  <si>
    <t>-552.435897299164 169.215639999794 -939.159064709989</t>
  </si>
  <si>
    <t>-609.322605786906 216.179487444496 -786.383689390286</t>
  </si>
  <si>
    <t>-597.576016599959 361.524493576956 -767.213687544856</t>
  </si>
  <si>
    <t>-612.686331255105 418.73388783622 -456.271587090696</t>
  </si>
  <si>
    <t>-456.050506137504 254.940572396472 -328.682162516903</t>
  </si>
  <si>
    <t>-616.940925165151 153.111219780587 -783.600645974308</t>
  </si>
  <si>
    <t>-640.865500242321 10.3616066230646 -757.733059494046</t>
  </si>
  <si>
    <t>-664.753629038386 26.9665771982361 -442.550874593341</t>
  </si>
  <si>
    <t>-405.478472896265 39.5027908968986 -426.387363340291</t>
  </si>
  <si>
    <t>-588.782686945519 284.074284349178 -241.711482496626</t>
  </si>
  <si>
    <t>-597.740064491634 316.162767966616 212.763798175477</t>
  </si>
  <si>
    <t>-616.699993318052 337.391686770811 680.917124955813</t>
  </si>
  <si>
    <t>-459.379339270702 342.426966555454 759.45612060782</t>
  </si>
  <si>
    <t>-631.262537794638 92.8387412571277 -243.896230935496</t>
  </si>
  <si>
    <t>-639.686938374432 29.1456756598673 207.246686885625</t>
  </si>
  <si>
    <t>-643.939816430018 -51.0249009702297 670.809159411058</t>
  </si>
  <si>
    <t>-486.986371249955 -84.6999318225553 742.747505886506</t>
  </si>
  <si>
    <t>9763-20170724T164113.824934100.bin</t>
  </si>
  <si>
    <t>-608.714880588524 178.879345591467 -244.362912353679</t>
  </si>
  <si>
    <t>-632.083144298652 187.0080396496 -362.919331636393</t>
  </si>
  <si>
    <t>-637.284111274571 187.125317498512 -484.012346724307</t>
  </si>
  <si>
    <t>-634.345886819946 184.224731698112 -593.45547880117</t>
  </si>
  <si>
    <t>-623.819943810646 178.507562215962 -702.319501732933</t>
  </si>
  <si>
    <t>-601.263602295226 167.791317371565 -852.573825521158</t>
  </si>
  <si>
    <t>-550.3035022336 156.12251533645 -940.037521758868</t>
  </si>
  <si>
    <t>-607.747872122635 204.086778481217 -787.816531393644</t>
  </si>
  <si>
    <t>-597.682219191714 349.702908497184 -769.993875195939</t>
  </si>
  <si>
    <t>-611.135599599823 409.459324636386 -459.454944299203</t>
  </si>
  <si>
    <t>-452.971760694337 247.88368792062 -330.926569117917</t>
  </si>
  <si>
    <t>-614.74029643982 140.978994424237 -784.365291883594</t>
  </si>
  <si>
    <t>-659.98096294056 16.6953249357437 -441.699846132935</t>
  </si>
  <si>
    <t>-400.939478035091 34.6951055448427 -427.017880594368</t>
  </si>
  <si>
    <t>-589.248226401135 274.457247827592 -242.206175020537</t>
  </si>
  <si>
    <t>-596.463099989171 310.936111007178 211.968839380062</t>
  </si>
  <si>
    <t>-616.932608665705 337.382017291159 680.078804279759</t>
  </si>
  <si>
    <t>-459.488403035112 342.78364683224 758.345323407939</t>
  </si>
  <si>
    <t>-628.214692647382 83.201959682295 -246.268645605836</t>
  </si>
  <si>
    <t>-638.945388536723 24.4944574879565 205.501176774747</t>
  </si>
  <si>
    <t>-644.157249426909 -50.6511991607692 669.239881905014</t>
  </si>
  <si>
    <t>-486.775683597384 -82.913991178959 740.889451482598</t>
  </si>
  <si>
    <t>9763-20170724T164113.889608300.bin</t>
  </si>
  <si>
    <t>-607.76333938806 170.661495321609 -245.829718708162</t>
  </si>
  <si>
    <t>-632.220377739128 179.155686766308 -364.140755452668</t>
  </si>
  <si>
    <t>-638.011468570953 178.954866018635 -485.206850835896</t>
  </si>
  <si>
    <t>-635.3929267798 175.484295331706 -594.6415144573</t>
  </si>
  <si>
    <t>-624.971355079858 168.911078013847 -703.46730809087</t>
  </si>
  <si>
    <t>-602.337080458449 156.706342816697 -853.596381852553</t>
  </si>
  <si>
    <t>-551.074086535225 144.425687204786 -940.798778279644</t>
  </si>
  <si>
    <t>-609.134163490649 193.668683078948 -789.24958997071</t>
  </si>
  <si>
    <t>-600.636397213633 339.555527800465 -772.885983447259</t>
  </si>
  <si>
    <t>-612.994073657493 402.527571233447 -462.937658253137</t>
  </si>
  <si>
    <t>-453.086276517223 243.379833858976 -333.540923916902</t>
  </si>
  <si>
    <t>-615.569851688298 130.544483419278 -785.08810412173</t>
  </si>
  <si>
    <t>-659.958721576686 8.58763012852812 -441.271896375747</t>
  </si>
  <si>
    <t>-401.340957651313 31.9284527056679 -426.639289404945</t>
  </si>
  <si>
    <t>-589.925809430782 266.591628546743 -242.756312975666</t>
  </si>
  <si>
    <t>-595.315890392628 306.737329176043 211.134567035312</t>
  </si>
  <si>
    <t>-616.955606214095 337.270195417111 679.466651557195</t>
  </si>
  <si>
    <t>-459.413738940408 343.180951714592 757.499493595406</t>
  </si>
  <si>
    <t>-625.799033627742 74.8378654948944 -248.340309994897</t>
  </si>
  <si>
    <t>-637.708671681618 20.6640042657364 203.966049917713</t>
  </si>
  <si>
    <t>-644.297864369483 -50.3470493988864 668.427675832667</t>
  </si>
  <si>
    <t>-486.417692050222 -80.6895429044976 739.818859369775</t>
  </si>
  <si>
    <t>9763-20170724T164113.926712500.bin</t>
  </si>
  <si>
    <t>-607.619392026739 166.827762600624 -246.191151920922</t>
  </si>
  <si>
    <t>-632.279717385403 175.491884469814 -364.447551059859</t>
  </si>
  <si>
    <t>-638.126692409778 175.1700769151 -485.510695054573</t>
  </si>
  <si>
    <t>-635.494975574961 171.471479583132 -594.937686606872</t>
  </si>
  <si>
    <t>-624.996259731766 164.550727699434 -703.734355161211</t>
  </si>
  <si>
    <t>-602.18876321425 151.739034955178 -853.786609647022</t>
  </si>
  <si>
    <t>-550.617035082119 139.172203781711 -940.766039604779</t>
  </si>
  <si>
    <t>-609.214316328273 188.974878411309 -789.622393914803</t>
  </si>
  <si>
    <t>-601.370448193437 334.958893946462 -773.861312452976</t>
  </si>
  <si>
    <t>-613.510191997477 399.59987905828 -464.248104093619</t>
  </si>
  <si>
    <t>-452.696958566229 241.865627896824 -334.243929532923</t>
  </si>
  <si>
    <t>-615.346423891719 125.840732843351 -785.163865328133</t>
  </si>
  <si>
    <t>-659.983139321866 4.48331580462475 -440.984277162491</t>
  </si>
  <si>
    <t>-401.625594661889 30.4847596224446 -426.241607105767</t>
  </si>
  <si>
    <t>-590.450588139926 262.659237259818 -242.779064820853</t>
  </si>
  <si>
    <t>-594.810822076901 304.775843723574 210.944326982337</t>
  </si>
  <si>
    <t>-616.932972160822 337.276962511208 679.207786313708</t>
  </si>
  <si>
    <t>-459.348399039005 342.984544561191 757.169561710225</t>
  </si>
  <si>
    <t>-624.774871036342 70.9846755612426 -249.005222187247</t>
  </si>
  <si>
    <t>-637.392878703525 18.7267061982748 203.507230992</t>
  </si>
  <si>
    <t>-644.413912073724 -50.3074730823753 668.184920917447</t>
  </si>
  <si>
    <t>-486.586690537349 -81.1234056041213 739.490354730163</t>
  </si>
  <si>
    <t>9763-20170724T164113.990733600.bin</t>
  </si>
  <si>
    <t>-607.129800335601 160.012230258816 -246.603666256867</t>
  </si>
  <si>
    <t>-631.18328770319 168.527780789558 -364.995914226939</t>
  </si>
  <si>
    <t>-636.57188956833 167.790993874676 -486.078384281712</t>
  </si>
  <si>
    <t>-633.589118891537 163.608714547518 -595.47883274465</t>
  </si>
  <si>
    <t>-622.803952803955 156.092927923676 -704.20806117293</t>
  </si>
  <si>
    <t>-599.666074534446 142.336599702121 -854.126129496483</t>
  </si>
  <si>
    <t>-547.43752058317 129.373116122951 -940.654172468551</t>
  </si>
  <si>
    <t>-607.184910689465 180.003711670187 -790.270188475769</t>
  </si>
  <si>
    <t>-600.758675884224 326.179679467211 -775.594066546776</t>
  </si>
  <si>
    <t>-612.21634315759 393.698180743502 -466.569527480817</t>
  </si>
  <si>
    <t>-449.921417872161 238.673178563722 -335.155512438828</t>
  </si>
  <si>
    <t>-612.622831481215 116.843059335524 -785.313922401555</t>
  </si>
  <si>
    <t>-401.00469466889 28.0003959617364 -425.612885638563</t>
  </si>
  <si>
    <t>-591.301037318054 255.615896997746 -242.729520087819</t>
  </si>
  <si>
    <t>-594.115893800803 300.929198987339 210.69798907298</t>
  </si>
  <si>
    <t>-616.765408125849 336.91770355673 678.859652136061</t>
  </si>
  <si>
    <t>-459.126553541278 343.530133920102 756.639969037189</t>
  </si>
  <si>
    <t>-622.601677236959 64.0620159586403 -249.843304184244</t>
  </si>
  <si>
    <t>-637.251496272486 15.3062421372574 202.998711344245</t>
  </si>
  <si>
    <t>-644.621217818556 -50.1076926772145 668.069375158848</t>
  </si>
  <si>
    <t>-486.399735735253 -79.4093928802529 739.138836324405</t>
  </si>
  <si>
    <t>9763-20170724T164114.022824200.bin</t>
  </si>
  <si>
    <t>-606.85708582806 156.807380128226 -246.64809786905</t>
  </si>
  <si>
    <t>-630.476519620905 165.210833409368 -365.135615031398</t>
  </si>
  <si>
    <t>-635.577547865274 164.231896607485 -486.228942172014</t>
  </si>
  <si>
    <t>-632.394584318831 159.78182972686 -595.613231947429</t>
  </si>
  <si>
    <t>-621.468468600623 151.950454544137 -704.306081473498</t>
  </si>
  <si>
    <t>-598.195332304502 137.706805353409 -854.157721605724</t>
  </si>
  <si>
    <t>-545.69437045448 124.57896363696 -940.495903167061</t>
  </si>
  <si>
    <t>-605.964318862927 175.594738435308 -790.462519736924</t>
  </si>
  <si>
    <t>-600.365258435926 321.865357913923 -776.336988736242</t>
  </si>
  <si>
    <t>-611.496792873297 390.359808263084 -467.515425360965</t>
  </si>
  <si>
    <t>-448.374794390101 236.771456212891 -335.440114745894</t>
  </si>
  <si>
    <t>-611.021583835698 112.423632508393 -785.243414468322</t>
  </si>
  <si>
    <t>-400.369823770241 26.8666795319363 -424.758478389841</t>
  </si>
  <si>
    <t>-591.732203538927 252.464766866331 -242.568678950286</t>
  </si>
  <si>
    <t>-593.958017047542 299.708231902943 210.664914913874</t>
  </si>
  <si>
    <t>-617.04078149954 337.694319335434 678.764933738678</t>
  </si>
  <si>
    <t>-459.328218668658 343.219861222572 756.480545005754</t>
  </si>
  <si>
    <t>-621.832957581434 60.8478250278085 -249.977781567957</t>
  </si>
  <si>
    <t>-637.301368267325 13.5726498793665 202.994085614941</t>
  </si>
  <si>
    <t>-644.782970588628 -50.1212735836594 668.163023722952</t>
  </si>
  <si>
    <t>-486.470026659545 -79.1978064846067 739.121297434654</t>
  </si>
  <si>
    <t>9763-20170724T164114.090560500.bin</t>
  </si>
  <si>
    <t>-606.398886555706 150.473680715773 -246.5533519481</t>
  </si>
  <si>
    <t>-629.347546038431 158.77227132291 -365.180141241114</t>
  </si>
  <si>
    <t>-633.971697091101 157.327789581675 -486.287930260642</t>
  </si>
  <si>
    <t>-630.434045934611 152.318856058652 -595.637126351558</t>
  </si>
  <si>
    <t>-619.22780440009 143.793676613868 -704.249151636468</t>
  </si>
  <si>
    <t>-595.641048333908 128.449209914273 -853.942902530193</t>
  </si>
  <si>
    <t>-542.661150838756 115.164363703921 -939.963975153629</t>
  </si>
  <si>
    <t>-603.903674718278 166.825729020033 -790.60342444978</t>
  </si>
  <si>
    <t>-600.090208804757 313.243140422191 -777.540829086226</t>
  </si>
  <si>
    <t>-611.326976044586 383.182155179769 -469.047020749295</t>
  </si>
  <si>
    <t>-446.166303698414 232.707009140594 -335.925847661331</t>
  </si>
  <si>
    <t>-608.251308731223 103.651670033952 -784.812799299377</t>
  </si>
  <si>
    <t>-400.403015131844 25.2601088073122 -425.7328131908</t>
  </si>
  <si>
    <t>-592.474179135241 246.343026345519 -242.213395536422</t>
  </si>
  <si>
    <t>-593.153570552994 296.694703477794 210.690456907577</t>
  </si>
  <si>
    <t>-616.940544470486 337.61036475904 678.581453707022</t>
  </si>
  <si>
    <t>-459.140365543825 343.322492865619 756.105562006959</t>
  </si>
  <si>
    <t>-620.342522103681 54.627633921864 -250.11797628661</t>
  </si>
  <si>
    <t>-637.259403640393 10.1430761890949 203.084651045313</t>
  </si>
  <si>
    <t>-645.036077626038 -50.1784646130167 668.599897767385</t>
  </si>
  <si>
    <t>-486.65014577854 -79.3206919145669 739.368080775208</t>
  </si>
  <si>
    <t>9763-20170724T164114.123148700.bin</t>
  </si>
  <si>
    <t>-606.239802702832 147.585990409345 -246.438443747384</t>
  </si>
  <si>
    <t>-628.691000649576 155.796600153686 -365.166361127169</t>
  </si>
  <si>
    <t>-633.017401810733 154.140547012313 -486.282443870215</t>
  </si>
  <si>
    <t>-629.293000737724 148.891003334151 -595.61408664869</t>
  </si>
  <si>
    <t>-617.982359332163 140.074594943642 -704.192227274232</t>
  </si>
  <si>
    <t>-594.335012134365 124.272188972552 -853.828654506626</t>
  </si>
  <si>
    <t>-541.172331678801 110.962624620456 -939.733085074086</t>
  </si>
  <si>
    <t>-602.76935452032 162.849750785489 -790.634212805616</t>
  </si>
  <si>
    <t>-599.625116378585 309.336246295975 -778.133090132183</t>
  </si>
  <si>
    <t>-611.257224536989 379.974612949435 -469.813227405363</t>
  </si>
  <si>
    <t>-445.096458194656 230.955322344608 -336.299596311931</t>
  </si>
  <si>
    <t>-606.827047789756 99.6787953786974 -784.604178560896</t>
  </si>
  <si>
    <t>-399.597469224208 24.9144877922474 -425.863952806812</t>
  </si>
  <si>
    <t>-592.70695416893 243.313566890367 -241.984505348885</t>
  </si>
  <si>
    <t>-592.886508342495 295.148413534931 210.752534350054</t>
  </si>
  <si>
    <t>-616.774772653135 337.168327387922 678.574203675078</t>
  </si>
  <si>
    <t>-458.954658853966 344.032320712218 755.964164216623</t>
  </si>
  <si>
    <t>-619.678268463387 51.7988279839167 -250.098398510808</t>
  </si>
  <si>
    <t>-637.226329588098 8.48215781790546 203.193318754604</t>
  </si>
  <si>
    <t>-645.181932505198 -50.2797826451829 668.865964845733</t>
  </si>
  <si>
    <t>-486.920109834541 -80.2047515081431 739.585177738445</t>
  </si>
  <si>
    <t>9763-20170724T164114.188824700.bin</t>
  </si>
  <si>
    <t>-605.874275126731 142.264065656755 -245.959762213816</t>
  </si>
  <si>
    <t>-627.577935654994 150.350496193455 -364.835149335113</t>
  </si>
  <si>
    <t>-631.448738987863 148.297837923043 -485.960646499442</t>
  </si>
  <si>
    <t>-627.432646092361 142.579442834167 -595.258535827603</t>
  </si>
  <si>
    <t>-615.950036326321 133.182166411472 -703.769736046325</t>
  </si>
  <si>
    <t>-592.18699887247 116.454657340813 -853.287311244011</t>
  </si>
  <si>
    <t>-538.72234952266 102.995591312405 -938.980794680929</t>
  </si>
  <si>
    <t>-600.904014666104 155.432543577427 -790.377324955041</t>
  </si>
  <si>
    <t>-598.797383921754 302.020640904795 -778.900637049562</t>
  </si>
  <si>
    <t>-611.057779324827 374.278686715376 -470.980787378064</t>
  </si>
  <si>
    <t>-443.56143624301 227.614944442664 -336.530956208958</t>
  </si>
  <si>
    <t>-604.498853081943 92.2795680300806 -783.883364435988</t>
  </si>
  <si>
    <t>-397.933829699902 23.6733168912304 -424.705772265395</t>
  </si>
  <si>
    <t>-593.428280997742 237.820413000473 -241.339224837357</t>
  </si>
  <si>
    <t>-591.989810113119 292.834788533914 211.020150691709</t>
  </si>
  <si>
    <t>-616.786858296465 337.503552613706 678.515531028454</t>
  </si>
  <si>
    <t>-458.913832544524 344.061081102155 755.824102556582</t>
  </si>
  <si>
    <t>-618.424642734654 46.6336683913515 -249.846522911862</t>
  </si>
  <si>
    <t>-637.157231906989 5.73465467194342 203.622382229864</t>
  </si>
  <si>
    <t>-645.414274423616 -50.2159113269111 669.535425722563</t>
  </si>
  <si>
    <t>-486.802887080849 -78.6492348264515 740.086730248862</t>
  </si>
  <si>
    <t>9763-20170724T164114.228436300.bin</t>
  </si>
  <si>
    <t>-605.672782481256 139.946320487881 -245.735624717447</t>
  </si>
  <si>
    <t>-627.11689644081 148.002771499057 -364.660157679853</t>
  </si>
  <si>
    <t>-630.825624894192 145.792374102027 -485.787833925575</t>
  </si>
  <si>
    <t>-626.702086702526 139.881150073522 -595.071452532546</t>
  </si>
  <si>
    <t>-615.150190948673 130.241402858571 -703.553985209717</t>
  </si>
  <si>
    <t>-591.32997147882 113.125574141481 -853.018627358411</t>
  </si>
  <si>
    <t>-537.752991227738 99.598931710776 -938.631303038288</t>
  </si>
  <si>
    <t>-600.169925991563 152.270539501967 -790.229749946728</t>
  </si>
  <si>
    <t>-598.453025864996 298.891815990675 -779.182916202899</t>
  </si>
  <si>
    <t>-610.740901857904 372.111919338247 -471.491467491133</t>
  </si>
  <si>
    <t>-442.843101553435 226.406592587075 -336.501266568957</t>
  </si>
  <si>
    <t>-603.569474787986 89.127056210881 -783.540635239861</t>
  </si>
  <si>
    <t>-396.980896733162 23.7118074434375 -423.539579857753</t>
  </si>
  <si>
    <t>-593.456665360385 235.544546875554 -241.081014101736</t>
  </si>
  <si>
    <t>-591.777173976331 291.672096635315 211.140804357996</t>
  </si>
  <si>
    <t>-616.717865499453 337.438080990334 678.532205734267</t>
  </si>
  <si>
    <t>-458.817292901933 344.323173845987 755.756010456627</t>
  </si>
  <si>
    <t>-617.873939534084 44.386939474405 -249.673586614633</t>
  </si>
  <si>
    <t>-637.099553029952 4.37876985441817 203.854210570646</t>
  </si>
  <si>
    <t>-645.525727253906 -50.341625277595 669.883404366469</t>
  </si>
  <si>
    <t>-487.0112803706 -79.3733573282432 740.408948577996</t>
  </si>
  <si>
    <t>9763-20170724T164114.293760000.bin</t>
  </si>
  <si>
    <t>-605.448038677702 135.670038496867 -245.157201854953</t>
  </si>
  <si>
    <t>-626.156598015659 143.712383763278 -364.213023631308</t>
  </si>
  <si>
    <t>-629.437011968453 141.239016899926 -485.348024770839</t>
  </si>
  <si>
    <t>-625.048494921503 134.99480061049 -594.602838936113</t>
  </si>
  <si>
    <t>-613.35147852234 124.92838311673 -703.0310318808</t>
  </si>
  <si>
    <t>-589.45079932485 107.124222808159 -852.40238622699</t>
  </si>
  <si>
    <t>-535.732504030045 93.4559435501467 -937.903891108779</t>
  </si>
  <si>
    <t>-598.553068579277 146.565361143649 -789.836630818564</t>
  </si>
  <si>
    <t>-597.857661088014 293.260157210248 -779.530526913115</t>
  </si>
  <si>
    <t>-609.920268746215 368.035629572411 -472.204423354786</t>
  </si>
  <si>
    <t>-441.394284904078 224.039050483024 -336.167504649923</t>
  </si>
  <si>
    <t>-601.499068891464 83.4386667141198 -782.783790668674</t>
  </si>
  <si>
    <t>-394.428545892837 22.7358594536383 -421.204324867682</t>
  </si>
  <si>
    <t>-593.908461242561 230.94165078023 -240.329003388365</t>
  </si>
  <si>
    <t>-591.236255628393 289.764693345061 211.545335037204</t>
  </si>
  <si>
    <t>-616.634853106435 337.428667266464 678.637474302881</t>
  </si>
  <si>
    <t>-458.677057328933 343.709228389878 755.795747972058</t>
  </si>
  <si>
    <t>-616.926533277326 40.4079631127574 -249.258529276832</t>
  </si>
  <si>
    <t>-636.937530627727 1.7699658822559 204.353981746639</t>
  </si>
  <si>
    <t>-645.784860891772 -50.5653256781877 670.578469213581</t>
  </si>
  <si>
    <t>-487.253520047366 -79.7089568988307 741.019723098368</t>
  </si>
  <si>
    <t>9763-20170724T164114.325846000.bin</t>
  </si>
  <si>
    <t>-605.27890786894 134.03770161248 -244.923985289976</t>
  </si>
  <si>
    <t>-625.631211636298 142.097885866081 -364.039975116462</t>
  </si>
  <si>
    <t>-628.665261217332 139.507897859255 -485.178905140967</t>
  </si>
  <si>
    <t>-624.098631741753 133.104494414187 -594.417240987815</t>
  </si>
  <si>
    <t>-612.267589795735 122.82536125902 -702.811080077696</t>
  </si>
  <si>
    <t>-588.226062510599 104.669898818251 -852.117322822163</t>
  </si>
  <si>
    <t>-534.435481883387 90.9586104085049 -937.566543874412</t>
  </si>
  <si>
    <t>-597.483824102266 144.260622505759 -789.669034645658</t>
  </si>
  <si>
    <t>-597.247730301252 290.975393811481 -779.736637993526</t>
  </si>
  <si>
    <t>-609.191217012384 366.639520523546 -472.623572364922</t>
  </si>
  <si>
    <t>-440.325179761056 223.262652277217 -336.353907333873</t>
  </si>
  <si>
    <t>-600.243539129177 81.1456324956284 -782.43874030835</t>
  </si>
  <si>
    <t>-393.064066534146 21.3077418851914 -420.33633568309</t>
  </si>
  <si>
    <t>-593.995710200379 229.313383685547 -240.05803178738</t>
  </si>
  <si>
    <t>-590.826223160566 289.113377493544 211.684727890604</t>
  </si>
  <si>
    <t>-616.644218795254 337.776109605051 678.615062715313</t>
  </si>
  <si>
    <t>-458.669877076743 343.47038308146 755.784938360114</t>
  </si>
  <si>
    <t>-616.549143833815 38.9099907511228 -249.081199129089</t>
  </si>
  <si>
    <t>-636.632727198444 0.713700861031441 204.565584222314</t>
  </si>
  <si>
    <t>-645.897325912523 -50.6039132017548 670.88724375061</t>
  </si>
  <si>
    <t>-487.282411842564 -79.4082864156802 741.279865908989</t>
  </si>
  <si>
    <t>9763-20170724T164114.390654500.bin</t>
  </si>
  <si>
    <t>-604.422452556938 130.729684286479 -244.489384940392</t>
  </si>
  <si>
    <t>-624.261550863456 138.644805269903 -363.701749680826</t>
  </si>
  <si>
    <t>-626.974126019403 135.818873081151 -484.842976190375</t>
  </si>
  <si>
    <t>-622.202762181468 129.155379311318 -594.056947265918</t>
  </si>
  <si>
    <t>-610.25653803191 118.561155512613 -702.407776716565</t>
  </si>
  <si>
    <t>-586.150224595969 99.903291482522 -851.641706127525</t>
  </si>
  <si>
    <t>-532.291283467251 86.1501435817257 -937.041100077007</t>
  </si>
  <si>
    <t>-595.560021050126 139.706727710669 -789.351645040476</t>
  </si>
  <si>
    <t>-595.83151182258 286.480477871335 -780.051733883257</t>
  </si>
  <si>
    <t>-608.601943340621 362.520149153843 -473.06458056647</t>
  </si>
  <si>
    <t>-438.867022481105 220.102047325346 -336.869208520216</t>
  </si>
  <si>
    <t>-598.073025992121 76.6108499164748 -781.869092437373</t>
  </si>
  <si>
    <t>-390.45899322237 19.3812933367993 -420.643024033873</t>
  </si>
  <si>
    <t>-593.761630820825 225.710464213427 -239.463384484703</t>
  </si>
  <si>
    <t>-590.047062543625 287.646067869123 211.987412402028</t>
  </si>
  <si>
    <t>-616.510197267567 337.716549815762 678.721193430394</t>
  </si>
  <si>
    <t>-458.532921897078 343.873628764347 755.849457262942</t>
  </si>
  <si>
    <t>-615.022499587055 35.5734926182283 -248.826568714128</t>
  </si>
  <si>
    <t>-636.34839172984 -1.17880012838241 204.882743444863</t>
  </si>
  <si>
    <t>-646.086600236168 -50.8027651142415 671.492550492496</t>
  </si>
  <si>
    <t>-487.476715324323 -79.6724842957173 741.869864986227</t>
  </si>
  <si>
    <t>9763-20170724T164114.422742700.bin</t>
  </si>
  <si>
    <t>-604.089344829339 128.89818630098 -244.230034137398</t>
  </si>
  <si>
    <t>-623.708326828417 136.784889712464 -363.480674928223</t>
  </si>
  <si>
    <t>-626.242351339428 133.877977191116 -484.623842089244</t>
  </si>
  <si>
    <t>-621.329227614077 127.117455005306 -593.825614008678</t>
  </si>
  <si>
    <t>-609.262183378006 116.400294890234 -702.150906392097</t>
  </si>
  <si>
    <t>-585.010953113913 97.5428508882789 -851.336399267542</t>
  </si>
  <si>
    <t>-531.089257397085 83.7573304201184 -936.690889072843</t>
  </si>
  <si>
    <t>-594.551008766276 137.43091159081 -789.120215695712</t>
  </si>
  <si>
    <t>-595.428001215725 284.184748197522 -780.065259964227</t>
  </si>
  <si>
    <t>-608.128084546715 360.461048148267 -473.133992067245</t>
  </si>
  <si>
    <t>-437.992497514084 218.514016956461 -336.946648257827</t>
  </si>
  <si>
    <t>-596.93163401843 74.3424418962602 -781.532628753236</t>
  </si>
  <si>
    <t>-389.756074226344 17.2108642262792 -423.40436320507</t>
  </si>
  <si>
    <t>-593.82011230512 223.538149941202 -239.148675050309</t>
  </si>
  <si>
    <t>-589.268472694444 286.82290462735 212.107247997837</t>
  </si>
  <si>
    <t>-616.281115254278 337.349807174459 678.710038162961</t>
  </si>
  <si>
    <t>-458.340136620484 344.852469643492 755.793560429557</t>
  </si>
  <si>
    <t>-614.563248131121 34.1252306452755 -248.579392967083</t>
  </si>
  <si>
    <t>-636.437310134105 -2.22128861068137 205.136479793858</t>
  </si>
  <si>
    <t>-646.217428796594 -50.7615472009263 671.779789852218</t>
  </si>
  <si>
    <t>-487.283183186362 -77.9489325915502 742.095212769449</t>
  </si>
  <si>
    <t>9763-20170724T164114.489556200.bin</t>
  </si>
  <si>
    <t>-603.7061389651 126.281492014186 -243.723687115911</t>
  </si>
  <si>
    <t>-623.05757222901 134.114064636617 -363.021575422685</t>
  </si>
  <si>
    <t>-625.251516062736 131.335158247469 -484.174496967678</t>
  </si>
  <si>
    <t>-620.00719154347 124.76374674885 -593.372420762708</t>
  </si>
  <si>
    <t>-607.588517987142 114.307607803177 -701.683383135725</t>
  </si>
  <si>
    <t>-582.829781306314 95.8866188629697 -850.839961410552</t>
  </si>
  <si>
    <t>-528.758594952453 82.4070446102935 -936.148863198456</t>
  </si>
  <si>
    <t>-592.717003616725 135.594755168047 -788.56302504426</t>
  </si>
  <si>
    <t>-594.405262223478 282.332782716497 -779.311336635047</t>
  </si>
  <si>
    <t>-607.688853473891 358.069458272331 -472.271120328187</t>
  </si>
  <si>
    <t>-435.902703903949 219.273465180802 -334.913113735105</t>
  </si>
  <si>
    <t>-594.852514061858 72.4799496865466 -781.122768808331</t>
  </si>
  <si>
    <t>-388.4473233983 13.9616355807619 -439.612925726839</t>
  </si>
  <si>
    <t>-593.474329875155 221.016745082165 -238.667049731257</t>
  </si>
  <si>
    <t>-588.40236496278 286.076261630823 212.330898705386</t>
  </si>
  <si>
    <t>-616.309141422445 337.791006624378 678.751478902058</t>
  </si>
  <si>
    <t>-458.307317032905 345.314328119462 755.708280495199</t>
  </si>
  <si>
    <t>-613.850000094832 31.4891107524801 -248.16425505544</t>
  </si>
  <si>
    <t>-636.187179734888 -3.76217453134403 205.615471431922</t>
  </si>
  <si>
    <t>-646.372229299681 -50.9807583611831 672.384060645659</t>
  </si>
  <si>
    <t>-487.47279123265 -78.4867197239831 742.654236168751</t>
  </si>
  <si>
    <t>9763-20170724T164114.521685600.bin</t>
  </si>
  <si>
    <t>-603.588615908021 124.867415805351 -243.512689190088</t>
  </si>
  <si>
    <t>-622.89324769026 132.820037352673 -362.810134088201</t>
  </si>
  <si>
    <t>-624.9895463671 130.343576908274 -483.971285165372</t>
  </si>
  <si>
    <t>-619.637373654491 124.121312047919 -593.184311049906</t>
  </si>
  <si>
    <t>-607.091590041658 114.090904359826 -701.521104306822</t>
  </si>
  <si>
    <t>-582.136415113627 96.34228987525 -850.726374445686</t>
  </si>
  <si>
    <t>-527.960885964208 83.2888049814928 -936.035273177426</t>
  </si>
  <si>
    <t>-592.177758560005 135.770380483191 -788.296341295404</t>
  </si>
  <si>
    <t>-593.930675365052 282.484398513606 -778.645818307071</t>
  </si>
  <si>
    <t>-607.643659609743 357.266913386842 -471.390508640588</t>
  </si>
  <si>
    <t>-434.768882035648 220.278760875215 -333.584042011554</t>
  </si>
  <si>
    <t>-594.178872334919 72.6206580097281 -781.11907504953</t>
  </si>
  <si>
    <t>-388.121798099119 12.8779782103623 -446.99078348558</t>
  </si>
  <si>
    <t>-593.52076344693 219.46330091319 -238.323150961102</t>
  </si>
  <si>
    <t>-587.684257768329 285.498590434115 212.523767752214</t>
  </si>
  <si>
    <t>-616.178068903153 337.596151299357 678.804155468458</t>
  </si>
  <si>
    <t>-458.197371597821 345.706938902615 755.744505602328</t>
  </si>
  <si>
    <t>-613.656294352057 30.3144207962274 -247.990964384981</t>
  </si>
  <si>
    <t>-636.17369080617 -4.5531734743962 205.809578997011</t>
  </si>
  <si>
    <t>-646.444705980266 -50.9771409908852 672.657747025361</t>
  </si>
  <si>
    <t>-487.634690756395 -78.9680728114816 742.938575698957</t>
  </si>
  <si>
    <t>9763-20170724T164114.594882900.bin</t>
  </si>
  <si>
    <t>-603.468171178359 122.575562273748 -243.081820490591</t>
  </si>
  <si>
    <t>-622.191432098268 130.735191006271 -362.458026596037</t>
  </si>
  <si>
    <t>-623.965573148712 128.602781030067 -483.631014095872</t>
  </si>
  <si>
    <t>-618.431935694087 122.741469369175 -592.854916131561</t>
  </si>
  <si>
    <t>-605.815189909431 113.117176342881 -701.220231050425</t>
  </si>
  <si>
    <t>-580.87597689144 95.9756315698484 -850.499143394728</t>
  </si>
  <si>
    <t>-526.641091091449 83.3863342012754 -935.840019572625</t>
  </si>
  <si>
    <t>-590.997782199778 135.150433337527 -787.922783745562</t>
  </si>
  <si>
    <t>-593.069528098669 281.856366430143 -777.729801209424</t>
  </si>
  <si>
    <t>-606.646204695708 354.163507519162 -469.876585151707</t>
  </si>
  <si>
    <t>-432.283128371336 218.392495245953 -332.742460170264</t>
  </si>
  <si>
    <t>-592.823861691563 71.9700398818824 -780.972888050803</t>
  </si>
  <si>
    <t>-387.749841503502 11.2014436793574 -452.156651549754</t>
  </si>
  <si>
    <t>-593.553699634898 217.272329285802 -237.687908770944</t>
  </si>
  <si>
    <t>-586.679275699595 284.806569982744 212.922365957533</t>
  </si>
  <si>
    <t>-616.269819553237 338.342285695178 678.862195737348</t>
  </si>
  <si>
    <t>-458.243512547815 344.681818482929 755.875224498093</t>
  </si>
  <si>
    <t>-613.209546115597 27.8301467527772 -247.831077976329</t>
  </si>
  <si>
    <t>-635.929143455151 -6.05646106048897 206.033649961155</t>
  </si>
  <si>
    <t>-646.62490532245 -51.1681726732321 673.063772282886</t>
  </si>
  <si>
    <t>-487.615977628537 -78.0931512359193 743.31121201163</t>
  </si>
  <si>
    <t>9763-20170724T164114.622966000.bin</t>
  </si>
  <si>
    <t>-603.313704088703 120.980683700585 -242.820049044269</t>
  </si>
  <si>
    <t>-621.919802680332 129.369105303301 -362.19872574216</t>
  </si>
  <si>
    <t>-623.636180575535 127.383504063297 -483.374871931741</t>
  </si>
  <si>
    <t>-618.07348333094 121.620535570918 -592.602678886845</t>
  </si>
  <si>
    <t>-605.450038937547 112.059436609264 -700.972825107201</t>
  </si>
  <si>
    <t>-580.524127397509 94.9687113637151 -850.259844151211</t>
  </si>
  <si>
    <t>-526.388727712858 82.489643032762 -935.679963630754</t>
  </si>
  <si>
    <t>-590.679542075974 134.122579140041 -787.675812185656</t>
  </si>
  <si>
    <t>-592.832951253979 280.811031436267 -777.368975438507</t>
  </si>
  <si>
    <t>-605.710034488703 352.425067788819 -469.323762858564</t>
  </si>
  <si>
    <t>-430.95637040595 216.680204018768 -332.661614945472</t>
  </si>
  <si>
    <t>-592.426577205623 70.9390950041372 -780.734101198645</t>
  </si>
  <si>
    <t>-386.908696520071 10.1564195232713 -447.922067491591</t>
  </si>
  <si>
    <t>-593.513488706457 215.552399826608 -237.248893808774</t>
  </si>
  <si>
    <t>-586.612229190313 283.96238033204 213.228673800235</t>
  </si>
  <si>
    <t>-616.148747071577 338.091220412088 678.97838706006</t>
  </si>
  <si>
    <t>-458.122399652999 344.802904641958 755.959739220138</t>
  </si>
  <si>
    <t>-613.023850911709 26.3189154807224 -247.776848811769</t>
  </si>
  <si>
    <t>-635.909264468817 -7.0209781054822 206.120035531606</t>
  </si>
  <si>
    <t>-646.74831618886 -51.4342451812765 673.211506878874</t>
  </si>
  <si>
    <t>-487.853061806291 -78.9848187282808 743.473681540121</t>
  </si>
  <si>
    <t>9763-20170724T164114.693764500.bin</t>
  </si>
  <si>
    <t>-603.257599480558 118.252084710366 -240.521071504015</t>
  </si>
  <si>
    <t>-621.797224913396 126.952316251781 -359.88769029869</t>
  </si>
  <si>
    <t>-623.540252013651 124.991081935534 -481.063988873998</t>
  </si>
  <si>
    <t>-618.041466013899 119.12253500905 -590.289306651339</t>
  </si>
  <si>
    <t>-605.523000545434 109.32158565625 -698.65017373302</t>
  </si>
  <si>
    <t>-580.786939350023 91.7516016271626 -847.913116656807</t>
  </si>
  <si>
    <t>-526.901714215438 79.29501723713 -933.494752929895</t>
  </si>
  <si>
    <t>-590.843506506099 131.106050197239 -785.439090012577</t>
  </si>
  <si>
    <t>-592.940968694611 277.797241062214 -775.346137176004</t>
  </si>
  <si>
    <t>-603.935016695352 349.543659292847 -467.258891574316</t>
  </si>
  <si>
    <t>-429.295017026018 213.148762704617 -331.099716388901</t>
  </si>
  <si>
    <t>-592.620304440183 67.9454763668236 -778.298720490715</t>
  </si>
  <si>
    <t>-381.521544770799 0.656055513708147 -436.191755229073</t>
  </si>
  <si>
    <t>-593.918014655688 212.670910703346 -235.243910616506</t>
  </si>
  <si>
    <t>-587.111511592323 282.236929655929 215.058097200051</t>
  </si>
  <si>
    <t>-616.18341945351 337.696225624525 680.023634621057</t>
  </si>
  <si>
    <t>-458.112052407564 345.834054526913 756.774717846808</t>
  </si>
  <si>
    <t>-612.692132336435 23.8432056388739 -245.147902808822</t>
  </si>
  <si>
    <t>-635.810965504666 -8.73187595394716 208.792715480865</t>
  </si>
  <si>
    <t>-646.861115627675 -51.5932533659835 676.713543257938</t>
  </si>
  <si>
    <t>-487.84339434425 -78.5990847169997 746.910103977135</t>
  </si>
  <si>
    <t>9763-20170724T164114.725339600.bin</t>
  </si>
  <si>
    <t>-602.466207488183 118.400222311458 -237.302872054743</t>
  </si>
  <si>
    <t>-620.87331977575 127.126782029802 -356.688142752921</t>
  </si>
  <si>
    <t>-622.600430813651 125.056547065464 -477.862825253249</t>
  </si>
  <si>
    <t>-617.142058875136 119.019587882758 -587.080909012199</t>
  </si>
  <si>
    <t>-604.722548406252 108.97091640596 -695.43056038118</t>
  </si>
  <si>
    <t>-580.187953223899 90.9652261135858 -844.674849582797</t>
  </si>
  <si>
    <t>-526.399718102975 78.3175341283711 -930.289362114676</t>
  </si>
  <si>
    <t>-590.017940131763 130.500374241419 -782.278640590033</t>
  </si>
  <si>
    <t>-591.523942697578 277.21999658141 -772.397529320378</t>
  </si>
  <si>
    <t>-601.97630801112 349.375124420552 -464.386839609471</t>
  </si>
  <si>
    <t>-427.85145161296 212.336398560672 -328.214351002109</t>
  </si>
  <si>
    <t>-592.069512210988 67.36402937171 -774.998893964326</t>
  </si>
  <si>
    <t>-379.854840807183 1.79979098145139 -437.688007857592</t>
  </si>
  <si>
    <t>-592.612970701311 213.729672377298 -232.219166046236</t>
  </si>
  <si>
    <t>-585.640842021518 284.036969604662 217.965184123313</t>
  </si>
  <si>
    <t>-612.710950124436 342.067271976188 683.067029764366</t>
  </si>
  <si>
    <t>-454.045979460134 350.825137563734 758.51404088786</t>
  </si>
  <si>
    <t>-612.038300683219 23.4324462069095 -241.546725263136</t>
  </si>
  <si>
    <t>-635.289108389264 -8.79372472316102 212.412040564184</t>
  </si>
  <si>
    <t>-646.795348769306 -51.5976967798985 680.652841498562</t>
  </si>
  <si>
    <t>-487.91471737928 -79.4146646590109 750.843147186</t>
  </si>
  <si>
    <t>9763-20170724T164114.791047300.bin</t>
  </si>
  <si>
    <t>-599.359947766969 121.760770020334 -233.645171978704</t>
  </si>
  <si>
    <t>-617.623171337423 130.412783154255 -353.057903618745</t>
  </si>
  <si>
    <t>-619.428268563914 127.987072548667 -474.224848578524</t>
  </si>
  <si>
    <t>-614.144433051651 121.487147859001 -583.425042868172</t>
  </si>
  <si>
    <t>-602.011022635117 110.817100542258 -691.747695319814</t>
  </si>
  <si>
    <t>-577.99615221224 91.7668210791651 -840.946734969083</t>
  </si>
  <si>
    <t>-524.382330267723 78.3367228074078 -926.551447634841</t>
  </si>
  <si>
    <t>-587.271125369881 131.731849138623 -778.739860262199</t>
  </si>
  <si>
    <t>-586.983525023842 278.489270239428 -769.596295947441</t>
  </si>
  <si>
    <t>-596.614599617947 352.146685446469 -461.91464525956</t>
  </si>
  <si>
    <t>-424.089929837948 214.246238708175 -324.580114785631</t>
  </si>
  <si>
    <t>-589.972829754343 68.6600519917548 -771.121545503831</t>
  </si>
  <si>
    <t>-377.581883429285 7.21635660206135 -433.867804874025</t>
  </si>
  <si>
    <t>-588.330648003644 219.056960689461 -228.534684173008</t>
  </si>
  <si>
    <t>-580.856280943325 290.54208278282 221.456012761749</t>
  </si>
  <si>
    <t>-607.166713473573 350.161268174463 685.877801359886</t>
  </si>
  <si>
    <t>-448.321225417294 359.256639100689 760.903783110748</t>
  </si>
  <si>
    <t>-610.25992337246 24.5836152431849 -238.172521987991</t>
  </si>
  <si>
    <t>-633.308059013641 -7.11024922122147 215.834038833735</t>
  </si>
  <si>
    <t>-646.774702402876 -51.3618905754751 683.625537257372</t>
  </si>
  <si>
    <t>-487.506244166367 -77.2623947922225 753.670088214093</t>
  </si>
  <si>
    <t>9763-20170724T164114.824148900.bin</t>
  </si>
  <si>
    <t>-598.690947444856 122.60643629362 -235.025671694396</t>
  </si>
  <si>
    <t>-616.997445242459 131.288133577493 -354.429613015364</t>
  </si>
  <si>
    <t>-618.877012994662 128.752334878081 -475.593223195715</t>
  </si>
  <si>
    <t>-613.674551119765 122.09134506156 -584.787619583</t>
  </si>
  <si>
    <t>-601.637544400312 111.196062979377 -693.098594806375</t>
  </si>
  <si>
    <t>-577.773731469443 91.7636986927698 -842.272521019373</t>
  </si>
  <si>
    <t>-524.177445644893 77.839687613244 -927.809337544558</t>
  </si>
  <si>
    <t>-586.885540368215 131.885513634372 -780.142619189495</t>
  </si>
  <si>
    <t>-586.047692330974 278.640104538899 -771.298496380085</t>
  </si>
  <si>
    <t>-594.859471029225 353.591584607037 -463.904932760839</t>
  </si>
  <si>
    <t>-423.155352413771 215.317120658664 -325.919738917107</t>
  </si>
  <si>
    <t>-589.77992110619 68.838250105697 -772.392690711314</t>
  </si>
  <si>
    <t>-379.899897073009 11.9413579066388 -434.010896669234</t>
  </si>
  <si>
    <t>-587.685810997942 219.947601767073 -230.260232727252</t>
  </si>
  <si>
    <t>-580.183923220172 291.582078063965 219.706307514406</t>
  </si>
  <si>
    <t>-606.756326915276 350.945294831562 683.822238708334</t>
  </si>
  <si>
    <t>-447.935974190048 360.908871842856 758.79111689532</t>
  </si>
  <si>
    <t>-610.023448793684 24.7975659558193 -239.529634209585</t>
  </si>
  <si>
    <t>-632.855334142041 -6.6944768722589 214.501830814211</t>
  </si>
  <si>
    <t>-646.827323962065 -51.4355998520212 682.444063967352</t>
  </si>
  <si>
    <t>-487.618142438112 -77.7614260547031 752.464733716067</t>
  </si>
  <si>
    <t>9763-20170724T164114.893323900.bin</t>
  </si>
  <si>
    <t>-599.312242295566 121.430182253672 -237.206275118681</t>
  </si>
  <si>
    <t>-617.543054896485 130.249754816227 -356.611828385993</t>
  </si>
  <si>
    <t>-619.498128191668 127.684340938479 -477.773421236451</t>
  </si>
  <si>
    <t>-614.428964073531 120.918083336514 -586.967676558094</t>
  </si>
  <si>
    <t>-602.592154902477 109.833528705423 -695.281453199241</t>
  </si>
  <si>
    <t>-579.077280729521 90.0451128370748 -844.464062463099</t>
  </si>
  <si>
    <t>-525.602627602022 75.0997046372356 -929.90461682716</t>
  </si>
  <si>
    <t>-587.791722097004 130.307783070762 -782.3682230468</t>
  </si>
  <si>
    <t>-585.819193317717 277.092802045712 -773.686672770005</t>
  </si>
  <si>
    <t>-593.771380193906 354.290347124873 -466.826015131165</t>
  </si>
  <si>
    <t>-422.8402442453 215.637115172428 -328.262324811339</t>
  </si>
  <si>
    <t>-591.172119752137 67.2940552765872 -774.542628389834</t>
  </si>
  <si>
    <t>-384.484823783117 11.680070301126 -433.710887534146</t>
  </si>
  <si>
    <t>-588.217985016731 218.601423648164 -232.112356526699</t>
  </si>
  <si>
    <t>-580.152061568093 290.731106777943 217.765327218225</t>
  </si>
  <si>
    <t>-606.515219357969 351.264982121799 682.295079147668</t>
  </si>
  <si>
    <t>-447.63955116306 360.347078341816 757.258761590388</t>
  </si>
  <si>
    <t>-610.723568188004 23.705045707988 -241.871539652295</t>
  </si>
  <si>
    <t>-633.307674523281 -7.4137160445092 212.198113714938</t>
  </si>
  <si>
    <t>-646.922915030786 -51.4874225268003 680.384991305948</t>
  </si>
  <si>
    <t>-487.784666181841 -78.312239316008 750.377462219492</t>
  </si>
  <si>
    <t>9763-20170724T164114.923396500.bin</t>
  </si>
  <si>
    <t>-599.609813298056 120.759240706828 -238.038248362644</t>
  </si>
  <si>
    <t>-617.715116964712 129.608324516198 -357.460575958502</t>
  </si>
  <si>
    <t>-619.704153835811 127.022588816702 -478.621341205053</t>
  </si>
  <si>
    <t>-614.731667910196 120.21327700674 -587.817276360789</t>
  </si>
  <si>
    <t>-603.057491214679 109.058428595969 -696.141492643138</t>
  </si>
  <si>
    <t>-579.837099642602 89.1413885795559 -845.35319099917</t>
  </si>
  <si>
    <t>-526.511528946755 73.6875557164125 -930.796528539474</t>
  </si>
  <si>
    <t>-588.280556845762 129.4522481749 -783.251135849881</t>
  </si>
  <si>
    <t>-585.4985944609 276.245593908466 -774.629595202941</t>
  </si>
  <si>
    <t>-593.533258014008 353.82579862486 -467.867521784353</t>
  </si>
  <si>
    <t>-422.645690241509 215.246074194306 -329.176546435312</t>
  </si>
  <si>
    <t>-591.942148093323 66.455870726974 -775.412107173861</t>
  </si>
  <si>
    <t>-385.297654428861 11.140596310096 -430.087330430019</t>
  </si>
  <si>
    <t>-588.078845647512 218.1069698119 -232.772745544605</t>
  </si>
  <si>
    <t>-579.976713266951 290.324529384848 217.090103774297</t>
  </si>
  <si>
    <t>-606.496138354969 351.303222432752 681.817575629395</t>
  </si>
  <si>
    <t>-447.611694743437 360.096833554231 756.797034446202</t>
  </si>
  <si>
    <t>-611.199692634919 23.0933409956882 -242.759871568238</t>
  </si>
  <si>
    <t>-633.709916987342 -7.83425382805385 211.326480880098</t>
  </si>
  <si>
    <t>-646.988759261603 -51.5341255309201 679.547459272953</t>
  </si>
  <si>
    <t>-487.800676910898 -78.1011630310466 749.525053774412</t>
  </si>
  <si>
    <t>9763-20170724T164114.966262700.bin</t>
  </si>
  <si>
    <t>-599.73767909582 120.228454114523 -238.709741207769</t>
  </si>
  <si>
    <t>-617.779372607174 129.200168590601 -358.132459029434</t>
  </si>
  <si>
    <t>-619.860697163499 126.56992549095 -479.290745709094</t>
  </si>
  <si>
    <t>-615.033169964594 119.650518448294 -588.486258849679</t>
  </si>
  <si>
    <t>-603.564069496897 108.315634061368 -696.813698105245</t>
  </si>
  <si>
    <t>-580.689888796312 88.074409445243 -846.035197136898</t>
  </si>
  <si>
    <t>-527.561634439024 72.1237064405373 -931.510215439975</t>
  </si>
  <si>
    <t>-588.83870992302 128.514065452486 -783.977615521272</t>
  </si>
  <si>
    <t>-585.341959930595 275.302200224961 -775.544524685652</t>
  </si>
  <si>
    <t>-593.492762227454 353.003863579823 -468.816301976282</t>
  </si>
  <si>
    <t>-422.412128942711 214.673098324235 -330.114813856062</t>
  </si>
  <si>
    <t>-592.78329136685 65.5469918229117 -776.041076859364</t>
  </si>
  <si>
    <t>-387.193882207643 11.6861168026256 -431.762763564778</t>
  </si>
  <si>
    <t>-587.827029504578 217.727613518312 -233.248362586539</t>
  </si>
  <si>
    <t>-579.791918280998 289.99155237137 216.608243346457</t>
  </si>
  <si>
    <t>-606.490603338868 351.243482616818 681.434000497546</t>
  </si>
  <si>
    <t>-447.63073062467 360.489695769307 756.411038826434</t>
  </si>
  <si>
    <t>-611.655483806786 22.6160063889469 -243.488227134616</t>
  </si>
  <si>
    <t>-634.058132109262 -8.2124018316516 210.610211059381</t>
  </si>
  <si>
    <t>-647.06706210703 -51.5313087447894 678.839459893513</t>
  </si>
  <si>
    <t>-487.77545769893 -77.5717128441845 748.779462544926</t>
  </si>
  <si>
    <t>9763-20170724T164115.029433000.bin</t>
  </si>
  <si>
    <t>-599.638228209979 119.67977483899 -239.725960260007</t>
  </si>
  <si>
    <t>-617.736323475719 128.829094616115 -359.126790041743</t>
  </si>
  <si>
    <t>-620.170981878442 126.049536499464 -480.275194310082</t>
  </si>
  <si>
    <t>-615.781583445551 118.855009156316 -589.471407547807</t>
  </si>
  <si>
    <t>-604.867821814357 107.101525600971 -697.811497639892</t>
  </si>
  <si>
    <t>-582.885971899311 86.1259148181203 -847.065749812379</t>
  </si>
  <si>
    <t>-530.196799716803 69.4280321181622 -932.669563951577</t>
  </si>
  <si>
    <t>-590.339798347326 126.855336657435 -785.110269747548</t>
  </si>
  <si>
    <t>-585.349973651027 273.605540921599 -777.140663905431</t>
  </si>
  <si>
    <t>-593.684907698826 352.556143334795 -470.736451279171</t>
  </si>
  <si>
    <t>-422.256834759461 213.713340772293 -332.978941778772</t>
  </si>
  <si>
    <t>-594.884761280287 63.9586487963421 -776.940409149831</t>
  </si>
  <si>
    <t>-387.530403182303 11.7696307568676 -437.117162868599</t>
  </si>
  <si>
    <t>-587.035947048825 217.357267093141 -234.017461763715</t>
  </si>
  <si>
    <t>-579.343323135079 289.616433024825 215.845974252422</t>
  </si>
  <si>
    <t>-606.486657796225 351.165738947833 680.863433431219</t>
  </si>
  <si>
    <t>-447.654158544333 360.749702073963 755.856074820344</t>
  </si>
  <si>
    <t>-612.218881802769 21.9784790432123 -244.582175434266</t>
  </si>
  <si>
    <t>-634.659375827369 -8.56066369272882 209.533860175799</t>
  </si>
  <si>
    <t>-647.217335824935 -51.6571302123305 677.74344800419</t>
  </si>
  <si>
    <t>-487.949142063371 -77.844038514554 747.681961385968</t>
  </si>
  <si>
    <t>9763-20170724T164115.087517100.bin</t>
  </si>
  <si>
    <t>-599.24811314814 119.483509999735 -240.278628927874</t>
  </si>
  <si>
    <t>-617.748771276447 128.613714031089 -359.619229754502</t>
  </si>
  <si>
    <t>-620.815709183588 125.746551245563 -480.751099399681</t>
  </si>
  <si>
    <t>-617.090468141734 118.436358433362 -589.964411631937</t>
  </si>
  <si>
    <t>-606.932451622167 106.525894747928 -698.360888327166</t>
  </si>
  <si>
    <t>-586.095320425336 85.2839527787683 -847.741647979791</t>
  </si>
  <si>
    <t>-533.781396181348 68.4007688398266 -933.539077637766</t>
  </si>
  <si>
    <t>-592.796879252923 126.108271797871 -785.762721485859</t>
  </si>
  <si>
    <t>-586.75131361971 272.842551153516 -778.311499577359</t>
  </si>
  <si>
    <t>-596.340906102817 352.328862747373 -472.082521352667</t>
  </si>
  <si>
    <t>-424.78013417178 208.915897559715 -339.260497361548</t>
  </si>
  <si>
    <t>-597.833346615914 63.257495516566 -777.527812663411</t>
  </si>
  <si>
    <t>-389.388645379996 11.9765028660259 -444.113854319718</t>
  </si>
  <si>
    <t>-585.882029991576 217.084227745182 -234.531472219134</t>
  </si>
  <si>
    <t>-578.740370402798 289.582899865378 215.302483394828</t>
  </si>
  <si>
    <t>-606.48977987552 351.107025710536 680.449682084825</t>
  </si>
  <si>
    <t>-447.587308198088 359.031812207228 755.487833767367</t>
  </si>
  <si>
    <t>-612.763531361518 21.7946778256366 -245.086479642223</t>
  </si>
  <si>
    <t>-634.483164148471 -8.65432909342253 209.070649415046</t>
  </si>
  <si>
    <t>-647.223755766066 -51.7688028631113 677.165052918057</t>
  </si>
  <si>
    <t>-488.109087917697 -78.7226414115798 747.161776241747</t>
  </si>
  <si>
    <t>9763-20170724T164115.124119100.bin</t>
  </si>
  <si>
    <t>-599.094712756017 119.543892473598 -240.407399983781</t>
  </si>
  <si>
    <t>-617.942615839634 128.674421606492 -359.693600466502</t>
  </si>
  <si>
    <t>-621.312539486524 125.888208280082 -480.819424998221</t>
  </si>
  <si>
    <t>-617.839369872677 118.685622670679 -590.048182224382</t>
  </si>
  <si>
    <t>-607.909381046068 106.919163281356 -698.481503761141</t>
  </si>
  <si>
    <t>-587.362606400592 85.9164511935511 -847.936275888273</t>
  </si>
  <si>
    <t>-535.089869908019 69.27376468394 -933.805703597828</t>
  </si>
  <si>
    <t>-593.874601544837 126.637112716547 -785.869073754945</t>
  </si>
  <si>
    <t>-587.69208776295 273.329284322918 -778.410368544501</t>
  </si>
  <si>
    <t>-597.89930184294 352.745681022504 -472.183271632419</t>
  </si>
  <si>
    <t>-426.409644554318 206.217636697186 -342.711608810068</t>
  </si>
  <si>
    <t>-599.033236095376 63.7818516739857 -777.745247820462</t>
  </si>
  <si>
    <t>-391.322079866033 14.0222580245873 -446.330807939203</t>
  </si>
  <si>
    <t>-585.240236328701 217.094560327279 -234.734245349752</t>
  </si>
  <si>
    <t>-578.475757420165 289.667481912665 215.09360539302</t>
  </si>
  <si>
    <t>-606.485197871065 351.074385973314 680.288169115668</t>
  </si>
  <si>
    <t>-447.556898765352 358.434588552796 755.32909057188</t>
  </si>
  <si>
    <t>-613.032117741304 21.9666768266029 -245.173540218494</t>
  </si>
  <si>
    <t>-634.182852399542 -8.45444097400173 209.012390481489</t>
  </si>
  <si>
    <t>-647.193264123969 -51.6122320050103 677.031943734477</t>
  </si>
  <si>
    <t>-487.962898404853 -77.898090640903 747.019393910232</t>
  </si>
  <si>
    <t>9763-20170724T164115.191492200.bin</t>
  </si>
  <si>
    <t>-598.802140648242 119.678480848467 -240.352059694425</t>
  </si>
  <si>
    <t>-618.268509353154 128.954470623028 -359.527648242778</t>
  </si>
  <si>
    <t>-622.128974137251 126.645181255301 -480.648830085461</t>
  </si>
  <si>
    <t>-619.035598005358 120.019086627936 -589.92542954891</t>
  </si>
  <si>
    <t>-609.415002091903 108.98211559631 -698.463371296576</t>
  </si>
  <si>
    <t>-589.218563833363 89.1590916235583 -848.12676937327</t>
  </si>
  <si>
    <t>-537.011864690016 73.5718837150318 -934.234206250375</t>
  </si>
  <si>
    <t>-595.593346346985 129.389465450148 -785.726535634165</t>
  </si>
  <si>
    <t>-589.652902968276 276.116506274534 -777.662879432368</t>
  </si>
  <si>
    <t>-600.559823417511 354.395555213056 -471.167062864025</t>
  </si>
  <si>
    <t>-428.58374341797 203.483262295208 -347.507328559188</t>
  </si>
  <si>
    <t>-600.716405199151 66.4709054420069 -778.084167845057</t>
  </si>
  <si>
    <t>-395.689957189383 18.5777832081989 -446.982894157697</t>
  </si>
  <si>
    <t>-583.951570207292 217.333452679362 -234.845219557424</t>
  </si>
  <si>
    <t>-577.421544290204 289.899670868559 214.987138492127</t>
  </si>
  <si>
    <t>-606.499938821908 351.250820014125 680.0685440396</t>
  </si>
  <si>
    <t>-447.636655993514 360.159562455507 755.079224113839</t>
  </si>
  <si>
    <t>-613.379052780362 22.1629051586725 -245.157044227933</t>
  </si>
  <si>
    <t>-633.477036861161 -8.19906187508991 209.080643180556</t>
  </si>
  <si>
    <t>-647.137103217511 -51.5641510864146 676.941302953155</t>
  </si>
  <si>
    <t>-488.028143101389 -78.4914553472568 746.96102146853</t>
  </si>
  <si>
    <t>9763-20170724T164115.225591000.bin</t>
  </si>
  <si>
    <t>-598.668462627527 119.672301640235 -240.346561032643</t>
  </si>
  <si>
    <t>-618.284328194942 129.103036274906 -359.4856374609</t>
  </si>
  <si>
    <t>-622.273178743633 127.142441285592 -480.60876850609</t>
  </si>
  <si>
    <t>-619.282157609924 120.916011718381 -589.911585848093</t>
  </si>
  <si>
    <t>-609.746910460615 110.36671563042 -698.505612446976</t>
  </si>
  <si>
    <t>-589.648496082676 91.3162763131837 -848.282557292776</t>
  </si>
  <si>
    <t>-537.42653499698 76.4164006257112 -934.502241516281</t>
  </si>
  <si>
    <t>-596.031336276419 131.227194423924 -785.678264800657</t>
  </si>
  <si>
    <t>-590.408534431622 277.928601203488 -777.0768937436</t>
  </si>
  <si>
    <t>-601.602555440162 354.245174071787 -470.096968917561</t>
  </si>
  <si>
    <t>-429.119291781776 202.130637625078 -348.636108977525</t>
  </si>
  <si>
    <t>-601.051540815205 68.2637861241438 -778.343482504306</t>
  </si>
  <si>
    <t>-397.48664385017 20.4970880016345 -446.4430551274</t>
  </si>
  <si>
    <t>-583.566684406974 217.334154665458 -234.797106254123</t>
  </si>
  <si>
    <t>-577.028752059452 289.83693054705 215.045443516442</t>
  </si>
  <si>
    <t>-606.520215817013 351.206516148619 680.01345115735</t>
  </si>
  <si>
    <t>-447.652379943874 360.060649056223 755.020906754391</t>
  </si>
  <si>
    <t>-613.538133944688 22.1260689801906 -245.211065959075</t>
  </si>
  <si>
    <t>-633.131954988275 -8.18012602559972 209.052361529295</t>
  </si>
  <si>
    <t>-647.126057242372 -51.5174069592073 676.894553550689</t>
  </si>
  <si>
    <t>-488.003739841112 -78.3688197674384 746.913052282067</t>
  </si>
  <si>
    <t>9763-20170724T164115.293780800.bin</t>
  </si>
  <si>
    <t>-598.74124047355 119.208012004644 -240.332561478912</t>
  </si>
  <si>
    <t>-618.292229704699 128.981015856342 -359.454647451885</t>
  </si>
  <si>
    <t>-622.297458404122 127.822205846882 -480.587493775963</t>
  </si>
  <si>
    <t>-619.347101662676 122.517549050265 -589.940227463646</t>
  </si>
  <si>
    <t>-609.873114605904 113.092829588098 -698.642894429785</t>
  </si>
  <si>
    <t>-589.875570173016 95.8216200685007 -848.648885988196</t>
  </si>
  <si>
    <t>-537.61406425175 82.3825491644134 -935.084486690341</t>
  </si>
  <si>
    <t>-596.408933012082 134.998504273047 -785.598056759094</t>
  </si>
  <si>
    <t>-591.449393460758 281.629315194344 -775.613620510261</t>
  </si>
  <si>
    <t>-602.089108410869 354.220796421379 -467.712112484228</t>
  </si>
  <si>
    <t>-429.005527632331 199.775060191617 -350.108377649978</t>
  </si>
  <si>
    <t>-601.038700280894 71.9285876304129 -778.95364444871</t>
  </si>
  <si>
    <t>-398.736666114238 21.8521480499552 -445.122918595033</t>
  </si>
  <si>
    <t>-583.51200097369 216.830124578576 -234.621095981527</t>
  </si>
  <si>
    <t>-576.897304166932 289.539021627705 215.186981902353</t>
  </si>
  <si>
    <t>-606.607163803257 351.283574719433 679.980511986108</t>
  </si>
  <si>
    <t>-447.773827078646 361.085871340882 754.943132606283</t>
  </si>
  <si>
    <t>-613.860748077855 21.5889360531442 -245.440328507944</t>
  </si>
  <si>
    <t>-633.007749175201 -8.55619612847178 208.852854182872</t>
  </si>
  <si>
    <t>-647.1478589942 -51.5521252709194 676.731317616137</t>
  </si>
  <si>
    <t>-488.245562085638 -79.6614919613222 746.75584728559</t>
  </si>
  <si>
    <t>9763-20170724T164115.326368900.bin</t>
  </si>
  <si>
    <t>-598.912298771497 118.766556759215 -240.435606007946</t>
  </si>
  <si>
    <t>-618.424054784844 128.71716293165 -359.549286627379</t>
  </si>
  <si>
    <t>-622.425165119993 128.001673086899 -480.685890592148</t>
  </si>
  <si>
    <t>-619.483799923931 123.209180908701 -590.062420371252</t>
  </si>
  <si>
    <t>-610.029706625188 114.409907069067 -698.819247403095</t>
  </si>
  <si>
    <t>-590.06938322602 98.1275311188338 -848.940691293671</t>
  </si>
  <si>
    <t>-537.79322311801 85.4608571038625 -935.483996939352</t>
  </si>
  <si>
    <t>-596.702806340372 136.894817639027 -785.647643397952</t>
  </si>
  <si>
    <t>-592.044205394206 283.467175219474 -774.799051049806</t>
  </si>
  <si>
    <t>-602.439551870946 354.308960862878 -466.481673994224</t>
  </si>
  <si>
    <t>-429.246508090789 198.953147813976 -350.245814515016</t>
  </si>
  <si>
    <t>-601.099657075291 73.7691331386687 -779.385715415829</t>
  </si>
  <si>
    <t>-398.643980462205 21.6363993263908 -445.525798719853</t>
  </si>
  <si>
    <t>-583.703191951738 216.443213826125 -234.549988428362</t>
  </si>
  <si>
    <t>-577.207818570376 289.243967200717 215.244988213641</t>
  </si>
  <si>
    <t>-606.642229093378 351.308674537162 679.987523750528</t>
  </si>
  <si>
    <t>-447.80420669418 361.265162661176 754.919829174717</t>
  </si>
  <si>
    <t>-614.033741210611 21.0842374022804 -245.6370017314</t>
  </si>
  <si>
    <t>-633.175531871806 -8.9244061767895 208.665434837081</t>
  </si>
  <si>
    <t>-647.17779585048 -51.6779291079782 676.604975900829</t>
  </si>
  <si>
    <t>-488.418459013255 -80.5678887155395 746.636065948102</t>
  </si>
  <si>
    <t>9763-20170724T164115.392048100.bin</t>
  </si>
  <si>
    <t>-599.462016364612 117.778029264916 -240.595697005549</t>
  </si>
  <si>
    <t>-618.762738886262 127.964290973036 -359.723848522459</t>
  </si>
  <si>
    <t>-622.578451178288 128.012009227849 -480.868456985494</t>
  </si>
  <si>
    <t>-619.481069324679 124.128249025303 -590.27665450378</t>
  </si>
  <si>
    <t>-609.881981799869 116.458618667885 -699.106322683996</t>
  </si>
  <si>
    <t>-589.730568391221 101.978228906956 -849.386931060419</t>
  </si>
  <si>
    <t>-537.36987577981 90.5695712926417 -936.053948951018</t>
  </si>
  <si>
    <t>-596.605206291802 139.992273158355 -785.664112754578</t>
  </si>
  <si>
    <t>-592.330893757675 286.483334348124 -773.31145255214</t>
  </si>
  <si>
    <t>-602.842433443587 356.042999745552 -464.706411941003</t>
  </si>
  <si>
    <t>-430.489447304809 204.072357981714 -342.881023620358</t>
  </si>
  <si>
    <t>-600.688599107493 76.7784201163366 -780.12061355154</t>
  </si>
  <si>
    <t>-398.090134920962 18.9470685457927 -446.728679127525</t>
  </si>
  <si>
    <t>-584.321488932656 215.247210284066 -234.499919601477</t>
  </si>
  <si>
    <t>-577.881586976333 288.672286232066 215.194333639067</t>
  </si>
  <si>
    <t>-606.674941703705 351.318022068966 679.996082575092</t>
  </si>
  <si>
    <t>-447.738430794117 359.801558182503 754.900774262709</t>
  </si>
  <si>
    <t>-614.570449347101 20.2198483740683 -246.020381710405</t>
  </si>
  <si>
    <t>-633.584688449656 -9.56601299817768 208.30209366929</t>
  </si>
  <si>
    <t>-647.223662379157 -51.5922111034144 676.323163906973</t>
  </si>
  <si>
    <t>-488.221536324352 -79.2113209384817 746.316208406472</t>
  </si>
  <si>
    <t>9763-20170724T164115.423642200.bin</t>
  </si>
  <si>
    <t>-599.779846166572 117.149216785505 -240.712314681844</t>
  </si>
  <si>
    <t>-619.186056053977 127.454626822076 -359.81305338965</t>
  </si>
  <si>
    <t>-623.003183929134 127.841339887601 -480.957090956432</t>
  </si>
  <si>
    <t>-619.865727445198 124.3543873347 -590.377597543323</t>
  </si>
  <si>
    <t>-610.185889071934 117.172756862843 -699.233363359866</t>
  </si>
  <si>
    <t>-589.880364874985 103.466714204339 -849.565751030974</t>
  </si>
  <si>
    <t>-537.468812839227 92.5234819609031 -936.262036048952</t>
  </si>
  <si>
    <t>-596.839839810807 141.152999776873 -785.657736663806</t>
  </si>
  <si>
    <t>-592.558288462492 287.556044118255 -772.628374177222</t>
  </si>
  <si>
    <t>-604.027479243616 355.539166752065 -463.706044209389</t>
  </si>
  <si>
    <t>-432.237813229503 211.569024083193 -331.785855880779</t>
  </si>
  <si>
    <t>-600.890055162331 77.9094039207491 -780.43881729055</t>
  </si>
  <si>
    <t>-398.238666195091 16.5777227783092 -446.728449235266</t>
  </si>
  <si>
    <t>-584.486592308185 214.561839656069 -234.491347723458</t>
  </si>
  <si>
    <t>-577.996255653978 288.539064162048 215.111728449089</t>
  </si>
  <si>
    <t>-606.677119732347 351.427212263948 679.980221178882</t>
  </si>
  <si>
    <t>-447.746054065296 360.241396005717 754.858368126706</t>
  </si>
  <si>
    <t>-615.009585660823 19.5779972120465 -246.176305369582</t>
  </si>
  <si>
    <t>-633.620223585236 -10.0073263213562 208.175982986602</t>
  </si>
  <si>
    <t>-647.245186190818 -51.7906909854103 676.235720381545</t>
  </si>
  <si>
    <t>-488.509368298018 -80.7942501159791 746.273081985002</t>
  </si>
  <si>
    <t>9763-20170724T164115.461243500.bin</t>
  </si>
  <si>
    <t>-600.088334170795 116.489039456068 -240.759949468359</t>
  </si>
  <si>
    <t>-619.662269852437 126.914115446473 -359.822927100844</t>
  </si>
  <si>
    <t>-623.522849118898 127.638007397384 -480.963903156038</t>
  </si>
  <si>
    <t>-620.374521335473 124.546333904124 -590.396027602</t>
  </si>
  <si>
    <t>-610.633925041888 117.852083714318 -699.277299507679</t>
  </si>
  <si>
    <t>-590.192273775371 104.920973116197 -849.659997089771</t>
  </si>
  <si>
    <t>-537.748700665041 94.3533370830781 -936.383553316632</t>
  </si>
  <si>
    <t>-597.218144398432 142.277842932393 -785.566168783175</t>
  </si>
  <si>
    <t>-592.950113509289 288.612405999751 -771.835908031298</t>
  </si>
  <si>
    <t>-604.732064373143 355.374298728585 -462.659141687948</t>
  </si>
  <si>
    <t>-428.88875857791 233.059990329316 -315.14524147772</t>
  </si>
  <si>
    <t>-601.255908633033 79.0072792182692 -780.674471643851</t>
  </si>
  <si>
    <t>-398.876371565984 14.5465109459233 -446.809061953645</t>
  </si>
  <si>
    <t>-584.463643805009 213.669212613842 -234.421669413906</t>
  </si>
  <si>
    <t>-578.079614737278 288.503803217433 215.040971512552</t>
  </si>
  <si>
    <t>-606.617321913172 351.564549461723 679.956986359633</t>
  </si>
  <si>
    <t>-447.690783358799 359.819358508166 754.908546653836</t>
  </si>
  <si>
    <t>-615.557415823502 19.1466855455708 -246.264049650401</t>
  </si>
  <si>
    <t>-633.559300320171 -10.3126960056027 208.12089034129</t>
  </si>
  <si>
    <t>-647.248364331934 -51.5531419539663 676.182374049458</t>
  </si>
  <si>
    <t>-488.202907646201 -78.9558553283305 746.16190560875</t>
  </si>
  <si>
    <t>9763-20170724T164115.523444800.bin</t>
  </si>
  <si>
    <t>-600.479778552676 114.375052922959 -240.668395407457</t>
  </si>
  <si>
    <t>-619.959266575659 124.954741096411 -359.733193909855</t>
  </si>
  <si>
    <t>-623.626619982726 126.488943289819 -480.872601549532</t>
  </si>
  <si>
    <t>-620.266832629104 124.402557367681 -590.322116646389</t>
  </si>
  <si>
    <t>-610.279231091536 118.991077035889 -699.252498356504</t>
  </si>
  <si>
    <t>-589.457838537202 108.135550659207 -849.747029644372</t>
  </si>
  <si>
    <t>-536.949936281592 98.5994285725417 -936.551286207319</t>
  </si>
  <si>
    <t>-596.684533606109 144.606887132851 -785.167364314729</t>
  </si>
  <si>
    <t>-593.102288738346 290.746860754226 -769.342184563139</t>
  </si>
  <si>
    <t>-609.762385559425 355.155971780283 -459.890853915446</t>
  </si>
  <si>
    <t>-415.098385831088 269.491392536662 -310.192629753478</t>
  </si>
  <si>
    <t>-600.656754605521 81.2707153323714 -781.148362711704</t>
  </si>
  <si>
    <t>-400.109426058384 12.8790298592955 -448.044092511328</t>
  </si>
  <si>
    <t>-584.214516353067 211.039500977982 -234.174353062647</t>
  </si>
  <si>
    <t>-577.513248385218 288.693156097687 214.805307523178</t>
  </si>
  <si>
    <t>-606.310346148823 352.026976149657 679.480571643601</t>
  </si>
  <si>
    <t>-447.519395298614 359.370449566847 754.813255692427</t>
  </si>
  <si>
    <t>-616.584118590273 17.5346029674659 -246.29389541572</t>
  </si>
  <si>
    <t>-633.411429043473 -11.5686135511473 208.159151001423</t>
  </si>
  <si>
    <t>-647.255101678311 -51.5770558787239 676.229751918575</t>
  </si>
  <si>
    <t>-488.22633919491 -79.1381443210677 746.185196162533</t>
  </si>
  <si>
    <t>9763-20170724T164115.591166300.bin</t>
  </si>
  <si>
    <t>-600.630763253482 110.57726691977 -240.443583250334</t>
  </si>
  <si>
    <t>-619.72727379727 121.327307649878 -359.555246094899</t>
  </si>
  <si>
    <t>-623.081067106324 123.755766576009 -480.689076197263</t>
  </si>
  <si>
    <t>-619.461768848501 122.798282982967 -590.146139128748</t>
  </si>
  <si>
    <t>-609.235099753316 118.852580419667 -699.117236248314</t>
  </si>
  <si>
    <t>-588.099020469661 110.40012384541 -849.721991850402</t>
  </si>
  <si>
    <t>-535.557254485304 102.393375084466 -936.660190557866</t>
  </si>
  <si>
    <t>-595.764395529445 145.851591354707 -784.627060357374</t>
  </si>
  <si>
    <t>-594.464850215388 291.778583318077 -766.516557582433</t>
  </si>
  <si>
    <t>-615.080074165114 353.709412648723 -456.797858855614</t>
  </si>
  <si>
    <t>-408.043566758595 287.670760192351 -313.910345842207</t>
  </si>
  <si>
    <t>-599.137760570104 82.4285065349999 -781.541021958409</t>
  </si>
  <si>
    <t>-399.793929876416 10.0369499720333 -449.675134174642</t>
  </si>
  <si>
    <t>-583.569721172718 206.316878087425 -233.89899441913</t>
  </si>
  <si>
    <t>-575.902694922403 289.175666561685 214.133615632938</t>
  </si>
  <si>
    <t>-606.0759564885 353.122375422432 678.565080762716</t>
  </si>
  <si>
    <t>-447.502926817869 359.793516958685 754.417578947002</t>
  </si>
  <si>
    <t>-617.518873243549 14.6075722202734 -246.264308000611</t>
  </si>
  <si>
    <t>-633.553076364313 -13.7635563225496 208.263685111448</t>
  </si>
  <si>
    <t>-647.276995420008 -51.4915732347733 676.376803865139</t>
  </si>
  <si>
    <t>-488.120138068505 -78.367319435992 746.307586005015</t>
  </si>
  <si>
    <t>9763-20170724T164115.626756000.bin</t>
  </si>
  <si>
    <t>-600.60656928531 108.30584313384 -240.262642863684</t>
  </si>
  <si>
    <t>-619.629430568477 119.155442202699 -359.376988192611</t>
  </si>
  <si>
    <t>-622.835769774077 122.091970409979 -480.503693204684</t>
  </si>
  <si>
    <t>-619.051845872739 121.776184159615 -589.958959391727</t>
  </si>
  <si>
    <t>-608.628331349824 118.66487334623 -698.938243860948</t>
  </si>
  <si>
    <t>-587.185052339582 111.582488077401 -849.57044142711</t>
  </si>
  <si>
    <t>-534.539080317931 104.644624804891 -936.537275574155</t>
  </si>
  <si>
    <t>-595.190865993351 146.44966630632 -784.201444804057</t>
  </si>
  <si>
    <t>-595.434359692943 292.171552018275 -764.465777049167</t>
  </si>
  <si>
    <t>-619.853976708724 350.772094302412 -454.375840956842</t>
  </si>
  <si>
    <t>-406.735420921881 295.645449977753 -315.870924006908</t>
  </si>
  <si>
    <t>-598.155326208748 82.9828073646322 -781.639343174603</t>
  </si>
  <si>
    <t>-399.892485229192 9.25439096660752 -450.7911926348</t>
  </si>
  <si>
    <t>-583.218500551882 203.879549118076 -233.683461814617</t>
  </si>
  <si>
    <t>-574.825747066575 288.995989209436 213.912822647296</t>
  </si>
  <si>
    <t>-605.952576319703 353.503661592676 678.221908386327</t>
  </si>
  <si>
    <t>-447.479510909353 360.198733370857 754.280873008576</t>
  </si>
  <si>
    <t>-617.813869092407 12.7655993056399 -246.156617774987</t>
  </si>
  <si>
    <t>-633.346282969119 -15.1244177266745 208.418520898819</t>
  </si>
  <si>
    <t>-647.310418232678 -51.6406260377675 676.522431870789</t>
  </si>
  <si>
    <t>-488.203239312372 -78.8943167393861 746.419790233055</t>
  </si>
  <si>
    <t>9763-20170724T164115.695457800.bin</t>
  </si>
  <si>
    <t>-600.241171510372 102.976369034669 -239.649312132926</t>
  </si>
  <si>
    <t>-619.131709958882 113.926503183684 -358.77556158852</t>
  </si>
  <si>
    <t>-621.744811975398 118.367355023739 -479.870527390759</t>
  </si>
  <si>
    <t>-617.253518727174 120.009272421502 -589.287117826182</t>
  </si>
  <si>
    <t>-605.962188493092 119.470287177277 -698.22316789565</t>
  </si>
  <si>
    <t>-583.155052964189 116.619486067581 -848.794462163662</t>
  </si>
  <si>
    <t>-530.051624737976 112.640577615943 -935.668931826175</t>
  </si>
  <si>
    <t>-592.238382046261 149.655556476983 -782.620289363308</t>
  </si>
  <si>
    <t>-596.228071022335 294.670767934613 -758.70803379192</t>
  </si>
  <si>
    <t>-631.580235270631 340.661564023293 -447.546928284188</t>
  </si>
  <si>
    <t>-406.448504068942 304.949028748983 -322.31780569681</t>
  </si>
  <si>
    <t>-594.254683595129 86.1061850286534 -781.722499986816</t>
  </si>
  <si>
    <t>-397.561715202554 8.40427830391793 -453.372235337252</t>
  </si>
  <si>
    <t>-582.718519871925 197.970216802513 -232.841118583236</t>
  </si>
  <si>
    <t>-572.727082676065 288.11237796167 213.73723040738</t>
  </si>
  <si>
    <t>-605.755647994147 353.784899021105 677.776991922934</t>
  </si>
  <si>
    <t>-447.420378116084 361.262018273965 754.049807454876</t>
  </si>
  <si>
    <t>-617.571052557979 8.25584802028943 -245.78596649685</t>
  </si>
  <si>
    <t>-632.086625288166 -18.1334655750245 208.912434509307</t>
  </si>
  <si>
    <t>-647.295854213318 -51.6066041082345 677.033443834864</t>
  </si>
  <si>
    <t>-488.031382224034 -78.1971434796027 746.827977256517</t>
  </si>
  <si>
    <t>9763-20170724T164115.726045200.bin</t>
  </si>
  <si>
    <t>-600.08783225479 99.9305458777926 -239.173696027073</t>
  </si>
  <si>
    <t>-618.797002544201 110.958940692308 -358.321389016311</t>
  </si>
  <si>
    <t>-621.065276620457 116.402713987968 -479.382388957947</t>
  </si>
  <si>
    <t>-616.209058588088 119.343710426404 -588.756206807519</t>
  </si>
  <si>
    <t>-604.507935061873 120.506246860835 -697.644137801841</t>
  </si>
  <si>
    <t>-581.092139832365 120.448938744847 -848.148992316105</t>
  </si>
  <si>
    <t>-527.750404373833 118.282649761801 -934.941517607933</t>
  </si>
  <si>
    <t>-590.838080958364 152.26209423754 -781.471696768228</t>
  </si>
  <si>
    <t>-597.512668712995 296.826618077238 -755.300323705794</t>
  </si>
  <si>
    <t>-637.399070569311 334.190127184999 -443.532405055419</t>
  </si>
  <si>
    <t>-406.768507651651 308.368246692915 -326.123462124058</t>
  </si>
  <si>
    <t>-592.06762286571 88.6864531236311 -781.638686368227</t>
  </si>
  <si>
    <t>-395.964886354255 8.98055654693393 -454.706920075382</t>
  </si>
  <si>
    <t>-582.982764881563 194.905858867257 -232.22668905937</t>
  </si>
  <si>
    <t>-571.810362952816 286.959002828169 213.933731480312</t>
  </si>
  <si>
    <t>-605.749448927969 353.773072256976 677.7670222656</t>
  </si>
  <si>
    <t>-447.41102765262 361.417406087522 754.016613978599</t>
  </si>
  <si>
    <t>-617.165697170774 5.36209545262247 -245.508339837067</t>
  </si>
  <si>
    <t>-631.372227891896 -19.9641441866184 209.260280099529</t>
  </si>
  <si>
    <t>-647.271637825897 -51.6995712644291 677.402663021337</t>
  </si>
  <si>
    <t>-488.112941707091 -79.0245291662423 747.154786908796</t>
  </si>
  <si>
    <t>9763-20170724T164115.789720700.bin</t>
  </si>
  <si>
    <t>-600.325387625941 93.0925488197155 -238.027002265683</t>
  </si>
  <si>
    <t>-618.845693296517 104.106505389501 -357.205378415173</t>
  </si>
  <si>
    <t>-620.603182714431 111.653370498273 -478.162070303733</t>
  </si>
  <si>
    <t>-615.1925789804 117.39224052823 -587.398748697935</t>
  </si>
  <si>
    <t>-602.868904848204 122.268698500626 -696.114782614416</t>
  </si>
  <si>
    <t>-578.540213288568 128.347222018846 -846.351820691492</t>
  </si>
  <si>
    <t>-524.843827613914 130.036832374504 -932.936130684637</t>
  </si>
  <si>
    <t>-589.805562653498 157.424785877507 -778.672381278637</t>
  </si>
  <si>
    <t>-603.047196087705 300.54509358209 -747.575438192308</t>
  </si>
  <si>
    <t>-648.317651301293 319.581434719612 -434.88644340416</t>
  </si>
  <si>
    <t>-407.939487974608 316.701102609485 -335.628795245632</t>
  </si>
  <si>
    <t>-588.804198290379 93.8905889617761 -781.080820349217</t>
  </si>
  <si>
    <t>-394.323099189151 11.1304483624297 -457.811554176726</t>
  </si>
  <si>
    <t>-584.988734707075 187.802563139448 -230.612560142013</t>
  </si>
  <si>
    <t>-570.260730182314 283.171234577643 214.74741288433</t>
  </si>
  <si>
    <t>-605.788839446631 352.92692458176 678.140929100775</t>
  </si>
  <si>
    <t>-447.411912947962 362.183875402382 754.131510167246</t>
  </si>
  <si>
    <t>-630.499291152815 -23.9778848316802 210.144054112931</t>
  </si>
  <si>
    <t>-647.318778014287 -51.5712776721938 678.336032151712</t>
  </si>
  <si>
    <t>-487.840731164016 -77.6796009503044 747.824269964992</t>
  </si>
  <si>
    <t>9763-20170724T164115.826863000.bin</t>
  </si>
  <si>
    <t>-600.941800030262 89.4642037158376 -237.33328907453</t>
  </si>
  <si>
    <t>-619.392492752379 100.342650853164 -356.53504254883</t>
  </si>
  <si>
    <t>-621.030927433495 108.866252212481 -477.428469465854</t>
  </si>
  <si>
    <t>-615.516082023155 115.955373612818 -586.580671408765</t>
  </si>
  <si>
    <t>-603.107121104613 122.656395875548 -695.189790111471</t>
  </si>
  <si>
    <t>-578.693489252225 131.772465245918 -845.25934272797</t>
  </si>
  <si>
    <t>-524.924185326504 135.527863542384 -931.733274896923</t>
  </si>
  <si>
    <t>-590.672300207816 159.463548636621 -777.122571211531</t>
  </si>
  <si>
    <t>-607.072557641132 301.768588445708 -743.698049524048</t>
  </si>
  <si>
    <t>-651.176052829034 313.271175526473 -430.474935946359</t>
  </si>
  <si>
    <t>-408.316522389906 322.109030210778 -337.829240576515</t>
  </si>
  <si>
    <t>-588.319226581187 96.014247336957 -780.594051918875</t>
  </si>
  <si>
    <t>-393.822952356668 11.7320703683629 -459.130040708312</t>
  </si>
  <si>
    <t>-586.842251160181 184.37035682739 -229.730491367908</t>
  </si>
  <si>
    <t>-570.036558801975 280.904693180488 215.304834123175</t>
  </si>
  <si>
    <t>-605.839213413388 352.362528707102 678.415338770915</t>
  </si>
  <si>
    <t>-447.423143197802 362.675915691448 754.187999150867</t>
  </si>
  <si>
    <t>-630.668327947215 -26.1742792426925 210.678619856382</t>
  </si>
  <si>
    <t>-647.38532211717 -51.4490190375727 678.900048263287</t>
  </si>
  <si>
    <t>-487.36982518777 -74.5661515809574 748.21204222071</t>
  </si>
  <si>
    <t>9763-20170724T164115.891052700.bin</t>
  </si>
  <si>
    <t>-602.698728950108 82.6222848507332 -235.885564414824</t>
  </si>
  <si>
    <t>-620.699949143846 93.6203429893071 -355.144980421941</t>
  </si>
  <si>
    <t>-622.066992518573 103.761759982047 -475.916819974572</t>
  </si>
  <si>
    <t>-616.416050307924 112.930330941396 -584.907058965215</t>
  </si>
  <si>
    <t>-604.002425406918 122.328052702024 -693.315573734058</t>
  </si>
  <si>
    <t>-579.739372358623 135.837981156135 -843.078066027184</t>
  </si>
  <si>
    <t>-526.053755051539 143.090313435851 -929.381160308781</t>
  </si>
  <si>
    <t>-592.767678370871 161.474155113479 -774.332377587697</t>
  </si>
  <si>
    <t>-613.979475253935 302.408229020092 -738.003735430118</t>
  </si>
  <si>
    <t>-653.370503999096 302.947276648522 -423.9428454353</t>
  </si>
  <si>
    <t>-410.581638576248 332.128467401219 -335.376101770007</t>
  </si>
  <si>
    <t>-588.182363956442 98.2463695753656 -779.29332678609</t>
  </si>
  <si>
    <t>-392.171098331914 11.6733937205973 -462.401280990659</t>
  </si>
  <si>
    <t>-591.491221157588 178.551353973409 -228.027687863842</t>
  </si>
  <si>
    <t>-570.18705886667 275.990146363183 216.617607672349</t>
  </si>
  <si>
    <t>-606.015116185445 351.343562782387 679.079724674827</t>
  </si>
  <si>
    <t>-447.510415569534 362.965434597672 754.476644834985</t>
  </si>
  <si>
    <t>-631.81733035055 -31.1736372994283 211.578788407125</t>
  </si>
  <si>
    <t>-647.737519262714 -52.0367098938931 679.929663959489</t>
  </si>
  <si>
    <t>-487.341366914973 -72.4384916555633 749.214229070734</t>
  </si>
  <si>
    <t>9763-20170724T164115.926178600.bin</t>
  </si>
  <si>
    <t>-603.334058429352 79.7428291078573 -235.350652584741</t>
  </si>
  <si>
    <t>-621.504916283864 90.8874654161055 -354.570698436881</t>
  </si>
  <si>
    <t>-622.979408835086 101.567136766086 -475.294987005198</t>
  </si>
  <si>
    <t>-617.409426395459 111.384971138777 -584.232757911833</t>
  </si>
  <si>
    <t>-605.066888764089 121.594647676896 -692.576015859191</t>
  </si>
  <si>
    <t>-580.898327778593 136.403909702496 -842.230938334444</t>
  </si>
  <si>
    <t>-527.297005712994 144.966643438536 -928.466431625041</t>
  </si>
  <si>
    <t>-594.286955405222 161.416495269287 -773.324869638983</t>
  </si>
  <si>
    <t>-617.040142557183 301.891481676029 -736.187932156717</t>
  </si>
  <si>
    <t>-652.452298638856 299.860970048938 -421.659639066797</t>
  </si>
  <si>
    <t>-410.311703574743 334.472160837609 -333.273788761623</t>
  </si>
  <si>
    <t>-588.897366546453 98.286106736229 -778.701537049687</t>
  </si>
  <si>
    <t>-391.429309999822 11.1757764948475 -464.115570349296</t>
  </si>
  <si>
    <t>-593.308999963105 175.816315989022 -227.314536637564</t>
  </si>
  <si>
    <t>-569.874019586317 273.987737754573 217.062354684308</t>
  </si>
  <si>
    <t>-606.025990325977 350.839438181043 679.347724242143</t>
  </si>
  <si>
    <t>-447.549325653507 363.247248070755 754.6782886434</t>
  </si>
  <si>
    <t>-631.978638696494 -33.3754734187528 211.921636886322</t>
  </si>
  <si>
    <t>-647.895676606203 -52.46071375922 680.406706386874</t>
  </si>
  <si>
    <t>-487.361671781902 -71.6909747911124 749.707017829295</t>
  </si>
  <si>
    <t>9763-20170724T164115.989952200.bin</t>
  </si>
  <si>
    <t>-604.223294205468 75.0695219497554 -234.670219088169</t>
  </si>
  <si>
    <t>-623.00489342662 86.4639467340852 -353.772023294045</t>
  </si>
  <si>
    <t>-624.620770109635 97.7792045768719 -474.436511271272</t>
  </si>
  <si>
    <t>-618.997127496024 108.342760293017 -583.301748582006</t>
  </si>
  <si>
    <t>-606.428275241747 119.475637532471 -691.527979230113</t>
  </si>
  <si>
    <t>-581.775171251656 135.7595061046 -840.950416050449</t>
  </si>
  <si>
    <t>-528.054351996605 146.068748963152 -926.920059423878</t>
  </si>
  <si>
    <t>-595.927547134293 160.049360357154 -771.938681690469</t>
  </si>
  <si>
    <t>-620.386044553959 300.050379349678 -734.21143810645</t>
  </si>
  <si>
    <t>-648.029519804002 298.042564586276 -418.905131179502</t>
  </si>
  <si>
    <t>-406.569989221201 335.604560742406 -329.863510624263</t>
  </si>
  <si>
    <t>-589.439372060514 97.0594232418295 -777.73275003782</t>
  </si>
  <si>
    <t>-388.391227418163 9.6509697891572 -465.530574416883</t>
  </si>
  <si>
    <t>-595.396130670851 170.976453215561 -226.216871191168</t>
  </si>
  <si>
    <t>-568.835973348258 270.816337845757 217.61214380877</t>
  </si>
  <si>
    <t>-605.957826275164 350.175267973708 679.547202915914</t>
  </si>
  <si>
    <t>-447.601119991358 363.730464346073 754.932482574319</t>
  </si>
  <si>
    <t>-631.127988446037 -36.117968103909 212.492184162442</t>
  </si>
  <si>
    <t>-648.079050038371 -52.5404690357685 681.27216937759</t>
  </si>
  <si>
    <t>-487.198354848962 -68.6633288769322 750.56110803155</t>
  </si>
  <si>
    <t>9763-20170724T164116.023553800.bin</t>
  </si>
  <si>
    <t>-604.375701136558 73.5955855419581 -234.414728001338</t>
  </si>
  <si>
    <t>-623.534329214033 85.1053294629443 -353.445204680752</t>
  </si>
  <si>
    <t>-625.189359885873 96.4673796203083 -474.104823940155</t>
  </si>
  <si>
    <t>-619.461974025235 107.055919086975 -582.962200270792</t>
  </si>
  <si>
    <t>-606.651299607244 118.202227450425 -691.158843784097</t>
  </si>
  <si>
    <t>-581.520552120455 134.498290036587 -840.500279045327</t>
  </si>
  <si>
    <t>-527.641172831848 145.123787697321 -926.332045283102</t>
  </si>
  <si>
    <t>-596.010958702123 158.772035614364 -771.553069574465</t>
  </si>
  <si>
    <t>-620.599674789387 298.791803042535 -733.924610053962</t>
  </si>
  <si>
    <t>-644.666089443759 299.694318244 -418.320119276623</t>
  </si>
  <si>
    <t>-402.756322241523 332.207836587691 -328.517073061447</t>
  </si>
  <si>
    <t>-589.269302389432 95.8035380762303 -777.289685477974</t>
  </si>
  <si>
    <t>-387.374751844623 9.58397553170187 -465.323271507321</t>
  </si>
  <si>
    <t>-595.926608867581 169.258352475723 -225.716967800804</t>
  </si>
  <si>
    <t>-568.277356128385 270.055362460138 217.829111523504</t>
  </si>
  <si>
    <t>-605.861659210436 349.767895245799 679.634274305758</t>
  </si>
  <si>
    <t>-447.613360976309 364.109086673689 755.101519156949</t>
  </si>
  <si>
    <t>-630.203743174059 -36.9429871856712 212.797333747556</t>
  </si>
  <si>
    <t>-648.048363269962 -52.5150955256857 681.665871185459</t>
  </si>
  <si>
    <t>-487.161908140784 -68.2202993440737 751.037331439328</t>
  </si>
  <si>
    <t>9763-20170724T164116.093085300.bin</t>
  </si>
  <si>
    <t>-605.363735392344 72.886955308102 -233.999476551116</t>
  </si>
  <si>
    <t>-625.261209145203 84.5739574351681 -352.891474935627</t>
  </si>
  <si>
    <t>-626.779782431085 95.5889042017131 -473.585020591746</t>
  </si>
  <si>
    <t>-620.56089147251 105.678331802126 -582.462781732963</t>
  </si>
  <si>
    <t>-606.888707419763 116.157473082598 -690.620581428286</t>
  </si>
  <si>
    <t>-580.1770028058 131.366953222966 -839.802330028174</t>
  </si>
  <si>
    <t>-525.606667039296 141.745530429514 -925.226655148181</t>
  </si>
  <si>
    <t>-595.365017708486 156.144247679354 -771.185022196458</t>
  </si>
  <si>
    <t>-619.401227433107 296.535339535272 -734.715475729714</t>
  </si>
  <si>
    <t>-638.487570365702 303.628364122902 -418.849044523155</t>
  </si>
  <si>
    <t>-397.083347648719 323.256347422611 -324.082125620956</t>
  </si>
  <si>
    <t>-588.627175215544 93.130233530728 -776.403078647835</t>
  </si>
  <si>
    <t>-387.794229926419 11.7782252123528 -462.35175880378</t>
  </si>
  <si>
    <t>-596.607885007246 168.872191334501 -225.407483678278</t>
  </si>
  <si>
    <t>-567.435657986833 269.178324069448 218.152405158729</t>
  </si>
  <si>
    <t>-605.640428482914 349.168425812321 679.672456703861</t>
  </si>
  <si>
    <t>-447.654248052889 364.784734664478 755.435321094224</t>
  </si>
  <si>
    <t>-629.24239732085 -37.2402775173142 213.320570306559</t>
  </si>
  <si>
    <t>-648.018358708617 -52.8128225949581 682.293450846389</t>
  </si>
  <si>
    <t>-487.244985956724 -68.9805635708406 751.820792181448</t>
  </si>
  <si>
    <t>9763-20170724T164116.124704100.bin</t>
  </si>
  <si>
    <t>-606.48638809222 74.0411464761872 -234.130154780369</t>
  </si>
  <si>
    <t>-626.916839149468 85.6298416940953 -352.941383141674</t>
  </si>
  <si>
    <t>-628.425650391082 96.2194805062404 -473.673270941331</t>
  </si>
  <si>
    <t>-621.968856641233 105.800302929511 -582.583094444356</t>
  </si>
  <si>
    <t>-607.827653612011 115.65227937837 -690.739528724863</t>
  </si>
  <si>
    <t>-580.223605678827 129.871273667009 -839.856435545762</t>
  </si>
  <si>
    <t>-525.250141475602 139.727024635725 -925.084150153141</t>
  </si>
  <si>
    <t>-595.702385571415 155.114189692442 -771.474311433716</t>
  </si>
  <si>
    <t>-618.895307558222 295.86646753684 -735.813523265601</t>
  </si>
  <si>
    <t>-634.638076158897 306.954760682181 -419.877875682421</t>
  </si>
  <si>
    <t>-394.687719682597 315.771002566693 -319.937071940172</t>
  </si>
  <si>
    <t>-589.172702816026 92.0453921615937 -776.279337248654</t>
  </si>
  <si>
    <t>-389.83745560608 14.4161544017354 -460.037247737792</t>
  </si>
  <si>
    <t>-597.649912586957 170.334652458708 -225.658406651209</t>
  </si>
  <si>
    <t>-567.707702949644 269.560564996715 218.09295533413</t>
  </si>
  <si>
    <t>-605.660556757306 349.111767840586 679.748844599015</t>
  </si>
  <si>
    <t>-447.701283833063 364.392327613332 755.636180775907</t>
  </si>
  <si>
    <t>-629.453790967784 -36.5999790769631 213.472932960463</t>
  </si>
  <si>
    <t>-648.012790962262 -53.0101864383324 682.495282409194</t>
  </si>
  <si>
    <t>-487.370363451401 -70.0883883519947 752.107469342357</t>
  </si>
  <si>
    <t>9763-20170724T164116.195393600.bin</t>
  </si>
  <si>
    <t>-610.296990441425 78.1876480719089 -234.455363668957</t>
  </si>
  <si>
    <t>-630.865661259386 89.2044106518076 -353.297161340053</t>
  </si>
  <si>
    <t>-631.641796885442 98.5733768034777 -474.136647089506</t>
  </si>
  <si>
    <t>-624.159061486199 106.791367780196 -583.092179763486</t>
  </si>
  <si>
    <t>-608.62653409441 115.02438800523 -691.193074239496</t>
  </si>
  <si>
    <t>-578.709884857014 126.729187362781 -840.082483914625</t>
  </si>
  <si>
    <t>-522.583777195474 135.19780458555 -924.705828132806</t>
  </si>
  <si>
    <t>-594.920967803174 153.148373203128 -772.316958259063</t>
  </si>
  <si>
    <t>-616.14632127772 294.807001497956 -738.932135671652</t>
  </si>
  <si>
    <t>-620.121598396006 311.019862447757 -422.85076018178</t>
  </si>
  <si>
    <t>-388.31610593981 304.080626240466 -305.121682185278</t>
  </si>
  <si>
    <t>-588.9732522478 89.951949438087 -776.090049773865</t>
  </si>
  <si>
    <t>-394.707687589617 20.7413449793668 -454.078956590268</t>
  </si>
  <si>
    <t>-601.193923155648 174.962457971552 -226.43170375823</t>
  </si>
  <si>
    <t>-568.649143582981 272.225533075663 217.570969587073</t>
  </si>
  <si>
    <t>-605.750709176164 349.327712412908 679.675980173544</t>
  </si>
  <si>
    <t>-447.750276874993 364.14065450212 755.570374734794</t>
  </si>
  <si>
    <t>-631.402738359542 -34.3290882085771 213.70759972262</t>
  </si>
  <si>
    <t>-647.925230846049 -53.1463582903631 682.803978160129</t>
  </si>
  <si>
    <t>-487.369273585161 -69.8292272008513 752.710880183275</t>
  </si>
  <si>
    <t>9763-20170724T164116.224976700.bin</t>
  </si>
  <si>
    <t>-612.909365372474 81.1580484779799 -234.66403506845</t>
  </si>
  <si>
    <t>-633.515857454799 91.6570314149348 -353.546058371482</t>
  </si>
  <si>
    <t>-633.88499724979 100.254004633756 -474.444942440709</t>
  </si>
  <si>
    <t>-625.852222824637 107.661451965356 -583.419456668429</t>
  </si>
  <si>
    <t>-609.588437826247 114.965637399455 -691.479487336368</t>
  </si>
  <si>
    <t>-578.468553462124 125.251001983723 -840.226861937397</t>
  </si>
  <si>
    <t>-521.770462576393 132.872968636628 -924.548958407887</t>
  </si>
  <si>
    <t>-594.97922220687 152.334430645151 -772.796850592128</t>
  </si>
  <si>
    <t>-615.02528602063 294.323882323814 -740.320855889996</t>
  </si>
  <si>
    <t>-608.642264128677 311.222832102038 -424.314675982892</t>
  </si>
  <si>
    <t>-383.599076340842 294.863408648098 -294.970307996075</t>
  </si>
  <si>
    <t>-589.497087926259 89.0657442652222 -776.024819933776</t>
  </si>
  <si>
    <t>-398.913554292944 23.7774601708311 -450.963922777004</t>
  </si>
  <si>
    <t>-603.844112737875 178.132283421918 -226.975155347246</t>
  </si>
  <si>
    <t>-569.960152454176 274.125810392645 217.203601685702</t>
  </si>
  <si>
    <t>-605.900520195392 349.602365605044 679.670867525728</t>
  </si>
  <si>
    <t>-447.790453846291 363.781090720517 755.457884570222</t>
  </si>
  <si>
    <t>-632.69897735495 -32.8135055183928 213.895317840717</t>
  </si>
  <si>
    <t>-647.861438910284 -53.2505767422354 682.980402182076</t>
  </si>
  <si>
    <t>-487.298015450746 -68.699095657849 753.153443784051</t>
  </si>
  <si>
    <t>9763-20170724T164116.260600600.bin</t>
  </si>
  <si>
    <t>-615.947910275774 84.2107630415012 -234.797389930837</t>
  </si>
  <si>
    <t>-636.084473462278 94.3219263711198 -353.793580148972</t>
  </si>
  <si>
    <t>-635.769151668137 102.413299133907 -474.727496962511</t>
  </si>
  <si>
    <t>-627.035923935845 109.296918505891 -583.682542773184</t>
  </si>
  <si>
    <t>-609.992744152554 115.999801188321 -691.661415350996</t>
  </si>
  <si>
    <t>-577.709367539133 125.358459591392 -840.221802327892</t>
  </si>
  <si>
    <t>-520.43437280266 132.287149413496 -924.213211724512</t>
  </si>
  <si>
    <t>-594.406946563225 152.885555727455 -773.017971760666</t>
  </si>
  <si>
    <t>-612.641147589681 295.130246925123 -740.766200341842</t>
  </si>
  <si>
    <t>-596.880572145316 311.524249727901 -425.062050781509</t>
  </si>
  <si>
    <t>-379.813530734081 287.411712055057 -283.844094663178</t>
  </si>
  <si>
    <t>-589.580484540338 89.5494824603128 -775.958940096617</t>
  </si>
  <si>
    <t>-403.333925100905 26.4367229092868 -447.637070548128</t>
  </si>
  <si>
    <t>-606.741347006872 181.381033283867 -227.486304348826</t>
  </si>
  <si>
    <t>-572.107190799796 275.846574549309 216.962075813465</t>
  </si>
  <si>
    <t>-606.119435562381 349.997412376445 679.736141372346</t>
  </si>
  <si>
    <t>-447.842136976585 363.023227268959 755.380923968636</t>
  </si>
  <si>
    <t>-634.368489572308 -31.2426782852395 214.058503695527</t>
  </si>
  <si>
    <t>-647.820314627675 -53.517608813237 683.157492202479</t>
  </si>
  <si>
    <t>-487.295586416368 -68.2596174190541 753.570518238248</t>
  </si>
  <si>
    <t>9763-20170724T164116.320793400.bin</t>
  </si>
  <si>
    <t>-621.299686699462 91.3531887185148 -235.266569366293</t>
  </si>
  <si>
    <t>-640.10398521896 101.381168341524 -354.487559816041</t>
  </si>
  <si>
    <t>-638.189691713957 109.208048379157 -475.424096429311</t>
  </si>
  <si>
    <t>-627.917428009838 115.734334933806 -584.266827356147</t>
  </si>
  <si>
    <t>-609.248486321328 121.939062193115 -692.006397998048</t>
  </si>
  <si>
    <t>-574.620816536974 130.436153450617 -840.089948353317</t>
  </si>
  <si>
    <t>-516.218110646488 136.266039904699 -923.385287836525</t>
  </si>
  <si>
    <t>-591.322123622321 158.405079012929 -773.069537708128</t>
  </si>
  <si>
    <t>-603.265587087591 301.246981930647 -740.16084795195</t>
  </si>
  <si>
    <t>-575.698139150512 315.743996607334 -425.175198395179</t>
  </si>
  <si>
    <t>-374.29560859032 268.489450357927 -267.548712131331</t>
  </si>
  <si>
    <t>-588.562882137178 94.9479171709989 -776.065561311222</t>
  </si>
  <si>
    <t>-413.114901591528 32.0247163177793 -441.550524149185</t>
  </si>
  <si>
    <t>-610.859388394462 188.603116311376 -228.670029816222</t>
  </si>
  <si>
    <t>-577.530563827114 278.774214117666 216.769160718559</t>
  </si>
  <si>
    <t>-606.401922190769 350.983694821862 679.834280400614</t>
  </si>
  <si>
    <t>-447.791128809337 362.095488529446 755.084783112947</t>
  </si>
  <si>
    <t>-638.307676033376 -28.3166834060725 213.855675731554</t>
  </si>
  <si>
    <t>-647.80801001547 -54.2519298378231 683.021880380207</t>
  </si>
  <si>
    <t>-487.467354812419 -68.7947330662165 753.894280506592</t>
  </si>
  <si>
    <t>9763-20170724T164116.394137700.bin</t>
  </si>
  <si>
    <t>-625.198109764402 98.9449697051548 -236.470903782036</t>
  </si>
  <si>
    <t>-642.362634715424 109.186641791777 -355.920941608416</t>
  </si>
  <si>
    <t>-638.477697205567 116.691382190251 -476.830625014785</t>
  </si>
  <si>
    <t>-626.30086414884 122.69208385179 -585.507027361177</t>
  </si>
  <si>
    <t>-605.611204371276 128.135115257021 -692.918262277392</t>
  </si>
  <si>
    <t>-568.060730755135 135.323157539434 -840.357348270547</t>
  </si>
  <si>
    <t>-508.443139601206 139.743651651686 -922.87510762762</t>
  </si>
  <si>
    <t>-584.697462410776 163.899088255898 -773.57735954436</t>
  </si>
  <si>
    <t>-589.774000470364 307.240237148401 -740.838699137842</t>
  </si>
  <si>
    <t>-566.351195752061 318.13724654511 -425.372680194917</t>
  </si>
  <si>
    <t>-372.511793554665 251.505844838759 -265.283323185451</t>
  </si>
  <si>
    <t>-584.653874844017 100.386277362798 -776.662726133316</t>
  </si>
  <si>
    <t>-420.976158315824 34.8853489434619 -436.925274559589</t>
  </si>
  <si>
    <t>-611.650385135748 196.23192348955 -230.353874940107</t>
  </si>
  <si>
    <t>-584.516112082002 280.178077867021 216.719346713885</t>
  </si>
  <si>
    <t>-606.558635502576 351.546915670694 680.219246948753</t>
  </si>
  <si>
    <t>-447.452453360849 359.062167134126 754.866747896119</t>
  </si>
  <si>
    <t>-638.509121185023 0.988481124508681 -242.142145146821</t>
  </si>
  <si>
    <t>-643.749323307585 -25.0905976997119 212.775553843039</t>
  </si>
  <si>
    <t>-648.045698973935 -54.8433223182678 682.093435057952</t>
  </si>
  <si>
    <t>-487.983004043562 -71.1224168124414 753.216089436165</t>
  </si>
  <si>
    <t>9763-20170724T164116.425249800.bin</t>
  </si>
  <si>
    <t>-626.792063000002 102.323029275548 -237.319646738568</t>
  </si>
  <si>
    <t>-643.147740819002 112.72462670106 -356.869112546733</t>
  </si>
  <si>
    <t>-638.253247159802 119.896405114826 -477.76232533675</t>
  </si>
  <si>
    <t>-625.083636863226 125.402027459561 -586.349291679383</t>
  </si>
  <si>
    <t>-603.322865014442 130.164893558298 -693.580972469763</t>
  </si>
  <si>
    <t>-564.205093125142 136.221173300551 -840.663057364971</t>
  </si>
  <si>
    <t>-503.980007489123 139.743994493977 -922.781941511629</t>
  </si>
  <si>
    <t>-580.818071530923 165.292698751329 -774.091487051284</t>
  </si>
  <si>
    <t>-583.357229493967 308.817265416464 -741.97452232008</t>
  </si>
  <si>
    <t>-566.151823189012 320.516354460228 -426.137090992832</t>
  </si>
  <si>
    <t>-372.991213221629 251.056914793576 -266.429772638704</t>
  </si>
  <si>
    <t>-582.208871743606 101.790324261675 -777.076037808554</t>
  </si>
  <si>
    <t>-424.161188703903 35.7922410887408 -434.805592261498</t>
  </si>
  <si>
    <t>-611.232184067166 199.800910828243 -231.251808298493</t>
  </si>
  <si>
    <t>-587.446333983576 281.213176612844 216.4801398651</t>
  </si>
  <si>
    <t>-606.651408305863 352.032346953054 680.300945361036</t>
  </si>
  <si>
    <t>-447.378740161629 359.307511532246 754.616395808106</t>
  </si>
  <si>
    <t>-642.469366152512 4.25603671742496 -242.716064472756</t>
  </si>
  <si>
    <t>-646.84433480647 -23.3918606738179 212.118063568224</t>
  </si>
  <si>
    <t>-648.215587742906 -55.1482249055859 681.490723879765</t>
  </si>
  <si>
    <t>-488.252162897191 -72.4022053390872 752.606926026422</t>
  </si>
  <si>
    <t>9763-20170724T164116.491023500.bin</t>
  </si>
  <si>
    <t>-629.779536229979 109.701051487721 -238.956051851954</t>
  </si>
  <si>
    <t>-644.452418697253 120.496087944128 -358.688834795072</t>
  </si>
  <si>
    <t>-637.591192127612 126.930492928794 -479.528059942078</t>
  </si>
  <si>
    <t>-622.525895317393 131.338049781136 -587.918283888522</t>
  </si>
  <si>
    <t>-598.752319879911 134.599110425288 -694.778237555298</t>
  </si>
  <si>
    <t>-556.71844209196 138.169923595812 -841.135466829309</t>
  </si>
  <si>
    <t>-495.188146527676 139.823690512993 -922.340537619896</t>
  </si>
  <si>
    <t>-573.317159181548 168.292207937199 -775.028920906821</t>
  </si>
  <si>
    <t>-571.530320050381 312.102152486588 -744.277722514421</t>
  </si>
  <si>
    <t>-569.925815276948 328.816522738 -428.201473744462</t>
  </si>
  <si>
    <t>-376.550446615006 253.612129055031 -271.381975201382</t>
  </si>
  <si>
    <t>-577.317168496857 104.887680719538 -777.724677541894</t>
  </si>
  <si>
    <t>-427.598386644357 38.315012772524 -430.589738354779</t>
  </si>
  <si>
    <t>-609.303176778521 208.046207416299 -233.109464445413</t>
  </si>
  <si>
    <t>-591.733641281325 283.603711253645 215.933927315114</t>
  </si>
  <si>
    <t>-606.427530003697 352.608812459072 680.48222169824</t>
  </si>
  <si>
    <t>-447.132740385016 359.718062016686 754.76642379506</t>
  </si>
  <si>
    <t>-650.332515315829 11.2987870577603 -243.987895844515</t>
  </si>
  <si>
    <t>-653.991663671574 -19.2516872989463 210.666837001629</t>
  </si>
  <si>
    <t>-648.445767134436 -55.2079004175919 680.039693064105</t>
  </si>
  <si>
    <t>-488.754499017103 -74.9600272310822 751.117557438254</t>
  </si>
  <si>
    <t>9763-20170724T164116.522138700.bin</t>
  </si>
  <si>
    <t>-630.93618830025 113.353630654647 -239.649858505839</t>
  </si>
  <si>
    <t>-644.833712386041 124.153687825808 -359.474796245174</t>
  </si>
  <si>
    <t>-637.033805677579 130.061138044879 -480.283862799194</t>
  </si>
  <si>
    <t>-621.053024357535 133.790486203456 -588.568560125638</t>
  </si>
  <si>
    <t>-596.298166220085 136.184808209732 -695.228314936253</t>
  </si>
  <si>
    <t>-552.834164302773 138.365887450476 -841.194482199155</t>
  </si>
  <si>
    <t>-490.654761688629 139.091247071088 -921.917320894266</t>
  </si>
  <si>
    <t>-569.499314009213 169.066730670957 -775.371591933599</t>
  </si>
  <si>
    <t>-565.766153038785 312.973343592456 -745.289816960574</t>
  </si>
  <si>
    <t>-572.549451550187 332.955790601453 -429.471999973174</t>
  </si>
  <si>
    <t>-378.019748301122 257.67161306849 -274.125540209968</t>
  </si>
  <si>
    <t>-574.631915673251 105.734860626476 -777.846274968436</t>
  </si>
  <si>
    <t>-428.942052956651 39.0637975169417 -428.421063812325</t>
  </si>
  <si>
    <t>-608.048297528056 211.868209658234 -233.91238167791</t>
  </si>
  <si>
    <t>-593.430168691699 285.049061430914 215.630173042341</t>
  </si>
  <si>
    <t>-606.254041732605 352.481631963583 680.547395613286</t>
  </si>
  <si>
    <t>-447.080675459916 360.099876427785 755.041088225179</t>
  </si>
  <si>
    <t>-653.77890453023 14.8960098888739 -244.528194063005</t>
  </si>
  <si>
    <t>-657.371176343522 -17.1444070170378 210.024464924473</t>
  </si>
  <si>
    <t>-648.512100658953 -55.036001419738 679.313310760884</t>
  </si>
  <si>
    <t>-488.857402763522 -75.2135298898478 750.353797519455</t>
  </si>
  <si>
    <t>9763-20170724T164116.591325000.bin</t>
  </si>
  <si>
    <t>-633.644023023152 120.401723203248 -240.81300131542</t>
  </si>
  <si>
    <t>-646.238082735083 130.704095689129 -360.825772734327</t>
  </si>
  <si>
    <t>-636.837409294834 135.379014550302 -481.574914062277</t>
  </si>
  <si>
    <t>-619.294922185131 137.710409322171 -589.656706974905</t>
  </si>
  <si>
    <t>-592.869087558086 138.438513427304 -695.939284285025</t>
  </si>
  <si>
    <t>-546.975734946206 138.036841815742 -841.175874308679</t>
  </si>
  <si>
    <t>-483.612529719597 136.965684680345 -920.968988248614</t>
  </si>
  <si>
    <t>-563.800145293148 169.80095501267 -775.900343185894</t>
  </si>
  <si>
    <t>-556.227627124657 313.805468988811 -747.125610352285</t>
  </si>
  <si>
    <t>-575.206832616552 344.344327908078 -432.652434923443</t>
  </si>
  <si>
    <t>-381.540809059243 262.529800168043 -279.54509287369</t>
  </si>
  <si>
    <t>-570.764146570465 106.628193054292 -777.926136310895</t>
  </si>
  <si>
    <t>-432.240293112677 38.5803165198801 -425.015280888992</t>
  </si>
  <si>
    <t>-607.880319964922 218.810779926407 -235.435820503424</t>
  </si>
  <si>
    <t>-596.460072339279 288.574389555255 214.742239428243</t>
  </si>
  <si>
    <t>-606.197965916029 352.40137572805 680.329126412914</t>
  </si>
  <si>
    <t>-447.07013363818 360.096643005503 754.912101951717</t>
  </si>
  <si>
    <t>-659.617232299926 22.1401983362452 -245.220315524665</t>
  </si>
  <si>
    <t>-662.580490247919 -13.1085621876364 209.099423011132</t>
  </si>
  <si>
    <t>-648.61615457634 -54.9130063532003 677.940284220765</t>
  </si>
  <si>
    <t>-489.252718380356 -77.5740941569538 748.885857895915</t>
  </si>
  <si>
    <t>9763-20170724T164116.624424100.bin</t>
  </si>
  <si>
    <t>-635.458899971487 123.699454849252 -241.19113524595</t>
  </si>
  <si>
    <t>-647.282758671501 133.651084021054 -361.311937949702</t>
  </si>
  <si>
    <t>-637.161656344728 137.722696044771 -482.024485051452</t>
  </si>
  <si>
    <t>-618.992031174358 139.40818281319 -590.014800936967</t>
  </si>
  <si>
    <t>-591.964031429915 139.393108113781 -696.148283392874</t>
  </si>
  <si>
    <t>-545.260835114997 137.859321405546 -841.118934646821</t>
  </si>
  <si>
    <t>-481.400408786897 135.983646858631 -920.499620528983</t>
  </si>
  <si>
    <t>-562.116067950543 170.090099943509 -776.08048707135</t>
  </si>
  <si>
    <t>-553.093900074346 314.106277756363 -747.934732394301</t>
  </si>
  <si>
    <t>-575.098674641976 350.357322411459 -434.26649061377</t>
  </si>
  <si>
    <t>-383.280532489963 263.827044980705 -281.425418384807</t>
  </si>
  <si>
    <t>-569.735075277567 106.985831651142 -777.86721573669</t>
  </si>
  <si>
    <t>-434.047307678915 37.7865375876075 -423.77411749642</t>
  </si>
  <si>
    <t>-608.82968817809 221.845009181651 -236.030933191881</t>
  </si>
  <si>
    <t>-598.064949315296 290.148782059128 214.387108697207</t>
  </si>
  <si>
    <t>-606.100912523461 352.081017792861 680.216437493601</t>
  </si>
  <si>
    <t>-446.953069191797 359.343233356265 754.800118139186</t>
  </si>
  <si>
    <t>-662.091589212385 25.8441355984323 -245.491853379393</t>
  </si>
  <si>
    <t>-664.225222334361 -11.018143932313 208.704436107684</t>
  </si>
  <si>
    <t>-648.643422804818 -54.7647975400055 677.331608024152</t>
  </si>
  <si>
    <t>-489.300905282012 -77.7355146548063 748.224602258014</t>
  </si>
  <si>
    <t>9763-20170724T164116.662519100.bin</t>
  </si>
  <si>
    <t>-636.777068369134 127.274545528558 -241.558819082191</t>
  </si>
  <si>
    <t>-648.105362624383 136.955800025606 -361.749228912198</t>
  </si>
  <si>
    <t>-637.453206962679 140.543819957586 -482.431628073855</t>
  </si>
  <si>
    <t>-618.792614972211 141.706149601265 -590.344955485504</t>
  </si>
  <si>
    <t>-591.264726849943 141.083961176473 -696.348151193977</t>
  </si>
  <si>
    <t>-543.859243748622 138.620033695477 -841.077739156627</t>
  </si>
  <si>
    <t>-479.53937088652 136.107769552274 -920.068936423659</t>
  </si>
  <si>
    <t>-560.766207132079 171.232693560493 -776.24339603798</t>
  </si>
  <si>
    <t>-550.445420861753 315.275556462742 -748.599161108577</t>
  </si>
  <si>
    <t>-574.065905964226 356.243525361444 -435.629720015833</t>
  </si>
  <si>
    <t>-383.626977225851 266.507502152468 -282.912422338897</t>
  </si>
  <si>
    <t>-568.903177474959 108.187839093149 -777.835336084621</t>
  </si>
  <si>
    <t>-435.086190202948 37.7333674593479 -423.136242332244</t>
  </si>
  <si>
    <t>-609.567033086396 225.483968730528 -236.674241887488</t>
  </si>
  <si>
    <t>-599.721621845001 291.715236230008 214.074179224701</t>
  </si>
  <si>
    <t>-606.099984640997 352.112556800799 680.111972057291</t>
  </si>
  <si>
    <t>-446.879622494319 358.851078163573 754.590041144362</t>
  </si>
  <si>
    <t>-663.990631394502 29.5882569417046 -245.714220972353</t>
  </si>
  <si>
    <t>-665.314370298653 -8.9506370915683 208.346004191785</t>
  </si>
  <si>
    <t>-648.688547606742 -54.6771768096971 676.727386856545</t>
  </si>
  <si>
    <t>-489.516427210142 -78.843995074247 747.605482380663</t>
  </si>
  <si>
    <t>9763-20170724T164116.723687600.bin</t>
  </si>
  <si>
    <t>-638.93853662633 134.443130660134 -242.000155884364</t>
  </si>
  <si>
    <t>-649.771393636364 143.114648547238 -362.313350555702</t>
  </si>
  <si>
    <t>-638.537688844402 145.579528077031 -482.971180244633</t>
  </si>
  <si>
    <t>-619.327310800312 145.671440163522 -590.794137558066</t>
  </si>
  <si>
    <t>-591.231153051612 143.91888722283 -696.635402701633</t>
  </si>
  <si>
    <t>-543.021435763599 139.816073394894 -841.061926067038</t>
  </si>
  <si>
    <t>-478.046496006645 136.327022642627 -919.477916031923</t>
  </si>
  <si>
    <t>-559.882346084683 173.103710566319 -776.559553238934</t>
  </si>
  <si>
    <t>-547.776355039532 317.151554434144 -749.557080259748</t>
  </si>
  <si>
    <t>-570.66518931161 363.129177021056 -437.229846527566</t>
  </si>
  <si>
    <t>-383.04025486402 270.68095637755 -282.658489127377</t>
  </si>
  <si>
    <t>-568.823110882047 110.159056864682 -777.755888287663</t>
  </si>
  <si>
    <t>-435.883802204595 37.8240926616296 -423.104844079946</t>
  </si>
  <si>
    <t>-611.259332633814 232.380454309674 -237.726216996496</t>
  </si>
  <si>
    <t>-602.974662030133 295.029713760417 213.565366815738</t>
  </si>
  <si>
    <t>-606.333398859524 351.66899021299 680.274473611349</t>
  </si>
  <si>
    <t>-446.827460292191 357.711336454332 754.1992000536</t>
  </si>
  <si>
    <t>-666.632992912094 36.6878466416672 -245.641380879643</t>
  </si>
  <si>
    <t>-666.680399370957 -5.01608277751136 208.141049236735</t>
  </si>
  <si>
    <t>-648.772395663164 -54.5807481774013 675.865356061381</t>
  </si>
  <si>
    <t>-489.854798415068 -80.3830606726264 746.738072478826</t>
  </si>
  <si>
    <t>9763-20170724T164116.791906300.bin</t>
  </si>
  <si>
    <t>-642.237033570953 139.913247664944 -242.458165840562</t>
  </si>
  <si>
    <t>-652.811406039035 147.565049411861 -362.863507226392</t>
  </si>
  <si>
    <t>-641.278548453392 148.966919583582 -483.50999381127</t>
  </si>
  <si>
    <t>-621.789612412694 148.070959818954 -591.279348348278</t>
  </si>
  <si>
    <t>-593.410767538463 145.297742633189 -697.023468875952</t>
  </si>
  <si>
    <t>-544.807126226079 139.7365425175 -841.268952446408</t>
  </si>
  <si>
    <t>-479.404104774712 135.627047006495 -919.298050853325</t>
  </si>
  <si>
    <t>-561.529264909173 173.626617839679 -777.04467081986</t>
  </si>
  <si>
    <t>-548.306430059993 317.570715814997 -750.12792947215</t>
  </si>
  <si>
    <t>-567.413358775402 361.523949837907 -437.25541394558</t>
  </si>
  <si>
    <t>-380.161884058963 277.746634407723 -277.379521281884</t>
  </si>
  <si>
    <t>-571.096168273605 110.767782423555 -777.844904079358</t>
  </si>
  <si>
    <t>-437.606910667133 36.9854912654606 -423.288928860996</t>
  </si>
  <si>
    <t>-614.681463368539 237.403262535217 -238.828520983504</t>
  </si>
  <si>
    <t>-604.395097082946 297.270528598591 212.799413936063</t>
  </si>
  <si>
    <t>-606.866580725215 350.492148013755 679.844433651877</t>
  </si>
  <si>
    <t>-447.179222669614 357.729357504413 753.268427746251</t>
  </si>
  <si>
    <t>-669.658583501074 42.3378999692656 -245.426294846167</t>
  </si>
  <si>
    <t>-668.522581408601 -2.24034053182916 208.081332136895</t>
  </si>
  <si>
    <t>-648.848411983685 -54.2194514979034 675.32114456868</t>
  </si>
  <si>
    <t>-489.651753332151 -78.5076094351568 746.102641548832</t>
  </si>
  <si>
    <t>9763-20170724T164116.825987400.bin</t>
  </si>
  <si>
    <t>-643.598363648055 142.303129176561 -242.694486293037</t>
  </si>
  <si>
    <t>-654.107956474443 149.548826028612 -363.13054220763</t>
  </si>
  <si>
    <t>-642.40531020005 150.555318723932 -483.76475691255</t>
  </si>
  <si>
    <t>-622.723498673394 149.312419529991 -591.495604911385</t>
  </si>
  <si>
    <t>-594.114817286968 146.207258709825 -697.168421404363</t>
  </si>
  <si>
    <t>-545.156311627888 140.20334842448 -841.276088580362</t>
  </si>
  <si>
    <t>-479.517923782264 135.920710749498 -919.097933266443</t>
  </si>
  <si>
    <t>-561.926089917972 174.272975259057 -777.159356990763</t>
  </si>
  <si>
    <t>-548.46424649864 318.154186116461 -750.082165974991</t>
  </si>
  <si>
    <t>-564.125013240888 360.669252511414 -436.819552154912</t>
  </si>
  <si>
    <t>-379.004704381251 282.741333230726 -271.593253539482</t>
  </si>
  <si>
    <t>-571.711761615355 111.446730369539 -777.866359469788</t>
  </si>
  <si>
    <t>-438.213179570864 36.8935818432872 -423.288226306715</t>
  </si>
  <si>
    <t>-615.706625153384 239.94959901815 -239.44047527567</t>
  </si>
  <si>
    <t>-604.235379196058 297.854791005786 212.414736922377</t>
  </si>
  <si>
    <t>-606.968480264898 349.580672886878 679.692158717488</t>
  </si>
  <si>
    <t>-447.345830531731 356.770343760393 753.261398092858</t>
  </si>
  <si>
    <t>-671.305235834928 44.6280750682782 -245.369194712793</t>
  </si>
  <si>
    <t>-669.581476759196 -0.789356740887932 208.053343009079</t>
  </si>
  <si>
    <t>-648.96553817066 -54.31220404212 675.118525942445</t>
  </si>
  <si>
    <t>-489.855220924752 -79.1740527285092 745.895048535315</t>
  </si>
  <si>
    <t>9763-20170724T164116.889140100.bin</t>
  </si>
  <si>
    <t>-645.158678678635 146.561775142302 -242.968008207099</t>
  </si>
  <si>
    <t>-655.845826884147 153.330164801621 -363.416264340241</t>
  </si>
  <si>
    <t>-643.703130574978 153.950207574595 -484.009503823839</t>
  </si>
  <si>
    <t>-623.381914508553 152.424419624575 -591.617967916123</t>
  </si>
  <si>
    <t>-593.903841413147 149.123673329681 -697.045634989019</t>
  </si>
  <si>
    <t>-543.512075159136 142.957515548394 -840.651562706454</t>
  </si>
  <si>
    <t>-477.141116164639 138.629230900284 -917.847031867125</t>
  </si>
  <si>
    <t>-560.66189162273 177.057020433887 -776.65130433415</t>
  </si>
  <si>
    <t>-546.12877488882 320.644295009296 -748.410538525994</t>
  </si>
  <si>
    <t>-554.561994142646 360.145735302049 -434.476400819343</t>
  </si>
  <si>
    <t>-376.176365269706 295.839713847442 -256.472476747362</t>
  </si>
  <si>
    <t>-570.955873881837 114.31473602166 -777.569485254958</t>
  </si>
  <si>
    <t>-439.385599036044 37.7152932750688 -423.547235888769</t>
  </si>
  <si>
    <t>-615.742801303644 244.42329005238 -240.24345138133</t>
  </si>
  <si>
    <t>-603.351092363187 298.956431143454 212.006711990651</t>
  </si>
  <si>
    <t>-607.003167800095 348.285673577521 679.647483539551</t>
  </si>
  <si>
    <t>-447.493936774329 354.530873829083 753.548179923564</t>
  </si>
  <si>
    <t>-674.664495471081 48.63053704486 -245.120677471265</t>
  </si>
  <si>
    <t>-672.05656527968 1.65352955743513 208.138717267741</t>
  </si>
  <si>
    <t>-649.137151070878 -54.3669778565517 674.854571681376</t>
  </si>
  <si>
    <t>-490.265316937741 -80.6822291168407 745.641358045785</t>
  </si>
  <si>
    <t>9763-20170724T164116.926256500.bin</t>
  </si>
  <si>
    <t>-646.167830838073 148.273642380921 -242.946679081082</t>
  </si>
  <si>
    <t>-657.001680826317 154.776798498025 -363.396407538464</t>
  </si>
  <si>
    <t>-644.458674598169 155.390409662139 -483.948740673805</t>
  </si>
  <si>
    <t>-623.567203186831 153.978620336531 -591.449424381341</t>
  </si>
  <si>
    <t>-593.32383938211 150.922382232469 -696.667516354503</t>
  </si>
  <si>
    <t>-541.680518820997 145.241039163906 -839.848106836405</t>
  </si>
  <si>
    <t>-474.77754386513 141.069654464007 -916.591688968199</t>
  </si>
  <si>
    <t>-559.223958718493 179.095460558812 -775.824690184628</t>
  </si>
  <si>
    <t>-543.664981996706 322.312590842427 -746.409693635882</t>
  </si>
  <si>
    <t>-546.926590174796 360.874303669085 -432.262259837442</t>
  </si>
  <si>
    <t>-373.427555814244 303.20958121518 -247.289665082952</t>
  </si>
  <si>
    <t>-569.838155706075 116.414267036758 -777.165816856393</t>
  </si>
  <si>
    <t>-440.470900220742 37.8612809906628 -423.945886685007</t>
  </si>
  <si>
    <t>-615.746121785135 246.063393422104 -240.472143787463</t>
  </si>
  <si>
    <t>-602.844836307687 299.504899276331 211.894137999262</t>
  </si>
  <si>
    <t>-606.975643133029 347.879888686783 679.650547895562</t>
  </si>
  <si>
    <t>-447.497142402927 353.298283069814 753.682612269756</t>
  </si>
  <si>
    <t>-676.759256738913 50.3558116951153 -244.853422900903</t>
  </si>
  <si>
    <t>-673.290004745328 2.4622229325555 208.30423248877</t>
  </si>
  <si>
    <t>-649.25267531493 -54.3989922834795 674.818589056806</t>
  </si>
  <si>
    <t>-490.40564551158 -80.921467902832 745.583768189193</t>
  </si>
  <si>
    <t>9763-20170724T164116.990433500.bin</t>
  </si>
  <si>
    <t>-648.984571052569 150.242603538253 -243.022779381904</t>
  </si>
  <si>
    <t>-659.787908030103 156.439368956472 -363.491385866528</t>
  </si>
  <si>
    <t>-645.847283665023 157.681577207162 -483.885286613492</t>
  </si>
  <si>
    <t>-623.191516062332 157.204302828973 -591.036200935235</t>
  </si>
  <si>
    <t>-590.726463765355 155.443752826102 -695.620082463392</t>
  </si>
  <si>
    <t>-535.566036031897 151.932461512468 -837.553134635773</t>
  </si>
  <si>
    <t>-467.183350759365 148.344734284852 -913.011224080855</t>
  </si>
  <si>
    <t>-554.178894903096 184.712580411243 -773.272955328386</t>
  </si>
  <si>
    <t>-535.882324379979 326.777844752254 -739.888265468448</t>
  </si>
  <si>
    <t>-526.153591348848 361.349454089268 -425.410314502169</t>
  </si>
  <si>
    <t>-363.041994884572 310.943584019203 -229.206601483504</t>
  </si>
  <si>
    <t>-565.766737994988 122.259677994378 -776.231413692553</t>
  </si>
  <si>
    <t>-442.561218165624 38.333145303387 -424.877575685155</t>
  </si>
  <si>
    <t>-616.582228543538 248.014002976003 -240.714016167171</t>
  </si>
  <si>
    <t>-603.107026606325 300.060856578943 211.798091564679</t>
  </si>
  <si>
    <t>-606.877731144552 347.347819993467 679.655770511133</t>
  </si>
  <si>
    <t>-447.543956218576 353.216433101225 753.964716150825</t>
  </si>
  <si>
    <t>-680.876806123969 52.2757983040991 -244.522439709711</t>
  </si>
  <si>
    <t>-675.19895358234 2.98138235373148 208.46266586587</t>
  </si>
  <si>
    <t>-649.588174866316 -54.6582121818871 674.838404362701</t>
  </si>
  <si>
    <t>-490.998119183641 -82.8472563067389 745.535434239025</t>
  </si>
  <si>
    <t>9763-20170724T164117.024531900.bin</t>
  </si>
  <si>
    <t>-650.717988482977 150.727849783682 -242.944976296243</t>
  </si>
  <si>
    <t>-661.35629362181 156.786350402879 -363.435400857837</t>
  </si>
  <si>
    <t>-646.482654859337 158.527175202768 -483.711330466495</t>
  </si>
  <si>
    <t>-622.708734133774 158.73317478931 -590.620729294741</t>
  </si>
  <si>
    <t>-588.879100383072 157.873841783104 -694.782392030053</t>
  </si>
  <si>
    <t>-531.59551043014 155.827497948542 -835.900850522533</t>
  </si>
  <si>
    <t>-462.405522992677 152.653325719418 -910.638011174299</t>
  </si>
  <si>
    <t>-550.776613490917 187.855743338596 -771.409085399249</t>
  </si>
  <si>
    <t>-530.686847266937 328.858820655973 -734.939028758563</t>
  </si>
  <si>
    <t>-513.345111155219 359.845955320003 -420.415021083724</t>
  </si>
  <si>
    <t>-354.398897571224 311.291423539933 -220.363658370818</t>
  </si>
  <si>
    <t>-563.106884342614 125.610089411517 -775.511658240748</t>
  </si>
  <si>
    <t>-444.472157904205 37.9702651515747 -425.587446680333</t>
  </si>
  <si>
    <t>-617.900618278722 248.393012268149 -240.725767825907</t>
  </si>
  <si>
    <t>-604.110639463991 299.988105538295 211.828643969018</t>
  </si>
  <si>
    <t>-606.827138343751 346.97048053792 679.679334638485</t>
  </si>
  <si>
    <t>-447.560874367922 352.815340166228 754.134776287441</t>
  </si>
  <si>
    <t>-683.27236240863 52.8345650943938 -244.38309704882</t>
  </si>
  <si>
    <t>-676.149341080911 3.11293803533769 208.534998967701</t>
  </si>
  <si>
    <t>-649.725762669562 -54.759694758934 674.883443413242</t>
  </si>
  <si>
    <t>-491.354221816457 -84.2092745323612 745.556652803776</t>
  </si>
  <si>
    <t>9763-20170724T164117.093715400.bin</t>
  </si>
  <si>
    <t>-655.234587405044 151.277793261725 -242.77651078104</t>
  </si>
  <si>
    <t>-665.120023621537 157.758540744551 -363.30892639715</t>
  </si>
  <si>
    <t>-648.311454756465 160.985261385102 -483.299105538774</t>
  </si>
  <si>
    <t>-622.375434843266 162.908263600906 -589.68732837547</t>
  </si>
  <si>
    <t>-586.020422245267 164.109056975095 -692.991383347568</t>
  </si>
  <si>
    <t>-524.900770924255 165.252417224577 -832.50161832033</t>
  </si>
  <si>
    <t>-454.108664259671 163.022076139259 -905.757792951678</t>
  </si>
  <si>
    <t>-544.882950941259 195.565201957491 -767.42657817387</t>
  </si>
  <si>
    <t>-520.056334421815 333.926527082338 -724.206483698422</t>
  </si>
  <si>
    <t>-489.019389079552 351.621932998938 -409.707272489411</t>
  </si>
  <si>
    <t>-335.381246568883 309.880602657706 -204.049657859087</t>
  </si>
  <si>
    <t>-559.005659377311 133.927807717441 -774.118770261403</t>
  </si>
  <si>
    <t>-450.679335401226 36.5659246186391 -427.18670311619</t>
  </si>
  <si>
    <t>-620.936983709855 248.110958792401 -240.431772757793</t>
  </si>
  <si>
    <t>-607.888952742327 299.449033251984 212.173838100158</t>
  </si>
  <si>
    <t>-606.830183407843 346.264159095151 679.808357484448</t>
  </si>
  <si>
    <t>-447.615000719447 352.05049902361 754.377535038822</t>
  </si>
  <si>
    <t>-689.886374581968 54.235714091961 -244.325356549216</t>
  </si>
  <si>
    <t>-678.35020973585 3.37425541909175 208.375150864201</t>
  </si>
  <si>
    <t>-650.083882117028 -54.7295600428677 674.686192285436</t>
  </si>
  <si>
    <t>-491.599134111741 -84.1580575385158 745.113722755876</t>
  </si>
  <si>
    <t>9763-20170724T164117.124797900.bin</t>
  </si>
  <si>
    <t>-657.956831311129 151.539380179243 -242.676656260347</t>
  </si>
  <si>
    <t>-667.170395395721 158.108077933785 -363.25754369081</t>
  </si>
  <si>
    <t>-649.140496161105 161.914679882011 -483.053228680565</t>
  </si>
  <si>
    <t>-621.914244562512 164.534330988745 -589.103765394328</t>
  </si>
  <si>
    <t>-584.109629590429 166.590623371693 -691.872483867755</t>
  </si>
  <si>
    <t>-520.837331465738 169.073610451502 -830.402128956267</t>
  </si>
  <si>
    <t>-449.224978087565 167.299584863379 -902.869594269899</t>
  </si>
  <si>
    <t>-541.233816155883 198.584449232326 -765.087525998536</t>
  </si>
  <si>
    <t>-513.708046362632 335.220209263931 -718.169393285054</t>
  </si>
  <si>
    <t>-478.012966081622 345.274640700126 -403.827243927343</t>
  </si>
  <si>
    <t>-326.535060201184 307.982833848439 -195.726705683019</t>
  </si>
  <si>
    <t>-556.432853963939 137.365487484901 -773.126861368493</t>
  </si>
  <si>
    <t>-453.727817118781 34.9900444734899 -428.256435980865</t>
  </si>
  <si>
    <t>-622.192836774806 247.970789383678 -240.412264508332</t>
  </si>
  <si>
    <t>-610.236398794782 299.006539776611 212.257624519347</t>
  </si>
  <si>
    <t>-606.878375315104 345.695723042997 679.885474602305</t>
  </si>
  <si>
    <t>-447.624082247492 350.822142161194 754.419314754302</t>
  </si>
  <si>
    <t>-693.980134105516 54.7369033791479 -244.364743935932</t>
  </si>
  <si>
    <t>-680.024467946496 3.63452109690891 208.240546034814</t>
  </si>
  <si>
    <t>-650.223412977637 -54.6523608630103 674.466515711394</t>
  </si>
  <si>
    <t>-491.997984769025 -85.6678641748522 744.796122012082</t>
  </si>
  <si>
    <t>9763-20170724T164117.192982700.bin</t>
  </si>
  <si>
    <t>-663.06540620748 152.223829372153 -242.83497354339</t>
  </si>
  <si>
    <t>-671.582730926064 159.127309196333 -363.44836207175</t>
  </si>
  <si>
    <t>-651.239145200178 163.856945907122 -482.840007963572</t>
  </si>
  <si>
    <t>-621.344063843742 167.500568927803 -588.138867765303</t>
  </si>
  <si>
    <t>-580.360049185365 170.748088707664 -689.650499098748</t>
  </si>
  <si>
    <t>-512.211612436354 175.037154717314 -825.802667821241</t>
  </si>
  <si>
    <t>-438.879767809261 173.863985826976 -896.541857295816</t>
  </si>
  <si>
    <t>-533.595672529965 203.230277973754 -760.222232899295</t>
  </si>
  <si>
    <t>-500.276366519911 336.071099874351 -706.567476647343</t>
  </si>
  <si>
    <t>-457.512535416642 330.163712103447 -393.003298775721</t>
  </si>
  <si>
    <t>-311.914118450698 303.225177620064 -179.18683865879</t>
  </si>
  <si>
    <t>-551.134598179315 143.048572864901 -770.896779443041</t>
  </si>
  <si>
    <t>-599.217019592058 4.33037239586488 -778.821521443069</t>
  </si>
  <si>
    <t>-460.861252413353 31.5592608464753 -430.997256671672</t>
  </si>
  <si>
    <t>-623.836649865773 248.023231790108 -240.611769914772</t>
  </si>
  <si>
    <t>-613.778036080427 298.184577215671 212.201983281248</t>
  </si>
  <si>
    <t>-607.238146099711 344.127233024954 679.90795961255</t>
  </si>
  <si>
    <t>-447.782252899316 348.661542518473 754.048236312839</t>
  </si>
  <si>
    <t>-702.413957438144 56.4653003960026 -244.515803598175</t>
  </si>
  <si>
    <t>-684.456301099821 4.46757942284013 207.84626842177</t>
  </si>
  <si>
    <t>-650.530862047522 -54.488934157509 673.882584324589</t>
  </si>
  <si>
    <t>-492.420588724438 -86.6137360044269 743.972850669656</t>
  </si>
  <si>
    <t>9763-20170724T164117.225070500.bin</t>
  </si>
  <si>
    <t>-665.604444101493 152.88382422011 -243.050346188396</t>
  </si>
  <si>
    <t>-673.886087499377 159.998328424789 -363.667957989962</t>
  </si>
  <si>
    <t>-652.522675172115 165.044580110206 -482.868258414486</t>
  </si>
  <si>
    <t>-621.424673456863 168.992812922292 -587.807036187142</t>
  </si>
  <si>
    <t>-578.989662151743 172.553309224072 -688.710266802635</t>
  </si>
  <si>
    <t>-508.603877311527 177.274936817357 -823.704925973887</t>
  </si>
  <si>
    <t>-434.448604308069 176.10816518508 -893.580633063039</t>
  </si>
  <si>
    <t>-530.347555083853 204.971224089337 -758.031130445204</t>
  </si>
  <si>
    <t>-494.249079519455 335.836167483812 -701.49534552087</t>
  </si>
  <si>
    <t>-449.842783745146 323.71332919551 -388.338380234219</t>
  </si>
  <si>
    <t>-307.064110009439 301.485248918292 -172.092622529982</t>
  </si>
  <si>
    <t>-549.147318666183 145.400252016418 -769.916912652939</t>
  </si>
  <si>
    <t>-599.837024100136 7.82370136932946 -781.042489539037</t>
  </si>
  <si>
    <t>-465.018768346651 29.8272566562505 -432.3842493129</t>
  </si>
  <si>
    <t>-624.424754729155 248.265430984595 -240.809544634727</t>
  </si>
  <si>
    <t>-614.903417104026 297.772959711395 212.087876984062</t>
  </si>
  <si>
    <t>-607.571213365598 343.169865552933 679.871019830339</t>
  </si>
  <si>
    <t>-447.928318666884 347.049201824699 753.645113239229</t>
  </si>
  <si>
    <t>-706.907597897184 57.5734975810908 -244.688236569785</t>
  </si>
  <si>
    <t>-686.324535067906 5.07774688549348 207.504391002296</t>
  </si>
  <si>
    <t>-650.695437383277 -54.4458649682553 673.46704912094</t>
  </si>
  <si>
    <t>-492.662451063419 -87.1356849792197 743.470302872874</t>
  </si>
  <si>
    <t>9763-20170724T164117.294257500.bin</t>
  </si>
  <si>
    <t>-669.47705703441 154.669014801517 -243.562915946972</t>
  </si>
  <si>
    <t>-676.881131102555 162.561376209033 -364.189128536831</t>
  </si>
  <si>
    <t>-653.426454087186 168.19603673981 -482.9692045752</t>
  </si>
  <si>
    <t>-620.012684071032 172.608481281968 -587.175266279016</t>
  </si>
  <si>
    <t>-574.895296780804 176.582308443723 -686.892327401562</t>
  </si>
  <si>
    <t>-500.467270169715 181.838084952106 -819.68097664371</t>
  </si>
  <si>
    <t>-424.707205908204 180.518379372968 -887.810641183343</t>
  </si>
  <si>
    <t>-522.969226421736 208.71931548325 -753.924011123658</t>
  </si>
  <si>
    <t>-481.534428141173 335.97602248707 -692.954661983093</t>
  </si>
  <si>
    <t>-435.614680400775 316.174492888722 -380.407943009448</t>
  </si>
  <si>
    <t>-300.79231076665 296.350800084383 -158.885912735932</t>
  </si>
  <si>
    <t>-543.829486589647 150.305867495635 -767.928169978962</t>
  </si>
  <si>
    <t>-599.259826572003 15.1020003321399 -784.404463058302</t>
  </si>
  <si>
    <t>-471.271545778098 27.8959564098212 -434.084264957798</t>
  </si>
  <si>
    <t>-624.136451902396 248.69678402967 -240.93418618629</t>
  </si>
  <si>
    <t>-617.057192920944 297.400274122295 212.095137015191</t>
  </si>
  <si>
    <t>-608.507383859504 341.58324174667 679.778299275252</t>
  </si>
  <si>
    <t>-448.322904468702 344.748811444065 752.403464907782</t>
  </si>
  <si>
    <t>-715.095479883009 60.7827082037316 -245.460124123512</t>
  </si>
  <si>
    <t>-689.850559064027 6.55309637960664 206.29151386217</t>
  </si>
  <si>
    <t>-651.254898168115 -54.8517252973949 672.266760284944</t>
  </si>
  <si>
    <t>-494.180072024429 -92.0449525237615 742.178707354128</t>
  </si>
  <si>
    <t>9763-20170724T164117.325341800.bin</t>
  </si>
  <si>
    <t>-670.679913919232 155.861016503886 -243.795079942238</t>
  </si>
  <si>
    <t>-677.799408237863 163.89534986138 -364.429204150201</t>
  </si>
  <si>
    <t>-653.571305638436 169.445667344652 -483.057939183154</t>
  </si>
  <si>
    <t>-619.285984828205 173.699539918104 -586.987085941412</t>
  </si>
  <si>
    <t>-573.14809835517 177.443480707388 -686.244858259596</t>
  </si>
  <si>
    <t>-497.174417186759 182.314484639058 -818.170195163271</t>
  </si>
  <si>
    <t>-420.798129282295 180.702050017747 -885.602051947107</t>
  </si>
  <si>
    <t>-519.892689689648 209.109884797757 -752.452570353286</t>
  </si>
  <si>
    <t>-476.752051600806 335.115464834197 -690.045011176396</t>
  </si>
  <si>
    <t>-431.898430016823 313.228314499553 -377.482577936595</t>
  </si>
  <si>
    <t>-299.885290915484 292.947921564716 -154.316091956617</t>
  </si>
  <si>
    <t>-541.688171371709 151.208489449076 -767.14214677841</t>
  </si>
  <si>
    <t>-599.143566811942 17.065431583022 -785.136273119079</t>
  </si>
  <si>
    <t>-473.457993795221 27.032385270526 -433.722383340581</t>
  </si>
  <si>
    <t>-623.442750911546 249.247992796099 -241.155642503231</t>
  </si>
  <si>
    <t>-618.024801361879 297.530333674351 211.941584514581</t>
  </si>
  <si>
    <t>-608.762776152033 341.002282587831 679.755160240966</t>
  </si>
  <si>
    <t>-448.444152991894 343.538916980626 752.10872514263</t>
  </si>
  <si>
    <t>-718.13871640133 62.5260546706783 -245.679072032093</t>
  </si>
  <si>
    <t>-691.876646135773 7.31350677167336 205.895403308061</t>
  </si>
  <si>
    <t>-651.607784024016 -55.098651996956 671.576025388282</t>
  </si>
  <si>
    <t>-495.070228484226 -94.5949301739399 741.429951477861</t>
  </si>
  <si>
    <t>9763-20170724T164117.390549800.bin</t>
  </si>
  <si>
    <t>-671.951571575328 158.628568712852 -244.230324175937</t>
  </si>
  <si>
    <t>-678.736769656772 166.669478137003 -364.883132204151</t>
  </si>
  <si>
    <t>-653.472461636486 171.840622765765 -483.312538870458</t>
  </si>
  <si>
    <t>-618.002267636275 175.615908258001 -586.86185342339</t>
  </si>
  <si>
    <t>-570.465571539209 178.765978705717 -685.478221941446</t>
  </si>
  <si>
    <t>-492.365649520364 182.709136494561 -816.187330312636</t>
  </si>
  <si>
    <t>-415.210389018438 180.477149581199 -882.708447397975</t>
  </si>
  <si>
    <t>-515.365128119341 209.546616955345 -750.584676251714</t>
  </si>
  <si>
    <t>-469.939459544582 333.656964065678 -686.139357699078</t>
  </si>
  <si>
    <t>-428.90611896523 309.541397877161 -373.216269666928</t>
  </si>
  <si>
    <t>-301.990655697866 286.107682689526 -147.416788991217</t>
  </si>
  <si>
    <t>-538.479751309199 152.382252575381 -766.120479528403</t>
  </si>
  <si>
    <t>-598.813790705945 19.7511323377805 -786.127519624972</t>
  </si>
  <si>
    <t>-477.376993425775 27.2296349354754 -432.13239349155</t>
  </si>
  <si>
    <t>-621.368693036728 251.323406512215 -241.638176532101</t>
  </si>
  <si>
    <t>-618.503072566548 298.269697281056 211.622759257609</t>
  </si>
  <si>
    <t>-609.040761420573 340.049965717097 679.770795075299</t>
  </si>
  <si>
    <t>-448.554054531435 342.019131583192 751.768413746196</t>
  </si>
  <si>
    <t>-722.264697397462 66.4080630195911 -246.058768648085</t>
  </si>
  <si>
    <t>-695.306176774422 9.70999025530372 205.290604481259</t>
  </si>
  <si>
    <t>-652.040835340419 -55.236122459376 670.418847938905</t>
  </si>
  <si>
    <t>-496.489349920678 -98.4337490840824 740.284482453674</t>
  </si>
  <si>
    <t>9763-20170724T164117.423148600.bin</t>
  </si>
  <si>
    <t>-672.080736126386 160.569861013411 -244.393550515622</t>
  </si>
  <si>
    <t>-678.967322706214 168.581574460417 -365.042591764844</t>
  </si>
  <si>
    <t>-653.422066397008 173.601145196805 -483.41836862086</t>
  </si>
  <si>
    <t>-617.558464101212 177.18614198942 -586.838719758128</t>
  </si>
  <si>
    <t>-569.50560867819 180.093009584091 -685.21219496543</t>
  </si>
  <si>
    <t>-490.580236640766 183.643112893175 -815.43582091156</t>
  </si>
  <si>
    <t>-413.234343040629 181.111207581143 -881.724377680405</t>
  </si>
  <si>
    <t>-513.741171122124 210.533742344408 -749.911783672976</t>
  </si>
  <si>
    <t>-467.673847379232 334.005383963038 -684.658345602017</t>
  </si>
  <si>
    <t>-427.692493082739 308.165215946899 -371.736792429259</t>
  </si>
  <si>
    <t>-303.529956759806 284.906545071135 -144.393939803386</t>
  </si>
  <si>
    <t>-537.263299833348 153.610902886651 -765.719893975027</t>
  </si>
  <si>
    <t>-598.348868560437 21.4392902152994 -786.344056683923</t>
  </si>
  <si>
    <t>-478.775229656083 29.2006074411609 -430.803053516896</t>
  </si>
  <si>
    <t>-620.372587264594 253.012033638772 -241.967731954729</t>
  </si>
  <si>
    <t>-618.371404099485 299.075901271089 211.388386714312</t>
  </si>
  <si>
    <t>-609.169636404536 339.684335595811 679.729822963493</t>
  </si>
  <si>
    <t>-448.616690102878 341.492714905099 751.583887639321</t>
  </si>
  <si>
    <t>-723.382333004813 68.8057023941368 -246.049290421794</t>
  </si>
  <si>
    <t>-695.577583493192 10.8249546063029 205.085687829692</t>
  </si>
  <si>
    <t>-651.823050384522 -54.7926431034621 669.962170775217</t>
  </si>
  <si>
    <t>-496.407127387152 -98.2356853232916 739.97708674732</t>
  </si>
  <si>
    <t>9763-20170724T164117.494508700.bin</t>
  </si>
  <si>
    <t>-671.769298014335 165.358255322981 -244.670389217635</t>
  </si>
  <si>
    <t>-679.110845771429 173.294945830061 -365.297547360863</t>
  </si>
  <si>
    <t>-653.213316776621 178.151284762593 -483.603452707444</t>
  </si>
  <si>
    <t>-616.735159451221 181.515338720574 -586.816170516554</t>
  </si>
  <si>
    <t>-567.806572259527 184.10791854477 -684.765757006238</t>
  </si>
  <si>
    <t>-487.433337671686 187.106614449913 -814.114797979137</t>
  </si>
  <si>
    <t>-409.919749893552 184.11530643894 -880.187969952612</t>
  </si>
  <si>
    <t>-510.976265000441 214.070599266604 -748.757343859753</t>
  </si>
  <si>
    <t>-463.767971444427 336.311984131522 -682.081166731944</t>
  </si>
  <si>
    <t>-425.410021866576 307.309434269951 -369.2332728466</t>
  </si>
  <si>
    <t>-304.76722216305 286.289100213813 -139.787208527977</t>
  </si>
  <si>
    <t>-535.015709258532 157.489041731646 -765.006435614414</t>
  </si>
  <si>
    <t>-597.054612195696 25.9120348631824 -786.795981895054</t>
  </si>
  <si>
    <t>-481.224698820361 35.8445810078634 -428.327781359672</t>
  </si>
  <si>
    <t>-619.355156580738 257.253133593121 -242.307378482869</t>
  </si>
  <si>
    <t>-618.296232030581 301.449702316396 211.237823872087</t>
  </si>
  <si>
    <t>-609.320983447438 338.954712121832 679.70692191653</t>
  </si>
  <si>
    <t>-448.737133401146 340.575489467107 751.49632852085</t>
  </si>
  <si>
    <t>-723.816330054977 74.0289655600419 -246.194014873078</t>
  </si>
  <si>
    <t>-692.468912057645 13.6150469898974 204.389131094211</t>
  </si>
  <si>
    <t>-651.286379308799 -54.035478017968 669.237382524683</t>
  </si>
  <si>
    <t>-496.109597227486 -97.5814268731017 739.717310400685</t>
  </si>
  <si>
    <t>9763-20170724T164117.526096200.bin</t>
  </si>
  <si>
    <t>-671.01709009936 167.456745815658 -244.772216059435</t>
  </si>
  <si>
    <t>-678.219466207118 175.354662849298 -365.410254985053</t>
  </si>
  <si>
    <t>-652.086044147094 180.222248462715 -483.663953540276</t>
  </si>
  <si>
    <t>-615.364608282746 183.608962680107 -586.789690900482</t>
  </si>
  <si>
    <t>-566.170023532113 186.231998998998 -684.605141746809</t>
  </si>
  <si>
    <t>-485.411157411404 189.276380534619 -813.712681219117</t>
  </si>
  <si>
    <t>-407.810857115177 186.247621991533 -879.682282190296</t>
  </si>
  <si>
    <t>-509.143698152495 216.21398661164 -748.412957950489</t>
  </si>
  <si>
    <t>-461.589410862718 337.807322475205 -680.818646602006</t>
  </si>
  <si>
    <t>-422.939869467167 307.673479563102 -368.11374816008</t>
  </si>
  <si>
    <t>-303.451280376887 286.929042183095 -138.039371317381</t>
  </si>
  <si>
    <t>-533.145208325832 159.644613813527 -764.760195787957</t>
  </si>
  <si>
    <t>-595.537697232386 28.3230913740158 -786.908701139922</t>
  </si>
  <si>
    <t>-480.978852703209 39.7282933244838 -427.109792583765</t>
  </si>
  <si>
    <t>-618.893719560298 258.964544216074 -242.311521834855</t>
  </si>
  <si>
    <t>-618.438711064518 302.631730443095 211.285972321649</t>
  </si>
  <si>
    <t>-609.382830900308 338.806020781621 679.722411032945</t>
  </si>
  <si>
    <t>-448.786357557189 341.052587850787 751.466617708461</t>
  </si>
  <si>
    <t>-722.913211153609 76.4291006785871 -246.36236062062</t>
  </si>
  <si>
    <t>-690.126488134457 14.6310785195119 203.930534597417</t>
  </si>
  <si>
    <t>-651.047815247341 -53.7240586809409 668.868584885071</t>
  </si>
  <si>
    <t>-495.98391575612 -97.2845420198094 739.587468529417</t>
  </si>
  <si>
    <t>9763-20170724T164117.593806700.bin</t>
  </si>
  <si>
    <t>-668.65431874177 170.244430386023 -245.123085596298</t>
  </si>
  <si>
    <t>-675.899015042394 178.109431505476 -365.760919279112</t>
  </si>
  <si>
    <t>-649.992727745473 182.728792214313 -484.074418885253</t>
  </si>
  <si>
    <t>-613.53849014085 185.805204260145 -587.304692587462</t>
  </si>
  <si>
    <t>-564.662520526385 188.031316436339 -685.289556501771</t>
  </si>
  <si>
    <t>-484.387537625103 190.435409054622 -814.711918064993</t>
  </si>
  <si>
    <t>-406.773810055175 187.237765061932 -880.657827641932</t>
  </si>
  <si>
    <t>-508.1366493081 217.850012156882 -749.617039634333</t>
  </si>
  <si>
    <t>-461.188811666405 340.961107240118 -684.22453239749</t>
  </si>
  <si>
    <t>-423.002346010751 313.762415115505 -371.193901231477</t>
  </si>
  <si>
    <t>-301.706635355459 289.658211759257 -142.396137223964</t>
  </si>
  <si>
    <t>-531.676801194092 160.893378284534 -765.27585596346</t>
  </si>
  <si>
    <t>-593.49597067149 29.15338828234 -786.206013791194</t>
  </si>
  <si>
    <t>-479.08004974213 44.6914705646005 -423.222439739042</t>
  </si>
  <si>
    <t>-618.258106086957 261.603649499642 -242.555283097335</t>
  </si>
  <si>
    <t>-617.791846298447 304.399303125992 211.125223063874</t>
  </si>
  <si>
    <t>-609.541356684238 338.772505828324 679.69523739887</t>
  </si>
  <si>
    <t>-448.872928574608 342.691538872627 751.206019783553</t>
  </si>
  <si>
    <t>-719.011663735145 78.9975241219587 -246.856458738318</t>
  </si>
  <si>
    <t>-685.265888174737 16.0669716093855 203.208752477296</t>
  </si>
  <si>
    <t>-650.59328403803 -53.0881284211053 668.191481097852</t>
  </si>
  <si>
    <t>-495.873517065525 -97.152376390431 739.350897709198</t>
  </si>
  <si>
    <t>9763-20170724T164117.626395600.bin</t>
  </si>
  <si>
    <t>-666.918188725132 171.268541214548 -245.307351281793</t>
  </si>
  <si>
    <t>-674.055467667117 178.940362084574 -365.963893603876</t>
  </si>
  <si>
    <t>-648.390943338263 183.154045082625 -484.34530182306</t>
  </si>
  <si>
    <t>-612.279002659236 185.789929538297 -587.707908462717</t>
  </si>
  <si>
    <t>-563.85195937758 187.507470445126 -685.925649387191</t>
  </si>
  <si>
    <t>-484.291983373533 189.140133868449 -815.800860959944</t>
  </si>
  <si>
    <t>-406.800167508315 185.768238586091 -881.881330918497</t>
  </si>
  <si>
    <t>-507.967423725393 217.10361595622 -750.912925286501</t>
  </si>
  <si>
    <t>-461.682496565649 341.676520668763 -687.917794353651</t>
  </si>
  <si>
    <t>-426.389213221956 319.733888814476 -374.135964089919</t>
  </si>
  <si>
    <t>-300.324151062178 290.694633699314 -148.511543216436</t>
  </si>
  <si>
    <t>-531.022186151116 159.731898272424 -765.757267464452</t>
  </si>
  <si>
    <t>-591.931836494669 27.2981072707097 -785.037061916766</t>
  </si>
  <si>
    <t>-476.532884175891 45.9421624288534 -419.560958019906</t>
  </si>
  <si>
    <t>-617.380454736036 262.90000514449 -242.83104779653</t>
  </si>
  <si>
    <t>-616.990828515904 304.979843429976 210.916528328126</t>
  </si>
  <si>
    <t>-609.491576104522 338.707907604155 679.668836523315</t>
  </si>
  <si>
    <t>-448.872716820816 343.698296902127 751.224278786893</t>
  </si>
  <si>
    <t>-716.025513059247 79.9091440445494 -247.124420498185</t>
  </si>
  <si>
    <t>-682.86800103789 16.723570520682 202.948633649294</t>
  </si>
  <si>
    <t>-650.398412051798 -52.7587885922263 667.93031465949</t>
  </si>
  <si>
    <t>-495.562192208965 -96.1651383669345 739.240559541115</t>
  </si>
  <si>
    <t>9763-20170724T164117.691019000.bin</t>
  </si>
  <si>
    <t>-661.524805760641 173.643011109413 -245.678155917846</t>
  </si>
  <si>
    <t>-669.238946549378 181.087753270717 -366.313396286785</t>
  </si>
  <si>
    <t>-644.711664260134 184.400681879926 -484.964187989503</t>
  </si>
  <si>
    <t>-609.802907970082 186.001716928311 -588.760432179273</t>
  </si>
  <si>
    <t>-562.716747771737 186.49176502197 -687.641771341203</t>
  </si>
  <si>
    <t>-485.123507110994 186.246955396689 -818.711231622254</t>
  </si>
  <si>
    <t>-408.27966309147 182.513378202885 -885.525084440168</t>
  </si>
  <si>
    <t>-508.798884933975 215.649553942096 -754.462738153345</t>
  </si>
  <si>
    <t>-466.108490473291 344.259303422608 -697.359497689117</t>
  </si>
  <si>
    <t>-440.593786955844 335.536145663599 -381.988057338265</t>
  </si>
  <si>
    <t>-300.396526125525 296.393600837018 -166.454698534936</t>
  </si>
  <si>
    <t>-530.113264165676 157.060985261126 -766.971416386429</t>
  </si>
  <si>
    <t>-587.212490058348 22.2478658958973 -780.854633017893</t>
  </si>
  <si>
    <t>-469.077498710541 51.5528934737977 -408.674274873249</t>
  </si>
  <si>
    <t>-614.545287662352 265.991627018761 -243.254105348385</t>
  </si>
  <si>
    <t>-614.463278298579 306.606611267393 210.627034065981</t>
  </si>
  <si>
    <t>-609.363668490498 338.599263266725 679.624072684858</t>
  </si>
  <si>
    <t>-448.903592044991 345.379675372361 751.388333021602</t>
  </si>
  <si>
    <t>-708.033876488107 81.8931725076327 -247.388690576862</t>
  </si>
  <si>
    <t>-676.29985054883 18.1940475008118 202.714751344476</t>
  </si>
  <si>
    <t>-649.738562583866 -51.753800673254 667.623608218704</t>
  </si>
  <si>
    <t>-494.758187442029 -94.0193227335491 739.305125836779</t>
  </si>
  <si>
    <t>9763-20170724T164117.737083800.bin</t>
  </si>
  <si>
    <t>-658.570817423481 175.358234960242 -245.679562946773</t>
  </si>
  <si>
    <t>-666.534115015532 182.5151868539 -366.316054745263</t>
  </si>
  <si>
    <t>-642.650013493524 185.23797979533 -485.112992980458</t>
  </si>
  <si>
    <t>-608.451544652893 186.219872374149 -589.153130165013</t>
  </si>
  <si>
    <t>-562.181389014309 186.023558285519 -688.419766894287</t>
  </si>
  <si>
    <t>-485.806841702349 184.77410909186 -820.197601356905</t>
  </si>
  <si>
    <t>-409.447383764422 180.896160819827 -887.556091968189</t>
  </si>
  <si>
    <t>-509.559544000124 214.981047632064 -756.351889792828</t>
  </si>
  <si>
    <t>-469.735828101238 345.929068893024 -702.599633261472</t>
  </si>
  <si>
    <t>-450.530566238599 344.822318546945 -386.662781553345</t>
  </si>
  <si>
    <t>-302.053387768023 301.153446612957 -177.642178333419</t>
  </si>
  <si>
    <t>-529.640870089879 155.672902281364 -767.428099735177</t>
  </si>
  <si>
    <t>-584.00201178421 19.4207125080206 -777.98145595196</t>
  </si>
  <si>
    <t>-464.569422259119 56.3003072772327 -401.649690276911</t>
  </si>
  <si>
    <t>-613.61097512316 268.044994567372 -243.369013420652</t>
  </si>
  <si>
    <t>-613.106193643187 307.681411097131 210.598399686834</t>
  </si>
  <si>
    <t>-609.308371027104 338.486711053126 679.606118021725</t>
  </si>
  <si>
    <t>-448.937100296024 345.979697441636 751.497882902191</t>
  </si>
  <si>
    <t>-703.261582347493 83.2892622042826 -247.386462905124</t>
  </si>
  <si>
    <t>-671.876386261811 19.4178580942419 202.716940342939</t>
  </si>
  <si>
    <t>-649.284858175106 -51.0817990667984 667.593121247302</t>
  </si>
  <si>
    <t>-494.152800919808 -92.5015597477122 739.439863329289</t>
  </si>
  <si>
    <t>9763-20170724T164117.794240900.bin</t>
  </si>
  <si>
    <t>-653.03196070496 179.850009292087 -245.71615915995</t>
  </si>
  <si>
    <t>-662.196728389015 186.231742051865 -366.31104842954</t>
  </si>
  <si>
    <t>-640.08718530825 187.616975367492 -485.473949382673</t>
  </si>
  <si>
    <t>-607.659569412087 187.231871593552 -590.083502684389</t>
  </si>
  <si>
    <t>-563.283840175676 185.543235726204 -690.197348922782</t>
  </si>
  <si>
    <t>-489.625945858322 182.12407961606 -823.47465803036</t>
  </si>
  <si>
    <t>-414.265066950654 178.152409746048 -891.943248946887</t>
  </si>
  <si>
    <t>-513.739881258819 214.029908783696 -760.598103953647</t>
  </si>
  <si>
    <t>-480.873422406539 349.73656968836 -714.54571537</t>
  </si>
  <si>
    <t>-475.684636143999 364.485308141991 -398.41000415331</t>
  </si>
  <si>
    <t>-311.53626895236 312.959206691297 -203.365384584361</t>
  </si>
  <si>
    <t>-530.694736172013 153.244106493829 -768.409131876284</t>
  </si>
  <si>
    <t>-578.227696721356 14.1052223203841 -771.210217458728</t>
  </si>
  <si>
    <t>-455.899138264093 70.2470576807647 -385.1603916022</t>
  </si>
  <si>
    <t>-613.401066340422 272.897690405476 -243.645829076973</t>
  </si>
  <si>
    <t>-610.899757802274 310.776086105804 210.464935948003</t>
  </si>
  <si>
    <t>-609.172845242765 338.33659519137 679.602496542587</t>
  </si>
  <si>
    <t>-448.950364636325 346.37403976081 751.766674125422</t>
  </si>
  <si>
    <t>-692.617178475941 87.1910958547377 -247.041030236785</t>
  </si>
  <si>
    <t>-661.312317001787 22.7909274756011 202.992683773907</t>
  </si>
  <si>
    <t>-648.306453018919 -49.6020670860626 667.680996243419</t>
  </si>
  <si>
    <t>-493.173878007319 -90.5955928503187 739.770775895157</t>
  </si>
  <si>
    <t>9763-20170724T164117.827334400.bin</t>
  </si>
  <si>
    <t>-650.968800237337 182.718099573828 -245.599854359895</t>
  </si>
  <si>
    <t>-660.57037080074 188.401878011302 -366.195430962471</t>
  </si>
  <si>
    <t>-639.27106011237 188.869810616605 -485.513135763082</t>
  </si>
  <si>
    <t>-607.696718811395 187.596093111907 -590.376266868025</t>
  </si>
  <si>
    <t>-564.273124827305 184.970553642573 -690.886652450976</t>
  </si>
  <si>
    <t>-492.017101259574 180.211137977962 -824.88828713322</t>
  </si>
  <si>
    <t>-417.109234665797 176.187329054195 -893.84914909903</t>
  </si>
  <si>
    <t>-516.441740949823 213.058474576083 -762.619371520632</t>
  </si>
  <si>
    <t>-487.894806688103 351.162265403057 -720.869057015311</t>
  </si>
  <si>
    <t>-490.586603108225 371.395690889625 -405.005943965915</t>
  </si>
  <si>
    <t>-318.74958282674 317.999961658615 -217.221489283259</t>
  </si>
  <si>
    <t>-531.534625202638 151.575594803394 -768.574006389381</t>
  </si>
  <si>
    <t>-574.826132476146 11.0337062425664 -767.001945367206</t>
  </si>
  <si>
    <t>-451.021559434866 79.8153461571603 -377.506684074371</t>
  </si>
  <si>
    <t>-614.692347758629 276.050663418283 -243.855208754711</t>
  </si>
  <si>
    <t>-610.517620479306 312.753212389663 210.339843996516</t>
  </si>
  <si>
    <t>-609.128979651467 338.387346775037 679.589285959225</t>
  </si>
  <si>
    <t>-448.966718701036 346.850201697224 751.838343785507</t>
  </si>
  <si>
    <t>-687.166599341351 89.8010879641821 -246.605001278972</t>
  </si>
  <si>
    <t>-655.6326907037 24.8276253550774 203.330300832715</t>
  </si>
  <si>
    <t>-647.877149239302 -48.78867261041 667.787349426253</t>
  </si>
  <si>
    <t>-492.446094039949 -88.8037614840157 739.783708501839</t>
  </si>
  <si>
    <t>9763-20170724T164117.893511100.bin</t>
  </si>
  <si>
    <t>-648.163466353813 189.211479770271 -245.157032460243</t>
  </si>
  <si>
    <t>-658.906952434158 193.361831394085 -365.718892046885</t>
  </si>
  <si>
    <t>-639.144201481236 191.741688053097 -485.290532803294</t>
  </si>
  <si>
    <t>-609.06495225871 188.432873115213 -590.548040335248</t>
  </si>
  <si>
    <t>-567.210825818431 183.656095516114 -691.643346810434</t>
  </si>
  <si>
    <t>-497.180645103827 175.822080541356 -826.678159784689</t>
  </si>
  <si>
    <t>-422.784468657384 171.939336152553 -896.198837172069</t>
  </si>
  <si>
    <t>-522.889756082144 210.627755848028 -766.010909394627</t>
  </si>
  <si>
    <t>-505.034241064849 352.918247039735 -733.56003351812</t>
  </si>
  <si>
    <t>-519.23422689323 383.76537292609 -418.864903485241</t>
  </si>
  <si>
    <t>-335.381996360583 325.030231070733 -244.535940511199</t>
  </si>
  <si>
    <t>-533.443863935531 147.948976772884 -767.847928734912</t>
  </si>
  <si>
    <t>-566.433892321652 5.06355566136924 -756.769790496283</t>
  </si>
  <si>
    <t>-442.023639246129 101.639299547779 -363.976318856868</t>
  </si>
  <si>
    <t>-619.401143194863 283.026786483772 -244.163983599723</t>
  </si>
  <si>
    <t>-611.460861604807 317.021170818071 210.191699859021</t>
  </si>
  <si>
    <t>-609.024229222595 338.569183297999 679.583630312134</t>
  </si>
  <si>
    <t>-448.963609419082 347.613465975217 751.987433269101</t>
  </si>
  <si>
    <t>-676.946036421183 95.5345562584023 -245.50690247669</t>
  </si>
  <si>
    <t>-644.82886338401 30.0818733659155 204.317574306734</t>
  </si>
  <si>
    <t>-647.096880809103 -46.9564818568553 667.954671803987</t>
  </si>
  <si>
    <t>-491.081457174061 -85.4955494016703 739.490964657215</t>
  </si>
  <si>
    <t>9763-20170724T164117.926104900.bin</t>
  </si>
  <si>
    <t>-647.805676293867 192.803670776038 -244.924772905275</t>
  </si>
  <si>
    <t>-659.049135176857 195.876091385421 -365.473270637576</t>
  </si>
  <si>
    <t>-639.833628734978 192.951099424216 -485.109274095103</t>
  </si>
  <si>
    <t>-610.251375497335 188.405467861935 -590.461440802282</t>
  </si>
  <si>
    <t>-568.88861514383 182.347077537067 -691.690218480285</t>
  </si>
  <si>
    <t>-499.527571849943 172.699837521666 -826.952819353633</t>
  </si>
  <si>
    <t>-425.103803609481 168.90610657161 -896.44889875801</t>
  </si>
  <si>
    <t>-526.164288903439 208.502401763031 -767.273757536376</t>
  </si>
  <si>
    <t>-514.135649415223 352.41534632123 -739.682484384201</t>
  </si>
  <si>
    <t>-532.768449552531 389.486675741691 -425.891724658486</t>
  </si>
  <si>
    <t>-344.280688064585 326.81931085215 -258.00116382085</t>
  </si>
  <si>
    <t>-534.271165411916 145.434496032672 -766.932791744957</t>
  </si>
  <si>
    <t>-561.55291561341 1.8392810841353 -750.839811664811</t>
  </si>
  <si>
    <t>-437.747985576855 113.342852748075 -358.253499934889</t>
  </si>
  <si>
    <t>-623.088363139851 286.952224962424 -244.374600840289</t>
  </si>
  <si>
    <t>-613.269453104931 319.176494311596 210.073257023403</t>
  </si>
  <si>
    <t>-608.945665562225 338.931906182518 679.578223294819</t>
  </si>
  <si>
    <t>-448.964738876785 348.626265435396 752.073913829857</t>
  </si>
  <si>
    <t>-672.799070373362 98.6074026770812 -244.763424270103</t>
  </si>
  <si>
    <t>-640.037415817895 33.2290270100562 205.025355880689</t>
  </si>
  <si>
    <t>-646.759135566105 -45.9185923544442 668.097078188776</t>
  </si>
  <si>
    <t>-490.150760342225 -82.7873462509744 739.216874627473</t>
  </si>
  <si>
    <t>9763-20170724T164117.995794400.bin</t>
  </si>
  <si>
    <t>-650.242532054577 201.236952967452 -243.943546275608</t>
  </si>
  <si>
    <t>-662.356258514365 201.788095641369 -364.445658317661</t>
  </si>
  <si>
    <t>-643.914485412881 195.918513887053 -484.095148348054</t>
  </si>
  <si>
    <t>-614.967020902905 188.635501765648 -589.469982044798</t>
  </si>
  <si>
    <t>-574.166706751255 179.804217089348 -690.723209750655</t>
  </si>
  <si>
    <t>-505.506627932269 166.310447332686 -826.014276664332</t>
  </si>
  <si>
    <t>-431.141939368693 162.61348878677 -895.578709011774</t>
  </si>
  <si>
    <t>-534.398764659438 203.949006835448 -768.555590152001</t>
  </si>
  <si>
    <t>-534.877669651601 349.939840989177 -751.222054288827</t>
  </si>
  <si>
    <t>-557.016702947842 401.673328873195 -439.742205067218</t>
  </si>
  <si>
    <t>-357.208392091803 342.09597329451 -284.277583903155</t>
  </si>
  <si>
    <t>-537.374440622954 140.613110851288 -763.74877129255</t>
  </si>
  <si>
    <t>-636.81385953678 1.43230421542737 -432.724654739249</t>
  </si>
  <si>
    <t>-431.014757920572 136.588654709044 -348.929882451806</t>
  </si>
  <si>
    <t>-633.178094574898 295.249675432345 -244.536894730194</t>
  </si>
  <si>
    <t>-617.493727371241 324.969893575587 209.917116309539</t>
  </si>
  <si>
    <t>-608.693570423786 340.003734269687 679.596351763958</t>
  </si>
  <si>
    <t>-449.041784613684 352.326638270001 752.41782513348</t>
  </si>
  <si>
    <t>-668.414963616187 107.014983056404 -242.24474147993</t>
  </si>
  <si>
    <t>-629.314909688253 40.2361293196566 206.831369063315</t>
  </si>
  <si>
    <t>-645.893637831965 -44.1064187183434 668.466175094169</t>
  </si>
  <si>
    <t>-488.872626711338 -80.3115811033456 739.014671105634</t>
  </si>
  <si>
    <t>9763-20170724T164118.022867900.bin</t>
  </si>
  <si>
    <t>-652.955403578453 206.621010166922 -243.018256270398</t>
  </si>
  <si>
    <t>-665.39825508421 205.648322709881 -363.484130290681</t>
  </si>
  <si>
    <t>-647.219762435136 198.18892685318 -483.085487598917</t>
  </si>
  <si>
    <t>-618.474584948817 189.500522425748 -588.409169666411</t>
  </si>
  <si>
    <t>-577.838803433828 179.321560510973 -689.601877992259</t>
  </si>
  <si>
    <t>-509.367305894724 164.041297540596 -824.798635769791</t>
  </si>
  <si>
    <t>-435.177330110552 160.420812995624 -894.553464704965</t>
  </si>
  <si>
    <t>-539.46405711427 202.40556136783 -768.448925515365</t>
  </si>
  <si>
    <t>-546.446422346307 348.750014137026 -756.128083744655</t>
  </si>
  <si>
    <t>-567.896083557951 409.388500231383 -446.210247509347</t>
  </si>
  <si>
    <t>-362.222762462345 355.636595193795 -296.37271304043</t>
  </si>
  <si>
    <t>-539.863616507829 139.19909300195 -761.507553096358</t>
  </si>
  <si>
    <t>-630.480655812562 4.3040510766449 -425.002684759786</t>
  </si>
  <si>
    <t>-429.275389920672 149.414429709597 -346.890810034987</t>
  </si>
  <si>
    <t>-638.722929044462 300.501793860017 -244.56458449295</t>
  </si>
  <si>
    <t>-620.619666747863 327.870874535304 209.947094533832</t>
  </si>
  <si>
    <t>-608.557761970816 340.717357400377 679.651548747676</t>
  </si>
  <si>
    <t>-449.02638997939 353.130273571982 752.721093678404</t>
  </si>
  <si>
    <t>-668.270314759696 112.843142136844 -240.371442083401</t>
  </si>
  <si>
    <t>-624.111967153603 44.1152775610103 207.94119530971</t>
  </si>
  <si>
    <t>-645.325865925346 -43.1609178320042 668.689578355295</t>
  </si>
  <si>
    <t>-488.227776978917 -79.6086102290933 738.941060661842</t>
  </si>
  <si>
    <t>9763-20170724T164118.095788100.bin</t>
  </si>
  <si>
    <t>-655.863458641549 217.195453616979 -240.919811642235</t>
  </si>
  <si>
    <t>-669.171583148339 213.692100599234 -361.246143279373</t>
  </si>
  <si>
    <t>-651.64720251431 203.613898963266 -480.753138234457</t>
  </si>
  <si>
    <t>-623.388880094743 192.632675725218 -585.994305483615</t>
  </si>
  <si>
    <t>-583.131771664684 180.286362555496 -687.097169063081</t>
  </si>
  <si>
    <t>-515.074626123109 162.175377228972 -822.153529938506</t>
  </si>
  <si>
    <t>-441.429704183961 158.870693695293 -892.499009310909</t>
  </si>
  <si>
    <t>-547.236928609171 201.482777153927 -767.624406511501</t>
  </si>
  <si>
    <t>-565.11957149161 347.358392493113 -763.108737164815</t>
  </si>
  <si>
    <t>-582.324662094725 426.077450593718 -457.014738673079</t>
  </si>
  <si>
    <t>-369.103848335059 376.560065824306 -316.562131082868</t>
  </si>
  <si>
    <t>-543.138752610149 138.895054718595 -757.166163154603</t>
  </si>
  <si>
    <t>-614.464827730141 8.93806824101154 -410.90410849684</t>
  </si>
  <si>
    <t>-423.241740570689 173.261346318139 -347.078755440398</t>
  </si>
  <si>
    <t>-646.880394406527 309.783129069519 -243.953250558992</t>
  </si>
  <si>
    <t>-628.05162007577 334.827000683948 210.662966185546</t>
  </si>
  <si>
    <t>-608.168074146071 344.249373973845 680.055506509093</t>
  </si>
  <si>
    <t>-448.848734457801 356.688767133062 753.581889311158</t>
  </si>
  <si>
    <t>-664.750876336208 124.195466227261 -237.278334834964</t>
  </si>
  <si>
    <t>-616.089284130763 51.1492839639493 209.883836892099</t>
  </si>
  <si>
    <t>-644.341119455552 -41.8538254663955 668.950293009387</t>
  </si>
  <si>
    <t>-486.851945247102 -77.1244393029854 738.926451636361</t>
  </si>
  <si>
    <t>9763-20170724T164118.121858800.bin</t>
  </si>
  <si>
    <t>-656.389943146042 221.861554976828 -240.035981717234</t>
  </si>
  <si>
    <t>-670.218404083417 217.332343556738 -360.269299220894</t>
  </si>
  <si>
    <t>-653.439829177191 206.33033610455 -479.80184570095</t>
  </si>
  <si>
    <t>-625.926905810179 194.591436251819 -585.158771982675</t>
  </si>
  <si>
    <t>-586.470886302338 181.578607126073 -686.493624005253</t>
  </si>
  <si>
    <t>-519.569168859175 162.650529522 -822.014432411862</t>
  </si>
  <si>
    <t>-446.522704915279 159.580139759108 -892.991546861905</t>
  </si>
  <si>
    <t>-552.197544387979 202.131916182611 -767.889297483842</t>
  </si>
  <si>
    <t>-573.99995736483 347.539321926276 -765.883893644556</t>
  </si>
  <si>
    <t>-589.04601286174 434.051003078443 -461.785901883032</t>
  </si>
  <si>
    <t>-373.239878180904 383.641581165386 -325.665855484551</t>
  </si>
  <si>
    <t>-546.144632891337 139.919374618302 -756.211929963986</t>
  </si>
  <si>
    <t>-606.572774717887 12.4599303027027 -405.790426354697</t>
  </si>
  <si>
    <t>-419.549571178667 183.925865020869 -348.660601529102</t>
  </si>
  <si>
    <t>-649.505384032592 313.922996087283 -243.676686290407</t>
  </si>
  <si>
    <t>-631.526335228005 338.081587882695 211.021867617734</t>
  </si>
  <si>
    <t>-608.598939648806 346.482022687523 680.167303139283</t>
  </si>
  <si>
    <t>-449.039706253418 360.702336937283 752.845763543278</t>
  </si>
  <si>
    <t>-663.24545691779 129.426850207911 -235.859540536067</t>
  </si>
  <si>
    <t>-613.027305314361 54.3452413843034 210.793077851695</t>
  </si>
  <si>
    <t>-643.698726089722 -41.4440109917829 669.111712671603</t>
  </si>
  <si>
    <t>-486.211603382982 -76.6878361480732 739.105959820697</t>
  </si>
  <si>
    <t>9763-20170724T164118.192059200.bin</t>
  </si>
  <si>
    <t>-657.017671224606 229.818851716313 -238.966086667177</t>
  </si>
  <si>
    <t>-672.140153587108 223.62205302219 -358.969060241078</t>
  </si>
  <si>
    <t>-657.344140726104 211.421232876691 -478.646939020378</t>
  </si>
  <si>
    <t>-631.860722374764 198.810764819739 -584.412737397078</t>
  </si>
  <si>
    <t>-594.633231080253 185.136522689982 -686.500776726166</t>
  </si>
  <si>
    <t>-530.994474265335 165.507549659251 -823.485533827763</t>
  </si>
  <si>
    <t>-459.660421055525 163.112311771531 -896.209003965497</t>
  </si>
  <si>
    <t>-563.834964978168 204.943459183996 -769.455730857387</t>
  </si>
  <si>
    <t>-591.709428229659 349.322784149028 -770.774393233277</t>
  </si>
  <si>
    <t>-601.609004943685 449.667974993137 -470.742568264977</t>
  </si>
  <si>
    <t>-380.547819113155 397.253936316719 -344.145731694388</t>
  </si>
  <si>
    <t>-554.470377757975 143.441979190345 -756.292539720718</t>
  </si>
  <si>
    <t>-540.743242268289 4.15773104277496 -711.264549103316</t>
  </si>
  <si>
    <t>-593.030751563187 20.6652927538252 -399.528071356191</t>
  </si>
  <si>
    <t>-411.795789753564 201.069747296562 -352.092169606168</t>
  </si>
  <si>
    <t>-654.300926939991 320.981862302102 -243.683639893285</t>
  </si>
  <si>
    <t>-637.518901061625 343.073599582293 211.165783306672</t>
  </si>
  <si>
    <t>-610.024100484173 349.547301304528 679.934212336763</t>
  </si>
  <si>
    <t>-449.38457831781 364.549102311116 750.02989467794</t>
  </si>
  <si>
    <t>-659.757971088928 138.406779880843 -233.692548087917</t>
  </si>
  <si>
    <t>-607.420376409808 59.603655566368 212.074737521906</t>
  </si>
  <si>
    <t>-642.691947619992 -40.7134655367311 668.902834133262</t>
  </si>
  <si>
    <t>-485.140620379878 -75.3640127170221 739.048701138842</t>
  </si>
  <si>
    <t>9763-20170724T164118.224146000.bin</t>
  </si>
  <si>
    <t>-657.340864336887 233.381962102562 -238.739561787165</t>
  </si>
  <si>
    <t>-673.588451788109 226.38166591648 -358.551100787561</t>
  </si>
  <si>
    <t>-660.087168347153 213.705658830914 -478.332562012217</t>
  </si>
  <si>
    <t>-635.82215470424 200.807958470532 -584.350073072439</t>
  </si>
  <si>
    <t>-599.845399585544 186.987645243138 -686.866127370219</t>
  </si>
  <si>
    <t>-537.963176482064 167.301755608386 -824.645096019422</t>
  </si>
  <si>
    <t>-467.605407030703 165.374646325209 -898.327239503536</t>
  </si>
  <si>
    <t>-570.742339806043 206.598723437569 -770.476956846377</t>
  </si>
  <si>
    <t>-601.081231378342 350.486456748675 -772.850773111291</t>
  </si>
  <si>
    <t>-607.261955467521 457.330956343502 -474.971307933544</t>
  </si>
  <si>
    <t>-384.360682646559 403.773728773618 -352.135064705678</t>
  </si>
  <si>
    <t>-559.945948706673 145.425511532251 -756.887484120054</t>
  </si>
  <si>
    <t>-542.833486873298 6.85663117781245 -710.779179826453</t>
  </si>
  <si>
    <t>-588.625980442695 24.1840843182713 -398.066880346077</t>
  </si>
  <si>
    <t>-409.276700984734 207.478867804671 -354.720163630222</t>
  </si>
  <si>
    <t>-656.45525085461 324.252676323396 -243.823098261722</t>
  </si>
  <si>
    <t>-639.558500021655 345.394208466276 211.06719992331</t>
  </si>
  <si>
    <t>-610.657651541447 350.746508937841 679.80884933314</t>
  </si>
  <si>
    <t>-449.615340846697 366.540521638113 748.797420130283</t>
  </si>
  <si>
    <t>-658.471470461417 142.491199742656 -232.976811586414</t>
  </si>
  <si>
    <t>-605.481526930051 62.3365139652582 212.472312070005</t>
  </si>
  <si>
    <t>-642.116796984002 -40.232182244885 668.671954649766</t>
  </si>
  <si>
    <t>-484.358208995874 -73.5820499130187 738.982250988166</t>
  </si>
  <si>
    <t>9763-20170724T164118.265256200.bin</t>
  </si>
  <si>
    <t>-657.616478024782 236.360226893043 -238.69536211805</t>
  </si>
  <si>
    <t>-674.988763613109 228.741717630417 -358.311268013304</t>
  </si>
  <si>
    <t>-662.836957316179 215.661460591589 -478.193686767313</t>
  </si>
  <si>
    <t>-639.858885121657 202.49573799277 -584.464772243491</t>
  </si>
  <si>
    <t>-605.218138733549 188.50568254336 -687.416891221289</t>
  </si>
  <si>
    <t>-545.225729852375 168.687914443053 -826.010464137279</t>
  </si>
  <si>
    <t>-475.899242842856 167.201718146304 -900.673741921769</t>
  </si>
  <si>
    <t>-577.813336399653 207.883663111656 -771.653623399802</t>
  </si>
  <si>
    <t>-610.707920051449 351.206665872906 -775.082017611746</t>
  </si>
  <si>
    <t>-612.584724011618 462.82738415475 -478.900648019694</t>
  </si>
  <si>
    <t>-388.262945264589 407.882096118554 -359.306226491975</t>
  </si>
  <si>
    <t>-565.727672767697 147.029665213332 -757.7205159085</t>
  </si>
  <si>
    <t>-545.400256008063 9.12375865457578 -710.911124691782</t>
  </si>
  <si>
    <t>-586.590668843695 26.0650726589581 -397.538313008865</t>
  </si>
  <si>
    <t>-409.201760516425 212.091673281619 -357.923641967071</t>
  </si>
  <si>
    <t>-657.935078550413 326.704270960941 -243.972235305274</t>
  </si>
  <si>
    <t>-640.999812398761 347.326054016707 210.940462675765</t>
  </si>
  <si>
    <t>-611.053397287982 351.661201969028 679.721884782584</t>
  </si>
  <si>
    <t>-449.617715273704 367.120138514967 747.861855434979</t>
  </si>
  <si>
    <t>-657.427838168293 145.746619412433 -232.591380275402</t>
  </si>
  <si>
    <t>-604.502427371957 64.8765961860657 212.736158769616</t>
  </si>
  <si>
    <t>-641.533345651956 -40.0386671120023 668.417768882518</t>
  </si>
  <si>
    <t>-483.664162242629 -72.4247294569366 738.92994125523</t>
  </si>
  <si>
    <t>9763-20170724T164118.323416800.bin</t>
  </si>
  <si>
    <t>-657.860361362737 241.446975037085 -238.647662764158</t>
  </si>
  <si>
    <t>-676.78634961187 233.114250340399 -357.979858552597</t>
  </si>
  <si>
    <t>-666.827680833299 219.737852111868 -478.031695728913</t>
  </si>
  <si>
    <t>-646.053244541497 206.48172441542 -584.74418763546</t>
  </si>
  <si>
    <t>-613.803759773329 192.574944575485 -688.481413907375</t>
  </si>
  <si>
    <t>-557.294977284237 173.050565214507 -828.572725123016</t>
  </si>
  <si>
    <t>-489.93292772173 172.757117675113 -905.026996346048</t>
  </si>
  <si>
    <t>-589.383423760606 211.868191003538 -773.650577101841</t>
  </si>
  <si>
    <t>-626.31505486218 354.120085094958 -778.351419340562</t>
  </si>
  <si>
    <t>-620.610357592959 472.85876377411 -485.00042749385</t>
  </si>
  <si>
    <t>-393.413380845748 416.316380773412 -371.746129294362</t>
  </si>
  <si>
    <t>-575.213243881159 151.51085312063 -759.522881849539</t>
  </si>
  <si>
    <t>-549.183002556575 14.686555261883 -712.350863631336</t>
  </si>
  <si>
    <t>-583.675001382502 27.4023625612802 -397.970839699543</t>
  </si>
  <si>
    <t>-410.688702932156 218.291674348864 -362.207011824107</t>
  </si>
  <si>
    <t>-660.059270304139 331.571387518394 -244.158557977445</t>
  </si>
  <si>
    <t>-642.382160256533 350.537925368925 210.798071985602</t>
  </si>
  <si>
    <t>-611.791731930979 353.255536147105 679.577990788754</t>
  </si>
  <si>
    <t>-449.94484631847 369.407296304323 746.572173628981</t>
  </si>
  <si>
    <t>-655.455408007161 151.126847111359 -232.483687489907</t>
  </si>
  <si>
    <t>-604.432630452097 68.3893970807888 212.722739542219</t>
  </si>
  <si>
    <t>-640.259922457399 -40.4200371025915 667.510873288043</t>
  </si>
  <si>
    <t>-482.329804812785 -70.8710150349286 738.745189716237</t>
  </si>
  <si>
    <t>9763-20170724T164118.389593500.bin</t>
  </si>
  <si>
    <t>-656.070813974436 242.745256788797 -239.037199767974</t>
  </si>
  <si>
    <t>-676.188496228071 234.126858771275 -358.154003616442</t>
  </si>
  <si>
    <t>-668.1166773763 220.876425007276 -478.36144456254</t>
  </si>
  <si>
    <t>-649.297400240526 207.92241347263 -585.472883566695</t>
  </si>
  <si>
    <t>-619.223968188893 194.513254257345 -689.92683660519</t>
  </si>
  <si>
    <t>-565.938961349635 175.890836319943 -831.397481501048</t>
  </si>
  <si>
    <t>-500.446266735811 176.978914586477 -909.452010480545</t>
  </si>
  <si>
    <t>-597.385216270249 214.149040286128 -775.716574483192</t>
  </si>
  <si>
    <t>-637.230297600398 355.613757870719 -780.598062116476</t>
  </si>
  <si>
    <t>-625.931445281867 475.887542240947 -488.035699139206</t>
  </si>
  <si>
    <t>-395.195685535591 421.04478007498 -381.286770981985</t>
  </si>
  <si>
    <t>-581.646648429708 154.112329345766 -761.885731086062</t>
  </si>
  <si>
    <t>-550.810758401235 18.2056285704844 -715.019495908307</t>
  </si>
  <si>
    <t>-581.208904437366 26.3910020182217 -400.066760174345</t>
  </si>
  <si>
    <t>-413.10906430681 221.890147917641 -365.940475859639</t>
  </si>
  <si>
    <t>-660.003852222338 334.14014223136 -244.407819123107</t>
  </si>
  <si>
    <t>-641.56417377522 352.194582886316 210.555549600242</t>
  </si>
  <si>
    <t>-612.344178092545 354.541981935237 679.435400169422</t>
  </si>
  <si>
    <t>-450.411659875919 372.098430144102 745.866989003524</t>
  </si>
  <si>
    <t>-651.891967797994 150.920426618765 -232.926516180073</t>
  </si>
  <si>
    <t>-603.196947356156 66.6136211212951 212.246283619923</t>
  </si>
  <si>
    <t>-636.442824044216 -45.9184713102721 666.435696760186</t>
  </si>
  <si>
    <t>-478.710699741446 -73.8425142171308 739.129136794051</t>
  </si>
  <si>
    <t>9763-20170724T164118.423188400.bin</t>
  </si>
  <si>
    <t>-655.700075634502 243.75989806991 -239.198632339879</t>
  </si>
  <si>
    <t>-676.227873166963 235.148393158863 -358.245864864421</t>
  </si>
  <si>
    <t>-668.9824270848 222.11400598789 -478.529648659803</t>
  </si>
  <si>
    <t>-651.06508182743 209.453001447156 -585.830664085168</t>
  </si>
  <si>
    <t>-622.035472555001 196.440619355021 -690.629504659099</t>
  </si>
  <si>
    <t>-570.334232598244 178.482914002015 -832.772130260434</t>
  </si>
  <si>
    <t>-505.754739376539 180.280195130663 -911.570930104561</t>
  </si>
  <si>
    <t>-601.36277464678 216.408450302999 -776.63121034918</t>
  </si>
  <si>
    <t>-642.255286203964 357.591821179047 -780.997244063549</t>
  </si>
  <si>
    <t>-628.992395166704 477.343121814068 -488.303084226102</t>
  </si>
  <si>
    <t>-396.519703251964 423.728433750333 -384.746519682555</t>
  </si>
  <si>
    <t>-585.058014756233 156.448850422031 -763.125653736576</t>
  </si>
  <si>
    <t>-552.55226850006 20.8247588205486 -716.535795630067</t>
  </si>
  <si>
    <t>-580.559261638606 27.0909948629087 -401.317608320788</t>
  </si>
  <si>
    <t>-414.849292320193 224.694341404229 -367.625671841277</t>
  </si>
  <si>
    <t>-659.601217695521 335.292791626442 -244.516737798706</t>
  </si>
  <si>
    <t>-641.276121365943 353.006970742905 210.464622666497</t>
  </si>
  <si>
    <t>-612.44633901303 354.820261653857 679.370627744533</t>
  </si>
  <si>
    <t>-450.508031714545 372.696872471793 745.702608366912</t>
  </si>
  <si>
    <t>-651.642795759961 152.013721807639 -233.125635369053</t>
  </si>
  <si>
    <t>-603.645335164863 67.393355525747 212.063371151241</t>
  </si>
  <si>
    <t>-636.456778525631 -45.8132780542102 666.045759912182</t>
  </si>
  <si>
    <t>-478.908155514973 -74.1034016572852 738.995169293263</t>
  </si>
  <si>
    <t>9763-20170724T164118.490869700.bin</t>
  </si>
  <si>
    <t>-654.92848539723 245.947643639927 -239.349194386579</t>
  </si>
  <si>
    <t>-676.505249581821 237.606638763568 -358.230083836299</t>
  </si>
  <si>
    <t>-670.897290776873 225.277118032416 -478.675456024845</t>
  </si>
  <si>
    <t>-654.676109252835 213.457583067023 -586.341798506825</t>
  </si>
  <si>
    <t>-627.540038368012 201.50688179144 -691.772632863839</t>
  </si>
  <si>
    <t>-578.656902577474 185.266767602272 -835.113884156334</t>
  </si>
  <si>
    <t>-515.671645362295 188.517534915519 -915.14689420626</t>
  </si>
  <si>
    <t>-608.820821229748 222.423187531001 -777.995954926277</t>
  </si>
  <si>
    <t>-650.911883393591 363.316508001963 -780.692905374152</t>
  </si>
  <si>
    <t>-635.783733017474 481.181439666141 -487.324371634755</t>
  </si>
  <si>
    <t>-400.790014292129 428.754531479563 -388.98094830142</t>
  </si>
  <si>
    <t>-591.751499318392 162.481862585961 -765.383702372805</t>
  </si>
  <si>
    <t>-556.836931076474 27.0901990030445 -719.896448183691</t>
  </si>
  <si>
    <t>-579.781100439529 32.5981204096165 -404.255196216436</t>
  </si>
  <si>
    <t>-416.600624564647 232.396250782002 -371.166360312805</t>
  </si>
  <si>
    <t>-658.433401931851 337.693259222165 -244.61626706659</t>
  </si>
  <si>
    <t>-640.492352622395 354.527533447866 210.413860934378</t>
  </si>
  <si>
    <t>-612.552739608163 355.139720214086 679.316513772247</t>
  </si>
  <si>
    <t>-450.595217864567 372.162488935123 745.825973496559</t>
  </si>
  <si>
    <t>-651.351330777288 154.312776238044 -233.429281769665</t>
  </si>
  <si>
    <t>-603.537555499206 68.6820661227681 211.586398813807</t>
  </si>
  <si>
    <t>-636.303008525369 -46.0201134720944 665.22022456864</t>
  </si>
  <si>
    <t>-478.894231562404 -75.1589348864136 738.137393960645</t>
  </si>
  <si>
    <t>9763-20170724T164118.525463200.bin</t>
  </si>
  <si>
    <t>-654.468296324468 246.607005737747 -239.491395150352</t>
  </si>
  <si>
    <t>-676.440799988897 238.394475103587 -358.308749470269</t>
  </si>
  <si>
    <t>-671.555042272717 226.461179230866 -478.825551870906</t>
  </si>
  <si>
    <t>-656.112364998566 215.115542587278 -586.657088503641</t>
  </si>
  <si>
    <t>-629.873291890961 203.758010016437 -692.380178423939</t>
  </si>
  <si>
    <t>-582.352099885224 188.469039382168 -836.282918194679</t>
  </si>
  <si>
    <t>-520.036590469873 192.429534567683 -916.806640211866</t>
  </si>
  <si>
    <t>-612.047494041479 225.21920488029 -778.658892843098</t>
  </si>
  <si>
    <t>-654.425787049346 366.049207823162 -780.411652226684</t>
  </si>
  <si>
    <t>-639.090469119428 482.336402739178 -486.424638750601</t>
  </si>
  <si>
    <t>-403.345944149729 429.874644584114 -389.913659024345</t>
  </si>
  <si>
    <t>-594.710019879342 165.248617620566 -766.561981102325</t>
  </si>
  <si>
    <t>-559.045210972158 29.8042907635806 -721.837019848965</t>
  </si>
  <si>
    <t>-579.313044084381 34.7516297891525 -406.003258847547</t>
  </si>
  <si>
    <t>-417.310971591571 235.486150598235 -372.791641074563</t>
  </si>
  <si>
    <t>-657.598581862553 338.352809763153 -244.69245066578</t>
  </si>
  <si>
    <t>-640.061008226012 354.949019193753 210.36216925548</t>
  </si>
  <si>
    <t>-612.583020810995 355.222765407999 679.302830079286</t>
  </si>
  <si>
    <t>-450.588181817753 371.330964098058 745.949029530461</t>
  </si>
  <si>
    <t>-651.138695584898 154.792479222746 -233.674152069538</t>
  </si>
  <si>
    <t>-603.078734862788 69.3247780352389 211.346235410822</t>
  </si>
  <si>
    <t>-636.175015698554 -45.9805702544939 664.75608822893</t>
  </si>
  <si>
    <t>-478.814539168388 -75.6526421391974 737.562231129263</t>
  </si>
  <si>
    <t>9763-20170724T164118.594149500.bin</t>
  </si>
  <si>
    <t>-653.779535917075 247.534131018895 -239.910442401303</t>
  </si>
  <si>
    <t>-676.373565042402 239.595195542697 -358.629736045086</t>
  </si>
  <si>
    <t>-672.649641096738 228.568374589909 -479.274320994045</t>
  </si>
  <si>
    <t>-658.473734615525 218.296962065684 -587.387161535633</t>
  </si>
  <si>
    <t>-633.710950568301 208.265548995413 -693.59943556214</t>
  </si>
  <si>
    <t>-588.449820585856 195.07801953609 -838.435580975584</t>
  </si>
  <si>
    <t>-527.222636418339 200.534342302325 -919.703340094253</t>
  </si>
  <si>
    <t>-617.333990502724 230.948335989521 -779.852702873058</t>
  </si>
  <si>
    <t>-660.001507936121 371.667679270089 -779.478431817651</t>
  </si>
  <si>
    <t>-644.441251928674 484.116510843681 -484.013931918324</t>
  </si>
  <si>
    <t>-408.848501712189 429.154635600629 -388.529159355719</t>
  </si>
  <si>
    <t>-599.618975800405 170.877887281166 -768.84736002817</t>
  </si>
  <si>
    <t>-562.672815421828 35.1062752962009 -726.086346038903</t>
  </si>
  <si>
    <t>-577.80425716933 36.1883078318493 -409.928151378653</t>
  </si>
  <si>
    <t>-420.007725015092 240.06884355829 -375.649262329458</t>
  </si>
  <si>
    <t>-656.643567655466 339.457964384998 -244.893308824248</t>
  </si>
  <si>
    <t>-639.329310268217 355.493979567295 210.189876404878</t>
  </si>
  <si>
    <t>-612.758864015382 355.51554740846 679.271900274518</t>
  </si>
  <si>
    <t>-450.820443088832 371.521338738759 746.079739981588</t>
  </si>
  <si>
    <t>-650.75999369517 155.595577262262 -234.206100281242</t>
  </si>
  <si>
    <t>-602.407595388459 69.3084724189681 210.624489232896</t>
  </si>
  <si>
    <t>-635.817857492523 -46.5776072280416 663.947725053121</t>
  </si>
  <si>
    <t>-478.384968428853 -75.2147875959785 737.011439246286</t>
  </si>
  <si>
    <t>9763-20170724T164118.626265100.bin</t>
  </si>
  <si>
    <t>-653.614281266982 247.833598076772 -240.124210013431</t>
  </si>
  <si>
    <t>-676.524700439591 240.032385531782 -358.792008379909</t>
  </si>
  <si>
    <t>-673.309616827838 229.516343459923 -479.496893708121</t>
  </si>
  <si>
    <t>-659.674273386386 219.858357450378 -587.735699303786</t>
  </si>
  <si>
    <t>-635.532476083073 210.591227230301 -694.159971184549</t>
  </si>
  <si>
    <t>-591.217376470005 198.621185060615 -839.394024428767</t>
  </si>
  <si>
    <t>-530.47734903874 204.885121283378 -920.968463433246</t>
  </si>
  <si>
    <t>-619.788780139264 233.973227309814 -780.34452362767</t>
  </si>
  <si>
    <t>-662.784230194162 374.593797849202 -778.770247842228</t>
  </si>
  <si>
    <t>-646.93746802552 484.724605334874 -482.448987831646</t>
  </si>
  <si>
    <t>-411.491830878753 428.595811359338 -387.280881095895</t>
  </si>
  <si>
    <t>-601.862098640895 173.861895665236 -769.920441255377</t>
  </si>
  <si>
    <t>-564.252929681974 37.9247626445787 -728.281849560706</t>
  </si>
  <si>
    <t>-578.363241071512 36.8447075905547 -412.076375651938</t>
  </si>
  <si>
    <t>-422.434761964268 242.064361221582 -377.244777828077</t>
  </si>
  <si>
    <t>-656.339389444094 339.941928884131 -244.955949807208</t>
  </si>
  <si>
    <t>-639.126160585033 355.827632008041 210.13651213773</t>
  </si>
  <si>
    <t>-612.921424567825 355.778539257917 679.256972044811</t>
  </si>
  <si>
    <t>-451.054970900171 372.360959746262 746.098473886977</t>
  </si>
  <si>
    <t>-650.823622827194 155.745949240354 -234.474330393925</t>
  </si>
  <si>
    <t>-602.277802256659 69.3095541148695 210.306105225872</t>
  </si>
  <si>
    <t>-635.695467044073 -46.6701061685335 663.627455156968</t>
  </si>
  <si>
    <t>-478.407870480139 -75.7919282046169 736.812339930788</t>
  </si>
  <si>
    <t>9763-20170724T164118.691058900.bin</t>
  </si>
  <si>
    <t>-653.322998970658 248.271726197241 -240.498737177292</t>
  </si>
  <si>
    <t>-676.56497170397 240.804654267802 -359.123581745272</t>
  </si>
  <si>
    <t>-674.037580875592 231.441065809385 -479.939602013555</t>
  </si>
  <si>
    <t>-661.182072965837 223.153095358636 -588.387179686627</t>
  </si>
  <si>
    <t>-637.983594856493 215.579081990345 -695.154843112088</t>
  </si>
  <si>
    <t>-595.152380942902 206.293264941945 -841.028996370918</t>
  </si>
  <si>
    <t>-535.241120078056 214.372281778501 -923.055583982697</t>
  </si>
  <si>
    <t>-623.279575467032 240.491916498511 -781.093753965261</t>
  </si>
  <si>
    <t>-667.249368465036 380.760234113157 -776.817804389594</t>
  </si>
  <si>
    <t>-651.91247626939 485.231272931783 -478.427570414016</t>
  </si>
  <si>
    <t>-417.720402676082 426.41159422513 -381.802678988682</t>
  </si>
  <si>
    <t>-604.928171585355 180.311953084955 -771.874714198239</t>
  </si>
  <si>
    <t>-566.078153288029 43.9873859110519 -732.750422440024</t>
  </si>
  <si>
    <t>-579.626474621736 38.6357676304937 -416.563672835422</t>
  </si>
  <si>
    <t>-425.263915257253 244.720192529992 -379.910591970392</t>
  </si>
  <si>
    <t>-655.943145862246 340.521956173822 -245.054698176762</t>
  </si>
  <si>
    <t>-638.965437037148 356.28495240088 210.050821685317</t>
  </si>
  <si>
    <t>-613.261442596013 356.297490720568 679.23750592271</t>
  </si>
  <si>
    <t>-451.292255811758 372.264053245506 745.979935790253</t>
  </si>
  <si>
    <t>-650.608095449404 156.110225229436 -235.100926942921</t>
  </si>
  <si>
    <t>-602.823348576937 69.2768663159563 209.684698134996</t>
  </si>
  <si>
    <t>-635.549421809206 -46.6200146572971 663.13067104926</t>
  </si>
  <si>
    <t>-478.477316894169 -76.6580433198258 736.408058649807</t>
  </si>
  <si>
    <t>9763-20170724T164118.723647700.bin</t>
  </si>
  <si>
    <t>-653.443191072262 248.479920203958 -240.623511537531</t>
  </si>
  <si>
    <t>-676.583986637726 241.186263814035 -359.278972819122</t>
  </si>
  <si>
    <t>-674.176795428198 232.410163101559 -480.141544872094</t>
  </si>
  <si>
    <t>-661.530484695145 224.812259262077 -588.664270007993</t>
  </si>
  <si>
    <t>-638.645585201925 218.080788621776 -695.555906110883</t>
  </si>
  <si>
    <t>-596.360722815854 210.118130321998 -841.667472143926</t>
  </si>
  <si>
    <t>-536.754979540131 219.089591269236 -923.823808648797</t>
  </si>
  <si>
    <t>-624.322370461317 243.751203127647 -781.336037789547</t>
  </si>
  <si>
    <t>-668.995853520176 383.758236579822 -775.675109412942</t>
  </si>
  <si>
    <t>-654.594412680388 484.39709199024 -475.924117967598</t>
  </si>
  <si>
    <t>-421.826993174669 423.796742244112 -376.984966382018</t>
  </si>
  <si>
    <t>-605.818593786152 183.531494586394 -772.699268921105</t>
  </si>
  <si>
    <t>-566.527104138321 47.0177866344447 -734.770332258287</t>
  </si>
  <si>
    <t>-580.65857424267 39.5916028111012 -418.651236884219</t>
  </si>
  <si>
    <t>-425.869601936165 245.264904901608 -381.490469567742</t>
  </si>
  <si>
    <t>-656.017766437589 340.768148716667 -245.072884772236</t>
  </si>
  <si>
    <t>-639.12782500521 356.606745800134 210.03318432001</t>
  </si>
  <si>
    <t>-613.468309301302 356.626202062942 679.213564095776</t>
  </si>
  <si>
    <t>-451.497357283412 373.117460512166 745.824101666125</t>
  </si>
  <si>
    <t>-650.770688266657 156.215778193948 -235.397227257609</t>
  </si>
  <si>
    <t>-603.323456202159 69.326722067807 209.413647050771</t>
  </si>
  <si>
    <t>-635.516638576487 -46.4617098131793 662.931637270989</t>
  </si>
  <si>
    <t>-478.679621917467 -77.5974434832364 736.254448964329</t>
  </si>
  <si>
    <t>9763-20170724T164118.793120700.bin</t>
  </si>
  <si>
    <t>-653.399891849069 248.260160644889 -240.868664905979</t>
  </si>
  <si>
    <t>-676.503024043781 241.189025813956 -359.544925314519</t>
  </si>
  <si>
    <t>-674.186390130498 233.622169239484 -480.490911989422</t>
  </si>
  <si>
    <t>-661.702697994883 227.498533715041 -589.125684165717</t>
  </si>
  <si>
    <t>-639.076612459495 222.60804528197 -696.172345734435</t>
  </si>
  <si>
    <t>-597.264887160904 217.571014798308 -842.550051437921</t>
  </si>
  <si>
    <t>-537.925764811225 228.401569020926 -924.675256477548</t>
  </si>
  <si>
    <t>-625.078867633648 249.973046986306 -781.481041823223</t>
  </si>
  <si>
    <t>-670.990658645095 389.416785965759 -772.877662387474</t>
  </si>
  <si>
    <t>-659.979905108548 479.295885607338 -469.584573786275</t>
  </si>
  <si>
    <t>-431.404317776639 413.615541621022 -364.316704744412</t>
  </si>
  <si>
    <t>-606.451673665804 189.62651449001 -774.083795454181</t>
  </si>
  <si>
    <t>-566.928056657179 52.5536742884447 -738.435451909856</t>
  </si>
  <si>
    <t>-581.819861759076 39.0599602273442 -422.552073260953</t>
  </si>
  <si>
    <t>-426.647275049523 244.331603525897 -384.775324348307</t>
  </si>
  <si>
    <t>-656.014535171218 340.884378858055 -245.127762107403</t>
  </si>
  <si>
    <t>-639.457383183889 356.69334437218 209.991636294097</t>
  </si>
  <si>
    <t>-613.777461910824 357.057239135563 679.192187477905</t>
  </si>
  <si>
    <t>-451.544891521331 372.15358425592 745.496120699762</t>
  </si>
  <si>
    <t>-650.660858150212 155.617819042214 -235.774026128206</t>
  </si>
  <si>
    <t>-604.195919773934 68.2233285861997 209.041541495102</t>
  </si>
  <si>
    <t>-635.372213466305 -47.8085768767129 662.625473225384</t>
  </si>
  <si>
    <t>-477.938170770829 -75.9996040134853 735.86012217826</t>
  </si>
  <si>
    <t>9763-20170724T164118.830218500.bin</t>
  </si>
  <si>
    <t>-653.249205679794 248.151898173168 -240.941908038296</t>
  </si>
  <si>
    <t>-676.275641945892 241.21585153421 -359.64100719338</t>
  </si>
  <si>
    <t>-673.925658292829 234.323140332407 -480.626731356368</t>
  </si>
  <si>
    <t>-661.446069646322 229.015130118823 -589.304852323417</t>
  </si>
  <si>
    <t>-638.86779997857 225.13751755982 -696.403037831799</t>
  </si>
  <si>
    <t>-597.175890097128 221.704715736657 -842.861293220572</t>
  </si>
  <si>
    <t>-537.912234995017 233.417648043183 -924.919997413041</t>
  </si>
  <si>
    <t>-624.933478806911 253.437733209359 -781.416632261766</t>
  </si>
  <si>
    <t>-671.247043846264 392.624953538343 -771.222068499092</t>
  </si>
  <si>
    <t>-662.134077299774 477.082985108827 -466.312291755464</t>
  </si>
  <si>
    <t>-435.29188925197 409.317610803882 -358.643644881699</t>
  </si>
  <si>
    <t>-606.31306431413 193.00950769362 -774.699536466907</t>
  </si>
  <si>
    <t>-566.912753453117 55.5930431295509 -740.261406891245</t>
  </si>
  <si>
    <t>-581.9527998157 38.4416275868906 -424.562495348858</t>
  </si>
  <si>
    <t>-427.105018131096 243.880501652335 -386.364651830253</t>
  </si>
  <si>
    <t>-655.777485928785 341.021381283978 -245.136335197922</t>
  </si>
  <si>
    <t>-639.68670321962 356.969374691232 209.994804603434</t>
  </si>
  <si>
    <t>-614.12891148015 357.668829504861 679.179167600913</t>
  </si>
  <si>
    <t>-451.846942994092 373.318354559734 745.23342765326</t>
  </si>
  <si>
    <t>-650.587305159953 155.299916598673 -235.962920322995</t>
  </si>
  <si>
    <t>-604.30020968542 67.9301082021846 208.876036387173</t>
  </si>
  <si>
    <t>-635.321504632539 -48.1163247014109 662.466002300515</t>
  </si>
  <si>
    <t>-477.821281165521 -75.9511543592261 735.694499868021</t>
  </si>
  <si>
    <t>9763-20170724T164118.893389400.bin</t>
  </si>
  <si>
    <t>-652.645160465571 248.676632666034 -240.993846522675</t>
  </si>
  <si>
    <t>-675.569761715473 241.917261915745 -359.722870793004</t>
  </si>
  <si>
    <t>-673.117198211682 236.350855641958 -480.774858306836</t>
  </si>
  <si>
    <t>-660.580324124292 232.685917522507 -589.5141522445</t>
  </si>
  <si>
    <t>-638.002040631133 230.879087763761 -696.66728913413</t>
  </si>
  <si>
    <t>-596.389286866098 230.752709064662 -843.188223049783</t>
  </si>
  <si>
    <t>-537.214188511237 244.10815397675 -925.0596055984</t>
  </si>
  <si>
    <t>-624.069524382169 261.105290092715 -781.015521922708</t>
  </si>
  <si>
    <t>-671.008585896893 399.810278701456 -767.594980102078</t>
  </si>
  <si>
    <t>-665.861902480491 475.292513556412 -460.248213633929</t>
  </si>
  <si>
    <t>-438.586555624716 410.975840749021 -351.38413907281</t>
  </si>
  <si>
    <t>-605.533731769116 200.51197524269 -775.698965985761</t>
  </si>
  <si>
    <t>-566.284573878954 62.3951301954948 -743.914835204538</t>
  </si>
  <si>
    <t>-581.418530433781 39.5532685204843 -428.58114421678</t>
  </si>
  <si>
    <t>-426.82763193204 244.763623439384 -388.177793364527</t>
  </si>
  <si>
    <t>-655.048454324836 341.475636468134 -245.180351790873</t>
  </si>
  <si>
    <t>-639.737814010994 357.411838516504 209.978274881806</t>
  </si>
  <si>
    <t>-614.525696498923 358.258366541764 679.150676140494</t>
  </si>
  <si>
    <t>-451.977727044909 373.235438962133 744.704753703804</t>
  </si>
  <si>
    <t>-650.160169111899 155.957510267026 -236.16965642441</t>
  </si>
  <si>
    <t>-603.687066455907 68.2526567466983 208.583925848693</t>
  </si>
  <si>
    <t>-635.264210532638 -47.8910617869304 662.071034137696</t>
  </si>
  <si>
    <t>-478.089616649677 -77.3966033717006 735.345082718524</t>
  </si>
  <si>
    <t>9763-20170724T164118.926987100.bin</t>
  </si>
  <si>
    <t>-652.170788737166 249.008858887094 -241.112184479856</t>
  </si>
  <si>
    <t>-675.206137036225 242.297201603969 -359.82255912356</t>
  </si>
  <si>
    <t>-672.750791139423 237.345534698753 -480.901013853021</t>
  </si>
  <si>
    <t>-660.18220972663 234.459131482161 -589.660177115377</t>
  </si>
  <si>
    <t>-637.555038447217 233.647638404408 -696.815250941271</t>
  </si>
  <si>
    <t>-595.86837341248 235.123457005078 -843.307748685277</t>
  </si>
  <si>
    <t>-536.763027747951 249.272811232459 -925.096130791806</t>
  </si>
  <si>
    <t>-623.562278002165 264.800285733931 -780.81567502403</t>
  </si>
  <si>
    <t>-670.839418042991 403.239784640917 -765.809987530267</t>
  </si>
  <si>
    <t>-667.525017030622 475.898758947201 -457.758222369308</t>
  </si>
  <si>
    <t>-440.062173527944 412.532437364531 -348.728898445994</t>
  </si>
  <si>
    <t>-605.064530338117 204.140658840081 -776.163035644479</t>
  </si>
  <si>
    <t>-565.873629787836 65.7367461252599 -745.689784312366</t>
  </si>
  <si>
    <t>-581.017329970791 40.2543451728114 -430.558868207207</t>
  </si>
  <si>
    <t>-426.938039910289 245.632682532926 -389.069601640321</t>
  </si>
  <si>
    <t>-654.592803142205 341.738722101929 -245.221389590514</t>
  </si>
  <si>
    <t>-639.505471885923 357.813234271805 209.939647609781</t>
  </si>
  <si>
    <t>-614.714764320815 358.568215594406 679.126443029082</t>
  </si>
  <si>
    <t>-452.052962943929 373.13309228002 744.490901958769</t>
  </si>
  <si>
    <t>-649.709879768353 156.397779718276 -236.273967996894</t>
  </si>
  <si>
    <t>-603.135167837217 68.5464006498101 208.440115203263</t>
  </si>
  <si>
    <t>-635.274757229841 -47.4692699661917 661.876413702212</t>
  </si>
  <si>
    <t>-478.313866035359 -78.102873012649 735.14565990463</t>
  </si>
  <si>
    <t>9763-20170724T164118.965586400.bin</t>
  </si>
  <si>
    <t>-651.596550276279 249.237105783171 -241.197629482448</t>
  </si>
  <si>
    <t>-674.777393361803 242.559029807391 -359.881441910004</t>
  </si>
  <si>
    <t>-672.334276308434 238.198362452149 -480.983060523084</t>
  </si>
  <si>
    <t>-659.738793893874 236.065748868868 -589.756433832296</t>
  </si>
  <si>
    <t>-637.058818206973 236.221462710094 -696.903364610963</t>
  </si>
  <si>
    <t>-595.283907837146 239.25721002045 -843.346613109177</t>
  </si>
  <si>
    <t>-536.235597472567 254.190492292081 -925.036800659885</t>
  </si>
  <si>
    <t>-623.000832143239 268.271660333824 -780.554349037198</t>
  </si>
  <si>
    <t>-670.55945196358 406.448031816786 -764.037271579489</t>
  </si>
  <si>
    <t>-669.14008393619 476.799977514229 -455.435946461051</t>
  </si>
  <si>
    <t>-442.077342986387 412.201937402006 -346.295373358943</t>
  </si>
  <si>
    <t>-604.535241639323 207.556323758094 -776.545442160162</t>
  </si>
  <si>
    <t>-565.361032012383 68.8626169689762 -747.428074826911</t>
  </si>
  <si>
    <t>-580.080332907601 40.9908228576617 -432.479204345948</t>
  </si>
  <si>
    <t>-426.507436198764 246.555535558467 -390.046016904728</t>
  </si>
  <si>
    <t>-653.989220616567 342.008881395389 -245.269968422416</t>
  </si>
  <si>
    <t>-639.150049710848 358.237042554078 209.893851034518</t>
  </si>
  <si>
    <t>-614.938300469865 359.033523607585 679.127812532695</t>
  </si>
  <si>
    <t>-452.219342439635 373.661744269465 744.33574563558</t>
  </si>
  <si>
    <t>-649.233066403689 156.650977807926 -236.381176251789</t>
  </si>
  <si>
    <t>-602.343924732069 68.6890467213321 208.278006700456</t>
  </si>
  <si>
    <t>-635.186712183214 -47.5969058029045 661.598697106538</t>
  </si>
  <si>
    <t>-478.332194506797 -78.6232788136221 734.930384561319</t>
  </si>
  <si>
    <t>9763-20170724T164119.024258000.bin</t>
  </si>
  <si>
    <t>-649.963145016632 249.222741554161 -241.369021065642</t>
  </si>
  <si>
    <t>-673.35100620853 242.621803785956 -360.016509957509</t>
  </si>
  <si>
    <t>-670.963290428067 239.462049451742 -481.156505953244</t>
  </si>
  <si>
    <t>-658.389004420232 238.857494958859 -589.951535799472</t>
  </si>
  <si>
    <t>-635.724711575906 240.971246872224 -697.080962595411</t>
  </si>
  <si>
    <t>-593.98870006357 247.16239538326 -843.435915060164</t>
  </si>
  <si>
    <t>-535.075856081388 263.80951375704 -924.892209789287</t>
  </si>
  <si>
    <t>-621.729680114827 274.803809120134 -780.037972469796</t>
  </si>
  <si>
    <t>-669.720396037387 412.395091002703 -760.523366281384</t>
  </si>
  <si>
    <t>-672.413521022115 478.883715546011 -451.075199557494</t>
  </si>
  <si>
    <t>-450.736360026992 397.198653384659 -342.314700087564</t>
  </si>
  <si>
    <t>-603.181507002885 214.042234496638 -777.318856238535</t>
  </si>
  <si>
    <t>-563.977341499413 74.7825780947823 -750.938162178869</t>
  </si>
  <si>
    <t>-577.750213436306 42.6608058152002 -436.351620955835</t>
  </si>
  <si>
    <t>-423.680452555189 247.531074337667 -392.388767612473</t>
  </si>
  <si>
    <t>-652.316603931213 342.105894114602 -245.365481538492</t>
  </si>
  <si>
    <t>-638.099614962114 358.795327696144 209.801548040945</t>
  </si>
  <si>
    <t>-615.312177552051 359.751584195082 679.097857237262</t>
  </si>
  <si>
    <t>-452.243502744384 372.435761223175 743.83753166148</t>
  </si>
  <si>
    <t>-647.498773711443 156.392932491409 -236.767993305384</t>
  </si>
  <si>
    <t>-600.740238553788 68.4668432290681 207.912044836988</t>
  </si>
  <si>
    <t>-634.876155753754 -48.2471497605395 661.060364498244</t>
  </si>
  <si>
    <t>-478.035729727799 -79.1534621411779 734.472860774385</t>
  </si>
  <si>
    <t>9763-20170724T164119.092943200.bin</t>
  </si>
  <si>
    <t>-648.005907957818 249.519191458669 -241.552962372902</t>
  </si>
  <si>
    <t>-671.874143830096 243.101805776959 -360.114899089439</t>
  </si>
  <si>
    <t>-669.958145083224 241.288371499646 -481.29082775099</t>
  </si>
  <si>
    <t>-657.838957572806 242.369936168915 -590.133842911786</t>
  </si>
  <si>
    <t>-635.681523780947 246.632699572708 -697.305229595931</t>
  </si>
  <si>
    <t>-594.727149173625 256.284090501443 -843.693760917247</t>
  </si>
  <si>
    <t>-536.235464863701 274.855039397824 -925.037763919732</t>
  </si>
  <si>
    <t>-622.271589617957 282.372254913634 -779.55623912459</t>
  </si>
  <si>
    <t>-670.204956874126 419.539046097549 -756.907880040673</t>
  </si>
  <si>
    <t>-679.680672333034 479.867897051442 -446.332898759394</t>
  </si>
  <si>
    <t>-461.164153677815 384.504293787951 -342.417868524878</t>
  </si>
  <si>
    <t>-603.424823441673 221.655043032988 -778.28671170816</t>
  </si>
  <si>
    <t>-564.16507980311 81.844436015552 -755.013061667058</t>
  </si>
  <si>
    <t>-577.161974889927 43.8880670536049 -441.044042213173</t>
  </si>
  <si>
    <t>-422.102293458296 247.458838497596 -394.595347530425</t>
  </si>
  <si>
    <t>-650.343484443661 342.336630522909 -245.429918972176</t>
  </si>
  <si>
    <t>-636.770888915053 359.300478098512 209.746574839921</t>
  </si>
  <si>
    <t>-615.460299328209 360.016419495771 679.025420149183</t>
  </si>
  <si>
    <t>-452.306705930225 371.958978508548 743.692249950281</t>
  </si>
  <si>
    <t>-645.652322152161 156.780923810569 -237.110905354019</t>
  </si>
  <si>
    <t>-598.613499372669 68.9682618537257 207.561945804412</t>
  </si>
  <si>
    <t>-634.523855999365 -47.8338035130619 660.349793472833</t>
  </si>
  <si>
    <t>-477.797424561216 -79.2677836265665 733.781747067294</t>
  </si>
  <si>
    <t>9763-20170724T164119.124028100.bin</t>
  </si>
  <si>
    <t>-646.9835438044 249.419781794467 -241.688036406467</t>
  </si>
  <si>
    <t>-671.116880974157 243.213732672157 -360.207504134365</t>
  </si>
  <si>
    <t>-669.482314287218 242.131673801442 -481.396340595726</t>
  </si>
  <si>
    <t>-657.638891128236 244.085979390959 -590.257623180388</t>
  </si>
  <si>
    <t>-635.789835501556 249.431449690445 -697.443932544039</t>
  </si>
  <si>
    <t>-595.309038264902 260.803091475809 -843.840439110961</t>
  </si>
  <si>
    <t>-537.058786214725 280.283457910322 -925.14493577496</t>
  </si>
  <si>
    <t>-622.703729643068 286.116943870322 -779.329668106531</t>
  </si>
  <si>
    <t>-670.637805191433 422.991022048665 -755.03568916156</t>
  </si>
  <si>
    <t>-683.94044203135 479.702627610929 -443.919910178929</t>
  </si>
  <si>
    <t>-465.062525655859 381.077151230264 -343.882375092926</t>
  </si>
  <si>
    <t>-603.737343176246 225.426018558163 -778.799515360185</t>
  </si>
  <si>
    <t>-564.431550811733 85.4020547552686 -757.142143671085</t>
  </si>
  <si>
    <t>-577.4149738051 43.5345921954729 -443.670206438906</t>
  </si>
  <si>
    <t>-422.165417419816 246.614575043382 -395.731053238396</t>
  </si>
  <si>
    <t>-649.220316516413 342.27592889856 -245.448256578411</t>
  </si>
  <si>
    <t>-636.074211239359 359.399007658787 209.734915244467</t>
  </si>
  <si>
    <t>-615.483679878991 360.032346520394 679.013691284453</t>
  </si>
  <si>
    <t>-452.427910187867 372.556011656049 743.817067411049</t>
  </si>
  <si>
    <t>-644.729336308239 156.596941984815 -237.393290899945</t>
  </si>
  <si>
    <t>-597.376327471382 69.0077427275266 207.290372999929</t>
  </si>
  <si>
    <t>-634.371019387969 -48.0492527812608 660.019044540747</t>
  </si>
  <si>
    <t>-477.74641342704 -79.9047562657984 733.486400005212</t>
  </si>
  <si>
    <t>9763-20170724T164119.192145300.bin</t>
  </si>
  <si>
    <t>-644.612184986718 248.461082403821 -242.236279320053</t>
  </si>
  <si>
    <t>-669.404893184948 242.778199989975 -360.645839908391</t>
  </si>
  <si>
    <t>-668.441441192621 243.074504672061 -481.846341028001</t>
  </si>
  <si>
    <t>-657.231449268356 246.620116278115 -590.734356100827</t>
  </si>
  <si>
    <t>-636.059936308402 253.897869624429 -697.942817743626</t>
  </si>
  <si>
    <t>-596.584901570232 268.303925573343 -844.346978843294</t>
  </si>
  <si>
    <t>-538.774304338019 289.335268856168 -925.578674340749</t>
  </si>
  <si>
    <t>-623.579448808819 292.259462054645 -779.152364874234</t>
  </si>
  <si>
    <t>-671.556262708803 428.529405907882 -751.680462443858</t>
  </si>
  <si>
    <t>-690.452047432284 475.381322094073 -439.215977167086</t>
  </si>
  <si>
    <t>-467.610219918436 375.88461030846 -349.305007084815</t>
  </si>
  <si>
    <t>-604.523337801568 231.599960681513 -779.983058404547</t>
  </si>
  <si>
    <t>-564.940402028122 91.2173536071435 -761.403014920491</t>
  </si>
  <si>
    <t>-578.365242104793 42.3071676910859 -448.970912627956</t>
  </si>
  <si>
    <t>-422.577175359385 244.296002659833 -398.249571411209</t>
  </si>
  <si>
    <t>-646.671000364807 341.611599603289 -245.54115596946</t>
  </si>
  <si>
    <t>-634.736528064219 358.842203367593 209.671220810335</t>
  </si>
  <si>
    <t>-615.491125767942 360.015240356815 679.025281366215</t>
  </si>
  <si>
    <t>-452.468768896717 371.01841900055 744.18792098996</t>
  </si>
  <si>
    <t>-642.508876931435 155.2664276415 -238.283281177556</t>
  </si>
  <si>
    <t>-595.54451893128 68.3668082330311 206.576796374647</t>
  </si>
  <si>
    <t>-634.054357226819 -48.5709262856588 659.374406995606</t>
  </si>
  <si>
    <t>-477.327432785865 -79.7900447522487 732.896922508586</t>
  </si>
  <si>
    <t>9763-20170724T164119.223734800.bin</t>
  </si>
  <si>
    <t>-643.467189524436 247.835352861702 -242.45674707739</t>
  </si>
  <si>
    <t>-668.344353422303 242.414507275911 -360.860834246706</t>
  </si>
  <si>
    <t>-667.59325261126 243.304528442567 -482.059978718943</t>
  </si>
  <si>
    <t>-656.635451542909 247.511158000942 -590.950186916014</t>
  </si>
  <si>
    <t>-635.780799658699 255.567714365696 -698.165000592212</t>
  </si>
  <si>
    <t>-596.817124301807 271.171891395542 -844.583474654262</t>
  </si>
  <si>
    <t>-539.19390631481 292.804299386 -925.790551421388</t>
  </si>
  <si>
    <t>-623.549165620991 294.603254531836 -779.090658290717</t>
  </si>
  <si>
    <t>-671.669538923884 430.577807647221 -750.273898498902</t>
  </si>
  <si>
    <t>-693.113558441337 471.474186091599 -437.138430487357</t>
  </si>
  <si>
    <t>-466.334307556262 374.240185605068 -354.926603191311</t>
  </si>
  <si>
    <t>-604.565480488249 233.931846062347 -780.504877784726</t>
  </si>
  <si>
    <t>-564.876253718848 93.4218895557778 -763.246095637884</t>
  </si>
  <si>
    <t>-578.202303394256 41.7804640315874 -451.249635414636</t>
  </si>
  <si>
    <t>-421.905050014447 243.027448673963 -399.164190141776</t>
  </si>
  <si>
    <t>-645.434585332782 341.165785723317 -245.594369052919</t>
  </si>
  <si>
    <t>-634.17047737755 358.598532645704 209.627394661783</t>
  </si>
  <si>
    <t>-615.510481541431 359.989200451515 679.018972346658</t>
  </si>
  <si>
    <t>-452.590322562652 371.448845826333 744.358288845833</t>
  </si>
  <si>
    <t>-641.275958764327 154.522742548064 -238.699248199448</t>
  </si>
  <si>
    <t>-594.851711658675 67.8966989878975 206.270890684362</t>
  </si>
  <si>
    <t>-633.922922121911 -48.9593120876122 659.10580842988</t>
  </si>
  <si>
    <t>-477.203621194436 -80.1782277913732 732.644709472245</t>
  </si>
  <si>
    <t>9763-20170724T164119.288202000.bin</t>
  </si>
  <si>
    <t>-641.016741471129 246.663929467614 -242.988204216504</t>
  </si>
  <si>
    <t>-666.162325801748 241.519728458499 -361.348001839853</t>
  </si>
  <si>
    <t>-665.832967608499 243.430414836659 -482.537288559165</t>
  </si>
  <si>
    <t>-655.337812574114 248.846718782643 -591.419602055939</t>
  </si>
  <si>
    <t>-635.039736244703 258.38841404653 -698.619333837175</t>
  </si>
  <si>
    <t>-596.958726274804 276.331422106668 -845.001993379299</t>
  </si>
  <si>
    <t>-539.734198940436 299.078351016936 -926.186425560524</t>
  </si>
  <si>
    <t>-623.262085473134 298.721969201161 -778.973857357029</t>
  </si>
  <si>
    <t>-671.482425878845 434.090546122318 -747.760554992429</t>
  </si>
  <si>
    <t>-695.647477393972 464.192895815104 -433.601347095609</t>
  </si>
  <si>
    <t>-462.68147928028 377.088890421806 -357.563376434061</t>
  </si>
  <si>
    <t>-604.354716676649 238.062468748454 -781.490585090342</t>
  </si>
  <si>
    <t>-564.738136684739 97.2311398921733 -766.637429313862</t>
  </si>
  <si>
    <t>-577.597234318958 41.7527591219712 -455.280698231927</t>
  </si>
  <si>
    <t>-420.120038570993 241.523527816128 -401.108581759711</t>
  </si>
  <si>
    <t>-642.962675991523 340.068971835877 -245.80217379091</t>
  </si>
  <si>
    <t>-632.863902233561 358.076256572711 209.424596697612</t>
  </si>
  <si>
    <t>-615.44744856318 359.742080702705 678.956152734205</t>
  </si>
  <si>
    <t>-452.804423056812 371.964984213018 744.845101862253</t>
  </si>
  <si>
    <t>-638.870367019011 153.205618111018 -239.365600672246</t>
  </si>
  <si>
    <t>-593.168570157506 67.1130008742424 205.782743404726</t>
  </si>
  <si>
    <t>-633.622333807812 -48.977653518656 658.533001738569</t>
  </si>
  <si>
    <t>-477.141084679692 -81.2363743345386 732.129979978669</t>
  </si>
  <si>
    <t>9763-20170724T164119.325303700.bin</t>
  </si>
  <si>
    <t>-640.018789474575 245.8753134551 -243.149829760945</t>
  </si>
  <si>
    <t>-665.099249374202 240.864026586395 -361.529198553981</t>
  </si>
  <si>
    <t>-664.843887439717 243.225325630627 -482.710527834578</t>
  </si>
  <si>
    <t>-654.481903581451 249.167880878094 -591.578187078895</t>
  </si>
  <si>
    <t>-634.388190734313 259.348095468628 -698.757775167746</t>
  </si>
  <si>
    <t>-596.669336971503 278.288935968988 -845.108520691822</t>
  </si>
  <si>
    <t>-539.668875134327 301.508403837678 -926.316819078896</t>
  </si>
  <si>
    <t>-622.812784305757 300.227470963226 -778.86551926746</t>
  </si>
  <si>
    <t>-670.986941692973 435.361719102411 -746.57169415923</t>
  </si>
  <si>
    <t>-693.349494997276 463.195854068405 -432.069926690435</t>
  </si>
  <si>
    <t>-459.889948457358 381.510784377855 -351.656999512507</t>
  </si>
  <si>
    <t>-603.904705617657 239.588924040108 -781.840229587091</t>
  </si>
  <si>
    <t>-564.211559493225 98.6662558227841 -768.173409754395</t>
  </si>
  <si>
    <t>-576.971928623574 41.0418168040225 -457.202581219549</t>
  </si>
  <si>
    <t>-419.284632114958 240.427848086356 -402.23020438831</t>
  </si>
  <si>
    <t>-642.067838932361 339.306305987314 -245.890453397077</t>
  </si>
  <si>
    <t>-632.445275544924 357.485639729349 209.339776651095</t>
  </si>
  <si>
    <t>-615.352147517564 359.378703097373 678.895234614314</t>
  </si>
  <si>
    <t>-452.827738227546 370.768216662121 745.224753674467</t>
  </si>
  <si>
    <t>-637.787884328734 152.348303891726 -239.74115916098</t>
  </si>
  <si>
    <t>-592.352461446142 66.7766291148502 205.534936802446</t>
  </si>
  <si>
    <t>-633.512501643084 -49.0438489345768 658.360719006059</t>
  </si>
  <si>
    <t>-477.152796613344 -82.0996776429847 731.86206683149</t>
  </si>
  <si>
    <t>9763-20170724T164119.357399200.bin</t>
  </si>
  <si>
    <t>-639.267112796435 245.272575950867 -243.349540039664</t>
  </si>
  <si>
    <t>-664.432270604169 240.394007925204 -361.71636021593</t>
  </si>
  <si>
    <t>-664.302141591977 243.171988649473 -482.889190471281</t>
  </si>
  <si>
    <t>-654.07599844844 249.596117208162 -591.74235548729</t>
  </si>
  <si>
    <t>-634.144641136464 260.355677712342 -698.895591952884</t>
  </si>
  <si>
    <t>-596.682570889762 280.196126221764 -845.192981871278</t>
  </si>
  <si>
    <t>-539.840709762345 303.867155114683 -926.3822035443</t>
  </si>
  <si>
    <t>-622.706064911106 301.727917581156 -778.769523346254</t>
  </si>
  <si>
    <t>-670.55510460989 436.708820466065 -745.364991012133</t>
  </si>
  <si>
    <t>-688.888807856409 463.334561087124 -430.498117639117</t>
  </si>
  <si>
    <t>-455.065404902521 388.13209283056 -344.98037666517</t>
  </si>
  <si>
    <t>-603.810629476758 241.106849272159 -782.152303641647</t>
  </si>
  <si>
    <t>-563.951977450769 100.113523342943 -769.561926116722</t>
  </si>
  <si>
    <t>-576.80854004831 40.6229448484948 -458.946721579545</t>
  </si>
  <si>
    <t>-419.240536477511 239.927288047645 -403.339682289503</t>
  </si>
  <si>
    <t>-641.647897241354 338.743519531767 -245.976182065937</t>
  </si>
  <si>
    <t>-632.032916463655 357.142965836899 209.245335159976</t>
  </si>
  <si>
    <t>-615.487688382617 359.410225614295 678.88809800107</t>
  </si>
  <si>
    <t>-453.144705030458 372.277742144618 745.391371758558</t>
  </si>
  <si>
    <t>-636.894234337487 151.957052004902 -240.044278484451</t>
  </si>
  <si>
    <t>-591.68277147162 66.7530363599184 205.324991681239</t>
  </si>
  <si>
    <t>-633.489019342535 -48.2629168327502 658.228259535571</t>
  </si>
  <si>
    <t>-477.453298603344 -83.2426561058405 731.52752320838</t>
  </si>
  <si>
    <t>9763-20170724T164119.429083500.bin</t>
  </si>
  <si>
    <t>-638.261280481883 243.611057972796 -243.527274551608</t>
  </si>
  <si>
    <t>-663.015406236661 238.93927439205 -361.989257589538</t>
  </si>
  <si>
    <t>-663.007974242042 242.5124394621 -483.141169269221</t>
  </si>
  <si>
    <t>-653.11921470563 249.845671384482 -591.96808413678</t>
  </si>
  <si>
    <t>-633.750432669212 261.675235533669 -699.111778245594</t>
  </si>
  <si>
    <t>-597.299146016003 283.144315874804 -845.434622535292</t>
  </si>
  <si>
    <t>-540.972913644548 307.596317708312 -926.751471814647</t>
  </si>
  <si>
    <t>-622.779906248949 303.958258600742 -778.573362938817</t>
  </si>
  <si>
    <t>-669.572856018521 438.582404048054 -742.614724974027</t>
  </si>
  <si>
    <t>-675.007939406496 467.392086597756 -427.453422313898</t>
  </si>
  <si>
    <t>-439.264692567342 399.549210876297 -341.055919047597</t>
  </si>
  <si>
    <t>-604.075550208751 243.331508632492 -782.809238741371</t>
  </si>
  <si>
    <t>-564.545150515371 102.100942884698 -772.3114239716</t>
  </si>
  <si>
    <t>-577.025073056046 38.6880834053972 -462.457900448107</t>
  </si>
  <si>
    <t>-419.947844630997 238.275507120285 -406.478844466389</t>
  </si>
  <si>
    <t>-641.023511378653 337.059288994465 -245.924872408898</t>
  </si>
  <si>
    <t>-632.00471938341 356.387380972615 209.270492790526</t>
  </si>
  <si>
    <t>-615.619949433749 359.398167437814 678.845699242887</t>
  </si>
  <si>
    <t>-453.587218586903 374.681624460245 745.593839337416</t>
  </si>
  <si>
    <t>-635.347557848481 150.153994430541 -240.501733985285</t>
  </si>
  <si>
    <t>-590.970023730274 65.8566186605644 205.124036564779</t>
  </si>
  <si>
    <t>-633.388603950033 -48.5059087176184 658.037208875671</t>
  </si>
  <si>
    <t>-476.940811199228 -82.8681629837862 730.747787849897</t>
  </si>
  <si>
    <t>9763-20170724T164119.539393300.bin</t>
  </si>
  <si>
    <t>-637.558484379477 242.533908057474 -243.638065230943</t>
  </si>
  <si>
    <t>-662.35072268998 238.037632069245 -362.098724708669</t>
  </si>
  <si>
    <t>-662.547417419397 241.97321819825 -483.239277808267</t>
  </si>
  <si>
    <t>-652.909402683415 249.689123009039 -592.062130036414</t>
  </si>
  <si>
    <t>-633.854457928311 261.944571099977 -699.214296065101</t>
  </si>
  <si>
    <t>-597.901108668588 284.03985613012 -845.567161870876</t>
  </si>
  <si>
    <t>-541.850813999843 308.694127299585 -927.01346195623</t>
  </si>
  <si>
    <t>-623.053211806893 304.596076837547 -778.501920660715</t>
  </si>
  <si>
    <t>-669.310263013754 439.26647248219 -741.646534334887</t>
  </si>
  <si>
    <t>-666.864258026975 469.003269393182 -426.533999777879</t>
  </si>
  <si>
    <t>-429.003547990644 408.377000001847 -340.576040000828</t>
  </si>
  <si>
    <t>-604.565467957944 243.930731145159 -783.119043186691</t>
  </si>
  <si>
    <t>-565.254949587353 102.570099329423 -773.44792186341</t>
  </si>
  <si>
    <t>-577.211313202936 37.5889044329958 -463.898797235964</t>
  </si>
  <si>
    <t>-419.862642468874 236.996394370936 -408.040905641823</t>
  </si>
  <si>
    <t>-640.512104967688 335.908970004913 -245.913682942898</t>
  </si>
  <si>
    <t>-631.747322387148 355.531782577457 209.2739552459</t>
  </si>
  <si>
    <t>-615.647092888886 359.154497350412 678.827907996439</t>
  </si>
  <si>
    <t>-453.526225151133 372.458895766585 745.785624760242</t>
  </si>
  <si>
    <t>-634.533801042415 149.076639254637 -240.733324264855</t>
  </si>
  <si>
    <t>-590.729799109658 65.2754779782481 205.042653190341</t>
  </si>
  <si>
    <t>-633.354501096325 -48.5731082272754 658.001339376224</t>
  </si>
  <si>
    <t>-476.786093143794 -82.8384499145347 730.497855207836</t>
  </si>
  <si>
    <t>9763-20170724T164119.593039800.bin</t>
  </si>
  <si>
    <t>-634.330474485067 238.464104808411 -244.13131243264</t>
  </si>
  <si>
    <t>-659.745119185405 235.012515372043 -362.495171498086</t>
  </si>
  <si>
    <t>-660.965575585643 240.031136249533 -483.589736747357</t>
  </si>
  <si>
    <t>-652.395543869925 248.695557504178 -592.43056002554</t>
  </si>
  <si>
    <t>-634.533613475752 261.848517872846 -699.681587335654</t>
  </si>
  <si>
    <t>-600.349356335044 285.11962085375 -846.276004233622</t>
  </si>
  <si>
    <t>-545.404366378457 309.470801785489 -928.562340896196</t>
  </si>
  <si>
    <t>-623.903783411494 305.34352820951 -778.533087742154</t>
  </si>
  <si>
    <t>-665.386757690443 440.958187218544 -739.545640303762</t>
  </si>
  <si>
    <t>-641.078147152458 478.465964493447 -426.195341053412</t>
  </si>
  <si>
    <t>-403.578446680406 418.129453156718 -339.043506388955</t>
  </si>
  <si>
    <t>-607.045912378641 244.302167079805 -784.292084224495</t>
  </si>
  <si>
    <t>-570.861539331411 101.97247834013 -777.297015662363</t>
  </si>
  <si>
    <t>-580.16634257171 32.489256298103 -468.635878918322</t>
  </si>
  <si>
    <t>-419.463309478458 229.471161919629 -413.729371828556</t>
  </si>
  <si>
    <t>-635.945505898323 332.092960569179 -245.950892726698</t>
  </si>
  <si>
    <t>-628.409720387806 353.519534118628 209.177436558817</t>
  </si>
  <si>
    <t>-615.468321913157 358.79677877001 678.844841917218</t>
  </si>
  <si>
    <t>-453.761201619787 372.775631449148 746.660135669545</t>
  </si>
  <si>
    <t>-632.654732548079 144.715468998772 -241.653961327903</t>
  </si>
  <si>
    <t>-589.879170787755 62.5262219760607 204.52186090799</t>
  </si>
  <si>
    <t>-633.359973290398 -48.4407035910756 658.138440088287</t>
  </si>
  <si>
    <t>-477.284170267238 -85.401731839773 730.372325914201</t>
  </si>
  <si>
    <t>9763-20170724T164119.625138200.bin</t>
  </si>
  <si>
    <t>-633.374464900311 237.359297621799 -244.236713734972</t>
  </si>
  <si>
    <t>-659.101432394452 234.335267088806 -362.544626877828</t>
  </si>
  <si>
    <t>-660.639255118513 239.519196914149 -483.628594863666</t>
  </si>
  <si>
    <t>-652.348034177948 248.229876519224 -592.487440563384</t>
  </si>
  <si>
    <t>-634.750929022753 261.331184432422 -699.788555127744</t>
  </si>
  <si>
    <t>-600.914788902909 284.432887328791 -846.490442038454</t>
  </si>
  <si>
    <t>-546.198296240055 308.358798337029 -929.053357979942</t>
  </si>
  <si>
    <t>-624.061230095876 304.795884965792 -778.648616259898</t>
  </si>
  <si>
    <t>-664.132278264611 440.789531322119 -739.622622915016</t>
  </si>
  <si>
    <t>-636.931512865599 480.822311899361 -426.822826622904</t>
  </si>
  <si>
    <t>-399.84789872467 421.697870595498 -337.729066551491</t>
  </si>
  <si>
    <t>-607.711246038953 243.626330093244 -784.510139391001</t>
  </si>
  <si>
    <t>-572.551933534189 101.006670171661 -777.748914161726</t>
  </si>
  <si>
    <t>-581.136848285851 30.518246600219 -469.294879077404</t>
  </si>
  <si>
    <t>-418.972134142778 226.267961228002 -414.279487673789</t>
  </si>
  <si>
    <t>-634.291692581001 331.171807854757 -245.894191280301</t>
  </si>
  <si>
    <t>-627.053180534235 352.840368755922 209.227621727409</t>
  </si>
  <si>
    <t>-615.227550318977 358.428150246622 678.894834802602</t>
  </si>
  <si>
    <t>-453.702395909053 372.035464951458 747.217408665263</t>
  </si>
  <si>
    <t>-632.411090637721 143.559777835528 -241.905992706756</t>
  </si>
  <si>
    <t>-589.770686294541 61.799274002447 204.36152517143</t>
  </si>
  <si>
    <t>-633.416298888366 -48.1774109901401 658.24383682558</t>
  </si>
  <si>
    <t>-477.595571113861 -86.2160264383457 730.469059766768</t>
  </si>
  <si>
    <t>9763-20170724T164119.690305700.bin</t>
  </si>
  <si>
    <t>-631.546420729706 235.125685624184 -244.381072913244</t>
  </si>
  <si>
    <t>-657.675479401157 232.91165609084 -362.618957586585</t>
  </si>
  <si>
    <t>-659.744152321499 238.266045590555 -483.687560198315</t>
  </si>
  <si>
    <t>-651.960496118757 246.869698815599 -592.592279766232</t>
  </si>
  <si>
    <t>-634.88154388949 259.609218506287 -700.020649357096</t>
  </si>
  <si>
    <t>-601.759387381577 281.949409059964 -847.003144329282</t>
  </si>
  <si>
    <t>-547.364154632402 304.66028436974 -930.119706470714</t>
  </si>
  <si>
    <t>-624.000526311846 302.797892014217 -779.006137258683</t>
  </si>
  <si>
    <t>-661.229725040352 439.59515249446 -739.925077199821</t>
  </si>
  <si>
    <t>-627.502924116096 479.760826475724 -427.778696888563</t>
  </si>
  <si>
    <t>-392.626203089906 415.734291744926 -336.260544697458</t>
  </si>
  <si>
    <t>-608.829310339341 241.331242488206 -784.929792524362</t>
  </si>
  <si>
    <t>-575.97213583523 98.1585397724355 -778.312510609461</t>
  </si>
  <si>
    <t>-583.48098072496 26.6055361405139 -470.075473853444</t>
  </si>
  <si>
    <t>-418.524134471103 220.013807859519 -415.079715882084</t>
  </si>
  <si>
    <t>-630.93439825523 329.271321720321 -245.804440181717</t>
  </si>
  <si>
    <t>-624.299528550794 351.675892236386 209.290746854932</t>
  </si>
  <si>
    <t>-614.868259815167 357.881086956962 679.02136737255</t>
  </si>
  <si>
    <t>-453.880745998614 372.466864741612 748.402689820317</t>
  </si>
  <si>
    <t>-632.02462342924 140.966954105506 -242.318289424772</t>
  </si>
  <si>
    <t>-589.708903003194 59.8104505840094 204.09030795456</t>
  </si>
  <si>
    <t>-633.578084997162 -48.4026364249839 658.380468333152</t>
  </si>
  <si>
    <t>-478.162553120375 -88.1641484505079 730.550667402475</t>
  </si>
  <si>
    <t>9763-20170724T164119.723396300.bin</t>
  </si>
  <si>
    <t>-630.583742797177 233.922653608979 -244.424684933857</t>
  </si>
  <si>
    <t>-656.941558960659 232.042466470327 -362.617519053991</t>
  </si>
  <si>
    <t>-659.279779597521 237.458392376121 -483.678571783355</t>
  </si>
  <si>
    <t>-651.742287766907 245.999140767649 -592.605532119369</t>
  </si>
  <si>
    <t>-634.902162716963 258.555993605853 -700.093184079601</t>
  </si>
  <si>
    <t>-602.094731091676 280.516666308521 -847.203378299856</t>
  </si>
  <si>
    <t>-547.80566121459 302.510596418479 -930.581700197567</t>
  </si>
  <si>
    <t>-623.824628752468 301.619539141258 -779.119504992105</t>
  </si>
  <si>
    <t>-659.327784488002 438.785922710674 -739.831394480689</t>
  </si>
  <si>
    <t>-623.612745603964 477.219003701594 -427.687999844876</t>
  </si>
  <si>
    <t>-388.735603485527 413.065218443741 -336.259980125959</t>
  </si>
  <si>
    <t>-609.397405195843 239.979942369131 -785.103721896123</t>
  </si>
  <si>
    <t>-578.11195977507 96.4361983046571 -778.596325722939</t>
  </si>
  <si>
    <t>-584.855991859038 24.8333728178922 -470.353274421496</t>
  </si>
  <si>
    <t>-418.164833298493 216.772556855101 -415.440167818623</t>
  </si>
  <si>
    <t>-629.2128162229 328.332256284443 -245.771539880586</t>
  </si>
  <si>
    <t>-622.967402703467 350.98165945033 209.317105800872</t>
  </si>
  <si>
    <t>-614.663093578957 357.641613717896 679.09232221766</t>
  </si>
  <si>
    <t>-453.764441774015 371.035719795987 748.918891649126</t>
  </si>
  <si>
    <t>-631.82829395645 139.510957142613 -242.472755122503</t>
  </si>
  <si>
    <t>-589.483061630889 58.7942649726746 204.012777793963</t>
  </si>
  <si>
    <t>-633.689807440095 -48.6426468164234 658.374134007647</t>
  </si>
  <si>
    <t>-478.224366516756 -88.3602923422753 730.460909233549</t>
  </si>
  <si>
    <t>9763-20170724T164119.793591100.bin</t>
  </si>
  <si>
    <t>-628.843777197106 231.472346443602 -244.43641818285</t>
  </si>
  <si>
    <t>-655.534807406069 230.09272855414 -362.561407529043</t>
  </si>
  <si>
    <t>-658.216428790562 235.577154603832 -483.612133224818</t>
  </si>
  <si>
    <t>-650.969598559226 243.984737681232 -592.569304938822</t>
  </si>
  <si>
    <t>-634.384206125854 256.208472212184 -700.13485851783</t>
  </si>
  <si>
    <t>-601.87694883843 277.493158367158 -847.410985629824</t>
  </si>
  <si>
    <t>-547.684678635933 298.029658263559 -931.222820561911</t>
  </si>
  <si>
    <t>-622.704459315927 299.058970883237 -779.190339042064</t>
  </si>
  <si>
    <t>-654.754013125808 437.018686575956 -739.575418720401</t>
  </si>
  <si>
    <t>-618.330433425562 471.692950069729 -427.073863527731</t>
  </si>
  <si>
    <t>-382.806339543104 409.487249998292 -335.964523441152</t>
  </si>
  <si>
    <t>-609.816417818092 237.091617229503 -785.301297369906</t>
  </si>
  <si>
    <t>-582.00925595405 92.8379564118714 -778.919186380133</t>
  </si>
  <si>
    <t>-587.907761590214 22.1396803929462 -470.450166323248</t>
  </si>
  <si>
    <t>-416.533287791102 210.281730929847 -416.827377922813</t>
  </si>
  <si>
    <t>-625.900592857072 325.97430956463 -245.720240174476</t>
  </si>
  <si>
    <t>-620.51487718727 349.569746047559 209.331243321892</t>
  </si>
  <si>
    <t>-614.199123674479 357.03653557604 679.159004883995</t>
  </si>
  <si>
    <t>-453.677416941156 370.161118942977 749.89804390132</t>
  </si>
  <si>
    <t>-631.663449046757 137.035477637938 -242.548450593017</t>
  </si>
  <si>
    <t>-588.618255863115 56.9548079561143 203.984701135183</t>
  </si>
  <si>
    <t>-633.845671710353 -49.0354941623043 658.544096271441</t>
  </si>
  <si>
    <t>-478.572994292176 -89.8268820729754 730.446596724373</t>
  </si>
  <si>
    <t>9763-20170724T164119.826683500.bin</t>
  </si>
  <si>
    <t>-628.001174155518 230.177902025454 -244.470059657149</t>
  </si>
  <si>
    <t>-654.999622499305 229.086786652799 -362.528060194358</t>
  </si>
  <si>
    <t>-657.856240542696 234.61105081817 -483.573032703649</t>
  </si>
  <si>
    <t>-650.702398039591 242.953016438549 -592.541359060904</t>
  </si>
  <si>
    <t>-634.138885547222 255.011445437782 -700.12887030165</t>
  </si>
  <si>
    <t>-601.583410209966 275.964582300742 -847.441962733596</t>
  </si>
  <si>
    <t>-547.338089749742 295.81413018482 -931.38488784402</t>
  </si>
  <si>
    <t>-622.105045865445 297.742497088779 -779.196007004014</t>
  </si>
  <si>
    <t>-652.577845327326 436.018753547198 -739.553740150245</t>
  </si>
  <si>
    <t>-616.975479908111 470.019907684112 -426.883776821583</t>
  </si>
  <si>
    <t>-382.067869459287 407.702367052713 -334.271772977977</t>
  </si>
  <si>
    <t>-609.871336536575 235.644427525578 -785.325017678815</t>
  </si>
  <si>
    <t>-583.55020588796 91.1022701329724 -778.944540092351</t>
  </si>
  <si>
    <t>-589.424400702161 20.633765947408 -470.42235434762</t>
  </si>
  <si>
    <t>-415.732640406853 206.897865051769 -417.707188399218</t>
  </si>
  <si>
    <t>-624.371051268759 324.682664993625 -245.69401487838</t>
  </si>
  <si>
    <t>-619.011100005333 348.690385864164 209.336330365198</t>
  </si>
  <si>
    <t>-613.921233493293 356.453733165858 679.204460529432</t>
  </si>
  <si>
    <t>-453.472352221954 368.071967358646 750.371094005794</t>
  </si>
  <si>
    <t>-631.651506504403 135.718647715824 -242.602736707529</t>
  </si>
  <si>
    <t>-588.252598369893 56.0566786500236 203.971123778243</t>
  </si>
  <si>
    <t>-633.897886665723 -49.1783089673065 658.666640037842</t>
  </si>
  <si>
    <t>-478.738936574572 -90.5736587606251 730.46934654137</t>
  </si>
  <si>
    <t>9763-20170724T164119.887846300.bin</t>
  </si>
  <si>
    <t>-626.449035828325 227.789538603227 -244.501178170921</t>
  </si>
  <si>
    <t>-653.669984383263 227.194447245967 -362.511708228388</t>
  </si>
  <si>
    <t>-656.686015830529 232.808989595458 -483.548671443847</t>
  </si>
  <si>
    <t>-649.636019833745 241.06624860478 -592.530117170027</t>
  </si>
  <si>
    <t>-633.127102004391 252.877894092058 -700.153437062891</t>
  </si>
  <si>
    <t>-600.588305610416 273.322296311675 -847.541619971871</t>
  </si>
  <si>
    <t>-546.159235304825 291.985458046939 -931.63769996072</t>
  </si>
  <si>
    <t>-620.590419830613 295.420080307454 -779.244285648239</t>
  </si>
  <si>
    <t>-648.70850038916 434.226753557935 -739.652162305333</t>
  </si>
  <si>
    <t>-614.586573081177 466.065252916924 -426.589570453047</t>
  </si>
  <si>
    <t>-381.284820793966 401.32811061253 -331.608021567072</t>
  </si>
  <si>
    <t>-609.380976004413 233.132541224002 -785.409610346651</t>
  </si>
  <si>
    <t>-585.571329625859 88.1736514341594 -778.997912830884</t>
  </si>
  <si>
    <t>-591.776211038639 17.5557900257581 -470.516484908309</t>
  </si>
  <si>
    <t>-414.531641881883 200.839407797802 -419.198406066998</t>
  </si>
  <si>
    <t>-621.471880135864 322.61946190434 -245.658203141338</t>
  </si>
  <si>
    <t>-615.93419305865 347.246025667797 209.33689560006</t>
  </si>
  <si>
    <t>-613.540018599835 355.820028318218 679.260736322974</t>
  </si>
  <si>
    <t>-453.481314624908 367.870255863526 751.229581611314</t>
  </si>
  <si>
    <t>-631.274335767406 133.041905820985 -242.785403000634</t>
  </si>
  <si>
    <t>-587.952626996599 54.3335468995772 203.964953504257</t>
  </si>
  <si>
    <t>-634.030558470296 -49.4461381356603 658.986062011715</t>
  </si>
  <si>
    <t>-478.995847154666 -91.5387297496919 730.651719246255</t>
  </si>
  <si>
    <t>9763-20170724T164119.925449400.bin</t>
  </si>
  <si>
    <t>-625.662206604726 226.476729743276 -244.56015757633</t>
  </si>
  <si>
    <t>-653.154518670627 226.119512510897 -362.50860995835</t>
  </si>
  <si>
    <t>-656.316696925487 231.779716977126 -483.539748437757</t>
  </si>
  <si>
    <t>-649.339808214189 240.003545831824 -592.528453271195</t>
  </si>
  <si>
    <t>-632.841769333711 251.710635144404 -700.164846311562</t>
  </si>
  <si>
    <t>-600.250839180415 271.938705172125 -847.571318003546</t>
  </si>
  <si>
    <t>-545.711583400942 290.065469171317 -931.713379377715</t>
  </si>
  <si>
    <t>-620.091217639561 294.165140343092 -779.268602772818</t>
  </si>
  <si>
    <t>-647.475934324348 433.118173250019 -739.688572581092</t>
  </si>
  <si>
    <t>-613.256787189922 463.593466893396 -426.500919848846</t>
  </si>
  <si>
    <t>-380.995033378408 396.315975779949 -330.739366634254</t>
  </si>
  <si>
    <t>-609.251420065436 231.8116776635 -785.428443180389</t>
  </si>
  <si>
    <t>-586.321156351205 86.6999662922266 -778.98546385304</t>
  </si>
  <si>
    <t>-592.519039353731 15.8634835000318 -470.553924963515</t>
  </si>
  <si>
    <t>-413.978348306871 198.009616070928 -419.68075700423</t>
  </si>
  <si>
    <t>-620.281279767255 321.435025187656 -245.619330506766</t>
  </si>
  <si>
    <t>-614.41470162363 346.529359264006 209.34601451547</t>
  </si>
  <si>
    <t>-613.400739301843 355.543836833397 679.290240217114</t>
  </si>
  <si>
    <t>-453.461109529947 367.173578261196 751.592146345918</t>
  </si>
  <si>
    <t>-631.036237622741 131.579805654796 -242.889496576393</t>
  </si>
  <si>
    <t>-588.08660836663 53.4184540487256 203.992768758164</t>
  </si>
  <si>
    <t>-634.102545905734 -49.6621276070489 659.192974954387</t>
  </si>
  <si>
    <t>-479.395755137626 -92.9861267126631 730.833376097497</t>
  </si>
  <si>
    <t>9763-20170724T164119.993134900.bin</t>
  </si>
  <si>
    <t>-624.777049549729 223.937312463677 -244.664104560346</t>
  </si>
  <si>
    <t>-652.675987296881 224.134059249039 -362.517548062324</t>
  </si>
  <si>
    <t>-656.079859158227 229.984118865549 -483.533024378733</t>
  </si>
  <si>
    <t>-649.239202740165 238.232152828642 -592.528556122602</t>
  </si>
  <si>
    <t>-632.787241466044 249.819259039289 -700.1850906391</t>
  </si>
  <si>
    <t>-600.160483710078 269.733533360049 -847.62632884142</t>
  </si>
  <si>
    <t>-545.450129487864 286.876324875929 -931.863365452227</t>
  </si>
  <si>
    <t>-619.725279542717 292.147817916908 -779.305450961472</t>
  </si>
  <si>
    <t>-645.781881008992 431.325393152105 -739.609188706007</t>
  </si>
  <si>
    <t>-609.023562063176 461.518607739129 -426.682003612322</t>
  </si>
  <si>
    <t>-380.61366192436 387.34120792086 -326.838718388268</t>
  </si>
  <si>
    <t>-609.468335655801 229.696407782282 -785.470879932069</t>
  </si>
  <si>
    <t>-587.841980332841 84.3987601596291 -779.009933344603</t>
  </si>
  <si>
    <t>-593.494832829677 13.1847558366887 -470.654933951144</t>
  </si>
  <si>
    <t>-413.118964402115 193.806605423866 -420.831703371387</t>
  </si>
  <si>
    <t>-618.77928940569 319.243000101964 -245.490377931078</t>
  </si>
  <si>
    <t>-612.076473789465 344.978581142798 209.427649005098</t>
  </si>
  <si>
    <t>-613.215351524335 355.052251841282 679.343222726748</t>
  </si>
  <si>
    <t>-453.443772308141 365.980512505993 752.124512370733</t>
  </si>
  <si>
    <t>-630.743534544951 128.815099929418 -243.176049562754</t>
  </si>
  <si>
    <t>-588.705732335469 51.8402981220688 203.998863588941</t>
  </si>
  <si>
    <t>-634.282595613889 -49.8539552632114 659.605512925196</t>
  </si>
  <si>
    <t>-479.377468232653 -92.7347115694184 731.083699213125</t>
  </si>
  <si>
    <t>9763-20170724T164120.025727300.bin</t>
  </si>
  <si>
    <t>-624.461174291718 222.841597891618 -244.711927417463</t>
  </si>
  <si>
    <t>-652.542237676959 223.26347496188 -362.52149515722</t>
  </si>
  <si>
    <t>-656.046673390969 229.193272628317 -483.530150315249</t>
  </si>
  <si>
    <t>-649.255394182952 237.44807491619 -592.528276086165</t>
  </si>
  <si>
    <t>-632.806700894426 248.973913755848 -700.191875601745</t>
  </si>
  <si>
    <t>-600.132368152991 268.730012597449 -847.643865982425</t>
  </si>
  <si>
    <t>-545.362809920598 285.405180950413 -931.936311629305</t>
  </si>
  <si>
    <t>-619.553567839244 291.240404604188 -779.313735264979</t>
  </si>
  <si>
    <t>-644.737528025038 430.532535880095 -739.452461803348</t>
  </si>
  <si>
    <t>-606.625878649086 459.682959146873 -426.588405824154</t>
  </si>
  <si>
    <t>-380.461861684472 381.775256360191 -324.498743611361</t>
  </si>
  <si>
    <t>-609.625963920438 228.736689613409 -785.48812765021</t>
  </si>
  <si>
    <t>-588.636407301599 83.3335331226777 -779.010906714659</t>
  </si>
  <si>
    <t>-593.659156014545 12.3267956748137 -470.597213377166</t>
  </si>
  <si>
    <t>-412.593807928901 192.426227551238 -421.387674670246</t>
  </si>
  <si>
    <t>-618.248720039557 318.143758382727 -245.400709772492</t>
  </si>
  <si>
    <t>-611.450494493822 344.376627284961 209.487487124359</t>
  </si>
  <si>
    <t>-613.156727933349 354.909377016942 679.386669572545</t>
  </si>
  <si>
    <t>-453.384001990326 365.132130308107 752.267986691437</t>
  </si>
  <si>
    <t>-630.633983053979 127.614603420985 -243.309772845319</t>
  </si>
  <si>
    <t>-588.936200303853 51.1669393975486 203.987311441005</t>
  </si>
  <si>
    <t>-634.35468793695 -49.8575616705009 659.801456461372</t>
  </si>
  <si>
    <t>-479.333746074801 -92.4522880186134 731.199607654352</t>
  </si>
  <si>
    <t>9763-20170724T164120.094412500.bin</t>
  </si>
  <si>
    <t>-624.049446020666 220.47448530675 -244.657531479192</t>
  </si>
  <si>
    <t>-652.208526890788 221.285975652178 -362.446271472305</t>
  </si>
  <si>
    <t>-655.79127558037 227.389263841617 -483.444207351378</t>
  </si>
  <si>
    <t>-649.059813737715 235.696984912364 -592.442023544162</t>
  </si>
  <si>
    <t>-632.651738214594 247.164871095423 -700.117939485864</t>
  </si>
  <si>
    <t>-600.005646002113 266.718856659376 -847.603107012348</t>
  </si>
  <si>
    <t>-545.259874775267 282.519741623251 -932.079253548859</t>
  </si>
  <si>
    <t>-619.128321827092 289.360150354422 -779.231988079429</t>
  </si>
  <si>
    <t>-642.829640980536 428.808710781616 -739.005182095903</t>
  </si>
  <si>
    <t>-603.472322453033 456.176737292666 -426.134176321219</t>
  </si>
  <si>
    <t>-379.484446332003 371.877514722361 -324.324993217674</t>
  </si>
  <si>
    <t>-609.772737966981 226.773522071062 -785.459143438985</t>
  </si>
  <si>
    <t>-590.091724581881 81.2011386828654 -778.865845369681</t>
  </si>
  <si>
    <t>-593.034202166697 10.282408986753 -470.404931346798</t>
  </si>
  <si>
    <t>-410.617615460545 189.297566176706 -422.240383384529</t>
  </si>
  <si>
    <t>-617.594502640059 315.840075917293 -245.19713342441</t>
  </si>
  <si>
    <t>-610.890304160211 342.992035793016 209.638617607116</t>
  </si>
  <si>
    <t>-613.121141911754 355.029078719124 679.451673734737</t>
  </si>
  <si>
    <t>-453.357070951644 365.210311312318 752.357780947178</t>
  </si>
  <si>
    <t>-630.386669944646 125.057879714466 -243.516245180875</t>
  </si>
  <si>
    <t>-589.378496530124 49.8054457704751 204.047183006371</t>
  </si>
  <si>
    <t>-634.531220403822 -50.0923884141973 660.151555030084</t>
  </si>
  <si>
    <t>-479.48208576182 -92.8557355360082 731.387606575879</t>
  </si>
  <si>
    <t>9763-20170724T164120.121484000.bin</t>
  </si>
  <si>
    <t>-623.909165852993 219.432161449667 -244.754648247198</t>
  </si>
  <si>
    <t>-652.305041736772 220.43671433201 -362.485089958884</t>
  </si>
  <si>
    <t>-656.043825333219 226.542863796162 -483.478132166254</t>
  </si>
  <si>
    <t>-649.41222936331 234.776457732849 -592.487632372155</t>
  </si>
  <si>
    <t>-633.058336302597 246.09520478096 -700.187582069502</t>
  </si>
  <si>
    <t>-600.436543364031 265.365129524853 -847.715671148817</t>
  </si>
  <si>
    <t>-545.67225945886 280.709935109862 -932.263802942696</t>
  </si>
  <si>
    <t>-619.460931449866 288.148907884059 -779.364416200933</t>
  </si>
  <si>
    <t>-642.772595615504 427.720833622349 -739.265666564759</t>
  </si>
  <si>
    <t>-603.29114195712 454.868304896365 -426.391170516135</t>
  </si>
  <si>
    <t>-379.585084733861 368.131328082035 -326.020100141875</t>
  </si>
  <si>
    <t>-610.280417156853 225.528633620852 -785.51376775114</t>
  </si>
  <si>
    <t>-591.005517365348 79.9068385486202 -778.745137681089</t>
  </si>
  <si>
    <t>-593.281445719668 9.30866888255656 -470.205132712461</t>
  </si>
  <si>
    <t>-409.961339453067 187.576315153921 -422.702933888642</t>
  </si>
  <si>
    <t>-617.306623945023 314.895869327817 -245.164715649402</t>
  </si>
  <si>
    <t>-610.841546082561 342.395441901977 209.653494041166</t>
  </si>
  <si>
    <t>-613.136117301236 355.269945463455 679.467881897917</t>
  </si>
  <si>
    <t>-453.419026381244 366.459443196712 752.329005033616</t>
  </si>
  <si>
    <t>-630.51761919648 123.898318697613 -243.659669459328</t>
  </si>
  <si>
    <t>-589.614151794309 49.3630811678101 204.033349749437</t>
  </si>
  <si>
    <t>-634.637767767583 -49.8678045989717 660.312540776374</t>
  </si>
  <si>
    <t>-478.992225629988 -90.6231222830219 731.424987500416</t>
  </si>
  <si>
    <t>9763-20170724T164120.191678800.bin</t>
  </si>
  <si>
    <t>-623.676016980756 217.234343622202 -244.890580485966</t>
  </si>
  <si>
    <t>-652.194127222045 218.654497853991 -362.58718789538</t>
  </si>
  <si>
    <t>-656.064049913841 224.727202634752 -483.577763667052</t>
  </si>
  <si>
    <t>-649.539189706376 232.746541068212 -592.609704369228</t>
  </si>
  <si>
    <t>-633.270146711967 243.668007171814 -700.363579422303</t>
  </si>
  <si>
    <t>-600.733549011362 262.197455927596 -848.005136372437</t>
  </si>
  <si>
    <t>-545.821106836882 276.669158045324 -932.611172584004</t>
  </si>
  <si>
    <t>-619.603200914304 285.338040273162 -779.730922008402</t>
  </si>
  <si>
    <t>-642.664037837793 425.087975177073 -740.217579042624</t>
  </si>
  <si>
    <t>-604.527913573494 453.554050216814 -427.293442247216</t>
  </si>
  <si>
    <t>-380.949319419257 363.22752655139 -329.847186416513</t>
  </si>
  <si>
    <t>-610.656769557732 222.65942585756 -785.625696685159</t>
  </si>
  <si>
    <t>-591.938672983934 76.9852840135872 -778.380963451145</t>
  </si>
  <si>
    <t>-593.406365927499 6.89698293584709 -469.719879393531</t>
  </si>
  <si>
    <t>-408.181789883833 183.752894115905 -424.377793141082</t>
  </si>
  <si>
    <t>-616.857755926215 313.046621348016 -245.077953024179</t>
  </si>
  <si>
    <t>-610.316229322686 341.162448525351 209.701587154786</t>
  </si>
  <si>
    <t>-613.061142646618 355.494037911015 679.504120358386</t>
  </si>
  <si>
    <t>-453.332525438121 366.580841592958 752.355797787659</t>
  </si>
  <si>
    <t>-630.335570842362 121.531278917076 -244.067402812422</t>
  </si>
  <si>
    <t>-590.584427143531 47.9043635031921 203.879639113733</t>
  </si>
  <si>
    <t>-634.813682290886 -50.1446691706618 660.592717825962</t>
  </si>
  <si>
    <t>-479.433895074245 -92.0350966733396 731.626661843585</t>
  </si>
  <si>
    <t>9763-20170724T164120.224764100.bin</t>
  </si>
  <si>
    <t>-623.529582383229 216.210154071049 -244.982490307789</t>
  </si>
  <si>
    <t>-652.056524942919 217.757177640597 -362.675410653101</t>
  </si>
  <si>
    <t>-655.964018494826 223.818190008983 -483.665365617494</t>
  </si>
  <si>
    <t>-649.479847969512 231.767118758636 -592.704917607607</t>
  </si>
  <si>
    <t>-633.254226373948 242.556969573149 -700.478498621618</t>
  </si>
  <si>
    <t>-600.776909162801 260.839012884429 -848.163993625544</t>
  </si>
  <si>
    <t>-545.751445441336 274.956100089022 -932.756525114302</t>
  </si>
  <si>
    <t>-619.580383922829 284.098688335361 -779.911982112595</t>
  </si>
  <si>
    <t>-642.677399236313 423.896158879064 -740.617606252015</t>
  </si>
  <si>
    <t>-605.822450147245 453.025673938681 -427.601119490194</t>
  </si>
  <si>
    <t>-381.204055213742 363.222205529851 -332.081645859056</t>
  </si>
  <si>
    <t>-610.71382951742 221.400930067757 -785.723591869103</t>
  </si>
  <si>
    <t>-592.241813321365 75.6899845087254 -778.346080727554</t>
  </si>
  <si>
    <t>-593.461741373144 5.55481380160617 -469.694464896819</t>
  </si>
  <si>
    <t>-407.591403975851 181.978645187756 -425.321928868172</t>
  </si>
  <si>
    <t>-616.657516991448 312.066388125796 -245.04342612654</t>
  </si>
  <si>
    <t>-610.019014728177 340.668258212594 209.704304555829</t>
  </si>
  <si>
    <t>-613.019413722808 355.57921411104 679.501957445457</t>
  </si>
  <si>
    <t>-453.262449716418 366.325623955468 752.342451322604</t>
  </si>
  <si>
    <t>-630.233213018302 120.409088201227 -244.273040513969</t>
  </si>
  <si>
    <t>-591.321891485601 47.284529671939 203.830003218038</t>
  </si>
  <si>
    <t>-634.936080597663 -50.048093262825 660.752159154354</t>
  </si>
  <si>
    <t>-479.116754108886 -90.4812161911724 731.667667288724</t>
  </si>
  <si>
    <t>9763-20170724T164120.294959900.bin</t>
  </si>
  <si>
    <t>-623.233767374961 214.203143319987 -245.067478590154</t>
  </si>
  <si>
    <t>-651.665172963747 215.905197413603 -362.78132834207</t>
  </si>
  <si>
    <t>-655.554583562149 222.058118435909 -483.767316717774</t>
  </si>
  <si>
    <t>-649.084516207097 230.062361205221 -592.803572086006</t>
  </si>
  <si>
    <t>-632.90186148459 240.878903132357 -700.581068385122</t>
  </si>
  <si>
    <t>-600.512188188918 259.167760566722 -848.284926762855</t>
  </si>
  <si>
    <t>-545.188620283406 272.904966733658 -932.74542355322</t>
  </si>
  <si>
    <t>-619.295302678206 282.421794433907 -780.025425008231</t>
  </si>
  <si>
    <t>-642.707425713873 422.206960206971 -740.874419463486</t>
  </si>
  <si>
    <t>-607.162544141575 451.060428618654 -427.680669824793</t>
  </si>
  <si>
    <t>-379.402350895357 365.319047034288 -335.943208726013</t>
  </si>
  <si>
    <t>-610.391910943694 219.729191055846 -785.835637627888</t>
  </si>
  <si>
    <t>-591.874614998713 74.0186433859195 -778.480855726835</t>
  </si>
  <si>
    <t>-593.829977388848 2.81130864931059 -470.078666846317</t>
  </si>
  <si>
    <t>-408.194199041237 179.727530114077 -426.695957023829</t>
  </si>
  <si>
    <t>-616.414880913062 310.227039172691 -244.974135135055</t>
  </si>
  <si>
    <t>-609.399909373242 339.715829453939 209.711420519589</t>
  </si>
  <si>
    <t>-613.005705183916 355.849071661931 679.478365615246</t>
  </si>
  <si>
    <t>-453.256374656127 366.907757136514 752.288916555344</t>
  </si>
  <si>
    <t>-629.90386839408 118.172699016173 -244.50999265406</t>
  </si>
  <si>
    <t>-592.507667879143 45.9547649603055 203.869078043948</t>
  </si>
  <si>
    <t>-635.137181620129 -50.3520646643446 661.11925210497</t>
  </si>
  <si>
    <t>-479.213596715049 -90.6517800403334 731.881426300232</t>
  </si>
  <si>
    <t>9763-20170724T164120.321028900.bin</t>
  </si>
  <si>
    <t>-623.14609203761 213.161951397885 -245.050744725295</t>
  </si>
  <si>
    <t>-651.62933770823 214.87761641142 -362.751996843388</t>
  </si>
  <si>
    <t>-655.535006365258 221.165765116865 -483.730332929786</t>
  </si>
  <si>
    <t>-649.069128780582 229.344484638248 -592.753962440708</t>
  </si>
  <si>
    <t>-632.883540271552 240.388996487257 -700.50780302416</t>
  </si>
  <si>
    <t>-600.485821157054 259.051010995494 -848.163260441947</t>
  </si>
  <si>
    <t>-545.026093885424 272.854861646448 -932.523477765149</t>
  </si>
  <si>
    <t>-619.328366226505 282.125810312917 -779.859308184366</t>
  </si>
  <si>
    <t>-643.061794737204 421.784818419638 -740.437415209273</t>
  </si>
  <si>
    <t>-608.318507836517 449.507216058678 -427.05181194107</t>
  </si>
  <si>
    <t>-379.833729920143 364.144703333985 -336.774528413658</t>
  </si>
  <si>
    <t>-610.313205704548 219.461488534833 -785.801307285168</t>
  </si>
  <si>
    <t>-591.664040248158 73.7519979699836 -778.664120797969</t>
  </si>
  <si>
    <t>-594.413723305101 1.8658772629199 -470.425558054215</t>
  </si>
  <si>
    <t>-409.45395137629 179.54868765568 -427.289267662833</t>
  </si>
  <si>
    <t>-616.361320705387 309.208253038409 -244.919857467723</t>
  </si>
  <si>
    <t>-609.023792360284 339.335076082621 209.7186915742</t>
  </si>
  <si>
    <t>-612.954579801878 355.792725740037 679.467065300153</t>
  </si>
  <si>
    <t>-453.154337410531 366.252925660869 752.254354528238</t>
  </si>
  <si>
    <t>-629.82054970345 117.130401961624 -244.477196027784</t>
  </si>
  <si>
    <t>-592.4494937294 45.4550967403454 203.990916877794</t>
  </si>
  <si>
    <t>-635.195553050039 -50.4345692344032 661.323102606119</t>
  </si>
  <si>
    <t>-479.509760937506 -91.6925743085297 732.056614707646</t>
  </si>
  <si>
    <t>9763-20170724T164120.390219800.bin</t>
  </si>
  <si>
    <t>-623.147604589761 211.320551846595 -244.809027581793</t>
  </si>
  <si>
    <t>-651.68918054088 213.005862918194 -362.49638200317</t>
  </si>
  <si>
    <t>-655.548202167711 219.675048212704 -483.455959974522</t>
  </si>
  <si>
    <t>-649.011602093173 228.372383184923 -592.43521902737</t>
  </si>
  <si>
    <t>-632.738063572159 240.1112596304 -700.102419622078</t>
  </si>
  <si>
    <t>-600.212210857851 259.922016073958 -847.5798795334</t>
  </si>
  <si>
    <t>-544.483633092395 274.226985436236 -931.678997370644</t>
  </si>
  <si>
    <t>-619.284773129483 282.443537109662 -779.155172060213</t>
  </si>
  <si>
    <t>-644.159351274705 421.685630726554 -738.959669862965</t>
  </si>
  <si>
    <t>-610.456152418421 447.66361784276 -425.311133606204</t>
  </si>
  <si>
    <t>-378.140697271156 367.667293897216 -340.034079118511</t>
  </si>
  <si>
    <t>-609.922984026681 219.869235449182 -785.495984919562</t>
  </si>
  <si>
    <t>-590.530236413768 74.2350424625205 -779.172366248952</t>
  </si>
  <si>
    <t>-594.445236271628 0.846788132059963 -471.300664746371</t>
  </si>
  <si>
    <t>-411.300440480221 180.267432537848 -427.617022519785</t>
  </si>
  <si>
    <t>-616.674666456657 307.342843020924 -244.752062581037</t>
  </si>
  <si>
    <t>-608.517833419523 338.362082429082 209.812491108513</t>
  </si>
  <si>
    <t>-612.885988791758 355.880969547333 679.471464104146</t>
  </si>
  <si>
    <t>-453.086310231723 366.522762675707 752.23368559999</t>
  </si>
  <si>
    <t>-629.49124106161 115.374922147982 -244.284935166626</t>
  </si>
  <si>
    <t>-591.525818904325 44.7916347096586 204.306559808469</t>
  </si>
  <si>
    <t>-635.278782129045 -50.2670739585255 661.702821670217</t>
  </si>
  <si>
    <t>-479.454994300966 -91.2845632271314 732.272016621466</t>
  </si>
  <si>
    <t>9763-20170724T164120.429837700.bin</t>
  </si>
  <si>
    <t>-623.156419686574 210.386995779463 -244.736812571487</t>
  </si>
  <si>
    <t>-651.743997802046 212.043802471635 -362.413677570795</t>
  </si>
  <si>
    <t>-655.603349256382 219.017969752338 -483.355886524985</t>
  </si>
  <si>
    <t>-649.059410162293 228.129321525504 -592.300912961812</t>
  </si>
  <si>
    <t>-632.779148925675 240.420544819644 -699.905347064457</t>
  </si>
  <si>
    <t>-600.253297978662 261.141968647302 -847.257687836182</t>
  </si>
  <si>
    <t>-544.409457978988 275.953319583721 -931.192611359982</t>
  </si>
  <si>
    <t>-619.461245526748 283.22327590974 -778.727333381251</t>
  </si>
  <si>
    <t>-644.98526405845 422.146782114756 -737.824354904085</t>
  </si>
  <si>
    <t>-612.301219625373 446.668010346823 -423.950695907551</t>
  </si>
  <si>
    <t>-377.79248612299 368.423018733484 -343.170418268521</t>
  </si>
  <si>
    <t>-609.828713022912 220.723503847781 -785.390254986306</t>
  </si>
  <si>
    <t>-590.01683064399 75.1039411037362 -779.661877403511</t>
  </si>
  <si>
    <t>-594.097556726208 0.991389984416799 -471.965736441359</t>
  </si>
  <si>
    <t>-411.75535215013 181.111160156671 -427.803896139042</t>
  </si>
  <si>
    <t>-616.931374072114 306.316684112991 -244.643266908738</t>
  </si>
  <si>
    <t>-608.330187250779 337.753367960002 209.88438964259</t>
  </si>
  <si>
    <t>-612.814803248851 355.785401196314 679.489255096846</t>
  </si>
  <si>
    <t>-452.968369008739 365.812094252992 752.236073665634</t>
  </si>
  <si>
    <t>-629.289882604715 114.537221232033 -244.165589937983</t>
  </si>
  <si>
    <t>-590.758080174303 44.4159138950831 204.450123327624</t>
  </si>
  <si>
    <t>-635.295760974098 -50.2349877494321 661.861054803204</t>
  </si>
  <si>
    <t>-479.517493454591 -91.5529239005947 732.355541914768</t>
  </si>
  <si>
    <t>9763-20170724T164120.494452700.bin</t>
  </si>
  <si>
    <t>-623.069888379242 208.632025074458 -244.634070186488</t>
  </si>
  <si>
    <t>-651.650530954261 210.285699385152 -362.312445055175</t>
  </si>
  <si>
    <t>-655.473542444272 217.831410152616 -483.221614897377</t>
  </si>
  <si>
    <t>-648.905937292349 227.700777367535 -592.098980128918</t>
  </si>
  <si>
    <t>-632.626854951796 240.991985950039 -699.584710747817</t>
  </si>
  <si>
    <t>-600.144286361648 263.354826763317 -846.706444643268</t>
  </si>
  <si>
    <t>-544.221321984943 279.305114743969 -930.379679602543</t>
  </si>
  <si>
    <t>-619.703568681615 284.621629509015 -778.01832759716</t>
  </si>
  <si>
    <t>-647.055217540348 422.905299879955 -736.054263951581</t>
  </si>
  <si>
    <t>-616.736927339878 447.186888746675 -421.924701325496</t>
  </si>
  <si>
    <t>-381.116997231565 368.394450436933 -345.002221499588</t>
  </si>
  <si>
    <t>-609.330049301401 222.298345776939 -785.201151674658</t>
  </si>
  <si>
    <t>-587.99856700305 76.895007788151 -780.664381451699</t>
  </si>
  <si>
    <t>-591.579913147246 0.949186992643206 -473.409378468523</t>
  </si>
  <si>
    <t>-410.288332441894 181.77901031316 -427.846291820448</t>
  </si>
  <si>
    <t>-617.626515966829 304.44188052983 -244.373748094711</t>
  </si>
  <si>
    <t>-608.34402699831 336.785411281029 210.076868832594</t>
  </si>
  <si>
    <t>-612.879239827311 356.237915301007 679.531294801469</t>
  </si>
  <si>
    <t>-453.028990828112 367.204743277352 752.133861868599</t>
  </si>
  <si>
    <t>-628.501770634583 112.883781205981 -244.173779564206</t>
  </si>
  <si>
    <t>-589.333910667932 43.6617095382769 204.526534889725</t>
  </si>
  <si>
    <t>-635.347557068063 -50.1569511251471 662.022651132157</t>
  </si>
  <si>
    <t>-479.255217801475 -90.5018467688501 732.385798799829</t>
  </si>
  <si>
    <t>9763-20170724T164120.528541900.bin</t>
  </si>
  <si>
    <t>-622.936450642187 207.495844977159 -244.645206893579</t>
  </si>
  <si>
    <t>-651.497695572748 209.239964502099 -362.326956255882</t>
  </si>
  <si>
    <t>-655.28972298291 217.068652200183 -483.219069712185</t>
  </si>
  <si>
    <t>-648.697739020071 227.276351636437 -592.063882460508</t>
  </si>
  <si>
    <t>-632.404101472496 240.988988268394 -699.49455401813</t>
  </si>
  <si>
    <t>-599.917700676358 264.024896121452 -846.511404799642</t>
  </si>
  <si>
    <t>-543.995874007879 280.562441149822 -930.071256933542</t>
  </si>
  <si>
    <t>-619.6822635096 284.948426592506 -777.776578514594</t>
  </si>
  <si>
    <t>-647.960491509153 422.884962642235 -735.401821214689</t>
  </si>
  <si>
    <t>-619.195962466876 446.454871910202 -421.072058074633</t>
  </si>
  <si>
    <t>-382.730305106597 366.151620542531 -348.426041388817</t>
  </si>
  <si>
    <t>-608.901599176948 222.716043714033 -785.145435784785</t>
  </si>
  <si>
    <t>-586.75762635746 77.3937053107369 -781.069355414685</t>
  </si>
  <si>
    <t>-589.845451069955 0.43879307245048 -474.060244687731</t>
  </si>
  <si>
    <t>-409.216239356593 181.702487086204 -427.599402469704</t>
  </si>
  <si>
    <t>-617.860199232476 303.328543743841 -244.263201111878</t>
  </si>
  <si>
    <t>-608.375158511808 336.213740303364 210.144389202304</t>
  </si>
  <si>
    <t>-612.973688248987 356.612149644064 679.565603324541</t>
  </si>
  <si>
    <t>-452.999819557272 366.963941855143 751.985960233913</t>
  </si>
  <si>
    <t>-627.951198248454 111.737217353038 -244.338891564058</t>
  </si>
  <si>
    <t>-588.802597938633 42.9704564467446 204.432964287534</t>
  </si>
  <si>
    <t>-635.371407112254 -50.3782044636208 662.036965023038</t>
  </si>
  <si>
    <t>-479.788242033049 -92.5751627639278 732.441495187012</t>
  </si>
  <si>
    <t>9763-20170724T164120.589707600.bin</t>
  </si>
  <si>
    <t>-622.471052223712 205.704449890407 -244.697154915089</t>
  </si>
  <si>
    <t>-651.029861546423 207.556589860577 -362.377960966167</t>
  </si>
  <si>
    <t>-654.695181911351 215.988950617095 -483.233402082126</t>
  </si>
  <si>
    <t>-647.96012896706 226.95815497574 -591.995384240896</t>
  </si>
  <si>
    <t>-631.512472921789 241.651633467905 -699.272599086387</t>
  </si>
  <si>
    <t>-598.819077195443 266.281339723011 -845.985053173803</t>
  </si>
  <si>
    <t>-542.912575761828 284.180666590543 -929.274115906083</t>
  </si>
  <si>
    <t>-619.184962264666 286.382016519802 -777.180170591371</t>
  </si>
  <si>
    <t>-649.373185602102 423.731885540908 -734.053088196975</t>
  </si>
  <si>
    <t>-624.223401664709 450.642958446728 -419.681514427103</t>
  </si>
  <si>
    <t>-391.674295223649 360.780977329166 -345.601829257527</t>
  </si>
  <si>
    <t>-607.384853817876 224.384871433113 -784.958646452015</t>
  </si>
  <si>
    <t>-583.175335974337 79.4087623816734 -781.817972954573</t>
  </si>
  <si>
    <t>-586.052588687428 1.01776348795005 -475.170309083026</t>
  </si>
  <si>
    <t>-406.422272927166 182.789581031948 -426.858648518683</t>
  </si>
  <si>
    <t>-618.262848129722 301.516478675038 -244.023211672272</t>
  </si>
  <si>
    <t>-608.655726934758 335.616737036461 210.292231186249</t>
  </si>
  <si>
    <t>-613.066517564629 357.180272652452 679.585370438236</t>
  </si>
  <si>
    <t>-452.973913878546 368.752436815568 751.557397626039</t>
  </si>
  <si>
    <t>-626.534169079192 109.997327404402 -244.678264275595</t>
  </si>
  <si>
    <t>-587.82935777045 42.2330203996338 204.284576018984</t>
  </si>
  <si>
    <t>-635.496768431148 -50.1475959728184 661.943247567873</t>
  </si>
  <si>
    <t>-479.464000618365 -90.8165532116897 732.251998397462</t>
  </si>
  <si>
    <t>9763-20170724T164120.627319500.bin</t>
  </si>
  <si>
    <t>-622.257971500432 204.785125326832 -244.754244626754</t>
  </si>
  <si>
    <t>-650.698963886211 206.667387529593 -362.463117263956</t>
  </si>
  <si>
    <t>-654.276318039609 215.323560548734 -483.305347642148</t>
  </si>
  <si>
    <t>-647.483081292987 226.575997464392 -592.034735624682</t>
  </si>
  <si>
    <t>-631.004665137374 241.632659150181 -699.257013212231</t>
  </si>
  <si>
    <t>-598.302809903188 266.849847926918 -845.867665995725</t>
  </si>
  <si>
    <t>-542.355421743538 285.350965861489 -928.997518496007</t>
  </si>
  <si>
    <t>-618.917376039498 286.635079833822 -777.045415725546</t>
  </si>
  <si>
    <t>-650.154131779812 423.630700813262 -733.718854411512</t>
  </si>
  <si>
    <t>-626.848609222105 450.732556764081 -419.221639368505</t>
  </si>
  <si>
    <t>-399.717715761125 351.365933831445 -340.60944749826</t>
  </si>
  <si>
    <t>-606.627406202632 224.748934442881 -784.948549739061</t>
  </si>
  <si>
    <t>-581.365012680595 79.9103175975372 -782.102037444801</t>
  </si>
  <si>
    <t>-584.305853580034 0.952163972710821 -475.600562725329</t>
  </si>
  <si>
    <t>-405.278695334629 183.101635415801 -426.479202739474</t>
  </si>
  <si>
    <t>-618.574522543654 300.378187715445 -243.924602943862</t>
  </si>
  <si>
    <t>-608.89133067589 335.077936383352 210.343795823719</t>
  </si>
  <si>
    <t>-613.04501451753 357.131628221215 679.57298520099</t>
  </si>
  <si>
    <t>-452.793041729305 366.701278393636 751.484271164842</t>
  </si>
  <si>
    <t>-625.819216156533 109.231419390684 -244.888713715001</t>
  </si>
  <si>
    <t>-587.414853946065 41.9165954175043 204.167548363967</t>
  </si>
  <si>
    <t>-635.527473759178 -50.0816067290774 661.870744842504</t>
  </si>
  <si>
    <t>-479.242109080889 -89.8202939629128 732.150590081591</t>
  </si>
  <si>
    <t>9763-20170724T164120.689011900.bin</t>
  </si>
  <si>
    <t>-622.064785549042 203.089389185751 -244.82870613752</t>
  </si>
  <si>
    <t>-650.413397358173 204.93198924884 -362.560487156562</t>
  </si>
  <si>
    <t>-653.929320601648 213.906518517938 -483.381235303528</t>
  </si>
  <si>
    <t>-647.107211101078 225.593253131719 -592.063098655617</t>
  </si>
  <si>
    <t>-630.635774613919 241.227363031882 -699.203683474762</t>
  </si>
  <si>
    <t>-597.989958461897 267.392994245662 -845.66056826645</t>
  </si>
  <si>
    <t>-541.896763710678 286.998983122411 -928.438228202666</t>
  </si>
  <si>
    <t>-619.038562176719 286.652806911242 -776.820588222109</t>
  </si>
  <si>
    <t>-652.848932856502 423.029283295754 -733.334735303568</t>
  </si>
  <si>
    <t>-630.146866779998 443.809095604802 -418.312538667638</t>
  </si>
  <si>
    <t>-411.186343591684 329.785427998584 -336.477676569203</t>
  </si>
  <si>
    <t>-605.830872393579 224.978189008828 -784.895230591359</t>
  </si>
  <si>
    <t>-578.232202821167 80.5795914953721 -782.567874203364</t>
  </si>
  <si>
    <t>-581.849087058261 0.0928907371138763 -476.47146058674</t>
  </si>
  <si>
    <t>-404.856010061244 183.731165908269 -425.554739243843</t>
  </si>
  <si>
    <t>-619.527572188197 298.513034687169 -243.774781273808</t>
  </si>
  <si>
    <t>-609.761473897838 334.334687590623 210.404807605377</t>
  </si>
  <si>
    <t>-613.19091616352 357.5331813282 679.559346071667</t>
  </si>
  <si>
    <t>-452.974545162124 369.52055531769 751.18711484162</t>
  </si>
  <si>
    <t>-624.506169566656 107.580513594673 -245.237865983593</t>
  </si>
  <si>
    <t>-586.431572994227 41.3968738758402 204.014471803452</t>
  </si>
  <si>
    <t>-635.529266851614 -50.1495378733361 661.682588689377</t>
  </si>
  <si>
    <t>-479.34467536048 -90.2521606200485 731.979505455123</t>
  </si>
  <si>
    <t>9763-20170724T164120.726109000.bin</t>
  </si>
  <si>
    <t>-622.193362082856 202.150341364662 -244.896346067503</t>
  </si>
  <si>
    <t>-650.525965104088 203.967145241353 -362.632333072016</t>
  </si>
  <si>
    <t>-654.062841062837 213.1097926342 -483.439958757004</t>
  </si>
  <si>
    <t>-647.280665494174 225.024632056691 -592.099359767484</t>
  </si>
  <si>
    <t>-630.873803325617 240.959506922335 -699.20568820303</t>
  </si>
  <si>
    <t>-598.346764315015 267.615635149176 -845.60050911826</t>
  </si>
  <si>
    <t>-542.202527113345 287.823536354251 -928.198668033054</t>
  </si>
  <si>
    <t>-619.532956639224 286.609282106776 -776.728941622409</t>
  </si>
  <si>
    <t>-654.435161852034 422.532065413759 -732.932271789067</t>
  </si>
  <si>
    <t>-630.176627771121 437.39770226913 -417.691427172574</t>
  </si>
  <si>
    <t>-411.620387621552 323.685731661661 -334.356016422647</t>
  </si>
  <si>
    <t>-605.944973531045 225.032979696854 -784.921782473377</t>
  </si>
  <si>
    <t>-577.508333778307 80.7295375132883 -782.790119088306</t>
  </si>
  <si>
    <t>-405.604595815447 184.403081252295 -425.010564348915</t>
  </si>
  <si>
    <t>-620.190083887434 297.531407568187 -243.718504202623</t>
  </si>
  <si>
    <t>-610.120514795692 333.8546075409 210.414655820551</t>
  </si>
  <si>
    <t>-613.185645091666 357.590125425106 679.541956932565</t>
  </si>
  <si>
    <t>-452.983801547742 370.18191108494 751.098446431548</t>
  </si>
  <si>
    <t>-624.115018910729 106.726235681954 -245.409185621717</t>
  </si>
  <si>
    <t>-586.115172079432 41.1973086782104 203.945486682346</t>
  </si>
  <si>
    <t>-635.51432493859 -50.1601876006806 661.604252804681</t>
  </si>
  <si>
    <t>-479.328900113027 -90.2644132965216 731.898495415846</t>
  </si>
  <si>
    <t>9763-20170724T164120.789284900.bin</t>
  </si>
  <si>
    <t>-622.546944103781 200.558599594154 -244.962671382161</t>
  </si>
  <si>
    <t>-650.497914174739 202.231551972328 -362.791931586938</t>
  </si>
  <si>
    <t>-653.739968729895 211.787153964852 -483.575832796865</t>
  </si>
  <si>
    <t>-646.749953804324 224.296236935871 -592.155348301313</t>
  </si>
  <si>
    <t>-630.208243443642 241.038799781515 -699.117496112971</t>
  </si>
  <si>
    <t>-597.583012069098 269.032213455245 -845.24061986129</t>
  </si>
  <si>
    <t>-541.388685798485 290.486799898137 -927.489635952171</t>
  </si>
  <si>
    <t>-619.201085950459 287.321762446347 -776.312703080488</t>
  </si>
  <si>
    <t>-656.006809819715 422.544071335712 -731.706052471844</t>
  </si>
  <si>
    <t>-628.675462051327 432.886727647645 -416.535961068291</t>
  </si>
  <si>
    <t>-410.338820955097 324.118640235 -326.310266229312</t>
  </si>
  <si>
    <t>-604.836264936104 225.970205993245 -784.858778478898</t>
  </si>
  <si>
    <t>-574.682555547428 82.0783224928577 -783.425171974862</t>
  </si>
  <si>
    <t>-406.771086801652 187.051927966662 -423.68534409762</t>
  </si>
  <si>
    <t>-621.546241479646 295.76824454666 -243.639742296887</t>
  </si>
  <si>
    <t>-610.590576800438 332.89800644738 210.407699401733</t>
  </si>
  <si>
    <t>-613.125550367317 357.603874580689 679.513687747943</t>
  </si>
  <si>
    <t>-452.912910299471 370.054308046641 751.070640995315</t>
  </si>
  <si>
    <t>-623.402395146291 105.256833781199 -245.662492967026</t>
  </si>
  <si>
    <t>-585.622589745501 40.7622812171701 203.860332129593</t>
  </si>
  <si>
    <t>-635.517693790145 -50.13441013685 661.482720798017</t>
  </si>
  <si>
    <t>-479.23096802364 -90.016364688759 731.678213513257</t>
  </si>
  <si>
    <t>9763-20170724T164120.831401800.bin</t>
  </si>
  <si>
    <t>-622.739245564508 199.466691134198 -245.032294715176</t>
  </si>
  <si>
    <t>-650.496775190604 201.137598034607 -362.907240063601</t>
  </si>
  <si>
    <t>-653.586361556056 210.865406329106 -483.681368202575</t>
  </si>
  <si>
    <t>-646.482895051702 223.597291522432 -592.22764585566</t>
  </si>
  <si>
    <t>-629.856659665528 240.625713780912 -699.131670734561</t>
  </si>
  <si>
    <t>-597.147855532174 269.078883099548 -845.147245937441</t>
  </si>
  <si>
    <t>-540.887648928385 291.030438886616 -927.219849198219</t>
  </si>
  <si>
    <t>-618.949222491899 287.1227031432 -776.212057265177</t>
  </si>
  <si>
    <t>-656.427887774659 422.034045968543 -731.268115063776</t>
  </si>
  <si>
    <t>-628.905074534967 433.166416499677 -416.141586691461</t>
  </si>
  <si>
    <t>-408.833854265427 329.240373795657 -324.434876296848</t>
  </si>
  <si>
    <t>-604.291751262657 225.85574801474 -784.867435732574</t>
  </si>
  <si>
    <t>-573.46861219497 82.0776699917073 -783.769239516693</t>
  </si>
  <si>
    <t>-407.431897596031 188.013546453118 -422.814943839587</t>
  </si>
  <si>
    <t>-622.182481668363 294.599742325896 -243.566931071631</t>
  </si>
  <si>
    <t>-610.740405754489 332.233062113078 210.427029384556</t>
  </si>
  <si>
    <t>-613.063465005771 357.558832636313 679.504813583237</t>
  </si>
  <si>
    <t>-452.745387999711 368.432925821238 751.082689348575</t>
  </si>
  <si>
    <t>-623.227179158917 104.208866946727 -245.851595503881</t>
  </si>
  <si>
    <t>-585.525296781401 40.2614341353942 203.755958410704</t>
  </si>
  <si>
    <t>-635.524735982792 -50.2571255671084 661.4379148833</t>
  </si>
  <si>
    <t>-479.490868856582 -91.1340080992369 731.623615360918</t>
  </si>
  <si>
    <t>9763-20170724T164120.889557900.bin</t>
  </si>
  <si>
    <t>-623.081066101416 197.336336445143 -245.198655485381</t>
  </si>
  <si>
    <t>-650.019010438557 199.128714343821 -363.262085158201</t>
  </si>
  <si>
    <t>-652.487369851215 209.15898509593 -484.025717586918</t>
  </si>
  <si>
    <t>-644.918414704855 222.22730236667 -592.500439225109</t>
  </si>
  <si>
    <t>-627.929100555965 239.647924122818 -699.284140018318</t>
  </si>
  <si>
    <t>-594.826341170813 268.698224629834 -845.093103915065</t>
  </si>
  <si>
    <t>-538.37813364063 291.334122862735 -926.850174349228</t>
  </si>
  <si>
    <t>-617.022624801931 286.417198886907 -776.199964238215</t>
  </si>
  <si>
    <t>-655.529605298252 420.975555823147 -731.046528425819</t>
  </si>
  <si>
    <t>-631.932197062958 433.721059116297 -415.662770390797</t>
  </si>
  <si>
    <t>-410.134140781502 332.442026626395 -325.162811266314</t>
  </si>
  <si>
    <t>-601.923904097789 225.271553429133 -784.954484238607</t>
  </si>
  <si>
    <t>-570.029130615139 81.7467137970258 -784.147332539785</t>
  </si>
  <si>
    <t>-406.284804915397 188.680817766363 -421.631543445889</t>
  </si>
  <si>
    <t>-623.133427487426 292.451095545618 -243.430544278946</t>
  </si>
  <si>
    <t>-611.29863706227 331.158998697984 210.462920044106</t>
  </si>
  <si>
    <t>-613.06021302151 357.716976972583 679.453280282606</t>
  </si>
  <si>
    <t>-452.746974892114 369.411365644521 750.912506895421</t>
  </si>
  <si>
    <t>-622.795449539067 102.11486333422 -246.313450181797</t>
  </si>
  <si>
    <t>-585.865568484548 39.1498517737092 203.496862497212</t>
  </si>
  <si>
    <t>-635.65791901293 -50.3482013357767 661.358898634156</t>
  </si>
  <si>
    <t>-479.340074416277 -90.3554613820662 731.413624824965</t>
  </si>
  <si>
    <t>9763-20170724T164120.921642900.bin</t>
  </si>
  <si>
    <t>-623.190725930837 196.145190550985 -245.360868510961</t>
  </si>
  <si>
    <t>-649.805792422913 198.047962178311 -363.49570043507</t>
  </si>
  <si>
    <t>-651.996401777265 208.245499254353 -484.250640145931</t>
  </si>
  <si>
    <t>-644.2014919965 221.486543117815 -592.688601372659</t>
  </si>
  <si>
    <t>-627.014895313985 239.099875208613 -699.408880959356</t>
  </si>
  <si>
    <t>-593.670654577383 268.437603901008 -845.105498076857</t>
  </si>
  <si>
    <t>-537.111694060327 291.329506753876 -926.714463531585</t>
  </si>
  <si>
    <t>-616.07836513146 286.000310567839 -776.240620297035</t>
  </si>
  <si>
    <t>-655.139552920343 420.334385175188 -730.933320578006</t>
  </si>
  <si>
    <t>-634.336352162348 434.008454734951 -415.391877714929</t>
  </si>
  <si>
    <t>-410.49518964136 337.639315939734 -324.561335392945</t>
  </si>
  <si>
    <t>-600.770496408659 224.912838349508 -785.037834946851</t>
  </si>
  <si>
    <t>-568.412063223131 81.4526716280933 -784.379075134522</t>
  </si>
  <si>
    <t>-404.876167822815 188.402927851914 -421.327963769142</t>
  </si>
  <si>
    <t>-623.547685685869 291.259338534197 -243.394123250841</t>
  </si>
  <si>
    <t>-611.46132186053 330.683854987374 210.431148225019</t>
  </si>
  <si>
    <t>-613.170943285519 358.096980881305 679.418908167752</t>
  </si>
  <si>
    <t>-452.958664397781 371.669478180985 750.772399841291</t>
  </si>
  <si>
    <t>-622.767462523897 100.880614758301 -246.600868769711</t>
  </si>
  <si>
    <t>-586.128106265129 38.5231044353433 203.31772160175</t>
  </si>
  <si>
    <t>-635.744057522427 -50.3583633947145 661.335337841056</t>
  </si>
  <si>
    <t>-479.104080770532 -89.1973522904395 731.327890526216</t>
  </si>
  <si>
    <t>9763-20170724T164120.988560100.bin</t>
  </si>
  <si>
    <t>-623.481347003251 194.009415844085 -245.611847009676</t>
  </si>
  <si>
    <t>-649.643866752889 196.189693966347 -363.842819641989</t>
  </si>
  <si>
    <t>-651.44038433838 206.737374500132 -484.574259735621</t>
  </si>
  <si>
    <t>-643.324609093116 220.326416076068 -592.945546109419</t>
  </si>
  <si>
    <t>-625.859294474039 238.319384802405 -699.557275429445</t>
  </si>
  <si>
    <t>-592.177527024347 268.218075391857 -845.061898421353</t>
  </si>
  <si>
    <t>-535.420252350586 291.542116324838 -926.410502952658</t>
  </si>
  <si>
    <t>-614.925889330264 285.476703963314 -776.231942642486</t>
  </si>
  <si>
    <t>-655.203384150778 419.360846034945 -730.682754948383</t>
  </si>
  <si>
    <t>-638.38786958338 432.131418723699 -414.865921073532</t>
  </si>
  <si>
    <t>-412.098938294607 340.979673917211 -324.717453606401</t>
  </si>
  <si>
    <t>-599.235436465671 224.500928690353 -785.129313136619</t>
  </si>
  <si>
    <t>-566.022136229651 81.2472962946334 -784.835966491206</t>
  </si>
  <si>
    <t>-404.266235447533 187.412800624388 -420.710656079801</t>
  </si>
  <si>
    <t>-624.174391724544 289.358344075158 -243.339318138207</t>
  </si>
  <si>
    <t>-611.625640152113 329.598268149755 210.401812178853</t>
  </si>
  <si>
    <t>-613.152019550348 358.279292698033 679.356218420757</t>
  </si>
  <si>
    <t>-452.847757838167 371.378663117496 750.591424376898</t>
  </si>
  <si>
    <t>-622.788141016096 98.6826709685487 -247.133203480453</t>
  </si>
  <si>
    <t>-586.992005362027 37.2097788266394 202.974939010815</t>
  </si>
  <si>
    <t>-635.947994524002 -50.3943330118417 661.313926889025</t>
  </si>
  <si>
    <t>-479.082100990179 -88.4428787224685 731.234620351915</t>
  </si>
  <si>
    <t>9763-20170724T164121.027683600.bin</t>
  </si>
  <si>
    <t>-623.774896502091 193.06825475998 -245.676480952631</t>
  </si>
  <si>
    <t>-649.719617966291 195.382984908751 -363.952923535391</t>
  </si>
  <si>
    <t>-651.381440517084 206.125506515026 -484.669146113673</t>
  </si>
  <si>
    <t>-643.182395087096 219.911749568427 -593.009180487506</t>
  </si>
  <si>
    <t>-625.674274173132 238.120538394953 -699.577335572845</t>
  </si>
  <si>
    <t>-591.976150308174 268.336882669676 -845.012455327417</t>
  </si>
  <si>
    <t>-535.182554623038 291.88712748734 -926.270472757051</t>
  </si>
  <si>
    <t>-614.797089462082 285.431107216941 -776.165442489021</t>
  </si>
  <si>
    <t>-655.477523335981 419.121802730594 -730.39169957685</t>
  </si>
  <si>
    <t>-640.046927404632 431.141535367251 -414.474543731654</t>
  </si>
  <si>
    <t>-412.464888451823 342.820267593477 -324.764871997898</t>
  </si>
  <si>
    <t>-598.975959524394 224.503121349011 -785.158348960584</t>
  </si>
  <si>
    <t>-565.489575803406 81.3118842412269 -785.134236524416</t>
  </si>
  <si>
    <t>-404.306521542907 187.0895944103 -420.493650236889</t>
  </si>
  <si>
    <t>-624.59911436315 288.496254120976 -243.301415769841</t>
  </si>
  <si>
    <t>-611.81647614165 329.158160339796 210.395521319013</t>
  </si>
  <si>
    <t>-613.204026558026 358.50139670838 679.330819561407</t>
  </si>
  <si>
    <t>-452.918043854154 372.215332013537 750.491511944044</t>
  </si>
  <si>
    <t>-622.952973743868 97.6427888429647 -247.399691302861</t>
  </si>
  <si>
    <t>-587.595188291534 36.6471858993442 202.808089848961</t>
  </si>
  <si>
    <t>-636.006494096648 -50.6005221833664 661.329297587786</t>
  </si>
  <si>
    <t>-479.037704382883 -88.298023617715 731.209300355468</t>
  </si>
  <si>
    <t>9763-20170724T164121.092606100.bin</t>
  </si>
  <si>
    <t>-624.497071254187 191.372137221342 -245.871308086201</t>
  </si>
  <si>
    <t>-650.274426535432 193.916721519837 -364.179614358609</t>
  </si>
  <si>
    <t>-651.839722788497 204.99681132235 -484.866642082249</t>
  </si>
  <si>
    <t>-643.586064158866 219.122348347603 -593.158709459335</t>
  </si>
  <si>
    <t>-626.057215285591 237.698788378552 -699.660078602411</t>
  </si>
  <si>
    <t>-592.366346703056 268.450303079473 -844.984728740789</t>
  </si>
  <si>
    <t>-535.587026399865 292.347218458025 -926.151377064149</t>
  </si>
  <si>
    <t>-615.228515892535 285.281203161387 -776.08659476139</t>
  </si>
  <si>
    <t>-656.303877366713 418.715494214571 -729.891794137907</t>
  </si>
  <si>
    <t>-644.33304352844 430.888246980923 -413.830479153221</t>
  </si>
  <si>
    <t>-415.316124115845 346.252193725468 -324.220101408101</t>
  </si>
  <si>
    <t>-599.318520381887 224.40618163981 -785.279511428316</t>
  </si>
  <si>
    <t>-565.78929418592 81.2334523738843 -785.678384105356</t>
  </si>
  <si>
    <t>-404.332259301564 185.687931713275 -420.166642428518</t>
  </si>
  <si>
    <t>-625.532959286022 286.934121697129 -243.221669499958</t>
  </si>
  <si>
    <t>-612.005523816276 328.297081500489 210.390220125033</t>
  </si>
  <si>
    <t>-613.179168068124 358.681728682846 679.27365219558</t>
  </si>
  <si>
    <t>-452.746193022365 371.125316669705 750.336540494772</t>
  </si>
  <si>
    <t>-623.513608671075 95.7922726914548 -247.816197732454</t>
  </si>
  <si>
    <t>-589.131236865096 35.4376077705509 202.553460759172</t>
  </si>
  <si>
    <t>-636.133866024994 -50.8048062803738 661.41138727575</t>
  </si>
  <si>
    <t>-479.216679669302 -88.80847621834 731.241405761012</t>
  </si>
  <si>
    <t>9763-20170724T164121.123688900.bin</t>
  </si>
  <si>
    <t>-624.795823187603 190.610721574325 -245.963484827204</t>
  </si>
  <si>
    <t>-650.553564655515 193.28015527187 -364.273447224416</t>
  </si>
  <si>
    <t>-652.134597879479 204.471868517423 -484.949821012095</t>
  </si>
  <si>
    <t>-643.909359544713 218.691612160213 -593.231954438378</t>
  </si>
  <si>
    <t>-626.422630966244 237.354732364117 -699.724804261284</t>
  </si>
  <si>
    <t>-592.803884799928 268.218642602266 -845.042469398328</t>
  </si>
  <si>
    <t>-536.06591137875 292.20139918777 -926.212700880201</t>
  </si>
  <si>
    <t>-615.650950562324 284.992056048614 -776.125254801828</t>
  </si>
  <si>
    <t>-656.790047197723 418.402841223243 -729.901139972009</t>
  </si>
  <si>
    <t>-646.492808016267 430.777914849339 -413.788850344987</t>
  </si>
  <si>
    <t>-417.389377007583 346.898005114389 -323.689970503475</t>
  </si>
  <si>
    <t>-599.70732368154 224.132594425256 -785.362612070409</t>
  </si>
  <si>
    <t>-566.171776905161 80.9650404446566 -785.885479277171</t>
  </si>
  <si>
    <t>-404.437652457621 184.887863183415 -419.746706069548</t>
  </si>
  <si>
    <t>-625.773849657085 286.217654446091 -243.194356563866</t>
  </si>
  <si>
    <t>-612.217364968702 327.834782625667 210.393513289301</t>
  </si>
  <si>
    <t>-613.171866421627 358.736897274283 679.242092978026</t>
  </si>
  <si>
    <t>-452.703198050077 370.895854466273 750.273592911507</t>
  </si>
  <si>
    <t>-623.795693500763 94.9141972362466 -248.016316345455</t>
  </si>
  <si>
    <t>-589.826810884596 34.8421606070722 202.422470207275</t>
  </si>
  <si>
    <t>-636.199399507948 -50.8959725608911 661.463293765113</t>
  </si>
  <si>
    <t>-479.247028387021 -88.7935406120661 731.271990175333</t>
  </si>
  <si>
    <t>9763-20170724T164121.191799700.bin</t>
  </si>
  <si>
    <t>-625.249600052538 189.038863592863 -246.051597268108</t>
  </si>
  <si>
    <t>-651.03345503669 191.934683732463 -364.350412417312</t>
  </si>
  <si>
    <t>-652.701134568072 203.231636229121 -485.015942292037</t>
  </si>
  <si>
    <t>-644.576086965455 217.500271057692 -593.299067238816</t>
  </si>
  <si>
    <t>-627.209099803832 236.168566688877 -699.810707220167</t>
  </si>
  <si>
    <t>-593.774657136279 266.996847456913 -845.178365505756</t>
  </si>
  <si>
    <t>-537.192424403987 290.975611737463 -926.458396575034</t>
  </si>
  <si>
    <t>-616.558236350024 283.781904762865 -776.243004923053</t>
  </si>
  <si>
    <t>-657.753475036797 417.175764601429 -730.056834948472</t>
  </si>
  <si>
    <t>-649.930314963678 431.680918261016 -413.964098890537</t>
  </si>
  <si>
    <t>-421.496117789159 347.543187390595 -322.417872390367</t>
  </si>
  <si>
    <t>-600.578441829807 222.930756020801 -785.472420965127</t>
  </si>
  <si>
    <t>-567.100364125362 79.7493819319697 -785.99208741264</t>
  </si>
  <si>
    <t>-404.887561217075 182.697986591295 -418.737952311573</t>
  </si>
  <si>
    <t>-626.039733452415 284.851174861559 -243.130447622229</t>
  </si>
  <si>
    <t>-612.308000474041 327.105238996215 210.39323056625</t>
  </si>
  <si>
    <t>-613.212710533408 358.991047653022 679.194521850186</t>
  </si>
  <si>
    <t>-452.616851602253 370.537868830068 750.040397351755</t>
  </si>
  <si>
    <t>-624.347278371094 93.2229353451251 -248.283322856342</t>
  </si>
  <si>
    <t>-590.635012251651 33.8154863217608 202.262812390292</t>
  </si>
  <si>
    <t>-636.339327342784 -50.9833407707928 661.576903829736</t>
  </si>
  <si>
    <t>-479.241711011926 -88.2754368298807 731.384918910936</t>
  </si>
  <si>
    <t>9763-20170724T164121.224887200.bin</t>
  </si>
  <si>
    <t>-625.296765512837 188.374243048656 -246.036534503005</t>
  </si>
  <si>
    <t>-651.091916393509 191.357688858487 -364.330618480083</t>
  </si>
  <si>
    <t>-652.778127592247 202.679533870872 -484.993542689307</t>
  </si>
  <si>
    <t>-644.670676126999 216.945502690116 -593.278431323446</t>
  </si>
  <si>
    <t>-627.320696402027 235.586504902078 -699.797607773677</t>
  </si>
  <si>
    <t>-593.907846809994 266.351988507893 -845.183627142287</t>
  </si>
  <si>
    <t>-537.380390612892 290.25689905205 -926.523597634842</t>
  </si>
  <si>
    <t>-616.665116946332 283.170337289062 -776.247554959128</t>
  </si>
  <si>
    <t>-657.680576570845 416.65697521526 -730.150571393245</t>
  </si>
  <si>
    <t>-651.236887198392 432.787873090418 -414.105524546019</t>
  </si>
  <si>
    <t>-424.023818506175 345.489559039502 -322.479913945924</t>
  </si>
  <si>
    <t>-600.718864654473 222.308101371893 -785.461966181566</t>
  </si>
  <si>
    <t>-567.413374744765 79.0864697702341 -785.943340832397</t>
  </si>
  <si>
    <t>-404.658343967564 181.7193414215 -418.067057649755</t>
  </si>
  <si>
    <t>-625.97850388109 284.26965303035 -243.098231013206</t>
  </si>
  <si>
    <t>-612.34232906652 326.694183975029 210.412345536984</t>
  </si>
  <si>
    <t>-613.172151602216 358.959876416492 679.172063878709</t>
  </si>
  <si>
    <t>-452.511140922426 369.593726253459 750.013355775712</t>
  </si>
  <si>
    <t>-624.465528680404 92.5359912009966 -248.31532551728</t>
  </si>
  <si>
    <t>-590.665603467066 33.2963168890281 202.246376648092</t>
  </si>
  <si>
    <t>-636.372632799812 -51.1701201168408 661.635745559682</t>
  </si>
  <si>
    <t>-479.425179064334 -89.04223521486 731.469276296377</t>
  </si>
  <si>
    <t>9763-20170724T164121.293829400.bin</t>
  </si>
  <si>
    <t>-625.414708628323 187.225703740914 -245.971263805912</t>
  </si>
  <si>
    <t>-651.546758028884 190.337458103493 -364.188164378391</t>
  </si>
  <si>
    <t>-653.531577202702 201.586961683461 -484.853305847687</t>
  </si>
  <si>
    <t>-645.668206842843 215.710410834568 -593.174814564817</t>
  </si>
  <si>
    <t>-628.530653909299 234.135489924998 -699.765968679879</t>
  </si>
  <si>
    <t>-595.374991852016 264.528118463802 -845.289069135728</t>
  </si>
  <si>
    <t>-538.970761618827 288.085861276695 -926.81565832889</t>
  </si>
  <si>
    <t>-617.953038190213 281.535759923444 -776.340666107944</t>
  </si>
  <si>
    <t>-658.390136465044 415.315399858752 -730.626714100138</t>
  </si>
  <si>
    <t>-653.223513699965 434.449034280589 -414.725685817901</t>
  </si>
  <si>
    <t>-427.880735767308 342.72828153916 -322.801891994238</t>
  </si>
  <si>
    <t>-602.137659818791 220.624843559078 -785.458657454201</t>
  </si>
  <si>
    <t>-569.195738226159 77.3082639596682 -785.676127216112</t>
  </si>
  <si>
    <t>-405.842490460649 179.851840997031 -416.278229468431</t>
  </si>
  <si>
    <t>-625.98592293233 283.195555628083 -242.969240693703</t>
  </si>
  <si>
    <t>-612.464868990486 326.134104006231 210.496461270809</t>
  </si>
  <si>
    <t>-613.196654679081 359.186377524471 679.17133866392</t>
  </si>
  <si>
    <t>-452.557704323048 370.861935682424 749.898354943201</t>
  </si>
  <si>
    <t>-624.844716090114 91.2506304370312 -248.289024451401</t>
  </si>
  <si>
    <t>-590.033183720397 32.6184291465365 202.275037794497</t>
  </si>
  <si>
    <t>-636.416342371939 -51.384003816584 661.718689478657</t>
  </si>
  <si>
    <t>-479.544978062188 -89.5291733264612 731.57447694108</t>
  </si>
  <si>
    <t>9763-20170724T164121.325917600.bin</t>
  </si>
  <si>
    <t>-625.399694025964 186.694334947046 -245.94501009788</t>
  </si>
  <si>
    <t>-651.759794693693 189.853962318326 -364.110025831981</t>
  </si>
  <si>
    <t>-653.943146504872 201.027882656294 -484.778847403412</t>
  </si>
  <si>
    <t>-646.241563061588 215.038014868477 -593.126636017374</t>
  </si>
  <si>
    <t>-629.245071562514 233.308636563957 -699.766882138729</t>
  </si>
  <si>
    <t>-596.261562450201 263.447352539403 -845.381989106767</t>
  </si>
  <si>
    <t>-539.914342797914 286.769431420413 -927.015683421871</t>
  </si>
  <si>
    <t>-618.724206529596 280.582686979521 -776.42741804095</t>
  </si>
  <si>
    <t>-658.855007126659 414.542062210525 -730.990879516457</t>
  </si>
  <si>
    <t>-653.504498388969 435.288565318654 -415.194908210659</t>
  </si>
  <si>
    <t>-427.495102118699 346.008816169016 -322.507649078597</t>
  </si>
  <si>
    <t>-602.987283602513 219.641155494061 -785.476187113382</t>
  </si>
  <si>
    <t>-570.308790626608 76.2642470186544 -785.47857018668</t>
  </si>
  <si>
    <t>-406.85401229671 179.000241547703 -414.850611458175</t>
  </si>
  <si>
    <t>-625.817226255474 282.656204015745 -242.917372487981</t>
  </si>
  <si>
    <t>-612.638610467503 325.907185659113 210.528720421932</t>
  </si>
  <si>
    <t>-613.225292485032 359.319542229991 679.16050526919</t>
  </si>
  <si>
    <t>-452.627468423711 372.010830637755 749.805973610029</t>
  </si>
  <si>
    <t>-624.948273072229 90.7097224876354 -248.247887106837</t>
  </si>
  <si>
    <t>-589.513497626849 32.3675868454293 202.3053380599</t>
  </si>
  <si>
    <t>-636.468971582635 -51.2745617324233 661.755412184735</t>
  </si>
  <si>
    <t>-479.397426842661 -88.6329855447506 731.586663366995</t>
  </si>
  <si>
    <t>9763-20170724T164121.392113300.bin</t>
  </si>
  <si>
    <t>-625.447489788424 184.923767464717 -245.894374022783</t>
  </si>
  <si>
    <t>-652.81721412878 188.199360936787 -363.826442710015</t>
  </si>
  <si>
    <t>-655.656409229674 199.014968496914 -484.514183285875</t>
  </si>
  <si>
    <t>-648.380864543912 212.532663818849 -592.953945846553</t>
  </si>
  <si>
    <t>-631.634582181046 230.15861222731 -699.742230939858</t>
  </si>
  <si>
    <t>-598.810427249223 259.256858236437 -845.604698190722</t>
  </si>
  <si>
    <t>-542.6180290875 281.834258862157 -927.553856136266</t>
  </si>
  <si>
    <t>-621.063217746017 276.913336756025 -776.713678698427</t>
  </si>
  <si>
    <t>-660.397821604355 411.410219631344 -732.133397882268</t>
  </si>
  <si>
    <t>-653.043898448546 437.361095907981 -416.762715476673</t>
  </si>
  <si>
    <t>-427.344558950744 348.705375991296 -322.730609584599</t>
  </si>
  <si>
    <t>-605.604964858493 215.850194071408 -785.416553530935</t>
  </si>
  <si>
    <t>-573.623430079668 72.3350301907246 -784.576015345589</t>
  </si>
  <si>
    <t>-410.197247668358 176.704039715257 -412.67176490858</t>
  </si>
  <si>
    <t>-625.413691003983 280.903482477485 -242.85850646418</t>
  </si>
  <si>
    <t>-612.89676500119 324.951779559791 210.529541812721</t>
  </si>
  <si>
    <t>-613.238247940663 359.396721321662 679.122022416581</t>
  </si>
  <si>
    <t>-452.549526943156 371.59260961867 749.648013186458</t>
  </si>
  <si>
    <t>-625.408088786917 88.9202858123891 -248.08257138797</t>
  </si>
  <si>
    <t>-588.029927129314 31.2637435047305 202.401954843453</t>
  </si>
  <si>
    <t>-636.512266570237 -51.5035710100448 661.83857341202</t>
  </si>
  <si>
    <t>-479.611608656745 -89.4779762580041 731.721756556961</t>
  </si>
  <si>
    <t>9763-20170724T164121.426212800.bin</t>
  </si>
  <si>
    <t>-625.662656631046 183.863944591002 -245.704224518725</t>
  </si>
  <si>
    <t>-653.265074743262 187.212820941897 -363.579979211587</t>
  </si>
  <si>
    <t>-656.228955179678 197.742885296488 -484.289992051935</t>
  </si>
  <si>
    <t>-649.00726141679 210.861420051078 -592.782395827481</t>
  </si>
  <si>
    <t>-632.247398821879 227.952037625728 -699.655465224797</t>
  </si>
  <si>
    <t>-599.326497719056 256.169763369566 -845.669160670784</t>
  </si>
  <si>
    <t>-543.248474122057 278.117289483704 -927.867377465384</t>
  </si>
  <si>
    <t>-621.424589104622 274.284194658142 -776.847142103394</t>
  </si>
  <si>
    <t>-659.671986189203 409.330991593346 -732.921728345816</t>
  </si>
  <si>
    <t>-652.419166666249 438.535278486167 -417.833300036528</t>
  </si>
  <si>
    <t>-428.377837151886 347.864948540825 -321.779010606022</t>
  </si>
  <si>
    <t>-606.361350937928 213.084351043883 -785.278129254892</t>
  </si>
  <si>
    <t>-575.107603647374 69.4745355790264 -783.690202690815</t>
  </si>
  <si>
    <t>-410.212531119006 173.973175453495 -411.506644551629</t>
  </si>
  <si>
    <t>-625.102168792356 279.869490711672 -242.813604512551</t>
  </si>
  <si>
    <t>-612.888466094304 324.413130955294 210.534398563164</t>
  </si>
  <si>
    <t>-613.259474515144 359.500457572999 679.09877362892</t>
  </si>
  <si>
    <t>-452.566631585509 372.175673646692 749.530715817898</t>
  </si>
  <si>
    <t>-625.948797628558 87.7972310817624 -247.928864198724</t>
  </si>
  <si>
    <t>-587.056874949113 30.5174359271718 202.47548743019</t>
  </si>
  <si>
    <t>-636.535858279047 -51.6763529609501 661.885180256392</t>
  </si>
  <si>
    <t>-479.833569263007 -90.3750236740739 731.815888605495</t>
  </si>
  <si>
    <t>9763-20170724T164121.488371400.bin</t>
  </si>
  <si>
    <t>-625.67649645747 180.865768021343 -245.487108136063</t>
  </si>
  <si>
    <t>-654.411715428637 184.314960259855 -363.088941805446</t>
  </si>
  <si>
    <t>-658.000145485982 193.819844211072 -483.867076889439</t>
  </si>
  <si>
    <t>-651.082383081705 205.564228200133 -592.53658457723</t>
  </si>
  <si>
    <t>-634.336255179386 220.845770076897 -699.685491701521</t>
  </si>
  <si>
    <t>-601.107843361336 246.10843590011 -846.169891749505</t>
  </si>
  <si>
    <t>-545.289591946534 266.014321665296 -929.061826454385</t>
  </si>
  <si>
    <t>-622.746971330992 265.732391593686 -777.616411067732</t>
  </si>
  <si>
    <t>-658.698550383628 402.157582772078 -736.132175241963</t>
  </si>
  <si>
    <t>-652.81265371001 432.997106335518 -421.17103535685</t>
  </si>
  <si>
    <t>-432.990460111182 338.245186355979 -319.473791721469</t>
  </si>
  <si>
    <t>-608.873866444451 204.128556667118 -785.09364183484</t>
  </si>
  <si>
    <t>-579.791547853743 60.0500362162039 -780.787837695622</t>
  </si>
  <si>
    <t>-411.699860477459 163.007619047795 -410.373009274187</t>
  </si>
  <si>
    <t>-624.36260073998 276.882126462774 -242.654234216573</t>
  </si>
  <si>
    <t>-612.600736419355 322.973652181164 210.550932746536</t>
  </si>
  <si>
    <t>-613.252462551673 359.556098618003 679.034323359253</t>
  </si>
  <si>
    <t>-452.437570565399 371.230886577049 749.3605062793</t>
  </si>
  <si>
    <t>-626.808507153526 84.7031744988096 -247.489247781783</t>
  </si>
  <si>
    <t>-584.371212529674 28.7431630912295 202.760955830198</t>
  </si>
  <si>
    <t>-636.661428147164 -52.0412435280775 662.014433318669</t>
  </si>
  <si>
    <t>-480.42742362851 -92.4465654057249 732.027646040188</t>
  </si>
  <si>
    <t>9763-20170724T164121.527475900.bin</t>
  </si>
  <si>
    <t>-625.802254752699 178.718484141497 -245.29393971962</t>
  </si>
  <si>
    <t>-655.247933843506 182.25168925551 -362.717340294739</t>
  </si>
  <si>
    <t>-659.214753873319 191.20043431761 -483.525979881663</t>
  </si>
  <si>
    <t>-652.471677714643 202.182342167973 -592.286353250825</t>
  </si>
  <si>
    <t>-635.715664952104 216.445424596206 -699.573976963047</t>
  </si>
  <si>
    <t>-602.267061877659 240.030061160622 -846.287796134929</t>
  </si>
  <si>
    <t>-546.584317246328 258.654547605542 -929.567804915369</t>
  </si>
  <si>
    <t>-623.632384033866 260.508736584243 -777.898659051259</t>
  </si>
  <si>
    <t>-658.038198197651 397.705052386407 -737.664598582516</t>
  </si>
  <si>
    <t>-653.798307284323 428.099476069324 -422.633855495041</t>
  </si>
  <si>
    <t>-433.716041584251 335.461382521113 -319.560940885394</t>
  </si>
  <si>
    <t>-610.501682357728 198.680440815688 -784.844259161182</t>
  </si>
  <si>
    <t>-583.131063240625 54.2795326915453 -779.115662571939</t>
  </si>
  <si>
    <t>-413.957024036111 156.540182886465 -409.660236205737</t>
  </si>
  <si>
    <t>-624.088576519901 274.7678998868 -242.54487454856</t>
  </si>
  <si>
    <t>-612.344287727864 322.000333298878 210.543251321541</t>
  </si>
  <si>
    <t>-613.290963278668 359.764915515246 678.989563937481</t>
  </si>
  <si>
    <t>-452.478015714389 372.005049473576 749.224113423195</t>
  </si>
  <si>
    <t>-627.419469779063 82.6193823362336 -247.185251611249</t>
  </si>
  <si>
    <t>-582.585009309709 27.5581467481188 202.943364433717</t>
  </si>
  <si>
    <t>-636.72361691321 -52.2446775061444 662.126564417618</t>
  </si>
  <si>
    <t>-480.745970194342 -93.57004950217 732.174211716465</t>
  </si>
  <si>
    <t>9763-20170724T164121.590689600.bin</t>
  </si>
  <si>
    <t>-626.052773423669 174.055790288774 -244.510237082207</t>
  </si>
  <si>
    <t>-656.468220632251 177.681319005726 -361.68342328527</t>
  </si>
  <si>
    <t>-660.941216050251 185.177171339672 -482.573428988936</t>
  </si>
  <si>
    <t>-654.40084807886 194.211720860475 -591.525008410599</t>
  </si>
  <si>
    <t>-637.553739922638 205.898197607356 -699.109683576913</t>
  </si>
  <si>
    <t>-603.638409293817 225.252991542926 -846.334383987108</t>
  </si>
  <si>
    <t>-548.181674766635 240.780392228343 -930.396542229679</t>
  </si>
  <si>
    <t>-624.488640241122 247.820364741353 -778.445534678427</t>
  </si>
  <si>
    <t>-655.945604437037 386.642523799122 -741.441356099544</t>
  </si>
  <si>
    <t>-653.806683303271 421.210380408188 -426.819799116705</t>
  </si>
  <si>
    <t>-434.130986230565 331.021501732313 -320.751135321437</t>
  </si>
  <si>
    <t>-612.801144004211 185.557814872399 -783.938461112536</t>
  </si>
  <si>
    <t>-589.117919431286 40.7477630868142 -774.780202384768</t>
  </si>
  <si>
    <t>-417.686801849684 141.90486745813 -406.967991357031</t>
  </si>
  <si>
    <t>-623.753561935656 269.93117917663 -242.104523567838</t>
  </si>
  <si>
    <t>-611.414868179275 319.634132881354 210.703366180082</t>
  </si>
  <si>
    <t>-613.142476912352 359.790571644273 678.941436270516</t>
  </si>
  <si>
    <t>-452.284458698667 371.76861699613 749.117815104267</t>
  </si>
  <si>
    <t>-627.938015913443 78.5000083130989 -246.406302333729</t>
  </si>
  <si>
    <t>-578.877595178411 24.8842938883771 203.456032274911</t>
  </si>
  <si>
    <t>-636.932967789001 -52.5187285084945 662.353439969781</t>
  </si>
  <si>
    <t>-481.180973379397 -94.7621796452513 732.355582502105</t>
  </si>
  <si>
    <t>9763-20170724T164121.621786900.bin</t>
  </si>
  <si>
    <t>-626.069430981875 171.107587205712 -243.982680248774</t>
  </si>
  <si>
    <t>-656.713207290922 174.710621027558 -361.097000279672</t>
  </si>
  <si>
    <t>-661.277709500854 181.320220952921 -482.035237465857</t>
  </si>
  <si>
    <t>-654.731201802904 189.185633155691 -591.077005927829</t>
  </si>
  <si>
    <t>-637.767310709118 199.329208177335 -698.799760672876</t>
  </si>
  <si>
    <t>-603.55388734653 216.146555806568 -846.267144750609</t>
  </si>
  <si>
    <t>-548.113853004435 229.909976063476 -930.647068661749</t>
  </si>
  <si>
    <t>-624.119576687665 239.947821356286 -778.713671926355</t>
  </si>
  <si>
    <t>-653.806425609273 379.68110243461 -743.740544828453</t>
  </si>
  <si>
    <t>-653.341948910008 416.982949319236 -429.424610281919</t>
  </si>
  <si>
    <t>-433.792119919602 327.748709463912 -322.292816839949</t>
  </si>
  <si>
    <t>-613.264940478367 177.463052742439 -783.32120172628</t>
  </si>
  <si>
    <t>-591.698573210471 32.445438123791 -772.073416720818</t>
  </si>
  <si>
    <t>-417.149535682724 133.522501527064 -406.448211616696</t>
  </si>
  <si>
    <t>-623.662560917089 266.684516404505 -241.752499020894</t>
  </si>
  <si>
    <t>-610.700373645049 318.097886376657 210.84700352001</t>
  </si>
  <si>
    <t>-613.041451052871 359.826782158009 678.912578329968</t>
  </si>
  <si>
    <t>-452.176763741535 371.362607621247 749.147853794808</t>
  </si>
  <si>
    <t>-628.116107384253 75.6416764370103 -245.919405952087</t>
  </si>
  <si>
    <t>-576.876348773771 23.3591372226607 203.856896046882</t>
  </si>
  <si>
    <t>-637.035507369295 -52.6830513823155 662.531469521106</t>
  </si>
  <si>
    <t>-481.618825352304 -96.1794375633806 732.511770499518</t>
  </si>
  <si>
    <t>9763-20170724T164121.694502900.bin</t>
  </si>
  <si>
    <t>-625.770393451716 163.490958958948 -243.316755490976</t>
  </si>
  <si>
    <t>-657.264234704334 167.21344589798 -360.201711898514</t>
  </si>
  <si>
    <t>-661.972000235992 171.769655773774 -481.229111276857</t>
  </si>
  <si>
    <t>-655.192403108324 176.865010590523 -590.42130848054</t>
  </si>
  <si>
    <t>-637.591015942659 183.315141254463 -698.32615644477</t>
  </si>
  <si>
    <t>-602.034961870027 194.032854514359 -846.045142109958</t>
  </si>
  <si>
    <t>-546.273010085176 203.817813035024 -930.767314367597</t>
  </si>
  <si>
    <t>-622.343583276381 220.731278529695 -779.504353235582</t>
  </si>
  <si>
    <t>-648.719233468731 362.235000335471 -749.390090632579</t>
  </si>
  <si>
    <t>-652.544721114805 408.539847176616 -436.296816424158</t>
  </si>
  <si>
    <t>-433.746804980593 319.34875978157 -327.602275026106</t>
  </si>
  <si>
    <t>-613.191292606593 157.849920304324 -781.863738447395</t>
  </si>
  <si>
    <t>-596.21412264863 12.7154361115564 -765.895873966049</t>
  </si>
  <si>
    <t>-414.918469388811 111.962486091336 -410.400197502153</t>
  </si>
  <si>
    <t>-623.421564360934 258.795531963929 -240.93164650484</t>
  </si>
  <si>
    <t>-608.335635952264 314.238663537874 211.126101514871</t>
  </si>
  <si>
    <t>-612.733261521866 359.732251636918 678.86169735137</t>
  </si>
  <si>
    <t>-452.04766923076 371.746932724793 749.425876295778</t>
  </si>
  <si>
    <t>-627.892453245541 68.2600182812963 -245.27857585865</t>
  </si>
  <si>
    <t>-573.689250913758 19.7153513527875 204.56928129002</t>
  </si>
  <si>
    <t>-637.290148180186 -52.8186629689982 663.107971562701</t>
  </si>
  <si>
    <t>-482.171170807055 -97.7563955467172 732.837434760225</t>
  </si>
  <si>
    <t>9763-20170724T164121.726588900.bin</t>
  </si>
  <si>
    <t>-625.577434890222 158.765068239001 -243.058212241244</t>
  </si>
  <si>
    <t>-657.463046114967 162.617566005321 -359.832586716918</t>
  </si>
  <si>
    <t>-662.246001516641 166.095332321113 -480.892855254859</t>
  </si>
  <si>
    <t>-655.369471201106 169.700567905608 -590.138322344822</t>
  </si>
  <si>
    <t>-637.486061995548 174.135748467579 -698.098281516859</t>
  </si>
  <si>
    <t>-601.328381422417 181.499720252402 -845.876521354326</t>
  </si>
  <si>
    <t>-545.389902137273 189.183275606695 -930.698957612353</t>
  </si>
  <si>
    <t>-621.477875619224 209.758212798402 -779.934324317377</t>
  </si>
  <si>
    <t>-646.193723566162 352.125637224743 -752.639301056383</t>
  </si>
  <si>
    <t>-652.152285275743 403.372546542887 -440.35027269229</t>
  </si>
  <si>
    <t>-433.935938767695 313.920473675457 -330.705349017419</t>
  </si>
  <si>
    <t>-613.17610606616 146.724559801319 -781.044203287157</t>
  </si>
  <si>
    <t>-598.729130214834 1.5725769049605 -762.561593460148</t>
  </si>
  <si>
    <t>-410.252350804931 98.2629105466421 -414.145201257538</t>
  </si>
  <si>
    <t>-623.309793775261 253.910225063574 -240.444371479577</t>
  </si>
  <si>
    <t>-606.449386814293 311.93518988834 211.226448302076</t>
  </si>
  <si>
    <t>-612.53383020321 359.573533858884 678.816259970029</t>
  </si>
  <si>
    <t>-451.842934051849 370.288392082689 749.577399326414</t>
  </si>
  <si>
    <t>-627.632761832822 63.748780502975 -245.161515122172</t>
  </si>
  <si>
    <t>-572.767168792686 17.5018031975754 204.848168207498</t>
  </si>
  <si>
    <t>-637.453654235144 -52.6029606854742 663.520024516401</t>
  </si>
  <si>
    <t>-481.954747321097 -96.6147886737518 732.993464939227</t>
  </si>
  <si>
    <t>9763-20170724T164121.791771600.bin</t>
  </si>
  <si>
    <t>-625.63159131361 147.361172014881 -242.772183102571</t>
  </si>
  <si>
    <t>-657.815223016413 151.632634342145 -359.450215281231</t>
  </si>
  <si>
    <t>-662.745610540385 152.791471006993 -480.54915489958</t>
  </si>
  <si>
    <t>-655.879597320976 153.104579412183 -589.854272560671</t>
  </si>
  <si>
    <t>-637.84408286076 153.01158966236 -697.879935481902</t>
  </si>
  <si>
    <t>-601.268746683693 152.764234933428 -845.738653157444</t>
  </si>
  <si>
    <t>-545.180942636605 155.997743420331 -930.748585071057</t>
  </si>
  <si>
    <t>-620.686500497391 184.491084459666 -781.16870437902</t>
  </si>
  <si>
    <t>-641.883987544986 328.524354603108 -760.272925964332</t>
  </si>
  <si>
    <t>-652.115755547274 388.458483273752 -449.645518016352</t>
  </si>
  <si>
    <t>-435.261042124187 300.164886027196 -336.418371676565</t>
  </si>
  <si>
    <t>-614.217868864613 121.256267636403 -779.462741298542</t>
  </si>
  <si>
    <t>-396.801188706648 63.8949681370717 -423.25747884051</t>
  </si>
  <si>
    <t>-624.088951456543 242.623073553054 -239.305638021111</t>
  </si>
  <si>
    <t>-602.320001373948 306.719226074173 211.333198947281</t>
  </si>
  <si>
    <t>-612.234104622003 359.414743811897 678.587385157323</t>
  </si>
  <si>
    <t>-451.76944203227 371.138680421569 749.701012035231</t>
  </si>
  <si>
    <t>-627.018520311386 52.1089049247829 -245.613827344224</t>
  </si>
  <si>
    <t>-574.318573146967 11.8832387353305 205.232280452337</t>
  </si>
  <si>
    <t>-637.803222399861 -52.4027228121914 664.804839062476</t>
  </si>
  <si>
    <t>-481.935350951 -95.9063380989941 733.769650782858</t>
  </si>
  <si>
    <t>9763-20170724T164121.825862900.bin</t>
  </si>
  <si>
    <t>-626.021581175147 140.547787916559 -242.501689914878</t>
  </si>
  <si>
    <t>-657.75784491928 145.289418261093 -359.284050569753</t>
  </si>
  <si>
    <t>-662.567083980647 145.222690461401 -480.39322594412</t>
  </si>
  <si>
    <t>-655.702367659091 143.692971506806 -589.688132437437</t>
  </si>
  <si>
    <t>-637.760646595703 141.000420459282 -697.696051603583</t>
  </si>
  <si>
    <t>-601.391914120925 136.335331006314 -845.532194520615</t>
  </si>
  <si>
    <t>-545.471527943798 137.258808058264 -930.708728786207</t>
  </si>
  <si>
    <t>-620.266526228328 170.026601472634 -781.801853957455</t>
  </si>
  <si>
    <t>-639.618691223602 314.785503477299 -764.500489538129</t>
  </si>
  <si>
    <t>-651.650354250623 378.708110572355 -454.733867532148</t>
  </si>
  <si>
    <t>-436.09726517756 289.821898056612 -339.502869926818</t>
  </si>
  <si>
    <t>-614.701376356585 106.772384929026 -778.436760901483</t>
  </si>
  <si>
    <t>-389.06582608082 44.571344252603 -431.304000609312</t>
  </si>
  <si>
    <t>-624.648766581623 235.855090397998 -238.53597408593</t>
  </si>
  <si>
    <t>-599.70264162923 303.654403630117 211.395795469486</t>
  </si>
  <si>
    <t>-612.006257318058 359.08818153438 678.417938082307</t>
  </si>
  <si>
    <t>-451.688779547369 370.997495191235 749.832045609227</t>
  </si>
  <si>
    <t>-627.087005746666 45.1485418438143 -246.070138538308</t>
  </si>
  <si>
    <t>-577.298406232036 8.38333331912077 205.401928088945</t>
  </si>
  <si>
    <t>-638.023152668301 -52.3983038941616 665.710401795859</t>
  </si>
  <si>
    <t>-481.813462898378 -95.0372841082491 734.441509879101</t>
  </si>
  <si>
    <t>9763-20170724T164121.888793400.bin</t>
  </si>
  <si>
    <t>-627.068878858115 125.547425343982 -242.04587617306</t>
  </si>
  <si>
    <t>-656.836922012462 131.756668703918 -359.276901148358</t>
  </si>
  <si>
    <t>-660.851507850505 129.43106755644 -480.392665956386</t>
  </si>
  <si>
    <t>-653.722106025588 124.273836509988 -589.559637543253</t>
  </si>
  <si>
    <t>-635.943298776418 116.335803954885 -697.336065394347</t>
  </si>
  <si>
    <t>-600.215347727918 102.673057856647 -844.770352216212</t>
  </si>
  <si>
    <t>-544.762698133226 99.1058542398926 -930.182571414971</t>
  </si>
  <si>
    <t>-618.077539858675 140.260949179277 -782.956068684262</t>
  </si>
  <si>
    <t>-634.408019745498 286.050634531104 -773.352254481325</t>
  </si>
  <si>
    <t>-647.597158506823 359.323141239505 -465.710621355462</t>
  </si>
  <si>
    <t>-434.731555361705 271.577037339681 -344.752284898139</t>
  </si>
  <si>
    <t>-613.970166570586 77.1758765711418 -776.114541346678</t>
  </si>
  <si>
    <t>-376.189002632586 7.77267563471653 -446.913759591791</t>
  </si>
  <si>
    <t>-625.803723658815 221.354855809308 -236.592438303676</t>
  </si>
  <si>
    <t>-593.765296375821 296.121133355043 211.783800891218</t>
  </si>
  <si>
    <t>-611.327470672526 357.846954748473 678.085689415954</t>
  </si>
  <si>
    <t>-451.570950668953 370.682394706717 750.588210795268</t>
  </si>
  <si>
    <t>-627.699215179109 29.6855806416597 -247.300913726124</t>
  </si>
  <si>
    <t>-587.625206208872 -0.157250931913936 205.646264694225</t>
  </si>
  <si>
    <t>-638.638295788151 -52.6380298531948 668.008874951873</t>
  </si>
  <si>
    <t>-481.353432469868 -91.586279019247 736.478068371343</t>
  </si>
  <si>
    <t>9763-20170724T164121.926895500.bin</t>
  </si>
  <si>
    <t>-627.502077715958 117.745267034239 -241.814002285748</t>
  </si>
  <si>
    <t>-656.033287490444 124.767651842957 -359.306518063462</t>
  </si>
  <si>
    <t>-659.703099515315 121.409604130221 -480.40900364356</t>
  </si>
  <si>
    <t>-652.615346171425 114.548568144971 -589.484909096557</t>
  </si>
  <si>
    <t>-635.219369446479 104.128370950691 -697.112223372915</t>
  </si>
  <si>
    <t>-600.363596684782 86.2009929712267 -844.298052211411</t>
  </si>
  <si>
    <t>-545.30364942407 80.4256182248869 -929.843631095151</t>
  </si>
  <si>
    <t>-617.578402344003 125.589982859266 -783.42884128936</t>
  </si>
  <si>
    <t>-632.361967305563 271.740971986396 -777.423700908551</t>
  </si>
  <si>
    <t>-645.547066168047 350.319495533331 -471.094087598248</t>
  </si>
  <si>
    <t>-434.617253917565 261.972639184475 -347.217130693182</t>
  </si>
  <si>
    <t>-613.993968890038 62.6766109748465 -774.917067121946</t>
  </si>
  <si>
    <t>-626.296081613423 213.83072409379 -235.465725710729</t>
  </si>
  <si>
    <t>-590.410880334003 292.017849729354 212.034763858576</t>
  </si>
  <si>
    <t>-610.843137252234 356.964710380049 677.988717139849</t>
  </si>
  <si>
    <t>-451.52288076505 370.180516998371 751.377529490262</t>
  </si>
  <si>
    <t>-628.2082852439 21.5670074170654 -247.774157191438</t>
  </si>
  <si>
    <t>-594.607917830468 -5.02065727386945 205.901587183513</t>
  </si>
  <si>
    <t>-639.061421429802 -52.9725800459438 669.367160277402</t>
  </si>
  <si>
    <t>-481.296272051771 -89.9991656034491 737.797408584601</t>
  </si>
  <si>
    <t>9763-20170724T164121.990090400.bin</t>
  </si>
  <si>
    <t>-629.010510649648 103.438527470388 -240.794286886586</t>
  </si>
  <si>
    <t>-655.466639397118 111.040036684859 -358.735349435426</t>
  </si>
  <si>
    <t>-658.825688257852 105.449367601354 -479.764378434938</t>
  </si>
  <si>
    <t>-652.151024430274 95.4288523278948 -588.621651251692</t>
  </si>
  <si>
    <t>-635.837753463326 80.7140007335385 -695.916421596282</t>
  </si>
  <si>
    <t>-603.155396446783 55.6444592698713 -842.556882436439</t>
  </si>
  <si>
    <t>-548.999028066275 46.2779770066429 -928.36088314023</t>
  </si>
  <si>
    <t>-619.269638108072 97.9705151369207 -783.381173846724</t>
  </si>
  <si>
    <t>-633.214787040776 244.308038392534 -783.65505126746</t>
  </si>
  <si>
    <t>-644.331150819458 332.736473434502 -479.939709248233</t>
  </si>
  <si>
    <t>-435.565138107516 249.062078691228 -349.335671606129</t>
  </si>
  <si>
    <t>-615.963078112407 35.5034254830954 -771.964994685057</t>
  </si>
  <si>
    <t>-628.329966925571 200.363833691031 -233.150282913131</t>
  </si>
  <si>
    <t>-583.229832281605 286.143630169099 212.119922587927</t>
  </si>
  <si>
    <t>-609.94018630497 355.535061098679 677.811391299929</t>
  </si>
  <si>
    <t>-451.567617122308 370.843757010303 752.826572640199</t>
  </si>
  <si>
    <t>-629.881919414207 6.07015916182067 -247.307796172146</t>
  </si>
  <si>
    <t>-609.644981484703 -14.5794846698539 207.468783158096</t>
  </si>
  <si>
    <t>-639.943072944257 -53.5330925028004 672.721584125591</t>
  </si>
  <si>
    <t>-480.507850793846 -82.3986163549538 741.210378725192</t>
  </si>
  <si>
    <t>9763-20170724T164122.027178000.bin</t>
  </si>
  <si>
    <t>-629.919277926835 96.5956795533446 -239.834172490854</t>
  </si>
  <si>
    <t>-655.283324418766 104.010906032704 -358.026696534221</t>
  </si>
  <si>
    <t>-658.300686498826 97.2916436682824 -479.007368914365</t>
  </si>
  <si>
    <t>-651.611956563464 85.884072006731 -587.727051600844</t>
  </si>
  <si>
    <t>-635.568959655653 69.4256180373996 -694.809266676639</t>
  </si>
  <si>
    <t>-603.546545235566 41.5717968855109 -841.092219969725</t>
  </si>
  <si>
    <t>-549.686086975937 30.915706717681 -926.932105883678</t>
  </si>
  <si>
    <t>-619.479422581018 85.007673845988 -782.676675413294</t>
  </si>
  <si>
    <t>-633.942627413441 231.28673585956 -785.41997589777</t>
  </si>
  <si>
    <t>-643.309665078013 324.858907984044 -483.19048190113</t>
  </si>
  <si>
    <t>-434.965700102483 244.104154408487 -350.098304749714</t>
  </si>
  <si>
    <t>-615.951506816149 22.7848207002056 -770.056535892803</t>
  </si>
  <si>
    <t>-629.368548581831 194.333162324493 -232.276996571127</t>
  </si>
  <si>
    <t>-579.718318337128 283.885853673048 211.764480082281</t>
  </si>
  <si>
    <t>-609.291972365925 354.751742440611 677.373830340358</t>
  </si>
  <si>
    <t>-451.44484914984 371.290785024568 753.230686075042</t>
  </si>
  <si>
    <t>-616.76992555412 -20.1005469456093 208.642001230983</t>
  </si>
  <si>
    <t>-640.145039291929 -54.9240781814186 674.539211682507</t>
  </si>
  <si>
    <t>-480.734621507682 -80.8396969928845 744.25430104518</t>
  </si>
  <si>
    <t>9763-20170724T164122.089927900.bin</t>
  </si>
  <si>
    <t>-631.880230966692 85.3836451561033 -235.634682249792</t>
  </si>
  <si>
    <t>-656.732818237453 91.5665344149988 -354.00669611417</t>
  </si>
  <si>
    <t>-659.370026938205 82.5612982229543 -474.84759012892</t>
  </si>
  <si>
    <t>-652.384407646458 68.6918675772139 -583.262066653171</t>
  </si>
  <si>
    <t>-636.090737018969 49.3975264282854 -689.831740339736</t>
  </si>
  <si>
    <t>-603.769093597502 17.2353614178854 -835.16201715962</t>
  </si>
  <si>
    <t>-549.831176611012 4.66163167765851 -920.693273651968</t>
  </si>
  <si>
    <t>-620.119658756328 62.3451231288635 -778.14715663213</t>
  </si>
  <si>
    <t>-636.048760189149 208.375571769284 -784.937353165262</t>
  </si>
  <si>
    <t>-644.579285386866 309.819065740303 -485.232971070135</t>
  </si>
  <si>
    <t>-437.118011307558 236.310833820429 -346.674706917517</t>
  </si>
  <si>
    <t>-616.021137576441 0.587085870207403 -763.568460305796</t>
  </si>
  <si>
    <t>-632.316997516533 185.114083453869 -229.684284623811</t>
  </si>
  <si>
    <t>-573.225848225959 280.325431076404 212.017836006202</t>
  </si>
  <si>
    <t>-606.08773175586 352.568257327718 676.678040994548</t>
  </si>
  <si>
    <t>-449.260090153081 371.76108949872 754.010048604916</t>
  </si>
  <si>
    <t>-629.640255418686 -30.8160630842579 214.644183658759</t>
  </si>
  <si>
    <t>-640.943153587673 -57.361067403526 682.386645823154</t>
  </si>
  <si>
    <t>-481.123089355539 -75.7219620246775 753.548056036562</t>
  </si>
  <si>
    <t>9763-20170724T164122.126023900.bin</t>
  </si>
  <si>
    <t>-632.670423827064 81.237194507785 -234.985599570399</t>
  </si>
  <si>
    <t>-657.423978153223 86.5202161809216 -353.421944964134</t>
  </si>
  <si>
    <t>-659.625958442807 76.4209013040375 -474.184993694646</t>
  </si>
  <si>
    <t>-652.120582551001 61.4961209126155 -582.424480199476</t>
  </si>
  <si>
    <t>-635.191162736764 41.0883733513345 -688.68715600662</t>
  </si>
  <si>
    <t>-601.876751553137 7.32721902878197 -833.429550520947</t>
  </si>
  <si>
    <t>-618.74460844388 53.0470421164493 -777.05491346528</t>
  </si>
  <si>
    <t>-635.224011975924 198.910112941574 -785.336230482502</t>
  </si>
  <si>
    <t>-645.835703187441 303.890888770711 -486.919218724386</t>
  </si>
  <si>
    <t>-438.8089810498 233.545646709785 -346.087615138191</t>
  </si>
  <si>
    <t>-633.057836867826 181.576828936506 -229.634296975063</t>
  </si>
  <si>
    <t>-569.302955383183 278.873486990312 210.963436888491</t>
  </si>
  <si>
    <t>-603.886151312465 351.587558859003 675.539565369206</t>
  </si>
  <si>
    <t>-447.62239908169 371.360354050269 753.860613824823</t>
  </si>
  <si>
    <t>-634.641070958144 -34.7309147114903 215.786196190943</t>
  </si>
  <si>
    <t>-641.448143383062 -57.4358661689587 683.541966928807</t>
  </si>
  <si>
    <t>-481.119834770732 -71.5000692744284 754.538638514159</t>
  </si>
  <si>
    <t>9763-20170724T164122.190955200.bin</t>
  </si>
  <si>
    <t>-635.329348051359 75.450981630296 -233.755842773353</t>
  </si>
  <si>
    <t>-659.749360403192 78.8531600722868 -352.330263942481</t>
  </si>
  <si>
    <t>-660.964016673765 66.6814469260892 -472.916063458993</t>
  </si>
  <si>
    <t>-652.328726108428 49.8250522117358 -580.787076053698</t>
  </si>
  <si>
    <t>-634.055917546595 27.4406385103693 -686.427513762322</t>
  </si>
  <si>
    <t>-616.411647306981 37.6869049565782 -774.779313134521</t>
  </si>
  <si>
    <t>-633.248804506073 183.43285039022 -785.537399161617</t>
  </si>
  <si>
    <t>-651.067440530022 293.216581022218 -489.199365668704</t>
  </si>
  <si>
    <t>-446.002339138075 229.265228405251 -342.568741082092</t>
  </si>
  <si>
    <t>-635.466645566979 175.24223784438 -230.249715458704</t>
  </si>
  <si>
    <t>-561.996125802068 274.533281152312 208.385721618857</t>
  </si>
  <si>
    <t>-597.919599968101 342.148274340245 672.803540644587</t>
  </si>
  <si>
    <t>-441.919364891712 361.226217602263 751.819153850218</t>
  </si>
  <si>
    <t>-640.559579775827 -39.7707309022088 218.758020879295</t>
  </si>
  <si>
    <t>-641.93565422805 -57.4153976249621 687.364177913313</t>
  </si>
  <si>
    <t>-481.266189392423 -69.6660891297914 757.924528341376</t>
  </si>
  <si>
    <t>9763-20170724T164122.227055400.bin</t>
  </si>
  <si>
    <t>-635.579713832785 71.6187397569895 -234.079158961301</t>
  </si>
  <si>
    <t>-659.6546041295 74.0705189056899 -352.747452913113</t>
  </si>
  <si>
    <t>-660.313811300932 60.8105231299583 -473.22285073868</t>
  </si>
  <si>
    <t>-651.102154608966 42.9299364255223 -580.881047875909</t>
  </si>
  <si>
    <t>-632.188144551493 19.4915320780269 -686.179352163384</t>
  </si>
  <si>
    <t>-613.907577949998 28.8280751049222 -774.502708741876</t>
  </si>
  <si>
    <t>-630.657768094766 174.470197915148 -786.48262193886</t>
  </si>
  <si>
    <t>-652.018372106644 285.590886337503 -490.878062036686</t>
  </si>
  <si>
    <t>-448.690924150695 223.447746753831 -341.084208434256</t>
  </si>
  <si>
    <t>-634.655734138387 169.675251920532 -231.682425086434</t>
  </si>
  <si>
    <t>-555.620021002427 268.677507974199 206.049924137293</t>
  </si>
  <si>
    <t>-592.20921331089 329.956274995069 670.614644613014</t>
  </si>
  <si>
    <t>-435.194878673551 347.599259994243 747.936975933912</t>
  </si>
  <si>
    <t>-641.680970901272 -42.3105934046359 219.317510238464</t>
  </si>
  <si>
    <t>-642.06832055915 -57.5990397029107 688.267762067593</t>
  </si>
  <si>
    <t>-481.314457239533 -68.7157603388571 758.823663713473</t>
  </si>
  <si>
    <t>9763-20170724T164122.293242300.bin</t>
  </si>
  <si>
    <t>-637.339000112598 68.3269303047473 -234.842809376642</t>
  </si>
  <si>
    <t>-661.156047060352 69.9577410983666 -353.577289857906</t>
  </si>
  <si>
    <t>-661.235259875044 55.5275599546776 -473.919884716479</t>
  </si>
  <si>
    <t>-651.36842622047 36.4810549992771 -581.319719906151</t>
  </si>
  <si>
    <t>-631.674212390133 11.7948637520781 -686.189023877312</t>
  </si>
  <si>
    <t>-612.309274336675 20.061519118249 -774.387798590458</t>
  </si>
  <si>
    <t>-627.838674656406 165.647599007364 -787.841330804462</t>
  </si>
  <si>
    <t>-654.841810096771 277.19715577508 -492.860381938067</t>
  </si>
  <si>
    <t>-454.905636562104 215.387279173289 -338.435339425048</t>
  </si>
  <si>
    <t>-634.690584334381 165.526236030942 -233.857194234223</t>
  </si>
  <si>
    <t>-547.7276617926 260.147239936313 203.340648278995</t>
  </si>
  <si>
    <t>-595.298894033905 306.576504161721 668.115165919379</t>
  </si>
  <si>
    <t>-436.259508190409 320.657287185295 741.950903676988</t>
  </si>
  <si>
    <t>-643.878712307686 -44.8673257334896 219.767243662049</t>
  </si>
  <si>
    <t>-642.217701715411 -58.3668030602118 689.114034357652</t>
  </si>
  <si>
    <t>-481.51264872637 -68.5591248979217 759.920183480709</t>
  </si>
  <si>
    <t>9763-20170724T164122.327333000.bin</t>
  </si>
  <si>
    <t>-638.667289201193 68.734458124044 -234.952167530112</t>
  </si>
  <si>
    <t>-662.515321122973 70.5091504431587 -353.67850911479</t>
  </si>
  <si>
    <t>-662.604134245164 56.0053889912963 -474.012252293438</t>
  </si>
  <si>
    <t>-652.723724380774 36.8221172330754 -581.386375213435</t>
  </si>
  <si>
    <t>-632.987690361604 11.944188917778 -686.202487666819</t>
  </si>
  <si>
    <t>-613.325977494677 20.0460590944514 -774.350917599734</t>
  </si>
  <si>
    <t>-627.794234845429 165.732803773669 -787.897623757413</t>
  </si>
  <si>
    <t>-656.088198916397 276.877517014662 -492.885023617199</t>
  </si>
  <si>
    <t>-457.476757140484 214.197929730171 -337.10674780137</t>
  </si>
  <si>
    <t>-635.047741939258 166.027225712135 -233.97338317012</t>
  </si>
  <si>
    <t>-545.511658294299 255.460739313694 203.796643728053</t>
  </si>
  <si>
    <t>-601.778892785153 295.522278527812 668.155341267363</t>
  </si>
  <si>
    <t>-441.931190105521 304.623275361946 741.021032644603</t>
  </si>
  <si>
    <t>-645.126580899463 -45.0830204155785 219.900723318988</t>
  </si>
  <si>
    <t>-642.32976836984 -58.8568888580792 689.357598909474</t>
  </si>
  <si>
    <t>-481.708740546805 -69.7833994344579 760.244735649701</t>
  </si>
  <si>
    <t>9763-20170724T164122.364443500.bin</t>
  </si>
  <si>
    <t>-640.012005130122 70.2845827168267 -234.843260867483</t>
  </si>
  <si>
    <t>-663.759598040072 72.4319208107474 -353.583492047778</t>
  </si>
  <si>
    <t>-663.89419216753 58.1202837864625 -473.94024123466</t>
  </si>
  <si>
    <t>-654.096475885899 39.0537597368171 -581.342915096235</t>
  </si>
  <si>
    <t>-634.473541941266 14.2491573407265 -686.197551926081</t>
  </si>
  <si>
    <t>-614.653931565644 22.4224758788065 -774.303882213198</t>
  </si>
  <si>
    <t>-627.64754503545 168.299398325429 -787.559275525702</t>
  </si>
  <si>
    <t>-656.189483498209 278.746424904072 -492.308627620849</t>
  </si>
  <si>
    <t>-458.533328655128 214.814402694057 -335.8260455585</t>
  </si>
  <si>
    <t>-635.018195686195 168.360937624975 -234.082702732293</t>
  </si>
  <si>
    <t>-544.519581535843 248.111137829094 205.35735554418</t>
  </si>
  <si>
    <t>-610.378142021436 280.987352071681 669.162554614766</t>
  </si>
  <si>
    <t>-450.679679517281 284.854869162651 742.816841880237</t>
  </si>
  <si>
    <t>-646.66335646565 -44.6177353848387 219.981917040552</t>
  </si>
  <si>
    <t>-642.39552110211 -58.9833952280121 689.516215218427</t>
  </si>
  <si>
    <t>-481.746432943399 -69.6781053290782 760.375453178356</t>
  </si>
  <si>
    <t>9763-20170724T164122.421593900.bin</t>
  </si>
  <si>
    <t>-641.908882332543 74.8673349024299 -234.485106727738</t>
  </si>
  <si>
    <t>-665.813270188064 78.1742938150415 -353.167222988614</t>
  </si>
  <si>
    <t>-666.545590762423 64.676419051021 -473.615687363637</t>
  </si>
  <si>
    <t>-657.426065712944 46.2199004571546 -581.184518541199</t>
  </si>
  <si>
    <t>-638.592664842912 21.9162738742536 -686.301026103032</t>
  </si>
  <si>
    <t>-618.788050056653 30.5241132375371 -774.369422823553</t>
  </si>
  <si>
    <t>-628.428760001818 176.799049527041 -786.211597782671</t>
  </si>
  <si>
    <t>-653.973988982429 284.703548221248 -489.748670936163</t>
  </si>
  <si>
    <t>-457.817083256093 215.820211881795 -333.480998435029</t>
  </si>
  <si>
    <t>-633.274123539077 171.811880910517 -233.086351506311</t>
  </si>
  <si>
    <t>-545.71224200116 233.42931526457 209.851369827127</t>
  </si>
  <si>
    <t>-628.948778709849 249.539068491382 671.689196494691</t>
  </si>
  <si>
    <t>-471.107481919848 245.639373155062 749.241906225821</t>
  </si>
  <si>
    <t>-650.135731540998 -42.6067730218022 220.049454429504</t>
  </si>
  <si>
    <t>-642.63663464449 -59.5099369888414 689.623074634661</t>
  </si>
  <si>
    <t>-481.992618950119 -70.94466558256 760.378112620017</t>
  </si>
  <si>
    <t>9763-20170724T164122.494794000.bin</t>
  </si>
  <si>
    <t>-643.134132029527 81.0393658071595 -233.324848108289</t>
  </si>
  <si>
    <t>-666.709035474497 86.3368389353051 -352.000725844971</t>
  </si>
  <si>
    <t>-668.129974884904 74.4289384604332 -472.610560341878</t>
  </si>
  <si>
    <t>-659.998878398595 57.2406700620225 -580.468315855303</t>
  </si>
  <si>
    <t>-642.483228443952 34.0394421705677 -686.060890155397</t>
  </si>
  <si>
    <t>-623.097380153239 43.5409493363625 -774.13048366244</t>
  </si>
  <si>
    <t>-628.889879858156 190.220385685599 -783.511486149319</t>
  </si>
  <si>
    <t>-648.184417747766 293.524537692269 -484.944534346088</t>
  </si>
  <si>
    <t>-453.543104822652 218.63024867583 -329.549302330487</t>
  </si>
  <si>
    <t>-630.941592283351 178.086779135061 -231.396808965764</t>
  </si>
  <si>
    <t>-557.314868029021 222.911885799832 216.070958006459</t>
  </si>
  <si>
    <t>-633.012846287506 243.047779139879 679.005856106734</t>
  </si>
  <si>
    <t>-476.701224533043 227.536050909317 758.186488485251</t>
  </si>
  <si>
    <t>-652.95063944059 -38.5904725495479 220.305920333035</t>
  </si>
  <si>
    <t>-642.791919357944 -59.5845752818414 689.657210244088</t>
  </si>
  <si>
    <t>-482.137897175373 -71.8775793986649 760.245329625035</t>
  </si>
  <si>
    <t>9763-20170724T164122.526877200.bin</t>
  </si>
  <si>
    <t>-643.771374424241 84.9719632236825 -233.793962888478</t>
  </si>
  <si>
    <t>-667.74595714279 90.6237811994965 -352.373500216794</t>
  </si>
  <si>
    <t>-669.747475821147 79.2374103058217 -473.025507254448</t>
  </si>
  <si>
    <t>-662.196449872412 62.5900888735714 -581.01010992463</t>
  </si>
  <si>
    <t>-645.30306917851 40.0024008435029 -686.836859701455</t>
  </si>
  <si>
    <t>-612.080097920964 2.82347316163596 -830.760147642779</t>
  </si>
  <si>
    <t>-626.002604326161 50.0911378969128 -774.85989140723</t>
  </si>
  <si>
    <t>-630.233384910631 196.913807809178 -782.77475092029</t>
  </si>
  <si>
    <t>-645.762774490741 297.552612056339 -483.080219245604</t>
  </si>
  <si>
    <t>-452.397442012594 219.101809389006 -327.847058110418</t>
  </si>
  <si>
    <t>-628.850506328677 180.933924101582 -231.809402142493</t>
  </si>
  <si>
    <t>-558.710836725976 226.866119062983 216.106166062215</t>
  </si>
  <si>
    <t>-631.897976946271 249.800660071215 680.514553484333</t>
  </si>
  <si>
    <t>-476.671193255791 230.105672477667 760.890306962932</t>
  </si>
  <si>
    <t>-653.517029778292 -35.6976079051944 220.29205000796</t>
  </si>
  <si>
    <t>-642.801523682934 -59.7377020158987 689.670226137962</t>
  </si>
  <si>
    <t>-482.304229974804 -74.036118702798 760.237091135347</t>
  </si>
  <si>
    <t>9763-20170724T164122.589051000.bin</t>
  </si>
  <si>
    <t>-645.580463192729 95.5918460692903 -233.700312083763</t>
  </si>
  <si>
    <t>-669.90208652824 101.458329864125 -352.198555093223</t>
  </si>
  <si>
    <t>-672.607079707052 91.3456905646104 -472.950421991895</t>
  </si>
  <si>
    <t>-665.829877381496 76.2675067529853 -581.216678362483</t>
  </si>
  <si>
    <t>-649.835124409827 55.6587569065887 -687.585228365033</t>
  </si>
  <si>
    <t>-617.974739493066 21.6418742219526 -832.594841500248</t>
  </si>
  <si>
    <t>-563.198930324681 5.16756944129526 -916.92264779072</t>
  </si>
  <si>
    <t>-630.357562366758 67.683518421049 -775.325712726582</t>
  </si>
  <si>
    <t>-630.259192580217 214.628822671215 -779.84975093123</t>
  </si>
  <si>
    <t>-641.567754229751 309.304293960851 -478.030442079997</t>
  </si>
  <si>
    <t>-450.40381062922 224.234170990502 -323.558819536116</t>
  </si>
  <si>
    <t>-633.786341065069 5.70302637252686 -761.539340096365</t>
  </si>
  <si>
    <t>-627.420004282632 192.531938645302 -232.178319629912</t>
  </si>
  <si>
    <t>-566.000947146664 231.233686261685 217.69668830972</t>
  </si>
  <si>
    <t>-630.71581720614 252.020874260673 682.693951837731</t>
  </si>
  <si>
    <t>-477.636311732389 220.638965332204 763.473581426945</t>
  </si>
  <si>
    <t>-654.060399550161 -28.5406010119009 220.698046245635</t>
  </si>
  <si>
    <t>-642.653912035721 -59.4081056067318 689.690980771568</t>
  </si>
  <si>
    <t>-482.399508051684 -76.5433484928582 760.178060246316</t>
  </si>
  <si>
    <t>9763-20170724T164122.622139200.bin</t>
  </si>
  <si>
    <t>-646.140360754183 101.345237869747 -234.463507214033</t>
  </si>
  <si>
    <t>-670.573631428216 107.353930348348 -352.931630594845</t>
  </si>
  <si>
    <t>-673.418798459196 97.9565017277032 -473.737967479698</t>
  </si>
  <si>
    <t>-666.786330007015 83.7467531974463 -582.130452135283</t>
  </si>
  <si>
    <t>-650.954774294489 64.2218067406883 -688.727709985318</t>
  </si>
  <si>
    <t>-619.339016861491 31.9262843433358 -834.18389193037</t>
  </si>
  <si>
    <t>-564.859474862076 15.9062451864437 -918.790764217758</t>
  </si>
  <si>
    <t>-631.128344258794 77.2774863262146 -776.242495608365</t>
  </si>
  <si>
    <t>-628.758918218151 224.305242137015 -778.828737139058</t>
  </si>
  <si>
    <t>-638.441890503476 315.706677581763 -475.945564859578</t>
  </si>
  <si>
    <t>-448.634469137817 226.846771010331 -321.935522934016</t>
  </si>
  <si>
    <t>-635.527663752529 15.1545878470537 -763.405590642954</t>
  </si>
  <si>
    <t>-625.150789588127 197.085269594424 -234.102213661261</t>
  </si>
  <si>
    <t>-571.834378853007 234.05736612594 216.949931373679</t>
  </si>
  <si>
    <t>-630.898041051467 252.714151481227 681.562619356887</t>
  </si>
  <si>
    <t>-477.877154131899 220.8500716095 762.264547710264</t>
  </si>
  <si>
    <t>-666.726148120467 5.24781089671275 -234.451240302622</t>
  </si>
  <si>
    <t>-654.386984090676 -24.6094597871407 220.096908149264</t>
  </si>
  <si>
    <t>-642.529997317197 -59.1689927510599 689.083836469313</t>
  </si>
  <si>
    <t>-482.359066802277 -77.1555350019017 759.548411240583</t>
  </si>
  <si>
    <t>9763-20170724T164122.691534200.bin</t>
  </si>
  <si>
    <t>-648.408946768212 112.757117999995 -236.983168754877</t>
  </si>
  <si>
    <t>-674.03341257147 119.247013674511 -355.17412139147</t>
  </si>
  <si>
    <t>-677.401636208817 111.330346015995 -476.072982711987</t>
  </si>
  <si>
    <t>-670.985094661602 98.8446981488088 -584.690614054957</t>
  </si>
  <si>
    <t>-655.123017732716 81.4207942975896 -691.646904185906</t>
  </si>
  <si>
    <t>-623.220132009854 52.4261646322046 -837.734230625739</t>
  </si>
  <si>
    <t>-568.870600062147 37.356008686391 -922.598857312427</t>
  </si>
  <si>
    <t>-634.207381209618 96.4131289607412 -778.595924009989</t>
  </si>
  <si>
    <t>-627.558560369554 243.332943154633 -777.051989458364</t>
  </si>
  <si>
    <t>-634.206865912845 327.276414940665 -471.936537517466</t>
  </si>
  <si>
    <t>-448.151949358774 230.227897879312 -318.290071615386</t>
  </si>
  <si>
    <t>-640.4649988216 34.0977503525266 -767.594435268258</t>
  </si>
  <si>
    <t>-624.808578025241 207.520211316267 -237.442072929176</t>
  </si>
  <si>
    <t>-584.415271691606 239.097714059481 215.359061775148</t>
  </si>
  <si>
    <t>-631.266810387816 254.695415690339 681.359902580032</t>
  </si>
  <si>
    <t>-478.544863387667 220.005077382636 761.460495602544</t>
  </si>
  <si>
    <t>-672.218560287703 17.9081865006799 -235.852024762837</t>
  </si>
  <si>
    <t>-655.419036802148 -17.5355291175692 218.151571589349</t>
  </si>
  <si>
    <t>-642.093058648084 -58.6386638867592 687.050713433149</t>
  </si>
  <si>
    <t>-482.346171591059 -79.6195119957872 757.649948693204</t>
  </si>
  <si>
    <t>9763-20170724T164122.724618100.bin</t>
  </si>
  <si>
    <t>-650.123696326145 118.57686775569 -238.165809784268</t>
  </si>
  <si>
    <t>-675.753343950593 125.484597762815 -356.331837801557</t>
  </si>
  <si>
    <t>-679.139849383962 118.378936004965 -477.280648406029</t>
  </si>
  <si>
    <t>-672.752967838095 106.770958853733 -585.997231718612</t>
  </si>
  <si>
    <t>-656.936053418382 90.361197697905 -693.120630625245</t>
  </si>
  <si>
    <t>-625.112879967747 62.9084622038068 -839.522851975249</t>
  </si>
  <si>
    <t>-570.829147877505 48.250366106464 -924.501658531202</t>
  </si>
  <si>
    <t>-635.611565263236 106.237611295464 -779.812895180127</t>
  </si>
  <si>
    <t>-626.835098087512 252.999172904287 -776.37794624438</t>
  </si>
  <si>
    <t>-632.504009395268 333.081332982256 -470.206555001833</t>
  </si>
  <si>
    <t>-448.78694558763 230.851797340689 -317.107853467745</t>
  </si>
  <si>
    <t>-642.775629959757 43.8732327805154 -769.67583516612</t>
  </si>
  <si>
    <t>-624.46198841004 212.765610379003 -238.821946521297</t>
  </si>
  <si>
    <t>-590.489561632335 242.542446460068 214.627980002939</t>
  </si>
  <si>
    <t>-630.998309773832 255.507020780185 681.106382824614</t>
  </si>
  <si>
    <t>-478.45937193151 219.987661444782 761.192399458822</t>
  </si>
  <si>
    <t>-675.58817159527 24.3906825877386 -236.850678871086</t>
  </si>
  <si>
    <t>-654.91749561539 -14.1836633102231 216.73767296945</t>
  </si>
  <si>
    <t>-641.877307034521 -58.4158666635981 685.579862340553</t>
  </si>
  <si>
    <t>-482.090918596067 -78.77278926547 756.272250425051</t>
  </si>
  <si>
    <t>9763-20170724T164122.791816000.bin</t>
  </si>
  <si>
    <t>-651.988209452987 130.672198525446 -240.430065806289</t>
  </si>
  <si>
    <t>-678.683933850317 139.101849265475 -358.260914073095</t>
  </si>
  <si>
    <t>-682.705162893173 133.883299930104 -479.28627451836</t>
  </si>
  <si>
    <t>-676.718909430745 124.095368096074 -588.204588198939</t>
  </si>
  <si>
    <t>-661.132847799846 109.606193902699 -695.638292836829</t>
  </si>
  <si>
    <t>-629.459812796669 84.9133346260445 -842.563754338133</t>
  </si>
  <si>
    <t>-575.28442136864 70.8852770548301 -927.717878586138</t>
  </si>
  <si>
    <t>-638.891987203345 127.012550246006 -781.805149111838</t>
  </si>
  <si>
    <t>-625.511716447109 273.287096606818 -774.898951627463</t>
  </si>
  <si>
    <t>-630.008146611618 346.005230757322 -466.87614435874</t>
  </si>
  <si>
    <t>-451.251089775938 232.554976004936 -315.823189747895</t>
  </si>
  <si>
    <t>-648.056267075946 64.665797773706 -773.302443174166</t>
  </si>
  <si>
    <t>-623.125131700394 223.69434361094 -241.227317717882</t>
  </si>
  <si>
    <t>-601.006301082374 249.840954033362 213.178655660371</t>
  </si>
  <si>
    <t>-630.247017669997 257.789915044722 680.015581047215</t>
  </si>
  <si>
    <t>-477.658840716743 222.285581423043 760.014351975332</t>
  </si>
  <si>
    <t>-680.684447600264 37.8101372856471 -239.191519935615</t>
  </si>
  <si>
    <t>-649.918415047815 -7.56346889688977 213.193696098181</t>
  </si>
  <si>
    <t>-641.678323459759 -58.6992359357242 681.704729393467</t>
  </si>
  <si>
    <t>-482.5134942171 -82.4446723586614 752.741547917687</t>
  </si>
  <si>
    <t>9763-20170724T164122.823901700.bin</t>
  </si>
  <si>
    <t>-652.586400340362 137.00641015399 -241.856838818677</t>
  </si>
  <si>
    <t>-680.443395906671 146.360141178138 -359.348576145338</t>
  </si>
  <si>
    <t>-685.092969548132 142.114306972737 -480.389533266174</t>
  </si>
  <si>
    <t>-679.448865497973 133.214598704735 -589.402246438164</t>
  </si>
  <si>
    <t>-663.979634531644 119.622134546164 -696.969953675376</t>
  </si>
  <si>
    <t>-632.239121233257 96.1843277882052 -844.086269693609</t>
  </si>
  <si>
    <t>-578.013198485023 82.3971408930216 -929.247551091123</t>
  </si>
  <si>
    <t>-641.195544210682 137.700194220467 -782.856106845271</t>
  </si>
  <si>
    <t>-625.680770840424 283.695515439994 -774.274763438501</t>
  </si>
  <si>
    <t>-629.674992701537 352.846727080198 -465.424782758678</t>
  </si>
  <si>
    <t>-453.457750194562 233.969130256155 -315.565933892551</t>
  </si>
  <si>
    <t>-651.371116408727 75.4095179041265 -775.127661156383</t>
  </si>
  <si>
    <t>-622.074066012596 229.464751865116 -242.342775529382</t>
  </si>
  <si>
    <t>-607.388079028137 253.078495641314 212.502657508067</t>
  </si>
  <si>
    <t>-629.987726646826 258.234505562182 679.778307059154</t>
  </si>
  <si>
    <t>-477.355106349789 222.817940627233 759.731161172688</t>
  </si>
  <si>
    <t>-683.288653038021 44.7296051725924 -240.317145457082</t>
  </si>
  <si>
    <t>-644.889409551638 -3.73327422558839 211.163225274447</t>
  </si>
  <si>
    <t>-641.445942481945 -58.7814567558169 679.474362073555</t>
  </si>
  <si>
    <t>-482.740942450413 -84.5621945888174 750.829605004172</t>
  </si>
  <si>
    <t>9763-20170724T164122.893111200.bin</t>
  </si>
  <si>
    <t>-653.746313868306 150.005889098497 -243.126742983805</t>
  </si>
  <si>
    <t>-682.69461731669 160.745255279201 -360.23553430776</t>
  </si>
  <si>
    <t>-687.907310824462 158.094142426603 -481.298922001225</t>
  </si>
  <si>
    <t>-682.55059620339 150.69956311219 -590.438647323944</t>
  </si>
  <si>
    <t>-667.14800140575 138.670951824725 -698.201894001543</t>
  </si>
  <si>
    <t>-635.275488276879 117.462737409277 -845.62784524569</t>
  </si>
  <si>
    <t>-580.946789440061 104.146705760431 -930.798599500113</t>
  </si>
  <si>
    <t>-643.37112994435 157.906649033165 -783.565994502056</t>
  </si>
  <si>
    <t>-623.394347503729 303.121425928333 -772.015053976084</t>
  </si>
  <si>
    <t>-626.394998384159 366.584693521918 -461.935158668222</t>
  </si>
  <si>
    <t>-454.898150451063 237.415569113962 -315.148767255602</t>
  </si>
  <si>
    <t>-655.38504681265 95.7867566539575 -777.226916795332</t>
  </si>
  <si>
    <t>-619.794515116511 241.01903422376 -243.537952984941</t>
  </si>
  <si>
    <t>-620.363130408632 259.988548886928 211.761393125687</t>
  </si>
  <si>
    <t>-629.89088079584 259.590854362094 679.837173953249</t>
  </si>
  <si>
    <t>-477.016980082234 224.657452329043 759.541201110336</t>
  </si>
  <si>
    <t>-687.459538317611 59.498938311767 -241.632442090741</t>
  </si>
  <si>
    <t>-632.840113621249 2.51895161133462 207.174476812366</t>
  </si>
  <si>
    <t>-640.546057016622 -59.2564308165217 674.867664304111</t>
  </si>
  <si>
    <t>-483.523924587421 -91.0988407478718 747.487430971705</t>
  </si>
  <si>
    <t>9763-20170724T164122.925212400.bin</t>
  </si>
  <si>
    <t>-653.452317345123 156.230321076468 -243.385857726085</t>
  </si>
  <si>
    <t>-683.273991696367 167.550843790724 -360.2205163738</t>
  </si>
  <si>
    <t>-688.921150691991 165.608293615651 -481.277834206772</t>
  </si>
  <si>
    <t>-683.775908630291 158.891123245316 -590.471547686209</t>
  </si>
  <si>
    <t>-668.406311731305 147.571720515041 -698.316321600918</t>
  </si>
  <si>
    <t>-636.400360958275 127.377493333638 -845.855505427401</t>
  </si>
  <si>
    <t>-582.040713033882 114.31795274163 -931.046187291553</t>
  </si>
  <si>
    <t>-644.187685121147 167.32928486128 -783.436500608337</t>
  </si>
  <si>
    <t>-622.308500014559 312.163302856473 -770.606810789926</t>
  </si>
  <si>
    <t>-624.058497935504 373.249912312577 -460.040244567473</t>
  </si>
  <si>
    <t>-454.790128483556 239.779700361047 -314.52054282783</t>
  </si>
  <si>
    <t>-656.93637167281 105.296310438302 -777.7114113742</t>
  </si>
  <si>
    <t>-618.258902575208 246.851549918479 -243.869983297944</t>
  </si>
  <si>
    <t>-625.405885576878 263.627560694646 211.459738373195</t>
  </si>
  <si>
    <t>-629.709558575536 260.414059040242 679.560782121023</t>
  </si>
  <si>
    <t>-476.936633993698 225.469076962389 759.453243696333</t>
  </si>
  <si>
    <t>-688.082418039764 65.9400215420301 -242.019244824509</t>
  </si>
  <si>
    <t>-626.746540286473 5.1507114678035 205.418180083538</t>
  </si>
  <si>
    <t>-639.961396220316 -59.6115111900453 672.598002921243</t>
  </si>
  <si>
    <t>-483.99066259998 -94.4515720178591 746.101956980938</t>
  </si>
  <si>
    <t>9763-20170724T164122.990540700.bin</t>
  </si>
  <si>
    <t>-652.709949729714 166.916218738292 -244.536362838696</t>
  </si>
  <si>
    <t>-684.442393743855 178.754295404602 -360.815091072652</t>
  </si>
  <si>
    <t>-691.051541788406 177.778608214298 -481.835395846328</t>
  </si>
  <si>
    <t>-686.395640611027 172.071236800333 -591.108504484132</t>
  </si>
  <si>
    <t>-671.148120069576 161.873219266848 -699.08231929965</t>
  </si>
  <si>
    <t>-638.947503127262 143.33245957463 -846.796104982392</t>
  </si>
  <si>
    <t>-584.488545736465 130.750519008 -931.995318453084</t>
  </si>
  <si>
    <t>-646.258359597732 182.473361058958 -783.808376925835</t>
  </si>
  <si>
    <t>-621.598872138642 326.638018841722 -768.668411922544</t>
  </si>
  <si>
    <t>-620.081397815686 383.320663721466 -457.26668060267</t>
  </si>
  <si>
    <t>-454.24193450982 243.604646492235 -313.67431790288</t>
  </si>
  <si>
    <t>-660.132192975985 120.599057090066 -779.06647009087</t>
  </si>
  <si>
    <t>-461.810074835928 9.18233861191737 -447.064160065189</t>
  </si>
  <si>
    <t>-617.4152666565 257.519157571414 -245.005619846229</t>
  </si>
  <si>
    <t>-630.141975378677 268.962993941357 210.36755274897</t>
  </si>
  <si>
    <t>-629.029188893977 260.249876593458 678.762798754614</t>
  </si>
  <si>
    <t>-476.42355737438 226.821246360046 759.618009289445</t>
  </si>
  <si>
    <t>-687.91408730643 76.0722911629298 -243.237586745853</t>
  </si>
  <si>
    <t>-615.911717015605 10.57718706218 201.940736997442</t>
  </si>
  <si>
    <t>-637.20631146899 -60.7917395045483 667.817911199813</t>
  </si>
  <si>
    <t>-482.8236812151 -99.1778032313375 742.891480305311</t>
  </si>
  <si>
    <t>9763-20170724T164123.022625700.bin</t>
  </si>
  <si>
    <t>-650.186384304702 169.74659611303 -246.280893660594</t>
  </si>
  <si>
    <t>-682.350571222093 181.703335000905 -362.428794628743</t>
  </si>
  <si>
    <t>-689.175743352562 181.097519394572 -483.439584062477</t>
  </si>
  <si>
    <t>-684.637044621852 175.799495961596 -592.738261610169</t>
  </si>
  <si>
    <t>-669.435434644018 166.069519994849 -700.761729181796</t>
  </si>
  <si>
    <t>-637.231579241403 148.224836237622 -848.560553497897</t>
  </si>
  <si>
    <t>-582.727468460202 135.884487717453 -933.766265085509</t>
  </si>
  <si>
    <t>-644.35685364685 187.029218933765 -785.343715835858</t>
  </si>
  <si>
    <t>-618.716396847269 330.941421625749 -769.408242154486</t>
  </si>
  <si>
    <t>-615.838928534303 385.816599181584 -457.692603660745</t>
  </si>
  <si>
    <t>-451.315305195962 243.673110055705 -314.971718491672</t>
  </si>
  <si>
    <t>-658.604694549686 125.211818880738 -780.984530182206</t>
  </si>
  <si>
    <t>-462.209115509448 13.2991822186633 -447.799499783482</t>
  </si>
  <si>
    <t>-616.306258486298 261.115893530319 -246.339325449984</t>
  </si>
  <si>
    <t>-630.138959033556 269.986165942918 209.05901748059</t>
  </si>
  <si>
    <t>-628.210909109094 259.324513204296 677.577358556425</t>
  </si>
  <si>
    <t>-476.377270176781 226.79340978552 760.232018770574</t>
  </si>
  <si>
    <t>-683.300234613837 78.056431724175 -245.613148846768</t>
  </si>
  <si>
    <t>-607.583553875104 10.9654862545283 198.710469086488</t>
  </si>
  <si>
    <t>-627.616535611389 -61.928231215581 662.986983159354</t>
  </si>
  <si>
    <t>-473.593913345262 -101.365772314103 738.254646604854</t>
  </si>
  <si>
    <t>9763-20170724T164123.058240000.bin</t>
  </si>
  <si>
    <t>-647.831947583768 171.575453944317 -248.08328020168</t>
  </si>
  <si>
    <t>-679.804447037141 183.797359164751 -364.256448434792</t>
  </si>
  <si>
    <t>-686.524617987171 183.58436956945 -485.27438756159</t>
  </si>
  <si>
    <t>-681.93703776646 178.672320906594 -594.588960710514</t>
  </si>
  <si>
    <t>-666.736580824613 169.345805652152 -702.648261945106</t>
  </si>
  <si>
    <t>-634.588536478857 152.06697065816 -850.5263937009</t>
  </si>
  <si>
    <t>-580.078095628359 139.926797588675 -935.756762186602</t>
  </si>
  <si>
    <t>-641.561285574685 190.601349995495 -787.127588339499</t>
  </si>
  <si>
    <t>-615.085982902975 334.306655159783 -770.615226296109</t>
  </si>
  <si>
    <t>-611.171369275904 388.039605631923 -458.711843187098</t>
  </si>
  <si>
    <t>-447.639033781406 243.675750135596 -317.084585178757</t>
  </si>
  <si>
    <t>-656.064717424435 128.823335441387 -783.06222065419</t>
  </si>
  <si>
    <t>-721.385561203177 1.3845260127262 -440.029239415617</t>
  </si>
  <si>
    <t>-461.894727218252 16.5957210878055 -448.698578536314</t>
  </si>
  <si>
    <t>-615.13944102197 263.739756607839 -247.623810319738</t>
  </si>
  <si>
    <t>-629.789890129069 269.711127118978 207.796168145739</t>
  </si>
  <si>
    <t>-628.143863882955 257.884377748894 677.203882178472</t>
  </si>
  <si>
    <t>-476.378227683945 227.139748907784 760.663247135859</t>
  </si>
  <si>
    <t>-679.567006264936 79.6253616957353 -248.360775861286</t>
  </si>
  <si>
    <t>-601.854510596172 11.0709783272771 195.394469800762</t>
  </si>
  <si>
    <t>-621.806695303411 -59.9975631374155 659.071276487136</t>
  </si>
  <si>
    <t>-468.715233032501 -103.036317673432 734.265473763316</t>
  </si>
  <si>
    <t>9763-20170724T164123.128432000.bin</t>
  </si>
  <si>
    <t>-645.539481848015 176.152857102717 -250.598892607179</t>
  </si>
  <si>
    <t>-677.263883582422 188.893393864828 -366.784349523788</t>
  </si>
  <si>
    <t>-683.962099167128 189.349479273228 -487.802894965871</t>
  </si>
  <si>
    <t>-679.453699873358 185.085023916172 -597.147860242759</t>
  </si>
  <si>
    <t>-664.431334935285 176.436857707586 -705.288485751385</t>
  </si>
  <si>
    <t>-632.631377318509 160.121111838991 -853.351218507721</t>
  </si>
  <si>
    <t>-578.13820673883 148.317739044531 -938.639788564873</t>
  </si>
  <si>
    <t>-639.307882139545 198.20926022448 -789.651549884883</t>
  </si>
  <si>
    <t>-611.870449665216 341.620835771722 -772.298394587285</t>
  </si>
  <si>
    <t>-606.760880408463 395.160641929114 -460.379268850113</t>
  </si>
  <si>
    <t>-444.929162237672 246.635291717178 -321.121367592704</t>
  </si>
  <si>
    <t>-654.095892266001 136.47146114512 -786.024525300608</t>
  </si>
  <si>
    <t>-723.360932181773 7.8484963527531 -444.899452307621</t>
  </si>
  <si>
    <t>-463.869188232029 24.2092422650878 -451.098525958697</t>
  </si>
  <si>
    <t>-613.249542476671 269.009498760163 -248.731798253272</t>
  </si>
  <si>
    <t>-629.872994113872 271.772306183969 206.651261816706</t>
  </si>
  <si>
    <t>-628.908698210982 257.520868241913 676.937426720609</t>
  </si>
  <si>
    <t>-476.926206678635 226.941902570966 760.062350208101</t>
  </si>
  <si>
    <t>-677.589364643812 83.5185393254606 -251.940006188985</t>
  </si>
  <si>
    <t>-600.055622528723 17.3144014644362 192.203168882273</t>
  </si>
  <si>
    <t>-620.785340533609 -46.881244447154 657.037368781257</t>
  </si>
  <si>
    <t>-468.984846625014 -97.4279719428451 730.1478896224</t>
  </si>
  <si>
    <t>9763-20170724T164123.160016600.bin</t>
  </si>
  <si>
    <t>-645.590813098612 179.415453086785 -250.782066290531</t>
  </si>
  <si>
    <t>-677.279057117465 192.315580940425 -366.95985359626</t>
  </si>
  <si>
    <t>-684.093773594834 193.022207905207 -487.970547806642</t>
  </si>
  <si>
    <t>-679.75456905156 189.013635090099 -597.33221993225</t>
  </si>
  <si>
    <t>-664.963819560532 180.64567728884 -705.526818612334</t>
  </si>
  <si>
    <t>-633.547890611662 164.739268659761 -853.715881671059</t>
  </si>
  <si>
    <t>-579.133204318386 153.056243187244 -939.07135814913</t>
  </si>
  <si>
    <t>-640.00645678375 202.639255219726 -789.881781115697</t>
  </si>
  <si>
    <t>-612.193763720433 345.942098189332 -772.327710546081</t>
  </si>
  <si>
    <t>-606.874286552903 400.096573795894 -460.518284477448</t>
  </si>
  <si>
    <t>-445.687134726841 249.950772992934 -322.253946913925</t>
  </si>
  <si>
    <t>-654.890481759201 140.915539065213 -786.411802648105</t>
  </si>
  <si>
    <t>-694.601856515256 1.65225868122207 -760.761421100109</t>
  </si>
  <si>
    <t>-724.714026892132 12.1636372957333 -445.850536025464</t>
  </si>
  <si>
    <t>-465.21476837451 28.5003608395848 -451.790994845161</t>
  </si>
  <si>
    <t>-613.319342305592 272.307202149255 -248.489993214826</t>
  </si>
  <si>
    <t>-630.430428476918 273.230591559582 206.882434657514</t>
  </si>
  <si>
    <t>-629.620946869072 257.758804634604 677.417808503624</t>
  </si>
  <si>
    <t>-477.116025711882 227.233902746714 759.600496621884</t>
  </si>
  <si>
    <t>-678.103976314603 86.6353150977882 -252.302342839943</t>
  </si>
  <si>
    <t>-600.804760302917 22.7905357819522 192.226944748677</t>
  </si>
  <si>
    <t>-621.847753341811 -39.0496344413124 657.556126337602</t>
  </si>
  <si>
    <t>-469.465709667647 -90.2486762668243 728.983546605376</t>
  </si>
  <si>
    <t>9763-20170724T164123.225189700.bin</t>
  </si>
  <si>
    <t>-646.314160112366 183.989539576158 -250.481140021203</t>
  </si>
  <si>
    <t>-678.522795310422 197.506580842775 -366.445407831047</t>
  </si>
  <si>
    <t>-685.886398964654 198.688572011044 -487.420425585428</t>
  </si>
  <si>
    <t>-682.047313515486 195.034280240664 -596.813102150061</t>
  </si>
  <si>
    <t>-667.756614514389 186.935564426818 -705.095400812828</t>
  </si>
  <si>
    <t>-637.032587537269 171.306860319875 -853.458890901383</t>
  </si>
  <si>
    <t>-582.859484787093 159.588847052875 -938.963051960969</t>
  </si>
  <si>
    <t>-643.067897051202 209.058379541345 -789.495569415788</t>
  </si>
  <si>
    <t>-614.629730923055 352.303805029108 -771.959631295828</t>
  </si>
  <si>
    <t>-609.942209574913 407.099932801113 -460.252161957471</t>
  </si>
  <si>
    <t>-449.355906017597 255.670722976254 -322.690211439533</t>
  </si>
  <si>
    <t>-658.186145778169 147.385751962566 -786.129716448124</t>
  </si>
  <si>
    <t>-698.622533374643 8.29407763703806 -760.942272188765</t>
  </si>
  <si>
    <t>-728.358565370448 18.2534220278127 -445.977538600547</t>
  </si>
  <si>
    <t>-468.828894095064 33.6536818642579 -452.995707221665</t>
  </si>
  <si>
    <t>-613.610067987848 276.899170402469 -248.020248971507</t>
  </si>
  <si>
    <t>-631.354693708104 275.72958705857 207.327360044968</t>
  </si>
  <si>
    <t>-631.138672874667 257.628613231701 677.512621481091</t>
  </si>
  <si>
    <t>-477.335209482482 228.534496622111 757.771745454</t>
  </si>
  <si>
    <t>-679.186414241217 91.2683256961316 -251.783576990705</t>
  </si>
  <si>
    <t>-600.566723610679 28.3655660994139 192.648410405397</t>
  </si>
  <si>
    <t>-624.915009430932 -31.6110119924525 658.231093548982</t>
  </si>
  <si>
    <t>-471.210036483623 -81.0143848011977 728.070960681552</t>
  </si>
  <si>
    <t>9763-20170724T164123.290378400.bin</t>
  </si>
  <si>
    <t>-646.020251715731 186.729063029981 -249.605152499206</t>
  </si>
  <si>
    <t>-678.3363629518 200.371797643318 -365.524870245733</t>
  </si>
  <si>
    <t>-686.060609947625 201.727347681857 -486.475517451013</t>
  </si>
  <si>
    <t>-682.656776427321 198.225169414267 -595.887610493898</t>
  </si>
  <si>
    <t>-668.910363000639 190.25735014029 -704.249998152794</t>
  </si>
  <si>
    <t>-639.053728973444 174.772958004405 -852.805773173458</t>
  </si>
  <si>
    <t>-585.238296007784 162.77954123809 -938.497321497102</t>
  </si>
  <si>
    <t>-644.616024022164 212.439047480939 -788.749130674889</t>
  </si>
  <si>
    <t>-615.457345751729 355.51052488245 -771.33785438233</t>
  </si>
  <si>
    <t>-611.615330797828 410.646539780705 -459.678659429032</t>
  </si>
  <si>
    <t>-451.367871932493 259.03674447527 -321.920609681833</t>
  </si>
  <si>
    <t>-659.912678278861 150.809607148977 -785.399601955792</t>
  </si>
  <si>
    <t>-700.681137784323 11.7541374312205 -760.344145708903</t>
  </si>
  <si>
    <t>-729.304817060722 20.9183358729666 -445.252251824103</t>
  </si>
  <si>
    <t>-469.735108982647 35.195345082869 -453.112373357675</t>
  </si>
  <si>
    <t>-613.096363843628 278.868720017431 -247.366999635869</t>
  </si>
  <si>
    <t>-631.758066065936 277.647592191912 207.943780635772</t>
  </si>
  <si>
    <t>-630.792268860369 257.879751774365 677.296567487797</t>
  </si>
  <si>
    <t>-477.279049459255 228.511039128005 758.010120984551</t>
  </si>
  <si>
    <t>-678.495301655371 94.6370773919365 -251.022112065964</t>
  </si>
  <si>
    <t>-596.109557708987 34.4738818110256 193.107058582381</t>
  </si>
  <si>
    <t>-637.6194284217 -20.6184119760003 657.855947517464</t>
  </si>
  <si>
    <t>-484.544190543791 -71.4619190802972 728.044301710136</t>
  </si>
  <si>
    <t>9763-20170724T164123.323489100.bin</t>
  </si>
  <si>
    <t>-645.308101308924 187.207103088575 -249.526245616653</t>
  </si>
  <si>
    <t>-677.730238659878 200.792818913052 -365.422905963161</t>
  </si>
  <si>
    <t>-685.644826270029 202.155851621174 -486.361342349633</t>
  </si>
  <si>
    <t>-682.449270067913 198.679399813 -595.78046999625</t>
  </si>
  <si>
    <t>-668.946926755749 190.751277894889 -704.176351209869</t>
  </si>
  <si>
    <t>-639.465605194212 175.331425469455 -852.813811663778</t>
  </si>
  <si>
    <t>-585.837361675603 163.199608777092 -938.603082077718</t>
  </si>
  <si>
    <t>-644.857827442732 212.967695504766 -788.725118718542</t>
  </si>
  <si>
    <t>-615.680681024368 356.04333737837 -771.347211782231</t>
  </si>
  <si>
    <t>-611.658552036298 411.443936002777 -459.737301698652</t>
  </si>
  <si>
    <t>-451.516458949136 260.065840010629 -321.602464908696</t>
  </si>
  <si>
    <t>-660.162558583838 151.340743527164 -785.367426743975</t>
  </si>
  <si>
    <t>-700.969478115667 12.3179383169293 -760.223942311332</t>
  </si>
  <si>
    <t>-729.465891769189 21.5658019555407 -445.123020847656</t>
  </si>
  <si>
    <t>-469.869211947622 35.2248944306389 -453.187704404632</t>
  </si>
  <si>
    <t>-612.570770091915 279.433110811942 -247.412583136059</t>
  </si>
  <si>
    <t>-631.448468964973 277.873169465494 207.888235554846</t>
  </si>
  <si>
    <t>-630.69101839972 257.973727423187 677.364418268018</t>
  </si>
  <si>
    <t>-477.30110039842 228.266188460205 758.188258464674</t>
  </si>
  <si>
    <t>-677.804265423439 95.435019730145 -250.736093350563</t>
  </si>
  <si>
    <t>-594.004649793254 37.6292507878898 193.441537566258</t>
  </si>
  <si>
    <t>-645.615934247882 -14.6839906848729 657.358526162406</t>
  </si>
  <si>
    <t>-494.092873726613 -69.2205844491614 728.140129067758</t>
  </si>
  <si>
    <t>9763-20170724T164123.393670100.bin</t>
  </si>
  <si>
    <t>-643.486683852085 185.704587729426 -249.191310149512</t>
  </si>
  <si>
    <t>-675.488838229457 198.633204871821 -365.279650744705</t>
  </si>
  <si>
    <t>-683.232268133945 199.697020320619 -486.232158078249</t>
  </si>
  <si>
    <t>-679.998416626003 196.091561452986 -595.645931257235</t>
  </si>
  <si>
    <t>-666.578302080963 188.168973210817 -704.052514210654</t>
  </si>
  <si>
    <t>-637.336649175278 172.888903230037 -852.751723358349</t>
  </si>
  <si>
    <t>-583.845879294783 160.688225962193 -938.617103527539</t>
  </si>
  <si>
    <t>-642.703787071846 210.483345742291 -788.636372508938</t>
  </si>
  <si>
    <t>-613.755806257559 353.607458847475 -771.335701885493</t>
  </si>
  <si>
    <t>-609.297946143016 410.441084995406 -459.989817718742</t>
  </si>
  <si>
    <t>-448.955006307223 260.032072970588 -321.031732369651</t>
  </si>
  <si>
    <t>-657.846557062897 148.816383577263 -785.277498425794</t>
  </si>
  <si>
    <t>-698.279738529822 9.70047904199708 -759.960673560995</t>
  </si>
  <si>
    <t>-727.461006082945 19.4010358286723 -444.935942907985</t>
  </si>
  <si>
    <t>-467.891725253769 33.7073385153991 -452.756689210683</t>
  </si>
  <si>
    <t>-611.173249128679 277.852661679046 -247.485268304482</t>
  </si>
  <si>
    <t>-630.265230842365 277.36831991122 207.808998317298</t>
  </si>
  <si>
    <t>-630.414784494691 257.722445592232 677.208089866368</t>
  </si>
  <si>
    <t>-477.065258043172 228.528984285639 758.295615282265</t>
  </si>
  <si>
    <t>-675.296824358167 93.3169373949882 -250.405581197816</t>
  </si>
  <si>
    <t>-593.266807668474 43.287836067265 195.044539813847</t>
  </si>
  <si>
    <t>-660.845930534088 -1.51563767785329 657.76220129987</t>
  </si>
  <si>
    <t>-512.330580460213 -64.1523132862485 728.213315892398</t>
  </si>
  <si>
    <t>9763-20170724T164123.426775200.bin</t>
  </si>
  <si>
    <t>-642.270756195396 184.277149570231 -249.152277558226</t>
  </si>
  <si>
    <t>-674.23300938293 196.830692558829 -365.292846961392</t>
  </si>
  <si>
    <t>-681.937964801747 197.704229254576 -486.24926225307</t>
  </si>
  <si>
    <t>-678.67520463541 194.002228854732 -595.659000794954</t>
  </si>
  <si>
    <t>-665.234359346075 186.056999267701 -704.061356885059</t>
  </si>
  <si>
    <t>-635.973741163466 170.82057692872 -852.76119463133</t>
  </si>
  <si>
    <t>-582.51031715284 158.664871272293 -938.650053725654</t>
  </si>
  <si>
    <t>-641.442405846214 208.417819211981 -788.656171003929</t>
  </si>
  <si>
    <t>-612.922418887921 351.624770529955 -771.414776542857</t>
  </si>
  <si>
    <t>-608.222714470573 409.396821413143 -460.245158887952</t>
  </si>
  <si>
    <t>-447.594695980923 259.559492311435 -320.999184617286</t>
  </si>
  <si>
    <t>-656.39893644034 146.706612278346 -785.276088981838</t>
  </si>
  <si>
    <t>-696.625084021463 7.56971810565372 -759.733597426473</t>
  </si>
  <si>
    <t>-726.418439947995 18.2309787086816 -444.797191686421</t>
  </si>
  <si>
    <t>-466.867695208728 33.0633218353877 -452.246605441908</t>
  </si>
  <si>
    <t>-610.372212486858 276.858949423306 -247.560720142</t>
  </si>
  <si>
    <t>-629.132173067054 276.861018218268 207.747641189968</t>
  </si>
  <si>
    <t>-630.380602679116 257.828005960118 677.246188463466</t>
  </si>
  <si>
    <t>-477.122594046222 228.266796769357 758.37343158183</t>
  </si>
  <si>
    <t>-673.921019243071 91.4660389718379 -250.261364609301</t>
  </si>
  <si>
    <t>-593.225600705054 45.9402019012334 195.914929512962</t>
  </si>
  <si>
    <t>-664.087582963418 2.92876485034773 658.380538234503</t>
  </si>
  <si>
    <t>-515.836180621917 -60.7037133297365 728.494239735857</t>
  </si>
  <si>
    <t>9763-20170724T164123.490444800.bin</t>
  </si>
  <si>
    <t>-639.947862674825 181.971084813605 -249.399640977351</t>
  </si>
  <si>
    <t>-671.985525941919 193.976813120313 -365.577350804678</t>
  </si>
  <si>
    <t>-679.488979934532 194.352029005951 -486.548924017676</t>
  </si>
  <si>
    <t>-675.940502287121 190.213687816221 -595.934168869209</t>
  </si>
  <si>
    <t>-662.118780253577 181.841145216288 -704.25644107649</t>
  </si>
  <si>
    <t>-632.238717632518 166.016811633086 -852.771624935556</t>
  </si>
  <si>
    <t>-578.736532509932 153.660938846194 -938.607590729751</t>
  </si>
  <si>
    <t>-638.13848974821 203.904547604848 -788.876111400673</t>
  </si>
  <si>
    <t>-610.817116702019 347.436443727597 -772.028889799286</t>
  </si>
  <si>
    <t>-605.935241124252 406.597340269334 -461.123256144646</t>
  </si>
  <si>
    <t>-443.906557636936 258.806591213163 -321.313964232798</t>
  </si>
  <si>
    <t>-652.780957186916 142.132649404646 -785.240266619854</t>
  </si>
  <si>
    <t>-692.673158739007 3.12900204132407 -758.741234420256</t>
  </si>
  <si>
    <t>-722.699101916149 15.2323852451304 -443.879313188983</t>
  </si>
  <si>
    <t>-463.2118537013 31.3606849886713 -450.82946750379</t>
  </si>
  <si>
    <t>-609.134296642594 275.231683117361 -247.733471734433</t>
  </si>
  <si>
    <t>-627.192332785622 275.830897266767 207.603045710585</t>
  </si>
  <si>
    <t>-630.366703959707 258.101867535727 677.220613705481</t>
  </si>
  <si>
    <t>-477.358046811184 227.632507166317 758.482357015521</t>
  </si>
  <si>
    <t>-670.900723777671 88.6498583441564 -250.288744087414</t>
  </si>
  <si>
    <t>-589.906922444966 47.7835392360977 196.284355149538</t>
  </si>
  <si>
    <t>-656.951334032602 1.0082108764871 658.964987996333</t>
  </si>
  <si>
    <t>-506.435338761907 -54.3387448397652 731.250100801033</t>
  </si>
  <si>
    <t>9763-20170724T164123.523531600.bin</t>
  </si>
  <si>
    <t>-639.069523562234 180.686259323272 -249.102799768954</t>
  </si>
  <si>
    <t>-670.967645947167 192.23994940008 -365.364642126584</t>
  </si>
  <si>
    <t>-678.327078509501 192.171813054289 -486.345697244138</t>
  </si>
  <si>
    <t>-674.654776274953 187.630793224418 -595.710899001782</t>
  </si>
  <si>
    <t>-660.72029924573 178.849265455741 -703.986318410765</t>
  </si>
  <si>
    <t>-630.698594263828 162.445728006242 -852.410084040867</t>
  </si>
  <si>
    <t>-577.277753175648 149.794142445139 -938.253704739761</t>
  </si>
  <si>
    <t>-636.720077576972 200.595913813994 -788.68240224609</t>
  </si>
  <si>
    <t>-609.695317558148 344.259360171443 -772.38957228831</t>
  </si>
  <si>
    <t>-605.648868505226 403.742113326686 -461.533224700186</t>
  </si>
  <si>
    <t>-442.71412898454 257.188493326796 -321.47472045053</t>
  </si>
  <si>
    <t>-651.244500713382 138.81163658433 -784.791966875186</t>
  </si>
  <si>
    <t>-720.544751509341 12.6454034972037 -442.883809582324</t>
  </si>
  <si>
    <t>-461.106732706268 29.5038206790249 -449.939504085169</t>
  </si>
  <si>
    <t>-608.858091903525 274.047585594619 -247.636998087396</t>
  </si>
  <si>
    <t>-626.966682147008 275.498560338597 207.695520770584</t>
  </si>
  <si>
    <t>-630.45696516965 258.060837328037 677.351730790529</t>
  </si>
  <si>
    <t>-477.392499342642 227.47692520942 758.465198363447</t>
  </si>
  <si>
    <t>-669.654702632184 87.4302506976195 -249.671199792994</t>
  </si>
  <si>
    <t>-586.975360544425 46.7122947767635 196.60656440143</t>
  </si>
  <si>
    <t>-653.525316465257 -0.157938659762188 659.017611048822</t>
  </si>
  <si>
    <t>-502.666242528811 -51.643852667883 733.410088799585</t>
  </si>
  <si>
    <t>9763-20170724T164123.590789400.bin</t>
  </si>
  <si>
    <t>-635.401958534922 176.110636930273 -248.324586286345</t>
  </si>
  <si>
    <t>-667.251359391109 186.749733869502 -364.68700756847</t>
  </si>
  <si>
    <t>-674.672377169383 185.649617012132 -485.659289361201</t>
  </si>
  <si>
    <t>-671.107935596818 180.12508378637 -594.982783816185</t>
  </si>
  <si>
    <t>-657.336838248996 170.304706527513 -703.189868472876</t>
  </si>
  <si>
    <t>-627.601989233798 152.395871074559 -851.497341920067</t>
  </si>
  <si>
    <t>-574.355382733558 139.002548764112 -937.336682529168</t>
  </si>
  <si>
    <t>-633.68165826345 191.22969646916 -788.189468845652</t>
  </si>
  <si>
    <t>-607.817854612753 335.196711702918 -773.197212511954</t>
  </si>
  <si>
    <t>-604.206386705823 396.699868398346 -462.729069110676</t>
  </si>
  <si>
    <t>-439.762079411279 252.975483946944 -321.50776807653</t>
  </si>
  <si>
    <t>-647.835890384525 129.410209964229 -783.562261007101</t>
  </si>
  <si>
    <t>-715.083639404244 5.81342269504364 -439.926508191838</t>
  </si>
  <si>
    <t>-455.772518716522 23.7043598507255 -448.853897027143</t>
  </si>
  <si>
    <t>-607.162694791626 269.917590214257 -247.245001602305</t>
  </si>
  <si>
    <t>-626.325898889777 272.925653211804 208.036689477128</t>
  </si>
  <si>
    <t>-630.892595087302 258.204881819938 677.892938933258</t>
  </si>
  <si>
    <t>-477.359993243495 228.074135318531 758.288154537638</t>
  </si>
  <si>
    <t>-662.869345460544 82.3378240607182 -248.966709849031</t>
  </si>
  <si>
    <t>-584.632173456424 45.0546100625341 198.410762874326</t>
  </si>
  <si>
    <t>-650.713652089231 0.176363910718337 660.924672599854</t>
  </si>
  <si>
    <t>-500.664943714647 -49.573852061627 738.085621300195</t>
  </si>
  <si>
    <t>9763-20170724T164123.623876900.bin</t>
  </si>
  <si>
    <t>-633.162608567654 173.425779350873 -248.210223022494</t>
  </si>
  <si>
    <t>-664.979009555715 183.754899496954 -364.609726677032</t>
  </si>
  <si>
    <t>-672.484567776898 182.205649897867 -485.571755530888</t>
  </si>
  <si>
    <t>-669.04403525068 176.221194168441 -594.875049689721</t>
  </si>
  <si>
    <t>-655.443138588105 165.888063960484 -703.055850087815</t>
  </si>
  <si>
    <t>-625.991600537738 147.212194092113 -851.325290996284</t>
  </si>
  <si>
    <t>-572.777274733366 133.474850587373 -937.130424727475</t>
  </si>
  <si>
    <t>-632.054508052082 186.394715916182 -788.231047319908</t>
  </si>
  <si>
    <t>-606.902977399599 330.553964365688 -773.969154098567</t>
  </si>
  <si>
    <t>-602.839468276062 393.793303511212 -463.855601673067</t>
  </si>
  <si>
    <t>-437.924528350595 251.750092046976 -321.486836261417</t>
  </si>
  <si>
    <t>-645.991461625932 124.55664431128 -783.210346008858</t>
  </si>
  <si>
    <t>-711.351087551468 2.44020414890161 -438.574144654442</t>
  </si>
  <si>
    <t>-452.102710132171 20.7753805409856 -448.380115795863</t>
  </si>
  <si>
    <t>-605.956315073744 267.343115800465 -247.130471769615</t>
  </si>
  <si>
    <t>-624.903736221794 271.428014422874 208.15178538181</t>
  </si>
  <si>
    <t>-631.130966346628 258.072594938441 678.19818295493</t>
  </si>
  <si>
    <t>-477.330417595823 228.148002405626 758.157067706464</t>
  </si>
  <si>
    <t>-659.828223798907 79.6642995543445 -248.831766677053</t>
  </si>
  <si>
    <t>-584.619590320785 44.2808821852192 199.218868422975</t>
  </si>
  <si>
    <t>-650.249917099721 0.74922895282409 661.833293130523</t>
  </si>
  <si>
    <t>-501.043351166773 -51.0213036497743 739.297523367532</t>
  </si>
  <si>
    <t>9763-20170724T164123.693186200.bin</t>
  </si>
  <si>
    <t>-630.841157316953 168.660236406346 -248.417165923393</t>
  </si>
  <si>
    <t>-662.788635784376 178.659546139667 -364.809536158331</t>
  </si>
  <si>
    <t>-670.274880807214 176.33149977775 -485.760314223366</t>
  </si>
  <si>
    <t>-666.749735820519 169.471810127977 -595.009521662047</t>
  </si>
  <si>
    <t>-652.998172513443 158.099204372674 -703.066845574394</t>
  </si>
  <si>
    <t>-623.271163130062 137.816672826479 -851.070147254318</t>
  </si>
  <si>
    <t>-569.835547194589 123.446515698209 -936.633588115198</t>
  </si>
  <si>
    <t>-629.739536083682 177.738748154244 -788.481709944022</t>
  </si>
  <si>
    <t>-605.92009970967 322.297326976365 -775.839306372999</t>
  </si>
  <si>
    <t>-602.220108624379 389.356904178512 -466.524615198336</t>
  </si>
  <si>
    <t>-436.22889259059 251.604522556532 -321.220584951184</t>
  </si>
  <si>
    <t>-643.109400257898 115.843362401564 -782.684880900725</t>
  </si>
  <si>
    <t>-447.133118294447 17.5739143066892 -447.474702744011</t>
  </si>
  <si>
    <t>-604.404827423308 262.621774594061 -247.098994079409</t>
  </si>
  <si>
    <t>-620.708510660244 267.767918615422 208.274884206781</t>
  </si>
  <si>
    <t>-631.368460464119 257.393612169001 678.495887583197</t>
  </si>
  <si>
    <t>-477.147493632677 228.549659649926 758.040987452981</t>
  </si>
  <si>
    <t>-657.651958253815 75.0162289994412 -249.086720646072</t>
  </si>
  <si>
    <t>-587.249301957688 44.7552245967079 200.118585262844</t>
  </si>
  <si>
    <t>-649.872196063736 3.18992873576049 663.251381529339</t>
  </si>
  <si>
    <t>-500.162202787485 -49.187690672937 739.323832226408</t>
  </si>
  <si>
    <t>9763-20170724T164123.724267600.bin</t>
  </si>
  <si>
    <t>-630.167024735291 165.890541332068 -248.748447939958</t>
  </si>
  <si>
    <t>-662.229581111784 175.897271243459 -365.108510000424</t>
  </si>
  <si>
    <t>-669.646475743764 173.257053006236 -486.057267245981</t>
  </si>
  <si>
    <t>-665.981215806361 165.986555157053 -595.275072964716</t>
  </si>
  <si>
    <t>-652.014815237222 154.076488526169 -703.246998921026</t>
  </si>
  <si>
    <t>-621.915858254265 132.918914956087 -851.052310507051</t>
  </si>
  <si>
    <t>-568.279110607051 118.203907052838 -936.431211283002</t>
  </si>
  <si>
    <t>-628.711434716708 173.243014992258 -788.756955160589</t>
  </si>
  <si>
    <t>-605.734872996266 318.01311737082 -777.005277916102</t>
  </si>
  <si>
    <t>-602.595772940462 387.226234971432 -468.159136322327</t>
  </si>
  <si>
    <t>-436.132021919729 251.38914146042 -321.598206604472</t>
  </si>
  <si>
    <t>-641.755881632169 111.318019014839 -782.549126972433</t>
  </si>
  <si>
    <t>-445.327683437988 16.0500449661235 -446.602678763144</t>
  </si>
  <si>
    <t>-604.057239262573 260.155650459643 -247.090767198484</t>
  </si>
  <si>
    <t>-618.655352426879 266.166296841359 208.33045568704</t>
  </si>
  <si>
    <t>-631.506633200705 257.534933409481 678.558035571748</t>
  </si>
  <si>
    <t>-477.489885680371 227.484870883184 758.052348011473</t>
  </si>
  <si>
    <t>-656.450642910422 71.9304963094477 -249.661585848453</t>
  </si>
  <si>
    <t>-589.942200846872 44.8476284634416 200.339266074052</t>
  </si>
  <si>
    <t>-649.785098752973 4.14177971974583 663.935920788486</t>
  </si>
  <si>
    <t>-499.483825581795 -47.4968650036289 739.344641525257</t>
  </si>
  <si>
    <t>9763-20170724T164123.792457400.bin</t>
  </si>
  <si>
    <t>-628.115759826587 159.057538264247 -249.134831488232</t>
  </si>
  <si>
    <t>-658.485494444506 168.593986713117 -365.987425928202</t>
  </si>
  <si>
    <t>-664.796669905939 165.098371857012 -486.977152043696</t>
  </si>
  <si>
    <t>-660.392333426975 156.901518815623 -596.102256344935</t>
  </si>
  <si>
    <t>-645.953728771388 143.909522276929 -703.887107306034</t>
  </si>
  <si>
    <t>-615.477390207743 121.084136874906 -851.366646364717</t>
  </si>
  <si>
    <t>-561.516586276514 105.655804487591 -936.414699125629</t>
  </si>
  <si>
    <t>-622.857590633226 162.184870250159 -789.647983385242</t>
  </si>
  <si>
    <t>-601.985750089027 307.406943962192 -779.702189866266</t>
  </si>
  <si>
    <t>-600.024118942144 380.953189369646 -471.849384788549</t>
  </si>
  <si>
    <t>-432.099760044593 248.974419946997 -323.441030011504</t>
  </si>
  <si>
    <t>-635.066889799694 100.182472002401 -782.575036584232</t>
  </si>
  <si>
    <t>-438.018922313741 11.9301604667973 -445.538121555506</t>
  </si>
  <si>
    <t>-603.100068633583 253.378066449968 -247.038908175348</t>
  </si>
  <si>
    <t>-615.114543508318 261.794692451611 208.419626982093</t>
  </si>
  <si>
    <t>-631.687895199822 257.292264951133 678.637913022802</t>
  </si>
  <si>
    <t>-477.552691984703 227.379622307667 757.954332796606</t>
  </si>
  <si>
    <t>-652.488235821874 64.5943924548633 -250.619416124509</t>
  </si>
  <si>
    <t>-596.075275417776 42.0229438687401 201.006176521397</t>
  </si>
  <si>
    <t>-650.047994652975 5.26041898620551 665.53749310398</t>
  </si>
  <si>
    <t>-498.422108718747 -44.3671384300003 739.633340261055</t>
  </si>
  <si>
    <t>9763-20170724T164123.828553800.bin</t>
  </si>
  <si>
    <t>-626.830293149204 154.760907151855 -249.216466598993</t>
  </si>
  <si>
    <t>-656.030784234891 163.973754406672 -366.392686463946</t>
  </si>
  <si>
    <t>-661.574596732711 160.014245928344 -487.405843251876</t>
  </si>
  <si>
    <t>-656.652655428136 151.34713572039 -596.472309194842</t>
  </si>
  <si>
    <t>-641.875250672145 137.834669632417 -704.147185086323</t>
  </si>
  <si>
    <t>-611.11338759052 114.233887634515 -851.445252141416</t>
  </si>
  <si>
    <t>-556.979628723063 98.5181052538783 -936.330685414711</t>
  </si>
  <si>
    <t>-618.847985705805 155.697512131797 -790.013489215956</t>
  </si>
  <si>
    <t>-599.088888240267 301.115357640133 -780.880919254626</t>
  </si>
  <si>
    <t>-598.018559978372 376.763576774998 -473.533587224152</t>
  </si>
  <si>
    <t>-429.178091893626 246.538371800275 -324.61627037186</t>
  </si>
  <si>
    <t>-630.601103457977 93.65545952618 -782.5273916929</t>
  </si>
  <si>
    <t>-433.361338910377 8.67171838995867 -444.523769952938</t>
  </si>
  <si>
    <t>-602.923748220517 248.90261138025 -246.885719241025</t>
  </si>
  <si>
    <t>-613.362001010347 259.323477358259 208.570221252832</t>
  </si>
  <si>
    <t>-631.796641686954 256.908158907357 678.760510634625</t>
  </si>
  <si>
    <t>-477.392414665586 227.939515811021 757.90383533367</t>
  </si>
  <si>
    <t>-650.251169020177 60.1411388619715 -251.005875334064</t>
  </si>
  <si>
    <t>-599.91314158264 39.804660404302 201.44313401913</t>
  </si>
  <si>
    <t>-650.40179879839 5.71625949596741 666.397852280638</t>
  </si>
  <si>
    <t>-498.826544621757 -45.3207583925708 739.635113504106</t>
  </si>
  <si>
    <t>9763-20170724T164123.891740300.bin</t>
  </si>
  <si>
    <t>-624.309168270348 145.988976794427 -248.319700028647</t>
  </si>
  <si>
    <t>-651.035504434099 154.5629576772 -366.132964351585</t>
  </si>
  <si>
    <t>-655.079554033779 149.806209933555 -487.176742760983</t>
  </si>
  <si>
    <t>-649.217358822773 140.371706190762 -596.133071498048</t>
  </si>
  <si>
    <t>-633.915580298797 126.048553504229 -703.629805704483</t>
  </si>
  <si>
    <t>-602.850228464293 101.278070228442 -850.671913522537</t>
  </si>
  <si>
    <t>-548.40116212632 85.1191963782374 -935.272010211621</t>
  </si>
  <si>
    <t>-611.178299086541 143.299295892159 -789.698291324618</t>
  </si>
  <si>
    <t>-593.495340368302 289.088085970251 -782.076047013453</t>
  </si>
  <si>
    <t>-595.011917944473 368.281607111945 -475.624857141423</t>
  </si>
  <si>
    <t>-424.175115570529 241.711027687009 -325.836038734488</t>
  </si>
  <si>
    <t>-622.013051569167 81.1771501731676 -781.52243712213</t>
  </si>
  <si>
    <t>-424.462658977677 3.18693581057764 -442.273687519678</t>
  </si>
  <si>
    <t>-602.238074754766 240.372890585075 -245.916435123419</t>
  </si>
  <si>
    <t>-609.983583685116 254.132611743996 209.504658100621</t>
  </si>
  <si>
    <t>-632.179971599057 256.026083542528 679.546959573362</t>
  </si>
  <si>
    <t>-477.64452479195 226.791835863585 758.335626045525</t>
  </si>
  <si>
    <t>-646.142708132522 51.3273193090393 -250.026219987644</t>
  </si>
  <si>
    <t>-608.058915129763 35.4885340931058 203.798112189103</t>
  </si>
  <si>
    <t>-650.963930804262 6.86423352444866 669.821912921958</t>
  </si>
  <si>
    <t>-497.977256166623 -42.0352561942551 741.567519520836</t>
  </si>
  <si>
    <t>9763-20170724T164123.923825200.bin</t>
  </si>
  <si>
    <t>-623.220145655858 141.71769069393 -247.954626546658</t>
  </si>
  <si>
    <t>-648.587678005483 149.936932250676 -366.093347871902</t>
  </si>
  <si>
    <t>-651.780529359118 144.752886416655 -487.144952939678</t>
  </si>
  <si>
    <t>-645.362391871544 134.915585945929 -596.03426693437</t>
  </si>
  <si>
    <t>-629.716882327342 120.17745493284 -703.425361998279</t>
  </si>
  <si>
    <t>-598.390178807658 94.8208176153807 -850.312009953212</t>
  </si>
  <si>
    <t>-543.718816721616 78.4817050306885 -934.733912979368</t>
  </si>
  <si>
    <t>-607.081144082807 137.120078464279 -789.581744333178</t>
  </si>
  <si>
    <t>-590.511891739246 283.051536022781 -782.618911439853</t>
  </si>
  <si>
    <t>-592.760930996662 364.077909922576 -476.651893011459</t>
  </si>
  <si>
    <t>-421.032499346982 239.371685787587 -326.319673985159</t>
  </si>
  <si>
    <t>-617.42147270487 74.9606024665281 -781.056689183773</t>
  </si>
  <si>
    <t>-420.422429155253 0.000957942119612198 -441.4020340055</t>
  </si>
  <si>
    <t>-601.960565809195 236.297416894795 -245.475369838284</t>
  </si>
  <si>
    <t>-608.135648615872 251.438991543268 209.925902705153</t>
  </si>
  <si>
    <t>-632.364427086188 255.848278889144 679.864641671364</t>
  </si>
  <si>
    <t>-477.766979611145 226.789513048993 758.596643240474</t>
  </si>
  <si>
    <t>-644.262568490615 47.0696519236819 -249.871172485018</t>
  </si>
  <si>
    <t>-612.265762591653 33.2932682526526 204.49005267852</t>
  </si>
  <si>
    <t>-651.271778152371 7.09853043324036 670.766149099296</t>
  </si>
  <si>
    <t>-497.549427768917 -40.2523570707108 741.975941843561</t>
  </si>
  <si>
    <t>9763-20170724T164123.994641000.bin</t>
  </si>
  <si>
    <t>-620.779888490572 134.141397701534 -247.464205808005</t>
  </si>
  <si>
    <t>-644.011812906364 141.365234167594 -366.106053908242</t>
  </si>
  <si>
    <t>-645.768253876792 135.240194588637 -487.143215206442</t>
  </si>
  <si>
    <t>-638.351846495682 124.592280099016 -595.892818820513</t>
  </si>
  <si>
    <t>-622.010063707929 109.087255462021 -703.07203936913</t>
  </si>
  <si>
    <t>-590.025937000372 82.7124577840163 -849.637300048472</t>
  </si>
  <si>
    <t>-534.832567105072 66.0963761977869 -933.664673905753</t>
  </si>
  <si>
    <t>-599.538672437132 125.49972921285 -789.373948365368</t>
  </si>
  <si>
    <t>-584.900518337897 271.735672461286 -783.528775471709</t>
  </si>
  <si>
    <t>-588.419807616461 356.631448024776 -478.624591616547</t>
  </si>
  <si>
    <t>-415.198579918328 235.789197259946 -326.856372327536</t>
  </si>
  <si>
    <t>-608.817207975895 63.265235784127 -780.199460342198</t>
  </si>
  <si>
    <t>-601.355756574413 229.216939899374 -244.898829418858</t>
  </si>
  <si>
    <t>-604.251355972749 246.910757675704 210.442960054908</t>
  </si>
  <si>
    <t>-632.501632749119 254.893854299986 680.216408749696</t>
  </si>
  <si>
    <t>-477.913390515271 226.296338309812 759.135212506701</t>
  </si>
  <si>
    <t>-640.251238142491 38.9114559923165 -249.589198133932</t>
  </si>
  <si>
    <t>-620.153731454437 28.8793048934888 205.551537875533</t>
  </si>
  <si>
    <t>-651.793898618983 7.13907232483636 672.653699292192</t>
  </si>
  <si>
    <t>-497.430573614594 -38.9588724071376 743.296762651251</t>
  </si>
  <si>
    <t>9763-20170724T164124.026725200.bin</t>
  </si>
  <si>
    <t>-619.32063423361 130.39069915285 -247.20248504487</t>
  </si>
  <si>
    <t>-641.98732617802 137.14123535385 -365.981430587624</t>
  </si>
  <si>
    <t>-643.285412210324 130.517803266562 -486.998004850961</t>
  </si>
  <si>
    <t>-635.502764341414 119.418043502712 -595.676799667024</t>
  </si>
  <si>
    <t>-618.844598511472 103.462821112042 -702.741112632374</t>
  </si>
  <si>
    <t>-586.47317082 76.4669448423739 -849.108277365859</t>
  </si>
  <si>
    <t>-530.974870892964 59.7320938067292 -932.910896064463</t>
  </si>
  <si>
    <t>-596.423705432534 119.539518642423 -789.119442137718</t>
  </si>
  <si>
    <t>-583.091454065352 265.902762250534 -783.994278061559</t>
  </si>
  <si>
    <t>-587.304864502099 352.607174028923 -479.608369640081</t>
  </si>
  <si>
    <t>-413.321672877942 233.903144699526 -327.026440595366</t>
  </si>
  <si>
    <t>-605.169326879527 57.2840283690588 -779.571227897691</t>
  </si>
  <si>
    <t>-600.980167990368 225.769601353598 -244.667616776536</t>
  </si>
  <si>
    <t>-602.290443954053 244.970829241584 210.620465426111</t>
  </si>
  <si>
    <t>-632.507989035848 254.377826197499 680.281941772239</t>
  </si>
  <si>
    <t>-478.032318276345 225.585361804921 759.350078235471</t>
  </si>
  <si>
    <t>-637.87833312584 34.8185636847157 -249.184149425092</t>
  </si>
  <si>
    <t>-623.607393319056 26.5910644307568 206.21270994536</t>
  </si>
  <si>
    <t>-652.025651642565 7.10783116849781 673.617787555988</t>
  </si>
  <si>
    <t>-497.516832886362 -38.6987907094005 744.132128707043</t>
  </si>
  <si>
    <t>9763-20170724T164124.093418900.bin</t>
  </si>
  <si>
    <t>-616.52066606373 123.639595203399 -246.514222338276</t>
  </si>
  <si>
    <t>-637.67810578968 129.635512463187 -365.611798537873</t>
  </si>
  <si>
    <t>-637.874292813126 122.210734186598 -486.588544117806</t>
  </si>
  <si>
    <t>-629.270462346215 110.382978690969 -595.128467006409</t>
  </si>
  <si>
    <t>-611.967705154501 93.7004337514598 -701.979576856031</t>
  </si>
  <si>
    <t>-578.882957451102 65.6984806669378 -847.997790270721</t>
  </si>
  <si>
    <t>-522.797688084849 48.791917399169 -931.374064923066</t>
  </si>
  <si>
    <t>-589.627173615965 109.229679417914 -788.478821082599</t>
  </si>
  <si>
    <t>-578.52260149504 255.811175000127 -784.631490553183</t>
  </si>
  <si>
    <t>-585.10253534789 345.901485462309 -481.27272419786</t>
  </si>
  <si>
    <t>-409.82823372699 231.671849715786 -326.765127504745</t>
  </si>
  <si>
    <t>-597.416715456474 46.9472274810891 -778.29979056572</t>
  </si>
  <si>
    <t>-599.736903887148 219.389354976942 -244.25412705958</t>
  </si>
  <si>
    <t>-598.974216920666 241.969228074794 210.880201218531</t>
  </si>
  <si>
    <t>-632.378440005266 254.070672612255 680.175423713595</t>
  </si>
  <si>
    <t>-477.933106301218 225.668016905586 759.443558559479</t>
  </si>
  <si>
    <t>-633.363879486039 27.9848465568065 -248.190411553428</t>
  </si>
  <si>
    <t>-628.137859007476 22.4367021888519 207.440535204902</t>
  </si>
  <si>
    <t>-652.450885643698 6.96316008046763 675.335084132379</t>
  </si>
  <si>
    <t>-497.03265224732 -35.9842627939267 745.650077072459</t>
  </si>
  <si>
    <t>9763-20170724T164124.124501300.bin</t>
  </si>
  <si>
    <t>-614.997197275765 120.912767573064 -246.155970823842</t>
  </si>
  <si>
    <t>-635.478090768468 126.560772458862 -365.388675815111</t>
  </si>
  <si>
    <t>-635.180235428744 118.783423353345 -486.343165594723</t>
  </si>
  <si>
    <t>-626.206968496084 106.643559193654 -594.818734987445</t>
  </si>
  <si>
    <t>-608.611827972215 89.6583595071301 -701.574439313507</t>
  </si>
  <si>
    <t>-575.199754334841 61.2481447300931 -847.439075848325</t>
  </si>
  <si>
    <t>-518.841325613011 44.2746811713074 -930.6172647479</t>
  </si>
  <si>
    <t>-586.312301322625 104.964614814638 -788.123865642259</t>
  </si>
  <si>
    <t>-576.302339803247 251.650221020903 -784.868717251302</t>
  </si>
  <si>
    <t>-584.210503757566 343.08935694775 -481.945360627436</t>
  </si>
  <si>
    <t>-408.580545668185 230.815518042835 -326.411624084195</t>
  </si>
  <si>
    <t>-593.654740987805 42.6728710078845 -777.673105424949</t>
  </si>
  <si>
    <t>-598.65412681441 216.57025588801 -244.013478677477</t>
  </si>
  <si>
    <t>-597.831618472421 240.818368339919 211.034903941532</t>
  </si>
  <si>
    <t>-632.305690829027 253.930606404131 680.180394071034</t>
  </si>
  <si>
    <t>-477.816282135435 225.869237211703 759.484246115763</t>
  </si>
  <si>
    <t>-631.350503390923 25.2365846333758 -247.689797668347</t>
  </si>
  <si>
    <t>-629.044423624421 20.9848556999054 207.979213778055</t>
  </si>
  <si>
    <t>-652.642387075649 6.9756101471264 676.046090477037</t>
  </si>
  <si>
    <t>-496.984183803229 -35.2026886960287 746.295836102423</t>
  </si>
  <si>
    <t>9763-20170724T164124.160035600.bin</t>
  </si>
  <si>
    <t>-613.57394375309 118.384667324056 -245.778909022221</t>
  </si>
  <si>
    <t>-633.57115100274 123.733851887853 -365.107480244537</t>
  </si>
  <si>
    <t>-632.878863500904 115.640121838041 -486.039560694626</t>
  </si>
  <si>
    <t>-623.586701343357 103.216388928165 -594.456175555269</t>
  </si>
  <si>
    <t>-605.710549926789 85.9534295428702 -701.120472335526</t>
  </si>
  <si>
    <t>-571.946456481425 57.1672769150493 -846.830251604104</t>
  </si>
  <si>
    <t>-515.324593111811 40.1559415502185 -929.821597718019</t>
  </si>
  <si>
    <t>-583.44229208341 101.053954141199 -787.714122351708</t>
  </si>
  <si>
    <t>-574.530933294386 247.815306483694 -785.031996990773</t>
  </si>
  <si>
    <t>-583.781543082736 340.439014690117 -482.506799032239</t>
  </si>
  <si>
    <t>-407.685772692564 230.176944364887 -326.063200823746</t>
  </si>
  <si>
    <t>-590.329708670107 38.7545191752647 -777.002333685344</t>
  </si>
  <si>
    <t>-598.006089117443 214.027603205858 -243.745205648809</t>
  </si>
  <si>
    <t>-597.013652063125 239.690015457591 211.225264536472</t>
  </si>
  <si>
    <t>-632.246035485194 253.769628998996 680.244681587594</t>
  </si>
  <si>
    <t>-477.721945879207 225.91940820815 759.555299762506</t>
  </si>
  <si>
    <t>-629.321026159818 22.7721028796933 -247.228563379327</t>
  </si>
  <si>
    <t>-629.649459722952 19.7468041409073 208.456013604073</t>
  </si>
  <si>
    <t>-652.786846827207 6.81413834900022 676.700135570212</t>
  </si>
  <si>
    <t>-497.250741115064 -35.8463274721352 746.929187635682</t>
  </si>
  <si>
    <t>9763-20170724T164124.227214800.bin</t>
  </si>
  <si>
    <t>-610.495638625093 114.464183741728 -245.177293380643</t>
  </si>
  <si>
    <t>-629.772695089195 119.321799674835 -364.645241318725</t>
  </si>
  <si>
    <t>-628.392958978219 110.642702605971 -485.530971674764</t>
  </si>
  <si>
    <t>-618.49326103921 97.6721698857753 -593.829620157994</t>
  </si>
  <si>
    <t>-600.024119535823 79.8546748140531 -700.301700390734</t>
  </si>
  <si>
    <t>-565.451299692162 50.2997602910021 -845.66750129743</t>
  </si>
  <si>
    <t>-508.272721324485 33.2129563266761 -928.260675574287</t>
  </si>
  <si>
    <t>-577.743967743433 94.5258251642144 -786.965923603247</t>
  </si>
  <si>
    <t>-571.153040032153 241.424476407428 -785.43044579221</t>
  </si>
  <si>
    <t>-582.695154917942 336.458220349893 -483.732681585234</t>
  </si>
  <si>
    <t>-405.851606027564 229.401874561621 -325.912024866706</t>
  </si>
  <si>
    <t>-583.75339146583 32.2279778127533 -775.729173029925</t>
  </si>
  <si>
    <t>-596.32322209623 209.877474409248 -243.340061714294</t>
  </si>
  <si>
    <t>-595.385680839395 237.471370948674 211.517364330556</t>
  </si>
  <si>
    <t>-631.997543447095 253.066955038655 680.36574241939</t>
  </si>
  <si>
    <t>-477.178861645037 226.909069699621 759.678171155572</t>
  </si>
  <si>
    <t>-624.738137236871 19.0834203691529 -246.366531937567</t>
  </si>
  <si>
    <t>-629.506982344815 17.9646142960232 209.301793194202</t>
  </si>
  <si>
    <t>-653.086114591914 6.7509352133936 677.696885251346</t>
  </si>
  <si>
    <t>-497.287512318062 -35.1381977794511 747.808280856891</t>
  </si>
  <si>
    <t>9763-20170724T164124.291389000.bin</t>
  </si>
  <si>
    <t>-607.472723687085 111.004920677458 -244.633629780131</t>
  </si>
  <si>
    <t>-626.234392279798 115.323223799053 -364.204410121772</t>
  </si>
  <si>
    <t>-624.227763197004 106.175417572455 -485.046721556321</t>
  </si>
  <si>
    <t>-613.721200873683 92.8254261777985 -593.241972947818</t>
  </si>
  <si>
    <t>-594.60875025823 74.6795641852373 -699.544999733667</t>
  </si>
  <si>
    <t>-559.10754854109 44.728697892719 -844.605518136015</t>
  </si>
  <si>
    <t>-501.347946855424 27.7510257790745 -926.816139690338</t>
  </si>
  <si>
    <t>-572.19793587929 89.1332033129958 -786.212144126778</t>
  </si>
  <si>
    <t>-567.752073634581 236.120744607959 -785.561660519125</t>
  </si>
  <si>
    <t>-582.229801120131 333.016948627514 -484.583735481083</t>
  </si>
  <si>
    <t>-403.752756170677 228.229147583981 -327.07970206172</t>
  </si>
  <si>
    <t>-577.43349429884 26.8288657675015 -774.629378988074</t>
  </si>
  <si>
    <t>-594.156342265792 205.992035003135 -242.976130488074</t>
  </si>
  <si>
    <t>-593.338693708602 236.045267978158 211.72574725131</t>
  </si>
  <si>
    <t>-631.664903501745 252.385994672763 680.37168980403</t>
  </si>
  <si>
    <t>-476.468756124499 228.584762526908 759.688535448708</t>
  </si>
  <si>
    <t>-620.737695193332 16.0909599807209 -245.547084791958</t>
  </si>
  <si>
    <t>-628.131817603417 16.6215707718284 210.087303500836</t>
  </si>
  <si>
    <t>-653.295645277542 6.80623099821979 678.515002680498</t>
  </si>
  <si>
    <t>-497.39298604856 -34.7930405254714 748.56771092453</t>
  </si>
  <si>
    <t>9763-20170724T164124.323475000.bin</t>
  </si>
  <si>
    <t>-605.870188376241 109.628083207525 -244.377563834409</t>
  </si>
  <si>
    <t>-624.493918536778 113.704176067724 -363.978407395457</t>
  </si>
  <si>
    <t>-622.250123539477 104.36480310128 -484.801848094885</t>
  </si>
  <si>
    <t>-611.492831427025 90.8667871929539 -592.954229806237</t>
  </si>
  <si>
    <t>-592.096218991262 72.5997545542175 -699.18481011427</t>
  </si>
  <si>
    <t>-556.168052140323 42.5104070647502 -844.111715888261</t>
  </si>
  <si>
    <t>-498.140656533419 25.5872711148401 -926.144622826884</t>
  </si>
  <si>
    <t>-569.60685894603 86.9766451675416 -785.844394987115</t>
  </si>
  <si>
    <t>-566.003043570505 233.972736917802 -785.449012467226</t>
  </si>
  <si>
    <t>-581.637756778107 331.67539469728 -484.789766055447</t>
  </si>
  <si>
    <t>-402.370357025022 227.742562842123 -327.617192839865</t>
  </si>
  <si>
    <t>-574.523492802139 24.6713896935045 -774.12760023761</t>
  </si>
  <si>
    <t>-593.068660109516 204.244205114572 -242.812510727174</t>
  </si>
  <si>
    <t>-591.819321098729 235.401583426942 211.814094779117</t>
  </si>
  <si>
    <t>-631.429265689602 252.004072613692 680.316163900346</t>
  </si>
  <si>
    <t>-476.113620330691 229.403306625422 759.750148694928</t>
  </si>
  <si>
    <t>-618.656390111141 15.0228642167558 -245.150585112541</t>
  </si>
  <si>
    <t>-626.961831961779 16.0766058197029 210.46713817398</t>
  </si>
  <si>
    <t>-653.389012303075 6.68244330331571 678.863722693381</t>
  </si>
  <si>
    <t>-497.711994751556 -35.7441118700606 748.921930630353</t>
  </si>
  <si>
    <t>9763-20170724T164124.388164700.bin</t>
  </si>
  <si>
    <t>-602.772722646935 107.453832485539 -243.93079850626</t>
  </si>
  <si>
    <t>-621.169651688147 111.093347420044 -363.580714041633</t>
  </si>
  <si>
    <t>-618.564552573092 101.435031879077 -484.371850438233</t>
  </si>
  <si>
    <t>-607.432459595582 87.7034215673051 -592.456851196744</t>
  </si>
  <si>
    <t>-587.617538425926 69.2595327501474 -698.579581618523</t>
  </si>
  <si>
    <t>-551.066953340276 38.9858478443429 -843.312362740298</t>
  </si>
  <si>
    <t>-492.569596812835 22.1733525096759 -925.03377004366</t>
  </si>
  <si>
    <t>-565.067225181293 83.5341718438189 -785.240388517121</t>
  </si>
  <si>
    <t>-562.927697949163 230.571755371658 -785.331228333932</t>
  </si>
  <si>
    <t>-579.720091316541 329.259638070093 -485.05645760436</t>
  </si>
  <si>
    <t>-399.342607503343 226.5327992115 -328.361787852564</t>
  </si>
  <si>
    <t>-569.41161643667 21.2278577464304 -773.30494369561</t>
  </si>
  <si>
    <t>-590.845553595757 201.526906598795 -242.638079875106</t>
  </si>
  <si>
    <t>-588.618376901515 234.492870704535 211.857179366975</t>
  </si>
  <si>
    <t>-630.81554364528 251.418403805542 680.010894370872</t>
  </si>
  <si>
    <t>-475.409166521775 231.156073651381 759.897143720815</t>
  </si>
  <si>
    <t>-614.735090467321 13.3693267159942 -244.508286893295</t>
  </si>
  <si>
    <t>-624.284390701226 15.6294262903218 211.080808804098</t>
  </si>
  <si>
    <t>-653.532257708613 6.62934158141925 679.376740184458</t>
  </si>
  <si>
    <t>-497.845548884745 -35.7862274363095 749.420187364428</t>
  </si>
  <si>
    <t>9763-20170724T164124.425263200.bin</t>
  </si>
  <si>
    <t>-601.424770398385 106.610480810175 -243.679593449478</t>
  </si>
  <si>
    <t>-619.630513129364 110.031548258381 -363.365311810143</t>
  </si>
  <si>
    <t>-616.847314920197 100.248049196834 -484.142387881186</t>
  </si>
  <si>
    <t>-605.562982695166 86.4428306976453 -592.20219874573</t>
  </si>
  <si>
    <t>-585.606012987247 67.9642769677698 -698.292269919661</t>
  </si>
  <si>
    <t>-548.869466096916 37.6826763414244 -842.97637424606</t>
  </si>
  <si>
    <t>-490.178219215328 20.9515850110203 -924.575321245567</t>
  </si>
  <si>
    <t>-563.068842527342 82.2364599104411 -784.956833957285</t>
  </si>
  <si>
    <t>-561.49940476366 229.274111561232 -785.187445872907</t>
  </si>
  <si>
    <t>-578.26345455209 328.113067699409 -484.960850066754</t>
  </si>
  <si>
    <t>-397.598356836794 225.900108177732 -328.261528787348</t>
  </si>
  <si>
    <t>-567.179623447437 19.9262709028372 -772.959325479538</t>
  </si>
  <si>
    <t>-589.851351716483 200.413879943507 -242.522795161451</t>
  </si>
  <si>
    <t>-587.33200388096 234.326397350045 211.901332373909</t>
  </si>
  <si>
    <t>-630.557516746033 251.200988081421 679.914297642887</t>
  </si>
  <si>
    <t>-475.105012537134 231.951610116991 759.961100064877</t>
  </si>
  <si>
    <t>-613.035721077248 12.7503849623039 -244.184669868354</t>
  </si>
  <si>
    <t>-622.973885376134 15.402046096891 211.393854173252</t>
  </si>
  <si>
    <t>-653.604382564894 6.57212402798932 679.583821570744</t>
  </si>
  <si>
    <t>-497.958278983685 -36.0374107238511 749.599830547614</t>
  </si>
  <si>
    <t>9763-20170724T164124.490485400.bin</t>
  </si>
  <si>
    <t>-599.09491479628 105.03074001695 -243.281731980534</t>
  </si>
  <si>
    <t>-617.307893895199 108.275256216791 -362.971073616761</t>
  </si>
  <si>
    <t>-614.44011846192 98.4227613312105 -483.740623641917</t>
  </si>
  <si>
    <t>-603.04297361827 84.6044363091503 -591.786951137565</t>
  </si>
  <si>
    <t>-582.937891392644 66.1641669168737 -697.855763755486</t>
  </si>
  <si>
    <t>-545.960023637496 35.9915000045047 -842.500987649266</t>
  </si>
  <si>
    <t>-486.998676146109 19.4534381907875 -923.944497461236</t>
  </si>
  <si>
    <t>-560.464472211978 80.5043890085602 -784.525625846766</t>
  </si>
  <si>
    <t>-559.795626462778 227.559166781335 -784.887443510838</t>
  </si>
  <si>
    <t>-575.719572682688 325.985736653244 -484.47951428402</t>
  </si>
  <si>
    <t>-394.737047899137 224.670049113259 -327.564061698536</t>
  </si>
  <si>
    <t>-564.178756287607 18.1796312182961 -772.474294476754</t>
  </si>
  <si>
    <t>-588.00806508724 198.59695425355 -242.214609316897</t>
  </si>
  <si>
    <t>-584.769019237106 233.698147502682 212.114726751153</t>
  </si>
  <si>
    <t>-630.167481667884 250.85917784154 679.850839688294</t>
  </si>
  <si>
    <t>-474.669830115447 233.022874986335 760.136966510784</t>
  </si>
  <si>
    <t>-610.337107432554 11.4352623610025 -243.707309075606</t>
  </si>
  <si>
    <t>-621.091843951303 14.9520526665905 211.846922300839</t>
  </si>
  <si>
    <t>-653.779195124863 6.51388022160481 679.894261816627</t>
  </si>
  <si>
    <t>-498.18299041505 -36.4147375548495 749.826186409408</t>
  </si>
  <si>
    <t>9763-20170724T164124.522571000.bin</t>
  </si>
  <si>
    <t>-598.096985946525 104.306683252747 -243.158173569813</t>
  </si>
  <si>
    <t>-616.279536192278 107.459651101792 -362.854651887189</t>
  </si>
  <si>
    <t>-613.377662931352 97.5701865711683 -483.620214523796</t>
  </si>
  <si>
    <t>-601.947531320916 83.7440201674436 -591.662127262413</t>
  </si>
  <si>
    <t>-581.80693188951 65.3231089678348 -697.727644088202</t>
  </si>
  <si>
    <t>-544.776511577822 35.2069833943288 -842.371197351013</t>
  </si>
  <si>
    <t>-485.747766184793 18.7706550355338 -923.7864346567</t>
  </si>
  <si>
    <t>-559.388298478592 79.6978723855871 -784.405843008113</t>
  </si>
  <si>
    <t>-559.113450316716 226.755952980722 -784.813476273572</t>
  </si>
  <si>
    <t>-574.431717339313 324.643170922978 -484.198016644226</t>
  </si>
  <si>
    <t>-393.409184061623 223.881148231787 -326.972476352289</t>
  </si>
  <si>
    <t>-562.93434891006 17.3669940742178 -772.335926672532</t>
  </si>
  <si>
    <t>-587.016975710793 197.768991188151 -242.145333937216</t>
  </si>
  <si>
    <t>-583.762459832656 233.407447123601 212.141938682853</t>
  </si>
  <si>
    <t>-629.978312978985 250.832127871015 679.764105359892</t>
  </si>
  <si>
    <t>-474.49488764434 233.435714087893 760.174116895323</t>
  </si>
  <si>
    <t>-609.231776981769 10.7288253810415 -243.528920181049</t>
  </si>
  <si>
    <t>-620.401828981848 14.6422993076733 212.012117704401</t>
  </si>
  <si>
    <t>-653.869744362425 6.43716623032199 680.016057959181</t>
  </si>
  <si>
    <t>-498.372742631113 -36.8927608842091 749.921220012119</t>
  </si>
  <si>
    <t>9763-20170724T164124.564896700.bin</t>
  </si>
  <si>
    <t>-597.151844015339 103.640984107079 -243.088321544947</t>
  </si>
  <si>
    <t>-615.308723946802 106.709270774394 -362.790960461805</t>
  </si>
  <si>
    <t>-612.387840225297 96.7901267826273 -483.553774844403</t>
  </si>
  <si>
    <t>-600.943255719568 82.9615551551931 -591.593690263005</t>
  </si>
  <si>
    <t>-580.790534018561 64.5631560220881 -697.660791145941</t>
  </si>
  <si>
    <t>-543.745353055177 34.5049584714658 -842.312627753602</t>
  </si>
  <si>
    <t>-484.674413017512 18.1671907775526 -923.716961607778</t>
  </si>
  <si>
    <t>-558.41917138135 78.9729849498865 -784.345403022695</t>
  </si>
  <si>
    <t>-558.462557668954 226.025576586589 -784.737383868462</t>
  </si>
  <si>
    <t>-573.285704974322 323.324560670683 -483.906282769655</t>
  </si>
  <si>
    <t>-392.26678300694 222.913044451344 -326.452385839781</t>
  </si>
  <si>
    <t>-561.854364909841 16.6365858673684 -772.271772477157</t>
  </si>
  <si>
    <t>-586.085227409873 197.059975414291 -242.098575954786</t>
  </si>
  <si>
    <t>-583.038329307506 233.194491942745 212.151035770343</t>
  </si>
  <si>
    <t>-629.804630955916 250.833565188744 679.678522547562</t>
  </si>
  <si>
    <t>-474.34654314805 233.744022995092 760.203301644339</t>
  </si>
  <si>
    <t>-608.240993530697 10.1165501863771 -243.388414122828</t>
  </si>
  <si>
    <t>-619.783781382161 14.437761195206 212.139688583578</t>
  </si>
  <si>
    <t>-653.929951989755 6.50280278594686 680.125797022192</t>
  </si>
  <si>
    <t>-498.274401051525 -36.3568982415678 749.967797238449</t>
  </si>
  <si>
    <t>9763-20170724T164124.623050000.bin</t>
  </si>
  <si>
    <t>-595.514747564806 102.302599861335 -242.907344131022</t>
  </si>
  <si>
    <t>-613.556199017136 105.228565978155 -362.631068481117</t>
  </si>
  <si>
    <t>-610.587373675539 95.3301588180428 -483.394231577164</t>
  </si>
  <si>
    <t>-599.128996683518 81.5849733586171 -591.443506724639</t>
  </si>
  <si>
    <t>-578.992148717905 63.332410695401 -697.538660267454</t>
  </si>
  <si>
    <t>-541.999045407234 33.5393407637286 -842.258805886731</t>
  </si>
  <si>
    <t>-482.891573093884 17.4282234375283 -923.68192305822</t>
  </si>
  <si>
    <t>-556.705508133769 77.9012885469135 -784.218696328644</t>
  </si>
  <si>
    <t>-557.075214302981 224.960592119909 -784.530894971995</t>
  </si>
  <si>
    <t>-571.925742567027 320.959267349073 -483.283567049011</t>
  </si>
  <si>
    <t>-390.514061521762 221.176039022519 -325.882312951924</t>
  </si>
  <si>
    <t>-560.029167626319 15.5423816576042 -772.230641513498</t>
  </si>
  <si>
    <t>-584.590819395002 195.667466304772 -242.010930081062</t>
  </si>
  <si>
    <t>-581.569039160699 232.811795554185 212.157360242541</t>
  </si>
  <si>
    <t>-629.500772570153 250.799054948266 679.579791933545</t>
  </si>
  <si>
    <t>-474.073563582162 234.293659733907 760.285871556129</t>
  </si>
  <si>
    <t>-606.536594062939 8.86588676881331 -243.123104199515</t>
  </si>
  <si>
    <t>-618.818933444882 13.8698828607553 212.378617262893</t>
  </si>
  <si>
    <t>-654.109919379767 6.30297068316766 680.313561463906</t>
  </si>
  <si>
    <t>-498.716843404087 -37.5764100046659 750.106871009654</t>
  </si>
  <si>
    <t>9763-20170724T164124.688755200.bin</t>
  </si>
  <si>
    <t>-594.119698139868 101.196818138129 -242.779790667948</t>
  </si>
  <si>
    <t>-612.167095380668 104.085758992799 -362.50350301956</t>
  </si>
  <si>
    <t>-609.214962546979 94.2231903386458 -483.270134445134</t>
  </si>
  <si>
    <t>-597.775711773071 80.5410936621695 -591.329322817276</t>
  </si>
  <si>
    <t>-577.661276178064 62.3824660096086 -697.444802275627</t>
  </si>
  <si>
    <t>-540.702045676464 32.7521196052105 -842.206956887303</t>
  </si>
  <si>
    <t>-481.600287151245 16.7873338108062 -923.663014520844</t>
  </si>
  <si>
    <t>-555.427079567156 77.0489731822537 -784.121845907911</t>
  </si>
  <si>
    <t>-555.96058400374 224.105515682661 -784.281269695762</t>
  </si>
  <si>
    <t>-570.604773297047 319.789751875628 -482.923879117699</t>
  </si>
  <si>
    <t>-389.262082316066 219.48375511443 -325.775640049898</t>
  </si>
  <si>
    <t>-558.683648868233 14.67631564951 -772.18662706891</t>
  </si>
  <si>
    <t>-583.056901092347 194.495254962758 -241.951607723764</t>
  </si>
  <si>
    <t>-580.170383420571 232.381023318296 212.156391279738</t>
  </si>
  <si>
    <t>-629.188623760044 250.820940476636 679.42883479559</t>
  </si>
  <si>
    <t>-473.820679898511 234.800506436941 760.346467940463</t>
  </si>
  <si>
    <t>-605.096875412656 7.8879191092018 -242.928144929369</t>
  </si>
  <si>
    <t>-617.777800933822 13.4930046185864 212.5555415679</t>
  </si>
  <si>
    <t>-654.299423799459 6.08364659796086 680.434446633315</t>
  </si>
  <si>
    <t>-498.858514917169 -37.7147096806297 750.172072893117</t>
  </si>
  <si>
    <t>9763-20170724T164124.721843400.bin</t>
  </si>
  <si>
    <t>-593.382275793905 100.804819861512 -242.76251085211</t>
  </si>
  <si>
    <t>-611.430025758479 103.659644338509 -362.486844196544</t>
  </si>
  <si>
    <t>-608.484292909662 93.8102087881525 -483.25479441041</t>
  </si>
  <si>
    <t>-597.054432373344 80.157242718322 -591.318764328472</t>
  </si>
  <si>
    <t>-576.953653701739 62.043756287739 -697.4446430696</t>
  </si>
  <si>
    <t>-540.017992235505 32.4913716058909 -842.228648135422</t>
  </si>
  <si>
    <t>-480.905285980425 16.5821959498078 -923.687667687522</t>
  </si>
  <si>
    <t>-554.719608849941 76.7568551762467 -784.113655218692</t>
  </si>
  <si>
    <t>-555.163822894364 223.815165635508 -784.204644034783</t>
  </si>
  <si>
    <t>-570.097725192355 319.340494877108 -482.811136107294</t>
  </si>
  <si>
    <t>-388.572082574805 218.916751765968 -325.949631301368</t>
  </si>
  <si>
    <t>-558.002110581721 14.377926535469 -772.218674376431</t>
  </si>
  <si>
    <t>-582.250048433188 194.048833663906 -241.948804226017</t>
  </si>
  <si>
    <t>-579.552892708328 232.366740432762 212.123922633968</t>
  </si>
  <si>
    <t>-629.013238399127 250.839537945112 679.326729633845</t>
  </si>
  <si>
    <t>-473.670070733136 235.146479875431 760.355952728389</t>
  </si>
  <si>
    <t>-604.464201790883 7.52852058335381 -242.857417765529</t>
  </si>
  <si>
    <t>-617.248679544297 13.4481875703536 212.619458399451</t>
  </si>
  <si>
    <t>-654.357759591493 6.21897800236786 680.469194188935</t>
  </si>
  <si>
    <t>-498.536443737399 -36.3095717100282 750.143839407621</t>
  </si>
  <si>
    <t>9763-20170724T164124.792548400.bin</t>
  </si>
  <si>
    <t>-592.296442016417 99.9540625574686 -242.653714937975</t>
  </si>
  <si>
    <t>-610.303895178836 102.796506519519 -362.384407906701</t>
  </si>
  <si>
    <t>-607.340605428059 92.9867898269478 -483.155040857607</t>
  </si>
  <si>
    <t>-595.905478623608 79.3886669331557 -591.225298700242</t>
  </si>
  <si>
    <t>-575.81032190225 61.3473687983959 -697.364594844465</t>
  </si>
  <si>
    <t>-538.893927126493 31.9117530551416 -842.177412764409</t>
  </si>
  <si>
    <t>-479.77427037658 16.0512543019846 -923.640795842425</t>
  </si>
  <si>
    <t>-553.553231723659 76.1302103746123 -784.01595493603</t>
  </si>
  <si>
    <t>-554.016219012142 223.184229707584 -784.016990766562</t>
  </si>
  <si>
    <t>-569.557878143718 318.555982822385 -482.60558368419</t>
  </si>
  <si>
    <t>-387.422608944737 218.187107881062 -326.416968322871</t>
  </si>
  <si>
    <t>-556.903340993561 13.7419901734092 -772.188516876569</t>
  </si>
  <si>
    <t>-581.141192521098 193.229698143903 -241.866631857414</t>
  </si>
  <si>
    <t>-578.316558916488 232.154260746554 212.15390297995</t>
  </si>
  <si>
    <t>-628.75570785827 250.927568944099 679.238630626426</t>
  </si>
  <si>
    <t>-473.466143112085 235.523026712833 760.425875460307</t>
  </si>
  <si>
    <t>-603.486823914756 6.64363048777541 -242.720784456461</t>
  </si>
  <si>
    <t>-616.423273477847 12.9529655487558 212.746513351888</t>
  </si>
  <si>
    <t>-654.59697139275 5.66670618339595 680.517914870554</t>
  </si>
  <si>
    <t>-499.509355871433 -39.4298049359606 750.214741175399</t>
  </si>
  <si>
    <t>9763-20170724T164124.823636200.bin</t>
  </si>
  <si>
    <t>-591.828313238583 99.7117937127486 -242.628359121167</t>
  </si>
  <si>
    <t>-609.915915471594 102.578393858148 -362.34633360878</t>
  </si>
  <si>
    <t>-607.004101746461 92.7878937276865 -483.119913319007</t>
  </si>
  <si>
    <t>-595.602399985297 79.2069798261331 -591.195776737517</t>
  </si>
  <si>
    <t>-575.526851591566 61.1840700581895 -697.341923125994</t>
  </si>
  <si>
    <t>-538.623182417566 31.7766123908823 -842.16365864491</t>
  </si>
  <si>
    <t>-479.502578481459 15.9352246552081 -923.630107166393</t>
  </si>
  <si>
    <t>-553.27876041505 75.9837214542964 -783.992646047957</t>
  </si>
  <si>
    <t>-553.752298839355 223.031023513769 -783.943543661658</t>
  </si>
  <si>
    <t>-569.343117598474 318.849139786476 -482.67620352892</t>
  </si>
  <si>
    <t>-387.092863089951 218.45514197876 -326.637854487751</t>
  </si>
  <si>
    <t>-556.625002399161 13.5932255373804 -772.176283870109</t>
  </si>
  <si>
    <t>-580.550815390645 192.930037493943 -241.84011466221</t>
  </si>
  <si>
    <t>-577.697802818033 232.128397344726 212.156555545277</t>
  </si>
  <si>
    <t>-628.62182283504 250.968092357092 679.172330685858</t>
  </si>
  <si>
    <t>-473.340209879159 235.810910074133 760.421241590979</t>
  </si>
  <si>
    <t>-603.152297689719 6.48556038840931 -242.688417190734</t>
  </si>
  <si>
    <t>-616.06115502529 12.9953403921343 212.776932970639</t>
  </si>
  <si>
    <t>-654.651431593928 5.89669107373113 680.522641542714</t>
  </si>
  <si>
    <t>-498.985057720101 -37.32145672449 750.119335423962</t>
  </si>
  <si>
    <t>9763-20170724T164124.889829400.bin</t>
  </si>
  <si>
    <t>-591.136730035422 99.2815905086088 -242.576533441865</t>
  </si>
  <si>
    <t>-609.189287680721 102.128358809184 -362.30050212498</t>
  </si>
  <si>
    <t>-606.272928948682 92.34553546709 -483.074428056352</t>
  </si>
  <si>
    <t>-594.880129716664 78.7809820243849 -591.153434322296</t>
  </si>
  <si>
    <t>-574.826729948713 60.7830812309637 -697.307969988259</t>
  </si>
  <si>
    <t>-537.967046976466 31.4180827105687 -842.149487114097</t>
  </si>
  <si>
    <t>-478.827672443246 15.5717221945816 -923.601319666519</t>
  </si>
  <si>
    <t>-552.560027012802 75.6079342141281 -783.94957307905</t>
  </si>
  <si>
    <t>-552.525838002964 222.674180091018 -783.580599141259</t>
  </si>
  <si>
    <t>-568.709005842038 320.89776962068 -483.120291986757</t>
  </si>
  <si>
    <t>-386.349153528039 221.240887778165 -326.738078982675</t>
  </si>
  <si>
    <t>-555.992532895915 13.2144545282098 -772.173498097812</t>
  </si>
  <si>
    <t>-579.56192854503 192.5221462722 -241.837037262424</t>
  </si>
  <si>
    <t>-576.760306097454 232.167060594519 212.121264876055</t>
  </si>
  <si>
    <t>-628.365840732642 251.105279573369 679.038665285414</t>
  </si>
  <si>
    <t>-473.125612636779 236.273326702726 760.426499291705</t>
  </si>
  <si>
    <t>-602.635102215594 6.03114254832997 -242.615489462535</t>
  </si>
  <si>
    <t>-615.538802410386 12.7430028108736 212.847129803237</t>
  </si>
  <si>
    <t>-654.82337815647 5.6851086115864 680.547453448298</t>
  </si>
  <si>
    <t>-499.227564419331 -37.8392558479639 750.111069077406</t>
  </si>
  <si>
    <t>9763-20170724T164124.924923300.bin</t>
  </si>
  <si>
    <t>-590.882389654648 99.1111902386091 -242.576984538066</t>
  </si>
  <si>
    <t>-609.025623234392 101.969413514976 -362.286823753905</t>
  </si>
  <si>
    <t>-606.1676235959 92.2009340149868 -483.063459160461</t>
  </si>
  <si>
    <t>-594.814939413284 78.648842275944 -591.148210069735</t>
  </si>
  <si>
    <t>-574.789489002224 60.6620310820382 -697.309737250499</t>
  </si>
  <si>
    <t>-537.956772721772 31.3104229255732 -842.160902198965</t>
  </si>
  <si>
    <t>-478.813708361787 15.4551497952666 -923.608491947098</t>
  </si>
  <si>
    <t>-552.502796063499 75.4945556551153 -783.945017433588</t>
  </si>
  <si>
    <t>-552.279217692634 222.552790021744 -783.522230339464</t>
  </si>
  <si>
    <t>-568.983321576633 321.708760202088 -483.396859710792</t>
  </si>
  <si>
    <t>-386.575915217261 222.573700016451 -326.738378203617</t>
  </si>
  <si>
    <t>-556.005368562143 13.1005920383201 -772.192629105341</t>
  </si>
  <si>
    <t>-579.292645597727 192.446543959074 -241.831588763327</t>
  </si>
  <si>
    <t>-576.321580230917 232.110575711307 212.123991355731</t>
  </si>
  <si>
    <t>-628.2713611659 251.196436139744 679.008228918531</t>
  </si>
  <si>
    <t>-473.060036172947 236.350626462731 760.448753959967</t>
  </si>
  <si>
    <t>-602.537264402245 5.74701762744596 -242.583870375546</t>
  </si>
  <si>
    <t>-615.37508740961 12.5774832514802 212.878744258756</t>
  </si>
  <si>
    <t>-654.914549089354 5.45574699253626 680.56866270636</t>
  </si>
  <si>
    <t>-499.593824898603 -39.0123049649869 750.150136583115</t>
  </si>
  <si>
    <t>9763-20170724T164124.991107400.bin</t>
  </si>
  <si>
    <t>-590.917062474316 98.835282965877 -242.493407341234</t>
  </si>
  <si>
    <t>-609.04326294704 101.692054736446 -362.205883381291</t>
  </si>
  <si>
    <t>-606.153354503266 91.9099992134829 -482.980736535579</t>
  </si>
  <si>
    <t>-594.767680005244 78.3384985250438 -591.059568610382</t>
  </si>
  <si>
    <t>-574.706083498196 60.3240047428615 -697.209587097542</t>
  </si>
  <si>
    <t>-537.820940615152 30.9241787631816 -842.037703713168</t>
  </si>
  <si>
    <t>-478.609851065152 14.9987680189165 -923.421935288867</t>
  </si>
  <si>
    <t>-552.334082149784 75.127218154868 -783.82782799468</t>
  </si>
  <si>
    <t>-552.004338253058 222.175573417771 -783.431357293158</t>
  </si>
  <si>
    <t>-568.604842129469 321.82939172484 -483.465200957168</t>
  </si>
  <si>
    <t>-385.307326346844 225.907498651199 -325.848277066689</t>
  </si>
  <si>
    <t>-555.948779286274 12.7381033044732 -772.083613876354</t>
  </si>
  <si>
    <t>-579.179320509126 192.27893807104 -241.764623899376</t>
  </si>
  <si>
    <t>-575.915678343957 232.168664412007 212.169114100463</t>
  </si>
  <si>
    <t>-628.155018412408 251.406621246284 679.019833874553</t>
  </si>
  <si>
    <t>-472.962392863862 236.404988130632 760.467477573184</t>
  </si>
  <si>
    <t>-602.688118333525 5.33250569258952 -242.527304963975</t>
  </si>
  <si>
    <t>-615.444189694126 12.2177347615335 212.936736501983</t>
  </si>
  <si>
    <t>-655.098659902463 5.15863691710175 680.617323463607</t>
  </si>
  <si>
    <t>-499.807211908953 -39.4283419556501 750.187897671608</t>
  </si>
  <si>
    <t>9763-20170724T164125.025198400.bin</t>
  </si>
  <si>
    <t>-591.012660562491 98.7196052498637 -242.460118741576</t>
  </si>
  <si>
    <t>-609.142502866382 101.581016469541 -362.17184769926</t>
  </si>
  <si>
    <t>-606.231070455963 91.8031943785902 -482.946334490113</t>
  </si>
  <si>
    <t>-594.815914830087 78.2356918119312 -591.022506695636</t>
  </si>
  <si>
    <t>-574.715266733192 60.2257721541126 -697.166181812426</t>
  </si>
  <si>
    <t>-537.766355161996 30.8332622253224 -841.979355540435</t>
  </si>
  <si>
    <t>-478.520763086358 14.8825790862293 -923.333630475247</t>
  </si>
  <si>
    <t>-552.300624434703 75.0333621712826 -783.772579605146</t>
  </si>
  <si>
    <t>-552.06461630146 222.094518291544 -783.351764338085</t>
  </si>
  <si>
    <t>-567.800710095427 321.146282781979 -483.139647490793</t>
  </si>
  <si>
    <t>-383.837050526509 227.058659759967 -325.193690127123</t>
  </si>
  <si>
    <t>-555.929538738954 12.6437155811882 -772.035308773499</t>
  </si>
  <si>
    <t>-579.160044365803 192.270431883588 -241.729290721229</t>
  </si>
  <si>
    <t>-575.849172339029 232.166822850481 212.203428429502</t>
  </si>
  <si>
    <t>-628.118647295074 251.491112515368 679.043723848775</t>
  </si>
  <si>
    <t>-472.910943255839 236.46415455246 760.457849538849</t>
  </si>
  <si>
    <t>-602.864278470926 5.12587133072842 -242.502176439433</t>
  </si>
  <si>
    <t>-615.659190092762 12.0535755264825 212.960108210265</t>
  </si>
  <si>
    <t>-655.181326432118 5.10606267783015 680.656592028104</t>
  </si>
  <si>
    <t>-499.719533813351 -38.9362568660478 750.193767531471</t>
  </si>
  <si>
    <t>9763-20170724T164125.063307500.bin</t>
  </si>
  <si>
    <t>-591.210654886102 98.5473711227363 -242.454371685185</t>
  </si>
  <si>
    <t>-609.362301041469 101.424171957557 -362.162537746582</t>
  </si>
  <si>
    <t>-606.438829594885 91.6517768662622 -482.937211152755</t>
  </si>
  <si>
    <t>-594.999266392208 78.085746475079 -591.010973267263</t>
  </si>
  <si>
    <t>-574.86097018694 60.0744054475642 -697.147254341213</t>
  </si>
  <si>
    <t>-537.846636131156 30.6774665041195 -841.942812623212</t>
  </si>
  <si>
    <t>-478.562238156583 14.6998419113285 -923.263452926329</t>
  </si>
  <si>
    <t>-552.405760981117 74.8793284681429 -783.743641687166</t>
  </si>
  <si>
    <t>-552.364290542621 221.936713262742 -783.306284412968</t>
  </si>
  <si>
    <t>-566.472987106456 319.993977533672 -482.687147104135</t>
  </si>
  <si>
    <t>-381.98122290367 227.579363272409 -324.369796274598</t>
  </si>
  <si>
    <t>-556.042867823294 12.4900467393885 -772.006826581963</t>
  </si>
  <si>
    <t>-579.283871619045 192.146693325043 -241.722798427027</t>
  </si>
  <si>
    <t>-575.97672043217 232.130364688423 212.202421879895</t>
  </si>
  <si>
    <t>-628.06163672872 251.583131296528 679.02971852045</t>
  </si>
  <si>
    <t>-472.848448525776 236.574542006851 760.436749558878</t>
  </si>
  <si>
    <t>-603.125560840915 4.89076618677093 -242.486451882523</t>
  </si>
  <si>
    <t>-615.982102892332 11.8261235710033 212.974072930569</t>
  </si>
  <si>
    <t>-655.271743658595 5.00139940257417 680.696654669838</t>
  </si>
  <si>
    <t>-499.754306416202 -38.8833782191536 750.208994878129</t>
  </si>
  <si>
    <t>9763-20170724T164125.126479200.bin</t>
  </si>
  <si>
    <t>-591.819199723411 98.3964796682697 -242.445796302353</t>
  </si>
  <si>
    <t>-609.858856158439 101.23464304726 -362.171716256836</t>
  </si>
  <si>
    <t>-606.864456023905 91.5005750435478 -482.947848837373</t>
  </si>
  <si>
    <t>-595.381282637211 77.9952580357309 -591.024616947422</t>
  </si>
  <si>
    <t>-575.221363845153 60.0668086600885 -697.170763643449</t>
  </si>
  <si>
    <t>-538.200535546041 30.8045006291092 -841.991950277751</t>
  </si>
  <si>
    <t>-478.844800262692 14.7909526920774 -923.253482279167</t>
  </si>
  <si>
    <t>-552.769357438036 74.9523039829852 -783.754222103093</t>
  </si>
  <si>
    <t>-552.633989279072 221.993703948446 -783.007338399619</t>
  </si>
  <si>
    <t>-562.570401227214 318.993878129602 -481.878707824017</t>
  </si>
  <si>
    <t>-377.525014712284 230.944983856664 -321.729814438802</t>
  </si>
  <si>
    <t>-556.392882430113 12.5520201396033 -772.071861430073</t>
  </si>
  <si>
    <t>-579.993048335166 192.19237392659 -241.719781815041</t>
  </si>
  <si>
    <t>-576.520887657955 232.144779094512 212.206911529555</t>
  </si>
  <si>
    <t>-627.99521767655 251.792206643216 679.084315894512</t>
  </si>
  <si>
    <t>-472.744274338656 236.726782997391 760.408937117441</t>
  </si>
  <si>
    <t>-603.630224428319 4.57501431717054 -242.489455515175</t>
  </si>
  <si>
    <t>-616.747431965452 11.5146180239731 212.963579477471</t>
  </si>
  <si>
    <t>-655.427317323014 4.90913349052221 680.773650476117</t>
  </si>
  <si>
    <t>-499.695257233402 -38.3121232723712 750.221198353088</t>
  </si>
  <si>
    <t>9763-20170724T164125.188644100.bin</t>
  </si>
  <si>
    <t>-592.669884553982 98.3519276745608 -242.468743363494</t>
  </si>
  <si>
    <t>-610.754561099975 101.20567262252 -362.187605888564</t>
  </si>
  <si>
    <t>-607.738202264211 91.5467939926839 -482.96915146569</t>
  </si>
  <si>
    <t>-596.214372050844 78.1238543998867 -591.051794863636</t>
  </si>
  <si>
    <t>-575.997134067098 60.2861309346735 -697.202281435062</t>
  </si>
  <si>
    <t>-538.882963407538 31.1530132120481 -842.025729343805</t>
  </si>
  <si>
    <t>-479.444382423382 15.1416054349069 -923.227162947347</t>
  </si>
  <si>
    <t>-553.437067358023 75.2482661955009 -783.744469174402</t>
  </si>
  <si>
    <t>-552.772916759699 222.300476213571 -782.66639949794</t>
  </si>
  <si>
    <t>-559.585792049657 319.085638495597 -481.381906975946</t>
  </si>
  <si>
    <t>-374.842585135675 232.966518473649 -319.840778260592</t>
  </si>
  <si>
    <t>-557.172680839657 12.8387450343494 -772.147402956791</t>
  </si>
  <si>
    <t>-580.905682212561 192.308571278057 -241.71443190399</t>
  </si>
  <si>
    <t>-577.470586273366 232.197922556968 212.218028206761</t>
  </si>
  <si>
    <t>-627.966996960937 252.028779288252 679.179308529034</t>
  </si>
  <si>
    <t>-472.624569391287 237.00905585037 760.337425752946</t>
  </si>
  <si>
    <t>-604.415821531319 4.37146842236484 -242.506641351552</t>
  </si>
  <si>
    <t>-617.512513778532 11.220796555457 212.948369336562</t>
  </si>
  <si>
    <t>-655.570102189371 4.82127065095888 680.836942174151</t>
  </si>
  <si>
    <t>-499.778726700695 -38.2039577402346 750.27315705412</t>
  </si>
  <si>
    <t>9763-20170724T164125.225743000.bin</t>
  </si>
  <si>
    <t>-593.022555999541 98.3003288046748 -242.478863651705</t>
  </si>
  <si>
    <t>-611.037817644783 101.165740734769 -362.207889572914</t>
  </si>
  <si>
    <t>-607.969892983539 91.5373772077288 -482.990515754855</t>
  </si>
  <si>
    <t>-596.409149375989 78.1457678311271 -591.073258939432</t>
  </si>
  <si>
    <t>-576.165881714499 60.3407763300295 -697.224232300175</t>
  </si>
  <si>
    <t>-539.027535341392 31.2522588969442 -842.050346846679</t>
  </si>
  <si>
    <t>-479.556979790028 15.2189064309327 -923.224015973705</t>
  </si>
  <si>
    <t>-553.556500142559 75.3291572729014 -783.748868409137</t>
  </si>
  <si>
    <t>-552.667456589202 222.37530070104 -782.580275299276</t>
  </si>
  <si>
    <t>-558.599513060636 319.011374585952 -481.229208244269</t>
  </si>
  <si>
    <t>-373.389317636761 234.491698228274 -319.37836591026</t>
  </si>
  <si>
    <t>-557.363715171419 12.9169071164187 -772.18955341766</t>
  </si>
  <si>
    <t>-581.179154469049 192.268318724157 -241.714767575072</t>
  </si>
  <si>
    <t>-577.939774681458 232.229278029756 212.212947649886</t>
  </si>
  <si>
    <t>-627.941990070352 252.156942417714 679.209318161693</t>
  </si>
  <si>
    <t>-472.554706238495 237.170930935377 760.287763521315</t>
  </si>
  <si>
    <t>-604.789296613665 4.27890575050429 -242.532506598087</t>
  </si>
  <si>
    <t>-617.886477435477 11.0730472974259 212.923318573133</t>
  </si>
  <si>
    <t>-655.642033518866 4.75104560338801 680.86209350488</t>
  </si>
  <si>
    <t>-499.689747816414 -37.7129705872762 750.282593517641</t>
  </si>
  <si>
    <t>9763-20170724T164125.290473900.bin</t>
  </si>
  <si>
    <t>-593.70169940241 98.2547269138062 -242.494461418852</t>
  </si>
  <si>
    <t>-611.680996849676 101.175217197073 -362.227554776288</t>
  </si>
  <si>
    <t>-608.483534748218 91.6279864950513 -483.013266876232</t>
  </si>
  <si>
    <t>-596.770860430079 78.3188987319276 -591.089771322377</t>
  </si>
  <si>
    <t>-576.34315581805 60.6051769143833 -697.220827070416</t>
  </si>
  <si>
    <t>-538.917462971679 31.6523976001754 -842.000060570436</t>
  </si>
  <si>
    <t>-479.321710835237 15.5986588913501 -923.077906877581</t>
  </si>
  <si>
    <t>-553.51566625918 75.6739911712901 -783.674164040426</t>
  </si>
  <si>
    <t>-552.334807129544 222.720146804423 -782.414724169553</t>
  </si>
  <si>
    <t>-558.141215906771 318.326921951317 -480.732946503271</t>
  </si>
  <si>
    <t>-371.331793923187 236.5000956084 -319.337033719867</t>
  </si>
  <si>
    <t>-557.438646116406 13.2522472470863 -772.205262573294</t>
  </si>
  <si>
    <t>-581.677977098215 192.382216555447 -241.710014647314</t>
  </si>
  <si>
    <t>-578.391815866214 232.24760391595 212.225668819006</t>
  </si>
  <si>
    <t>-627.882143577983 252.354185300853 679.282608501214</t>
  </si>
  <si>
    <t>-472.427287151556 237.448605019056 760.246269799865</t>
  </si>
  <si>
    <t>-605.692438315274 4.07639914433952 -242.574811803177</t>
  </si>
  <si>
    <t>-618.607796748935 10.7660566293273 212.887718309286</t>
  </si>
  <si>
    <t>-655.800190138435 4.50291359311454 680.904146265423</t>
  </si>
  <si>
    <t>-499.953515082255 -38.3203948714056 750.341067126122</t>
  </si>
  <si>
    <t>9763-20170724T164125.322557500.bin</t>
  </si>
  <si>
    <t>-594.050807235981 98.2946301795292 -242.500953120701</t>
  </si>
  <si>
    <t>-612.07841594956 101.268778679881 -362.225482140559</t>
  </si>
  <si>
    <t>-608.881289714774 91.7598377554345 -483.014316503289</t>
  </si>
  <si>
    <t>-597.148668612069 78.4807570683644 -591.092250478448</t>
  </si>
  <si>
    <t>-576.680852376204 60.7936148841316 -697.21998072253</t>
  </si>
  <si>
    <t>-539.1789118449 31.8756691374627 -841.986478775725</t>
  </si>
  <si>
    <t>-479.538225042449 15.8052145853148 -923.027855343904</t>
  </si>
  <si>
    <t>-553.802442649633 75.8831311598977 -783.65629772824</t>
  </si>
  <si>
    <t>-552.651562889661 222.916919908924 -782.313036118683</t>
  </si>
  <si>
    <t>-558.106892084375 318.316291635053 -480.559289477102</t>
  </si>
  <si>
    <t>-370.448309579057 237.163056494013 -319.809646166836</t>
  </si>
  <si>
    <t>-557.742348606482 13.4588132139913 -772.207268418391</t>
  </si>
  <si>
    <t>-581.918492402482 192.558073308018 -241.69961116808</t>
  </si>
  <si>
    <t>-578.521002133626 232.330309153179 212.243497625521</t>
  </si>
  <si>
    <t>-627.84780602049 252.467132359437 679.302575973169</t>
  </si>
  <si>
    <t>-472.3819519064 237.509139387074 760.235567755978</t>
  </si>
  <si>
    <t>-606.166754838604 4.05064837718504 -242.592186643238</t>
  </si>
  <si>
    <t>-618.953804812385 10.680605692987 212.87483160774</t>
  </si>
  <si>
    <t>-655.868814434371 4.41834016941917 680.92448470659</t>
  </si>
  <si>
    <t>-499.931475673761 -38.0717241402202 750.362622078404</t>
  </si>
  <si>
    <t>9763-20170724T164125.391299800.bin</t>
  </si>
  <si>
    <t>-594.643676557583 98.7325980287262 -242.552996587344</t>
  </si>
  <si>
    <t>-612.759589012916 101.79770278545 -362.261876578253</t>
  </si>
  <si>
    <t>-609.592805961374 92.3979242777928 -483.060012983384</t>
  </si>
  <si>
    <t>-597.864345114518 79.2234573371312 -591.151351745531</t>
  </si>
  <si>
    <t>-577.378321415977 61.6464789776041 -697.293770393255</t>
  </si>
  <si>
    <t>-539.828427058574 32.886885760989 -842.07949409638</t>
  </si>
  <si>
    <t>-480.112746682837 16.8626142399675 -923.074768642701</t>
  </si>
  <si>
    <t>-554.449113345955 76.8301676163732 -783.700195011931</t>
  </si>
  <si>
    <t>-553.256255386628 223.874024199146 -782.275318452336</t>
  </si>
  <si>
    <t>-558.244199965679 319.318912415894 -480.52789606009</t>
  </si>
  <si>
    <t>-369.381226891878 237.470463079724 -321.550922545384</t>
  </si>
  <si>
    <t>-558.437078988248 14.3940725550048 -772.332404241428</t>
  </si>
  <si>
    <t>-582.315525472395 193.204796326067 -241.715698798618</t>
  </si>
  <si>
    <t>-578.78226975031 232.649176019317 212.25492266555</t>
  </si>
  <si>
    <t>-627.747831961265 252.648851696793 679.319097966284</t>
  </si>
  <si>
    <t>-472.267113614778 237.690200664645 760.223316755016</t>
  </si>
  <si>
    <t>-606.951692523805 4.32525515529207 -242.67495017398</t>
  </si>
  <si>
    <t>-619.357155014335 10.7512674919801 212.805522548323</t>
  </si>
  <si>
    <t>-655.999995643267 4.23636368375013 680.921773923038</t>
  </si>
  <si>
    <t>-499.919071250387 -37.6822206879462 750.384672371404</t>
  </si>
  <si>
    <t>9763-20170724T164125.423384100.bin</t>
  </si>
  <si>
    <t>-594.999867638793 98.8968571703169 -242.551891185721</t>
  </si>
  <si>
    <t>-613.075891767981 101.941168512071 -362.267399874945</t>
  </si>
  <si>
    <t>-609.878948754943 92.5638621324091 -483.066405651146</t>
  </si>
  <si>
    <t>-598.129889667851 79.4233707853154 -591.159660129526</t>
  </si>
  <si>
    <t>-577.631045006576 61.8915595233537 -697.307050474407</t>
  </si>
  <si>
    <t>-540.072139758037 33.2038640041208 -842.104740895679</t>
  </si>
  <si>
    <t>-480.327819820401 17.1989764313446 -923.082795666896</t>
  </si>
  <si>
    <t>-554.664575943212 77.1176008698984 -783.69613984098</t>
  </si>
  <si>
    <t>-553.295582240027 224.155511964122 -782.191868128225</t>
  </si>
  <si>
    <t>-558.249502540635 319.637818764441 -480.455589504529</t>
  </si>
  <si>
    <t>-368.870318858116 236.343424617147 -322.849577293052</t>
  </si>
  <si>
    <t>-558.717018918711 14.6769289613982 -772.376322979199</t>
  </si>
  <si>
    <t>-582.651504514444 193.319266703691 -241.706386789159</t>
  </si>
  <si>
    <t>-579.026759701664 232.831403172883 212.257551009671</t>
  </si>
  <si>
    <t>-627.707407650091 252.719146666889 679.343498327741</t>
  </si>
  <si>
    <t>-472.192840318 237.877804885629 760.204311056514</t>
  </si>
  <si>
    <t>-607.332123904313 4.40798449895965 -242.677238673101</t>
  </si>
  <si>
    <t>-619.569566323907 10.7027365796596 212.809608769676</t>
  </si>
  <si>
    <t>-656.084426002558 3.95729683731543 680.931315313057</t>
  </si>
  <si>
    <t>-500.398980211612 -39.3034526490499 750.45875096933</t>
  </si>
  <si>
    <t>9763-20170724T164125.490703300.bin</t>
  </si>
  <si>
    <t>-595.709278294124 99.190071023347 -242.558452485671</t>
  </si>
  <si>
    <t>-613.850893034505 102.2864655212 -362.262677523767</t>
  </si>
  <si>
    <t>-610.731656632409 93.0039553981966 -483.071178898016</t>
  </si>
  <si>
    <t>-599.05928025395 79.9608555291215 -591.184535686878</t>
  </si>
  <si>
    <t>-578.6441654117 62.5345523916101 -697.365420171465</t>
  </si>
  <si>
    <t>-541.209485919132 33.9986707576469 -842.225154883324</t>
  </si>
  <si>
    <t>-481.497284407232 18.0238221222474 -923.232755057811</t>
  </si>
  <si>
    <t>-555.706698942709 77.8503265073701 -783.746278741124</t>
  </si>
  <si>
    <t>-554.139735050813 224.895843545845 -782.104447783114</t>
  </si>
  <si>
    <t>-558.398949476659 319.3248998039 -480.026335026384</t>
  </si>
  <si>
    <t>-367.664660287133 234.175270729041 -325.068216179309</t>
  </si>
  <si>
    <t>-559.839677338027 15.3994888353302 -772.512103124848</t>
  </si>
  <si>
    <t>-583.268230899426 193.673842414187 -241.700640413863</t>
  </si>
  <si>
    <t>-579.62723942667 233.158689400832 212.265595143733</t>
  </si>
  <si>
    <t>-627.65366871041 252.884479924287 679.402775691068</t>
  </si>
  <si>
    <t>-472.040111127734 238.353253495048 760.129329611076</t>
  </si>
  <si>
    <t>-608.176311387708 4.66894055367483 -242.707015624974</t>
  </si>
  <si>
    <t>-620.022321198499 10.6756048184993 212.794141120197</t>
  </si>
  <si>
    <t>-656.186855815719 3.83432602262465 680.939866624649</t>
  </si>
  <si>
    <t>-500.40274672806 -39.0465651309371 750.481610324165</t>
  </si>
  <si>
    <t>9763-20170724T164125.523791100.bin</t>
  </si>
  <si>
    <t>-596.085242544681 99.2885342816519 -242.562136445063</t>
  </si>
  <si>
    <t>-614.25862996766 102.408893676912 -362.260949056538</t>
  </si>
  <si>
    <t>-611.203294224451 93.1557953680695 -483.073311561654</t>
  </si>
  <si>
    <t>-599.602097297535 80.1382398494862 -591.197267236225</t>
  </si>
  <si>
    <t>-579.271546183531 62.7343972168456 -697.398104317121</t>
  </si>
  <si>
    <t>-541.968189760238 34.2245403891971 -842.296893366346</t>
  </si>
  <si>
    <t>-482.307117733788 18.2414615990083 -923.340626555245</t>
  </si>
  <si>
    <t>-556.386572593941 78.0652298718174 -783.790325289325</t>
  </si>
  <si>
    <t>-554.812458207782 225.102898733904 -782.09992449475</t>
  </si>
  <si>
    <t>-557.981779332243 318.253859082488 -479.611689875026</t>
  </si>
  <si>
    <t>-367.173441031408 232.097702303736 -325.302605850598</t>
  </si>
  <si>
    <t>-560.56096993737 15.6133302982956 -772.577035621076</t>
  </si>
  <si>
    <t>-583.517898137586 193.84728819699 -241.700610228272</t>
  </si>
  <si>
    <t>-579.912592756401 233.282257011776 212.27028918688</t>
  </si>
  <si>
    <t>-627.635888968047 252.978328461017 679.437586805808</t>
  </si>
  <si>
    <t>-471.968289064531 238.574219463766 760.082700003279</t>
  </si>
  <si>
    <t>-608.622416456078 4.74287576538754 -242.729520334074</t>
  </si>
  <si>
    <t>-620.315768763683 10.655008177309 212.776796048306</t>
  </si>
  <si>
    <t>-656.243022563705 3.80260689843897 680.946849359098</t>
  </si>
  <si>
    <t>-500.380517891409 -38.7998988744955 750.484017512732</t>
  </si>
  <si>
    <t>9763-20170724T164125.589560500.bin</t>
  </si>
  <si>
    <t>-596.899320268382 99.4785802426846 -242.617014659282</t>
  </si>
  <si>
    <t>-615.112830350279 102.629435023309 -362.308938506139</t>
  </si>
  <si>
    <t>-612.20986767579 93.4787921553577 -483.13277307752</t>
  </si>
  <si>
    <t>-600.794677411711 80.5725028320408 -591.289966362732</t>
  </si>
  <si>
    <t>-580.698205840188 63.291500747652 -697.555388374795</t>
  </si>
  <si>
    <t>-543.769454610264 34.9576207220818 -842.584548112117</t>
  </si>
  <si>
    <t>-484.261994928543 18.9821975140732 -923.742715949224</t>
  </si>
  <si>
    <t>-557.961337262769 78.7256167678158 -783.968169985798</t>
  </si>
  <si>
    <t>-556.04264398213 225.746159165163 -781.98137283534</t>
  </si>
  <si>
    <t>-556.399962324836 316.437430028722 -478.730452618759</t>
  </si>
  <si>
    <t>-365.88552595459 229.286598395053 -324.616761666059</t>
  </si>
  <si>
    <t>-562.257118807259 16.2633628374704 -772.859005130326</t>
  </si>
  <si>
    <t>-584.182480161678 194.157205038283 -241.746472052549</t>
  </si>
  <si>
    <t>-580.493948188873 233.430699032136 212.237679291717</t>
  </si>
  <si>
    <t>-627.571526550769 253.128042412246 679.458860647145</t>
  </si>
  <si>
    <t>-471.839428562052 238.938313885969 760.017425866195</t>
  </si>
  <si>
    <t>-609.581863134271 4.78275863349783 -242.799478510363</t>
  </si>
  <si>
    <t>-621.079988401236 10.5318310939439 212.713893482372</t>
  </si>
  <si>
    <t>-656.334534112251 3.80003269203483 680.96144978028</t>
  </si>
  <si>
    <t>-500.364897634276 -38.4312939085594 750.484789913458</t>
  </si>
  <si>
    <t>9763-20170724T164125.622650500.bin</t>
  </si>
  <si>
    <t>-597.269795712779 99.4771958333248 -242.617231097737</t>
  </si>
  <si>
    <t>-615.502166520548 102.663488884222 -362.305329052199</t>
  </si>
  <si>
    <t>-612.669597820849 93.5837965926955 -483.136255537898</t>
  </si>
  <si>
    <t>-601.340196010962 80.7508764502695 -591.311180345098</t>
  </si>
  <si>
    <t>-581.351690710453 63.5492362881135 -697.60983314028</t>
  </si>
  <si>
    <t>-544.595652581757 35.3284226117813 -842.704872588763</t>
  </si>
  <si>
    <t>-485.17445912367 19.3603088712264 -923.927648510171</t>
  </si>
  <si>
    <t>-558.661274029588 79.0493301281404 -784.023090995659</t>
  </si>
  <si>
    <t>-556.427799715672 226.069052774914 -781.856792635962</t>
  </si>
  <si>
    <t>-555.40305597005 315.516255427469 -478.238068725796</t>
  </si>
  <si>
    <t>-365.364549469953 227.992464774877 -323.748593831094</t>
  </si>
  <si>
    <t>-563.056870970199 16.5811519511534 -772.986534762108</t>
  </si>
  <si>
    <t>-584.439943700243 194.209084205557 -241.731838887849</t>
  </si>
  <si>
    <t>-580.717216094235 233.491248435487 212.251333550709</t>
  </si>
  <si>
    <t>-627.548424495745 253.19831060382 679.482324407755</t>
  </si>
  <si>
    <t>-471.780297285001 239.129431047226 759.992376452862</t>
  </si>
  <si>
    <t>-610.079068266263 4.72626686057572 -242.819701631664</t>
  </si>
  <si>
    <t>-621.417095199381 10.434159073451 212.698183925525</t>
  </si>
  <si>
    <t>-656.387222500604 3.68789835328954 680.977963861701</t>
  </si>
  <si>
    <t>-500.301736561075 -38.1424973895973 750.483665432281</t>
  </si>
  <si>
    <t>9763-20170724T164125.690395600.bin</t>
  </si>
  <si>
    <t>-597.957166685315 99.343810747977 -242.63577436277</t>
  </si>
  <si>
    <t>-616.316263851026 102.577740624959 -362.303257379648</t>
  </si>
  <si>
    <t>-613.701416342992 93.6614246079795 -483.151213138445</t>
  </si>
  <si>
    <t>-602.608118340995 81.0113503775592 -591.372079297201</t>
  </si>
  <si>
    <t>-582.895287549362 64.0202638837947 -697.756042573163</t>
  </si>
  <si>
    <t>-546.562677570176 36.1135897687677 -843.018552108492</t>
  </si>
  <si>
    <t>-487.35934588248 20.1780275837319 -924.406541126753</t>
  </si>
  <si>
    <t>-560.325399954149 79.7037709404113 -784.16785582858</t>
  </si>
  <si>
    <t>-557.396564730615 226.717258097882 -781.662458294894</t>
  </si>
  <si>
    <t>-553.829223776665 313.858805261951 -477.393178036312</t>
  </si>
  <si>
    <t>-364.625895943666 225.773927326205 -322.198967212708</t>
  </si>
  <si>
    <t>-564.95205800289 17.2191119039559 -773.321001252903</t>
  </si>
  <si>
    <t>-584.827442969813 194.215967610207 -241.71657293411</t>
  </si>
  <si>
    <t>-580.862821035964 233.566608712055 212.258613615888</t>
  </si>
  <si>
    <t>-627.515022374757 253.338284958795 679.524925008383</t>
  </si>
  <si>
    <t>-471.677365260668 239.46033545535 759.933394628747</t>
  </si>
  <si>
    <t>-611.000056819061 4.45673727363975 -242.826269407175</t>
  </si>
  <si>
    <t>-622.006723351589 10.1843934453527 212.699409552856</t>
  </si>
  <si>
    <t>-656.475724011106 3.57964498748245 681.032563854549</t>
  </si>
  <si>
    <t>-500.23692375378 -37.7110516757122 750.516537196802</t>
  </si>
  <si>
    <t>9763-20170724T164125.723505600.bin</t>
  </si>
  <si>
    <t>-598.228904278075 99.116405782694 -242.610708865892</t>
  </si>
  <si>
    <t>-616.592560270703 102.397557698931 -362.276130851238</t>
  </si>
  <si>
    <t>-614.048758628412 93.5656704484192 -483.131851321497</t>
  </si>
  <si>
    <t>-603.047500201563 81.0018696265824 -591.372133948314</t>
  </si>
  <si>
    <t>-583.454333703186 64.1038929031834 -697.793164661892</t>
  </si>
  <si>
    <t>-547.316100318683 36.3303317097943 -843.129472450935</t>
  </si>
  <si>
    <t>-488.23030662817 20.3964664544074 -924.603198977881</t>
  </si>
  <si>
    <t>-560.928436927441 79.8643287220838 -784.202264240872</t>
  </si>
  <si>
    <t>-557.749120742255 226.865460746034 -781.584969075166</t>
  </si>
  <si>
    <t>-552.781784422577 312.912257861156 -477.023999463356</t>
  </si>
  <si>
    <t>-363.968318006979 224.310035271932 -321.649588131036</t>
  </si>
  <si>
    <t>-565.683832653687 17.3741878803868 -773.443024203715</t>
  </si>
  <si>
    <t>-584.959287264315 194.028892113263 -241.688888596534</t>
  </si>
  <si>
    <t>-580.851128416581 233.470979692874 212.277095109146</t>
  </si>
  <si>
    <t>-627.498574184338 253.415635916011 679.536398248778</t>
  </si>
  <si>
    <t>-471.655452109731 239.485766296658 759.925419868825</t>
  </si>
  <si>
    <t>-611.407168566485 4.19234395806561 -242.819395960582</t>
  </si>
  <si>
    <t>-622.294187691458 9.99272292587212 212.708329764518</t>
  </si>
  <si>
    <t>-656.528689735145 3.56018016695127 681.058172934528</t>
  </si>
  <si>
    <t>-500.137089375619 -37.1851318090139 750.520472853615</t>
  </si>
  <si>
    <t>9763-20170724T164125.789196100.bin</t>
  </si>
  <si>
    <t>-598.545990495854 98.5188880248529 -242.559139955241</t>
  </si>
  <si>
    <t>-616.980629387027 101.894769044059 -362.211076422245</t>
  </si>
  <si>
    <t>-614.569825274953 93.2810584483555 -483.085314251833</t>
  </si>
  <si>
    <t>-603.715588241642 80.9562207543426 -591.367834797935</t>
  </si>
  <si>
    <t>-584.296042072288 64.333745973826 -697.864054904064</t>
  </si>
  <si>
    <t>-548.426337023768 36.9761318064061 -843.345796324211</t>
  </si>
  <si>
    <t>-489.559144533496 21.1028879389635 -924.989427335278</t>
  </si>
  <si>
    <t>-561.803418087392 80.3369720771435 -784.237354750954</t>
  </si>
  <si>
    <t>-558.051659562611 227.318785535794 -781.351365176618</t>
  </si>
  <si>
    <t>-550.566155608255 311.33062134537 -476.274128407918</t>
  </si>
  <si>
    <t>-362.1815752242 221.962581884065 -320.817773897625</t>
  </si>
  <si>
    <t>-566.791701725745 17.8251002795318 -773.711853951711</t>
  </si>
  <si>
    <t>-584.907654291559 193.609830361988 -241.605870961213</t>
  </si>
  <si>
    <t>-580.487492932022 233.21258218026 212.343211355225</t>
  </si>
  <si>
    <t>-627.454666792662 253.51478882834 679.552015368762</t>
  </si>
  <si>
    <t>-471.614811864192 239.529575723606 759.937781051217</t>
  </si>
  <si>
    <t>-612.10067713868 3.42298335039743 -242.795319342202</t>
  </si>
  <si>
    <t>-622.654951111216 9.49609274202496 212.736725005684</t>
  </si>
  <si>
    <t>-656.638750888691 3.44804166136441 681.124266153043</t>
  </si>
  <si>
    <t>-500.107004375105 -36.7974622519856 750.562201639953</t>
  </si>
  <si>
    <t>9763-20170724T164125.829304500.bin</t>
  </si>
  <si>
    <t>-598.644282817049 98.0655070199074 -242.534251948901</t>
  </si>
  <si>
    <t>-617.17101768523 101.488687338214 -362.170685106967</t>
  </si>
  <si>
    <t>-614.881314584362 92.9782588904795 -483.054331197627</t>
  </si>
  <si>
    <t>-604.149133584918 80.7642188902344 -591.361804931019</t>
  </si>
  <si>
    <t>-584.864029351703 64.2669378037442 -697.901712766917</t>
  </si>
  <si>
    <t>-549.193883246681 37.095126837278 -843.467276867225</t>
  </si>
  <si>
    <t>-490.460513430824 21.2573477462254 -925.214128251037</t>
  </si>
  <si>
    <t>-562.420436058342 80.377749023901 -784.267861793477</t>
  </si>
  <si>
    <t>-558.336758699446 227.337549062122 -781.1497923834</t>
  </si>
  <si>
    <t>-549.695528403715 310.69970667042 -475.924804045225</t>
  </si>
  <si>
    <t>-361.592673298893 220.870286365159 -320.393460140112</t>
  </si>
  <si>
    <t>-567.533250171977 17.8578564118286 -773.850464813554</t>
  </si>
  <si>
    <t>-584.901712202727 193.243859414751 -241.564949698967</t>
  </si>
  <si>
    <t>-580.291143249096 232.98789105525 212.369876192685</t>
  </si>
  <si>
    <t>-627.418962459786 253.561403658968 679.540168396534</t>
  </si>
  <si>
    <t>-471.603005956972 239.480236266254 759.955489371829</t>
  </si>
  <si>
    <t>-612.333968538904 2.89259637331241 -242.762612436205</t>
  </si>
  <si>
    <t>-622.770553850595 9.14415445388363 212.769638114307</t>
  </si>
  <si>
    <t>-656.703960769868 3.28415797813508 681.167322038995</t>
  </si>
  <si>
    <t>-500.499770202372 -38.1676040891781 750.633172635129</t>
  </si>
  <si>
    <t>9763-20170724T164125.888475400.bin</t>
  </si>
  <si>
    <t>-598.720628674107 97.157557285736 -242.397012513209</t>
  </si>
  <si>
    <t>-617.23925870832 100.615691363817 -362.033604723376</t>
  </si>
  <si>
    <t>-615.082100586518 92.3040203748896 -482.933599384985</t>
  </si>
  <si>
    <t>-604.530385457536 80.3238604541089 -591.284950664138</t>
  </si>
  <si>
    <t>-585.486504409814 64.1065256903168 -697.911234105833</t>
  </si>
  <si>
    <t>-550.214049679071 37.3636805624322 -843.653102371119</t>
  </si>
  <si>
    <t>-491.763746101203 21.6318422986218 -925.622960452919</t>
  </si>
  <si>
    <t>-563.14776525764 80.4661252796918 -784.257677951995</t>
  </si>
  <si>
    <t>-558.375165111114 227.402387041905 -780.704316338506</t>
  </si>
  <si>
    <t>-547.950962988736 309.839158890884 -475.283840016121</t>
  </si>
  <si>
    <t>-360.490086175475 219.275754432382 -319.403271656212</t>
  </si>
  <si>
    <t>-568.494239376567 17.9269687379712 -774.076130536392</t>
  </si>
  <si>
    <t>-584.802796535339 192.35285201236 -241.431743221248</t>
  </si>
  <si>
    <t>-579.704781733824 232.584630398307 212.45489959779</t>
  </si>
  <si>
    <t>-627.371357169249 253.589998521464 679.559326042639</t>
  </si>
  <si>
    <t>-471.562334391556 239.51740166294 759.989582357057</t>
  </si>
  <si>
    <t>-612.596141196244 1.98646028231865 -242.67231719304</t>
  </si>
  <si>
    <t>-622.780120049728 8.65129443372012 212.859894670209</t>
  </si>
  <si>
    <t>-656.783492797042 3.37645500115151 681.255909981499</t>
  </si>
  <si>
    <t>-500.20532585053 -36.7790057137718 750.64127116974</t>
  </si>
  <si>
    <t>9763-20170724T164125.925570700.bin</t>
  </si>
  <si>
    <t>-598.795167859353 96.545676278806 -242.336462796163</t>
  </si>
  <si>
    <t>-617.419436057929 100.025961908468 -361.955975863174</t>
  </si>
  <si>
    <t>-615.378834726477 91.8247071084052 -482.865589548709</t>
  </si>
  <si>
    <t>-604.938718906732 79.974141153721 -591.241985170548</t>
  </si>
  <si>
    <t>-586.013342460942 63.9121931910143 -697.912883768843</t>
  </si>
  <si>
    <t>-550.91272331686 37.4082175055366 -843.739861451838</t>
  </si>
  <si>
    <t>-492.601230045154 21.7539564658099 -925.823323814317</t>
  </si>
  <si>
    <t>-563.722444638438 80.4108321327251 -784.245166627033</t>
  </si>
  <si>
    <t>-558.605320187526 227.32146561209 -780.454334882939</t>
  </si>
  <si>
    <t>-547.598375163554 309.302872087984 -474.931675351549</t>
  </si>
  <si>
    <t>-360.275642647518 218.707363974715 -318.903766022111</t>
  </si>
  <si>
    <t>-569.164902171666 17.8600444128635 -774.186683232148</t>
  </si>
  <si>
    <t>-584.865255827904 191.813104406155 -241.366412214975</t>
  </si>
  <si>
    <t>-579.470203335149 232.276026610575 212.496266865087</t>
  </si>
  <si>
    <t>-627.355917073887 253.6186795317 679.567731035942</t>
  </si>
  <si>
    <t>-471.55213713512 239.502423260977 760.00051163656</t>
  </si>
  <si>
    <t>-612.727322256152 1.3068317923481 -242.597749004485</t>
  </si>
  <si>
    <t>-622.795411479082 8.19428758851478 212.933714655247</t>
  </si>
  <si>
    <t>-656.862623824285 3.10739933672068 681.317261886452</t>
  </si>
  <si>
    <t>-500.613851711696 -38.2768502809635 750.723069417202</t>
  </si>
  <si>
    <t>9763-20170724T164125.987801600.bin</t>
  </si>
  <si>
    <t>-598.84937288336 95.4830620411968 -242.182414843364</t>
  </si>
  <si>
    <t>-617.495614762726 98.9317479174933 -361.799411226545</t>
  </si>
  <si>
    <t>-615.596899689533 90.9295996544041 -482.724689053875</t>
  </si>
  <si>
    <t>-605.337191848888 79.3420061696519 -591.146651903046</t>
  </si>
  <si>
    <t>-586.644472321795 63.6185588501494 -697.909075946318</t>
  </si>
  <si>
    <t>-551.920607276703 37.6559346821531 -843.923408208785</t>
  </si>
  <si>
    <t>-493.916767540216 22.2033373332496 -926.262633311109</t>
  </si>
  <si>
    <t>-564.52708649455 80.4350570894223 -784.224606157028</t>
  </si>
  <si>
    <t>-558.98155228313 227.319527779438 -779.988948625055</t>
  </si>
  <si>
    <t>-546.379755259501 308.397165174563 -474.286870237037</t>
  </si>
  <si>
    <t>-359.105854774325 218.116202767689 -318.018249590119</t>
  </si>
  <si>
    <t>-570.042696916909 17.8521372015607 -774.408488512411</t>
  </si>
  <si>
    <t>-584.928813694784 190.849199278194 -241.23515686423</t>
  </si>
  <si>
    <t>-579.153476609104 231.647516551119 212.592728649798</t>
  </si>
  <si>
    <t>-627.356046740206 253.637137074709 679.629467551038</t>
  </si>
  <si>
    <t>-471.55883099333 239.321575482808 760.039754879487</t>
  </si>
  <si>
    <t>-612.735315611643 0.131878930898466 -242.446483165368</t>
  </si>
  <si>
    <t>-622.790882640097 7.58719649972873 213.076178331396</t>
  </si>
  <si>
    <t>-656.946765506571 3.18617103607737 681.452876833628</t>
  </si>
  <si>
    <t>-500.541936439098 -37.7185511061567 750.791438385214</t>
  </si>
  <si>
    <t>9763-20170724T164126.022894400.bin</t>
  </si>
  <si>
    <t>-599.006917372555 94.8109363274637 -242.093668683085</t>
  </si>
  <si>
    <t>-617.724515022395 98.269138647668 -361.699240449266</t>
  </si>
  <si>
    <t>-615.918019944452 90.3888734129443 -482.633923626561</t>
  </si>
  <si>
    <t>-605.750583232704 78.9538526505521 -591.080823162326</t>
  </si>
  <si>
    <t>-587.158878958614 63.4230373485821 -697.889016177818</t>
  </si>
  <si>
    <t>-552.584168551506 37.7676848899222 -843.993119497651</t>
  </si>
  <si>
    <t>-494.713949499291 22.4601222828524 -926.453397339039</t>
  </si>
  <si>
    <t>-565.124938946309 80.4208686248066 -784.190540317219</t>
  </si>
  <si>
    <t>-559.500677175624 227.296222690056 -779.69569912192</t>
  </si>
  <si>
    <t>-546.308846196638 308.130095015741 -473.953916523824</t>
  </si>
  <si>
    <t>-358.80911783093 217.788837007319 -317.991303115817</t>
  </si>
  <si>
    <t>-570.639954902546 17.8179523775917 -774.502612049838</t>
  </si>
  <si>
    <t>-585.222874789411 190.212212006232 -241.151234235157</t>
  </si>
  <si>
    <t>-578.88638282934 231.344511239266 212.639115407632</t>
  </si>
  <si>
    <t>-627.330458524822 253.62989092413 679.631445951714</t>
  </si>
  <si>
    <t>-471.545558809215 239.292312222761 760.061599107976</t>
  </si>
  <si>
    <t>-622.83796692787 7.11003851099248 213.165713095429</t>
  </si>
  <si>
    <t>-657.019428629739 2.97915943925415 681.534572345897</t>
  </si>
  <si>
    <t>-500.942064964855 -39.1403873498431 750.883718155413</t>
  </si>
  <si>
    <t>9763-20170724T164126.088140900.bin</t>
  </si>
  <si>
    <t>-599.290386107638 93.7825991012281 -241.979730573981</t>
  </si>
  <si>
    <t>-618.163260829074 97.2150804240863 -361.561654581263</t>
  </si>
  <si>
    <t>-616.553445326502 89.5367740652615 -482.512111816479</t>
  </si>
  <si>
    <t>-606.581975159984 78.370398493893 -591.005150857623</t>
  </si>
  <si>
    <t>-588.204159010844 63.1893488515453 -697.900546360331</t>
  </si>
  <si>
    <t>-553.944401053638 38.0996968407991 -844.176919724329</t>
  </si>
  <si>
    <t>-496.339661280029 23.1181739905743 -926.882686352535</t>
  </si>
  <si>
    <t>-566.363372335622 80.5214292656214 -784.184665103771</t>
  </si>
  <si>
    <t>-560.824718280854 227.387622661312 -779.287443084301</t>
  </si>
  <si>
    <t>-546.984949958933 307.586257321678 -473.406909166277</t>
  </si>
  <si>
    <t>-359.059673521999 216.095428270419 -318.631043059317</t>
  </si>
  <si>
    <t>-571.843125139676 17.8806774676746 -774.723813600052</t>
  </si>
  <si>
    <t>-585.58574288113 189.296363976401 -241.034213296216</t>
  </si>
  <si>
    <t>-578.467729265927 230.84430223006 212.706646533423</t>
  </si>
  <si>
    <t>-627.29843825136 253.641875010824 679.656547837495</t>
  </si>
  <si>
    <t>-471.532870236587 239.169917324043 760.100051564453</t>
  </si>
  <si>
    <t>-622.790857230208 6.54363077202163 213.304168456037</t>
  </si>
  <si>
    <t>-657.133027524861 2.83948503242165 681.683849676702</t>
  </si>
  <si>
    <t>-501.026489667957 -39.260279593684 750.979306513893</t>
  </si>
  <si>
    <t>9763-20170724T164126.126242600.bin</t>
  </si>
  <si>
    <t>-599.445899161933 93.2457832656669 -241.886416834371</t>
  </si>
  <si>
    <t>-618.350785531825 96.6760893461642 -361.463381556924</t>
  </si>
  <si>
    <t>-616.810418421191 89.1119767378806 -482.422019408745</t>
  </si>
  <si>
    <t>-606.917461210905 78.0935803970573 -590.937309214893</t>
  </si>
  <si>
    <t>-588.633347048195 63.1032511264076 -697.875750218173</t>
  </si>
  <si>
    <t>-554.518950250253 38.3210292280976 -844.238487806445</t>
  </si>
  <si>
    <t>-497.04533119608 23.5378415881392 -927.070972051264</t>
  </si>
  <si>
    <t>-566.897878411872 80.6176501608888 -784.149521202578</t>
  </si>
  <si>
    <t>-561.465694538409 227.482517240225 -779.047680647492</t>
  </si>
  <si>
    <t>-547.839985672974 307.101916040288 -473.006362196316</t>
  </si>
  <si>
    <t>-359.150100088174 215.022042916207 -319.515472514224</t>
  </si>
  <si>
    <t>-572.32910449672 17.9551579539239 -774.805417987709</t>
  </si>
  <si>
    <t>-585.914627389027 188.783156074146 -240.938289107295</t>
  </si>
  <si>
    <t>-578.331594925298 230.64160656164 212.766584497309</t>
  </si>
  <si>
    <t>-627.285357004664 253.637323722215 679.687732228638</t>
  </si>
  <si>
    <t>-471.51198378103 239.163398513739 760.115877971816</t>
  </si>
  <si>
    <t>-622.84063649165 6.26382750941031 213.381343202453</t>
  </si>
  <si>
    <t>-657.188905479856 2.85842428257295 681.752493661543</t>
  </si>
  <si>
    <t>-500.80273093213 -38.2744704938183 750.998131053329</t>
  </si>
  <si>
    <t>9763-20170724T164126.190316600.bin</t>
  </si>
  <si>
    <t>-599.863553375268 92.1610981661644 -241.729515666195</t>
  </si>
  <si>
    <t>-618.834763142317 95.6007243202664 -361.295593364988</t>
  </si>
  <si>
    <t>-617.434638871124 88.2870288310026 -482.27132756939</t>
  </si>
  <si>
    <t>-607.696880080601 77.5927315957086 -590.83309154947</t>
  </si>
  <si>
    <t>-589.594538556766 63.0229275455526 -697.860607182355</t>
  </si>
  <si>
    <t>-555.757707830123 38.9241676307431 -844.401750904936</t>
  </si>
  <si>
    <t>-498.540779693787 24.5732333628202 -927.487633359857</t>
  </si>
  <si>
    <t>-568.116842511739 80.9445743600719 -784.115275060209</t>
  </si>
  <si>
    <t>-563.122115344412 227.806982457728 -778.546751453321</t>
  </si>
  <si>
    <t>-549.701600071753 305.934510606517 -472.112160698816</t>
  </si>
  <si>
    <t>-358.777572732224 212.600711448179 -322.182656497116</t>
  </si>
  <si>
    <t>-573.342075543613 18.2296653138025 -775.008379076337</t>
  </si>
  <si>
    <t>-586.665344160726 187.801322566697 -240.764929872581</t>
  </si>
  <si>
    <t>-578.362398052903 230.1887507265 212.87823259885</t>
  </si>
  <si>
    <t>-627.309243723991 253.757252865982 679.778328836542</t>
  </si>
  <si>
    <t>-471.528507651424 238.922348547715 760.126295533264</t>
  </si>
  <si>
    <t>-623.189969513207 5.59392925444067 213.514918164372</t>
  </si>
  <si>
    <t>-657.318938803714 2.85249193665695 681.88351748815</t>
  </si>
  <si>
    <t>-500.992233106685 -38.5919436316286 751.077610233704</t>
  </si>
  <si>
    <t>9763-20170724T164126.224421000.bin</t>
  </si>
  <si>
    <t>-600.135834972787 91.7651215504586 -241.677712440172</t>
  </si>
  <si>
    <t>-619.084886746679 95.1807101097119 -361.248009561689</t>
  </si>
  <si>
    <t>-617.7204845188 87.9733385820976 -482.230589303977</t>
  </si>
  <si>
    <t>-608.038469356545 77.4274238007557 -590.811866255776</t>
  </si>
  <si>
    <t>-590.014558513073 63.0571209655488 -697.879387750344</t>
  </si>
  <si>
    <t>-556.309273656998 39.2875610852912 -844.504733179317</t>
  </si>
  <si>
    <t>-499.214016362716 25.1532645646376 -927.711268113393</t>
  </si>
  <si>
    <t>-568.668887718853 81.1750646961089 -784.126048241834</t>
  </si>
  <si>
    <t>-563.980189690526 228.043201570928 -778.364188056676</t>
  </si>
  <si>
    <t>-550.572059218281 305.298011381786 -471.707971190627</t>
  </si>
  <si>
    <t>-357.925450566074 211.775696374074 -324.117622022077</t>
  </si>
  <si>
    <t>-573.776791275767 18.4346383538794 -775.129293258876</t>
  </si>
  <si>
    <t>-587.140879717651 187.5061864304 -240.731089702433</t>
  </si>
  <si>
    <t>-578.774767772121 229.970096186589 212.903661082444</t>
  </si>
  <si>
    <t>-627.336059566425 253.871740697651 679.844342581789</t>
  </si>
  <si>
    <t>-471.569135720297 238.650562321068 760.146848830797</t>
  </si>
  <si>
    <t>-623.41844081852 5.35509036086735 213.546509460941</t>
  </si>
  <si>
    <t>-657.379393591517 2.93691349012825 681.929096766259</t>
  </si>
  <si>
    <t>-500.706711774962 -37.2912868938718 751.058435388738</t>
  </si>
  <si>
    <t>9763-20170724T164126.291195700.bin</t>
  </si>
  <si>
    <t>-600.488014565437 90.7242428145761 -241.551170563618</t>
  </si>
  <si>
    <t>-619.451401047818 94.1245003938099 -361.119615082578</t>
  </si>
  <si>
    <t>-618.216917989438 87.091760341063 -482.113769839055</t>
  </si>
  <si>
    <t>-608.696855274251 76.7831611433327 -590.732202059053</t>
  </si>
  <si>
    <t>-590.876447496546 62.7296774501499 -697.875977043699</t>
  </si>
  <si>
    <t>-557.49394305453 39.4830039382444 -844.658833874752</t>
  </si>
  <si>
    <t>-500.695560027789 25.7493316996525 -928.135284494555</t>
  </si>
  <si>
    <t>-569.850626145412 81.1609623530522 -784.134627559376</t>
  </si>
  <si>
    <t>-565.853342556694 228.037154726134 -778.060578938625</t>
  </si>
  <si>
    <t>-550.982803388026 303.545370140247 -471.036872608529</t>
  </si>
  <si>
    <t>-355.29279161204 209.944194595355 -327.557629073351</t>
  </si>
  <si>
    <t>-574.678702468727 18.376848764705 -775.289291525076</t>
  </si>
  <si>
    <t>-587.838510084898 186.506407152906 -240.57014364673</t>
  </si>
  <si>
    <t>-579.28389883166 229.620752699001 212.999745070468</t>
  </si>
  <si>
    <t>-627.36327692951 253.985588976674 679.968246385134</t>
  </si>
  <si>
    <t>-471.557865929188 238.438268760896 760.133598687833</t>
  </si>
  <si>
    <t>-623.710115221041 4.75275304168743 213.654488858292</t>
  </si>
  <si>
    <t>-657.505758752781 2.95920596957443 682.043473291515</t>
  </si>
  <si>
    <t>-500.676618267195 -36.7681043292796 751.107771829265</t>
  </si>
  <si>
    <t>9763-20170724T164126.323281100.bin</t>
  </si>
  <si>
    <t>-600.566567677898 90.0746860402622 -241.487483761708</t>
  </si>
  <si>
    <t>-619.507182413346 93.4508998210685 -361.060168998028</t>
  </si>
  <si>
    <t>-618.299141878001 86.482774321161 -482.058276062283</t>
  </si>
  <si>
    <t>-608.823217941241 76.2678166572961 -590.689425713965</t>
  </si>
  <si>
    <t>-591.066761298426 62.3420930688592 -697.860476123794</t>
  </si>
  <si>
    <t>-557.792727054674 39.3075031262299 -844.701412222828</t>
  </si>
  <si>
    <t>-501.154865797264 25.7450998161137 -928.31474393846</t>
  </si>
  <si>
    <t>-570.160046466522 80.9004228600992 -784.120876375141</t>
  </si>
  <si>
    <t>-566.451610502302 227.78275359879 -777.928754227889</t>
  </si>
  <si>
    <t>-550.737208194432 302.526925408846 -470.76010159978</t>
  </si>
  <si>
    <t>-353.482265480094 210.008294482038 -328.729052919804</t>
  </si>
  <si>
    <t>-574.870886112704 18.098774724884 -775.336756149792</t>
  </si>
  <si>
    <t>-588.054225508174 185.92205071758 -240.509914611006</t>
  </si>
  <si>
    <t>-579.270854157643 229.285351479761 213.031791191534</t>
  </si>
  <si>
    <t>-627.348120989515 254.001860923311 680.007501893559</t>
  </si>
  <si>
    <t>-471.528792372383 238.415559419117 760.138196234444</t>
  </si>
  <si>
    <t>-623.836627774174 4.2437767873547 213.704079304248</t>
  </si>
  <si>
    <t>-657.59974018984 2.69976538081409 682.103834115538</t>
  </si>
  <si>
    <t>-501.337917815306 -39.140490558301 751.206197634769</t>
  </si>
  <si>
    <t>9763-20170724T164126.390485300.bin</t>
  </si>
  <si>
    <t>-600.186423141364 88.9275336570499 -241.338851883414</t>
  </si>
  <si>
    <t>-619.093825085235 92.2415821172727 -360.918633115066</t>
  </si>
  <si>
    <t>-617.922813487108 85.3772104146843 -481.923110764237</t>
  </si>
  <si>
    <t>-608.50837837684 75.3248926121286 -590.574653777893</t>
  </si>
  <si>
    <t>-590.840305753492 61.6304353218337 -697.790169689069</t>
  </si>
  <si>
    <t>-557.715471725236 38.9883528371997 -844.725766212193</t>
  </si>
  <si>
    <t>-501.486603414746 25.7120900444587 -928.660581520576</t>
  </si>
  <si>
    <t>-570.143120492809 80.4242295007637 -784.050096293478</t>
  </si>
  <si>
    <t>-566.9927061161 227.294382526585 -777.601879842719</t>
  </si>
  <si>
    <t>-549.854358087193 301.303207828679 -470.331365788892</t>
  </si>
  <si>
    <t>-350.549126641337 212.357022460038 -328.881428641093</t>
  </si>
  <si>
    <t>-574.60118918649 17.5893208479581 -775.372474563178</t>
  </si>
  <si>
    <t>-587.829620748835 184.713940420339 -240.377451909284</t>
  </si>
  <si>
    <t>-578.984168742195 228.704272209629 213.10273112283</t>
  </si>
  <si>
    <t>-627.254401345996 253.932502103276 680.030264894663</t>
  </si>
  <si>
    <t>-471.396079885407 238.604732515216 760.134923857254</t>
  </si>
  <si>
    <t>-623.782190325461 3.70498098789638 213.825659905475</t>
  </si>
  <si>
    <t>-657.713461077899 2.77471119021668 682.217773973101</t>
  </si>
  <si>
    <t>-501.115398864272 -37.9165631639191 751.24508999944</t>
  </si>
  <si>
    <t>9763-20170724T164126.422570600.bin</t>
  </si>
  <si>
    <t>-599.857539957403 88.4395559992055 -241.291147157328</t>
  </si>
  <si>
    <t>-618.738740841379 91.730523602585 -360.875801167198</t>
  </si>
  <si>
    <t>-617.60391421867 84.9166777753922 -481.88342458186</t>
  </si>
  <si>
    <t>-608.24589632349 74.942455806204 -590.547120845665</t>
  </si>
  <si>
    <t>-590.656464709641 61.3594065488152 -697.789732778204</t>
  </si>
  <si>
    <t>-557.662362866701 38.907677465352 -844.783810735189</t>
  </si>
  <si>
    <t>-501.722517236114 25.7716865614737 -928.933587843385</t>
  </si>
  <si>
    <t>-570.110946820556 80.2677257826643 -784.060839847794</t>
  </si>
  <si>
    <t>-567.247831469224 227.149002395672 -777.536389457879</t>
  </si>
  <si>
    <t>-549.443934225226 301.237093644752 -470.322833501098</t>
  </si>
  <si>
    <t>-351.03275027761 212.780041033072 -327.317901940841</t>
  </si>
  <si>
    <t>-574.411561176509 17.4159900016426 -775.426185334243</t>
  </si>
  <si>
    <t>-587.589843561349 184.268658527125 -240.320406117686</t>
  </si>
  <si>
    <t>-578.645213097258 228.492412173518 213.135157114237</t>
  </si>
  <si>
    <t>-627.191613984527 253.894037432069 680.023175805779</t>
  </si>
  <si>
    <t>-471.331084511351 238.707290963734 760.150391061511</t>
  </si>
  <si>
    <t>-623.649427260548 3.43663908905299 213.879193192324</t>
  </si>
  <si>
    <t>-657.769586359619 2.7854633231437 682.26829165558</t>
  </si>
  <si>
    <t>-501.161805727913 -37.890437434204 751.282712858611</t>
  </si>
  <si>
    <t>9763-20170724T164126.494342600.bin</t>
  </si>
  <si>
    <t>-599.073863614981 87.7367019906758 -241.08376789006</t>
  </si>
  <si>
    <t>-617.912886985053 90.9959922079854 -360.675964516824</t>
  </si>
  <si>
    <t>-616.709791958202 84.2510911961329 -481.686801225652</t>
  </si>
  <si>
    <t>-607.27827309807 74.3862788602086 -590.354026189627</t>
  </si>
  <si>
    <t>-589.602706194479 60.9629503832761 -697.602569590003</t>
  </si>
  <si>
    <t>-556.47517201343 38.7886367722951 -844.608815414217</t>
  </si>
  <si>
    <t>-501.649377340762 25.9591635408979 -929.535498140964</t>
  </si>
  <si>
    <t>-569.101074909276 80.0383691444828 -783.847387667468</t>
  </si>
  <si>
    <t>-566.483616105702 226.896997460149 -777.141525099928</t>
  </si>
  <si>
    <t>-548.947993647362 301.584448291935 -470.057729247834</t>
  </si>
  <si>
    <t>-352.714443485714 216.942598098857 -321.834258431947</t>
  </si>
  <si>
    <t>-573.165106476925 17.161782950508 -775.278918064624</t>
  </si>
  <si>
    <t>-586.882221567695 183.473476556397 -240.11367463647</t>
  </si>
  <si>
    <t>-577.837509319431 228.180937500499 213.29243349372</t>
  </si>
  <si>
    <t>-627.120882319134 253.800039510463 680.088831698419</t>
  </si>
  <si>
    <t>-471.228532960724 238.831113616988 760.195089504309</t>
  </si>
  <si>
    <t>-623.164503885773 3.20592732540293 214.04357745743</t>
  </si>
  <si>
    <t>-657.878313559614 2.85214197576371 682.379387583606</t>
  </si>
  <si>
    <t>-500.986327434154 -36.847974485634 751.316415312288</t>
  </si>
  <si>
    <t>9763-20170724T164126.521413800.bin</t>
  </si>
  <si>
    <t>-598.57380873961 87.3482897270218 -241.008064952665</t>
  </si>
  <si>
    <t>-617.487351746982 90.6043541933843 -360.588537525152</t>
  </si>
  <si>
    <t>-616.257601612209 83.9165296964046 -481.60230989895</t>
  </si>
  <si>
    <t>-606.759623347713 74.1335242084891 -590.271166219363</t>
  </si>
  <si>
    <t>-588.975419741058 60.8257380747462 -697.516063081533</t>
  </si>
  <si>
    <t>-555.653155720272 38.8504174963764 -844.508313064511</t>
  </si>
  <si>
    <t>-501.808417693483 26.2004406859689 -930.086990192224</t>
  </si>
  <si>
    <t>-568.43598617221 80.0203231387418 -783.725524481322</t>
  </si>
  <si>
    <t>-566.043394627395 226.899329781008 -776.894763699454</t>
  </si>
  <si>
    <t>-548.833254440318 301.589207208318 -469.793178327244</t>
  </si>
  <si>
    <t>-353.457886049938 219.067524775894 -319.258551436826</t>
  </si>
  <si>
    <t>-572.358441379697 17.1272473839032 -775.212182360631</t>
  </si>
  <si>
    <t>-586.327558862021 183.075066132089 -240.026562370843</t>
  </si>
  <si>
    <t>-577.17375860257 227.994402697732 213.35632749752</t>
  </si>
  <si>
    <t>-627.068429215088 253.736772390555 680.080815388628</t>
  </si>
  <si>
    <t>-471.160650195013 238.962814479182 760.193181201978</t>
  </si>
  <si>
    <t>-622.787474924785 3.07035252401052 214.144653303399</t>
  </si>
  <si>
    <t>-657.922051089973 2.79952766285128 682.453118839207</t>
  </si>
  <si>
    <t>-501.092873799914 -37.1768749037133 751.373374519962</t>
  </si>
  <si>
    <t>9763-20170724T164126.589480800.bin</t>
  </si>
  <si>
    <t>-597.628625395908 86.6578364865174 -240.814084921105</t>
  </si>
  <si>
    <t>-616.47461016345 89.8295943273459 -360.407444694585</t>
  </si>
  <si>
    <t>-615.089885987066 83.2337216751893 -481.424478471151</t>
  </si>
  <si>
    <t>-605.418912736008 73.6081420791875 -590.092226474159</t>
  </si>
  <si>
    <t>-587.430309555154 60.5330415404643 -697.331740940053</t>
  </si>
  <si>
    <t>-553.793023331838 38.9606727382861 -844.311846608428</t>
  </si>
  <si>
    <t>-502.226552665108 26.6136632357294 -931.325782667387</t>
  </si>
  <si>
    <t>-566.806769184822 79.9668856622271 -783.467387617917</t>
  </si>
  <si>
    <t>-564.670930812216 226.826840271629 -776.172676230466</t>
  </si>
  <si>
    <t>-547.538095169234 301.14532205994 -468.976484233261</t>
  </si>
  <si>
    <t>-352.14357076954 218.953235009977 -318.286483555225</t>
  </si>
  <si>
    <t>-570.546222349268 17.0446927991573 -775.088019446206</t>
  </si>
  <si>
    <t>-585.384908525584 182.339143394854 -239.877385025347</t>
  </si>
  <si>
    <t>-575.960463835525 227.758134227717 213.450311464777</t>
  </si>
  <si>
    <t>-626.928794038851 253.666593968753 680.007028689723</t>
  </si>
  <si>
    <t>-471.02468077933 239.241168435728 760.190097813795</t>
  </si>
  <si>
    <t>-622.125111400937 2.76240988204346 214.326348811172</t>
  </si>
  <si>
    <t>-658.001733488786 2.75863429670397 682.597035589969</t>
  </si>
  <si>
    <t>-501.23491772071 -37.5164024505475 751.485283970719</t>
  </si>
  <si>
    <t>9763-20170724T164126.623571800.bin</t>
  </si>
  <si>
    <t>-597.165088862073 86.2626428295915 -240.728143350135</t>
  </si>
  <si>
    <t>-616.023550362183 89.4432832505798 -360.319206919332</t>
  </si>
  <si>
    <t>-614.631359590511 82.9089655085283 -481.339714824618</t>
  </si>
  <si>
    <t>-604.946007063561 73.3599830061584 -590.01288970817</t>
  </si>
  <si>
    <t>-586.935981256805 60.3821571218044 -697.260414668972</t>
  </si>
  <si>
    <t>-553.261814353547 38.9661450734603 -844.255156183401</t>
  </si>
  <si>
    <t>-502.791759407809 26.7225412546658 -931.924117393177</t>
  </si>
  <si>
    <t>-566.311934132792 79.9081481508954 -783.375236324316</t>
  </si>
  <si>
    <t>-564.156315187012 226.775109836374 -775.952119511145</t>
  </si>
  <si>
    <t>-547.654621029305 300.578041252622 -468.597274267965</t>
  </si>
  <si>
    <t>-350.638219710447 218.307016160067 -320.077585704441</t>
  </si>
  <si>
    <t>-570.011245911955 16.9759311539957 -775.053840319781</t>
  </si>
  <si>
    <t>-585.06930652721 181.923479333833 -239.773006596231</t>
  </si>
  <si>
    <t>-575.520465331664 227.658970175063 213.520257556175</t>
  </si>
  <si>
    <t>-626.872389102924 253.619497521572 680.009010019972</t>
  </si>
  <si>
    <t>-470.964094524075 239.372146348149 760.215844061589</t>
  </si>
  <si>
    <t>-621.884468099336 2.58509391916414 214.405474180857</t>
  </si>
  <si>
    <t>-658.048132607684 2.73628102615491 682.655696096191</t>
  </si>
  <si>
    <t>-501.43868586872 -38.1420633886609 751.5464551439</t>
  </si>
  <si>
    <t>9763-20170724T164126.690337800.bin</t>
  </si>
  <si>
    <t>-596.332641996348 85.6992607391799 -240.564482309256</t>
  </si>
  <si>
    <t>-615.097490424599 88.8442691492495 -360.171264841528</t>
  </si>
  <si>
    <t>-613.745387443814 82.2808089855247 -481.190515817354</t>
  </si>
  <si>
    <t>-604.149393018798 72.7084526661797 -589.869527831318</t>
  </si>
  <si>
    <t>-586.279872025749 59.7098576514156 -697.138271678055</t>
  </si>
  <si>
    <t>-552.852092190524 38.2671459033908 -844.185209142051</t>
  </si>
  <si>
    <t>-504.125572154907 26.0826747710059 -932.843249186174</t>
  </si>
  <si>
    <t>-565.817915377353 79.2207181196727 -783.295077315546</t>
  </si>
  <si>
    <t>-563.817966763027 226.066019823869 -775.912787611123</t>
  </si>
  <si>
    <t>-547.294338660663 299.845703421164 -468.553498379744</t>
  </si>
  <si>
    <t>-346.80671210368 218.386882701481 -324.29243578595</t>
  </si>
  <si>
    <t>-569.467683253733 16.2890074028801 -774.947934096418</t>
  </si>
  <si>
    <t>-584.211500824973 181.296209722111 -239.658094299405</t>
  </si>
  <si>
    <t>-574.855293462946 227.472145608446 213.594494373692</t>
  </si>
  <si>
    <t>-626.797790085547 253.636878796786 680.019854228007</t>
  </si>
  <si>
    <t>-470.910510885623 239.377353007426 760.265336332589</t>
  </si>
  <si>
    <t>-621.5075249547 2.3605535422315 214.54495158505</t>
  </si>
  <si>
    <t>-658.13194295294 2.72814399490437 682.758477288015</t>
  </si>
  <si>
    <t>-501.148255596106 -36.8206154690436 751.573751682624</t>
  </si>
  <si>
    <t>9763-20170724T164126.723425600.bin</t>
  </si>
  <si>
    <t>-595.827544367125 85.4281757564543 -240.492552882891</t>
  </si>
  <si>
    <t>-614.609633465859 88.5718240045739 -360.09674488031</t>
  </si>
  <si>
    <t>-613.368876718597 82.0078645653773 -481.117102381874</t>
  </si>
  <si>
    <t>-603.909543926771 72.4362847543193 -589.808096874723</t>
  </si>
  <si>
    <t>-586.210662422804 59.4399544777167 -697.105388528869</t>
  </si>
  <si>
    <t>-553.053394867711 38.0021972236309 -844.214348370299</t>
  </si>
  <si>
    <t>-504.985157448401 25.8588491580656 -933.236604936486</t>
  </si>
  <si>
    <t>-565.914865040844 78.9539631673046 -783.300816765499</t>
  </si>
  <si>
    <t>-563.976443641613 225.807228924163 -775.931966393811</t>
  </si>
  <si>
    <t>-546.844860220678 299.24834940292 -468.524931519429</t>
  </si>
  <si>
    <t>-345.153521594165 218.506112534286 -325.544745866036</t>
  </si>
  <si>
    <t>-569.534081501603 16.0215425350288 -774.945560171029</t>
  </si>
  <si>
    <t>-583.69050358299 181.124762649244 -239.609984713702</t>
  </si>
  <si>
    <t>-574.51172724278 227.372803805095 213.6388574527</t>
  </si>
  <si>
    <t>-626.771508280761 253.668917282387 680.031166039924</t>
  </si>
  <si>
    <t>-470.906400791974 239.279759700969 760.296505391178</t>
  </si>
  <si>
    <t>-621.377926676101 2.18739352990135 214.612583042268</t>
  </si>
  <si>
    <t>-658.18670958623 2.66803566627708 682.803850483884</t>
  </si>
  <si>
    <t>-501.539892428652 -38.1510901677349 751.644845041287</t>
  </si>
  <si>
    <t>9763-20170724T164126.791127300.bin</t>
  </si>
  <si>
    <t>-594.893816590915 85.1223725780782 -240.32711170742</t>
  </si>
  <si>
    <t>-613.714514086291 88.2417204343537 -359.925818151989</t>
  </si>
  <si>
    <t>-612.659281298417 81.6839577305904 -480.948274762554</t>
  </si>
  <si>
    <t>-603.422938604649 72.1335759955599 -589.660463130545</t>
  </si>
  <si>
    <t>-585.998989559576 59.1757239500674 -697.007367714497</t>
  </si>
  <si>
    <t>-553.274187370553 37.810635090994 -844.223582943907</t>
  </si>
  <si>
    <t>-506.242618701349 25.7901890906105 -933.814480434128</t>
  </si>
  <si>
    <t>-565.974240385357 78.7327473820524 -783.256320787312</t>
  </si>
  <si>
    <t>-564.105528838817 225.596933860853 -775.895930940342</t>
  </si>
  <si>
    <t>-545.23331350568 298.55250655143 -468.47518583181</t>
  </si>
  <si>
    <t>-341.259275043172 222.442958670819 -326.193687524399</t>
  </si>
  <si>
    <t>-569.533500375788 15.7952554872934 -774.913665180636</t>
  </si>
  <si>
    <t>-582.654323995712 180.917524921727 -239.481563672896</t>
  </si>
  <si>
    <t>-573.472452231804 227.346181854933 213.748771359456</t>
  </si>
  <si>
    <t>-626.723311901356 253.771015215921 680.049883197841</t>
  </si>
  <si>
    <t>-470.918721467727 238.929516214855 760.35045260693</t>
  </si>
  <si>
    <t>-621.084493064316 2.08792893861214 214.788884901236</t>
  </si>
  <si>
    <t>-658.283334036196 2.65005190219092 682.924341175461</t>
  </si>
  <si>
    <t>-501.507064478103 -37.7704229376077 751.705873366126</t>
  </si>
  <si>
    <t>9763-20170724T164126.823215500.bin</t>
  </si>
  <si>
    <t>-594.377798274593 85.0283094524352 -240.330506080847</t>
  </si>
  <si>
    <t>-613.289990528338 88.1387783310089 -359.915046774376</t>
  </si>
  <si>
    <t>-612.381117666205 81.5661131671546 -480.937890100096</t>
  </si>
  <si>
    <t>-603.296683261828 72.0019989063373 -589.661540536963</t>
  </si>
  <si>
    <t>-586.042106322703 59.0312320516704 -697.034223024416</t>
  </si>
  <si>
    <t>-553.568957587856 37.6502425712463 -844.304057804882</t>
  </si>
  <si>
    <t>-506.980130690256 25.7008230253866 -934.135355523334</t>
  </si>
  <si>
    <t>-566.177388734295 78.5792923106863 -783.32232805266</t>
  </si>
  <si>
    <t>-564.439751353951 225.440640077243 -776.015324900732</t>
  </si>
  <si>
    <t>-544.716703692386 298.186557712217 -468.598421043043</t>
  </si>
  <si>
    <t>-340.27680719084 223.697929983113 -326.12792016435</t>
  </si>
  <si>
    <t>-569.697213882703 15.6420336099118 -774.961018379814</t>
  </si>
  <si>
    <t>-581.997585688486 180.861872237103 -239.493378639509</t>
  </si>
  <si>
    <t>-572.941262127143 227.275215743937 213.74098410577</t>
  </si>
  <si>
    <t>-626.635416429783 253.725319102012 679.941973481404</t>
  </si>
  <si>
    <t>-470.966719658955 238.729311841297 760.4770277474</t>
  </si>
  <si>
    <t>-620.854528772369 2.08702360097509 214.843794777068</t>
  </si>
  <si>
    <t>-658.32209611171 2.65743979396187 682.975601902554</t>
  </si>
  <si>
    <t>-501.572160754084 -37.8876894110944 751.743740002611</t>
  </si>
  <si>
    <t>9763-20170724T164126.895458300.bin</t>
  </si>
  <si>
    <t>-593.292154899862 84.6565974325881 -240.241584203408</t>
  </si>
  <si>
    <t>-612.131862614707 87.7466593975496 -359.838056182468</t>
  </si>
  <si>
    <t>-611.366761861337 81.1299453525806 -480.859687670374</t>
  </si>
  <si>
    <t>-602.495589392403 71.5188143674862 -589.596731033309</t>
  </si>
  <si>
    <t>-585.533984522279 58.4951232500635 -697.009689163943</t>
  </si>
  <si>
    <t>-553.546388866621 37.0349150238827 -844.374129908722</t>
  </si>
  <si>
    <t>-507.720775149703 25.2240979879499 -934.615519230858</t>
  </si>
  <si>
    <t>-565.972026245163 77.997241761757 -783.377362817807</t>
  </si>
  <si>
    <t>-564.38384954841 224.875922350422 -776.294283401125</t>
  </si>
  <si>
    <t>-543.920426988618 297.998542538008 -469.015078391192</t>
  </si>
  <si>
    <t>-339.280691811624 224.437152217373 -326.34987167398</t>
  </si>
  <si>
    <t>-569.427765726597 15.0635536546871 -774.962542833432</t>
  </si>
  <si>
    <t>-580.878808309303 180.504293148155 -239.439987015091</t>
  </si>
  <si>
    <t>-571.946572168172 227.120935746307 213.776032404836</t>
  </si>
  <si>
    <t>-626.510688927109 253.721389286701 679.891557196004</t>
  </si>
  <si>
    <t>-470.950524992525 238.418698323358 760.578471571877</t>
  </si>
  <si>
    <t>-620.488837442121 1.9187775832949 214.944476009352</t>
  </si>
  <si>
    <t>-658.423280269021 2.52977462897549 683.053699548792</t>
  </si>
  <si>
    <t>-501.925750082588 -38.9761057865678 751.823424805925</t>
  </si>
  <si>
    <t>9763-20170724T164126.925541100.bin</t>
  </si>
  <si>
    <t>-592.630804387411 84.5803266310934 -240.23411891855</t>
  </si>
  <si>
    <t>-611.402406411558 87.6296564234675 -359.842361715557</t>
  </si>
  <si>
    <t>-610.70518313026 80.9786868300261 -480.862373497917</t>
  </si>
  <si>
    <t>-601.949146846343 71.3389061894265 -589.606301525997</t>
  </si>
  <si>
    <t>-585.154594266005 58.2883683826222 -697.042212707989</t>
  </si>
  <si>
    <t>-553.451310609169 36.7920203495781 -844.462791909568</t>
  </si>
  <si>
    <t>-507.953033651866 25.0412992492686 -934.877482086814</t>
  </si>
  <si>
    <t>-565.760363386008 77.7693340552899 -783.452381627008</t>
  </si>
  <si>
    <t>-564.217022757168 224.646448567554 -776.463731686535</t>
  </si>
  <si>
    <t>-543.6337298681 298.187076500357 -469.292388320796</t>
  </si>
  <si>
    <t>-339.178359130112 223.920912322274 -326.728036969474</t>
  </si>
  <si>
    <t>-569.197701904398 14.8376408483299 -775.015161078759</t>
  </si>
  <si>
    <t>-580.13751360323 180.43758098775 -239.451126623774</t>
  </si>
  <si>
    <t>-571.481024798785 227.081399936956 213.76751123657</t>
  </si>
  <si>
    <t>-626.442864712087 253.739094193379 679.834575326337</t>
  </si>
  <si>
    <t>-470.929750021733 238.351798052016 760.59607946328</t>
  </si>
  <si>
    <t>-620.299938685258 1.97185816521544 214.968713249312</t>
  </si>
  <si>
    <t>-658.460474201052 2.54513694848043 683.081313115756</t>
  </si>
  <si>
    <t>-501.786644102156 -38.326831853044 751.829452472149</t>
  </si>
  <si>
    <t>9763-20170724T164126.993240700.bin</t>
  </si>
  <si>
    <t>-591.347532304331 84.3262793504622 -240.164871807723</t>
  </si>
  <si>
    <t>-610.042339713932 87.3032071660481 -359.786981709762</t>
  </si>
  <si>
    <t>-609.534737128109 80.5884129953167 -480.80442990964</t>
  </si>
  <si>
    <t>-601.054760538297 70.8947616823071 -589.565376111255</t>
  </si>
  <si>
    <t>-584.63697124592 57.7932304017197 -697.053343937458</t>
  </si>
  <si>
    <t>-553.557704562565 36.2280776642693 -844.596689612029</t>
  </si>
  <si>
    <t>-508.612931838893 24.6026451458054 -935.303971520004</t>
  </si>
  <si>
    <t>-565.646302036591 77.2347816000005 -783.561955513888</t>
  </si>
  <si>
    <t>-564.130840022761 224.118170233479 -776.708716582867</t>
  </si>
  <si>
    <t>-543.158503333809 298.295220818338 -469.716786678133</t>
  </si>
  <si>
    <t>-338.757276852104 222.77829579575 -327.732992435224</t>
  </si>
  <si>
    <t>-568.972284828959 14.3051798379006 -775.064776321352</t>
  </si>
  <si>
    <t>-578.842640593274 180.184791638386 -239.44701051062</t>
  </si>
  <si>
    <t>-570.835972665516 227.007356688127 213.765106249207</t>
  </si>
  <si>
    <t>-626.325364658624 253.779443435424 679.758970767891</t>
  </si>
  <si>
    <t>-470.883361988967 238.233516712145 760.62687762682</t>
  </si>
  <si>
    <t>-619.948078540998 1.91992815805392 215.048588892097</t>
  </si>
  <si>
    <t>-658.544223848837 2.37903965643064 683.140542055428</t>
  </si>
  <si>
    <t>-502.235885407747 -39.7725511040301 751.947891090938</t>
  </si>
  <si>
    <t>9763-20170724T164127.026328900.bin</t>
  </si>
  <si>
    <t>-590.755736451911 84.386067102518 -240.159275049374</t>
  </si>
  <si>
    <t>-609.509795596357 87.3193187856164 -359.773238890684</t>
  </si>
  <si>
    <t>-609.143254702702 80.584656514808 -480.790038086472</t>
  </si>
  <si>
    <t>-600.822627410728 70.8823053853606 -589.562675752701</t>
  </si>
  <si>
    <t>-584.594642867538 57.7807251148782 -697.07944267069</t>
  </si>
  <si>
    <t>-553.809276158764 36.2236469208526 -844.685535839885</t>
  </si>
  <si>
    <t>-509.072500042209 24.6665214646799 -935.504144726087</t>
  </si>
  <si>
    <t>-565.804968017144 77.2276388392007 -783.630767467689</t>
  </si>
  <si>
    <t>-564.324057627921 224.112631605764 -776.803973319618</t>
  </si>
  <si>
    <t>-542.811424609797 298.569734621442 -469.917054977511</t>
  </si>
  <si>
    <t>-338.311636230065 222.170317338513 -328.548792638942</t>
  </si>
  <si>
    <t>-569.056728198854 14.2962845539714 -775.118178383805</t>
  </si>
  <si>
    <t>-578.294477637898 180.241484146317 -239.462539244532</t>
  </si>
  <si>
    <t>-570.57252002925 227.035038737136 213.757424042123</t>
  </si>
  <si>
    <t>-626.270335440593 253.769350642735 679.728627543546</t>
  </si>
  <si>
    <t>-470.847306950043 238.259118171955 760.639919887565</t>
  </si>
  <si>
    <t>-619.685012149879 2.06065400439342 215.09485259065</t>
  </si>
  <si>
    <t>-658.563393183117 2.52034713242876 683.157769417031</t>
  </si>
  <si>
    <t>-501.913585907505 -38.4044519857855 751.929156144676</t>
  </si>
  <si>
    <t>9763-20170724T164127.096062100.bin</t>
  </si>
  <si>
    <t>-589.756695730027 84.4308633851164 -240.082015649993</t>
  </si>
  <si>
    <t>-608.494297144828 87.273711365634 -359.700701031615</t>
  </si>
  <si>
    <t>-608.386595211058 80.5006904985476 -480.715827653481</t>
  </si>
  <si>
    <t>-600.409243973276 70.782152534963 -589.512851776102</t>
  </si>
  <si>
    <t>-584.630536548385 57.6799940118173 -697.096255822778</t>
  </si>
  <si>
    <t>-554.575803583934 36.1354086647738 -844.854653040015</t>
  </si>
  <si>
    <t>-510.225889170448 24.7036644331019 -935.878821140795</t>
  </si>
  <si>
    <t>-566.345788217067 77.1359193936304 -783.753560200744</t>
  </si>
  <si>
    <t>-565.04853691527 224.023677333696 -776.975275393321</t>
  </si>
  <si>
    <t>-541.138088257797 298.434592322223 -470.25483139586</t>
  </si>
  <si>
    <t>-335.916409603898 221.57037971795 -330.19043568953</t>
  </si>
  <si>
    <t>-569.402364815548 14.2004711886455 -775.198818909818</t>
  </si>
  <si>
    <t>-577.397134661868 180.241925232759 -239.440328961813</t>
  </si>
  <si>
    <t>-570.128596477199 227.114597465146 213.779006929201</t>
  </si>
  <si>
    <t>-626.1725240656 253.712487005634 679.695640287365</t>
  </si>
  <si>
    <t>-470.753127468977 238.434815198043 760.658078095836</t>
  </si>
  <si>
    <t>-619.213897921902 2.12732754414828 215.17805122447</t>
  </si>
  <si>
    <t>-658.650373165561 2.36045559249484 683.209468504196</t>
  </si>
  <si>
    <t>-502.256878286539 -39.4649419924021 752.02234659702</t>
  </si>
  <si>
    <t>9763-20170724T164127.124136400.bin</t>
  </si>
  <si>
    <t>-589.369665437205 84.4947846224675 -240.02672355852</t>
  </si>
  <si>
    <t>-608.117550796823 87.2633748078491 -359.645436057887</t>
  </si>
  <si>
    <t>-608.133419560396 80.4755666185571 -480.659915800415</t>
  </si>
  <si>
    <t>-600.314255422467 70.764393209016 -589.468941983292</t>
  </si>
  <si>
    <t>-584.739568218077 57.6873626832036 -697.085295002</t>
  </si>
  <si>
    <t>-555.015120746177 36.1935850924793 -844.917818735781</t>
  </si>
  <si>
    <t>-510.820334253656 24.810193059423 -936.023395658781</t>
  </si>
  <si>
    <t>-566.67952209259 77.1737531175315 -783.782775555634</t>
  </si>
  <si>
    <t>-565.353275895899 224.056379477045 -776.949419657705</t>
  </si>
  <si>
    <t>-539.890330775801 298.010684109675 -470.243364295951</t>
  </si>
  <si>
    <t>-334.388099701264 221.14736283516 -330.59052519644</t>
  </si>
  <si>
    <t>-569.655065649789 14.2341444435793 -775.230153287986</t>
  </si>
  <si>
    <t>-577.080545757688 180.279711143073 -239.432520452449</t>
  </si>
  <si>
    <t>-569.98302284553 227.191599755575 213.785480357418</t>
  </si>
  <si>
    <t>-626.12255772181 253.680464700477 679.679273612239</t>
  </si>
  <si>
    <t>-470.692204702942 238.585114894858 760.654830687921</t>
  </si>
  <si>
    <t>-618.954184699291 2.20630732402056 215.238157564632</t>
  </si>
  <si>
    <t>-658.675958910262 2.31867831494878 683.240736432471</t>
  </si>
  <si>
    <t>-502.26171453231 -39.4323045513226 752.051756309789</t>
  </si>
  <si>
    <t>9763-20170724T164127.190878300.bin</t>
  </si>
  <si>
    <t>-588.894414837357 84.767080724945 -240.005442308484</t>
  </si>
  <si>
    <t>-607.689704685069 87.464763881516 -359.618507029109</t>
  </si>
  <si>
    <t>-607.991141923657 80.7259339245079 -480.635200272363</t>
  </si>
  <si>
    <t>-600.5270999129 71.1004114493914 -589.47679412302</t>
  </si>
  <si>
    <t>-585.402934408446 58.144700015629 -697.172124513984</t>
  </si>
  <si>
    <t>-556.401218745611 36.850868461178 -845.177077199761</t>
  </si>
  <si>
    <t>-512.535437270662 25.5959779532228 -936.45744443499</t>
  </si>
  <si>
    <t>-567.832556512573 77.7495635781096 -783.943601833239</t>
  </si>
  <si>
    <t>-566.675548458277 224.635753881007 -777.017304172567</t>
  </si>
  <si>
    <t>-537.753443574424 297.191375013305 -470.28385827396</t>
  </si>
  <si>
    <t>-332.230202717929 221.091097223625 -330.244617254256</t>
  </si>
  <si>
    <t>-570.634617746521 14.795949416056 -775.435308809291</t>
  </si>
  <si>
    <t>-576.881403098752 180.520008480586 -239.407285747623</t>
  </si>
  <si>
    <t>-570.068580864853 227.389613508201 213.819557274858</t>
  </si>
  <si>
    <t>-626.0806481353 253.683999834397 679.70373983753</t>
  </si>
  <si>
    <t>-470.607142162265 238.840293346208 760.642916119447</t>
  </si>
  <si>
    <t>-618.71745863676 2.44430480377525 215.284921942932</t>
  </si>
  <si>
    <t>-658.709770292995 2.27608260818283 683.277237192558</t>
  </si>
  <si>
    <t>-502.299790221628 -39.4313327079134 752.124275568755</t>
  </si>
  <si>
    <t>9763-20170724T164127.225974300.bin</t>
  </si>
  <si>
    <t>-588.808077071329 84.8365662824991 -239.980037804082</t>
  </si>
  <si>
    <t>-607.502990722629 87.4889723195841 -359.609860889589</t>
  </si>
  <si>
    <t>-607.877823644856 80.7775183918866 -480.627956706311</t>
  </si>
  <si>
    <t>-600.551463378744 71.2021087862287 -589.483190524682</t>
  </si>
  <si>
    <t>-585.635512707516 58.3184138542872 -697.216133404115</t>
  </si>
  <si>
    <t>-556.995153770307 37.1442365887328 -845.308636617974</t>
  </si>
  <si>
    <t>-513.298891508236 25.9612613860118 -936.679159897715</t>
  </si>
  <si>
    <t>-568.301206784915 77.9938163964069 -784.019204317231</t>
  </si>
  <si>
    <t>-567.203506758754 224.875915331768 -777.025489668886</t>
  </si>
  <si>
    <t>-536.787472182781 296.605213203187 -470.242211626111</t>
  </si>
  <si>
    <t>-331.644236499015 220.630881847588 -329.578928771653</t>
  </si>
  <si>
    <t>-571.034036608782 15.0325075158384 -775.545520572401</t>
  </si>
  <si>
    <t>-576.875022739968 180.584900792711 -239.413124835913</t>
  </si>
  <si>
    <t>-570.22464554766 227.503274664883 213.81099517547</t>
  </si>
  <si>
    <t>-626.062329113121 253.710154527153 679.713197901085</t>
  </si>
  <si>
    <t>-470.572986114046 238.930075251059 760.633698606848</t>
  </si>
  <si>
    <t>-618.829784773109 2.41970864933387 215.286209542207</t>
  </si>
  <si>
    <t>-658.796009354493 2.0741239611235 683.286578302218</t>
  </si>
  <si>
    <t>-502.444536840101 -39.8189643335115 752.153801691052</t>
  </si>
  <si>
    <t>9763-20170724T164127.289181200.bin</t>
  </si>
  <si>
    <t>-588.804146543336 85.1078959727139 -239.993030141886</t>
  </si>
  <si>
    <t>-607.579917402986 87.7603269587372 -359.610131811319</t>
  </si>
  <si>
    <t>-608.140793149058 81.1195432137496 -480.631393821076</t>
  </si>
  <si>
    <t>-601.025155334142 71.6326472427302 -589.508427323955</t>
  </si>
  <si>
    <t>-586.361618823191 58.8592449191273 -697.289124604012</t>
  </si>
  <si>
    <t>-558.114634731722 37.8583053846953 -845.481830121726</t>
  </si>
  <si>
    <t>-514.693942608675 26.8144287350812 -937.000434804109</t>
  </si>
  <si>
    <t>-569.252333631698 78.6360767707898 -784.113810884416</t>
  </si>
  <si>
    <t>-568.083879786333 225.508388097293 -776.959462127884</t>
  </si>
  <si>
    <t>-536.26102854867 296.117717427006 -470.059203046583</t>
  </si>
  <si>
    <t>-331.537566311093 220.820007191423 -328.423741882691</t>
  </si>
  <si>
    <t>-571.973815718208 15.6651056300115 -775.708587048414</t>
  </si>
  <si>
    <t>-576.939104830895 180.946099167809 -239.441329363128</t>
  </si>
  <si>
    <t>-570.419375920951 227.635054764136 213.808473436453</t>
  </si>
  <si>
    <t>-626.029485517528 253.841219036007 679.726551686058</t>
  </si>
  <si>
    <t>-470.532728496707 238.997381415379 760.621101501847</t>
  </si>
  <si>
    <t>-619.024214614179 2.50147468402389 215.2825157229</t>
  </si>
  <si>
    <t>-658.859327706615 2.03657354672622 683.293029291084</t>
  </si>
  <si>
    <t>-502.538948889379 -39.9615560443183 752.166923626055</t>
  </si>
  <si>
    <t>9763-20170724T164127.327282900.bin</t>
  </si>
  <si>
    <t>-588.824142382988 85.3249843983506 -240.056339091941</t>
  </si>
  <si>
    <t>-607.661954109463 87.9563487587029 -359.664099743754</t>
  </si>
  <si>
    <t>-608.347883806034 81.3481479003216 -480.686552543884</t>
  </si>
  <si>
    <t>-601.372036542474 71.9076293218882 -589.576694592836</t>
  </si>
  <si>
    <t>-586.875204204137 59.1943981418956 -697.387002088479</t>
  </si>
  <si>
    <t>-558.887638271267 38.2884598964609 -845.642238800943</t>
  </si>
  <si>
    <t>-515.602361735236 27.2729717063003 -937.228402911158</t>
  </si>
  <si>
    <t>-569.862978637293 79.0258676781418 -784.218183372583</t>
  </si>
  <si>
    <t>-568.391303657961 225.901796157931 -776.972008224325</t>
  </si>
  <si>
    <t>-536.03636386766 295.932555185521 -469.994722625348</t>
  </si>
  <si>
    <t>-331.449436556366 220.927000079195 -328.007297383037</t>
  </si>
  <si>
    <t>-572.679601710427 16.051506836503 -775.869665454829</t>
  </si>
  <si>
    <t>-576.799233870623 181.187497373097 -239.5085575593</t>
  </si>
  <si>
    <t>-570.472284407905 227.749349220681 213.757010101071</t>
  </si>
  <si>
    <t>-626.016932137759 253.93071123714 679.713550575614</t>
  </si>
  <si>
    <t>-470.53172563125 238.956098748685 760.60613916437</t>
  </si>
  <si>
    <t>-618.967844009 2.60963465433363 215.271735422235</t>
  </si>
  <si>
    <t>-658.874523417568 2.08941682628173 683.302556372175</t>
  </si>
  <si>
    <t>-502.495629891472 -39.7113740724105 752.163700980776</t>
  </si>
  <si>
    <t>9763-20170724T164127.363836300.bin</t>
  </si>
  <si>
    <t>-588.966143023407 85.407317739384 -240.026324049409</t>
  </si>
  <si>
    <t>-607.78400553399 88.0280943196517 -359.637394562434</t>
  </si>
  <si>
    <t>-608.584925032689 81.4235908856775 -480.65934066862</t>
  </si>
  <si>
    <t>-601.767103064773 71.9896224974936 -589.560126558503</t>
  </si>
  <si>
    <t>-587.481363217168 59.2844773907924 -697.399543162434</t>
  </si>
  <si>
    <t>-559.840618512789 38.3892716076032 -845.721485569881</t>
  </si>
  <si>
    <t>-516.714534556729 27.3441876215769 -937.37919399638</t>
  </si>
  <si>
    <t>-570.642168543098 79.1216078811838 -784.263059217427</t>
  </si>
  <si>
    <t>-568.958137410104 225.99948726978 -776.971203141337</t>
  </si>
  <si>
    <t>-535.694030005694 295.31809456447 -469.929494069736</t>
  </si>
  <si>
    <t>-331.155036033241 220.759946372088 -327.637799253709</t>
  </si>
  <si>
    <t>-573.499428600729 16.1478801667253 -775.924010921896</t>
  </si>
  <si>
    <t>-576.852303603108 181.268902896995 -239.496044709792</t>
  </si>
  <si>
    <t>-570.444092735512 227.846071632692 213.76673719072</t>
  </si>
  <si>
    <t>-626.008382881727 254.002641648309 679.715428569453</t>
  </si>
  <si>
    <t>-470.52862784134 238.907711340318 760.596158586575</t>
  </si>
  <si>
    <t>-619.01830868615 2.58309771154212 215.298277387334</t>
  </si>
  <si>
    <t>-658.921426276885 1.933011582358 683.330250442295</t>
  </si>
  <si>
    <t>-502.6284524616 -40.1862423044216 752.192317008526</t>
  </si>
  <si>
    <t>9763-20170724T164127.428001300.bin</t>
  </si>
  <si>
    <t>-589.441692256713 85.7420100809179 -240.008286538015</t>
  </si>
  <si>
    <t>-608.734171330364 88.4318839741094 -359.542330470546</t>
  </si>
  <si>
    <t>-609.952583150782 81.8237695576626 -480.560596512542</t>
  </si>
  <si>
    <t>-603.483421877848 72.3601815312628 -589.479998991906</t>
  </si>
  <si>
    <t>-589.515013410868 59.6010723609241 -697.354538339901</t>
  </si>
  <si>
    <t>-562.281413206373 38.6079292423023 -845.737937003591</t>
  </si>
  <si>
    <t>-519.377269849783 27.6140770529586 -937.505946144604</t>
  </si>
  <si>
    <t>-572.946243737441 79.3815054679708 -784.283217647797</t>
  </si>
  <si>
    <t>-571.295536917454 226.243284140502 -776.983572844515</t>
  </si>
  <si>
    <t>-534.83934197572 294.827358532608 -470.139447820504</t>
  </si>
  <si>
    <t>-330.825194196475 220.664125001151 -326.891050703573</t>
  </si>
  <si>
    <t>-575.7166731369 16.4120151163643 -775.882795222121</t>
  </si>
  <si>
    <t>-577.220444390191 181.80534337614 -239.447098737326</t>
  </si>
  <si>
    <t>-570.635431427042 227.946045902603 213.857853250348</t>
  </si>
  <si>
    <t>-626.062767719339 254.150942620849 679.799655365558</t>
  </si>
  <si>
    <t>-470.551004746649 238.808234607157 760.572189356992</t>
  </si>
  <si>
    <t>-619.259757756922 2.75091937937424 215.360470097901</t>
  </si>
  <si>
    <t>-658.965635609418 2.10193814901049 683.398269156688</t>
  </si>
  <si>
    <t>-502.137042193415 -38.157439628373 752.1550487535</t>
  </si>
  <si>
    <t>9763-20170724T164127.489716000.bin</t>
  </si>
  <si>
    <t>-590.452862743585 85.9547906396131 -239.977231819244</t>
  </si>
  <si>
    <t>-609.792230236065 88.5910562954214 -359.504846495843</t>
  </si>
  <si>
    <t>-611.118162902814 82.0032402810401 -480.523149913052</t>
  </si>
  <si>
    <t>-604.773118398115 72.5819807966387 -589.453421792446</t>
  </si>
  <si>
    <t>-590.956513871597 59.88496277573 -697.354962168513</t>
  </si>
  <si>
    <t>-563.963057543812 38.9946637137843 -845.796747549877</t>
  </si>
  <si>
    <t>-521.128340753702 28.0884564348811 -937.607478128148</t>
  </si>
  <si>
    <t>-574.528658170531 79.7256321283435 -784.296560367906</t>
  </si>
  <si>
    <t>-572.618341445073 226.562514684487 -776.864259970449</t>
  </si>
  <si>
    <t>-533.448036214518 294.396901657679 -470.18781830747</t>
  </si>
  <si>
    <t>-329.807938967636 220.563518089539 -326.238581603003</t>
  </si>
  <si>
    <t>-577.285042832254 16.7503213982071 -775.935218039279</t>
  </si>
  <si>
    <t>-578.396819653193 182.031507780801 -239.453361489062</t>
  </si>
  <si>
    <t>-571.772693511565 228.084077749716 213.859950529226</t>
  </si>
  <si>
    <t>-626.143269997927 254.355537644063 679.898021156308</t>
  </si>
  <si>
    <t>-470.585661131742 238.662309770048 760.51485265566</t>
  </si>
  <si>
    <t>-620.05495088858 2.74762194832859 215.366954911502</t>
  </si>
  <si>
    <t>-659.016123540993 2.11731739329248 683.481206176136</t>
  </si>
  <si>
    <t>-502.325000818339 -38.7132483827206 752.214618980587</t>
  </si>
  <si>
    <t>9763-20170724T164127.522798800.bin</t>
  </si>
  <si>
    <t>-591.11037372677 86.0552631904412 -239.975158867512</t>
  </si>
  <si>
    <t>-610.584469553944 88.6690568710201 -359.481389298713</t>
  </si>
  <si>
    <t>-611.999949350333 82.1081100000968 -480.500029818999</t>
  </si>
  <si>
    <t>-605.718231926451 72.7297132422694 -589.437687948076</t>
  </si>
  <si>
    <t>-591.947948330461 60.093060552754 -697.352401153261</t>
  </si>
  <si>
    <t>-565.001712658509 39.3040759848076 -845.816880265632</t>
  </si>
  <si>
    <t>-522.145993681411 28.4520697438297 -937.624169727123</t>
  </si>
  <si>
    <t>-575.558706210251 79.9932816597423 -784.287506105555</t>
  </si>
  <si>
    <t>-573.523977963944 226.836979187135 -776.760019497769</t>
  </si>
  <si>
    <t>-532.907189341134 294.310569545858 -470.19226898332</t>
  </si>
  <si>
    <t>-329.692729178069 220.182254418678 -325.793692021433</t>
  </si>
  <si>
    <t>-578.290485880384 17.0118314372674 -775.964261092398</t>
  </si>
  <si>
    <t>-579.177358096156 182.234024524442 -239.454062570294</t>
  </si>
  <si>
    <t>-572.331814823831 228.090637575214 213.875784220198</t>
  </si>
  <si>
    <t>-626.209957397926 254.44854858724 679.989365375405</t>
  </si>
  <si>
    <t>-470.602365513315 238.617350609577 760.482622901596</t>
  </si>
  <si>
    <t>-620.525329365954 2.65051498558019 215.400423435558</t>
  </si>
  <si>
    <t>-659.062376625063 1.99102748315444 683.53774838184</t>
  </si>
  <si>
    <t>-502.555227347546 -39.5550312118338 752.261452798135</t>
  </si>
  <si>
    <t>9763-20170724T164127.591096900.bin</t>
  </si>
  <si>
    <t>-592.550256163407 86.3691371826328 -239.949491344199</t>
  </si>
  <si>
    <t>-612.318013607494 89.0487776106191 -359.406015105649</t>
  </si>
  <si>
    <t>-613.907915080086 82.5682769988267 -480.426756010037</t>
  </si>
  <si>
    <t>-607.735735164558 73.2656903770993 -589.377343421147</t>
  </si>
  <si>
    <t>-594.027935573159 60.706610117166 -697.308872356736</t>
  </si>
  <si>
    <t>-567.12072380953 40.0259461329283 -845.79564738078</t>
  </si>
  <si>
    <t>-524.191490006002 29.2220224825967 -937.574423608659</t>
  </si>
  <si>
    <t>-577.646471337365 80.6699152647413 -784.231072536633</t>
  </si>
  <si>
    <t>-575.454306340655 227.507450746554 -776.552178303058</t>
  </si>
  <si>
    <t>-531.865265047353 294.043348962836 -470.18782005088</t>
  </si>
  <si>
    <t>-329.483154521038 219.459226179016 -324.858086448351</t>
  </si>
  <si>
    <t>-580.406248971107 17.6830435906649 -775.958643848192</t>
  </si>
  <si>
    <t>-580.6221344369 182.6781062718 -239.414114066402</t>
  </si>
  <si>
    <t>-573.161479988087 228.251722259308 213.934686525826</t>
  </si>
  <si>
    <t>-626.346181857795 254.665557755177 680.156467909515</t>
  </si>
  <si>
    <t>-470.650167565778 238.457049780853 760.403269615297</t>
  </si>
  <si>
    <t>-621.34046505181 2.7664996770299 215.422042876243</t>
  </si>
  <si>
    <t>-659.116377842258 2.10265375641129 683.634662838095</t>
  </si>
  <si>
    <t>-502.145847947932 -37.8256690724769 752.260404586711</t>
  </si>
  <si>
    <t>9763-20170724T164127.626192100.bin</t>
  </si>
  <si>
    <t>-593.163477720969 86.4746935836328 -239.911885919868</t>
  </si>
  <si>
    <t>-612.98993883943 89.1895119896419 -359.357992523991</t>
  </si>
  <si>
    <t>-614.626304465077 82.7456964741347 -480.380082499545</t>
  </si>
  <si>
    <t>-608.491177926021 73.4758251363797 -589.335549797094</t>
  </si>
  <si>
    <t>-594.815569965246 60.9483621751191 -697.274789681825</t>
  </si>
  <si>
    <t>-567.948152977178 40.3100112257035 -845.77464705979</t>
  </si>
  <si>
    <t>-525.000447289528 29.5117944042772 -937.545411013922</t>
  </si>
  <si>
    <t>-578.436109310862 80.9360346882576 -784.191772198301</t>
  </si>
  <si>
    <t>-576.142630190794 227.772644356824 -776.434045429028</t>
  </si>
  <si>
    <t>-531.256032332908 293.513178075067 -470.085225018585</t>
  </si>
  <si>
    <t>-329.423377433585 218.298119885433 -324.317080819233</t>
  </si>
  <si>
    <t>-581.236181128614 17.9476626061368 -775.944290033265</t>
  </si>
  <si>
    <t>-581.170590607005 182.830369552839 -239.367143992096</t>
  </si>
  <si>
    <t>-573.315891950791 228.277124227859 213.987662411612</t>
  </si>
  <si>
    <t>-626.378921770378 254.755907798995 680.196535511944</t>
  </si>
  <si>
    <t>-470.66986994841 238.350665003286 760.378100306021</t>
  </si>
  <si>
    <t>-621.678486880672 2.70183484570418 215.440014601354</t>
  </si>
  <si>
    <t>-659.156998231097 2.04578694209975 683.686113833447</t>
  </si>
  <si>
    <t>-502.235930868525 -38.0981043192203 752.299148532787</t>
  </si>
  <si>
    <t>9763-20170724T164127.689886100.bin</t>
  </si>
  <si>
    <t>-594.042719183174 86.7217434311743 -239.902100177219</t>
  </si>
  <si>
    <t>-613.956425755572 89.526194409119 -359.331584968263</t>
  </si>
  <si>
    <t>-615.701113191695 83.1695036614025 -480.356904065433</t>
  </si>
  <si>
    <t>-609.672174244458 73.9745837902782 -589.324541469271</t>
  </si>
  <si>
    <t>-596.110661865886 61.517001739992 -697.286303294045</t>
  </si>
  <si>
    <t>-569.409736413046 40.9692449245146 -845.828739125877</t>
  </si>
  <si>
    <t>-526.454441430225 30.1544108395596 -937.593986633737</t>
  </si>
  <si>
    <t>-579.743330835083 81.555807715008 -784.193847034668</t>
  </si>
  <si>
    <t>-577.206837910799 228.378176021722 -776.292881651022</t>
  </si>
  <si>
    <t>-530.847901865107 292.817232964782 -469.886884517751</t>
  </si>
  <si>
    <t>-329.64440763472 216.050616970691 -324.057779306026</t>
  </si>
  <si>
    <t>-582.704716761617 18.566134960092 -776.012905467506</t>
  </si>
  <si>
    <t>-581.907938325454 183.114275755739 -239.329921747658</t>
  </si>
  <si>
    <t>-573.601781256655 228.354916095383 214.037477887192</t>
  </si>
  <si>
    <t>-626.378161014146 254.901298735001 680.236723379614</t>
  </si>
  <si>
    <t>-470.678518974271 238.215075237633 760.378509132458</t>
  </si>
  <si>
    <t>-622.315508718685 2.72757777603985 215.457674393801</t>
  </si>
  <si>
    <t>-659.20898301451 2.20944101240536 683.752776600472</t>
  </si>
  <si>
    <t>-501.878320672294 -36.408287860455 752.303822283398</t>
  </si>
  <si>
    <t>9763-20170724T164127.722978500.bin</t>
  </si>
  <si>
    <t>-594.389950953067 86.7491534917645 -239.921731283587</t>
  </si>
  <si>
    <t>-614.279891788664 89.6332339066202 -359.353074079907</t>
  </si>
  <si>
    <t>-616.056467219562 83.3157097101262 -480.379945609652</t>
  </si>
  <si>
    <t>-610.077848130133 74.1392489619786 -589.352017855328</t>
  </si>
  <si>
    <t>-596.587156385042 61.6833541074081 -697.322831248754</t>
  </si>
  <si>
    <t>-570.00507256528 41.1203304672187 -845.884444907349</t>
  </si>
  <si>
    <t>-527.090533145698 30.2694642681659 -937.664494053676</t>
  </si>
  <si>
    <t>-580.23429093124 81.7119583296777 -784.235362993445</t>
  </si>
  <si>
    <t>-577.593439712044 228.532085060004 -776.325282584913</t>
  </si>
  <si>
    <t>-531.075688611616 292.63306781124 -469.872352126896</t>
  </si>
  <si>
    <t>-330.168587196332 214.788876159532 -324.205983868006</t>
  </si>
  <si>
    <t>-583.299332207365 18.7257239839868 -776.065667310852</t>
  </si>
  <si>
    <t>-582.100414106434 183.179075068741 -239.326671868979</t>
  </si>
  <si>
    <t>-573.697324669877 228.358770979881 214.044998645176</t>
  </si>
  <si>
    <t>-626.360235492986 254.990489070335 680.236157127105</t>
  </si>
  <si>
    <t>-470.677737608234 238.183086322447 760.385944531711</t>
  </si>
  <si>
    <t>-622.69104346825 2.69278514765814 215.429615554826</t>
  </si>
  <si>
    <t>-659.250974416405 2.17080606811116 683.765305175573</t>
  </si>
  <si>
    <t>-501.804510544096 -35.9827637521637 752.310400359638</t>
  </si>
  <si>
    <t>9763-20170724T164127.791685900.bin</t>
  </si>
  <si>
    <t>-594.769835723158 86.8677205578381 -239.966333173374</t>
  </si>
  <si>
    <t>-614.53744103007 89.8126204265184 -359.416630978471</t>
  </si>
  <si>
    <t>-616.330186145422 83.552930151349 -480.446182070355</t>
  </si>
  <si>
    <t>-610.423463344581 74.4222992741194 -589.425902295532</t>
  </si>
  <si>
    <t>-597.061591199181 62.0029173751091 -697.417053281822</t>
  </si>
  <si>
    <t>-570.717133316193 41.4778581264023 -846.026272017317</t>
  </si>
  <si>
    <t>-527.88489833092 30.5656269878102 -937.837501906426</t>
  </si>
  <si>
    <t>-580.706923312789 82.0498288372738 -784.32508550057</t>
  </si>
  <si>
    <t>-577.466428254634 228.834260856407 -776.343939602733</t>
  </si>
  <si>
    <t>-531.234440030253 292.253075694877 -469.705901694785</t>
  </si>
  <si>
    <t>-330.874158304472 212.417391437945 -324.364744079985</t>
  </si>
  <si>
    <t>-584.040533320622 19.0692661382304 -776.21749761509</t>
  </si>
  <si>
    <t>-582.145349694309 183.413221606284 -239.380850926278</t>
  </si>
  <si>
    <t>-573.830445563944 228.352330288383 214.016329813084</t>
  </si>
  <si>
    <t>-626.322008690335 255.153511337712 680.233186005681</t>
  </si>
  <si>
    <t>-470.685320896356 238.029760590191 760.404917812853</t>
  </si>
  <si>
    <t>-623.467602081384 2.51944547765849 215.369712715429</t>
  </si>
  <si>
    <t>-659.329855733921 2.13115463956257 683.76820474033</t>
  </si>
  <si>
    <t>-501.85199951213 -35.8476493732353 752.338222233768</t>
  </si>
  <si>
    <t>9763-20170724T164127.824770200.bin</t>
  </si>
  <si>
    <t>-594.843214845982 86.9382245454095 -240.029024485479</t>
  </si>
  <si>
    <t>-614.630469821105 89.9353258701567 -359.474778426495</t>
  </si>
  <si>
    <t>-616.495667034231 83.7611424162754 -480.507672888583</t>
  </si>
  <si>
    <t>-610.676139654051 74.7185575551829 -589.499569071151</t>
  </si>
  <si>
    <t>-597.422878644592 62.3964294919862 -697.515079320382</t>
  </si>
  <si>
    <t>-571.251255074731 42.0146964840491 -846.174539967004</t>
  </si>
  <si>
    <t>-528.469510144246 31.0924687932736 -938.0080756212</t>
  </si>
  <si>
    <t>-581.102185225238 82.5250612809941 -784.410601614183</t>
  </si>
  <si>
    <t>-577.475029325315 229.299307167363 -776.316382620155</t>
  </si>
  <si>
    <t>-531.283278870803 292.248587426195 -469.57555099691</t>
  </si>
  <si>
    <t>-331.114228927811 211.85131679912 -324.280468257937</t>
  </si>
  <si>
    <t>-584.560504881166 19.5408340886514 -776.384093417405</t>
  </si>
  <si>
    <t>-582.006173871657 183.55343972384 -239.42682999557</t>
  </si>
  <si>
    <t>-573.816774544639 228.337752984426 213.987923039641</t>
  </si>
  <si>
    <t>-626.291129738455 255.194726279984 680.213728237371</t>
  </si>
  <si>
    <t>-470.672318541372 238.017090071716 760.408640590965</t>
  </si>
  <si>
    <t>-623.707378659054 2.52203667647166 215.337341520516</t>
  </si>
  <si>
    <t>-659.354252261511 2.04070842550232 683.773533194847</t>
  </si>
  <si>
    <t>-502.041106378781 -36.535876431829 752.387923095288</t>
  </si>
  <si>
    <t>9763-20170724T164127.888627000.bin</t>
  </si>
  <si>
    <t>-594.8613099623 87.1560598099942 -240.033832217793</t>
  </si>
  <si>
    <t>-614.562021242501 90.1824687355793 -359.493222347067</t>
  </si>
  <si>
    <t>-616.407272595641 84.1264232871621 -480.532385761767</t>
  </si>
  <si>
    <t>-610.597691722925 75.2246104952101 -589.536290170074</t>
  </si>
  <si>
    <t>-597.382459784063 63.0764073976706 -697.57634354656</t>
  </si>
  <si>
    <t>-571.29236314158 42.96960677491 -846.287439979467</t>
  </si>
  <si>
    <t>-528.499485295768 32.0275542519397 -938.113549807891</t>
  </si>
  <si>
    <t>-581.013023711194 83.3624830355039 -784.425974313248</t>
  </si>
  <si>
    <t>-576.66474891182 230.116223173247 -776.149844070482</t>
  </si>
  <si>
    <t>-530.189347636243 292.277259183045 -469.291184259762</t>
  </si>
  <si>
    <t>-330.203574931117 211.062932434643 -324.198229984673</t>
  </si>
  <si>
    <t>-584.659760217046 20.3699965342946 -776.548828257929</t>
  </si>
  <si>
    <t>-581.550108010403 183.795134218787 -239.481960728714</t>
  </si>
  <si>
    <t>-573.617556939513 228.413989380584 213.9536871031</t>
  </si>
  <si>
    <t>-626.226669519 255.249821535171 680.163045276695</t>
  </si>
  <si>
    <t>-470.639633996565 238.022886498052 760.409031272102</t>
  </si>
  <si>
    <t>-623.998235201738 2.50935467325769 215.321911958966</t>
  </si>
  <si>
    <t>-659.400033841619 1.79051055116153 683.791198563241</t>
  </si>
  <si>
    <t>-502.38853333503 -37.7930698229608 752.522771603662</t>
  </si>
  <si>
    <t>9763-20170724T164127.926729700.bin</t>
  </si>
  <si>
    <t>-594.904260691067 87.306154653662 -240.066540848867</t>
  </si>
  <si>
    <t>-614.817657863327 90.3815015854995 -359.489270782063</t>
  </si>
  <si>
    <t>-616.766378992071 84.3981748332696 -480.530503727244</t>
  </si>
  <si>
    <t>-611.005418549234 75.57239271078 -589.543240155883</t>
  </si>
  <si>
    <t>-597.793928748367 63.511406797097 -697.593355893147</t>
  </si>
  <si>
    <t>-571.663068278483 43.5382706468179 -846.315493180123</t>
  </si>
  <si>
    <t>-528.842210499732 32.6109580906181 -938.130233691327</t>
  </si>
  <si>
    <t>-581.377647286674 83.8747123807044 -784.416207979757</t>
  </si>
  <si>
    <t>-576.789690793283 230.61095726026 -776.083269697329</t>
  </si>
  <si>
    <t>-530.023894594791 292.55954651171 -469.225783094968</t>
  </si>
  <si>
    <t>-329.951379612602 211.17875695684 -324.345857476151</t>
  </si>
  <si>
    <t>-585.072665073178 20.8768381253581 -776.604931691918</t>
  </si>
  <si>
    <t>-581.5137357594 184.078112653887 -239.495393583014</t>
  </si>
  <si>
    <t>-573.379723037743 228.413639378718 213.96444540223</t>
  </si>
  <si>
    <t>-626.200545135332 255.221917980062 680.150282408206</t>
  </si>
  <si>
    <t>-470.613875319325 238.075449042105 760.414243810699</t>
  </si>
  <si>
    <t>-624.059536821899 2.63398901553339 215.328220078637</t>
  </si>
  <si>
    <t>-659.398085635621 1.8092948498731 683.811175447658</t>
  </si>
  <si>
    <t>-502.406781005904 -37.7960816259269 752.576329916665</t>
  </si>
  <si>
    <t>9763-20170724T164127.988897900.bin</t>
  </si>
  <si>
    <t>-595.541480353649 87.8553328864071 -240.150783509847</t>
  </si>
  <si>
    <t>-615.491855938689 90.9365563286948 -359.567233175561</t>
  </si>
  <si>
    <t>-617.394912610285 85.0737727634497 -480.614959373714</t>
  </si>
  <si>
    <t>-611.563059294097 76.3982904570886 -589.636041385994</t>
  </si>
  <si>
    <t>-598.253554128142 64.5259497889775 -697.695042537759</t>
  </si>
  <si>
    <t>-571.960356338069 44.8521831446923 -846.428450026888</t>
  </si>
  <si>
    <t>-528.97034508124 33.9708630236274 -938.169584391755</t>
  </si>
  <si>
    <t>-581.685731869454 85.0617882387337 -784.448350533447</t>
  </si>
  <si>
    <t>-576.501735854839 231.778106963566 -775.982782096746</t>
  </si>
  <si>
    <t>-528.98763968589 293.262746549053 -469.147081241171</t>
  </si>
  <si>
    <t>-328.795379989744 211.172015372557 -324.834124700916</t>
  </si>
  <si>
    <t>-585.502793943503 22.0526096823845 -776.788681273921</t>
  </si>
  <si>
    <t>-581.979891233912 184.619673745465 -239.571926681413</t>
  </si>
  <si>
    <t>-573.461345538529 228.644296932114 213.911144725758</t>
  </si>
  <si>
    <t>-626.147805092138 255.209792162318 680.102573989235</t>
  </si>
  <si>
    <t>-470.572567947132 238.166753346062 760.410741397429</t>
  </si>
  <si>
    <t>-624.301055787328 2.99279917016706 215.29497218011</t>
  </si>
  <si>
    <t>-659.386485528819 1.96392965744116 683.819029978545</t>
  </si>
  <si>
    <t>-502.152503709074 -36.658263549539 752.588926286221</t>
  </si>
  <si>
    <t>9763-20170724T164128.022988500.bin</t>
  </si>
  <si>
    <t>-596.055262645173 88.0109110713327 -240.132352349356</t>
  </si>
  <si>
    <t>-616.042404859918 91.1282295497636 -359.541678493623</t>
  </si>
  <si>
    <t>-617.960183462505 85.2956671395986 -480.590727666515</t>
  </si>
  <si>
    <t>-612.133523052557 76.642793174054 -589.613768500322</t>
  </si>
  <si>
    <t>-598.821615707198 64.7869896060508 -697.674479108874</t>
  </si>
  <si>
    <t>-572.517977586866 45.1287720338266 -846.407897909216</t>
  </si>
  <si>
    <t>-529.4389773223 34.2020579158218 -938.101916777065</t>
  </si>
  <si>
    <t>-582.212843965574 85.3305542211736 -784.418043745946</t>
  </si>
  <si>
    <t>-576.665820358456 232.053125383425 -775.973499166504</t>
  </si>
  <si>
    <t>-528.616698303546 293.390510680107 -469.19150788559</t>
  </si>
  <si>
    <t>-328.767638572938 210.409349936479 -324.91214355644</t>
  </si>
  <si>
    <t>-586.100156913505 22.3232915678645 -776.777836945644</t>
  </si>
  <si>
    <t>-582.575283350083 184.769781528291 -239.543546000741</t>
  </si>
  <si>
    <t>-573.62963849243 228.747099370613 213.935897367171</t>
  </si>
  <si>
    <t>-626.144787230893 255.206566512414 680.121218091263</t>
  </si>
  <si>
    <t>-470.557927129036 238.204471989948 760.41551925487</t>
  </si>
  <si>
    <t>-624.585990289751 3.02515015522668 215.282023949133</t>
  </si>
  <si>
    <t>-659.403851478482 1.9269510815012 683.815003182718</t>
  </si>
  <si>
    <t>-502.169927822978 -36.6589800005578 752.605329260243</t>
  </si>
  <si>
    <t>9763-20170724T164128.090934300.bin</t>
  </si>
  <si>
    <t>-597.419777362911 88.1668904635074 -240.285558833697</t>
  </si>
  <si>
    <t>-617.507907222116 91.3911932838099 -359.675152044699</t>
  </si>
  <si>
    <t>-619.417940345885 85.3543712930487 -480.714231647012</t>
  </si>
  <si>
    <t>-613.539710833473 76.3876228480019 -589.709175093671</t>
  </si>
  <si>
    <t>-600.132715828712 64.0877952376991 -697.708364622041</t>
  </si>
  <si>
    <t>-573.653160071811 43.6762941728139 -846.309192667203</t>
  </si>
  <si>
    <t>-530.378152477077 32.3666888940343 -937.864359125668</t>
  </si>
  <si>
    <t>-583.336440426924 84.1881966601719 -784.519749394309</t>
  </si>
  <si>
    <t>-577.283783086018 230.922314778978 -776.624765019924</t>
  </si>
  <si>
    <t>-528.130115690152 292.162654231579 -469.998371179899</t>
  </si>
  <si>
    <t>-329.398598620048 207.730817167964 -325.018731035107</t>
  </si>
  <si>
    <t>-587.402669463183 21.2272783461212 -776.596215691108</t>
  </si>
  <si>
    <t>-583.948283840344 185.031729001838 -239.638807574442</t>
  </si>
  <si>
    <t>-574.440707225213 228.749945623508 213.854205592514</t>
  </si>
  <si>
    <t>-626.129023708463 255.30504130404 680.12097418228</t>
  </si>
  <si>
    <t>-470.546474795423 238.225568620586 760.407240742749</t>
  </si>
  <si>
    <t>-625.406889486834 2.80697413131631 215.1171845235</t>
  </si>
  <si>
    <t>-659.480338277738 1.65438327663884 683.744186598528</t>
  </si>
  <si>
    <t>-502.565013738401 -38.0403733025995 752.631208425164</t>
  </si>
  <si>
    <t>9763-20170724T164128.123018900.bin</t>
  </si>
  <si>
    <t>-598.242166259577 88.3367344284462 -240.325724807524</t>
  </si>
  <si>
    <t>-618.327091974637 91.5921685549821 -359.715090332696</t>
  </si>
  <si>
    <t>-620.251687872616 85.3298452501904 -480.742535757728</t>
  </si>
  <si>
    <t>-614.393408294675 76.0522349765616 -589.712576643601</t>
  </si>
  <si>
    <t>-601.013290636195 63.3330590652837 -697.66637906924</t>
  </si>
  <si>
    <t>-574.578949651291 42.2247068851862 -846.177872634162</t>
  </si>
  <si>
    <t>-531.287631573256 30.561648838455 -937.681117423473</t>
  </si>
  <si>
    <t>-584.192480034463 83.0239355473711 -784.566857406756</t>
  </si>
  <si>
    <t>-577.799676269447 229.777356383806 -777.191648166448</t>
  </si>
  <si>
    <t>-528.130145045919 291.038342895989 -470.652571919848</t>
  </si>
  <si>
    <t>-329.926429836829 206.347917848619 -325.102270948633</t>
  </si>
  <si>
    <t>-588.358117013055 20.1050500797395 -776.365479925936</t>
  </si>
  <si>
    <t>-584.81550999614 185.243509127848 -239.672749153624</t>
  </si>
  <si>
    <t>-575.013704423836 228.837012224271 213.826100840627</t>
  </si>
  <si>
    <t>-626.134294010601 255.363702460104 680.146430511019</t>
  </si>
  <si>
    <t>-470.547218568927 238.199820781363 760.40590030436</t>
  </si>
  <si>
    <t>-625.845157114552 2.81661570672091 215.041727069729</t>
  </si>
  <si>
    <t>-659.500224270134 1.72711600679907 683.689491278186</t>
  </si>
  <si>
    <t>-502.400241246261 -37.2282936630052 752.57776126985</t>
  </si>
  <si>
    <t>9763-20170724T164128.190738000.bin</t>
  </si>
  <si>
    <t>-600.281410416037 88.7078547239319 -240.507035477469</t>
  </si>
  <si>
    <t>-620.464632616034 91.9854328543618 -359.879089487068</t>
  </si>
  <si>
    <t>-622.559616265341 84.8646140907405 -480.856164591214</t>
  </si>
  <si>
    <t>-616.884677562736 74.4421247610858 -589.732347844669</t>
  </si>
  <si>
    <t>-603.719076258143 60.2033463539852 -697.52279760149</t>
  </si>
  <si>
    <t>-577.617401548928 36.587897792114 -845.715268193497</t>
  </si>
  <si>
    <t>-534.350820808036 23.8170362671241 -937.082107803014</t>
  </si>
  <si>
    <t>-586.92383838393 78.4154971305935 -784.750016718052</t>
  </si>
  <si>
    <t>-580.052370757222 225.215726541538 -779.207921358315</t>
  </si>
  <si>
    <t>-529.612454805964 287.974335308267 -473.09789055407</t>
  </si>
  <si>
    <t>-333.502578470195 201.219998021703 -325.935752315288</t>
  </si>
  <si>
    <t>-591.409319795117 15.6584934316445 -775.53940728669</t>
  </si>
  <si>
    <t>-587.281076015666 185.691394776942 -239.698451680216</t>
  </si>
  <si>
    <t>-576.383498368853 229.059159739071 213.797065747114</t>
  </si>
  <si>
    <t>-626.220186689492 255.47535337808 680.266084797487</t>
  </si>
  <si>
    <t>-470.556233093084 238.22171249038 760.356982132024</t>
  </si>
  <si>
    <t>-626.964747059932 2.6776366348733 214.84073405322</t>
  </si>
  <si>
    <t>-659.573539977231 1.70153547387503 683.582225820261</t>
  </si>
  <si>
    <t>-502.24516145531 -36.3173620527126 752.472397330336</t>
  </si>
  <si>
    <t>9763-20170724T164128.223826100.bin</t>
  </si>
  <si>
    <t>-601.407197889622 88.9974752255626 -240.558462042197</t>
  </si>
  <si>
    <t>-621.416243700511 92.2350333711217 -359.961038911457</t>
  </si>
  <si>
    <t>-623.552310506523 84.6123749782471 -480.906955550118</t>
  </si>
  <si>
    <t>-618.003901541453 73.5402717853027 -589.725349417662</t>
  </si>
  <si>
    <t>-605.055308884278 58.4511124630015 -697.4263661009</t>
  </si>
  <si>
    <t>-579.35032856855 33.4400632508356 -845.459231937694</t>
  </si>
  <si>
    <t>-536.138069572031 19.9773470569424 -936.752302190564</t>
  </si>
  <si>
    <t>-588.348907054118 75.8338227903166 -784.839773282322</t>
  </si>
  <si>
    <t>-580.963228730367 222.616606388791 -780.435498874308</t>
  </si>
  <si>
    <t>-530.317190849444 286.858692353674 -474.66749618464</t>
  </si>
  <si>
    <t>-335.258677911303 199.257451600916 -326.612593337425</t>
  </si>
  <si>
    <t>-593.099077839959 13.179549759333 -775.078716673157</t>
  </si>
  <si>
    <t>-588.483471132267 185.895708568469 -239.74450795325</t>
  </si>
  <si>
    <t>-577.42268399784 229.248944812023 213.748471374807</t>
  </si>
  <si>
    <t>-626.295356106886 255.591487149139 680.340819190046</t>
  </si>
  <si>
    <t>-470.580847162219 238.201183063289 760.303789489742</t>
  </si>
  <si>
    <t>-627.673125963738 2.72448294467975 214.760916594976</t>
  </si>
  <si>
    <t>-659.585983768368 1.86615464354227 683.539314859539</t>
  </si>
  <si>
    <t>-502.10088753769 -35.49456821496 752.431581004927</t>
  </si>
  <si>
    <t>9763-20170724T164128.290136800.bin</t>
  </si>
  <si>
    <t>-603.452811148218 90.0990796826782 -240.683096745174</t>
  </si>
  <si>
    <t>-623.425369075192 93.2096410318788 -360.095211167349</t>
  </si>
  <si>
    <t>-625.821152584797 84.583912068068 -480.968711886681</t>
  </si>
  <si>
    <t>-620.627687846297 72.2421155573821 -589.668076970954</t>
  </si>
  <si>
    <t>-608.154793923571 55.5168589233881 -697.183507512873</t>
  </si>
  <si>
    <t>-583.238009901463 27.8478018532979 -844.877626765716</t>
  </si>
  <si>
    <t>-540.095714936137 13.0198054271059 -935.992215205931</t>
  </si>
  <si>
    <t>-591.670004267927 71.3129112335808 -784.939339822102</t>
  </si>
  <si>
    <t>-583.596969502467 218.091882051106 -782.73711379372</t>
  </si>
  <si>
    <t>-530.973457089373 285.846164691857 -478.063156002976</t>
  </si>
  <si>
    <t>-338.220313177546 197.047167993783 -327.720212281792</t>
  </si>
  <si>
    <t>-596.855768840204 8.86806997288274 -774.11582885605</t>
  </si>
  <si>
    <t>-590.630183902422 187.093073608027 -239.958789407467</t>
  </si>
  <si>
    <t>-579.440900291677 229.799425058546 213.592348294558</t>
  </si>
  <si>
    <t>-626.439526597839 255.8615793875 680.469691704103</t>
  </si>
  <si>
    <t>-470.640441555866 238.0668599472 760.178499239548</t>
  </si>
  <si>
    <t>-629.187688017041 2.96512343284024 214.736549694267</t>
  </si>
  <si>
    <t>-659.640973108596 1.73202328618044 683.567557186814</t>
  </si>
  <si>
    <t>-502.132938623997 -35.5000587183815 752.476911837706</t>
  </si>
  <si>
    <t>9763-20170724T164128.323225400.bin</t>
  </si>
  <si>
    <t>-604.385717566052 91.1055030622063 -240.749109480038</t>
  </si>
  <si>
    <t>-624.410973838459 94.1436022569908 -360.154192457919</t>
  </si>
  <si>
    <t>-626.912899381576 85.1329870137645 -480.99748302612</t>
  </si>
  <si>
    <t>-621.835797778229 72.3170108987308 -589.647484323973</t>
  </si>
  <si>
    <t>-609.499609455409 54.9925434475207 -697.083641207592</t>
  </si>
  <si>
    <t>-584.794294150186 26.3614541893949 -844.629958522239</t>
  </si>
  <si>
    <t>-541.6536319004 11.0118481348918 -935.658936298869</t>
  </si>
  <si>
    <t>-593.078486379936 70.2130428762 -784.953199086283</t>
  </si>
  <si>
    <t>-584.70523125081 216.983518864275 -783.715124431784</t>
  </si>
  <si>
    <t>-530.928467537958 286.553052476355 -479.652134813178</t>
  </si>
  <si>
    <t>-338.936584373049 198.037284253993 -328.172402650508</t>
  </si>
  <si>
    <t>-598.372792131973 7.84656740939421 -773.737561882659</t>
  </si>
  <si>
    <t>-591.503791570915 188.287393462209 -240.111001089527</t>
  </si>
  <si>
    <t>-580.20940657234 230.322685202646 213.500191356533</t>
  </si>
  <si>
    <t>-626.496159783746 256.020179068196 680.505797180323</t>
  </si>
  <si>
    <t>-470.675811195678 237.980305747196 760.117947375266</t>
  </si>
  <si>
    <t>-629.932612297362 3.35531984161099 214.744073324545</t>
  </si>
  <si>
    <t>-659.659049414326 1.65450280144624 683.614303206997</t>
  </si>
  <si>
    <t>-502.226238705346 -35.8603584094222 752.542208124096</t>
  </si>
  <si>
    <t>9763-20170724T164128.393186000.bin</t>
  </si>
  <si>
    <t>-605.825300945425 93.3311326944005 -240.865546064284</t>
  </si>
  <si>
    <t>-625.82074867467 96.2026884488154 -360.279700868491</t>
  </si>
  <si>
    <t>-628.38388425718 86.6508673171458 -481.080271996938</t>
  </si>
  <si>
    <t>-623.39634289909 73.1982523437941 -589.657353644287</t>
  </si>
  <si>
    <t>-611.182755656198 55.0931126758488 -696.978777104407</t>
  </si>
  <si>
    <t>-586.681683674737 25.2304633131453 -844.314884031012</t>
  </si>
  <si>
    <t>-543.588528430452 9.1479703898402 -935.23963886672</t>
  </si>
  <si>
    <t>-594.826664942997 69.5760772202377 -784.984938345685</t>
  </si>
  <si>
    <t>-586.001215731677 216.358952739605 -785.086677848996</t>
  </si>
  <si>
    <t>-530.200750879416 289.102764721911 -482.13309167884</t>
  </si>
  <si>
    <t>-338.910557388832 201.608014187096 -329.179650351457</t>
  </si>
  <si>
    <t>-600.218531019056 7.31142289881647 -773.261570374051</t>
  </si>
  <si>
    <t>-592.681446882458 190.717220675671 -240.405664299518</t>
  </si>
  <si>
    <t>-581.074376703218 231.485728528101 213.313192122211</t>
  </si>
  <si>
    <t>-626.497131858813 256.24524667813 680.447638489049</t>
  </si>
  <si>
    <t>-470.708392911885 237.792656167941 760.027073049835</t>
  </si>
  <si>
    <t>-631.41518832406 4.3617208023707 214.784016578269</t>
  </si>
  <si>
    <t>-659.661546199462 1.56855365618883 683.750017393178</t>
  </si>
  <si>
    <t>-502.363226428201 -36.4024691788792 752.735268717283</t>
  </si>
  <si>
    <t>9763-20170724T164128.426274900.bin</t>
  </si>
  <si>
    <t>-606.342631676612 94.4960818119804 -240.888004159016</t>
  </si>
  <si>
    <t>-626.336310578367 97.2779188372481 -360.304551241217</t>
  </si>
  <si>
    <t>-628.933126541352 87.5189907204223 -481.087771069832</t>
  </si>
  <si>
    <t>-623.987672033113 73.8356328889257 -589.638077989549</t>
  </si>
  <si>
    <t>-611.826340654815 55.4591128450949 -696.919161224108</t>
  </si>
  <si>
    <t>-587.407509960408 25.1795826745014 -844.183814862155</t>
  </si>
  <si>
    <t>-544.32880693421 8.89634260628318 -935.07970523836</t>
  </si>
  <si>
    <t>-595.526196890696 69.693319960265 -784.976308322469</t>
  </si>
  <si>
    <t>-586.642832786124 216.46704062964 -785.577736248277</t>
  </si>
  <si>
    <t>-529.810931511673 290.190894093908 -483.053103097654</t>
  </si>
  <si>
    <t>-338.506370616493 203.302146546527 -329.772361703138</t>
  </si>
  <si>
    <t>-600.898046204427 7.46137120278283 -773.071288643839</t>
  </si>
  <si>
    <t>-593.135808658011 191.877680676507 -240.489470958465</t>
  </si>
  <si>
    <t>-581.232472576604 232.052196719802 213.274769989954</t>
  </si>
  <si>
    <t>-626.474319071875 256.284278093189 680.413609775859</t>
  </si>
  <si>
    <t>-470.697201249888 237.807339399548 760.010000896149</t>
  </si>
  <si>
    <t>-631.920749883519 4.99549109281753 214.840642127534</t>
  </si>
  <si>
    <t>-659.62555412046 1.8681346093266 683.820375337447</t>
  </si>
  <si>
    <t>-501.873485208609 -34.2474064974077 752.765835842625</t>
  </si>
  <si>
    <t>9763-20170724T164128.468990900.bin</t>
  </si>
  <si>
    <t>-606.705683158442 95.5058461870393 -240.927093033727</t>
  </si>
  <si>
    <t>-626.876689530681 98.2719509309384 -360.314089737041</t>
  </si>
  <si>
    <t>-629.631932386574 88.3943680529493 -481.08423422885</t>
  </si>
  <si>
    <t>-624.817862957196 74.5664488977337 -589.622144826896</t>
  </si>
  <si>
    <t>-612.774144074961 56.0108530868835 -696.885705349061</t>
  </si>
  <si>
    <t>-588.503211308438 25.4496338900188 -844.116566170108</t>
  </si>
  <si>
    <t>-545.442251455948 9.05445788987672 -935.000795634005</t>
  </si>
  <si>
    <t>-596.581104259781 70.0775153973581 -784.989512628587</t>
  </si>
  <si>
    <t>-587.602614647899 216.855917521412 -785.960555693355</t>
  </si>
  <si>
    <t>-529.699205273339 291.106694755729 -483.768221177889</t>
  </si>
  <si>
    <t>-338.33340139377 204.839160217195 -330.213260699788</t>
  </si>
  <si>
    <t>-601.903591230266 7.8665372694779 -772.953430087501</t>
  </si>
  <si>
    <t>-593.438390882588 192.954267332191 -240.546538163194</t>
  </si>
  <si>
    <t>-581.361122821065 232.536477034572 213.26506046491</t>
  </si>
  <si>
    <t>-626.470666032291 256.31148972088 680.38580052497</t>
  </si>
  <si>
    <t>-470.697449410573 237.811051171346 759.984448001483</t>
  </si>
  <si>
    <t>-632.22976041029 5.56593370422937 214.879971911353</t>
  </si>
  <si>
    <t>-659.608562698743 2.00433311631157 683.887436326063</t>
  </si>
  <si>
    <t>-501.820011723084 -33.919259594489 752.849541597202</t>
  </si>
  <si>
    <t>9763-20170724T164128.522133100.bin</t>
  </si>
  <si>
    <t>-607.419138310602 97.1116602367081 -240.953582721837</t>
  </si>
  <si>
    <t>-627.812205530405 99.8465749549864 -360.30359044141</t>
  </si>
  <si>
    <t>-630.78814603002 89.781255631374 -481.053009649801</t>
  </si>
  <si>
    <t>-626.165872777633 75.7280344396496 -589.570165613203</t>
  </si>
  <si>
    <t>-614.302824986336 56.8966666337891 -696.80589691667</t>
  </si>
  <si>
    <t>-590.268564171092 25.9044480894088 -843.985588181162</t>
  </si>
  <si>
    <t>-547.161648391891 9.41440895197496 -934.830742756675</t>
  </si>
  <si>
    <t>-598.352472942538 70.7102591950268 -784.994012831853</t>
  </si>
  <si>
    <t>-589.693620462534 217.484786115776 -786.551991334935</t>
  </si>
  <si>
    <t>-529.43096830155 292.099618252866 -484.911116237505</t>
  </si>
  <si>
    <t>-337.822270889639 206.742137068781 -331.150683291209</t>
  </si>
  <si>
    <t>-603.453472999493 8.52482115077777 -772.732316162883</t>
  </si>
  <si>
    <t>-594.12728038189 194.656831421167 -240.643020121355</t>
  </si>
  <si>
    <t>-581.912085824319 233.311737326786 213.244860229058</t>
  </si>
  <si>
    <t>-626.493953137883 256.350400637673 680.441707303176</t>
  </si>
  <si>
    <t>-470.708139051481 237.784814291239 760.000461670494</t>
  </si>
  <si>
    <t>-632.61508236377 6.45929387543848 214.924103930576</t>
  </si>
  <si>
    <t>-659.578956500838 2.0167665568673 683.988860275407</t>
  </si>
  <si>
    <t>-501.793690323624 -33.8383781375632 752.994190662297</t>
  </si>
  <si>
    <t>9763-20170724T164128.591320400.bin</t>
  </si>
  <si>
    <t>-608.238793360557 98.5166627893217 -241.009091067616</t>
  </si>
  <si>
    <t>-628.836514029103 101.17427731981 -360.32574656973</t>
  </si>
  <si>
    <t>-631.982347198851 91.1826378320276 -481.077014871282</t>
  </si>
  <si>
    <t>-627.501692379497 77.2530343749342 -589.615943262089</t>
  </si>
  <si>
    <t>-615.769436885708 58.5987479000724 -696.897000876747</t>
  </si>
  <si>
    <t>-591.9064450318 27.9050861570892 -844.167188255434</t>
  </si>
  <si>
    <t>-548.643706262693 11.5630455649082 -934.964952947965</t>
  </si>
  <si>
    <t>-599.969336762129 72.5934375064434 -785.083554508879</t>
  </si>
  <si>
    <t>-591.282149249398 219.399694676908 -786.572921366077</t>
  </si>
  <si>
    <t>-529.192626627072 293.213402631779 -485.105592107871</t>
  </si>
  <si>
    <t>-337.402960051153 208.182136796209 -331.390113779886</t>
  </si>
  <si>
    <t>-604.960777770962 10.3786942325904 -772.925770155404</t>
  </si>
  <si>
    <t>-595.092182437497 196.0182651582 -240.741934025818</t>
  </si>
  <si>
    <t>-582.776798593308 234.009417433404 213.199274388357</t>
  </si>
  <si>
    <t>-626.526142869563 256.392355198956 680.497560678873</t>
  </si>
  <si>
    <t>-470.694209656705 237.877870340853 759.978060709079</t>
  </si>
  <si>
    <t>-621.349882389598 1.02881265942648 -240.54968643823</t>
  </si>
  <si>
    <t>-632.677078645035 7.27910043771567 214.961360650248</t>
  </si>
  <si>
    <t>-659.55306527518 1.99915360705859 684.047070680676</t>
  </si>
  <si>
    <t>-501.77294064238 -33.8147413162117 753.085459908756</t>
  </si>
  <si>
    <t>9763-20170724T164128.624440300.bin</t>
  </si>
  <si>
    <t>-608.670134909807 99.0749350366007 -240.992008393632</t>
  </si>
  <si>
    <t>-629.367496968177 101.682671116871 -360.292601687846</t>
  </si>
  <si>
    <t>-632.55479048642 91.7269233108354 -481.045618899216</t>
  </si>
  <si>
    <t>-628.090657860975 77.8610341214256 -589.593589325939</t>
  </si>
  <si>
    <t>-616.355673742205 59.2994729073925 -696.890323660017</t>
  </si>
  <si>
    <t>-592.470372582067 28.7626046653053 -844.189432307037</t>
  </si>
  <si>
    <t>-549.112682452926 12.4892568521122 -934.954193437263</t>
  </si>
  <si>
    <t>-600.545741371091 73.388222767855 -785.060212450438</t>
  </si>
  <si>
    <t>-591.851406922336 220.175670482145 -786.434153026096</t>
  </si>
  <si>
    <t>-528.875061984107 293.094110159961 -484.932581752448</t>
  </si>
  <si>
    <t>-336.971118266959 208.283205603568 -331.23808326606</t>
  </si>
  <si>
    <t>-605.532039257175 11.1602866776474 -772.968019208177</t>
  </si>
  <si>
    <t>-595.583996467157 196.532289503345 -240.759595354438</t>
  </si>
  <si>
    <t>-583.152895141103 234.271986958585 213.199469540507</t>
  </si>
  <si>
    <t>-626.565251154766 256.423384832879 680.537466232712</t>
  </si>
  <si>
    <t>-470.696325483666 237.936849074467 759.951853883442</t>
  </si>
  <si>
    <t>-621.660869557506 1.58848687152107 -240.523647904508</t>
  </si>
  <si>
    <t>-632.637461066784 7.58328387630732 214.999468090122</t>
  </si>
  <si>
    <t>-659.538101735323 2.02904741879354 684.078386958795</t>
  </si>
  <si>
    <t>-501.935533712068 -34.496186809478 753.149889310529</t>
  </si>
  <si>
    <t>9763-20170724T164128.696618200.bin</t>
  </si>
  <si>
    <t>-609.436452184241 100.031426856248 -240.955592531287</t>
  </si>
  <si>
    <t>-630.400080596922 102.658075310076 -360.20934517149</t>
  </si>
  <si>
    <t>-633.741516790352 92.9412054096659 -480.977591712645</t>
  </si>
  <si>
    <t>-629.374521931905 79.3739586908545 -589.567212404684</t>
  </si>
  <si>
    <t>-617.696482874393 61.1893794854187 -696.93469410231</t>
  </si>
  <si>
    <t>-593.850356240111 31.2539569902891 -844.363555156285</t>
  </si>
  <si>
    <t>-550.401998128302 15.2830622164415 -935.13886799646</t>
  </si>
  <si>
    <t>-601.909099476186 75.6377871105198 -785.050384805296</t>
  </si>
  <si>
    <t>-593.045856629761 222.43240156629 -785.914675743088</t>
  </si>
  <si>
    <t>-527.963864970347 292.786150630624 -484.251184888929</t>
  </si>
  <si>
    <t>-335.615963775354 208.695294257716 -330.715990478947</t>
  </si>
  <si>
    <t>-606.893897243816 13.3610890978014 -773.211312586541</t>
  </si>
  <si>
    <t>-596.453222149078 197.477082145968 -240.719114742825</t>
  </si>
  <si>
    <t>-583.575616759801 234.719541602801 213.268559424223</t>
  </si>
  <si>
    <t>-626.663048957971 256.487280373772 680.642795868205</t>
  </si>
  <si>
    <t>-470.717353511257 237.957677202566 759.896289222587</t>
  </si>
  <si>
    <t>-622.344011142302 2.62438806339722 -240.490122066319</t>
  </si>
  <si>
    <t>-632.435083255883 8.27433536624666 215.057876517582</t>
  </si>
  <si>
    <t>-659.519908206036 2.26126009885508 684.124177399636</t>
  </si>
  <si>
    <t>-501.549012441748 -32.7800345040921 753.122870537069</t>
  </si>
  <si>
    <t>9763-20170724T164128.755278900.bin</t>
  </si>
  <si>
    <t>-609.807831829794 100.818777367138 -240.953039525506</t>
  </si>
  <si>
    <t>-630.933798238823 103.470249197164 -360.177411616519</t>
  </si>
  <si>
    <t>-634.329636873133 93.8688747729074 -480.953541026981</t>
  </si>
  <si>
    <t>-629.96828195557 80.4419477893449 -589.560807536553</t>
  </si>
  <si>
    <t>-618.253178241722 62.4331662319906 -696.95391368361</t>
  </si>
  <si>
    <t>-594.311873939032 32.7787536934925 -844.423994568547</t>
  </si>
  <si>
    <t>-550.810301349966 16.950456264668 -935.198905455747</t>
  </si>
  <si>
    <t>-602.401434347778 77.0491664753827 -785.030371035078</t>
  </si>
  <si>
    <t>-593.448554112559 223.83271462148 -785.615285495215</t>
  </si>
  <si>
    <t>-527.248629618601 292.710167880116 -483.854263253786</t>
  </si>
  <si>
    <t>-334.739712064315 208.754851878931 -330.446641899279</t>
  </si>
  <si>
    <t>-607.408899358154 14.7506997236629 -773.315944118606</t>
  </si>
  <si>
    <t>-596.860329837631 198.632052039914 -240.768211837443</t>
  </si>
  <si>
    <t>-583.53555698895 234.715678480229 213.300120675643</t>
  </si>
  <si>
    <t>-626.733298323381 256.50108372436 680.652977541392</t>
  </si>
  <si>
    <t>-470.752772072694 237.888385384664 759.818277201408</t>
  </si>
  <si>
    <t>-622.765047237451 3.26251065096177 -240.489766190159</t>
  </si>
  <si>
    <t>-632.3097463999 8.74705220475951 215.071952350844</t>
  </si>
  <si>
    <t>-659.510784059461 2.37058919172456 684.138027705964</t>
  </si>
  <si>
    <t>-501.443113767858 -32.2889623343986 753.107850198156</t>
  </si>
  <si>
    <t>9763-20170724T164128.761805800.bin</t>
  </si>
  <si>
    <t>-610.202796102243 101.49946272641 -240.934351642218</t>
  </si>
  <si>
    <t>-631.454107914084 104.173804823817 -360.135964088242</t>
  </si>
  <si>
    <t>-634.870066398955 94.711820972736 -480.922490705668</t>
  </si>
  <si>
    <t>-630.484875365141 81.4573986184611 -589.549951790484</t>
  </si>
  <si>
    <t>-618.704440044958 63.6671454026319 -696.97254597214</t>
  </si>
  <si>
    <t>-594.630037316697 34.3644229832451 -844.491173532532</t>
  </si>
  <si>
    <t>-551.064407692263 18.7160959173379 -935.266362784629</t>
  </si>
  <si>
    <t>-602.762028115763 78.4925503016775 -784.997414751198</t>
  </si>
  <si>
    <t>-593.661029303352 225.260836434571 -785.231585089602</t>
  </si>
  <si>
    <t>-526.380144856655 293.089953659662 -483.47223449306</t>
  </si>
  <si>
    <t>-333.707814944088 209.156881560907 -330.257803367262</t>
  </si>
  <si>
    <t>-607.802520112502 16.1674348774402 -773.439896562543</t>
  </si>
  <si>
    <t>-597.259818865969 199.386042735471 -240.780845414566</t>
  </si>
  <si>
    <t>-583.270179437841 234.826685952611 213.318133263517</t>
  </si>
  <si>
    <t>-626.784614876465 256.491150803428 680.702480533701</t>
  </si>
  <si>
    <t>-470.770399803623 237.831664983482 759.79041408018</t>
  </si>
  <si>
    <t>-623.163004661732 3.70304638729661 -240.474396904726</t>
  </si>
  <si>
    <t>-632.262853998973 9.13772924808285 215.096942148696</t>
  </si>
  <si>
    <t>-659.509606271039 2.35702888508816 684.160966920455</t>
  </si>
  <si>
    <t>-501.618931004965 -33.0779870273424 753.142088837539</t>
  </si>
  <si>
    <t>9763-20170724T164128.825969400.bin</t>
  </si>
  <si>
    <t>-610.554454932308 101.980704815438 -240.843397934564</t>
  </si>
  <si>
    <t>-631.917661623784 104.696002640981 -360.024017504322</t>
  </si>
  <si>
    <t>-635.341599985048 95.4621666667489 -480.827930812807</t>
  </si>
  <si>
    <t>-630.922969912618 82.4877782516002 -589.487954999681</t>
  </si>
  <si>
    <t>-619.069235947134 65.0502352760564 -696.960085736642</t>
  </si>
  <si>
    <t>-594.852248836367 36.3117263847564 -844.566501600456</t>
  </si>
  <si>
    <t>-551.196484051161 20.9223767973859 -935.342732110068</t>
  </si>
  <si>
    <t>-603.005347621352 80.2101921490081 -784.906097028067</t>
  </si>
  <si>
    <t>-593.652719800819 226.966192110193 -784.524536434089</t>
  </si>
  <si>
    <t>-524.248969516499 293.387680411778 -482.932924377351</t>
  </si>
  <si>
    <t>-331.759904429616 208.973217624389 -329.752753432831</t>
  </si>
  <si>
    <t>-608.129664247194 17.8450339089073 -773.604551590707</t>
  </si>
  <si>
    <t>-597.315075111656 199.684217307718 -240.596140930766</t>
  </si>
  <si>
    <t>-582.826126901207 234.85731220011 213.508050018778</t>
  </si>
  <si>
    <t>-626.827556823727 256.456139218457 680.779450248293</t>
  </si>
  <si>
    <t>-470.808229752676 237.708479378073 759.836515777535</t>
  </si>
  <si>
    <t>-623.630890655258 4.16935644222539 -240.406874712264</t>
  </si>
  <si>
    <t>-632.162183914169 9.47365426514108 215.177165137792</t>
  </si>
  <si>
    <t>-659.510899862028 2.42545984419613 684.223013227507</t>
  </si>
  <si>
    <t>-501.516208459475 -32.6074962364787 753.171415135862</t>
  </si>
  <si>
    <t>9763-20170724T164128.889148900.bin</t>
  </si>
  <si>
    <t>-610.630950851223 102.805770457001 -240.841806389231</t>
  </si>
  <si>
    <t>-632.284247539156 105.5958352716 -359.968418969247</t>
  </si>
  <si>
    <t>-635.829733745388 96.5683087465539 -480.784484411348</t>
  </si>
  <si>
    <t>-631.451989949466 83.8329598191195 -589.474329092678</t>
  </si>
  <si>
    <t>-619.570502878329 66.6872753595074 -696.990475762895</t>
  </si>
  <si>
    <t>-595.244274849001 38.4097275081759 -844.667798640678</t>
  </si>
  <si>
    <t>-551.529592678372 23.2412795780639 -935.452824559284</t>
  </si>
  <si>
    <t>-603.375195897482 82.1182684302873 -784.865101275909</t>
  </si>
  <si>
    <t>-593.648356516116 228.841759529373 -783.826514559619</t>
  </si>
  <si>
    <t>-522.192993387194 294.418376440112 -482.52935063456</t>
  </si>
  <si>
    <t>-330.452256160946 209.070506129726 -328.928203094154</t>
  </si>
  <si>
    <t>-608.640557774506 19.7250675172609 -773.785199740016</t>
  </si>
  <si>
    <t>-597.423708845662 200.962785396015 -240.670475231528</t>
  </si>
  <si>
    <t>-582.133433012363 234.733924475998 213.513920870761</t>
  </si>
  <si>
    <t>-626.830463203561 256.423968560069 680.79637343826</t>
  </si>
  <si>
    <t>-470.840323271097 237.520585443892 759.873932029874</t>
  </si>
  <si>
    <t>-623.955776555611 4.72410216455366 -240.35567179413</t>
  </si>
  <si>
    <t>-632.060423798301 9.97493689091088 215.236696656868</t>
  </si>
  <si>
    <t>-659.525457854934 2.44057546494803 684.274507182578</t>
  </si>
  <si>
    <t>-501.700243124358 -33.3196075633626 753.23768028803</t>
  </si>
  <si>
    <t>9763-20170724T164128.928244900.bin</t>
  </si>
  <si>
    <t>-610.813495693861 103.028096923244 -240.87335548779</t>
  </si>
  <si>
    <t>-632.584024468553 105.860020279797 -359.977588924382</t>
  </si>
  <si>
    <t>-636.162646939698 96.9304532922354 -480.799897339193</t>
  </si>
  <si>
    <t>-631.779502289378 84.3077776936584 -589.502700199316</t>
  </si>
  <si>
    <t>-619.857002765572 67.3002675373709 -697.036237745211</t>
  </si>
  <si>
    <t>-595.436588209224 39.242532660955 -844.739934121368</t>
  </si>
  <si>
    <t>-551.687100461245 24.1852862710807 -935.526813828324</t>
  </si>
  <si>
    <t>-603.566639282291 82.8599292205857 -784.870652649978</t>
  </si>
  <si>
    <t>-593.566381352136 229.566874457963 -783.510104993723</t>
  </si>
  <si>
    <t>-521.466558798665 294.678126476535 -482.2656410886</t>
  </si>
  <si>
    <t>-330.045317730203 208.909531394442 -328.50047332829</t>
  </si>
  <si>
    <t>-608.917143861727 20.4545284223127 -773.900740125266</t>
  </si>
  <si>
    <t>-597.555154396095 200.866457652123 -240.596330988068</t>
  </si>
  <si>
    <t>-581.666577099649 234.946686288935 213.544401866011</t>
  </si>
  <si>
    <t>-626.796093319173 256.389629052199 680.753904090559</t>
  </si>
  <si>
    <t>-470.814762086898 237.516766018119 759.856026737104</t>
  </si>
  <si>
    <t>-624.234736904882 4.9598611762093 -240.343860031545</t>
  </si>
  <si>
    <t>-631.981767718573 10.1449490382387 215.255455890302</t>
  </si>
  <si>
    <t>-659.52716356775 2.36938969800901 684.299221189646</t>
  </si>
  <si>
    <t>-502.051907108839 -34.8101699537206 753.311703078683</t>
  </si>
  <si>
    <t>9763-20170724T164128.992426200.bin</t>
  </si>
  <si>
    <t>-611.033865605416 101.829984077587 -240.990477080655</t>
  </si>
  <si>
    <t>-632.802776002062 104.70364427656 -360.09407541956</t>
  </si>
  <si>
    <t>-636.412582361067 95.9668733472788 -480.929408718382</t>
  </si>
  <si>
    <t>-632.069802404219 83.5799268951282 -589.66099203636</t>
  </si>
  <si>
    <t>-620.198631016638 66.8701543657669 -697.246799866137</t>
  </si>
  <si>
    <t>-595.859325323974 39.2906354369103 -845.054026802006</t>
  </si>
  <si>
    <t>-552.112039863056 24.4326404398973 -935.874650656322</t>
  </si>
  <si>
    <t>-603.853485677132 82.7081593131631 -785.021258146531</t>
  </si>
  <si>
    <t>-593.214995996304 229.374529025563 -783.034583390167</t>
  </si>
  <si>
    <t>-520.096415254957 292.608107215505 -481.635461130758</t>
  </si>
  <si>
    <t>-328.965597606792 206.234781059234 -327.847581697615</t>
  </si>
  <si>
    <t>-609.403965453154 20.279321389738 -774.286559803708</t>
  </si>
  <si>
    <t>-597.262030095957 198.638191680499 -240.89043512806</t>
  </si>
  <si>
    <t>-583.053143792335 235.157724405832 213.116264034999</t>
  </si>
  <si>
    <t>-626.270196441308 255.961366664751 680.150517629171</t>
  </si>
  <si>
    <t>-470.68600978151 236.761620296223 759.953097318676</t>
  </si>
  <si>
    <t>-624.589070047161 4.7939102068878 -240.429570972978</t>
  </si>
  <si>
    <t>-631.916587288685 9.71617810635207 215.179523840951</t>
  </si>
  <si>
    <t>-659.517100965718 2.46686297190139 684.202265457235</t>
  </si>
  <si>
    <t>-501.991911471939 -34.5204821956633 753.204127387069</t>
  </si>
  <si>
    <t>9763-20170724T164129.024515400.bin</t>
  </si>
  <si>
    <t>-610.638699504826 101.486133949248 -241.266400109301</t>
  </si>
  <si>
    <t>-632.316824441732 104.418914373821 -360.384999370814</t>
  </si>
  <si>
    <t>-635.889099985233 95.7798753222642 -481.228672824126</t>
  </si>
  <si>
    <t>-631.53534148893 83.4941844134972 -589.97129776832</t>
  </si>
  <si>
    <t>-619.676367909421 66.8969968785383 -697.575800099833</t>
  </si>
  <si>
    <t>-595.378176671744 39.4839521968764 -845.420720390987</t>
  </si>
  <si>
    <t>-551.661865175767 24.6754771940511 -936.264440888384</t>
  </si>
  <si>
    <t>-603.293545083595 82.8300563205812 -785.326038110652</t>
  </si>
  <si>
    <t>-592.394089107005 229.454909709853 -783.098219094179</t>
  </si>
  <si>
    <t>-519.093540410792 292.014628140822 -481.602622763445</t>
  </si>
  <si>
    <t>-328.000004543637 205.606483017488 -327.788032191728</t>
  </si>
  <si>
    <t>-608.965222263004 20.3966581923459 -774.681928266011</t>
  </si>
  <si>
    <t>-596.613922224131 198.3099150033 -241.283340533573</t>
  </si>
  <si>
    <t>-584.272631464453 235.070268196497 212.758607308716</t>
  </si>
  <si>
    <t>-626.091452278269 256.245569987498 680.050524121606</t>
  </si>
  <si>
    <t>-470.541400168535 236.753333611193 759.848781587878</t>
  </si>
  <si>
    <t>-624.383758435005 4.81772272629848 -240.656275022504</t>
  </si>
  <si>
    <t>-631.873224521333 9.54962618001315 214.952190687792</t>
  </si>
  <si>
    <t>-659.524522304541 2.5658223662512 684.019761933165</t>
  </si>
  <si>
    <t>-501.838075785599 -33.7643379587932 753.002509706336</t>
  </si>
  <si>
    <t>9763-20170724T164129.091579600.bin</t>
  </si>
  <si>
    <t>-610.134955094154 101.702264421069 -241.679280668449</t>
  </si>
  <si>
    <t>-631.408705463066 104.688839466672 -360.869526358066</t>
  </si>
  <si>
    <t>-634.766531657029 96.2047728486673 -481.730096755441</t>
  </si>
  <si>
    <t>-630.301303383697 84.0928270279279 -590.487822556866</t>
  </si>
  <si>
    <t>-618.414530196956 67.6980314344685 -698.120351899103</t>
  </si>
  <si>
    <t>-594.165191086946 40.5910296342696 -846.029683314017</t>
  </si>
  <si>
    <t>-550.516286106634 25.8337757731392 -936.914207019277</t>
  </si>
  <si>
    <t>-601.974710420083 83.8073080586798 -785.827644367766</t>
  </si>
  <si>
    <t>-590.552892914176 230.38451181468 -783.243406922223</t>
  </si>
  <si>
    <t>-516.745279029489 292.397041146241 -481.758768395431</t>
  </si>
  <si>
    <t>-326.837389975701 205.226315622605 -326.909370829634</t>
  </si>
  <si>
    <t>-607.814865289138 21.3627512525002 -775.341097840121</t>
  </si>
  <si>
    <t>-596.064708454485 198.483348071039 -241.577335484127</t>
  </si>
  <si>
    <t>-586.429063095111 235.346100925736 212.521649610522</t>
  </si>
  <si>
    <t>-626.164055757364 256.587165954192 680.20359564421</t>
  </si>
  <si>
    <t>-470.437096979661 237.077697475647 759.6517360847</t>
  </si>
  <si>
    <t>-624.084168931041 5.13193778401501 -241.105591414913</t>
  </si>
  <si>
    <t>-632.263373549056 9.43670073800119 214.49537259237</t>
  </si>
  <si>
    <t>-659.587932941439 2.31862433971638 683.649288896043</t>
  </si>
  <si>
    <t>-502.145968052675 -34.9073678953652 752.712796879374</t>
  </si>
  <si>
    <t>9763-20170724T164129.123664900.bin</t>
  </si>
  <si>
    <t>-610.065963027061 102.225947267581 -241.745303037944</t>
  </si>
  <si>
    <t>-631.158236537913 105.218993837345 -360.967583825158</t>
  </si>
  <si>
    <t>-634.398613502318 96.8033373378802 -481.836249673634</t>
  </si>
  <si>
    <t>-629.856090413978 84.7751207186886 -590.599942173576</t>
  </si>
  <si>
    <t>-617.921959752882 68.4836051063846 -698.243001015787</t>
  </si>
  <si>
    <t>-593.638319361932 41.5381051857408 -846.176289518109</t>
  </si>
  <si>
    <t>-550.018384153266 26.8258967369293 -937.081915764973</t>
  </si>
  <si>
    <t>-601.448867683657 84.6877988961929 -785.926649020928</t>
  </si>
  <si>
    <t>-589.870719412281 231.247489795541 -783.135340140403</t>
  </si>
  <si>
    <t>-515.559842350657 293.170955152737 -481.755915780039</t>
  </si>
  <si>
    <t>-326.372434582956 205.671214275394 -326.211699846184</t>
  </si>
  <si>
    <t>-607.317278314903 22.2335108084462 -775.514019017618</t>
  </si>
  <si>
    <t>-596.040116836116 199.027230193922 -241.526105218648</t>
  </si>
  <si>
    <t>-586.908491914511 235.61124292113 212.605971122991</t>
  </si>
  <si>
    <t>-626.284876829268 256.608124351003 680.389195355253</t>
  </si>
  <si>
    <t>-470.404107510119 237.467859168073 759.625303000978</t>
  </si>
  <si>
    <t>-624.062997481106 5.57508957359416 -241.230655807304</t>
  </si>
  <si>
    <t>-632.517353446084 9.63630557571707 214.36741883336</t>
  </si>
  <si>
    <t>-659.59228530616 2.24982515997163 683.530504805367</t>
  </si>
  <si>
    <t>-502.109330557336 -34.7649380600347 752.614124336544</t>
  </si>
  <si>
    <t>9763-20170724T164129.191490100.bin</t>
  </si>
  <si>
    <t>-609.590745538718 103.543582972703 -241.699262129793</t>
  </si>
  <si>
    <t>-630.436850467391 106.648854099372 -360.961963422215</t>
  </si>
  <si>
    <t>-633.468095823908 98.4055188349984 -481.848008284517</t>
  </si>
  <si>
    <t>-628.753532409372 86.5562652936969 -590.623913900765</t>
  </si>
  <si>
    <t>-616.664986314868 70.4659054597383 -698.279967042735</t>
  </si>
  <si>
    <t>-592.185282900489 43.8222185642853 -846.235660532437</t>
  </si>
  <si>
    <t>-548.529102375168 29.1844900284461 -937.135818818353</t>
  </si>
  <si>
    <t>-600.079130875969 86.8491443731802 -785.909125050248</t>
  </si>
  <si>
    <t>-588.329986117842 233.386404327129 -782.780647652248</t>
  </si>
  <si>
    <t>-513.520233537841 294.7333486463 -481.406658168245</t>
  </si>
  <si>
    <t>-325.673525906591 206.541983824952 -324.633224707444</t>
  </si>
  <si>
    <t>-605.954461221183 24.373308242584 -775.630615219187</t>
  </si>
  <si>
    <t>-595.295388015743 200.541302549883 -241.347720856254</t>
  </si>
  <si>
    <t>-586.959999414607 236.055140895577 212.884609932598</t>
  </si>
  <si>
    <t>-626.481429592064 256.712914844946 680.605733901871</t>
  </si>
  <si>
    <t>-470.410377305224 238.128823797054 759.599211078792</t>
  </si>
  <si>
    <t>-623.730206869763 6.68267581102401 -241.354483227302</t>
  </si>
  <si>
    <t>-632.972604911414 10.3141207858604 214.232074755555</t>
  </si>
  <si>
    <t>-659.585089220818 2.32972047278265 683.372583048404</t>
  </si>
  <si>
    <t>-501.952125960204 -33.9968499479054 752.47935999845</t>
  </si>
  <si>
    <t>9763-20170724T164129.225581100.bin</t>
  </si>
  <si>
    <t>-608.957898730538 104.544262019792 -241.756433909664</t>
  </si>
  <si>
    <t>-629.789515331456 107.791767000402 -361.018104274802</t>
  </si>
  <si>
    <t>-632.789965866894 99.6709220124377 -481.913102688701</t>
  </si>
  <si>
    <t>-628.039066511248 87.9265015761497 -590.698824056937</t>
  </si>
  <si>
    <t>-615.904789658025 71.9367516772405 -698.364673769893</t>
  </si>
  <si>
    <t>-591.350981468497 45.4301308214356 -846.332656168771</t>
  </si>
  <si>
    <t>-547.64877010949 30.8341571362479 -937.217603764914</t>
  </si>
  <si>
    <t>-599.279150480726 88.4014189824172 -785.971062998493</t>
  </si>
  <si>
    <t>-587.610102495398 234.951604160296 -782.691652245858</t>
  </si>
  <si>
    <t>-512.867972753594 295.914587025117 -481.222965499227</t>
  </si>
  <si>
    <t>-325.212648848827 207.413730045813 -324.394725085589</t>
  </si>
  <si>
    <t>-605.151370814449 25.9155118138266 -775.751918207089</t>
  </si>
  <si>
    <t>-594.400015570998 201.840085743712 -241.361413453917</t>
  </si>
  <si>
    <t>-586.715639312134 236.269183275387 212.965903079961</t>
  </si>
  <si>
    <t>-626.468683882292 256.735664774496 680.577570760318</t>
  </si>
  <si>
    <t>-470.389382165402 238.460170112379 759.62680618373</t>
  </si>
  <si>
    <t>-623.36523835451 7.44833854698939 -241.468766474019</t>
  </si>
  <si>
    <t>-632.909144434127 10.8724227819056 214.1130459171</t>
  </si>
  <si>
    <t>-659.57133184042 2.29633448386389 683.267123746082</t>
  </si>
  <si>
    <t>-501.990109923051 -34.1443349489949 752.4316657886</t>
  </si>
  <si>
    <t>9763-20170724T164129.289358600.bin</t>
  </si>
  <si>
    <t>-607.123920866575 106.767190236453 -242.038506976278</t>
  </si>
  <si>
    <t>-627.685842715058 110.229693825379 -361.340752140509</t>
  </si>
  <si>
    <t>-630.572289941077 102.29604137598 -482.251023859155</t>
  </si>
  <si>
    <t>-625.775388592184 90.7176640521714 -591.052669347076</t>
  </si>
  <si>
    <t>-613.647671367272 74.8960905691751 -698.744021472814</t>
  </si>
  <si>
    <t>-589.153231262564 48.6299277797297 -846.764794160269</t>
  </si>
  <si>
    <t>-545.404898701254 34.1131972097044 -937.640092279619</t>
  </si>
  <si>
    <t>-597.088606937536 91.5051168690819 -786.335724985597</t>
  </si>
  <si>
    <t>-586.065141311729 238.120092907724 -783.077123629492</t>
  </si>
  <si>
    <t>-512.468370057652 298.555327308441 -481.220633157707</t>
  </si>
  <si>
    <t>-324.290770937836 210.00043922504 -325.050163494688</t>
  </si>
  <si>
    <t>-602.893823210457 28.9986653715079 -776.204557666801</t>
  </si>
  <si>
    <t>-591.692329145229 204.293012746969 -241.552195892105</t>
  </si>
  <si>
    <t>-585.408634541344 236.46986071881 212.961640774089</t>
  </si>
  <si>
    <t>-626.334466175454 256.619009196812 680.409989938893</t>
  </si>
  <si>
    <t>-470.335567831265 239.012710914275 759.769113732296</t>
  </si>
  <si>
    <t>-622.357896267708 9.23127259673699 -241.830218058359</t>
  </si>
  <si>
    <t>-632.43332555529 12.2119626527466 213.743359504098</t>
  </si>
  <si>
    <t>-659.507200018511 2.25716466363937 682.965991206322</t>
  </si>
  <si>
    <t>-502.230085697108 -35.181150655045 752.289749588568</t>
  </si>
  <si>
    <t>9763-20170724T164129.322447800.bin</t>
  </si>
  <si>
    <t>-606.257864873267 107.537925561638 -242.18203050458</t>
  </si>
  <si>
    <t>-626.793824133933 111.078336926676 -361.486473860865</t>
  </si>
  <si>
    <t>-629.689438291664 103.203906110329 -482.400314618085</t>
  </si>
  <si>
    <t>-624.91123308596 91.6765815703491 -591.208173460816</t>
  </si>
  <si>
    <t>-612.810154478292 75.9068177511483 -698.910122772785</t>
  </si>
  <si>
    <t>-588.35874687242 49.7164543903681 -846.951402120574</t>
  </si>
  <si>
    <t>-544.613133161611 35.2339295800408 -937.833549332551</t>
  </si>
  <si>
    <t>-596.294459304658 92.5618304206294 -786.501311303844</t>
  </si>
  <si>
    <t>-585.454295853574 239.181522263181 -783.260245364623</t>
  </si>
  <si>
    <t>-512.787827836176 299.597565090777 -481.174678523326</t>
  </si>
  <si>
    <t>-324.220309659521 210.728117776396 -325.654415764853</t>
  </si>
  <si>
    <t>-602.061038606525 30.047898544448 -776.394281501912</t>
  </si>
  <si>
    <t>-590.669452928887 204.960355261884 -241.626649267883</t>
  </si>
  <si>
    <t>-584.78946836533 236.754547713247 212.919493627126</t>
  </si>
  <si>
    <t>-626.267622389194 256.556404840185 680.312720536807</t>
  </si>
  <si>
    <t>-470.326251121342 239.192198623577 759.838139003673</t>
  </si>
  <si>
    <t>-621.969851741153 9.90391276077261 -241.991909215483</t>
  </si>
  <si>
    <t>-632.23444275831 12.6603861450367 213.578845648832</t>
  </si>
  <si>
    <t>-659.474613278659 2.12425259239336 682.809131897638</t>
  </si>
  <si>
    <t>-502.306630092661 -35.6620736972462 752.191769420126</t>
  </si>
  <si>
    <t>9763-20170724T164129.391383800.bin</t>
  </si>
  <si>
    <t>-604.879079313329 108.696136153978 -242.504189475534</t>
  </si>
  <si>
    <t>-625.359169380944 112.381492682949 -361.813879108784</t>
  </si>
  <si>
    <t>-628.312143492032 104.603340824919 -482.732586651722</t>
  </si>
  <si>
    <t>-623.625398311025 93.1498333689771 -591.552125076386</t>
  </si>
  <si>
    <t>-611.651304859952 77.445068878064 -699.277859481905</t>
  </si>
  <si>
    <t>-587.409468758415 51.3395777242728 -847.368502777776</t>
  </si>
  <si>
    <t>-543.767078670796 36.8676343761056 -938.301916395406</t>
  </si>
  <si>
    <t>-595.274915789414 94.151290516261 -786.885345965264</t>
  </si>
  <si>
    <t>-584.959979811402 240.819921471035 -783.833730327852</t>
  </si>
  <si>
    <t>-513.93086046669 302.157166630352 -481.544462504217</t>
  </si>
  <si>
    <t>-324.301893190791 213.525613582529 -327.183343999912</t>
  </si>
  <si>
    <t>-600.996514269875 31.6295925988593 -776.800591296694</t>
  </si>
  <si>
    <t>-588.628296274178 206.08553920617 -241.913110822694</t>
  </si>
  <si>
    <t>-584.044096586232 237.542272524651 212.67145875614</t>
  </si>
  <si>
    <t>-626.067926804581 256.646780470747 679.930738784746</t>
  </si>
  <si>
    <t>-470.264220907133 239.717785339973 759.81888544235</t>
  </si>
  <si>
    <t>-621.169604429697 11.1726314702086 -242.348110822168</t>
  </si>
  <si>
    <t>-631.896473443634 13.3900593760454 213.214874488636</t>
  </si>
  <si>
    <t>-659.396597864359 2.13251000983853 682.445220029848</t>
  </si>
  <si>
    <t>-502.427790396607 -36.3327277223092 751.905437043631</t>
  </si>
  <si>
    <t>9763-20170724T164129.423473300.bin</t>
  </si>
  <si>
    <t>-604.303430347059 109.034968118834 -242.680781458658</t>
  </si>
  <si>
    <t>-624.724024594265 112.802593617549 -361.998101643981</t>
  </si>
  <si>
    <t>-627.717609093736 105.029773381834 -482.916253402915</t>
  </si>
  <si>
    <t>-623.103519050072 93.5547451458027 -591.736637504378</t>
  </si>
  <si>
    <t>-611.234830966446 77.8051745434945 -699.467491642968</t>
  </si>
  <si>
    <t>-587.170643037406 51.6160551014506 -847.572367253643</t>
  </si>
  <si>
    <t>-543.617547032502 37.0829814058708 -938.538922366188</t>
  </si>
  <si>
    <t>-594.971622271591 94.4624322577147 -787.105382723341</t>
  </si>
  <si>
    <t>-585.020222267493 241.156821934418 -784.326741709033</t>
  </si>
  <si>
    <t>-514.659028418672 303.37676204638 -482.061585849936</t>
  </si>
  <si>
    <t>-325.001011319146 214.754369202752 -327.731029517404</t>
  </si>
  <si>
    <t>-600.664968918707 31.9454351832529 -776.975667704875</t>
  </si>
  <si>
    <t>-587.823484129673 206.230099580545 -242.078305998058</t>
  </si>
  <si>
    <t>-583.816218472843 237.812301832714 212.503078039864</t>
  </si>
  <si>
    <t>-625.932942325145 256.67851137909 679.715263876732</t>
  </si>
  <si>
    <t>-470.209301382551 240.026777943111 759.817594091952</t>
  </si>
  <si>
    <t>-620.867974392767 11.6950223260532 -242.561517119752</t>
  </si>
  <si>
    <t>-631.774479762775 13.6832768565172 212.998311475663</t>
  </si>
  <si>
    <t>-659.340277953085 2.23332303744551 682.228470695215</t>
  </si>
  <si>
    <t>-502.276525985563 -35.8055769591874 751.709016448104</t>
  </si>
  <si>
    <t>9763-20170724T164129.494672300.bin</t>
  </si>
  <si>
    <t>-603.079215849919 109.850929530298 -243.209965630257</t>
  </si>
  <si>
    <t>-623.318166595432 113.696179860963 -362.555565593179</t>
  </si>
  <si>
    <t>-626.24214776056 105.867823546594 -483.471861359111</t>
  </si>
  <si>
    <t>-621.605289304097 94.2950007639191 -592.281001353166</t>
  </si>
  <si>
    <t>-609.75075768049 78.4048374445427 -699.992778187869</t>
  </si>
  <si>
    <t>-585.741572414907 51.9798444695792 -848.064559994813</t>
  </si>
  <si>
    <t>-542.24086823368 37.2724401221878 -939.028083140368</t>
  </si>
  <si>
    <t>-593.48323941124 94.9201587794358 -787.656800534617</t>
  </si>
  <si>
    <t>-583.482637117421 241.599578506356 -785.254120754061</t>
  </si>
  <si>
    <t>-515.785128478926 306.0828128732 -482.855106746771</t>
  </si>
  <si>
    <t>-326.710813193616 216.623514428171 -328.291288388862</t>
  </si>
  <si>
    <t>-599.246490143509 32.42402937678 -777.438159334903</t>
  </si>
  <si>
    <t>-585.805126955655 206.979902353348 -242.611815067823</t>
  </si>
  <si>
    <t>-583.605298441161 238.327540630229 211.998070654526</t>
  </si>
  <si>
    <t>-625.679750487321 256.708983161331 679.281139133598</t>
  </si>
  <si>
    <t>-470.163213183097 240.524250595581 759.880005840167</t>
  </si>
  <si>
    <t>-620.221994419122 12.6239753285191 -243.063968949912</t>
  </si>
  <si>
    <t>-631.61231306393 14.2499558840302 212.485443564304</t>
  </si>
  <si>
    <t>-659.224764704358 2.19503109171348 681.76347093184</t>
  </si>
  <si>
    <t>-502.375946655316 -36.5051310314972 751.364131900816</t>
  </si>
  <si>
    <t>9763-20170724T164129.521746300.bin</t>
  </si>
  <si>
    <t>-602.617427123171 110.331491479783 -243.379929938062</t>
  </si>
  <si>
    <t>-622.745134311524 114.199767791109 -362.743785612524</t>
  </si>
  <si>
    <t>-625.597964482892 106.336543200075 -483.659394916947</t>
  </si>
  <si>
    <t>-620.911671841362 94.7111378004699 -592.460792468618</t>
  </si>
  <si>
    <t>-609.021195404539 78.7490009904211 -700.157895258059</t>
  </si>
  <si>
    <t>-584.975670404836 52.2054262669808 -848.202638342241</t>
  </si>
  <si>
    <t>-541.45662550634 37.3782697400276 -939.137976537334</t>
  </si>
  <si>
    <t>-592.709585943182 95.192653454971 -787.827206817257</t>
  </si>
  <si>
    <t>-582.540475007348 241.878585350341 -785.524897977388</t>
  </si>
  <si>
    <t>-516.492182798202 307.15083648636 -482.930515111313</t>
  </si>
  <si>
    <t>-327.768170656343 216.988466814258 -328.347067266414</t>
  </si>
  <si>
    <t>-598.520552981479 32.707642162845 -777.567705194818</t>
  </si>
  <si>
    <t>-585.159576930674 207.373851167144 -242.788163112812</t>
  </si>
  <si>
    <t>-583.643370387441 238.759668295711 211.821891239383</t>
  </si>
  <si>
    <t>-625.61492624997 256.74333688949 679.128905622986</t>
  </si>
  <si>
    <t>-470.163081317787 240.717564471107 759.884170693615</t>
  </si>
  <si>
    <t>-620.029698654379 13.2404190865585 -243.266931651276</t>
  </si>
  <si>
    <t>-631.552439990507 14.6230438257806 212.279975508302</t>
  </si>
  <si>
    <t>-659.138412430244 2.45011775148694 681.529756643326</t>
  </si>
  <si>
    <t>-502.091513754699 -35.4171746832379 751.141742698759</t>
  </si>
  <si>
    <t>9763-20170724T164129.590033400.bin</t>
  </si>
  <si>
    <t>-602.065115003363 111.194845570684 -243.714762063407</t>
  </si>
  <si>
    <t>-622.11749029017 115.184825257933 -363.087275598079</t>
  </si>
  <si>
    <t>-624.899644790894 107.219373043515 -483.997849456274</t>
  </si>
  <si>
    <t>-620.146436053361 95.416818823101 -592.777222918604</t>
  </si>
  <si>
    <t>-608.18398401667 79.1976177387591 -700.428046164545</t>
  </si>
  <si>
    <t>-584.031202116922 52.2180549667897 -848.376579213376</t>
  </si>
  <si>
    <t>-540.378832175266 37.0189332163961 -939.186414095724</t>
  </si>
  <si>
    <t>-591.76480685452 95.3800904076184 -788.125774445185</t>
  </si>
  <si>
    <t>-581.586420656334 242.063226794678 -786.043403185217</t>
  </si>
  <si>
    <t>-517.857434117887 308.492402602349 -483.203541426615</t>
  </si>
  <si>
    <t>-329.982750420573 216.804401771123 -328.483039933401</t>
  </si>
  <si>
    <t>-597.671344338723 32.9312351683906 -777.702048149081</t>
  </si>
  <si>
    <t>-584.21360564564 208.338553218275 -243.041846408662</t>
  </si>
  <si>
    <t>-583.323019459214 239.451600072238 211.588541455858</t>
  </si>
  <si>
    <t>-625.625430847755 256.768982858949 678.969032193468</t>
  </si>
  <si>
    <t>-470.208328755048 240.914259885477 759.824828739583</t>
  </si>
  <si>
    <t>-619.864472637517 14.1273445438343 -243.671163558996</t>
  </si>
  <si>
    <t>-631.736704877616 15.1034269397181 211.867823709314</t>
  </si>
  <si>
    <t>-659.045956236794 2.48557269901091 681.123837174838</t>
  </si>
  <si>
    <t>-502.015063353691 -35.3188110256324 750.806452567395</t>
  </si>
  <si>
    <t>9763-20170724T164129.624125100.bin</t>
  </si>
  <si>
    <t>-601.883324231377 111.609167240675 -243.816022513823</t>
  </si>
  <si>
    <t>-621.827957751424 115.645308052972 -363.205034917852</t>
  </si>
  <si>
    <t>-624.522814238113 107.622843128723 -484.113846306548</t>
  </si>
  <si>
    <t>-619.699130254185 95.7267448859049 -592.87995880522</t>
  </si>
  <si>
    <t>-607.674614227575 79.3723499113596 -700.503381390512</t>
  </si>
  <si>
    <t>-583.444686463056 52.1620215672241 -848.396927436652</t>
  </si>
  <si>
    <t>-539.685102401177 36.7532609460542 -939.119864087514</t>
  </si>
  <si>
    <t>-591.155729789502 95.4144121918472 -788.208252470375</t>
  </si>
  <si>
    <t>-580.830507907798 242.084162090083 -786.274370262298</t>
  </si>
  <si>
    <t>-518.723740734403 309.231907334682 -483.256079482503</t>
  </si>
  <si>
    <t>-331.130723224656 216.95493246585 -328.543735726153</t>
  </si>
  <si>
    <t>-597.175698253286 32.9890885260538 -777.70905018856</t>
  </si>
  <si>
    <t>-583.818148910304 208.604280393811 -243.081944981419</t>
  </si>
  <si>
    <t>-583.29490361855 239.80263519284 211.543251488013</t>
  </si>
  <si>
    <t>-625.672976360561 256.799535370507 678.929643187511</t>
  </si>
  <si>
    <t>-470.261183910979 240.913601767827 759.789497078339</t>
  </si>
  <si>
    <t>-619.873732281324 14.5551395573867 -243.820203401829</t>
  </si>
  <si>
    <t>-631.809898218948 15.2791566978732 211.717641206887</t>
  </si>
  <si>
    <t>-659.015389342591 2.46033274223534 680.957692330658</t>
  </si>
  <si>
    <t>-501.848583848554 -34.7583395136648 750.649174667326</t>
  </si>
  <si>
    <t>9763-20170724T164129.688302800.bin</t>
  </si>
  <si>
    <t>-601.735707248938 112.188415160828 -243.974119133189</t>
  </si>
  <si>
    <t>-621.668201154786 116.33554061392 -363.36125567783</t>
  </si>
  <si>
    <t>-624.298588790479 108.23123647282 -484.266045551573</t>
  </si>
  <si>
    <t>-619.392640326603 96.1861419153019 -593.012090623212</t>
  </si>
  <si>
    <t>-607.261216939557 79.6113997426665 -700.589762257058</t>
  </si>
  <si>
    <t>-582.856905297611 52.0236633945727 -848.38476486098</t>
  </si>
  <si>
    <t>-538.870100894888 36.1826386400348 -938.923160886943</t>
  </si>
  <si>
    <t>-590.538721537978 95.4227635279383 -788.297826685642</t>
  </si>
  <si>
    <t>-579.76801868538 242.077570480622 -786.608846475317</t>
  </si>
  <si>
    <t>-521.107050329924 310.209247965391 -483.123839808518</t>
  </si>
  <si>
    <t>-334.156320732117 217.037361145857 -328.170738842139</t>
  </si>
  <si>
    <t>-596.771411420057 33.038002041166 -777.682218559485</t>
  </si>
  <si>
    <t>-583.354230684777 209.261930400114 -243.185441737139</t>
  </si>
  <si>
    <t>-583.123273584058 240.359650302877 211.446865483196</t>
  </si>
  <si>
    <t>-625.7507529126 256.818814887789 678.833855130052</t>
  </si>
  <si>
    <t>-470.355156032107 240.923888081079 759.72313450544</t>
  </si>
  <si>
    <t>-620.094139542219 15.1115594746759 -244.039780110531</t>
  </si>
  <si>
    <t>-632.048227479491 15.4856040645412 211.497948571214</t>
  </si>
  <si>
    <t>-658.969865919923 2.25188193332437 680.696988889986</t>
  </si>
  <si>
    <t>-501.859517574533 -35.1339055914895 750.426134188448</t>
  </si>
  <si>
    <t>9763-20170724T164129.726403100.bin</t>
  </si>
  <si>
    <t>-601.743729588855 112.486345943355 -244.029984423981</t>
  </si>
  <si>
    <t>-621.66032515507 116.621667766491 -363.420320691179</t>
  </si>
  <si>
    <t>-624.222013572827 108.44742507844 -484.321893934557</t>
  </si>
  <si>
    <t>-619.23171827433 96.3177788680482 -593.054649186835</t>
  </si>
  <si>
    <t>-606.993958777478 79.6391773829257 -700.604299735979</t>
  </si>
  <si>
    <t>-582.419183917377 51.8889327551226 -848.340567525621</t>
  </si>
  <si>
    <t>-538.325585756444 35.8593374093432 -938.793786766379</t>
  </si>
  <si>
    <t>-590.139648851855 95.35191731478 -788.304910153338</t>
  </si>
  <si>
    <t>-579.153713049943 241.966503466046 -786.667920228335</t>
  </si>
  <si>
    <t>-521.412952289963 310.797675836673 -483.164292187166</t>
  </si>
  <si>
    <t>-334.990608613461 217.393153556332 -327.715307507664</t>
  </si>
  <si>
    <t>-596.445876500818 32.9831489141968 -777.638739122925</t>
  </si>
  <si>
    <t>-583.19003092522 209.59091530391 -243.246128095991</t>
  </si>
  <si>
    <t>-583.076645766658 240.538663156394 211.396392151171</t>
  </si>
  <si>
    <t>-625.813032937716 256.794293643538 678.82432021439</t>
  </si>
  <si>
    <t>-470.410454070978 240.899061658762 759.700009053089</t>
  </si>
  <si>
    <t>-620.278978598678 15.3403855651117 -244.101953003472</t>
  </si>
  <si>
    <t>-632.183311245592 15.5641254899 211.437156558354</t>
  </si>
  <si>
    <t>-658.93698712455 2.26214147149407 680.616263447987</t>
  </si>
  <si>
    <t>-501.9014408469 -35.4127814727762 750.358284386788</t>
  </si>
  <si>
    <t>9763-20170724T164129.790210500.bin</t>
  </si>
  <si>
    <t>-602.07602128353 112.663044061758 -244.03368322379</t>
  </si>
  <si>
    <t>-621.987769026907 116.864764771768 -363.42251093795</t>
  </si>
  <si>
    <t>-624.540297020341 108.659329229251 -484.322176608959</t>
  </si>
  <si>
    <t>-619.538489456215 96.4632027088463 -593.046991233562</t>
  </si>
  <si>
    <t>-607.285349945413 79.6811986146445 -700.578649180891</t>
  </si>
  <si>
    <t>-582.684715654405 51.7500829656875 -848.276583472202</t>
  </si>
  <si>
    <t>-538.463572471727 35.4515244593734 -938.619440961214</t>
  </si>
  <si>
    <t>-590.373338609687 95.283530975168 -788.287988485383</t>
  </si>
  <si>
    <t>-579.088016601421 241.900025334087 -786.672747106618</t>
  </si>
  <si>
    <t>-521.185910832492 311.128044899257 -483.290131477914</t>
  </si>
  <si>
    <t>-335.639553980389 218.167536697477 -326.532610146399</t>
  </si>
  <si>
    <t>-596.766156145419 32.9339218395922 -777.561834364944</t>
  </si>
  <si>
    <t>-583.371825272323 209.753626244967 -243.180030409574</t>
  </si>
  <si>
    <t>-583.211597737765 240.849192921531 211.452479400083</t>
  </si>
  <si>
    <t>-626.012106581856 256.768000097881 678.879645239571</t>
  </si>
  <si>
    <t>-470.581258415475 240.693966087606 759.66571418709</t>
  </si>
  <si>
    <t>-620.769058818421 15.5537379359133 -244.157602968899</t>
  </si>
  <si>
    <t>-632.686235726178 15.4736826008732 211.381246668649</t>
  </si>
  <si>
    <t>-658.913773939821 2.18450403228016 680.536837875527</t>
  </si>
  <si>
    <t>-502.033281235383 -36.1274571963559 750.280783292184</t>
  </si>
  <si>
    <t>9763-20170724T164129.828312200.bin</t>
  </si>
  <si>
    <t>-602.274049650364 112.799646958314 -244.00749488551</t>
  </si>
  <si>
    <t>-622.21223828856 117.009198078764 -363.391557868621</t>
  </si>
  <si>
    <t>-624.771621947972 108.762084354793 -484.288133811932</t>
  </si>
  <si>
    <t>-619.768026884473 96.5079990987336 -593.00634220576</t>
  </si>
  <si>
    <t>-607.505385535826 79.6480035169685 -700.524821016489</t>
  </si>
  <si>
    <t>-582.884122301572 51.5878253103422 -848.194789570234</t>
  </si>
  <si>
    <t>-538.653991514789 35.1711800411134 -938.51186392982</t>
  </si>
  <si>
    <t>-590.564507923369 95.1725114595636 -788.242310520267</t>
  </si>
  <si>
    <t>-579.117608319165 241.756436179135 -786.678470987971</t>
  </si>
  <si>
    <t>-520.156781642418 310.781715732525 -483.453502592193</t>
  </si>
  <si>
    <t>-335.085760093678 218.277908141438 -325.866164657156</t>
  </si>
  <si>
    <t>-596.992018953996 32.8346400719151 -777.468557464738</t>
  </si>
  <si>
    <t>-583.515043561675 210.021409071244 -243.16238073517</t>
  </si>
  <si>
    <t>-583.441621654883 240.883376554199 211.48613472887</t>
  </si>
  <si>
    <t>-626.146877983002 256.774040494667 678.950917939718</t>
  </si>
  <si>
    <t>-470.698627293124 240.470454893919 759.657544025354</t>
  </si>
  <si>
    <t>-620.988416906876 15.6062401416549 -244.160383335211</t>
  </si>
  <si>
    <t>-632.89337100161 15.417130666322 211.378746560559</t>
  </si>
  <si>
    <t>-658.899252165924 2.11761497055222 680.527723049931</t>
  </si>
  <si>
    <t>-502.036767944685 -36.2858540175083 750.261859156824</t>
  </si>
  <si>
    <t>9763-20170724T164129.887063100.bin</t>
  </si>
  <si>
    <t>-602.863297982784 112.899676365085 -243.988980483379</t>
  </si>
  <si>
    <t>-622.749816432464 117.205897374178 -363.378186325452</t>
  </si>
  <si>
    <t>-625.344529958801 109.033719871433 -484.279266911209</t>
  </si>
  <si>
    <t>-620.407724379283 96.8369773802321 -593.006926776836</t>
  </si>
  <si>
    <t>-608.245543278921 80.0228346948023 -700.543907606038</t>
  </si>
  <si>
    <t>-583.798011807584 52.013524350341 -848.252421649562</t>
  </si>
  <si>
    <t>-539.597709700692 35.5430524380707 -938.57434838242</t>
  </si>
  <si>
    <t>-591.368316561279 95.5747238116832 -788.268882830428</t>
  </si>
  <si>
    <t>-579.723735761557 242.158036757261 -786.892641768358</t>
  </si>
  <si>
    <t>-518.509000961761 311.658440552973 -484.223539555012</t>
  </si>
  <si>
    <t>-332.812461933232 221.132953615659 -326.223493982355</t>
  </si>
  <si>
    <t>-597.862250515732 33.2388486951905 -777.523158454116</t>
  </si>
  <si>
    <t>-584.205253788627 210.049438688185 -243.090930148526</t>
  </si>
  <si>
    <t>-584.412401550952 241.010083167523 211.550746086939</t>
  </si>
  <si>
    <t>-626.372812454823 256.848047502383 679.041242248568</t>
  </si>
  <si>
    <t>-470.899891111843 240.11873293203 759.6130804061</t>
  </si>
  <si>
    <t>-621.47699983139 15.7402169764958 -244.197775612606</t>
  </si>
  <si>
    <t>-633.498679388688 15.3821609935038 211.338194469299</t>
  </si>
  <si>
    <t>-658.917081985098 2.09324839566342 680.486971681755</t>
  </si>
  <si>
    <t>-501.940250356345 -35.8807137279677 750.199086128345</t>
  </si>
  <si>
    <t>9763-20170724T164129.925160900.bin</t>
  </si>
  <si>
    <t>-602.957276081823 112.86964540577 -244.027238214706</t>
  </si>
  <si>
    <t>-622.806187398349 117.195603034426 -363.421905392409</t>
  </si>
  <si>
    <t>-625.460945193852 109.01789402045 -484.321241570831</t>
  </si>
  <si>
    <t>-620.617548426246 96.8041796474079 -593.051332237933</t>
  </si>
  <si>
    <t>-608.587251634821 79.9600409207333 -700.598489440161</t>
  </si>
  <si>
    <t>-584.362002318779 51.8942885427631 -848.332802331171</t>
  </si>
  <si>
    <t>-540.238118454691 35.3640957605295 -938.681268373938</t>
  </si>
  <si>
    <t>-591.789056057867 95.4744693736296 -788.345202304232</t>
  </si>
  <si>
    <t>-579.996835658057 242.015708204452 -787.095762897318</t>
  </si>
  <si>
    <t>-517.811719186064 313.956298428207 -485.195433823984</t>
  </si>
  <si>
    <t>-331.737606777374 224.811927744229 -326.854861240599</t>
  </si>
  <si>
    <t>-598.372835144282 33.1505744243938 -777.584779406229</t>
  </si>
  <si>
    <t>-584.188272934868 209.940967892176 -243.130417084258</t>
  </si>
  <si>
    <t>-584.620477638783 241.047833873047 211.501136232353</t>
  </si>
  <si>
    <t>-626.428790514918 256.906550340006 679.026986157166</t>
  </si>
  <si>
    <t>-470.979951978189 239.955812363646 759.599000385116</t>
  </si>
  <si>
    <t>-621.627527857622 15.728971410972 -244.235126848021</t>
  </si>
  <si>
    <t>-633.695153955348 15.3422296853602 211.299605748532</t>
  </si>
  <si>
    <t>-658.897153742019 2.11906646187529 680.465760079981</t>
  </si>
  <si>
    <t>-501.785391198191 -35.3514926985534 750.1462126082</t>
  </si>
  <si>
    <t>9763-20170724T164129.993059100.bin</t>
  </si>
  <si>
    <t>-602.693609469164 112.432117421305 -244.07940788509</t>
  </si>
  <si>
    <t>-622.477020207801 116.864674815341 -363.481043230464</t>
  </si>
  <si>
    <t>-625.202501732954 108.638249921075 -484.37549707279</t>
  </si>
  <si>
    <t>-620.476991001033 96.3142917574682 -593.098288490865</t>
  </si>
  <si>
    <t>-608.617492662174 79.2932925979504 -700.636626192424</t>
  </si>
  <si>
    <t>-584.683325794726 50.9111372883783 -848.357931094046</t>
  </si>
  <si>
    <t>-540.646665026859 34.1360123575514 -938.703845612996</t>
  </si>
  <si>
    <t>-591.775222983549 94.6027702878135 -788.410909828953</t>
  </si>
  <si>
    <t>-578.497069046823 241.090380232722 -787.411727436889</t>
  </si>
  <si>
    <t>-518.294974284222 319.419049881168 -486.701716190203</t>
  </si>
  <si>
    <t>-330.246874854839 236.191488742613 -327.474931549123</t>
  </si>
  <si>
    <t>-598.771655361801 32.3358840765767 -777.580889634673</t>
  </si>
  <si>
    <t>-583.343655090304 209.420996697735 -243.165502564387</t>
  </si>
  <si>
    <t>-584.21564758174 240.84046485156 211.44391342548</t>
  </si>
  <si>
    <t>-626.480451763954 256.888987500574 678.96328806901</t>
  </si>
  <si>
    <t>-471.074671127195 239.845988983725 759.598841989279</t>
  </si>
  <si>
    <t>-621.941845896054 15.3581411527111 -244.286322627725</t>
  </si>
  <si>
    <t>-633.936379376731 14.9955945118714 211.250457975493</t>
  </si>
  <si>
    <t>-658.880136677906 1.88620443934102 680.449384434903</t>
  </si>
  <si>
    <t>-502.289922746386 -37.591103461525 750.195775062179</t>
  </si>
  <si>
    <t>9763-20170724T164130.027150800.bin</t>
  </si>
  <si>
    <t>-602.293540151555 112.348295517492 -244.081933071763</t>
  </si>
  <si>
    <t>-622.068718613876 116.830347182303 -363.483109439069</t>
  </si>
  <si>
    <t>-624.781036841144 108.541370399258 -484.373563862234</t>
  </si>
  <si>
    <t>-620.040018064964 96.1169227192534 -593.084180781679</t>
  </si>
  <si>
    <t>-608.160516421895 78.9533293819123 -700.597621620044</t>
  </si>
  <si>
    <t>-584.193776673187 50.3309597632447 -848.267405153781</t>
  </si>
  <si>
    <t>-540.166780852145 33.3933317231951 -938.587511012173</t>
  </si>
  <si>
    <t>-591.198198560581 94.1117147891339 -788.374977346006</t>
  </si>
  <si>
    <t>-577.295217673079 240.517125402734 -787.619457172351</t>
  </si>
  <si>
    <t>-519.177873207788 321.593722679065 -487.227829173536</t>
  </si>
  <si>
    <t>-329.61963079193 241.52250943928 -328.173385129805</t>
  </si>
  <si>
    <t>-598.398454210204 31.8792265179756 -777.481249646363</t>
  </si>
  <si>
    <t>-582.550972558241 209.309567914334 -243.177468340814</t>
  </si>
  <si>
    <t>-583.851552592895 240.714514492524 211.431944328286</t>
  </si>
  <si>
    <t>-626.521201656468 256.876771194448 678.950371368127</t>
  </si>
  <si>
    <t>-471.159285870616 239.653509986397 759.632163154771</t>
  </si>
  <si>
    <t>-621.908012566434 15.3607739731743 -244.290868012362</t>
  </si>
  <si>
    <t>-633.941096317994 15.0726894351166 211.244769852293</t>
  </si>
  <si>
    <t>-658.834835723412 2.15775882708507 680.448251136503</t>
  </si>
  <si>
    <t>-501.633873622612 -34.9589525688227 750.1167500622</t>
  </si>
  <si>
    <t>9763-20170724T164130.092328900.bin</t>
  </si>
  <si>
    <t>-601.70562531722 112.048709291837 -244.018555125851</t>
  </si>
  <si>
    <t>-621.588524812323 116.756397406879 -363.393251889096</t>
  </si>
  <si>
    <t>-624.272700388106 108.519291297814 -484.287910862379</t>
  </si>
  <si>
    <t>-619.444721096788 96.078888318901 -592.992868574895</t>
  </si>
  <si>
    <t>-607.414425268209 78.843144369525 -700.477927897743</t>
  </si>
  <si>
    <t>-583.17042111217 50.0685159584867 -848.072921017979</t>
  </si>
  <si>
    <t>-539.042383913001 32.869746759607 -938.294270271</t>
  </si>
  <si>
    <t>-590.193861023366 93.9029774071384 -788.221948272663</t>
  </si>
  <si>
    <t>-575.695145205629 240.221655183734 -787.11882809957</t>
  </si>
  <si>
    <t>-519.748692788027 323.250177087454 -486.848177733497</t>
  </si>
  <si>
    <t>-321.203391087298 255.677228428133 -333.044028673717</t>
  </si>
  <si>
    <t>-597.601453912642 31.6978077724345 -777.311379386828</t>
  </si>
  <si>
    <t>-581.48706078741 209.243393168581 -243.063906478902</t>
  </si>
  <si>
    <t>-583.118646905856 240.483879579904 211.555833408788</t>
  </si>
  <si>
    <t>-626.64427313968 256.871267467406 678.958372311469</t>
  </si>
  <si>
    <t>-471.364893635951 239.14179514131 759.689383667164</t>
  </si>
  <si>
    <t>-621.937341917134 15.0013426072313 -244.271416348031</t>
  </si>
  <si>
    <t>-633.830073957888 14.8419467093113 211.268088369393</t>
  </si>
  <si>
    <t>-658.818584496336 2.084029362002 680.464603095664</t>
  </si>
  <si>
    <t>-502.09636230694 -36.9265899793562 750.177035135913</t>
  </si>
  <si>
    <t>9763-20170724T164130.123411000.bin</t>
  </si>
  <si>
    <t>-601.558524149848 112.042903201243 -244.0073033716</t>
  </si>
  <si>
    <t>-621.485336967972 116.8026874271 -363.372573888574</t>
  </si>
  <si>
    <t>-624.15994058389 108.580764833228 -484.268548898755</t>
  </si>
  <si>
    <t>-619.299895204203 96.1412988573359 -592.972206331004</t>
  </si>
  <si>
    <t>-607.21360142833 78.8958887059022 -700.449578438362</t>
  </si>
  <si>
    <t>-582.866694503612 50.0986415042588 -848.02305664885</t>
  </si>
  <si>
    <t>-538.65882850585 32.7781307109962 -938.182033127155</t>
  </si>
  <si>
    <t>-589.92243400082 93.941456402844 -788.182033325233</t>
  </si>
  <si>
    <t>-575.369151642053 240.272487965156 -786.820142469993</t>
  </si>
  <si>
    <t>-518.709600672027 322.515735748207 -486.46726882662</t>
  </si>
  <si>
    <t>-313.545851231275 262.79880576058 -338.197860627364</t>
  </si>
  <si>
    <t>-597.356440582466 31.739585823259 -777.270499835576</t>
  </si>
  <si>
    <t>-581.22374368905 209.202769110511 -243.031979197344</t>
  </si>
  <si>
    <t>-582.889929627321 240.491271523927 211.584193173079</t>
  </si>
  <si>
    <t>-626.693494008942 256.808328080355 678.960910885609</t>
  </si>
  <si>
    <t>-471.426253677233 239.046438215078 759.708106898757</t>
  </si>
  <si>
    <t>-621.8542493893 14.9938116846348 -244.282077735789</t>
  </si>
  <si>
    <t>-633.680300951842 14.892956443462 211.259104955461</t>
  </si>
  <si>
    <t>-658.785597260065 2.09720994044947 680.467237014345</t>
  </si>
  <si>
    <t>-501.889698861508 -36.2567761586556 750.15338580669</t>
  </si>
  <si>
    <t>9763-20170724T164130.193603000.bin</t>
  </si>
  <si>
    <t>-601.387812262507 111.790300627856 -243.921452889551</t>
  </si>
  <si>
    <t>-621.278083867881 116.535080184286 -363.293498645611</t>
  </si>
  <si>
    <t>-623.946472877274 108.331090274973 -484.190739491732</t>
  </si>
  <si>
    <t>-619.097221381984 95.9154021573825 -592.897532576699</t>
  </si>
  <si>
    <t>-607.040266388803 78.6974052843449 -700.382612689367</t>
  </si>
  <si>
    <t>-582.755135029362 49.9383306316302 -847.973680083105</t>
  </si>
  <si>
    <t>-538.381960082846 32.4950279627493 -938.027793644191</t>
  </si>
  <si>
    <t>-589.743662000035 93.7619529933457 -788.110711473588</t>
  </si>
  <si>
    <t>-574.708248637862 240.022076807908 -786.065548951495</t>
  </si>
  <si>
    <t>-514.12783929641 321.408029957656 -486.244778210122</t>
  </si>
  <si>
    <t>-299.984787206708 271.099275842727 -347.486533950635</t>
  </si>
  <si>
    <t>-597.257487074765 31.5647338171816 -777.227536493348</t>
  </si>
  <si>
    <t>-581.117151699895 208.722760235412 -242.933449471281</t>
  </si>
  <si>
    <t>-582.744640330995 240.52368450345 211.647418578021</t>
  </si>
  <si>
    <t>-626.794640048615 256.648271020122 678.9735757694</t>
  </si>
  <si>
    <t>-471.480228529463 239.163395129129 759.69047337295</t>
  </si>
  <si>
    <t>-621.571977022391 14.861199477041 -244.215883704615</t>
  </si>
  <si>
    <t>-633.330274107977 14.839575551734 211.327106324022</t>
  </si>
  <si>
    <t>-658.723714336892 2.06762458337785 680.493684764997</t>
  </si>
  <si>
    <t>-501.956390303358 -36.7919069866674 750.18907342187</t>
  </si>
  <si>
    <t>9763-20170724T164130.226690500.bin</t>
  </si>
  <si>
    <t>-601.299703243328 111.679909415801 -243.923669461421</t>
  </si>
  <si>
    <t>-621.221896569837 116.386470581271 -363.291834080809</t>
  </si>
  <si>
    <t>-623.867907453929 108.166423858968 -484.188487442591</t>
  </si>
  <si>
    <t>-618.980528666898 95.7408140751685 -592.892460782782</t>
  </si>
  <si>
    <t>-606.870097840141 78.5146683148994 -700.370169135536</t>
  </si>
  <si>
    <t>-582.497091573988 49.743751694565 -847.94459120348</t>
  </si>
  <si>
    <t>-538.034705865489 32.2818260050199 -937.951028743192</t>
  </si>
  <si>
    <t>-589.493728210963 93.569733392818 -788.084206985389</t>
  </si>
  <si>
    <t>-574.129906362985 239.804309463246 -785.92246124416</t>
  </si>
  <si>
    <t>-511.869574959866 321.162600009571 -486.43841106155</t>
  </si>
  <si>
    <t>-295.096869630935 272.972771897076 -351.05241818679</t>
  </si>
  <si>
    <t>-597.069024148031 31.3782790730553 -777.210632003829</t>
  </si>
  <si>
    <t>-581.15590717282 208.50868997623 -242.917461382487</t>
  </si>
  <si>
    <t>-582.685817720304 240.445364748957 211.654178363681</t>
  </si>
  <si>
    <t>-626.850469544778 256.566254957395 678.996665407407</t>
  </si>
  <si>
    <t>-471.500302438311 239.260640983741 759.683443939048</t>
  </si>
  <si>
    <t>-621.410259516792 14.8143566119675 -244.190212231134</t>
  </si>
  <si>
    <t>-633.159321696861 14.8325475305719 211.353071493909</t>
  </si>
  <si>
    <t>-658.667432977738 2.2502279604247 680.508634470043</t>
  </si>
  <si>
    <t>-501.733826661605 -36.0007894433743 750.166405002821</t>
  </si>
  <si>
    <t>9763-20170724T164130.289857900.bin</t>
  </si>
  <si>
    <t>-601.266112469247 111.2349944853 -243.833953192251</t>
  </si>
  <si>
    <t>-621.084753092601 115.876242547581 -363.221858030848</t>
  </si>
  <si>
    <t>-623.55384894332 107.601585181205 -484.118595010872</t>
  </si>
  <si>
    <t>-618.480851248955 95.1294377763031 -592.808735807779</t>
  </si>
  <si>
    <t>-606.161505335101 77.8586275379143 -700.255510740696</t>
  </si>
  <si>
    <t>-581.476374120986 49.0268211491587 -847.766166260123</t>
  </si>
  <si>
    <t>-536.861319198814 31.5236932963173 -937.688962170405</t>
  </si>
  <si>
    <t>-588.57689458127 92.8754383326988 -787.934716129551</t>
  </si>
  <si>
    <t>-572.686648340656 239.061600787111 -785.624749788933</t>
  </si>
  <si>
    <t>-508.184308756971 319.418431910688 -486.344875920509</t>
  </si>
  <si>
    <t>-287.830545000765 273.906861061529 -355.903465165076</t>
  </si>
  <si>
    <t>-596.220682997081 30.6925689140199 -777.059812695517</t>
  </si>
  <si>
    <t>-581.207902384379 207.919146790275 -242.851708031241</t>
  </si>
  <si>
    <t>-582.716147717067 240.3277764699 211.686515877691</t>
  </si>
  <si>
    <t>-626.961237881805 256.437626623554 679.021201389011</t>
  </si>
  <si>
    <t>-471.544083324206 239.445074220534 759.645538972555</t>
  </si>
  <si>
    <t>-621.255086920859 14.452040290021 -244.10028514498</t>
  </si>
  <si>
    <t>-633.061304706491 14.5642170371211 211.441540616155</t>
  </si>
  <si>
    <t>-658.639804222408 2.02290813157774 680.575675912544</t>
  </si>
  <si>
    <t>-501.955577756414 -37.2246855028048 750.240559886832</t>
  </si>
  <si>
    <t>9763-20170724T164130.322944300.bin</t>
  </si>
  <si>
    <t>-601.136852531142 111.03561508862 -243.815275390093</t>
  </si>
  <si>
    <t>-620.92731066839 115.656001510237 -363.208665143448</t>
  </si>
  <si>
    <t>-623.307283049768 107.349962987895 -484.104940068475</t>
  </si>
  <si>
    <t>-618.129342298973 94.8464995996782 -592.786620495849</t>
  </si>
  <si>
    <t>-605.681599080708 77.5426433300385 -700.213249896288</t>
  </si>
  <si>
    <t>-580.794248863919 48.6642165942722 -847.680716517443</t>
  </si>
  <si>
    <t>-536.109246736913 31.1389894726516 -937.564486376273</t>
  </si>
  <si>
    <t>-587.980265636276 92.532056764505 -787.87350588315</t>
  </si>
  <si>
    <t>-571.911074232362 238.680610390111 -785.439606549405</t>
  </si>
  <si>
    <t>-506.915318204326 317.937905179638 -485.9733356299</t>
  </si>
  <si>
    <t>-284.48217501943 273.177695056473 -358.84313254314</t>
  </si>
  <si>
    <t>-595.632106007943 30.3520299916775 -776.988249452887</t>
  </si>
  <si>
    <t>-581.093225720141 207.727625072594 -242.829352494758</t>
  </si>
  <si>
    <t>-582.596038214414 240.242796366925 211.701376686863</t>
  </si>
  <si>
    <t>-627.015249034935 256.371723781397 679.038473431997</t>
  </si>
  <si>
    <t>-471.577654072286 239.470980148918 759.6426470699</t>
  </si>
  <si>
    <t>-621.113310011047 14.3226134280857 -244.067135774913</t>
  </si>
  <si>
    <t>-633.095272793662 14.5270888248918 211.469963966627</t>
  </si>
  <si>
    <t>-658.587610439037 2.26599032390709 680.602800680702</t>
  </si>
  <si>
    <t>-501.534284991937 -35.5573297750935 750.224252103558</t>
  </si>
  <si>
    <t>9763-20170724T164130.389123500.bin</t>
  </si>
  <si>
    <t>-600.909977441843 110.431014466822 -243.698724652315</t>
  </si>
  <si>
    <t>-620.594898585105 115.027770829453 -363.110497912804</t>
  </si>
  <si>
    <t>-622.844362432222 106.721634922793 -484.009375853565</t>
  </si>
  <si>
    <t>-617.535765222672 94.2337053734038 -592.686470826308</t>
  </si>
  <si>
    <t>-604.943366513142 76.9646400172336 -700.101898808827</t>
  </si>
  <si>
    <t>-579.839259281481 48.1579749716811 -847.546679854826</t>
  </si>
  <si>
    <t>-535.004132597372 30.6393488803928 -937.356927554792</t>
  </si>
  <si>
    <t>-587.186407041649 92.003227395022 -787.742573255814</t>
  </si>
  <si>
    <t>-571.310984207354 238.152260520981 -784.913012244767</t>
  </si>
  <si>
    <t>-503.439565101596 316.537650463357 -485.855339404022</t>
  </si>
  <si>
    <t>-278.616835365366 271.419545261848 -363.131586013213</t>
  </si>
  <si>
    <t>-594.707769002301 29.8048029850145 -776.871201430418</t>
  </si>
  <si>
    <t>-580.919383678114 207.141818972351 -242.751055252678</t>
  </si>
  <si>
    <t>-582.233084292711 240.062745677832 211.751003481144</t>
  </si>
  <si>
    <t>-627.099895381594 256.262930563883 679.041780898208</t>
  </si>
  <si>
    <t>-471.644476852648 239.48989478556 759.638313854396</t>
  </si>
  <si>
    <t>-620.865185138125 13.7763188496231 -243.968756668206</t>
  </si>
  <si>
    <t>-633.034518351587 14.2092796470231 211.563203369943</t>
  </si>
  <si>
    <t>-658.548193168542 2.23046631721186 680.69316279991</t>
  </si>
  <si>
    <t>-501.5396101089 -35.806000171672 750.299480033526</t>
  </si>
  <si>
    <t>9763-20170724T164130.427225200.bin</t>
  </si>
  <si>
    <t>-600.715096149718 110.221438594373 -243.64714709298</t>
  </si>
  <si>
    <t>-620.425885952615 114.804902748953 -363.055126141928</t>
  </si>
  <si>
    <t>-622.653517566688 106.531295844206 -483.956538508991</t>
  </si>
  <si>
    <t>-617.304469954754 94.0948820697257 -592.637648525507</t>
  </si>
  <si>
    <t>-604.64995036105 76.90116997748 -700.057819792041</t>
  </si>
  <si>
    <t>-579.436562586899 48.2262179276157 -847.509512594671</t>
  </si>
  <si>
    <t>-534.507825683831 30.7721471492201 -937.285631415594</t>
  </si>
  <si>
    <t>-586.882636366136 92.0228028666446 -787.682067477399</t>
  </si>
  <si>
    <t>-571.314262277819 238.204664095295 -784.568526489079</t>
  </si>
  <si>
    <t>-500.579024487118 316.507901322172 -486.153967191957</t>
  </si>
  <si>
    <t>-275.601958267382 270.36028780087 -364.097376606697</t>
  </si>
  <si>
    <t>-594.302796207875 29.8051787549135 -776.851394994739</t>
  </si>
  <si>
    <t>-580.766006941666 206.915123997595 -242.702802205503</t>
  </si>
  <si>
    <t>-582.07591375172 239.918045847967 211.793395755664</t>
  </si>
  <si>
    <t>-627.152746121752 256.201431583016 679.063662314396</t>
  </si>
  <si>
    <t>-471.693023915844 239.45537625156 759.657503883736</t>
  </si>
  <si>
    <t>-620.643158430786 13.596018603187 -243.911267087717</t>
  </si>
  <si>
    <t>-632.818483218657 14.180163452055 211.620449375386</t>
  </si>
  <si>
    <t>-658.490753718037 2.46170034752051 680.735589792873</t>
  </si>
  <si>
    <t>-501.396335202965 -35.2670713456843 750.315715026065</t>
  </si>
  <si>
    <t>9763-20170724T164130.491403600.bin</t>
  </si>
  <si>
    <t>-600.454705965561 109.629802798381 -243.51937711515</t>
  </si>
  <si>
    <t>-620.177481595929 114.141079165161 -362.928229615403</t>
  </si>
  <si>
    <t>-622.42495683191 105.917220423633 -483.832728863885</t>
  </si>
  <si>
    <t>-617.097664153473 93.5749767502041 -592.52551864521</t>
  </si>
  <si>
    <t>-604.468939845573 76.5241085057561 -699.971490114173</t>
  </si>
  <si>
    <t>-579.295086550093 48.0972157309415 -847.478073614596</t>
  </si>
  <si>
    <t>-534.242486260075 30.7603309723053 -937.214830276952</t>
  </si>
  <si>
    <t>-586.769200828327 91.7969389485642 -787.583138976048</t>
  </si>
  <si>
    <t>-571.557665540729 238.049969425874 -784.09476670036</t>
  </si>
  <si>
    <t>-493.359198512349 315.238421463372 -487.25618115737</t>
  </si>
  <si>
    <t>-269.877565278823 269.183112919442 -362.448775287052</t>
  </si>
  <si>
    <t>-594.098245281395 29.5535387815786 -776.838715134391</t>
  </si>
  <si>
    <t>-580.690480312109 206.191123506578 -242.584645945807</t>
  </si>
  <si>
    <t>-581.836841699577 239.649341596607 211.878655724937</t>
  </si>
  <si>
    <t>-627.290513701797 256.095815613299 679.138574936865</t>
  </si>
  <si>
    <t>-471.802836637534 239.33420010986 759.675135130869</t>
  </si>
  <si>
    <t>-620.192875127523 13.1019645856975 -243.762458067492</t>
  </si>
  <si>
    <t>-632.362721215888 13.9414371270303 211.768942901976</t>
  </si>
  <si>
    <t>-658.414901274439 2.58080039869614 680.850937718599</t>
  </si>
  <si>
    <t>-501.282367777541 -35.0502188701017 750.397830381327</t>
  </si>
  <si>
    <t>9763-20170724T164130.525492800.bin</t>
  </si>
  <si>
    <t>-600.374117590374 109.20154590957 -243.418636334183</t>
  </si>
  <si>
    <t>-620.113999425012 113.693811054481 -362.825327364966</t>
  </si>
  <si>
    <t>-622.345863656553 105.529499585453 -483.734147222941</t>
  </si>
  <si>
    <t>-616.994043484041 93.2695874229346 -592.435179920501</t>
  </si>
  <si>
    <t>-604.331902996258 76.3274404548601 -699.894381109049</t>
  </si>
  <si>
    <t>-579.104036267153 48.0771138115878 -847.425611696499</t>
  </si>
  <si>
    <t>-534.021957272863 30.8202448116354 -937.163030337012</t>
  </si>
  <si>
    <t>-586.577155924561 91.703093753001 -787.476984583864</t>
  </si>
  <si>
    <t>-571.146933200038 237.906929620162 -783.910870021754</t>
  </si>
  <si>
    <t>-490.83863231071 312.940384251321 -487.083013663679</t>
  </si>
  <si>
    <t>-271.261747060466 266.306154724724 -355.731171254476</t>
  </si>
  <si>
    <t>-593.956062806552 29.4508823028669 -776.818207213458</t>
  </si>
  <si>
    <t>-580.798512782476 205.727241326372 -242.50167500238</t>
  </si>
  <si>
    <t>-581.755318451185 239.415240863512 211.945056218573</t>
  </si>
  <si>
    <t>-627.367725214559 256.060045765391 679.185321886421</t>
  </si>
  <si>
    <t>-471.876248828636 239.190252468865 759.692071355667</t>
  </si>
  <si>
    <t>-619.95069201047 12.655051143526 -243.655667693059</t>
  </si>
  <si>
    <t>-632.234849880426 13.7294972148148 211.872097583175</t>
  </si>
  <si>
    <t>-658.398352873288 2.54775337099158 680.920290217968</t>
  </si>
  <si>
    <t>-501.374846618037 -35.5439233997166 750.462681606845</t>
  </si>
  <si>
    <t>9763-20170724T164130.592679800.bin</t>
  </si>
  <si>
    <t>-600.097895262728 108.248331774815 -243.319246993454</t>
  </si>
  <si>
    <t>-619.70184836508 112.736022843146 -362.748536678096</t>
  </si>
  <si>
    <t>-621.906995167385 104.588436200219 -483.658942761484</t>
  </si>
  <si>
    <t>-616.575191911586 92.3518585094781 -592.363511099066</t>
  </si>
  <si>
    <t>-603.97633056354 75.4405732837025 -699.835061031811</t>
  </si>
  <si>
    <t>-578.879954281166 47.2401228029165 -847.398224959252</t>
  </si>
  <si>
    <t>-533.866135299167 30.0299720708374 -937.178872863594</t>
  </si>
  <si>
    <t>-586.268196892388 90.843135055026 -787.422435128546</t>
  </si>
  <si>
    <t>-570.876574675484 237.054269611284 -784.028280648349</t>
  </si>
  <si>
    <t>-489.211253747969 308.503621712358 -486.686894093282</t>
  </si>
  <si>
    <t>-287.635347532825 244.013531914016 -335.523774525049</t>
  </si>
  <si>
    <t>-593.700534639867 28.5927610578998 -776.789937274112</t>
  </si>
  <si>
    <t>-580.539364615379 204.787337496282 -242.398776181352</t>
  </si>
  <si>
    <t>-581.726463529002 238.955611321855 212.011594041431</t>
  </si>
  <si>
    <t>-627.496334991054 256.027973507245 679.250841733016</t>
  </si>
  <si>
    <t>-472.032428519924 238.804718101691 759.735876340358</t>
  </si>
  <si>
    <t>-619.532350029815 11.6514373363878 -243.549262056065</t>
  </si>
  <si>
    <t>-632.103521359345 13.2124880220061 211.969322220137</t>
  </si>
  <si>
    <t>-658.401178125252 2.41558963945914 681.033234756057</t>
  </si>
  <si>
    <t>-501.619888924997 -36.657264010938 750.57765757436</t>
  </si>
  <si>
    <t>9763-20170724T164130.623761200.bin</t>
  </si>
  <si>
    <t>-599.736254778434 107.568667843312 -243.235140672062</t>
  </si>
  <si>
    <t>-619.241728594637 112.033891635343 -362.681496005694</t>
  </si>
  <si>
    <t>-621.431211130901 103.890382467409 -483.592304615203</t>
  </si>
  <si>
    <t>-616.118334562996 91.6683866496086 -592.299499930902</t>
  </si>
  <si>
    <t>-603.570570390585 74.7824487260263 -699.781001670718</t>
  </si>
  <si>
    <t>-578.577726561884 46.6282286251616 -847.370633437859</t>
  </si>
  <si>
    <t>-533.609134645856 29.4591133914587 -937.181614596677</t>
  </si>
  <si>
    <t>-585.919822530176 90.2121341993534 -787.375096670891</t>
  </si>
  <si>
    <t>-570.588470472619 236.412735985525 -783.972836559327</t>
  </si>
  <si>
    <t>-489.005084804438 306.943004034472 -486.389522919161</t>
  </si>
  <si>
    <t>-293.911968315252 232.528788978158 -331.330671674087</t>
  </si>
  <si>
    <t>-593.352762254884 27.9591359570956 -776.75839726893</t>
  </si>
  <si>
    <t>-580.179682441446 204.079788393968 -242.322839917809</t>
  </si>
  <si>
    <t>-581.351471629445 238.563608428166 212.063714068384</t>
  </si>
  <si>
    <t>-627.528131056853 255.91497919903 679.271862386881</t>
  </si>
  <si>
    <t>-472.072779035003 238.714643392942 759.778407545156</t>
  </si>
  <si>
    <t>-619.161493176177 11.000839989591 -243.467775711982</t>
  </si>
  <si>
    <t>-632.01877008846 12.8788396800037 212.041644439596</t>
  </si>
  <si>
    <t>-658.397185596137 2.39700520199434 681.093104612971</t>
  </si>
  <si>
    <t>-501.645795573945 -36.7967201783262 750.637185497095</t>
  </si>
  <si>
    <t>9763-20170724T164130.670691000.bin</t>
  </si>
  <si>
    <t>-599.197490754966 107.001924135055 -243.165966994663</t>
  </si>
  <si>
    <t>-618.692173967379 111.442409480565 -362.614905625337</t>
  </si>
  <si>
    <t>-620.911278593039 103.314748395701 -483.526410045043</t>
  </si>
  <si>
    <t>-615.642249918829 91.1221346059652 -592.238899544735</t>
  </si>
  <si>
    <t>-603.155454867418 74.2795304266461 -699.734357027199</t>
  </si>
  <si>
    <t>-578.264726410951 46.1987397681129 -847.355324298898</t>
  </si>
  <si>
    <t>-533.341635531138 29.0845712343974 -937.199534546451</t>
  </si>
  <si>
    <t>-585.551762851454 89.7515982523836 -787.3304082306</t>
  </si>
  <si>
    <t>-570.25913520705 235.953883363652 -783.897756969917</t>
  </si>
  <si>
    <t>-488.817929642928 304.808907133637 -485.883463783015</t>
  </si>
  <si>
    <t>-299.109753365039 221.762469886712 -328.54253959116</t>
  </si>
  <si>
    <t>-593.004394930971 27.4956669188486 -776.744716227052</t>
  </si>
  <si>
    <t>-579.665279555329 203.513956175303 -242.265666275054</t>
  </si>
  <si>
    <t>-580.824344034693 238.198371234553 212.105649437321</t>
  </si>
  <si>
    <t>-627.552342015885 255.772004162005 679.282491043546</t>
  </si>
  <si>
    <t>-472.088075813252 238.748754013764 759.809372441039</t>
  </si>
  <si>
    <t>-618.603400255415 10.54256880586 -243.379688516854</t>
  </si>
  <si>
    <t>-631.684289494879 12.7229955339529 212.12203724541</t>
  </si>
  <si>
    <t>-658.35289471159 2.61482442062831 681.141885413618</t>
  </si>
  <si>
    <t>-501.434824010168 -35.9544235905372 750.659116495403</t>
  </si>
  <si>
    <t>9763-20170724T164130.721822600.bin</t>
  </si>
  <si>
    <t>-598.250773511345 106.091850734404 -242.97046676469</t>
  </si>
  <si>
    <t>-617.781609908403 110.481437842145 -362.415311220154</t>
  </si>
  <si>
    <t>-620.0934893257 102.508533072222 -483.335415758245</t>
  </si>
  <si>
    <t>-614.937089465884 90.5297370702628 -592.077168977311</t>
  </si>
  <si>
    <t>-602.594099185087 73.9683536503885 -699.632869377781</t>
  </si>
  <si>
    <t>-577.93719994426 46.3420618324718 -847.37869819313</t>
  </si>
  <si>
    <t>-533.096002313464 29.4229669006863 -937.300805745424</t>
  </si>
  <si>
    <t>-585.071719256806 89.7048042709952 -787.19807841576</t>
  </si>
  <si>
    <t>-569.751577293736 235.88679848808 -783.486464917582</t>
  </si>
  <si>
    <t>-487.639846679463 298.866872911655 -484.358848241559</t>
  </si>
  <si>
    <t>-310.736835187173 192.749433046106 -325.971711068156</t>
  </si>
  <si>
    <t>-592.622458444603 27.4268706591173 -776.813318986084</t>
  </si>
  <si>
    <t>-578.935171671031 202.459680500139 -242.128109236375</t>
  </si>
  <si>
    <t>-579.684095049786 237.665393801389 212.203930973442</t>
  </si>
  <si>
    <t>-627.578344558497 255.484794809067 679.212650379396</t>
  </si>
  <si>
    <t>-472.11333397098 238.812334290756 759.811516873664</t>
  </si>
  <si>
    <t>-617.51117352932 9.81704309361371 -243.129021950794</t>
  </si>
  <si>
    <t>-630.553176622191 12.5810070741638 212.370539528963</t>
  </si>
  <si>
    <t>-658.314376186447 2.59545233251757 681.330744463476</t>
  </si>
  <si>
    <t>-501.429816708337 -36.1193007597552 750.842809572931</t>
  </si>
  <si>
    <t>9763-20170724T164130.789735600.bin</t>
  </si>
  <si>
    <t>-597.30909610763 105.310927009761 -242.825593910709</t>
  </si>
  <si>
    <t>-616.866927728424 109.634381267604 -362.268369362027</t>
  </si>
  <si>
    <t>-619.297842323515 101.931102519414 -483.203725703676</t>
  </si>
  <si>
    <t>-614.294983986439 90.318595466879 -591.992307852972</t>
  </si>
  <si>
    <t>-602.154843991715 74.2362033438804 -699.643638359348</t>
  </si>
  <si>
    <t>-577.833410060268 47.3832283010542 -847.587592705246</t>
  </si>
  <si>
    <t>-533.167936612579 30.7751356236963 -937.655081675413</t>
  </si>
  <si>
    <t>-584.777551318872 90.4255835142854 -787.155332474133</t>
  </si>
  <si>
    <t>-569.103047056719 236.655666011656 -783.238204395978</t>
  </si>
  <si>
    <t>-479.892977281865 296.526152824193 -485.507942051245</t>
  </si>
  <si>
    <t>-310.589326037932 167.541431100908 -336.038038676979</t>
  </si>
  <si>
    <t>-592.412122656594 28.1040513692018 -777.098545613824</t>
  </si>
  <si>
    <t>-578.4762780706 201.37738167696 -242.018328441419</t>
  </si>
  <si>
    <t>-578.659591030375 237.211960397719 212.265156018844</t>
  </si>
  <si>
    <t>-627.488400960662 255.151558060893 679.178262056543</t>
  </si>
  <si>
    <t>-472.043881656359 239.162616475398 759.954912862024</t>
  </si>
  <si>
    <t>-616.085900549639 9.27221902838527 -242.947186432769</t>
  </si>
  <si>
    <t>-628.981164643486 12.6377043592969 212.552600869589</t>
  </si>
  <si>
    <t>-658.271943024861 2.48069396053737 681.433496519553</t>
  </si>
  <si>
    <t>-501.72859720425 -37.5178349913331 750.987766650041</t>
  </si>
  <si>
    <t>9763-20170724T164130.821821600.bin</t>
  </si>
  <si>
    <t>-596.78582038192 104.965484550071 -242.754805884059</t>
  </si>
  <si>
    <t>-616.292072535214 109.271659863756 -362.206781426833</t>
  </si>
  <si>
    <t>-618.761175611295 101.751147890109 -483.152595978008</t>
  </si>
  <si>
    <t>-613.835005678402 90.375569543094 -591.969818258994</t>
  </si>
  <si>
    <t>-601.815845861729 74.5954221082468 -699.679525761557</t>
  </si>
  <si>
    <t>-577.70999607674 48.2241044378213 -847.745243656993</t>
  </si>
  <si>
    <t>-533.153153809549 31.7739948776851 -937.895510145492</t>
  </si>
  <si>
    <t>-584.499827817039 91.0632566516282 -787.151402532648</t>
  </si>
  <si>
    <t>-568.192868711903 237.138754041035 -782.881169507519</t>
  </si>
  <si>
    <t>-477.441289242127 290.598542425512 -484.397657369667</t>
  </si>
  <si>
    <t>-307.29651991638 157.667357879293 -339.407652530898</t>
  </si>
  <si>
    <t>-592.252302761983 28.7218916122054 -777.31018211179</t>
  </si>
  <si>
    <t>-578.052466212834 200.844320142357 -241.957872969611</t>
  </si>
  <si>
    <t>-578.015234401101 236.999894212924 212.300233321812</t>
  </si>
  <si>
    <t>-627.426904981768 255.033567515279 679.134290612613</t>
  </si>
  <si>
    <t>-472.022719305556 239.283215344749 760.035339586034</t>
  </si>
  <si>
    <t>-615.426158876277 9.05638850797314 -242.874189941728</t>
  </si>
  <si>
    <t>-628.089613956796 12.7760765784444 212.629438034197</t>
  </si>
  <si>
    <t>-658.232992260444 2.46727966270387 681.448865776498</t>
  </si>
  <si>
    <t>-501.851625280884 -38.1247398834151 751.023826442721</t>
  </si>
  <si>
    <t>9763-20170724T164130.891542800.bin</t>
  </si>
  <si>
    <t>-595.60798734512 104.426192818195 -242.714497720805</t>
  </si>
  <si>
    <t>-615.18454739797 108.783725610404 -362.15317434593</t>
  </si>
  <si>
    <t>-617.812660292542 101.69030631992 -483.121575242588</t>
  </si>
  <si>
    <t>-613.074262331137 90.8381078572267 -592.000483409254</t>
  </si>
  <si>
    <t>-601.290115364356 75.708361292121 -699.829408098546</t>
  </si>
  <si>
    <t>-577.561917329796 50.3633814625427 -848.135097300438</t>
  </si>
  <si>
    <t>-533.231847224219 34.2713811909444 -938.461756370711</t>
  </si>
  <si>
    <t>-584.080581495097 92.7702839776069 -787.20833524684</t>
  </si>
  <si>
    <t>-567.01321207148 238.759074977368 -782.095680825944</t>
  </si>
  <si>
    <t>-474.215896674789 282.335530684211 -482.636348712155</t>
  </si>
  <si>
    <t>-299.311589109976 146.434213601488 -346.32276195772</t>
  </si>
  <si>
    <t>-592.041301433853 30.3852501869263 -777.82061696001</t>
  </si>
  <si>
    <t>-577.100501997015 200.027975518507 -241.884459562664</t>
  </si>
  <si>
    <t>-576.622587426457 236.707413723007 212.331408668501</t>
  </si>
  <si>
    <t>-627.296227902981 254.86485262438 679.019955021514</t>
  </si>
  <si>
    <t>-471.994068132003 239.468274811637 760.184511625799</t>
  </si>
  <si>
    <t>-614.117384459813 8.78734526721668 -242.845298918981</t>
  </si>
  <si>
    <t>-626.308613690744 13.1111300945096 212.665812408256</t>
  </si>
  <si>
    <t>-658.142133706735 2.50467652431183 681.37695983402</t>
  </si>
  <si>
    <t>-501.957879535939 -38.7533057024909 751.00291921458</t>
  </si>
  <si>
    <t>9763-20170724T164130.924630300.bin</t>
  </si>
  <si>
    <t>-594.986221094651 104.127112321943 -242.704119784631</t>
  </si>
  <si>
    <t>-614.615937227007 108.512603764698 -362.132946674648</t>
  </si>
  <si>
    <t>-617.313327069498 101.552623938937 -483.107438204592</t>
  </si>
  <si>
    <t>-612.646540583996 90.8587740527155 -592.005181632613</t>
  </si>
  <si>
    <t>-600.944116567935 75.9221911883977 -699.869932633714</t>
  </si>
  <si>
    <t>-577.340436883743 50.8787350288826 -848.246808800489</t>
  </si>
  <si>
    <t>-533.074692249595 34.8685462210535 -938.619401855755</t>
  </si>
  <si>
    <t>-583.739418178169 93.1547202471344 -787.216323529788</t>
  </si>
  <si>
    <t>-566.488247932258 239.106573947642 -782.032460076386</t>
  </si>
  <si>
    <t>-474.137999955323 279.035559085468 -481.926956619373</t>
  </si>
  <si>
    <t>-297.696039262899 142.991367792174 -347.754497574416</t>
  </si>
  <si>
    <t>-591.829212710637 30.7646895285047 -777.972911903462</t>
  </si>
  <si>
    <t>-576.415780865237 199.646985641546 -241.86407971062</t>
  </si>
  <si>
    <t>-575.94039880361 236.5221748113 212.33591872374</t>
  </si>
  <si>
    <t>-627.238826478113 254.833686053433 678.951548662413</t>
  </si>
  <si>
    <t>-472.006569643785 239.407826281793 760.244078375945</t>
  </si>
  <si>
    <t>-613.532010232121 8.55332568792622 -242.840002701046</t>
  </si>
  <si>
    <t>-625.549657022433 13.2570351827252 212.671957429792</t>
  </si>
  <si>
    <t>-658.075812645737 2.70180972650331 681.322393120466</t>
  </si>
  <si>
    <t>-501.815655672119 -38.2741831806317 750.944486257002</t>
  </si>
  <si>
    <t>9763-20170724T164130.993329900.bin</t>
  </si>
  <si>
    <t>-593.789534908252 103.335446811346 -242.738093693246</t>
  </si>
  <si>
    <t>-613.475228100243 107.798293542744 -362.154757084577</t>
  </si>
  <si>
    <t>-616.315839317657 100.979210709825 -483.134159312563</t>
  </si>
  <si>
    <t>-611.816462495208 90.4309095651242 -592.05318716159</t>
  </si>
  <si>
    <t>-600.3200082132 75.6535692331271 -699.961912639724</t>
  </si>
  <si>
    <t>-577.04328300272 50.8413005502786 -848.429286756418</t>
  </si>
  <si>
    <t>-532.861180830786 34.896803516619 -938.854320527812</t>
  </si>
  <si>
    <t>-583.15628765395 93.0060781880181 -787.292695280536</t>
  </si>
  <si>
    <t>-565.553539156847 238.927955461353 -782.234380073164</t>
  </si>
  <si>
    <t>-477.345800209997 276.028746391676 -480.523929948281</t>
  </si>
  <si>
    <t>-297.465193933162 139.494508829512 -351.514541499568</t>
  </si>
  <si>
    <t>-591.528771579641 30.6339059644799 -778.181449714657</t>
  </si>
  <si>
    <t>-575.004436325818 198.776658987302 -241.861725884542</t>
  </si>
  <si>
    <t>-574.499010195088 236.120956586928 212.29999053939</t>
  </si>
  <si>
    <t>-627.11328015738 254.726464958633 678.793440837086</t>
  </si>
  <si>
    <t>-472.028903949492 239.298505649731 760.367480811606</t>
  </si>
  <si>
    <t>-612.598543999999 7.78792697855417 -242.880815108677</t>
  </si>
  <si>
    <t>-624.427072131492 13.0451409435128 212.630084743116</t>
  </si>
  <si>
    <t>-658.078466642309 2.46977726336839 681.20525130874</t>
  </si>
  <si>
    <t>-502.246918899624 -39.9773545354396 750.906645797468</t>
  </si>
  <si>
    <t>9763-20170724T164131.025415600.bin</t>
  </si>
  <si>
    <t>-593.256409530038 102.919834278095 -242.676688773557</t>
  </si>
  <si>
    <t>-612.976001630613 107.45309739454 -362.085211810023</t>
  </si>
  <si>
    <t>-615.841326275125 100.710282072911 -483.068178152155</t>
  </si>
  <si>
    <t>-611.358767388521 90.2349610609504 -591.994875548285</t>
  </si>
  <si>
    <t>-599.872517424544 75.5361952964641 -699.915548039299</t>
  </si>
  <si>
    <t>-576.60229135041 50.8402109053674 -848.403372265358</t>
  </si>
  <si>
    <t>-532.410659721489 34.9394586607134 -938.831395281467</t>
  </si>
  <si>
    <t>-582.671232320247 92.9525328726209 -787.226109236832</t>
  </si>
  <si>
    <t>-565.079128064409 238.869025483277 -782.060504308882</t>
  </si>
  <si>
    <t>-479.782899066734 275.609611460223 -479.470272836187</t>
  </si>
  <si>
    <t>-301.041504330611 140.025348854809 -347.900945492732</t>
  </si>
  <si>
    <t>-591.12605302564 30.5822907522243 -778.178011563707</t>
  </si>
  <si>
    <t>-574.23261940548 198.305529517697 -241.77199579309</t>
  </si>
  <si>
    <t>-573.637032894041 235.940508471706 212.365606469021</t>
  </si>
  <si>
    <t>-627.099587283 254.683591048748 678.759737205759</t>
  </si>
  <si>
    <t>-472.047970044349 239.267990578234 760.398377718424</t>
  </si>
  <si>
    <t>-612.284268007074 7.48045047282768 -242.856799750202</t>
  </si>
  <si>
    <t>-623.989244331404 12.8757058259052 212.655576587343</t>
  </si>
  <si>
    <t>-658.067337294695 2.58496331244092 681.16851938438</t>
  </si>
  <si>
    <t>-501.972955443591 -38.9284605391462 750.844182438884</t>
  </si>
  <si>
    <t>9763-20170724T164131.092198400.bin</t>
  </si>
  <si>
    <t>-592.489896472188 102.077581112403 -242.59628494002</t>
  </si>
  <si>
    <t>-612.445303363174 106.69336842756 -361.962416997958</t>
  </si>
  <si>
    <t>-615.43626385012 99.9165598259408 -482.940407823738</t>
  </si>
  <si>
    <t>-611.018137067288 89.3680829529909 -591.862701363041</t>
  </si>
  <si>
    <t>-599.545618002082 74.5577528435197 -699.769540769815</t>
  </si>
  <si>
    <t>-576.240727705309 49.6705509767883 -848.220064028282</t>
  </si>
  <si>
    <t>-531.949786372954 33.7812277480212 -938.601497541569</t>
  </si>
  <si>
    <t>-582.288137081812 91.8576857876348 -787.092297278577</t>
  </si>
  <si>
    <t>-564.994063440993 237.835353066052 -782.273929909191</t>
  </si>
  <si>
    <t>-482.623577760733 282.929471056878 -480.002631959212</t>
  </si>
  <si>
    <t>-310.024352833527 145.459469783629 -342.330921367622</t>
  </si>
  <si>
    <t>-590.816688083893 29.5070696532101 -777.97820165364</t>
  </si>
  <si>
    <t>-573.138557286759 197.699235269444 -241.693280606077</t>
  </si>
  <si>
    <t>-572.267729567169 235.507119038666 212.429444518227</t>
  </si>
  <si>
    <t>-627.124617052845 254.668895821564 678.699948698299</t>
  </si>
  <si>
    <t>-472.136905460109 238.979278495933 760.407628536909</t>
  </si>
  <si>
    <t>-611.84851143891 6.46188557634616 -242.785337082121</t>
  </si>
  <si>
    <t>-623.561065929742 12.269746269519 212.721813242219</t>
  </si>
  <si>
    <t>-658.126433668882 2.38792434108797 681.182129750518</t>
  </si>
  <si>
    <t>-502.261486650302 -39.9602361202729 750.86910513555</t>
  </si>
  <si>
    <t>9763-20170724T164131.125264800.bin</t>
  </si>
  <si>
    <t>-592.461809943928 101.680446573246 -242.504366053487</t>
  </si>
  <si>
    <t>-612.440349715459 106.313677449915 -361.866083648818</t>
  </si>
  <si>
    <t>-615.442944504657 99.4876815355331 -482.841123179679</t>
  </si>
  <si>
    <t>-611.032172160829 88.8646012407806 -591.756451256193</t>
  </si>
  <si>
    <t>-599.565061893708 73.9479590857197 -699.64926568797</t>
  </si>
  <si>
    <t>-576.266944140516 48.878694845993 -848.069938434072</t>
  </si>
  <si>
    <t>-531.923642864062 32.9145100722425 -938.41264257073</t>
  </si>
  <si>
    <t>-582.250774268565 91.1339674180085 -786.983077585109</t>
  </si>
  <si>
    <t>-564.706663047153 237.052406835388 -782.451063032756</t>
  </si>
  <si>
    <t>-485.1890134833 284.05384382757 -479.706949501858</t>
  </si>
  <si>
    <t>-314.423013274702 149.693429268408 -336.779252699105</t>
  </si>
  <si>
    <t>-590.900557684774 28.8082037905081 -777.813669873446</t>
  </si>
  <si>
    <t>-573.088344617039 197.26016323986 -241.586327154875</t>
  </si>
  <si>
    <t>-571.708177373254 235.380532927379 212.509017014921</t>
  </si>
  <si>
    <t>-627.150088269004 254.603153584897 678.702924727062</t>
  </si>
  <si>
    <t>-472.157631728618 238.920183662879 760.402937981795</t>
  </si>
  <si>
    <t>-611.858472194879 6.07826196975549 -242.728828546212</t>
  </si>
  <si>
    <t>-623.473142534024 12.0178849620805 212.779076814986</t>
  </si>
  <si>
    <t>-658.12983838376 2.47161912748918 681.220212238552</t>
  </si>
  <si>
    <t>-502.116469589891 -39.3876741900569 750.870254634897</t>
  </si>
  <si>
    <t>9763-20170724T164131.192455600.bin</t>
  </si>
  <si>
    <t>-592.755076142465 100.987815358163 -242.370301435651</t>
  </si>
  <si>
    <t>-612.813670660538 105.590005515142 -361.719789084999</t>
  </si>
  <si>
    <t>-615.916407867755 98.6049453383928 -482.683047760307</t>
  </si>
  <si>
    <t>-611.604981281328 87.783375318889 -591.582850189396</t>
  </si>
  <si>
    <t>-600.246746009342 72.6122121247186 -699.451596005672</t>
  </si>
  <si>
    <t>-577.110567275028 47.129534570024 -847.827316573079</t>
  </si>
  <si>
    <t>-532.750051662528 30.9541658121415 -938.124047341486</t>
  </si>
  <si>
    <t>-582.988147988995 89.5503405519012 -786.844976855568</t>
  </si>
  <si>
    <t>-565.715898369972 235.515010521276 -782.742366467274</t>
  </si>
  <si>
    <t>-489.039483248591 285.539100416611 -479.749782173629</t>
  </si>
  <si>
    <t>-316.200632965237 163.710315989913 -328.334609190975</t>
  </si>
  <si>
    <t>-591.707085674581 27.259325357676 -777.506490639347</t>
  </si>
  <si>
    <t>-573.334716827537 196.626917912895 -241.443682569064</t>
  </si>
  <si>
    <t>-571.314430067289 235.020727388213 212.626284404659</t>
  </si>
  <si>
    <t>-627.243646086753 254.469587098587 678.758899709435</t>
  </si>
  <si>
    <t>-472.209514694705 238.856996859141 760.393374682015</t>
  </si>
  <si>
    <t>-612.159077175296 5.29269328773619 -242.599325191774</t>
  </si>
  <si>
    <t>-623.755948755802 11.4787311566047 212.905791412448</t>
  </si>
  <si>
    <t>-658.161332462488 2.50427651605995 681.357472923666</t>
  </si>
  <si>
    <t>-501.978484551808 -38.8340513702613 750.938754381876</t>
  </si>
  <si>
    <t>9763-20170724T164131.224539800.bin</t>
  </si>
  <si>
    <t>-592.934356892246 100.605677976355 -242.299360040412</t>
  </si>
  <si>
    <t>-613.021031981005 105.19398272174 -361.644472982521</t>
  </si>
  <si>
    <t>-616.129962755832 98.1848739385074 -482.606439435054</t>
  </si>
  <si>
    <t>-611.814732563884 87.3386234857594 -591.503573006864</t>
  </si>
  <si>
    <t>-600.443180972543 72.1402153188335 -699.367109590936</t>
  </si>
  <si>
    <t>-577.278840692141 46.617771226458 -847.731602737025</t>
  </si>
  <si>
    <t>-532.868620612423 30.4153633596059 -937.99898710983</t>
  </si>
  <si>
    <t>-583.196104865309 89.058145896293 -786.76668126978</t>
  </si>
  <si>
    <t>-566.163647249639 235.071393366896 -782.839783033483</t>
  </si>
  <si>
    <t>-491.327086400118 285.525923477988 -479.458885653705</t>
  </si>
  <si>
    <t>-314.316558805959 174.019657030291 -324.941353191387</t>
  </si>
  <si>
    <t>-591.860636415367 26.7632338172169 -777.403121152255</t>
  </si>
  <si>
    <t>-573.514834936987 196.305858952746 -241.365467020554</t>
  </si>
  <si>
    <t>-571.373610680496 234.861739716975 212.690147431087</t>
  </si>
  <si>
    <t>-627.303374389164 254.44112570438 678.794143576439</t>
  </si>
  <si>
    <t>-472.226647689013 238.886250549312 760.35866093632</t>
  </si>
  <si>
    <t>-612.324631731034 4.86914036107233 -242.517466980448</t>
  </si>
  <si>
    <t>-623.992172050763 11.1359824150496 212.984725283801</t>
  </si>
  <si>
    <t>-658.181947438801 2.46515798110607 681.45172336863</t>
  </si>
  <si>
    <t>-502.181934646881 -39.5750375804123 751.022614769422</t>
  </si>
  <si>
    <t>9763-20170724T164131.287409000.bin</t>
  </si>
  <si>
    <t>-593.528423515196 99.9906022836316 -242.236584489574</t>
  </si>
  <si>
    <t>-613.61598788686 104.48057993334 -361.58537503456</t>
  </si>
  <si>
    <t>-616.762290286093 97.2730221333582 -482.534593269041</t>
  </si>
  <si>
    <t>-612.494813802065 86.2082848222278 -591.411651077727</t>
  </si>
  <si>
    <t>-601.184535161087 70.7527997878407 -699.245022573299</t>
  </si>
  <si>
    <t>-578.119059191834 44.8334957299566 -847.556175326782</t>
  </si>
  <si>
    <t>-533.641412606616 28.5126560912489 -937.768898314572</t>
  </si>
  <si>
    <t>-584.070402324648 87.4450814576317 -786.714102412767</t>
  </si>
  <si>
    <t>-567.755690048144 233.557420351444 -783.374593942259</t>
  </si>
  <si>
    <t>-493.952579967653 284.11826052319 -479.758215038661</t>
  </si>
  <si>
    <t>-304.572624561459 199.000090654811 -323.130608067035</t>
  </si>
  <si>
    <t>-592.579267208351 25.1589067267452 -777.15215243689</t>
  </si>
  <si>
    <t>-574.229640192105 195.847544859825 -241.362107136443</t>
  </si>
  <si>
    <t>-571.942069757828 234.620491040969 212.674358618486</t>
  </si>
  <si>
    <t>-627.382344023449 254.418147863042 678.82034233299</t>
  </si>
  <si>
    <t>-472.233088476037 238.998697717031 760.272521270223</t>
  </si>
  <si>
    <t>-612.808353358536 4.07052364415009 -242.420955421858</t>
  </si>
  <si>
    <t>-624.856018008019 10.5569853267609 213.068387131935</t>
  </si>
  <si>
    <t>-658.189564481423 2.44583360916319 681.644026062098</t>
  </si>
  <si>
    <t>-501.970808000666 -38.8889369275404 751.14686963183</t>
  </si>
  <si>
    <t>9763-20170724T164131.324509200.bin</t>
  </si>
  <si>
    <t>-593.883883954266 99.6542170990308 -242.193348402003</t>
  </si>
  <si>
    <t>-613.88653688906 104.066092576248 -361.559327229691</t>
  </si>
  <si>
    <t>-616.98572284856 96.7509496208295 -482.503166916645</t>
  </si>
  <si>
    <t>-612.69259442438 85.5759357628696 -591.368043575402</t>
  </si>
  <si>
    <t>-601.374225368364 69.9962428552617 -699.18278203127</t>
  </si>
  <si>
    <t>-578.316192491952 43.8887915503635 -847.461957397993</t>
  </si>
  <si>
    <t>-533.799333231833 27.5523504758475 -937.652699650484</t>
  </si>
  <si>
    <t>-584.285403598942 86.5797795921044 -786.67740185144</t>
  </si>
  <si>
    <t>-568.173594570242 232.691668061462 -783.522494681092</t>
  </si>
  <si>
    <t>-494.631882634051 283.209623822795 -479.835577482897</t>
  </si>
  <si>
    <t>-298.971575062164 209.824535468553 -325.001030494431</t>
  </si>
  <si>
    <t>-592.751848602758 24.3012299402064 -777.028661117229</t>
  </si>
  <si>
    <t>-574.704675034526 195.575254863561 -241.343320654513</t>
  </si>
  <si>
    <t>-572.312223077958 234.480244000354 212.681369573886</t>
  </si>
  <si>
    <t>-627.427259776454 254.381671537295 678.855019912649</t>
  </si>
  <si>
    <t>-472.229278094696 239.106651282706 760.241469712151</t>
  </si>
  <si>
    <t>-613.022208831603 3.69921743469718 -242.346748870887</t>
  </si>
  <si>
    <t>-625.405849040901 10.2235002724679 213.133005950281</t>
  </si>
  <si>
    <t>-658.189197225153 2.48181314775073 681.746469604515</t>
  </si>
  <si>
    <t>-502.092993007819 -39.3111474085578 751.250646050419</t>
  </si>
  <si>
    <t>9763-20170724T164131.389725100.bin</t>
  </si>
  <si>
    <t>-594.472520511998 99.0857665404761 -242.079362915142</t>
  </si>
  <si>
    <t>-614.378207861298 103.367208932809 -361.466316598383</t>
  </si>
  <si>
    <t>-617.420216169973 95.9068872451508 -482.402989747729</t>
  </si>
  <si>
    <t>-613.094009007482 84.592701474724 -591.252062657538</t>
  </si>
  <si>
    <t>-601.762624195721 68.8639601863388 -699.043823968637</t>
  </si>
  <si>
    <t>-578.708488245406 42.537407065429 -847.284892038987</t>
  </si>
  <si>
    <t>-534.156324631583 26.1714139708666 -937.452809881735</t>
  </si>
  <si>
    <t>-584.709816623076 85.3218477027261 -786.569183981468</t>
  </si>
  <si>
    <t>-568.552183630217 231.446668467893 -783.602886530726</t>
  </si>
  <si>
    <t>-495.394967520106 281.030886983836 -479.669221372529</t>
  </si>
  <si>
    <t>-289.732096985119 226.458527553657 -330.114301907592</t>
  </si>
  <si>
    <t>-593.108586368912 23.0503234993051 -776.816437524601</t>
  </si>
  <si>
    <t>-575.503092638663 195.033717311472 -241.293832428904</t>
  </si>
  <si>
    <t>-572.904384474294 234.368286832069 212.692637256852</t>
  </si>
  <si>
    <t>-627.530111345018 254.381500177535 678.923885632474</t>
  </si>
  <si>
    <t>-472.247922417293 239.272867283651 760.180764346345</t>
  </si>
  <si>
    <t>-613.386963835629 3.12796749947687 -242.179427441957</t>
  </si>
  <si>
    <t>-626.131613980689 9.76845546063139 213.288723434871</t>
  </si>
  <si>
    <t>-658.175529864572 2.522900950625 681.962708178058</t>
  </si>
  <si>
    <t>-501.586956330384 -37.5212383192629 751.388854986498</t>
  </si>
  <si>
    <t>9763-20170724T164131.422821300.bin</t>
  </si>
  <si>
    <t>-594.683078257376 98.8837297069506 -242.041293116318</t>
  </si>
  <si>
    <t>-614.574187720939 103.127263529224 -361.431984914597</t>
  </si>
  <si>
    <t>-617.555880377203 95.6689124430828 -482.370202843262</t>
  </si>
  <si>
    <t>-613.156737705687 84.3741160932628 -591.218387841967</t>
  </si>
  <si>
    <t>-601.734229556513 68.6832424803316 -699.006071524166</t>
  </si>
  <si>
    <t>-578.53466739968 42.42944639658 -847.237380668767</t>
  </si>
  <si>
    <t>-533.928259302276 26.1084964391741 -937.386545304268</t>
  </si>
  <si>
    <t>-584.62158774481 85.186841139864 -786.511179420933</t>
  </si>
  <si>
    <t>-568.434868616058 231.304315531992 -783.453472195697</t>
  </si>
  <si>
    <t>-496.037115035899 279.720588247968 -479.149896554307</t>
  </si>
  <si>
    <t>-287.822079296724 229.727631306709 -331.538008348307</t>
  </si>
  <si>
    <t>-592.97781805378 22.9049868949391 -776.788135428352</t>
  </si>
  <si>
    <t>-575.779966705793 194.959197818172 -241.300360298504</t>
  </si>
  <si>
    <t>-573.204939521721 234.212465861234 212.693259038961</t>
  </si>
  <si>
    <t>-627.563967667416 254.409776950409 678.942774258626</t>
  </si>
  <si>
    <t>-472.279727829314 239.204001822645 760.177638714207</t>
  </si>
  <si>
    <t>-613.51981512058 2.86192041451136 -242.113675514493</t>
  </si>
  <si>
    <t>-626.427701909325 9.57820742749398 213.348615431028</t>
  </si>
  <si>
    <t>-658.178580265014 2.52838841803932 682.05149887165</t>
  </si>
  <si>
    <t>-501.66482486168 -37.822502406957 751.468818049874</t>
  </si>
  <si>
    <t>9763-20170724T164131.494564100.bin</t>
  </si>
  <si>
    <t>-594.879530630436 98.2755911661171 -241.941264457257</t>
  </si>
  <si>
    <t>-614.672934119965 102.448649656245 -361.350633067188</t>
  </si>
  <si>
    <t>-617.510812411825 94.9533328590234 -482.290041463808</t>
  </si>
  <si>
    <t>-612.959137240318 83.6475637722649 -591.130703798017</t>
  </si>
  <si>
    <t>-601.359646139201 67.9734827384619 -698.901889408059</t>
  </si>
  <si>
    <t>-577.886896939233 41.7770323357252 -847.100403464704</t>
  </si>
  <si>
    <t>-533.148534833338 25.4848297691198 -937.189391586337</t>
  </si>
  <si>
    <t>-584.174531933669 84.5203237937354 -786.384682906465</t>
  </si>
  <si>
    <t>-568.116825931482 230.668311348598 -783.175984239933</t>
  </si>
  <si>
    <t>-496.039104767779 279.766511887637 -478.90573053951</t>
  </si>
  <si>
    <t>-281.424857085894 237.472846553973 -338.214604594464</t>
  </si>
  <si>
    <t>-592.371117114732 22.2159590634698 -776.669722308689</t>
  </si>
  <si>
    <t>-576.092025050928 194.384974958298 -241.25118519968</t>
  </si>
  <si>
    <t>-573.776811356344 233.876714618487 212.723148622954</t>
  </si>
  <si>
    <t>-627.661294208186 254.506438053327 679.020652054742</t>
  </si>
  <si>
    <t>-472.386763647971 238.890017318176 760.196071191134</t>
  </si>
  <si>
    <t>-613.641181837643 2.13875430757619 -241.967522341939</t>
  </si>
  <si>
    <t>-626.859568816095 9.17947348317855 213.48095932618</t>
  </si>
  <si>
    <t>-658.183230952122 2.59067843094867 682.218926376303</t>
  </si>
  <si>
    <t>-501.681426293135 -37.8699636111924 751.599305173963</t>
  </si>
  <si>
    <t>9763-20170724T164131.525607800.bin</t>
  </si>
  <si>
    <t>-594.88222686508 97.8571665308131 -241.872675162904</t>
  </si>
  <si>
    <t>-614.592827653477 102.024822849227 -361.296168073285</t>
  </si>
  <si>
    <t>-617.355826794269 94.5155534052452 -482.236263963072</t>
  </si>
  <si>
    <t>-612.73751887725 83.1981492618789 -591.073105877525</t>
  </si>
  <si>
    <t>-601.071101304209 67.5160136735681 -698.835803674096</t>
  </si>
  <si>
    <t>-577.50383850598 41.3145492046286 -847.018437604898</t>
  </si>
  <si>
    <t>-532.670704928897 25.0285609342961 -937.06140561193</t>
  </si>
  <si>
    <t>-583.881604339673 84.0651935100897 -786.317341237867</t>
  </si>
  <si>
    <t>-567.954886961245 230.208679223561 -783.123260227408</t>
  </si>
  <si>
    <t>-495.751815758508 279.771322736017 -478.958161253933</t>
  </si>
  <si>
    <t>-280.321443126906 238.366116736534 -339.253394029466</t>
  </si>
  <si>
    <t>-591.981631141937 21.7505940738673 -776.587055422409</t>
  </si>
  <si>
    <t>-576.143960071885 194.05574173858 -241.189467250159</t>
  </si>
  <si>
    <t>-573.942355070536 233.550534200938 212.785218562543</t>
  </si>
  <si>
    <t>-627.734950758773 254.468672886996 679.121633020382</t>
  </si>
  <si>
    <t>-472.453803179182 238.646717401609 760.2445603529</t>
  </si>
  <si>
    <t>-613.558877741281 1.71849427249866 -241.902713631774</t>
  </si>
  <si>
    <t>-627.052848306342 8.94247034578611 213.534795991748</t>
  </si>
  <si>
    <t>-658.195257617696 2.61286459113127 682.288967535212</t>
  </si>
  <si>
    <t>-501.5334227955 -37.2711743344646 751.641889279366</t>
  </si>
  <si>
    <t>9763-20170724T164131.591283800.bin</t>
  </si>
  <si>
    <t>-594.70128375838 97.0627546035715 -241.655684061572</t>
  </si>
  <si>
    <t>-614.414958517842 101.207555864426 -361.079244704364</t>
  </si>
  <si>
    <t>-617.110612907394 93.6807441694469 -482.020043730033</t>
  </si>
  <si>
    <t>-612.399517036874 82.3569193982185 -590.852151549687</t>
  </si>
  <si>
    <t>-600.606670277215 66.6822548679552 -698.602221936983</t>
  </si>
  <si>
    <t>-576.827623359232 40.5097979021116 -846.756065556964</t>
  </si>
  <si>
    <t>-531.864615963593 24.292195962635 -936.74659418201</t>
  </si>
  <si>
    <t>-583.404948049878 83.2598876967452 -786.075839876284</t>
  </si>
  <si>
    <t>-567.67720107431 229.427050768822 -782.864388059068</t>
  </si>
  <si>
    <t>-494.733716015591 278.261733675068 -478.758095037419</t>
  </si>
  <si>
    <t>-283.827896896123 232.207389267665 -333.707060719293</t>
  </si>
  <si>
    <t>-591.293291790887 20.9207150538286 -776.329258666403</t>
  </si>
  <si>
    <t>-576.128789015654 193.251661308894 -240.924172952063</t>
  </si>
  <si>
    <t>-573.666899254464 233.094665632068 213.018744231897</t>
  </si>
  <si>
    <t>-627.902315925383 254.313311233231 679.339653861381</t>
  </si>
  <si>
    <t>-472.56896576081 238.256063248534 760.31639583418</t>
  </si>
  <si>
    <t>-613.227785747596 0.90503788611187 -241.676453354147</t>
  </si>
  <si>
    <t>-626.862391566654 8.51500631363331 213.750621702604</t>
  </si>
  <si>
    <t>-658.233515217308 2.52093184836562 682.47187239133</t>
  </si>
  <si>
    <t>-501.712406456591 -37.9079773327224 751.827072114727</t>
  </si>
  <si>
    <t>9763-20170724T164131.625374100.bin</t>
  </si>
  <si>
    <t>-594.615597995783 96.6890124972304 -241.533726526495</t>
  </si>
  <si>
    <t>-614.351968342511 100.847835760144 -360.953048821296</t>
  </si>
  <si>
    <t>-617.016185129858 93.3767727931528 -481.897895659203</t>
  </si>
  <si>
    <t>-612.254291515321 82.1220120365907 -590.734930656797</t>
  </si>
  <si>
    <t>-600.388281610057 66.5359484795203 -698.489842672103</t>
  </si>
  <si>
    <t>-576.484324368503 40.5079599572414 -846.649011957447</t>
  </si>
  <si>
    <t>-531.456121294946 24.3933703864508 -936.625517541757</t>
  </si>
  <si>
    <t>-583.154609903112 83.202987427345 -785.940124113359</t>
  </si>
  <si>
    <t>-567.409247796704 229.355692049031 -782.51511782166</t>
  </si>
  <si>
    <t>-494.087160537583 277.120208144471 -478.329828959539</t>
  </si>
  <si>
    <t>-288.818102778759 222.309939226607 -328.321597690498</t>
  </si>
  <si>
    <t>-590.967525815727 20.8461139204701 -776.246207240247</t>
  </si>
  <si>
    <t>-576.17553107081 192.895611582389 -240.801013409237</t>
  </si>
  <si>
    <t>-573.525936808876 232.868252403311 213.129492215861</t>
  </si>
  <si>
    <t>-627.960163601751 254.265121733556 679.406507998367</t>
  </si>
  <si>
    <t>-472.626135749678 238.049912999097 760.350395659407</t>
  </si>
  <si>
    <t>-613.002251964837 0.546326153582044 -241.56903514816</t>
  </si>
  <si>
    <t>-626.681157456994 8.37092762983505 213.85306528058</t>
  </si>
  <si>
    <t>-658.250088277838 2.47247347507847 682.563712530361</t>
  </si>
  <si>
    <t>-501.823681898182 -38.3247605920626 751.917001816633</t>
  </si>
  <si>
    <t>9763-20170724T164131.690186800.bin</t>
  </si>
  <si>
    <t>-594.487893610718 96.4292166901605 -241.454505971831</t>
  </si>
  <si>
    <t>-614.230376028688 100.559124162563 -360.873886246749</t>
  </si>
  <si>
    <t>-616.827891208957 93.1662578561091 -481.824927655656</t>
  </si>
  <si>
    <t>-611.976628721436 82.0271717150135 -590.670108556576</t>
  </si>
  <si>
    <t>-599.992777177238 66.6026433458056 -698.435158760804</t>
  </si>
  <si>
    <t>-575.895574506695 40.847560622604 -846.610797281958</t>
  </si>
  <si>
    <t>-530.788092964712 24.8924744824417 -936.575884071534</t>
  </si>
  <si>
    <t>-582.701144409183 83.4361233646181 -785.842167510698</t>
  </si>
  <si>
    <t>-566.929702434291 229.587363874892 -782.135431751428</t>
  </si>
  <si>
    <t>-493.003992652819 276.268170196316 -477.9282847535</t>
  </si>
  <si>
    <t>-291.399901917665 215.156846183653 -325.405184937154</t>
  </si>
  <si>
    <t>-590.414521812687 21.0506433501577 -776.253051679549</t>
  </si>
  <si>
    <t>-576.182880017183 192.709405276705 -240.735792329038</t>
  </si>
  <si>
    <t>-573.476489599948 232.666335596739 213.195678029952</t>
  </si>
  <si>
    <t>-627.996123357739 254.22413601387 679.452651018226</t>
  </si>
  <si>
    <t>-472.665012527337 237.914694547836 760.383214030041</t>
  </si>
  <si>
    <t>-612.764687157143 0.219646421511285 -241.476870141076</t>
  </si>
  <si>
    <t>-626.503974539298 8.24719724943266 213.939881025402</t>
  </si>
  <si>
    <t>-658.260104402053 2.44584933207155 682.647665843228</t>
  </si>
  <si>
    <t>-501.887218404042 -38.5675719104433 751.994281126548</t>
  </si>
  <si>
    <t>9763-20170724T164131.726283500.bin</t>
  </si>
  <si>
    <t>-594.281128894413 95.809962992605 -241.251245821458</t>
  </si>
  <si>
    <t>-613.968635206249 99.8800536523243 -360.681716598249</t>
  </si>
  <si>
    <t>-616.460147726612 92.5683553696542 -481.639909667243</t>
  </si>
  <si>
    <t>-611.493955094313 81.560952514509 -590.493298641051</t>
  </si>
  <si>
    <t>-599.376666006676 66.3263276477504 -698.270457613851</t>
  </si>
  <si>
    <t>-575.075596112983 40.8960531971832 -846.468724279389</t>
  </si>
  <si>
    <t>-529.8710840198 25.1758356985184 -936.426685124442</t>
  </si>
  <si>
    <t>-582.063603235589 83.3607138641956 -785.634369462244</t>
  </si>
  <si>
    <t>-566.138949700408 229.482055795931 -781.521484348004</t>
  </si>
  <si>
    <t>-490.315896058171 274.507706588526 -477.531809306379</t>
  </si>
  <si>
    <t>-289.65595338535 211.39531191332 -324.579262670192</t>
  </si>
  <si>
    <t>-589.592559322784 20.9355971243361 -776.15690557617</t>
  </si>
  <si>
    <t>-576.295841177368 191.904195891881 -240.514376952387</t>
  </si>
  <si>
    <t>-573.635864454182 232.386923072453 213.370752271604</t>
  </si>
  <si>
    <t>-628.09988686123 254.236441698915 679.571895737831</t>
  </si>
  <si>
    <t>-472.756929648296 237.592297027586 760.411594456149</t>
  </si>
  <si>
    <t>-626.200384344787 8.01508188546195 214.123220445598</t>
  </si>
  <si>
    <t>-658.256509428595 2.64100995315015 682.788499865649</t>
  </si>
  <si>
    <t>-501.618923218388 -37.447421020378 752.078325494588</t>
  </si>
  <si>
    <t>9763-20170724T164131.792340700.bin</t>
  </si>
  <si>
    <t>-594.059034473396 95.2248231002338 -241.113621411805</t>
  </si>
  <si>
    <t>-613.658412357127 99.2391102571043 -360.560471066755</t>
  </si>
  <si>
    <t>-615.927945974722 92.0083535922415 -481.528030048747</t>
  </si>
  <si>
    <t>-610.709461909167 81.1314294511831 -590.382545860628</t>
  </si>
  <si>
    <t>-598.290122181415 66.0851499140214 -698.151887098522</t>
  </si>
  <si>
    <t>-573.519043984217 40.9777707316545 -846.327419858699</t>
  </si>
  <si>
    <t>-528.139564186385 25.5002291006015 -936.239260530629</t>
  </si>
  <si>
    <t>-580.783429037029 83.3174881275446 -785.438327252134</t>
  </si>
  <si>
    <t>-564.821999202414 229.431518681926 -780.89195032375</t>
  </si>
  <si>
    <t>-487.088470910537 271.634504586831 -476.979786640099</t>
  </si>
  <si>
    <t>-285.103579438236 212.348148475835 -324.240614279431</t>
  </si>
  <si>
    <t>-588.175487979926 20.8564976104618 -776.090495546077</t>
  </si>
  <si>
    <t>-576.275818891306 191.263993213334 -240.395532745299</t>
  </si>
  <si>
    <t>-573.824076656031 232.029949024712 213.465461149729</t>
  </si>
  <si>
    <t>-628.180718119421 254.203796625908 679.677935477056</t>
  </si>
  <si>
    <t>-472.797312077902 237.481675340695 760.423766176068</t>
  </si>
  <si>
    <t>-625.83073515994 7.71210173218014 214.27134320823</t>
  </si>
  <si>
    <t>-658.29231886234 2.59201100623235 682.909799030761</t>
  </si>
  <si>
    <t>-501.651793074403 -37.5395611587742 752.168204744429</t>
  </si>
  <si>
    <t>9763-20170724T164131.824433400.bin</t>
  </si>
  <si>
    <t>-593.944676626296 94.9291195697005 -241.062625749744</t>
  </si>
  <si>
    <t>-613.595536055274 98.9539322684058 -360.500602594071</t>
  </si>
  <si>
    <t>-615.821942593322 91.7702556212371 -481.471673138315</t>
  </si>
  <si>
    <t>-610.526565453391 80.9512189219202 -590.328334046402</t>
  </si>
  <si>
    <t>-597.993460846353 65.9787236679811 -698.094654704818</t>
  </si>
  <si>
    <t>-573.027018904622 40.9909453175327 -846.257696707652</t>
  </si>
  <si>
    <t>-527.552586672317 25.6094702364663 -936.138179558232</t>
  </si>
  <si>
    <t>-580.393551075387 83.2834592014745 -785.347998935099</t>
  </si>
  <si>
    <t>-564.298415117337 229.365060123773 -780.528273301558</t>
  </si>
  <si>
    <t>-485.583546690575 270.177029166411 -476.678754675179</t>
  </si>
  <si>
    <t>-283.121580310866 212.34656126974 -324.012931277761</t>
  </si>
  <si>
    <t>-587.754225532409 20.8110316513659 -776.05230076431</t>
  </si>
  <si>
    <t>-576.256167780033 190.978974919994 -240.33654030844</t>
  </si>
  <si>
    <t>-573.857339232477 231.863437405888 213.514123744542</t>
  </si>
  <si>
    <t>-628.210200233069 254.185458819662 679.723115994769</t>
  </si>
  <si>
    <t>-472.808753724402 237.437725175883 760.428776422402</t>
  </si>
  <si>
    <t>-625.717056493688 7.55908877059488 214.321811558795</t>
  </si>
  <si>
    <t>-658.297128276347 2.60975219916217 682.961247157469</t>
  </si>
  <si>
    <t>-501.627317833169 -37.4322748753635 752.205111297011</t>
  </si>
  <si>
    <t>9763-20170724T164131.891203900.bin</t>
  </si>
  <si>
    <t>-593.983374510342 94.3720101125416 -240.955670866217</t>
  </si>
  <si>
    <t>-613.420088502662 98.3069037491965 -360.431802091927</t>
  </si>
  <si>
    <t>-615.413363145385 91.1382078240477 -481.407719120099</t>
  </si>
  <si>
    <t>-609.906372096077 80.3692039909109 -590.258822740852</t>
  </si>
  <si>
    <t>-597.164248882683 65.479089106144 -698.012098961874</t>
  </si>
  <si>
    <t>-571.912929008986 40.6355446250043 -846.151106756845</t>
  </si>
  <si>
    <t>-526.272220023103 25.3585927072594 -935.965054319872</t>
  </si>
  <si>
    <t>-579.372737076187 82.8666469107855 -785.210137189215</t>
  </si>
  <si>
    <t>-562.869774795831 228.893573382666 -780.009781781253</t>
  </si>
  <si>
    <t>-482.276308790738 267.292124959852 -476.338164969419</t>
  </si>
  <si>
    <t>-281.156909452543 208.263280442302 -322.361899867513</t>
  </si>
  <si>
    <t>-586.799053372113 20.3894758017995 -775.998289427359</t>
  </si>
  <si>
    <t>-576.545283249744 190.430670092494 -240.269739346098</t>
  </si>
  <si>
    <t>-574.130331956711 231.638668221919 213.551447960062</t>
  </si>
  <si>
    <t>-628.239999289477 254.160065235309 679.779323412212</t>
  </si>
  <si>
    <t>-472.809124139312 237.441172018844 760.434415280676</t>
  </si>
  <si>
    <t>-625.802226541912 7.2106686835187 214.392428995256</t>
  </si>
  <si>
    <t>-658.334966065837 2.51924583225801 683.050740845326</t>
  </si>
  <si>
    <t>-501.888695167557 -38.3596279290404 752.31112734758</t>
  </si>
  <si>
    <t>9763-20170724T164131.942334100.bin</t>
  </si>
  <si>
    <t>-593.915895674791 94.0525338178713 -240.912964369359</t>
  </si>
  <si>
    <t>-613.350568466108 98.0182793997678 -360.388453909828</t>
  </si>
  <si>
    <t>-615.283073128275 90.8725527909161 -481.3668107611</t>
  </si>
  <si>
    <t>-609.699006242288 80.1197126969328 -590.215626224151</t>
  </si>
  <si>
    <t>-596.858704359641 65.2404110758498 -697.958668374708</t>
  </si>
  <si>
    <t>-571.450248274385 40.4060059082835 -846.072355994797</t>
  </si>
  <si>
    <t>-525.730057660572 25.1386739546305 -935.847407549924</t>
  </si>
  <si>
    <t>-578.942345135634 82.6302970803418 -785.13070280816</t>
  </si>
  <si>
    <t>-562.158715730655 228.622804835347 -779.785121745758</t>
  </si>
  <si>
    <t>-481.20986255195 266.035918106422 -476.085127500805</t>
  </si>
  <si>
    <t>-280.284515650255 206.685227334537 -321.979374459339</t>
  </si>
  <si>
    <t>-586.443028626675 20.1585768672262 -775.942658489759</t>
  </si>
  <si>
    <t>-576.535092822086 190.100013028013 -240.210340726272</t>
  </si>
  <si>
    <t>-574.167611008943 231.487300509263 213.594871776819</t>
  </si>
  <si>
    <t>-628.247790955988 254.180486953273 679.781823300272</t>
  </si>
  <si>
    <t>-472.817817327144 237.399835036169 760.425774222851</t>
  </si>
  <si>
    <t>-625.87099751337 7.03262056861388 214.432228574206</t>
  </si>
  <si>
    <t>-658.355133679449 2.51114453884703 683.07996644208</t>
  </si>
  <si>
    <t>-502.011054936221 -38.755400063968 752.341154303436</t>
  </si>
  <si>
    <t>9763-20170724T164131.990969900.bin</t>
  </si>
  <si>
    <t>-593.648725480752 93.6220858744339 -240.924865158212</t>
  </si>
  <si>
    <t>-612.985666884619 97.5602747765697 -360.417025608354</t>
  </si>
  <si>
    <t>-614.760961779474 90.3985048403635 -481.396818670747</t>
  </si>
  <si>
    <t>-609.011595462017 79.6372976753 -590.236177564403</t>
  </si>
  <si>
    <t>-595.983763849147 64.7570923158379 -697.956671290438</t>
  </si>
  <si>
    <t>-570.292346155486 39.9302034256547 -846.022760272319</t>
  </si>
  <si>
    <t>-524.407977883663 24.6516522047748 -935.712005388928</t>
  </si>
  <si>
    <t>-577.871659575202 82.1487186318932 -785.087815192775</t>
  </si>
  <si>
    <t>-560.81228524387 228.117831942026 -779.643290087003</t>
  </si>
  <si>
    <t>-479.08022455932 263.849221392059 -475.950379261987</t>
  </si>
  <si>
    <t>-277.558716669977 204.978932968309 -322.439951662156</t>
  </si>
  <si>
    <t>-585.448302710644 19.6819625523825 -775.92839403712</t>
  </si>
  <si>
    <t>-576.11437993549 189.615021361486 -240.210697046975</t>
  </si>
  <si>
    <t>-573.989001469007 231.241129106327 213.573869506819</t>
  </si>
  <si>
    <t>-628.239437051405 254.166247785282 679.797663282115</t>
  </si>
  <si>
    <t>-472.801715932574 237.419788664523 760.433739166764</t>
  </si>
  <si>
    <t>-625.735957138033 6.88948362770218 214.453913184601</t>
  </si>
  <si>
    <t>-658.379900926053 2.57639330374748 683.119390788122</t>
  </si>
  <si>
    <t>-501.784033050371 -37.7547810490646 752.362725805692</t>
  </si>
  <si>
    <t>9763-20170724T164132.025060500.bin</t>
  </si>
  <si>
    <t>-593.583373225994 93.3598862554869 -240.854647849852</t>
  </si>
  <si>
    <t>-612.865348754545 97.2986299961081 -360.355706814796</t>
  </si>
  <si>
    <t>-614.550433211311 90.1347685791989 -481.336646097275</t>
  </si>
  <si>
    <t>-608.705789543291 79.3710360436258 -590.170719886708</t>
  </si>
  <si>
    <t>-595.569695025635 64.4882520636128 -697.877706093731</t>
  </si>
  <si>
    <t>-569.714758201647 39.6581667605524 -845.914731358667</t>
  </si>
  <si>
    <t>-523.731462892936 24.3674158044972 -935.551298619045</t>
  </si>
  <si>
    <t>-577.352645437251 81.8771718418177 -784.987403835312</t>
  </si>
  <si>
    <t>-560.247634584385 227.815021643943 -779.488239925351</t>
  </si>
  <si>
    <t>-477.731915086921 263.137998821646 -475.959603589993</t>
  </si>
  <si>
    <t>-275.6575386537 205.168324887273 -322.833931811603</t>
  </si>
  <si>
    <t>-584.956846200326 19.412244778123 -775.83830506478</t>
  </si>
  <si>
    <t>-576.068339517742 189.401244695334 -240.166034183851</t>
  </si>
  <si>
    <t>-573.835745573266 231.133771794602 213.608278267121</t>
  </si>
  <si>
    <t>-628.234226111654 254.151027504154 679.807436344259</t>
  </si>
  <si>
    <t>-472.804935648071 237.378744821442 760.454450354804</t>
  </si>
  <si>
    <t>-625.754239754102 6.72293391421724 214.506085250692</t>
  </si>
  <si>
    <t>-658.398117337123 2.54727624681158 683.154689215807</t>
  </si>
  <si>
    <t>-501.916021576216 -38.1885223597735 752.418356903289</t>
  </si>
  <si>
    <t>9763-20170724T164132.093852900.bin</t>
  </si>
  <si>
    <t>-593.418980676295 93.0641295598427 -240.813585364078</t>
  </si>
  <si>
    <t>-612.681330607146 97.0043610077523 -360.317810037443</t>
  </si>
  <si>
    <t>-614.260724763271 89.8232093765674 -481.299210142043</t>
  </si>
  <si>
    <t>-608.286100500649 79.0378892336887 -590.123981028156</t>
  </si>
  <si>
    <t>-594.986374740178 64.1289462809725 -697.807333745769</t>
  </si>
  <si>
    <t>-568.869963210725 39.2591601628763 -845.791802364491</t>
  </si>
  <si>
    <t>-522.693792643154 23.9391664112647 -935.324187877928</t>
  </si>
  <si>
    <t>-576.62233633073 81.4951224566163 -784.890700586335</t>
  </si>
  <si>
    <t>-559.325509973318 227.427796104266 -779.312708194057</t>
  </si>
  <si>
    <t>-474.618017875532 261.904644597582 -476.291094796504</t>
  </si>
  <si>
    <t>-271.823611192095 206.278567540125 -323.247795029488</t>
  </si>
  <si>
    <t>-584.229014087197 19.0313993610805 -775.735802140564</t>
  </si>
  <si>
    <t>-575.840605955719 189.069473177428 -240.086902365014</t>
  </si>
  <si>
    <t>-573.622574962245 231.006731389713 213.668564727265</t>
  </si>
  <si>
    <t>-628.234405903161 254.125359705281 679.829412755417</t>
  </si>
  <si>
    <t>-472.807047577232 237.338174020053 760.477037548386</t>
  </si>
  <si>
    <t>-625.690476893646 6.59101903521199 214.561814710729</t>
  </si>
  <si>
    <t>-658.41798448761 2.71377812979279 683.214921674557</t>
  </si>
  <si>
    <t>-501.568645000663 -36.6929037274948 752.416884554543</t>
  </si>
  <si>
    <t>9763-20170724T164132.120924400.bin</t>
  </si>
  <si>
    <t>-593.376731142017 92.8637995943222 -240.774249910392</t>
  </si>
  <si>
    <t>-612.598009406547 96.8006722642847 -360.285203705385</t>
  </si>
  <si>
    <t>-614.122825793927 89.6046027870471 -481.266436178734</t>
  </si>
  <si>
    <t>-608.094333647553 78.8006360079251 -590.086402897582</t>
  </si>
  <si>
    <t>-594.736746014493 63.8674719387443 -697.759212407967</t>
  </si>
  <si>
    <t>-568.536396549475 38.9580123093302 -845.722186725742</t>
  </si>
  <si>
    <t>-522.307205534479 23.608077272637 -935.22209415349</t>
  </si>
  <si>
    <t>-576.312167018701 81.2092819170691 -784.834691904798</t>
  </si>
  <si>
    <t>-558.896379371683 227.10961688591 -779.199342820332</t>
  </si>
  <si>
    <t>-473.073494195136 261.331162859865 -476.46265343571</t>
  </si>
  <si>
    <t>-270.128875192043 206.443066846554 -323.35208196598</t>
  </si>
  <si>
    <t>-583.946261859737 18.7500589263396 -775.671492244931</t>
  </si>
  <si>
    <t>-575.802461667186 188.905432612996 -240.05680095875</t>
  </si>
  <si>
    <t>-573.679868008983 230.899213055755 213.693901154479</t>
  </si>
  <si>
    <t>-628.243480287799 254.139169112472 679.841740652188</t>
  </si>
  <si>
    <t>-472.818949301427 237.280440137811 760.479888011844</t>
  </si>
  <si>
    <t>-625.700295928061 6.43102805209863 214.587567428948</t>
  </si>
  <si>
    <t>-658.449867654112 2.67058024610942 683.241045450527</t>
  </si>
  <si>
    <t>-501.800363785872 -37.5005945048804 752.456042653865</t>
  </si>
  <si>
    <t>9763-20170724T164132.191116300.bin</t>
  </si>
  <si>
    <t>-593.317667921502 92.6062466197666 -240.720542920044</t>
  </si>
  <si>
    <t>-612.39991176796 96.4982145312698 -360.255174226881</t>
  </si>
  <si>
    <t>-613.782772605955 89.2915226466526 -481.237442227787</t>
  </si>
  <si>
    <t>-607.628165655639 78.488908880223 -590.050485892694</t>
  </si>
  <si>
    <t>-594.14832469284 63.5662597384535 -697.70949675615</t>
  </si>
  <si>
    <t>-567.783848034511 38.6791735030236 -845.647107348576</t>
  </si>
  <si>
    <t>-521.474528855498 23.2966748756888 -935.100025059148</t>
  </si>
  <si>
    <t>-575.615596454121 80.9201451657197 -784.759726565771</t>
  </si>
  <si>
    <t>-557.780785322765 226.762910915597 -778.826784940393</t>
  </si>
  <si>
    <t>-469.177722017664 260.090409314603 -476.792083360616</t>
  </si>
  <si>
    <t>-265.740850808386 206.854274912357 -323.751625089611</t>
  </si>
  <si>
    <t>-583.282992220776 18.4617128088654 -775.618963553822</t>
  </si>
  <si>
    <t>-575.752047049162 188.603868265496 -240.00061771966</t>
  </si>
  <si>
    <t>-573.857934817999 230.778317971449 213.73435294251</t>
  </si>
  <si>
    <t>-628.277329556721 254.109843154855 679.903592108283</t>
  </si>
  <si>
    <t>-472.80492533965 237.314041090207 760.462575792828</t>
  </si>
  <si>
    <t>-625.832383953284 6.26607709515953 214.63090917781</t>
  </si>
  <si>
    <t>-658.482995355479 2.75332315648724 683.298524580932</t>
  </si>
  <si>
    <t>-501.674158687718 -36.8433164879099 752.483886867947</t>
  </si>
  <si>
    <t>9763-20170724T164132.223204500.bin</t>
  </si>
  <si>
    <t>-593.274492816541 92.4391595142781 -240.674842651263</t>
  </si>
  <si>
    <t>-612.297067121419 96.3377989675793 -360.218808334041</t>
  </si>
  <si>
    <t>-613.628739444599 89.1437640291118 -481.202318704386</t>
  </si>
  <si>
    <t>-607.432685273269 78.3531656414467 -590.014171612007</t>
  </si>
  <si>
    <t>-593.917221280016 63.4419417514373 -697.670429807474</t>
  </si>
  <si>
    <t>-567.509548205843 38.5688964318476 -845.602683871082</t>
  </si>
  <si>
    <t>-521.175557405821 23.1636729713332 -935.038925724836</t>
  </si>
  <si>
    <t>-575.347866190257 80.8030361578363 -784.711363495145</t>
  </si>
  <si>
    <t>-557.37062369693 226.628294012583 -778.643684847027</t>
  </si>
  <si>
    <t>-467.300311900822 258.935098429336 -476.932235390393</t>
  </si>
  <si>
    <t>-263.657545492704 205.942159345271 -324.081338135659</t>
  </si>
  <si>
    <t>-583.040350347742 18.3458622937472 -775.583194482709</t>
  </si>
  <si>
    <t>-575.745162838391 188.457935429359 -239.964367906246</t>
  </si>
  <si>
    <t>-573.967834600561 230.690901536604 213.765618641212</t>
  </si>
  <si>
    <t>-628.287328905847 254.102876146099 679.922866398275</t>
  </si>
  <si>
    <t>-472.797312292102 237.337160444014 760.454051784797</t>
  </si>
  <si>
    <t>-625.90668571755 6.1093597442203 214.65229847384</t>
  </si>
  <si>
    <t>-658.497966964977 2.75517647600509 683.324248164421</t>
  </si>
  <si>
    <t>-501.811916523594 -37.3102505075828 752.517914897899</t>
  </si>
  <si>
    <t>9763-20170724T164132.292003900.bin</t>
  </si>
  <si>
    <t>-592.94938312303 92.3034895807168 -240.684234780088</t>
  </si>
  <si>
    <t>-611.839698525751 96.1664191916414 -360.250277334512</t>
  </si>
  <si>
    <t>-613.090457160157 88.9460632621472 -481.233284490729</t>
  </si>
  <si>
    <t>-606.844803091751 78.1320888595257 -590.039946461324</t>
  </si>
  <si>
    <t>-593.304462037295 63.1954919958525 -697.689368005486</t>
  </si>
  <si>
    <t>-566.888729729134 38.2829504054441 -845.613608618066</t>
  </si>
  <si>
    <t>-520.52556828452 22.8191044706642 -935.024513706094</t>
  </si>
  <si>
    <t>-574.69685846022 80.5301720209322 -784.727450103171</t>
  </si>
  <si>
    <t>-556.488025467142 226.320785546651 -778.544225991863</t>
  </si>
  <si>
    <t>-463.311296692134 256.695774644353 -477.576299980208</t>
  </si>
  <si>
    <t>-259.171010305101 204.381192521141 -325.155947538431</t>
  </si>
  <si>
    <t>-582.456933419709 18.0817860028969 -775.596034200871</t>
  </si>
  <si>
    <t>-575.4201575519 188.256951412646 -239.978209893342</t>
  </si>
  <si>
    <t>-574.084466980077 230.609073778207 213.742123821254</t>
  </si>
  <si>
    <t>-628.24777526944 254.06235120492 679.908796945924</t>
  </si>
  <si>
    <t>-472.738627867981 237.512004365829 760.447629789372</t>
  </si>
  <si>
    <t>-625.849215001865 6.11644440425415 214.645596649535</t>
  </si>
  <si>
    <t>-658.526168726304 2.69366883326514 683.347269212131</t>
  </si>
  <si>
    <t>-501.762247546562 -37.0450673327089 752.552820310891</t>
  </si>
  <si>
    <t>9763-20170724T164132.326094300.bin</t>
  </si>
  <si>
    <t>-592.595113269955 92.2351750097884 -240.645462768034</t>
  </si>
  <si>
    <t>-611.404746549244 96.1008133408108 -360.224165174364</t>
  </si>
  <si>
    <t>-612.645253104285 88.8629404137663 -481.206125485818</t>
  </si>
  <si>
    <t>-606.41979715791 78.0227546172798 -590.011441806021</t>
  </si>
  <si>
    <t>-592.929147454948 63.0482832307475 -697.661867845317</t>
  </si>
  <si>
    <t>-566.613190015884 38.0694661901207 -845.592733537996</t>
  </si>
  <si>
    <t>-520.263021360998 22.5505735430884 -935.000741183636</t>
  </si>
  <si>
    <t>-574.34719661059 80.3407536011561 -784.713784511658</t>
  </si>
  <si>
    <t>-555.975743477073 226.113569764881 -778.581015307038</t>
  </si>
  <si>
    <t>-461.142625197227 255.570217441119 -478.039528618508</t>
  </si>
  <si>
    <t>-257.010357262121 203.683039770485 -325.462308233448</t>
  </si>
  <si>
    <t>-582.167206647818 17.9028986698747 -775.562082061257</t>
  </si>
  <si>
    <t>-575.046589916054 188.105179581054 -239.942656611262</t>
  </si>
  <si>
    <t>-573.770159343757 230.577378286526 213.766614339465</t>
  </si>
  <si>
    <t>-628.213254684032 254.017020815946 679.885681450095</t>
  </si>
  <si>
    <t>-472.6962276861 237.647231787393 760.44629673091</t>
  </si>
  <si>
    <t>-625.656071632617 6.15072218167521 214.674054387243</t>
  </si>
  <si>
    <t>-658.5427755671 2.55148756595169 683.359162957843</t>
  </si>
  <si>
    <t>-501.846026855286 -37.4150795393043 752.58557810596</t>
  </si>
  <si>
    <t>9763-20170724T164132.388786000.bin</t>
  </si>
  <si>
    <t>-591.338966287606 92.3741537511842 -240.610887058052</t>
  </si>
  <si>
    <t>-610.05630289572 96.2498363724506 -360.203811684093</t>
  </si>
  <si>
    <t>-611.293085396555 88.9638336847447 -481.182894452211</t>
  </si>
  <si>
    <t>-605.100929372405 78.0540461121551 -589.983026615681</t>
  </si>
  <si>
    <t>-591.680118571206 62.9826110306825 -697.628767394115</t>
  </si>
  <si>
    <t>-565.499032487963 37.8391508686894 -845.555666110746</t>
  </si>
  <si>
    <t>-519.180451559025 22.1979355306988 -934.958728568103</t>
  </si>
  <si>
    <t>-573.089845370244 80.1695706085215 -784.699780815826</t>
  </si>
  <si>
    <t>-554.228140546628 225.882711864381 -778.682263068698</t>
  </si>
  <si>
    <t>-457.109858784167 254.534310024217 -478.79342906087</t>
  </si>
  <si>
    <t>-253.377372590736 203.165681060657 -325.508202405518</t>
  </si>
  <si>
    <t>-581.076854730379 17.7591091164856 -775.505402113678</t>
  </si>
  <si>
    <t>-573.445822913764 187.944114065633 -239.912248221451</t>
  </si>
  <si>
    <t>-572.42390327223 230.607290635953 213.779872078179</t>
  </si>
  <si>
    <t>-628.066559667285 253.790797530335 679.776642035305</t>
  </si>
  <si>
    <t>-472.541906026948 238.209147047977 760.478619299204</t>
  </si>
  <si>
    <t>-624.66365030869 6.59348416190582 214.731933190303</t>
  </si>
  <si>
    <t>-658.486287366296 2.54753806805058 683.363570229424</t>
  </si>
  <si>
    <t>-501.924349356255 -37.8257462209607 752.659136748972</t>
  </si>
  <si>
    <t>9763-20170724T164132.425884900.bin</t>
  </si>
  <si>
    <t>-590.625100580221 92.4934473509098 -240.557126500901</t>
  </si>
  <si>
    <t>-609.323967986509 96.3815720671246 -360.152344218362</t>
  </si>
  <si>
    <t>-610.564276904625 89.0752596674216 -481.13031923521</t>
  </si>
  <si>
    <t>-604.384465504292 78.132853236695 -589.928001937053</t>
  </si>
  <si>
    <t>-590.985281305943 63.0140994658313 -697.569632613927</t>
  </si>
  <si>
    <t>-564.843936481603 37.7892046164847 -845.489733599657</t>
  </si>
  <si>
    <t>-518.548590448878 22.0618551081395 -934.889881447039</t>
  </si>
  <si>
    <t>-572.37606263489 80.1489012660819 -784.646999076963</t>
  </si>
  <si>
    <t>-553.133923181924 225.807450522697 -778.655370599648</t>
  </si>
  <si>
    <t>-455.359145180799 254.249216368197 -478.960050234333</t>
  </si>
  <si>
    <t>-251.777378560951 203.378048839498 -325.308926478669</t>
  </si>
  <si>
    <t>-580.445211147015 17.7519606250335 -775.432364035022</t>
  </si>
  <si>
    <t>-572.625073205739 188.007962190842 -239.878768449622</t>
  </si>
  <si>
    <t>-571.737884770204 230.65500726236 213.815093515869</t>
  </si>
  <si>
    <t>-627.98506477795 253.706273192358 679.704969846297</t>
  </si>
  <si>
    <t>-472.485866708766 238.38857525256 760.506411451351</t>
  </si>
  <si>
    <t>-624.096813289931 6.75366951382937 214.783235253772</t>
  </si>
  <si>
    <t>-658.472955422499 2.41725653020757 683.369331730665</t>
  </si>
  <si>
    <t>-502.231783231495 -39.0730100169166 752.729074647129</t>
  </si>
  <si>
    <t>9763-20170724T164132.488566400.bin</t>
  </si>
  <si>
    <t>-589.414602321387 92.8689311318081 -240.512556306704</t>
  </si>
  <si>
    <t>-608.129257681265 96.7633521728741 -360.105298981416</t>
  </si>
  <si>
    <t>-609.404682784601 89.4255031795457 -481.08091053042</t>
  </si>
  <si>
    <t>-603.265359861773 78.4369240261918 -589.876051286492</t>
  </si>
  <si>
    <t>-589.915721924337 63.2531112948147 -697.514851186098</t>
  </si>
  <si>
    <t>-563.853109488665 37.9169584297985 -845.429729375749</t>
  </si>
  <si>
    <t>-517.608347449556 22.033461724955 -934.828451954892</t>
  </si>
  <si>
    <t>-571.28450842942 80.3154735096902 -784.601603191217</t>
  </si>
  <si>
    <t>-551.582232878322 225.91661419832 -778.599604402212</t>
  </si>
  <si>
    <t>-452.40505637685 253.744354129725 -479.307651232569</t>
  </si>
  <si>
    <t>-249.337611511598 203.239519003778 -324.857353227341</t>
  </si>
  <si>
    <t>-579.485454645341 17.9393684685876 -775.362222837953</t>
  </si>
  <si>
    <t>-571.273054373326 188.267959706282 -239.843593839462</t>
  </si>
  <si>
    <t>-570.368426706048 230.988737597155 213.84333807239</t>
  </si>
  <si>
    <t>-627.85470385589 253.565107098235 679.587666606219</t>
  </si>
  <si>
    <t>-472.390628967673 238.767144755787 760.553437661268</t>
  </si>
  <si>
    <t>-623.072207266567 7.15468601550923 214.844490705921</t>
  </si>
  <si>
    <t>-658.427460314313 2.45908717461229 683.348218031261</t>
  </si>
  <si>
    <t>-502.349890089526 -39.5700325533896 752.751760975375</t>
  </si>
  <si>
    <t>9763-20170724T164132.520650700.bin</t>
  </si>
  <si>
    <t>-588.883294805779 93.0062653811809 -240.495376169242</t>
  </si>
  <si>
    <t>-607.61878604927 96.9186161925042 -360.084163057018</t>
  </si>
  <si>
    <t>-608.880103772854 89.5744178652264 -481.059501645792</t>
  </si>
  <si>
    <t>-602.714635756733 78.5692614759776 -589.851608035714</t>
  </si>
  <si>
    <t>-589.326102290882 63.3578932485708 -697.481564220638</t>
  </si>
  <si>
    <t>-563.1968831176 37.9717360758516 -845.376289577662</t>
  </si>
  <si>
    <t>-516.93548343568 22.0074004135225 -934.751749632542</t>
  </si>
  <si>
    <t>-570.620919768125 80.3872271420872 -784.558976107266</t>
  </si>
  <si>
    <t>-550.711835817448 225.955225766047 -778.5621728338</t>
  </si>
  <si>
    <t>-450.670051643112 253.389476787051 -479.521747657144</t>
  </si>
  <si>
    <t>-247.649144495365 203.169445951194 -324.917329797329</t>
  </si>
  <si>
    <t>-578.895649744356 18.0214551987683 -775.315803646355</t>
  </si>
  <si>
    <t>-570.531691563163 188.39455467216 -239.828787410377</t>
  </si>
  <si>
    <t>-569.707253536218 231.103176540415 213.859410564197</t>
  </si>
  <si>
    <t>-627.792746874516 253.488406575847 679.519762105864</t>
  </si>
  <si>
    <t>-472.343066841125 238.975322468622 760.56469436652</t>
  </si>
  <si>
    <t>-622.596648675561 7.34848295943689 214.866028085971</t>
  </si>
  <si>
    <t>-658.395250188072 2.52390633615126 683.344112703886</t>
  </si>
  <si>
    <t>-502.298664264771 -39.4340742835779 752.747950151613</t>
  </si>
  <si>
    <t>9763-20170724T164132.589850700.bin</t>
  </si>
  <si>
    <t>-588.029471052421 93.4292701700209 -240.525274150045</t>
  </si>
  <si>
    <t>-606.802106255963 97.2982765454039 -360.109627922794</t>
  </si>
  <si>
    <t>-608.07758434555 89.8837069020496 -481.080554533355</t>
  </si>
  <si>
    <t>-601.917280309448 78.8015083299321 -589.865223740379</t>
  </si>
  <si>
    <t>-588.52752410809 63.498272623408 -697.481983658578</t>
  </si>
  <si>
    <t>-562.391164404214 37.9677895008037 -845.350465150728</t>
  </si>
  <si>
    <t>-516.110623290131 21.8723258001901 -934.692603277945</t>
  </si>
  <si>
    <t>-569.773768812521 80.4379941336799 -784.566480394161</t>
  </si>
  <si>
    <t>-549.501139752664 225.964591313106 -778.564264224983</t>
  </si>
  <si>
    <t>-446.649282791241 252.174309554769 -480.368475493422</t>
  </si>
  <si>
    <t>-243.848432937338 203.001596020315 -325.139995803079</t>
  </si>
  <si>
    <t>-578.137577384573 18.0904713113119 -775.28007666287</t>
  </si>
  <si>
    <t>-569.58213775019 188.676895734682 -239.887492368939</t>
  </si>
  <si>
    <t>-568.758648651697 231.438687635781 213.795653149821</t>
  </si>
  <si>
    <t>-627.649349261021 253.376772940988 679.350004473854</t>
  </si>
  <si>
    <t>-472.257319358064 239.35937361291 760.592445748417</t>
  </si>
  <si>
    <t>-621.65705202254 7.82810193595662 214.90725886648</t>
  </si>
  <si>
    <t>-658.323656221311 2.5982965094596 683.324949994196</t>
  </si>
  <si>
    <t>-502.121187255743 -38.9523052831077 752.735730135409</t>
  </si>
  <si>
    <t>9763-20170724T164132.627945700.bin</t>
  </si>
  <si>
    <t>-587.722715039054 93.5855767331176 -240.52050413034</t>
  </si>
  <si>
    <t>-606.43730985724 97.4257261164792 -360.11497855861</t>
  </si>
  <si>
    <t>-607.705356907521 89.963701772643 -481.083051455631</t>
  </si>
  <si>
    <t>-601.560755478189 78.8279178915684 -589.863053672398</t>
  </si>
  <si>
    <t>-588.209833419986 63.4582291464117 -697.475246009048</t>
  </si>
  <si>
    <t>-562.152266904264 37.820136259367 -845.338958185972</t>
  </si>
  <si>
    <t>-515.89375324724 21.6659547543284 -934.682069898237</t>
  </si>
  <si>
    <t>-569.472137454376 80.3313421217993 -784.57612706672</t>
  </si>
  <si>
    <t>-549.031956260573 225.829032928588 -778.612415372433</t>
  </si>
  <si>
    <t>-444.604301527951 251.422777618357 -480.91116555847</t>
  </si>
  <si>
    <t>-242.153435470294 202.754213105765 -325.067948364908</t>
  </si>
  <si>
    <t>-577.891696697919 17.9970473659039 -775.251566028555</t>
  </si>
  <si>
    <t>-569.313404976175 188.75413476689 -239.905427006431</t>
  </si>
  <si>
    <t>-568.38871650145 231.569172126596 213.772515972725</t>
  </si>
  <si>
    <t>-627.585423317568 253.335819999284 679.267031299276</t>
  </si>
  <si>
    <t>-472.223156361372 239.553465596259 760.606572505102</t>
  </si>
  <si>
    <t>-621.417455201843 8.02171617880862 214.900513629213</t>
  </si>
  <si>
    <t>-658.297669315666 2.58317211797655 683.306076356904</t>
  </si>
  <si>
    <t>-502.053932361003 -38.7779473921591 752.737149396816</t>
  </si>
  <si>
    <t>9763-20170724T164132.692123400.bin</t>
  </si>
  <si>
    <t>-587.347340113607 93.7478712644549 -240.569227548281</t>
  </si>
  <si>
    <t>-605.979005562533 97.5299015056292 -360.178498664097</t>
  </si>
  <si>
    <t>-607.254749059634 89.9614343050563 -481.139794326153</t>
  </si>
  <si>
    <t>-601.156449692388 78.7049223439173 -589.909977605511</t>
  </si>
  <si>
    <t>-587.892560927057 63.1869402689551 -697.511598818792</t>
  </si>
  <si>
    <t>-561.998889767802 37.3108810030616 -845.362675171051</t>
  </si>
  <si>
    <t>-515.82341041032 21.03416566667 -934.726407449444</t>
  </si>
  <si>
    <t>-569.200028928825 79.9143247875963 -784.650351950338</t>
  </si>
  <si>
    <t>-548.427466208306 225.362745595009 -778.743847084874</t>
  </si>
  <si>
    <t>-440.788389065419 249.841322206857 -482.094530308127</t>
  </si>
  <si>
    <t>-239.311707432353 202.265674943838 -324.659630129481</t>
  </si>
  <si>
    <t>-577.712059741055 17.6060923663717 -775.2362029803</t>
  </si>
  <si>
    <t>-568.985475791153 188.857924757941 -239.989123758727</t>
  </si>
  <si>
    <t>-568.28007172827 231.721455305088 213.684606884167</t>
  </si>
  <si>
    <t>-627.514327733178 253.339321681364 679.163623921831</t>
  </si>
  <si>
    <t>-472.190771054486 239.86246635021 760.628093420118</t>
  </si>
  <si>
    <t>-620.919697162515 8.04786699340589 214.898671334146</t>
  </si>
  <si>
    <t>-658.298759389765 2.22377270041552 683.251827428778</t>
  </si>
  <si>
    <t>-502.565879448901 -40.8557327510034 752.785624438969</t>
  </si>
  <si>
    <t>9763-20170724T164132.726211300.bin</t>
  </si>
  <si>
    <t>-587.308141978884 93.8957942388126 -240.590580629687</t>
  </si>
  <si>
    <t>-605.968843554229 97.6693003499295 -360.19545234833</t>
  </si>
  <si>
    <t>-607.276940274305 90.0744444377251 -481.154973301924</t>
  </si>
  <si>
    <t>-601.21030297548 78.7845993857005 -589.923480858174</t>
  </si>
  <si>
    <t>-587.981186172876 63.222512313077 -697.522932533765</t>
  </si>
  <si>
    <t>-562.139781590217 37.2725678277635 -845.370256679938</t>
  </si>
  <si>
    <t>-516.008811459187 20.9275510949579 -934.744450597684</t>
  </si>
  <si>
    <t>-569.294522182587 79.9036936375461 -784.671715548455</t>
  </si>
  <si>
    <t>-548.315350375868 225.34063080813 -778.815524087043</t>
  </si>
  <si>
    <t>-439.405182416943 249.108815793133 -482.572530464279</t>
  </si>
  <si>
    <t>-238.107180494148 202.071397758842 -324.747926094639</t>
  </si>
  <si>
    <t>-577.853127897734 17.6055081286233 -775.233092164131</t>
  </si>
  <si>
    <t>-569.003508397102 189.067532260362 -240.014137071026</t>
  </si>
  <si>
    <t>-568.401694579499 231.775642802082 213.674460467674</t>
  </si>
  <si>
    <t>-627.530033579842 253.367260096767 679.176724431463</t>
  </si>
  <si>
    <t>-472.196313686945 239.927531385206 760.628090432155</t>
  </si>
  <si>
    <t>-620.776485576639 8.16476283619222 214.880550263643</t>
  </si>
  <si>
    <t>-658.27883865071 2.27101234974505 683.216286670153</t>
  </si>
  <si>
    <t>-502.53626081657 -40.7741634426096 752.749574927418</t>
  </si>
  <si>
    <t>9763-20170724T164132.760806200.bin</t>
  </si>
  <si>
    <t>-587.325449366416 93.9939291877879 -240.616929970215</t>
  </si>
  <si>
    <t>-605.984830228588 97.7581256389026 -360.222353655465</t>
  </si>
  <si>
    <t>-607.305226785406 90.1373240878451 -481.180078345042</t>
  </si>
  <si>
    <t>-601.25665837266 78.8148028403355 -589.946179382341</t>
  </si>
  <si>
    <t>-588.053398013346 63.2093695229849 -697.542569761831</t>
  </si>
  <si>
    <t>-562.256573577895 37.1866990781469 -845.384972410997</t>
  </si>
  <si>
    <t>-516.168878803611 20.7652574553612 -934.767517871618</t>
  </si>
  <si>
    <t>-569.367997941248 79.8449862516921 -784.700337315978</t>
  </si>
  <si>
    <t>-548.27280411733 225.253609541349 -778.869134812236</t>
  </si>
  <si>
    <t>-438.236035616741 248.429143655886 -482.995956901104</t>
  </si>
  <si>
    <t>-237.070722610111 201.615311318907 -324.935753729444</t>
  </si>
  <si>
    <t>-577.973852926446 17.5569121746642 -775.238194977646</t>
  </si>
  <si>
    <t>-569.064225254862 189.11020859475 -240.044641126588</t>
  </si>
  <si>
    <t>-568.423582071753 231.857024054823 213.640249662075</t>
  </si>
  <si>
    <t>-627.547332837706 253.409906620135 679.169529669338</t>
  </si>
  <si>
    <t>-472.209515563665 239.975196742729 760.61393292179</t>
  </si>
  <si>
    <t>-620.686396571938 8.25233378323509 214.852538834973</t>
  </si>
  <si>
    <t>-658.26000226531 2.36379242582339 683.183459675176</t>
  </si>
  <si>
    <t>-502.328977197379 -40.043207945164 752.686626801174</t>
  </si>
  <si>
    <t>9763-20170724T164132.824136200.bin</t>
  </si>
  <si>
    <t>-587.611271527943 94.1515038109975 -240.680921364904</t>
  </si>
  <si>
    <t>-606.328726504783 97.8943828881159 -360.277930696899</t>
  </si>
  <si>
    <t>-607.716179247304 90.2458394026883 -481.233123759972</t>
  </si>
  <si>
    <t>-601.733049728132 78.8931102397512 -589.999744011897</t>
  </si>
  <si>
    <t>-588.600544555961 63.2505674371601 -697.599476069128</t>
  </si>
  <si>
    <t>-562.908338914812 37.1675983160934 -845.449335713991</t>
  </si>
  <si>
    <t>-516.880733281481 20.6456758728672 -934.844311733699</t>
  </si>
  <si>
    <t>-569.960008609808 79.8487777936024 -784.773945229407</t>
  </si>
  <si>
    <t>-548.626519272443 225.23106169416 -778.965821184934</t>
  </si>
  <si>
    <t>-436.353772458059 247.011647770358 -483.827532411474</t>
  </si>
  <si>
    <t>-235.324561284234 200.954963454514 -325.372239000163</t>
  </si>
  <si>
    <t>-578.592672868353 17.5682039044452 -775.286857335281</t>
  </si>
  <si>
    <t>-569.295073001252 189.377932769982 -240.120084602055</t>
  </si>
  <si>
    <t>-568.521281649208 231.992986467631 213.577054544684</t>
  </si>
  <si>
    <t>-627.59745420981 253.489138498016 679.132249554989</t>
  </si>
  <si>
    <t>-472.242050409711 240.058926915312 760.543754741843</t>
  </si>
  <si>
    <t>-620.841485200024 8.24415037629174 214.79266868984</t>
  </si>
  <si>
    <t>-658.247544484127 2.37657417679777 683.142423101528</t>
  </si>
  <si>
    <t>-502.281011507419 -39.9519354542813 752.613678788948</t>
  </si>
  <si>
    <t>9763-20170724T164132.889107600.bin</t>
  </si>
  <si>
    <t>-588.049648763015 94.1396781512564 -240.68046515109</t>
  </si>
  <si>
    <t>-606.863937412611 97.8926523012891 -360.26211920167</t>
  </si>
  <si>
    <t>-608.33930822004 90.2531024380031 -481.216659004675</t>
  </si>
  <si>
    <t>-602.432229236977 78.906527654124 -589.988102973888</t>
  </si>
  <si>
    <t>-589.372599077742 63.2671603659898 -697.597095510123</t>
  </si>
  <si>
    <t>-563.778628035702 37.184676737913 -845.464060881282</t>
  </si>
  <si>
    <t>-517.777735998102 20.6483350345133 -934.870213934009</t>
  </si>
  <si>
    <t>-570.782459067455 79.8648291880252 -784.78249733198</t>
  </si>
  <si>
    <t>-549.266382483577 225.207705339127 -778.940571156311</t>
  </si>
  <si>
    <t>-434.628931477494 245.592688841922 -484.612640796432</t>
  </si>
  <si>
    <t>-233.922162757102 200.525297747011 -325.465612533018</t>
  </si>
  <si>
    <t>-579.423849133807 17.5858502092398 -775.292699848605</t>
  </si>
  <si>
    <t>-569.759440740131 189.468688267547 -240.096421672708</t>
  </si>
  <si>
    <t>-568.785788874629 232.007284480591 213.607451920637</t>
  </si>
  <si>
    <t>-627.6711899139 253.584049046707 679.170255429156</t>
  </si>
  <si>
    <t>-472.299719487521 240.078066065713 760.538674285595</t>
  </si>
  <si>
    <t>-621.157608590856 8.11888408785097 214.786368597509</t>
  </si>
  <si>
    <t>-658.230004744824 2.44429838075904 683.150374321759</t>
  </si>
  <si>
    <t>-501.957882156737 -38.8440874043249 752.560849093721</t>
  </si>
  <si>
    <t>9763-20170724T164132.922215900.bin</t>
  </si>
  <si>
    <t>-588.351621244874 94.0677256728542 -240.668767871222</t>
  </si>
  <si>
    <t>-607.16068948619 97.8171359697379 -360.251250421242</t>
  </si>
  <si>
    <t>-608.663184700557 90.1867838087947 -481.206166596878</t>
  </si>
  <si>
    <t>-602.79378360395 78.8529005441359 -589.980880175901</t>
  </si>
  <si>
    <t>-589.784784881735 63.2300917753814 -697.598404428102</t>
  </si>
  <si>
    <t>-564.274316001453 37.173981361847 -845.484599739096</t>
  </si>
  <si>
    <t>-518.3008540575 20.6450226384076 -934.906102464176</t>
  </si>
  <si>
    <t>-571.23620686645 79.8424958550223 -784.789800198209</t>
  </si>
  <si>
    <t>-549.568583158056 225.175594375917 -778.904547022206</t>
  </si>
  <si>
    <t>-433.659265846728 244.706797634959 -485.017220459473</t>
  </si>
  <si>
    <t>-233.211351442114 200.188446654609 -325.390224351097</t>
  </si>
  <si>
    <t>-579.887625635353 17.5634918081748 -775.309181805541</t>
  </si>
  <si>
    <t>-570.02118663555 189.481393515336 -240.09461120217</t>
  </si>
  <si>
    <t>-569.008488017483 231.927167190784 213.617861416794</t>
  </si>
  <si>
    <t>-627.718176824027 253.651988685486 679.195904391487</t>
  </si>
  <si>
    <t>-472.343106877722 239.983893126819 760.530296019885</t>
  </si>
  <si>
    <t>-621.375607481705 7.96664320463333 214.785973163603</t>
  </si>
  <si>
    <t>-658.238026870824 2.3535599755828 683.166019506599</t>
  </si>
  <si>
    <t>-502.087736332793 -39.3726835374997 752.5887257528</t>
  </si>
  <si>
    <t>9763-20170724T164132.992968800.bin</t>
  </si>
  <si>
    <t>-589.134022667867 93.7689874986653 -240.673967026324</t>
  </si>
  <si>
    <t>-608.03382107436 97.5195654457624 -360.2420670778</t>
  </si>
  <si>
    <t>-609.625283467422 89.9192360252176 -481.197661970012</t>
  </si>
  <si>
    <t>-603.836489056014 78.6211739259073 -589.980574461539</t>
  </si>
  <si>
    <t>-590.908855067505 63.0410745177568 -697.614014526044</t>
  </si>
  <si>
    <t>-565.512887072624 37.0498833953356 -845.531393534141</t>
  </si>
  <si>
    <t>-519.573649111701 20.5526095048678 -934.976299211096</t>
  </si>
  <si>
    <t>-572.400960415817 79.6887560315639 -784.807415722926</t>
  </si>
  <si>
    <t>-550.463671303046 224.968516460506 -778.79527304338</t>
  </si>
  <si>
    <t>-432.359943829524 242.875794298432 -485.67916759245</t>
  </si>
  <si>
    <t>-232.490010962586 199.813760598076 -324.931853421865</t>
  </si>
  <si>
    <t>-581.098651463011 17.4115720807662 -775.35772508301</t>
  </si>
  <si>
    <t>-570.909093839797 189.375509788166 -240.07865584594</t>
  </si>
  <si>
    <t>-569.55147776073 231.822245704143 213.632798406554</t>
  </si>
  <si>
    <t>-627.837294114377 253.752542287849 679.282252907429</t>
  </si>
  <si>
    <t>-472.421654566602 239.904681166294 760.508676824131</t>
  </si>
  <si>
    <t>-621.995554919068 7.53875408496816 214.799693116501</t>
  </si>
  <si>
    <t>-658.264474950872 2.19545723965104 683.217736142312</t>
  </si>
  <si>
    <t>-502.234455999343 -39.9781862720092 752.640599804817</t>
  </si>
  <si>
    <t>9763-20170724T164133.024051700.bin</t>
  </si>
  <si>
    <t>-589.591545540566 93.5184655320843 -240.659439481197</t>
  </si>
  <si>
    <t>-608.501503844368 97.3070499840771 -360.224813452018</t>
  </si>
  <si>
    <t>-610.11992996926 89.7423929140097 -481.182291903926</t>
  </si>
  <si>
    <t>-604.363054408053 78.4738074532812 -589.969940270169</t>
  </si>
  <si>
    <t>-591.475268452045 62.919123395058 -697.611894158497</t>
  </si>
  <si>
    <t>-566.142946120812 36.9579703110016 -845.545254429875</t>
  </si>
  <si>
    <t>-520.230890764492 20.4734286275358 -935.006626462768</t>
  </si>
  <si>
    <t>-572.983648324877 79.5821814480554 -784.805712964196</t>
  </si>
  <si>
    <t>-550.920299519677 224.846000533005 -778.724155082836</t>
  </si>
  <si>
    <t>-431.703963171548 241.877654228088 -486.006634061224</t>
  </si>
  <si>
    <t>-232.05210646609 199.419048789605 -324.828289148192</t>
  </si>
  <si>
    <t>-581.719759844819 17.3077435249898 -775.373074028175</t>
  </si>
  <si>
    <t>-571.370843066614 189.229505969351 -240.053825299556</t>
  </si>
  <si>
    <t>-569.923022333337 231.711919816338 213.653972545226</t>
  </si>
  <si>
    <t>-627.900443826426 253.818229313191 679.330010240709</t>
  </si>
  <si>
    <t>-472.464042641092 239.838689153334 760.494125256145</t>
  </si>
  <si>
    <t>-622.373660912845 7.29995092057642 214.790022216739</t>
  </si>
  <si>
    <t>-658.273420624071 2.18370281315251 683.242008277331</t>
  </si>
  <si>
    <t>-502.488152095094 -40.8511050828526 752.686062366569</t>
  </si>
  <si>
    <t>9763-20170724T164133.093979200.bin</t>
  </si>
  <si>
    <t>-590.350703136808 93.1621804827255 -240.701799965151</t>
  </si>
  <si>
    <t>-609.281120199685 96.9901427968369 -360.262533110351</t>
  </si>
  <si>
    <t>-610.982109795389 89.4523388597643 -481.220592300832</t>
  </si>
  <si>
    <t>-605.325937581952 78.1994505654893 -590.015123900013</t>
  </si>
  <si>
    <t>-592.564993055156 62.6498861050203 -697.673052687497</t>
  </si>
  <si>
    <t>-567.436303175275 36.6826600768921 -845.63995778946</t>
  </si>
  <si>
    <t>-521.612531973293 20.1707164756881 -935.141561231149</t>
  </si>
  <si>
    <t>-574.139429438671 79.3033378305571 -784.882533796032</t>
  </si>
  <si>
    <t>-551.818831803534 224.523662827095 -778.807314684648</t>
  </si>
  <si>
    <t>-431.319210075191 240.717157887414 -486.567954357741</t>
  </si>
  <si>
    <t>-231.76316215638 198.817908019508 -325.124886962931</t>
  </si>
  <si>
    <t>-582.970574802371 17.0414287414261 -775.455799223054</t>
  </si>
  <si>
    <t>-572.254034935115 188.952113182101 -240.082659167323</t>
  </si>
  <si>
    <t>-570.64210703063 231.437796471754 213.624395069957</t>
  </si>
  <si>
    <t>-627.982992091469 253.963753470681 679.385827993001</t>
  </si>
  <si>
    <t>-472.558634742757 239.581931207844 760.502646663076</t>
  </si>
  <si>
    <t>-622.867649890325 6.9800016323149 214.747161359514</t>
  </si>
  <si>
    <t>-658.301965688982 2.06950217921389 683.253559741969</t>
  </si>
  <si>
    <t>-502.740725847836 -41.7403866265063 752.715108160893</t>
  </si>
  <si>
    <t>9763-20170724T164133.128070900.bin</t>
  </si>
  <si>
    <t>-590.584876862038 93.0576037046472 -240.702060709257</t>
  </si>
  <si>
    <t>-609.502738571622 96.8972855747605 -360.264496119107</t>
  </si>
  <si>
    <t>-611.251295879169 89.3461149352896 -481.221055589786</t>
  </si>
  <si>
    <t>-605.662410337403 78.0696049393835 -590.016569165131</t>
  </si>
  <si>
    <t>-592.992603205354 62.4842136694249 -697.679968905106</t>
  </si>
  <si>
    <t>-568.015230854292 36.4538295677832 -845.66154865365</t>
  </si>
  <si>
    <t>-522.247829947292 19.887201064344 -935.181717825871</t>
  </si>
  <si>
    <t>-574.615981474354 79.095858417902 -784.907856602821</t>
  </si>
  <si>
    <t>-552.243041323834 224.313955535408 -778.888782696937</t>
  </si>
  <si>
    <t>-431.374749017641 240.488392140138 -486.800759352511</t>
  </si>
  <si>
    <t>-231.889047900499 198.317910721279 -325.341281636052</t>
  </si>
  <si>
    <t>-583.517912967238 16.8471249306989 -775.460643058719</t>
  </si>
  <si>
    <t>-572.464691528103 188.816437118254 -240.088419517716</t>
  </si>
  <si>
    <t>-570.769497478819 231.337712341511 213.614978497638</t>
  </si>
  <si>
    <t>-628.00566183314 254.013783397185 679.392523477916</t>
  </si>
  <si>
    <t>-472.5981691732 239.470106022593 760.512844142504</t>
  </si>
  <si>
    <t>-622.98017963298 7.00174474399599 214.738527786141</t>
  </si>
  <si>
    <t>-658.313796788044 2.11135881719893 683.245177560784</t>
  </si>
  <si>
    <t>-502.362358525092 -40.3539591527402 752.66682332227</t>
  </si>
  <si>
    <t>9763-20170724T164133.191765200.bin</t>
  </si>
  <si>
    <t>-590.854659555037 92.9500231991295 -240.753175215029</t>
  </si>
  <si>
    <t>-609.85898041407 96.8777985009256 -360.299100894577</t>
  </si>
  <si>
    <t>-611.757032799271 89.2983215229531 -481.251578333945</t>
  </si>
  <si>
    <t>-606.32880271995 77.9454204769038 -590.047188567057</t>
  </si>
  <si>
    <t>-593.845401949902 62.2312649290562 -697.713760408352</t>
  </si>
  <si>
    <t>-569.153665630855 35.965672320145 -845.70173215723</t>
  </si>
  <si>
    <t>-523.492621396497 19.2176353905297 -935.242591137339</t>
  </si>
  <si>
    <t>-575.515938356098 78.6901276451765 -784.980622298113</t>
  </si>
  <si>
    <t>-553.10495073916 223.910178546207 -779.38054076242</t>
  </si>
  <si>
    <t>-432.72982235819 241.261399691249 -487.156418114868</t>
  </si>
  <si>
    <t>-233.490194858855 197.620796720408 -325.783675630762</t>
  </si>
  <si>
    <t>-584.642038171466 16.4846446312724 -775.462730850581</t>
  </si>
  <si>
    <t>-572.666949895228 188.77125999015 -240.130404601469</t>
  </si>
  <si>
    <t>-570.872932459823 231.155633940704 213.585405910718</t>
  </si>
  <si>
    <t>-628.009758193738 254.145311489117 679.375481253971</t>
  </si>
  <si>
    <t>-472.678532763306 239.167960786194 760.562874607748</t>
  </si>
  <si>
    <t>-623.155269106859 6.95375837727636 214.693584853931</t>
  </si>
  <si>
    <t>-658.333689474611 2.08554432692797 683.217423733383</t>
  </si>
  <si>
    <t>-502.342559430084 -40.212713815938 752.651954349533</t>
  </si>
  <si>
    <t>9763-20170724T164133.223851200.bin</t>
  </si>
  <si>
    <t>-590.887598320621 92.9420104682263 -240.769300550213</t>
  </si>
  <si>
    <t>-609.920989192497 96.9185165674559 -360.30880229515</t>
  </si>
  <si>
    <t>-611.892101663275 89.3212823984683 -481.259148609961</t>
  </si>
  <si>
    <t>-606.545853963582 77.9266064723854 -590.054417612171</t>
  </si>
  <si>
    <t>-594.15891037521 62.1459989287405 -697.722472362085</t>
  </si>
  <si>
    <t>-569.615364390954 35.7633173092038 -845.714136963589</t>
  </si>
  <si>
    <t>-524.016570380929 18.9154309224237 -935.2680994891</t>
  </si>
  <si>
    <t>-575.874912053345 78.530843551145 -785.012696311413</t>
  </si>
  <si>
    <t>-553.421357492066 223.751588563598 -779.598246121565</t>
  </si>
  <si>
    <t>-433.619654435272 241.687706682041 -487.173852792405</t>
  </si>
  <si>
    <t>-234.603382261348 197.183314152483 -325.761588950128</t>
  </si>
  <si>
    <t>-585.075343162311 16.3428299357934 -775.452192047206</t>
  </si>
  <si>
    <t>-572.551846210398 188.747457232989 -240.131218636763</t>
  </si>
  <si>
    <t>-570.704350967481 231.116730308153 213.585779859467</t>
  </si>
  <si>
    <t>-628.000758163019 254.176233282149 679.360574885159</t>
  </si>
  <si>
    <t>-472.701303503787 239.070913724928 760.585101576589</t>
  </si>
  <si>
    <t>-623.221397124227 6.95801136879669 214.673004919704</t>
  </si>
  <si>
    <t>-658.339356184053 2.09406336795168 683.205913472086</t>
  </si>
  <si>
    <t>-502.298332709133 -40.032067298813 752.632959957735</t>
  </si>
  <si>
    <t>9763-20170724T164133.292061800.bin</t>
  </si>
  <si>
    <t>-590.854440276095 92.9983230200613 -240.795170489445</t>
  </si>
  <si>
    <t>-609.977918194905 97.0186757661751 -360.318910473266</t>
  </si>
  <si>
    <t>-612.059367016863 89.3868207054777 -481.265167095958</t>
  </si>
  <si>
    <t>-606.818530909031 77.9305919481462 -590.059282093738</t>
  </si>
  <si>
    <t>-594.541220156351 62.0598726733144 -697.72655996434</t>
  </si>
  <si>
    <t>-570.153478414829 35.5236055609258 -845.716606250607</t>
  </si>
  <si>
    <t>-524.615690751811 18.5068820060503 -935.269446984091</t>
  </si>
  <si>
    <t>-576.275045915562 78.3452139298859 -785.039023499329</t>
  </si>
  <si>
    <t>-553.672392587516 223.545572466537 -779.833328046501</t>
  </si>
  <si>
    <t>-435.378529945819 241.753244526492 -486.812450145925</t>
  </si>
  <si>
    <t>-236.880194131162 195.773174900878 -325.176231979312</t>
  </si>
  <si>
    <t>-585.613590799316 16.1849683810084 -775.431974215136</t>
  </si>
  <si>
    <t>-572.164982335844 188.862468317673 -240.177478677593</t>
  </si>
  <si>
    <t>-570.296366200249 230.999272951184 213.561012416837</t>
  </si>
  <si>
    <t>-627.969613344075 254.231766187479 679.290289838766</t>
  </si>
  <si>
    <t>-472.740208698747 238.906656906497 760.607454072915</t>
  </si>
  <si>
    <t>-623.17371997752 7.01725029834529 214.677040406877</t>
  </si>
  <si>
    <t>-658.341349855098 2.08045742672383 683.203192031059</t>
  </si>
  <si>
    <t>-502.540496856496 -40.8889916481562 752.652669784664</t>
  </si>
  <si>
    <t>9763-20170724T164133.324148200.bin</t>
  </si>
  <si>
    <t>-590.816209339962 93.0762535625059 -240.810626945461</t>
  </si>
  <si>
    <t>-609.985064676416 97.1216120569027 -360.326183086947</t>
  </si>
  <si>
    <t>-612.118814499904 89.4622903560363 -481.269819480583</t>
  </si>
  <si>
    <t>-606.926640313266 77.9609448252923 -590.061499253738</t>
  </si>
  <si>
    <t>-594.698899352712 62.025876230921 -697.724863218305</t>
  </si>
  <si>
    <t>-570.380245354393 35.3808457374408 -845.706785724551</t>
  </si>
  <si>
    <t>-524.865177271522 18.2659632330119 -935.252526506006</t>
  </si>
  <si>
    <t>-576.449258330411 78.244074007443 -785.053437095033</t>
  </si>
  <si>
    <t>-553.733500748014 223.445820239214 -779.969021574453</t>
  </si>
  <si>
    <t>-436.150281220639 242.107793824057 -486.690773313703</t>
  </si>
  <si>
    <t>-237.973354991241 195.50045038878 -324.839852177326</t>
  </si>
  <si>
    <t>-585.831792654805 16.0968554646224 -775.405337670902</t>
  </si>
  <si>
    <t>-572.02068405697 188.913326492408 -240.194636500477</t>
  </si>
  <si>
    <t>-570.038976255864 230.982633047506 213.549736805518</t>
  </si>
  <si>
    <t>-627.94264008288 254.211970874513 679.252397320858</t>
  </si>
  <si>
    <t>-472.738825333391 238.895157903429 760.619973293529</t>
  </si>
  <si>
    <t>-623.079141131943 7.14000186233014 214.672144034459</t>
  </si>
  <si>
    <t>-658.320593066708 2.17681482907219 683.198694084694</t>
  </si>
  <si>
    <t>-502.33369385141 -40.1155415211495 752.646149118283</t>
  </si>
  <si>
    <t>9763-20170724T164133.388862200.bin</t>
  </si>
  <si>
    <t>-590.911885215105 93.1709994724671 -240.803487691988</t>
  </si>
  <si>
    <t>-610.171927290377 97.2238460238702 -360.304310951553</t>
  </si>
  <si>
    <t>-612.397194109144 89.4459483936238 -481.238678104401</t>
  </si>
  <si>
    <t>-607.287041465842 77.7863042980084 -590.017274004098</t>
  </si>
  <si>
    <t>-595.140546011141 61.6422775429889 -697.658769267534</t>
  </si>
  <si>
    <t>-570.934172108795 34.6546644874193 -845.597004675002</t>
  </si>
  <si>
    <t>-525.442633091803 17.3386841326581 -935.115998891082</t>
  </si>
  <si>
    <t>-576.904032853308 77.6517289393313 -785.028583848367</t>
  </si>
  <si>
    <t>-553.994626340172 222.817854727143 -780.225583841158</t>
  </si>
  <si>
    <t>-437.325980100184 242.286646466036 -486.634630864246</t>
  </si>
  <si>
    <t>-239.64532521534 194.850051204746 -324.418068498915</t>
  </si>
  <si>
    <t>-586.385487374045 15.5399909405286 -775.249237305399</t>
  </si>
  <si>
    <t>-571.961647214532 189.047354186929 -240.212861418035</t>
  </si>
  <si>
    <t>-569.66623889827 231.10111502486 213.531437499396</t>
  </si>
  <si>
    <t>-627.914559692387 254.209077622346 679.189533269183</t>
  </si>
  <si>
    <t>-472.740567784495 238.924940353402 760.620118483042</t>
  </si>
  <si>
    <t>-623.024511594086 7.15691837597078 214.708614691557</t>
  </si>
  <si>
    <t>-658.344379950899 2.07028892083344 683.214863175624</t>
  </si>
  <si>
    <t>-502.437709773138 -40.4756242583243 752.687508132064</t>
  </si>
  <si>
    <t>9763-20170724T164133.424961400.bin</t>
  </si>
  <si>
    <t>-591.033955276657 93.1992591142069 -240.80834264166</t>
  </si>
  <si>
    <t>-610.361060528414 97.268655579351 -360.297696437135</t>
  </si>
  <si>
    <t>-612.660840397143 89.4548410047251 -481.228338745176</t>
  </si>
  <si>
    <t>-607.621115917771 77.7404004557021 -590.004357819552</t>
  </si>
  <si>
    <t>-595.547929856548 61.5186595178261 -697.642493926872</t>
  </si>
  <si>
    <t>-571.446836045004 34.3988351629232 -845.573700836396</t>
  </si>
  <si>
    <t>-525.988496806556 17.0100509081411 -935.095500180591</t>
  </si>
  <si>
    <t>-577.363050715294 77.4486976245306 -785.037522568272</t>
  </si>
  <si>
    <t>-554.383188286415 222.61455232307 -780.378097086066</t>
  </si>
  <si>
    <t>-437.869472971246 242.288619345302 -486.739335371504</t>
  </si>
  <si>
    <t>-240.327772313773 194.56916929549 -324.436726347063</t>
  </si>
  <si>
    <t>-586.858616249381 15.3483639176558 -775.199803123794</t>
  </si>
  <si>
    <t>-572.108779423349 189.139933568771 -240.217616643383</t>
  </si>
  <si>
    <t>-569.687050236234 231.097569885109 213.534878138723</t>
  </si>
  <si>
    <t>-627.917059050211 254.201957102829 679.188847526548</t>
  </si>
  <si>
    <t>-472.742591430332 238.938422842485 760.622418224957</t>
  </si>
  <si>
    <t>-622.991523297752 7.15819477119439 214.709630099961</t>
  </si>
  <si>
    <t>-658.332770320432 2.1017832234417 683.219110449885</t>
  </si>
  <si>
    <t>-502.606011320751 -41.0658228781602 752.711974123958</t>
  </si>
  <si>
    <t>9763-20170724T164133.492759000.bin</t>
  </si>
  <si>
    <t>-591.407988384323 93.2138948002802 -240.798073910427</t>
  </si>
  <si>
    <t>-610.818202795059 97.2748854921251 -360.274177426245</t>
  </si>
  <si>
    <t>-613.266135149334 89.3854410975766 -481.197063541554</t>
  </si>
  <si>
    <t>-608.385917265084 77.5740916073306 -589.969908364327</t>
  </si>
  <si>
    <t>-596.497501705725 61.2260226168346 -697.609256127906</t>
  </si>
  <si>
    <t>-572.679117899176 33.8991071086457 -845.548254592835</t>
  </si>
  <si>
    <t>-527.307151114598 16.3747117464706 -935.087428447959</t>
  </si>
  <si>
    <t>-578.472289387541 77.0327708339394 -785.059840945037</t>
  </si>
  <si>
    <t>-555.515967374568 222.216151015705 -780.669918918159</t>
  </si>
  <si>
    <t>-438.645345574131 242.095307265727 -487.186944153167</t>
  </si>
  <si>
    <t>-241.383407402032 193.550924740884 -324.788565467879</t>
  </si>
  <si>
    <t>-587.963781041732 14.9480892830342 -775.11989160101</t>
  </si>
  <si>
    <t>-572.464094258172 189.121405577334 -240.217516684396</t>
  </si>
  <si>
    <t>-569.862800938548 231.080426795946 213.533923663198</t>
  </si>
  <si>
    <t>-627.931515884021 254.194724107252 679.185214735355</t>
  </si>
  <si>
    <t>-472.744812359948 239.004658728669 760.60917429243</t>
  </si>
  <si>
    <t>-623.148719335628 7.0845941801755 214.71435386758</t>
  </si>
  <si>
    <t>-658.350514018369 1.96378651991735 683.23913553974</t>
  </si>
  <si>
    <t>-502.603907553475 -41.1324411522609 752.731792995412</t>
  </si>
  <si>
    <t>9763-20170724T164133.524840800.bin</t>
  </si>
  <si>
    <t>-591.534133550496 93.1657436119719 -240.822547174047</t>
  </si>
  <si>
    <t>-611.022051584126 97.241999933275 -360.285678439563</t>
  </si>
  <si>
    <t>-613.568726304575 89.3302671884934 -481.20493668755</t>
  </si>
  <si>
    <t>-608.784595500958 77.4845958635842 -589.978351183079</t>
  </si>
  <si>
    <t>-596.998053842806 61.088928793875 -697.621774289388</t>
  </si>
  <si>
    <t>-573.326300187277 33.6827129618335 -845.569474607084</t>
  </si>
  <si>
    <t>-527.98687112527 16.1108192393939 -935.115882104178</t>
  </si>
  <si>
    <t>-579.059413158636 76.8487844045858 -785.098490254512</t>
  </si>
  <si>
    <t>-556.109741282495 222.029350822195 -780.861237976171</t>
  </si>
  <si>
    <t>-438.96005629401 242.1359204956 -487.505117432071</t>
  </si>
  <si>
    <t>-241.666469183988 193.185231694619 -325.267268892864</t>
  </si>
  <si>
    <t>-588.541231017657 14.7694647627953 -775.115879883789</t>
  </si>
  <si>
    <t>-572.505329208104 189.12430104399 -240.247241622726</t>
  </si>
  <si>
    <t>-569.908071617192 231.000977670991 213.511848108523</t>
  </si>
  <si>
    <t>-627.92985620043 254.205221822783 679.161502777565</t>
  </si>
  <si>
    <t>-472.752156973418 239.01285352815 760.602142461995</t>
  </si>
  <si>
    <t>-623.256407838576 7.05129768907067 214.714469999272</t>
  </si>
  <si>
    <t>-658.347712465818 2.01768089935108 683.247107006125</t>
  </si>
  <si>
    <t>-502.405608658303 -40.3986176485839 752.719614530715</t>
  </si>
  <si>
    <t>9763-20170724T164133.589538300.bin</t>
  </si>
  <si>
    <t>-591.917516048482 92.9854648064098 -240.83602821272</t>
  </si>
  <si>
    <t>-611.443520359239 97.0908162833713 -360.291818962512</t>
  </si>
  <si>
    <t>-614.145302272007 89.0939880395566 -481.202236019172</t>
  </si>
  <si>
    <t>-609.544693070438 77.1281487134556 -589.970214046159</t>
  </si>
  <si>
    <t>-597.982380280562 60.5708678501728 -697.613341719784</t>
  </si>
  <si>
    <t>-574.662168177917 32.8985701736796 -845.567431978277</t>
  </si>
  <si>
    <t>-529.411132746005 15.1845485450661 -935.130495547323</t>
  </si>
  <si>
    <t>-580.253066000129 76.1734623944633 -785.161009950809</t>
  </si>
  <si>
    <t>-557.439435349305 221.397513819289 -781.39791613245</t>
  </si>
  <si>
    <t>-440.343815160296 242.415371154389 -488.084023399891</t>
  </si>
  <si>
    <t>-243.270803860087 191.861071346492 -326.06995097991</t>
  </si>
  <si>
    <t>-589.70822376411 14.1118890419664 -775.043776746054</t>
  </si>
  <si>
    <t>-572.790797897594 188.960688411583 -240.264550870593</t>
  </si>
  <si>
    <t>-569.90479476143 230.891934458067 213.487699009217</t>
  </si>
  <si>
    <t>-627.943660234994 254.243171350243 679.140692621131</t>
  </si>
  <si>
    <t>-472.785279278824 238.965102658183 760.602144099494</t>
  </si>
  <si>
    <t>-623.511635542016 6.82435566947481 214.700399142529</t>
  </si>
  <si>
    <t>-658.353056102609 1.96698316542028 683.265308369953</t>
  </si>
  <si>
    <t>-502.544983826907 -40.88747519012 752.769701646904</t>
  </si>
  <si>
    <t>9763-20170724T164133.622626100.bin</t>
  </si>
  <si>
    <t>-592.093574594802 92.9605930928955 -240.837699617334</t>
  </si>
  <si>
    <t>-611.689125645112 97.0789750641784 -360.281726023237</t>
  </si>
  <si>
    <t>-614.481276280072 89.0306110721974 -481.186627641037</t>
  </si>
  <si>
    <t>-609.968634468338 76.9936276471412 -589.950528171951</t>
  </si>
  <si>
    <t>-598.4993787337 60.3418646160561 -697.588952951394</t>
  </si>
  <si>
    <t>-575.312977112593 32.5151156606659 -845.535085768211</t>
  </si>
  <si>
    <t>-530.094876074823 14.7239271786279 -935.099513236495</t>
  </si>
  <si>
    <t>-580.858079196378 75.8541382303287 -785.170438766861</t>
  </si>
  <si>
    <t>-558.180591400643 221.100960539905 -781.660335006821</t>
  </si>
  <si>
    <t>-441.423987844113 242.670846052646 -488.2514271218</t>
  </si>
  <si>
    <t>-244.39133708519 191.263223327148 -326.456909423111</t>
  </si>
  <si>
    <t>-590.286458914776 13.8010373727766 -774.976640868594</t>
  </si>
  <si>
    <t>-572.915314835445 189.032390759992 -240.27031976207</t>
  </si>
  <si>
    <t>-569.866116737379 230.841935095072 213.492088800829</t>
  </si>
  <si>
    <t>-627.961392427273 254.262585546167 679.145106988766</t>
  </si>
  <si>
    <t>-472.810809320554 238.894981737181 760.604700261784</t>
  </si>
  <si>
    <t>-623.693457331594 6.76962681103058 214.708210679818</t>
  </si>
  <si>
    <t>-658.358559573888 1.98521229167818 683.277716684288</t>
  </si>
  <si>
    <t>-502.500052852737 -40.6923212621848 752.777800158805</t>
  </si>
  <si>
    <t>9763-20170724T164133.669872900.bin</t>
  </si>
  <si>
    <t>-592.282249896228 92.9908964341166 -240.840032743743</t>
  </si>
  <si>
    <t>-611.936034486561 97.1290501827777 -360.273709954689</t>
  </si>
  <si>
    <t>-614.809886259645 89.0449055394583 -481.174272341805</t>
  </si>
  <si>
    <t>-610.378420259146 76.9550505613393 -589.935756213664</t>
  </si>
  <si>
    <t>-598.996298878423 60.2311831348458 -697.572186242122</t>
  </si>
  <si>
    <t>-575.936158229661 32.2854157709031 -845.51564456976</t>
  </si>
  <si>
    <t>-530.736846721753 14.4434934093779 -935.079398770972</t>
  </si>
  <si>
    <t>-581.446444679598 75.6750678688369 -785.184117562315</t>
  </si>
  <si>
    <t>-558.849475037122 220.941753608746 -781.882447707765</t>
  </si>
  <si>
    <t>-442.558822539535 243.420105329427 -488.356643937455</t>
  </si>
  <si>
    <t>-245.505784319427 191.513920130811 -326.746401833978</t>
  </si>
  <si>
    <t>-590.832664375044 13.6260766763906 -774.926526245701</t>
  </si>
  <si>
    <t>-573.07139185479 189.090582624104 -240.273312052605</t>
  </si>
  <si>
    <t>-569.934868166257 230.8482804022 213.493297703353</t>
  </si>
  <si>
    <t>-627.984257269212 254.291678303441 679.147555348258</t>
  </si>
  <si>
    <t>-472.841557031389 238.829803519173 760.604219642253</t>
  </si>
  <si>
    <t>-623.827754257698 6.80040087922603 214.703293950344</t>
  </si>
  <si>
    <t>-658.347412315408 2.13034569489727 683.289850967303</t>
  </si>
  <si>
    <t>-502.120661448911 -39.2523005434932 752.74617383705</t>
  </si>
  <si>
    <t>9763-20170724T164133.729031800.bin</t>
  </si>
  <si>
    <t>-592.89965613184 92.9387748851331 -240.844433036123</t>
  </si>
  <si>
    <t>-612.644954470809 97.052622620723 -360.263933767973</t>
  </si>
  <si>
    <t>-615.717866966839 88.9135443405537 -481.15595506649</t>
  </si>
  <si>
    <t>-611.505823925935 76.7644235927725 -589.919443433599</t>
  </si>
  <si>
    <t>-600.379992740855 59.9727593050234 -697.572142831443</t>
  </si>
  <si>
    <t>-577.711817782477 31.9251272878992 -845.556843310198</t>
  </si>
  <si>
    <t>-532.563657079531 14.0163595790954 -935.133184064939</t>
  </si>
  <si>
    <t>-583.11736727295 75.3629607867726 -785.25067872069</t>
  </si>
  <si>
    <t>-560.808829691841 220.67445422747 -782.298625891364</t>
  </si>
  <si>
    <t>-445.396962155587 244.642934740837 -488.544026883647</t>
  </si>
  <si>
    <t>-248.970457043738 191.148814116545 -326.688877966045</t>
  </si>
  <si>
    <t>-592.366244656526 13.3077546102178 -774.90597671301</t>
  </si>
  <si>
    <t>-573.815921180411 189.186844046628 -240.301817661255</t>
  </si>
  <si>
    <t>-570.32306648623 230.90209487871 213.466084070348</t>
  </si>
  <si>
    <t>-628.028224198406 254.365382014333 679.156226888803</t>
  </si>
  <si>
    <t>-472.903154405834 238.660183128828 760.599949872096</t>
  </si>
  <si>
    <t>-624.197963811929 6.59528551187346 214.716166790225</t>
  </si>
  <si>
    <t>-658.387273431394 1.96474165386971 683.32637404209</t>
  </si>
  <si>
    <t>-502.525608945176 -40.7128165252335 752.819467451114</t>
  </si>
  <si>
    <t>9763-20170724T164133.789204500.bin</t>
  </si>
  <si>
    <t>-593.448289774693 92.9077885041151 -240.844054956404</t>
  </si>
  <si>
    <t>-613.296590560588 97.0063968620409 -360.246999841276</t>
  </si>
  <si>
    <t>-616.548848886766 88.842646110208 -481.132762948325</t>
  </si>
  <si>
    <t>-612.524911052732 76.6719139387856 -589.900880262031</t>
  </si>
  <si>
    <t>-601.610084289711 59.8616939860294 -697.57238915034</t>
  </si>
  <si>
    <t>-579.255875366756 31.7934085081681 -845.600962746134</t>
  </si>
  <si>
    <t>-534.212086929558 13.9334664145558 -935.23936006813</t>
  </si>
  <si>
    <t>-584.628836962996 75.2508707366156 -785.305946169405</t>
  </si>
  <si>
    <t>-562.938677670308 220.675516147748 -782.612765733562</t>
  </si>
  <si>
    <t>-448.83053883876 245.793326294339 -488.445046292904</t>
  </si>
  <si>
    <t>-253.25949580367 188.639225010321 -326.805311402418</t>
  </si>
  <si>
    <t>-593.664991240564 13.1746270825309 -774.899864395186</t>
  </si>
  <si>
    <t>-574.512987243989 189.145783265673 -240.314945126186</t>
  </si>
  <si>
    <t>-570.705812098928 230.901100162643 213.446676792701</t>
  </si>
  <si>
    <t>-628.0722545509 254.395220018248 679.179785611475</t>
  </si>
  <si>
    <t>-472.948608012412 238.560888648505 760.601213055002</t>
  </si>
  <si>
    <t>-624.399893730296 6.60648700200365 214.749096036969</t>
  </si>
  <si>
    <t>-658.386231797172 1.97766430241239 683.369556848644</t>
  </si>
  <si>
    <t>-502.495318566833 -40.6323478079347 752.83852503763</t>
  </si>
  <si>
    <t>9763-20170724T164133.822290600.bin</t>
  </si>
  <si>
    <t>-593.656455586939 92.9409354386491 -240.841377932724</t>
  </si>
  <si>
    <t>-613.523986330523 97.0316058951906 -360.241257832668</t>
  </si>
  <si>
    <t>-616.866617196815 88.8432656561337 -481.122774090919</t>
  </si>
  <si>
    <t>-612.951847579947 76.6438926598103 -589.891875762985</t>
  </si>
  <si>
    <t>-602.172667654942 59.7985205539755 -697.571470962779</t>
  </si>
  <si>
    <t>-580.033575243191 31.6744812592522 -845.621834251749</t>
  </si>
  <si>
    <t>-535.054217292253 13.8538716847957 -935.300359819311</t>
  </si>
  <si>
    <t>-585.339521316928 75.1570761190194 -785.338814312206</t>
  </si>
  <si>
    <t>-563.957572432984 220.626950993278 -782.810076543264</t>
  </si>
  <si>
    <t>-451.256240714086 246.359435933323 -488.15369143189</t>
  </si>
  <si>
    <t>-257.527474852868 181.468318657918 -327.217750200264</t>
  </si>
  <si>
    <t>-594.31937447822 13.0799649382197 -774.88934945032</t>
  </si>
  <si>
    <t>-574.801927974326 189.220985763017 -240.33894050577</t>
  </si>
  <si>
    <t>-570.898005194996 230.885543812055 213.430313478135</t>
  </si>
  <si>
    <t>-628.079291765223 254.405693712259 679.183311440495</t>
  </si>
  <si>
    <t>-472.964252691398 238.50676672524 760.608493197928</t>
  </si>
  <si>
    <t>-624.482890182517 6.66415517057614 214.746739624989</t>
  </si>
  <si>
    <t>-658.37209688311 2.08850573448235 683.371908662243</t>
  </si>
  <si>
    <t>-502.344023299092 -40.0594251201753 752.814658851345</t>
  </si>
  <si>
    <t>9763-20170724T164133.894074600.bin</t>
  </si>
  <si>
    <t>-593.972625592938 93.1074468419073 -240.911980115724</t>
  </si>
  <si>
    <t>-614.004469862564 97.1498651259133 -360.286246834533</t>
  </si>
  <si>
    <t>-617.541937406816 88.9651528992374 -481.162387576901</t>
  </si>
  <si>
    <t>-613.812864395878 76.7917603679705 -589.940785253494</t>
  </si>
  <si>
    <t>-603.227076128063 59.9958680144758 -697.647330967667</t>
  </si>
  <si>
    <t>-581.362967359272 31.9655983143605 -845.756230413958</t>
  </si>
  <si>
    <t>-536.475262381697 14.2895765288443 -935.509613613326</t>
  </si>
  <si>
    <t>-586.597212454682 75.4146399988618 -785.442885313633</t>
  </si>
  <si>
    <t>-565.684155948188 220.951844036949 -783.29392989854</t>
  </si>
  <si>
    <t>-458.448767826909 248.458189455098 -486.76367960496</t>
  </si>
  <si>
    <t>-271.215506264855 166.606958141669 -325.871927495056</t>
  </si>
  <si>
    <t>-595.47714611573 13.3216652358235 -775.002389317319</t>
  </si>
  <si>
    <t>-575.184081680854 189.368672005695 -240.41923996925</t>
  </si>
  <si>
    <t>-570.892562597894 230.884111368898 213.360087374749</t>
  </si>
  <si>
    <t>-628.078225239264 254.434419999789 679.160022841237</t>
  </si>
  <si>
    <t>-473.002426764033 238.363412003424 760.626148085013</t>
  </si>
  <si>
    <t>-624.509804525545 6.81955267040532 214.751156262009</t>
  </si>
  <si>
    <t>-658.367591730779 2.14265109383622 683.381280647563</t>
  </si>
  <si>
    <t>-502.201414421313 -39.5019308821488 752.817310328503</t>
  </si>
  <si>
    <t>9763-20170724T164133.921144300.bin</t>
  </si>
  <si>
    <t>-594.198142096159 93.0688050644599 -240.901568324075</t>
  </si>
  <si>
    <t>-614.33552974101 97.1007547771236 -360.258329426209</t>
  </si>
  <si>
    <t>-617.993964859189 88.9390570093929 -481.132393450515</t>
  </si>
  <si>
    <t>-614.376886334504 76.8039588186591 -589.919053278143</t>
  </si>
  <si>
    <t>-603.903392095184 60.0659552180154 -697.645447504896</t>
  </si>
  <si>
    <t>-582.193457729447 32.1383804275582 -845.796551572379</t>
  </si>
  <si>
    <t>-537.368029262708 14.5263811624501 -935.593429005448</t>
  </si>
  <si>
    <t>-587.434799064832 75.5535353090394 -785.459405564661</t>
  </si>
  <si>
    <t>-566.94675478403 221.138865842759 -783.252422282274</t>
  </si>
  <si>
    <t>-461.011945024739 249.604222180224 -486.345446225119</t>
  </si>
  <si>
    <t>-276.106972983764 164.290633263513 -324.562302399801</t>
  </si>
  <si>
    <t>-596.16404873277 13.4373949885972 -775.029229651476</t>
  </si>
  <si>
    <t>-575.398058965551 189.429741993387 -240.426877124941</t>
  </si>
  <si>
    <t>-570.818740597292 230.868148790274 213.356675721255</t>
  </si>
  <si>
    <t>-628.090652529143 254.439147076868 679.155507891066</t>
  </si>
  <si>
    <t>-473.026137276477 238.287008562022 760.627083502397</t>
  </si>
  <si>
    <t>-624.575520200545 6.70069129607769 214.779507528547</t>
  </si>
  <si>
    <t>-658.399798461582 1.9469537376435 683.416132733091</t>
  </si>
  <si>
    <t>-502.767650238816 -41.5472228511165 752.917243028216</t>
  </si>
  <si>
    <t>9763-20170724T164133.989955400.bin</t>
  </si>
  <si>
    <t>-594.84862662898 93.1024702930844 -240.802686494687</t>
  </si>
  <si>
    <t>-615.257306754315 97.1630524740742 -360.112302062984</t>
  </si>
  <si>
    <t>-619.081325671842 89.1706853825013 -480.992655689644</t>
  </si>
  <si>
    <t>-615.565477509515 77.2525459848289 -589.806488401341</t>
  </si>
  <si>
    <t>-605.142300873507 60.7985705084039 -697.581554652004</t>
  </si>
  <si>
    <t>-583.446985704944 33.3391355878479 -845.822383062991</t>
  </si>
  <si>
    <t>-538.654566638129 16.0586477417732 -935.700119592046</t>
  </si>
  <si>
    <t>-588.904501943509 76.5876797364302 -785.38479033029</t>
  </si>
  <si>
    <t>-569.219000801443 222.283914947923 -782.857892855238</t>
  </si>
  <si>
    <t>-464.173869842255 253.255333564506 -485.885706420596</t>
  </si>
  <si>
    <t>-282.832963326102 169.058159532786 -319.547744241247</t>
  </si>
  <si>
    <t>-597.188435249363 14.3904490322817 -775.075959061507</t>
  </si>
  <si>
    <t>-576.430725439799 189.599770443569 -240.29756558483</t>
  </si>
  <si>
    <t>-570.603836278044 231.018357079508 213.473545370574</t>
  </si>
  <si>
    <t>-628.170208373438 254.430411767886 679.230725355179</t>
  </si>
  <si>
    <t>-473.075304306255 238.169206300653 760.62275238151</t>
  </si>
  <si>
    <t>-624.754063357338 6.66878641501313 214.836985956124</t>
  </si>
  <si>
    <t>-658.403094405605 2.09752393266189 683.472112556931</t>
  </si>
  <si>
    <t>-502.552673127559 -40.7063862103864 752.912558300888</t>
  </si>
  <si>
    <t>9763-20170724T164134.024045700.bin</t>
  </si>
  <si>
    <t>-595.334148844377 93.1990918331332 -240.782703919101</t>
  </si>
  <si>
    <t>-615.853579378242 97.2153655019824 -360.074905446897</t>
  </si>
  <si>
    <t>-619.734625745638 89.3111873596285 -480.959206895848</t>
  </si>
  <si>
    <t>-616.248384982492 77.5276063115906 -589.788607664122</t>
  </si>
  <si>
    <t>-605.832569868792 61.2627674222572 -697.59320324503</t>
  </si>
  <si>
    <t>-584.12423261059 34.1232181338872 -845.890801714171</t>
  </si>
  <si>
    <t>-539.33342894151 17.0505177722267 -935.809109065363</t>
  </si>
  <si>
    <t>-589.706661107941 77.2537817179221 -785.380474970517</t>
  </si>
  <si>
    <t>-570.395475815347 223.005911478618 -782.606052844473</t>
  </si>
  <si>
    <t>-465.467691207124 254.928782402098 -485.693190688559</t>
  </si>
  <si>
    <t>-285.594027368579 172.61621068138 -316.83755554232</t>
  </si>
  <si>
    <t>-597.752258623339 15.0094999420147 -775.167037921246</t>
  </si>
  <si>
    <t>-577.187840562565 189.70635001658 -240.263570912292</t>
  </si>
  <si>
    <t>-570.770889218208 231.114717243283 213.500489032674</t>
  </si>
  <si>
    <t>-628.220147335233 254.43253654219 679.278633499214</t>
  </si>
  <si>
    <t>-473.10994134502 238.069328787153 760.621047853904</t>
  </si>
  <si>
    <t>-624.857868132276 6.69950181248977 214.853242158524</t>
  </si>
  <si>
    <t>-658.38955484728 2.22335956476533 683.499777175612</t>
  </si>
  <si>
    <t>-502.429088468327 -40.2246571664173 752.911687614037</t>
  </si>
  <si>
    <t>9763-20170724T164134.088778400.bin</t>
  </si>
  <si>
    <t>-596.572553368943 93.3723679201437 -240.749159199411</t>
  </si>
  <si>
    <t>-617.267926973899 97.3107863454941 -360.013641055404</t>
  </si>
  <si>
    <t>-621.206104466268 89.5352554993039 -480.90446273655</t>
  </si>
  <si>
    <t>-617.723313622657 77.9535843078703 -589.755533021044</t>
  </si>
  <si>
    <t>-607.26329780971 61.9760527277135 -697.598743454266</t>
  </si>
  <si>
    <t>-585.444101141343 35.3247733652753 -845.968705248589</t>
  </si>
  <si>
    <t>-540.609353642583 18.6655494153238 -935.942627194685</t>
  </si>
  <si>
    <t>-591.304357974807 78.2789163221715 -785.359203409812</t>
  </si>
  <si>
    <t>-573.036196676687 224.14924805278 -782.289386787582</t>
  </si>
  <si>
    <t>-468.6827470938 258.147435941971 -485.404431022352</t>
  </si>
  <si>
    <t>-288.987634373892 179.844431661917 -314.464881528037</t>
  </si>
  <si>
    <t>-598.892477980057 15.9553508448874 -775.280042528909</t>
  </si>
  <si>
    <t>-579.060855095676 190.002883219252 -240.20786688578</t>
  </si>
  <si>
    <t>-571.970160355658 231.370459861193 213.549957767995</t>
  </si>
  <si>
    <t>-628.354711730221 254.545769578568 679.406517110364</t>
  </si>
  <si>
    <t>-473.203543585923 237.838774784381 760.600869673266</t>
  </si>
  <si>
    <t>-625.472183037886 6.71748738783337 214.86162302634</t>
  </si>
  <si>
    <t>-658.357003866093 2.50674199938816 683.557546872643</t>
  </si>
  <si>
    <t>-501.929888912447 -38.3187588022974 752.892653100085</t>
  </si>
  <si>
    <t>9763-20170724T164134.127881200.bin</t>
  </si>
  <si>
    <t>-597.310382528604 93.3365695024252 -240.782250288287</t>
  </si>
  <si>
    <t>-618.078934938965 97.2520158088967 -360.034695070749</t>
  </si>
  <si>
    <t>-622.083798756089 89.5169037716526 -480.925883814948</t>
  </si>
  <si>
    <t>-618.657034347757 77.9998920222412 -589.785738463479</t>
  </si>
  <si>
    <t>-608.247606906703 62.1159949930491 -697.647672032241</t>
  </si>
  <si>
    <t>-586.492311676917 35.6259777543072 -846.055992063801</t>
  </si>
  <si>
    <t>-541.655142817066 19.1712526992322 -936.066147082945</t>
  </si>
  <si>
    <t>-592.442714115106 78.5251267942043 -785.416217566805</t>
  </si>
  <si>
    <t>-574.772741057785 224.480496158814 -782.258420185162</t>
  </si>
  <si>
    <t>-470.478764004335 258.05721616816 -485.304527465035</t>
  </si>
  <si>
    <t>-288.936249777525 179.507950060807 -316.442562614999</t>
  </si>
  <si>
    <t>-599.794060616203 16.1689248563413 -775.363593671757</t>
  </si>
  <si>
    <t>-580.047139775248 190.067967225726 -240.230523835556</t>
  </si>
  <si>
    <t>-572.810321664702 231.407099071524 213.527593280342</t>
  </si>
  <si>
    <t>-628.424605780244 254.618908615706 679.472632452354</t>
  </si>
  <si>
    <t>-473.248801203043 237.720750033232 760.580174466863</t>
  </si>
  <si>
    <t>-626.098247153476 6.58501088026554 214.824359820356</t>
  </si>
  <si>
    <t>-658.37625682468 2.44856691055406 683.574584083992</t>
  </si>
  <si>
    <t>-502.038915699702 -38.7214816207713 752.908287198832</t>
  </si>
  <si>
    <t>9763-20170724T164134.191056400.bin</t>
  </si>
  <si>
    <t>-598.534618310841 93.1691074128725 -240.79842981485</t>
  </si>
  <si>
    <t>-619.257025161281 96.9949237949381 -360.0617840023</t>
  </si>
  <si>
    <t>-623.34437092272 89.3211085600186 -480.954152817446</t>
  </si>
  <si>
    <t>-620.045046702518 77.9196660222832 -589.830214138567</t>
  </si>
  <si>
    <t>-609.815146392724 62.2089220270476 -697.734575573818</t>
  </si>
  <si>
    <t>-588.362475682238 36.0173713163415 -846.239795931355</t>
  </si>
  <si>
    <t>-543.5785871098 19.9686625700569 -936.349881190522</t>
  </si>
  <si>
    <t>-594.336028270399 78.807610566371 -785.525444348008</t>
  </si>
  <si>
    <t>-577.340070209158 224.822179965969 -782.223847981055</t>
  </si>
  <si>
    <t>-472.283732008485 256.447413510484 -485.324584096542</t>
  </si>
  <si>
    <t>-288.525090188694 176.530490838338 -319.529186233045</t>
  </si>
  <si>
    <t>-601.373222728098 16.4049917785464 -775.536302095027</t>
  </si>
  <si>
    <t>-581.554711322979 190.043628304559 -240.282449360357</t>
  </si>
  <si>
    <t>-574.321177606159 231.264277396169 213.48637235882</t>
  </si>
  <si>
    <t>-628.541442056686 254.663977637408 679.5968032042</t>
  </si>
  <si>
    <t>-473.285477615067 237.669840198452 760.530617224899</t>
  </si>
  <si>
    <t>-627.313382672701 6.35502156996594 214.761982445779</t>
  </si>
  <si>
    <t>-658.379558293373 2.61278050399783 683.593759959481</t>
  </si>
  <si>
    <t>-501.727699102906 -37.4159263365274 752.88591474324</t>
  </si>
  <si>
    <t>9763-20170724T164134.223141400.bin</t>
  </si>
  <si>
    <t>-598.887051862041 93.0071233365806 -240.841174024207</t>
  </si>
  <si>
    <t>-619.650840497601 96.8043981210056 -360.098231306756</t>
  </si>
  <si>
    <t>-623.797585672319 89.147019936267 -480.989658910796</t>
  </si>
  <si>
    <t>-620.560221562568 77.7765524536074 -589.870786962945</t>
  </si>
  <si>
    <t>-610.401341870567 62.1113237879328 -697.788561811626</t>
  </si>
  <si>
    <t>-589.056736251779 35.9964825233336 -846.322790587044</t>
  </si>
  <si>
    <t>-544.309308128272 20.0930831129611 -936.476690743251</t>
  </si>
  <si>
    <t>-595.015732926734 78.75796180681 -785.586741645178</t>
  </si>
  <si>
    <t>-578.059829795279 224.781874391 -782.281163580796</t>
  </si>
  <si>
    <t>-472.218936976176 256.079941880437 -485.625896104089</t>
  </si>
  <si>
    <t>-287.994274585075 175.525861264155 -320.658149807017</t>
  </si>
  <si>
    <t>-601.986382472337 16.3450086332174 -775.615189358383</t>
  </si>
  <si>
    <t>-581.995809931054 189.845586849371 -240.305392692632</t>
  </si>
  <si>
    <t>-574.777285088982 231.161244110161 213.455036332241</t>
  </si>
  <si>
    <t>-628.57304795552 254.672058210979 679.616373500039</t>
  </si>
  <si>
    <t>-473.276485359458 237.758512670249 760.489215987103</t>
  </si>
  <si>
    <t>-627.633182670832 6.170663220498 214.746440358223</t>
  </si>
  <si>
    <t>-658.393450189327 2.56130404845743 683.612607392847</t>
  </si>
  <si>
    <t>-501.65568774355 -37.1250407898787 752.907424889283</t>
  </si>
  <si>
    <t>9763-20170724T164134.292070900.bin</t>
  </si>
  <si>
    <t>-599.519568756543 92.8672521672387 -240.883957020304</t>
  </si>
  <si>
    <t>-620.376968528661 96.6718907772575 -360.124483137478</t>
  </si>
  <si>
    <t>-624.672407180826 89.0538015450033 -481.0131403268</t>
  </si>
  <si>
    <t>-621.592769191271 77.7282793653401 -589.903538541197</t>
  </si>
  <si>
    <t>-611.614969805328 62.1147495131009 -697.845571555422</t>
  </si>
  <si>
    <t>-590.546570504444 36.0764613869706 -846.432741864518</t>
  </si>
  <si>
    <t>-545.92167963125 20.261213752031 -936.662952548844</t>
  </si>
  <si>
    <t>-596.396281396814 78.8069574964024 -785.664322735031</t>
  </si>
  <si>
    <t>-579.229595512112 224.805877571124 -782.333243994207</t>
  </si>
  <si>
    <t>-470.506735534472 253.452915560713 -486.453280307071</t>
  </si>
  <si>
    <t>-285.451727897515 175.145198229613 -321.333455196341</t>
  </si>
  <si>
    <t>-603.341191363438 16.3882668378609 -775.710879512823</t>
  </si>
  <si>
    <t>-582.715273626941 189.716801686855 -240.326042472188</t>
  </si>
  <si>
    <t>-575.357350595704 230.947913877881 213.43982679436</t>
  </si>
  <si>
    <t>-628.618536257206 254.682245387244 679.652444277021</t>
  </si>
  <si>
    <t>-473.277792465498 237.835372954452 760.454342964362</t>
  </si>
  <si>
    <t>-627.898795188089 6.0746342602752 214.721228177223</t>
  </si>
  <si>
    <t>-658.397583585005 2.55441214708915 683.633247960771</t>
  </si>
  <si>
    <t>-501.553170051775 -36.7112416419979 752.926500740223</t>
  </si>
  <si>
    <t>9763-20170724T164134.325158100.bin</t>
  </si>
  <si>
    <t>-599.836402953542 92.8809396425457 -240.87407545779</t>
  </si>
  <si>
    <t>-620.697410805982 96.6944258749009 -360.113714040404</t>
  </si>
  <si>
    <t>-625.020608223509 89.0971445332114 -481.002764504291</t>
  </si>
  <si>
    <t>-621.976146766601 77.7942823278669 -589.896518721661</t>
  </si>
  <si>
    <t>-612.043525824829 62.2065855186288 -697.846522955247</t>
  </si>
  <si>
    <t>-591.048228280703 36.206969485493 -846.450776696206</t>
  </si>
  <si>
    <t>-546.475806199848 20.3802051503349 -936.704775248524</t>
  </si>
  <si>
    <t>-596.839070718022 78.9191400265882 -785.663807317664</t>
  </si>
  <si>
    <t>-579.342580672922 224.88446337349 -782.312520748146</t>
  </si>
  <si>
    <t>-468.919141343346 252.194623921752 -486.936338635245</t>
  </si>
  <si>
    <t>-283.719688945856 175.138309512938 -321.390387688824</t>
  </si>
  <si>
    <t>-603.836953785753 16.5028548371272 -775.732274951655</t>
  </si>
  <si>
    <t>-583.022382866185 189.738348323384 -240.32982705785</t>
  </si>
  <si>
    <t>-575.501206624161 230.94279976588 213.435936921526</t>
  </si>
  <si>
    <t>-628.636925368388 254.68527646846 679.667101857653</t>
  </si>
  <si>
    <t>-473.288884882571 237.832099432737 760.453632572057</t>
  </si>
  <si>
    <t>-628.062337757419 6.04679779531369 214.721391070336</t>
  </si>
  <si>
    <t>-658.398507350512 2.56967876646826 683.640750050709</t>
  </si>
  <si>
    <t>-501.518983547811 -36.5560119816762 752.933732887404</t>
  </si>
  <si>
    <t>9763-20170724T164134.391874300.bin</t>
  </si>
  <si>
    <t>-600.453346525528 92.9602475720734 -240.873514262648</t>
  </si>
  <si>
    <t>-621.446420870387 96.8751949712842 -360.086578773824</t>
  </si>
  <si>
    <t>-625.894227298297 89.2710804388147 -480.970619552157</t>
  </si>
  <si>
    <t>-622.958656074557 77.9158785520115 -589.861856952152</t>
  </si>
  <si>
    <t>-613.131266041815 62.2293594488335 -697.807237860673</t>
  </si>
  <si>
    <t>-592.278394213201 36.0434297679483 -846.398912038005</t>
  </si>
  <si>
    <t>-547.824983544176 20.0674169680748 -936.685183972489</t>
  </si>
  <si>
    <t>-597.88857304257 78.8209036381983 -785.640864851352</t>
  </si>
  <si>
    <t>-579.557488221904 224.685403018581 -782.374315806824</t>
  </si>
  <si>
    <t>-465.933280297572 249.492532496981 -487.992965786352</t>
  </si>
  <si>
    <t>-280.116519484091 175.863973466051 -321.580801801843</t>
  </si>
  <si>
    <t>-605.121716019536 16.4389174313043 -775.662484720532</t>
  </si>
  <si>
    <t>-583.389645440606 189.873566162582 -240.299279799683</t>
  </si>
  <si>
    <t>-575.501632755784 230.939086246277 213.472757905088</t>
  </si>
  <si>
    <t>-628.69075919049 254.754991134601 679.6940616388</t>
  </si>
  <si>
    <t>-473.362983903821 237.634269408764 760.463321139663</t>
  </si>
  <si>
    <t>-628.513704412056 6.03856587256448 214.724290515317</t>
  </si>
  <si>
    <t>-658.406624058261 2.58158634336152 683.664308669403</t>
  </si>
  <si>
    <t>-501.475402670916 -36.3428614050264 752.953569535339</t>
  </si>
  <si>
    <t>9763-20170724T164134.425966300.bin</t>
  </si>
  <si>
    <t>-600.68888486805 92.9838605592875 -240.882354870761</t>
  </si>
  <si>
    <t>-621.664076851378 96.922556564311 -360.097845803418</t>
  </si>
  <si>
    <t>-626.117079255615 89.3049168149307 -480.980886116442</t>
  </si>
  <si>
    <t>-623.196195143593 77.9205399067683 -589.869309730654</t>
  </si>
  <si>
    <t>-613.393781950507 62.1873726803509 -697.810113298559</t>
  </si>
  <si>
    <t>-592.586724343422 35.9175923506865 -846.393374568928</t>
  </si>
  <si>
    <t>-548.177297643142 19.8378665711264 -936.683152963756</t>
  </si>
  <si>
    <t>-598.085402058825 78.7207583678166 -785.643393963138</t>
  </si>
  <si>
    <t>-579.182410933946 224.510160847875 -782.429328366964</t>
  </si>
  <si>
    <t>-464.333666276417 248.24895140153 -488.435383821117</t>
  </si>
  <si>
    <t>-278.365108701955 176.094477122434 -321.547683350062</t>
  </si>
  <si>
    <t>-605.500970403178 16.3615281071373 -775.656629156364</t>
  </si>
  <si>
    <t>-583.444049159865 189.858183264122 -240.305678130694</t>
  </si>
  <si>
    <t>-575.524245876367 230.91827438146 213.466297623506</t>
  </si>
  <si>
    <t>-628.704337910343 254.791631924566 679.687211846921</t>
  </si>
  <si>
    <t>-473.403175984406 237.490835252896 760.469282816318</t>
  </si>
  <si>
    <t>-628.714606523397 6.02711929097909 214.727313628754</t>
  </si>
  <si>
    <t>-658.403473199333 2.67289223865363 683.67695969319</t>
  </si>
  <si>
    <t>-501.530016449411 -36.4656496579833 752.976342493664</t>
  </si>
  <si>
    <t>9763-20170724T164134.489169400.bin</t>
  </si>
  <si>
    <t>-601.100580967556 92.858347667977 -240.855985917517</t>
  </si>
  <si>
    <t>-622.06784577874 96.9063547181072 -360.069290760298</t>
  </si>
  <si>
    <t>-626.528077933787 89.2643614515992 -480.95050647556</t>
  </si>
  <si>
    <t>-623.619263160111 77.802575536545 -589.831242661556</t>
  </si>
  <si>
    <t>-613.834271940794 61.9372233430398 -697.754281883745</t>
  </si>
  <si>
    <t>-593.056863503847 35.4269918951206 -846.298992276215</t>
  </si>
  <si>
    <t>-548.721463708321 19.0709963629458 -936.575407655144</t>
  </si>
  <si>
    <t>-598.366646299573 78.3113490793457 -785.589361283906</t>
  </si>
  <si>
    <t>-578.262891290232 223.942669790959 -782.414127316109</t>
  </si>
  <si>
    <t>-461.428294023611 245.540617091311 -489.038197615225</t>
  </si>
  <si>
    <t>-275.182325037296 175.965625218786 -321.366427156016</t>
  </si>
  <si>
    <t>-606.133735833689 16.0025111470139 -775.555744563876</t>
  </si>
  <si>
    <t>-583.47430232454 189.829265197944 -240.297744907823</t>
  </si>
  <si>
    <t>-575.516312629703 230.75223287202 213.485896315831</t>
  </si>
  <si>
    <t>-628.753541723126 254.882851039795 679.704374740361</t>
  </si>
  <si>
    <t>-473.51809346936 237.067756833138 760.500947683981</t>
  </si>
  <si>
    <t>-629.236918187432 5.85208131081912 214.755641161098</t>
  </si>
  <si>
    <t>-658.440725316343 2.54996987137697 683.716809261573</t>
  </si>
  <si>
    <t>-501.760925286899 -37.3088576535658 753.043681197527</t>
  </si>
  <si>
    <t>9763-20170724T164134.528273200.bin</t>
  </si>
  <si>
    <t>-601.319348568914 92.8231428273079 -240.846504758229</t>
  </si>
  <si>
    <t>-622.227407653291 96.90354724908 -360.069144888578</t>
  </si>
  <si>
    <t>-626.636088545528 89.2537801456245 -480.951727793902</t>
  </si>
  <si>
    <t>-623.684189313737 77.7681505875932 -589.828744497681</t>
  </si>
  <si>
    <t>-613.859523129056 61.8622819058365 -697.742284290757</t>
  </si>
  <si>
    <t>-593.031214069963 35.2784940688964 -846.266695531008</t>
  </si>
  <si>
    <t>-548.706787692203 18.8086230176071 -936.527851584152</t>
  </si>
  <si>
    <t>-598.281769748505 78.1849000219078 -785.567491934223</t>
  </si>
  <si>
    <t>-577.613245821203 223.740084876513 -782.382887349485</t>
  </si>
  <si>
    <t>-460.179265244333 244.603430760352 -489.193240084243</t>
  </si>
  <si>
    <t>-273.663585401962 176.091720592777 -321.383598159514</t>
  </si>
  <si>
    <t>-606.212414844 15.8970601863981 -775.530994229404</t>
  </si>
  <si>
    <t>-583.517507480794 189.802432179633 -240.30474374633</t>
  </si>
  <si>
    <t>-575.609363564148 230.678122303586 213.484053713089</t>
  </si>
  <si>
    <t>-628.784851144078 254.923128444676 679.723110499236</t>
  </si>
  <si>
    <t>-473.577144934097 236.837623354067 760.512897858667</t>
  </si>
  <si>
    <t>-629.545061174491 5.81342181796434 214.762037323868</t>
  </si>
  <si>
    <t>-658.449990079295 2.62972360590894 683.733566658849</t>
  </si>
  <si>
    <t>-501.457307358996 -36.0494176770425 753.02080813577</t>
  </si>
  <si>
    <t>9763-20170724T164134.592312700.bin</t>
  </si>
  <si>
    <t>-601.879005707875 92.7149315427626 -240.844955890408</t>
  </si>
  <si>
    <t>-622.745111051858 96.8407604161308 -360.073347609631</t>
  </si>
  <si>
    <t>-627.097974265695 89.1639285892201 -480.9562427641</t>
  </si>
  <si>
    <t>-624.091777198928 77.6215678952128 -589.825830061294</t>
  </si>
  <si>
    <t>-614.210306835288 61.6260405764658 -697.720960975365</t>
  </si>
  <si>
    <t>-593.301289483601 34.8823820298017 -846.205191595819</t>
  </si>
  <si>
    <t>-548.968211711243 18.2144338452653 -936.425771008452</t>
  </si>
  <si>
    <t>-598.436689872748 77.8386984690856 -785.531512307709</t>
  </si>
  <si>
    <t>-576.893030944637 223.259098302156 -782.308585426789</t>
  </si>
  <si>
    <t>-458.307143371719 243.311620862288 -489.526342391204</t>
  </si>
  <si>
    <t>-271.221627394488 176.313578500426 -321.739841923842</t>
  </si>
  <si>
    <t>-606.669068496121 15.5925578962726 -775.479624560966</t>
  </si>
  <si>
    <t>-583.876846640221 189.716863769127 -240.311358153489</t>
  </si>
  <si>
    <t>-575.996037589188 230.5832684826 213.478743312395</t>
  </si>
  <si>
    <t>-628.853311920853 254.991891894906 679.769619046569</t>
  </si>
  <si>
    <t>-473.69468105879 236.360573565566 760.529683512517</t>
  </si>
  <si>
    <t>-630.208745546409 5.66776605110032 214.77399995908</t>
  </si>
  <si>
    <t>-658.485780324983 2.75621407376964 683.77201858453</t>
  </si>
  <si>
    <t>-501.442779871231 -35.6861746630886 753.07706141011</t>
  </si>
  <si>
    <t>9763-20170724T164134.624398000.bin</t>
  </si>
  <si>
    <t>-602.180273134851 92.5549639409907 -240.845551980331</t>
  </si>
  <si>
    <t>-623.065971101713 96.7030064397217 -360.069647208947</t>
  </si>
  <si>
    <t>-627.411588407789 89.0425111032085 -480.953927450116</t>
  </si>
  <si>
    <t>-624.388928989478 77.5108782821541 -589.824107511401</t>
  </si>
  <si>
    <t>-614.481711490461 61.5213487047819 -697.717718707955</t>
  </si>
  <si>
    <t>-593.528333279448 34.7804763228663 -846.19635873483</t>
  </si>
  <si>
    <t>-549.159494981529 18.0638963272639 -936.390365006414</t>
  </si>
  <si>
    <t>-598.629899383394 77.7300613382766 -785.515022509309</t>
  </si>
  <si>
    <t>-576.618918644948 223.086041242259 -782.204831110369</t>
  </si>
  <si>
    <t>-457.430352908022 242.428585452937 -489.619483418043</t>
  </si>
  <si>
    <t>-270.142589773499 175.877344695999 -321.880769583241</t>
  </si>
  <si>
    <t>-606.969142313979 15.494869581158 -775.483248907237</t>
  </si>
  <si>
    <t>-584.125523074145 189.665491414562 -240.305446648301</t>
  </si>
  <si>
    <t>-576.176023607185 230.466623894987 213.489407286142</t>
  </si>
  <si>
    <t>-628.880224012191 254.996169721645 679.79175269382</t>
  </si>
  <si>
    <t>-473.732188490553 236.192017014412 760.532170877346</t>
  </si>
  <si>
    <t>-630.491188606934 5.42030663502271 214.792353873066</t>
  </si>
  <si>
    <t>-658.535131805491 2.53800660733098 683.807759636592</t>
  </si>
  <si>
    <t>-501.859100545835 -37.278037353313 753.16784172831</t>
  </si>
  <si>
    <t>9763-20170724T164134.693586800.bin</t>
  </si>
  <si>
    <t>-602.637200438761 92.2693705976795 -240.837886489192</t>
  </si>
  <si>
    <t>-623.436699874135 96.4371186374477 -360.076471068167</t>
  </si>
  <si>
    <t>-627.697833529854 88.798561659401 -480.965094209307</t>
  </si>
  <si>
    <t>-624.601205884441 77.2856893450187 -589.835140178993</t>
  </si>
  <si>
    <t>-614.623515937819 61.3130238287406 -697.72490558272</t>
  </si>
  <si>
    <t>-593.576465194231 34.5926614271726 -846.193757345269</t>
  </si>
  <si>
    <t>-549.126004979208 17.8035847570594 -936.334108725969</t>
  </si>
  <si>
    <t>-598.65636802075 77.5273600523871 -785.500107838197</t>
  </si>
  <si>
    <t>-576.192352311988 222.798342613618 -781.969572530763</t>
  </si>
  <si>
    <t>-455.323087176312 240.744333101367 -489.985432572688</t>
  </si>
  <si>
    <t>-267.519048629805 175.544290197878 -322.293345879041</t>
  </si>
  <si>
    <t>-607.121883895509 15.303842204107 -775.50171654816</t>
  </si>
  <si>
    <t>-584.471946822982 189.356956523212 -240.304686715641</t>
  </si>
  <si>
    <t>-576.639457977569 230.253838771293 213.483548987475</t>
  </si>
  <si>
    <t>-628.909247020091 255.015637206741 679.808450043659</t>
  </si>
  <si>
    <t>-473.786893886899 235.92132921705 760.530049290454</t>
  </si>
  <si>
    <t>-630.950194953264 5.2010966388699 214.79279002326</t>
  </si>
  <si>
    <t>-658.588711317788 2.53242780819392 683.84036677233</t>
  </si>
  <si>
    <t>-501.86396261269 -37.1059156289446 753.192085142864</t>
  </si>
  <si>
    <t>9763-20170724T164134.725672100.bin</t>
  </si>
  <si>
    <t>-602.786699705709 92.1697807852679 -240.841105530404</t>
  </si>
  <si>
    <t>-623.534796506658 96.3247270297493 -360.088993318932</t>
  </si>
  <si>
    <t>-627.744407087381 88.7143026115753 -480.981203212287</t>
  </si>
  <si>
    <t>-624.602804584325 77.2419241010907 -589.854297982688</t>
  </si>
  <si>
    <t>-614.582586365917 61.3237581446894 -697.74810169571</t>
  </si>
  <si>
    <t>-593.479528994174 34.6926708085163 -846.225244029351</t>
  </si>
  <si>
    <t>-548.998890371133 17.9207283992388 -936.353750457204</t>
  </si>
  <si>
    <t>-598.561690154617 77.5885820510581 -785.504299775744</t>
  </si>
  <si>
    <t>-575.83868491831 222.821333339684 -781.82243448217</t>
  </si>
  <si>
    <t>-454.05464285765 240.18010361883 -490.183124899962</t>
  </si>
  <si>
    <t>-266.1393474937 175.334370237445 -322.478283772423</t>
  </si>
  <si>
    <t>-607.072216443741 15.3636318002294 -775.553051024584</t>
  </si>
  <si>
    <t>-584.664505962608 189.268158987168 -240.31656127533</t>
  </si>
  <si>
    <t>-576.875498547675 230.169330063175 213.472050537131</t>
  </si>
  <si>
    <t>-628.927989802621 255.002096380912 679.837422646083</t>
  </si>
  <si>
    <t>-473.802186590989 235.834407080157 760.534986967881</t>
  </si>
  <si>
    <t>-631.157920513592 5.1318859680899 214.787198496414</t>
  </si>
  <si>
    <t>-658.605078764822 2.60663263366921 683.849260587874</t>
  </si>
  <si>
    <t>-501.671561752668 -36.2461530657646 753.173575247638</t>
  </si>
  <si>
    <t>9763-20170724T164134.787853300.bin</t>
  </si>
  <si>
    <t>-603.066045314687 91.8249156525959 -240.831844808408</t>
  </si>
  <si>
    <t>-623.769214683101 95.9672285595562 -360.087958391199</t>
  </si>
  <si>
    <t>-627.921530513745 88.42307371333 -480.986353895906</t>
  </si>
  <si>
    <t>-624.72565388158 77.040051418359 -589.867314137166</t>
  </si>
  <si>
    <t>-614.649893161279 61.238787830704 -697.773121175954</t>
  </si>
  <si>
    <t>-593.469227356585 34.7971507084811 -846.272872883119</t>
  </si>
  <si>
    <t>-548.93644347143 18.0996450857293 -936.389501554655</t>
  </si>
  <si>
    <t>-598.583884319155 77.6156247987572 -785.500030270355</t>
  </si>
  <si>
    <t>-575.553164402534 222.794210176762 -781.465450025895</t>
  </si>
  <si>
    <t>-451.939484828804 239.239676790992 -490.543805108156</t>
  </si>
  <si>
    <t>-263.476297030634 175.78695270343 -322.920949883618</t>
  </si>
  <si>
    <t>-607.098118839047 15.377876186442 -775.63264450785</t>
  </si>
  <si>
    <t>-585.051482993985 188.919113538002 -240.288042767905</t>
  </si>
  <si>
    <t>-577.215023918876 229.966727168358 213.486477846107</t>
  </si>
  <si>
    <t>-628.957254242725 254.952004713008 679.885531818805</t>
  </si>
  <si>
    <t>-473.811606521557 235.718718736474 760.529421560149</t>
  </si>
  <si>
    <t>-631.458111008869 4.87558054680555 214.79453692784</t>
  </si>
  <si>
    <t>-658.653630115206 2.63003456611455 683.870347146432</t>
  </si>
  <si>
    <t>-501.777329481154 -36.4110701390948 753.218193824705</t>
  </si>
  <si>
    <t>9763-20170724T164134.824938700.bin</t>
  </si>
  <si>
    <t>-603.159956921164 91.6977475534193 -240.830834821276</t>
  </si>
  <si>
    <t>-623.850254083026 95.8475925678002 -360.088926058974</t>
  </si>
  <si>
    <t>-627.941143182328 88.3414245467237 -480.991739300867</t>
  </si>
  <si>
    <t>-624.670605670522 77.0052664419525 -589.875352806141</t>
  </si>
  <si>
    <t>-614.501438643357 61.2636242248027 -697.780991935617</t>
  </si>
  <si>
    <t>-593.172191342056 34.9184115253103 -846.2766821713</t>
  </si>
  <si>
    <t>-548.581982649742 18.2730968663408 -936.374721077034</t>
  </si>
  <si>
    <t>-598.359334359677 77.6986937140662 -785.48314682414</t>
  </si>
  <si>
    <t>-575.311809390421 222.866631334096 -781.316938202955</t>
  </si>
  <si>
    <t>-450.702342280166 238.982764722887 -490.801910042305</t>
  </si>
  <si>
    <t>-261.975459550193 176.165645037706 -323.236407847315</t>
  </si>
  <si>
    <t>-606.860101694974 15.4519807955905 -775.660731104125</t>
  </si>
  <si>
    <t>-585.190179299578 188.763229759664 -240.27248767284</t>
  </si>
  <si>
    <t>-577.32777669997 229.863555060994 213.49678507298</t>
  </si>
  <si>
    <t>-628.967259773664 254.899461835126 679.912394533737</t>
  </si>
  <si>
    <t>-473.803140016641 235.710135753464 760.53111451216</t>
  </si>
  <si>
    <t>-631.550522332032 4.81862686278058 214.789992786657</t>
  </si>
  <si>
    <t>-658.663028892062 2.75306853916609 683.872208007812</t>
  </si>
  <si>
    <t>-501.576124127084 -35.4774536007303 753.194975081467</t>
  </si>
  <si>
    <t>9763-20170724T164134.890651700.bin</t>
  </si>
  <si>
    <t>-603.243489395763 91.3836106768164 -240.800942592309</t>
  </si>
  <si>
    <t>-623.885672046952 95.5111573025944 -360.06823467389</t>
  </si>
  <si>
    <t>-627.860368684307 88.0357185753301 -480.976835587503</t>
  </si>
  <si>
    <t>-624.457351835688 76.7510278290292 -589.861813978025</t>
  </si>
  <si>
    <t>-614.128536659427 61.0856409168561 -697.763285959626</t>
  </si>
  <si>
    <t>-592.549464862028 34.8733956536378 -846.246515479041</t>
  </si>
  <si>
    <t>-547.858615271138 18.3178922614786 -936.311165547494</t>
  </si>
  <si>
    <t>-597.884823291666 77.6043384742662 -785.431079628037</t>
  </si>
  <si>
    <t>-574.921418031136 222.786897513836 -781.003264539902</t>
  </si>
  <si>
    <t>-448.460392008254 238.825236476918 -491.285099705964</t>
  </si>
  <si>
    <t>-258.920999556374 177.930043950434 -323.927229291371</t>
  </si>
  <si>
    <t>-606.310295537692 15.338695228399 -775.663615034663</t>
  </si>
  <si>
    <t>-585.362440955822 188.438786005829 -240.23765505768</t>
  </si>
  <si>
    <t>-577.305215983599 229.735879720638 213.510354248975</t>
  </si>
  <si>
    <t>-628.966233718077 254.818459358784 679.925416433807</t>
  </si>
  <si>
    <t>-473.782616021481 235.698333478182 760.523075877173</t>
  </si>
  <si>
    <t>-631.739568211014 4.63163862012047 214.800918951398</t>
  </si>
  <si>
    <t>-658.70950276435 2.7288267597749 683.894232335798</t>
  </si>
  <si>
    <t>-501.671121751757 -35.6802732067189 753.228052401358</t>
  </si>
  <si>
    <t>9763-20170724T164134.923739900.bin</t>
  </si>
  <si>
    <t>-603.218191930124 91.2466623066682 -240.797505887352</t>
  </si>
  <si>
    <t>-623.812578061365 95.3389910585523 -360.074283214091</t>
  </si>
  <si>
    <t>-627.73339171563 87.8567130542565 -480.984233427361</t>
  </si>
  <si>
    <t>-624.280069843529 76.577235113311 -589.868164508345</t>
  </si>
  <si>
    <t>-613.899899972358 60.9282810858822 -697.767189229194</t>
  </si>
  <si>
    <t>-592.248397936161 34.7502083712474 -846.245964273791</t>
  </si>
  <si>
    <t>-547.515258868248 18.2303911031435 -936.295980037305</t>
  </si>
  <si>
    <t>-597.636767533312 77.469658586736 -785.427051528617</t>
  </si>
  <si>
    <t>-574.769403137174 222.659600318868 -780.923240791735</t>
  </si>
  <si>
    <t>-447.337580264099 238.683252395212 -491.630107899725</t>
  </si>
  <si>
    <t>-257.683704419931 178.386039223643 -324.185515654826</t>
  </si>
  <si>
    <t>-606.020321155197 15.1967278992313 -775.670281722574</t>
  </si>
  <si>
    <t>-585.382355148858 188.370126277737 -240.242919393423</t>
  </si>
  <si>
    <t>-577.359843150438 229.640450225652 213.508239281805</t>
  </si>
  <si>
    <t>-628.962923778211 254.767224086447 679.933401323554</t>
  </si>
  <si>
    <t>-473.770684800782 235.70479244577 760.528140717221</t>
  </si>
  <si>
    <t>-631.764981832614 4.53272697505203 214.815217922089</t>
  </si>
  <si>
    <t>-658.748605596486 2.60252674732138 683.908884074368</t>
  </si>
  <si>
    <t>-501.890981221154 -36.4864524802167 753.272037815531</t>
  </si>
  <si>
    <t>9763-20170724T164134.987423600.bin</t>
  </si>
  <si>
    <t>-602.930086165426 91.1469797730876 -240.758955068191</t>
  </si>
  <si>
    <t>-623.452891741044 95.2312119518693 -360.048176977931</t>
  </si>
  <si>
    <t>-627.285652523818 87.7417523152926 -480.960539932641</t>
  </si>
  <si>
    <t>-623.746656272235 76.4566231800888 -589.841095491557</t>
  </si>
  <si>
    <t>-613.27519419238 60.8030733428296 -697.730613335212</t>
  </si>
  <si>
    <t>-591.491636999184 34.6199643544934 -846.189199173626</t>
  </si>
  <si>
    <t>-546.669589570024 18.173073320858 -936.208425007488</t>
  </si>
  <si>
    <t>-596.97715187647 77.34614995071 -785.383795175874</t>
  </si>
  <si>
    <t>-574.279059597022 222.556998224443 -780.805669852867</t>
  </si>
  <si>
    <t>-445.402109508966 238.807785493035 -492.166166206874</t>
  </si>
  <si>
    <t>-255.357043235388 179.763068516314 -324.718657392968</t>
  </si>
  <si>
    <t>-605.283200454319 15.0642329748561 -775.618029184097</t>
  </si>
  <si>
    <t>-585.369638371434 188.072032130127 -240.195766830936</t>
  </si>
  <si>
    <t>-577.313879759121 229.54675846452 213.536166828018</t>
  </si>
  <si>
    <t>-628.919582910575 254.632348779639 679.930803877249</t>
  </si>
  <si>
    <t>-473.700257622259 235.85568923173 760.54044353954</t>
  </si>
  <si>
    <t>-631.277104640213 4.70031606586885 214.834948662063</t>
  </si>
  <si>
    <t>-658.773136783032 2.63219494722118 683.894233068383</t>
  </si>
  <si>
    <t>-501.95821724278 -36.5702228076941 753.290038244758</t>
  </si>
  <si>
    <t>9763-20170724T164135.025525300.bin</t>
  </si>
  <si>
    <t>-602.686240778021 91.2936345488259 -240.753950434735</t>
  </si>
  <si>
    <t>-623.242723184838 95.3447599137457 -360.038621577827</t>
  </si>
  <si>
    <t>-627.081014452456 87.8196441071027 -480.948454664011</t>
  </si>
  <si>
    <t>-623.535048224493 76.5028620151207 -589.825548704859</t>
  </si>
  <si>
    <t>-613.044369215876 60.8188146702967 -697.708884466246</t>
  </si>
  <si>
    <t>-591.221215532581 34.5955504657162 -846.154433699265</t>
  </si>
  <si>
    <t>-546.361407558192 18.1567930944433 -936.156361642329</t>
  </si>
  <si>
    <t>-596.762701385171 77.342412614558 -785.368593856516</t>
  </si>
  <si>
    <t>-574.218623225715 222.587681736727 -780.873897621724</t>
  </si>
  <si>
    <t>-444.739104362953 239.179732050209 -492.52341516866</t>
  </si>
  <si>
    <t>-254.734191617519 180.451303379807 -324.919357101408</t>
  </si>
  <si>
    <t>-604.991891145865 15.0546523011275 -775.57519210728</t>
  </si>
  <si>
    <t>-585.134223402529 188.093674282546 -240.20366587798</t>
  </si>
  <si>
    <t>-577.171363304202 229.579594353112 213.528796998322</t>
  </si>
  <si>
    <t>-628.893057267728 254.569841529473 679.9239422584</t>
  </si>
  <si>
    <t>-473.653408821554 235.975084018478 760.536537105441</t>
  </si>
  <si>
    <t>-630.863274713891 4.94446691236055 214.850082875266</t>
  </si>
  <si>
    <t>-658.758896633808 2.73612964098614 683.887853497889</t>
  </si>
  <si>
    <t>-501.900751475578 -36.2821237006363 753.289498249609</t>
  </si>
  <si>
    <t>9763-20170724T164135.090542600.bin</t>
  </si>
  <si>
    <t>-602.3283257253 91.3666054549262 -240.747711819838</t>
  </si>
  <si>
    <t>-622.913848116708 95.4183999251387 -360.027230408828</t>
  </si>
  <si>
    <t>-626.797213426127 87.8594072857273 -480.933684038785</t>
  </si>
  <si>
    <t>-623.29616521809 76.5009028198176 -589.807701272864</t>
  </si>
  <si>
    <t>-612.853515706528 60.7654619284091 -697.688226315896</t>
  </si>
  <si>
    <t>-591.099166438661 34.4621365815801 -846.129783426488</t>
  </si>
  <si>
    <t>-546.212931300594 18.0253909016534 -936.118877439013</t>
  </si>
  <si>
    <t>-596.69345607359 77.2502627786718 -785.377805284301</t>
  </si>
  <si>
    <t>-574.690096095522 222.587011925926 -781.123639584908</t>
  </si>
  <si>
    <t>-444.542002356334 239.983981304747 -493.12198808595</t>
  </si>
  <si>
    <t>-254.938529452781 180.046264311811 -325.491120138738</t>
  </si>
  <si>
    <t>-604.756162073082 14.9508374577682 -775.52017067998</t>
  </si>
  <si>
    <t>-584.937789976548 188.000498772159 -240.192432668888</t>
  </si>
  <si>
    <t>-576.865219523585 229.628552549532 213.52515162652</t>
  </si>
  <si>
    <t>-628.803811301822 254.386544354567 679.878510724016</t>
  </si>
  <si>
    <t>-473.525136985005 236.321793325135 760.536509778998</t>
  </si>
  <si>
    <t>-630.392507307052 5.24759714419365 214.844560191465</t>
  </si>
  <si>
    <t>-658.730403394433 2.72325685349104 683.866561692379</t>
  </si>
  <si>
    <t>-502.363410762209 -38.0441407444093 753.371166495397</t>
  </si>
  <si>
    <t>9763-20170724T164135.123642700.bin</t>
  </si>
  <si>
    <t>-602.131768965179 91.4689560728361 -240.758789140789</t>
  </si>
  <si>
    <t>-622.646155789373 95.4892084416245 -360.05163058062</t>
  </si>
  <si>
    <t>-626.490937707878 87.8699357735701 -480.955395037064</t>
  </si>
  <si>
    <t>-622.967786519224 76.4465025263368 -589.822123947854</t>
  </si>
  <si>
    <t>-612.515331784366 60.6365298421852 -697.690786725697</t>
  </si>
  <si>
    <t>-590.759755558059 34.2200237963743 -846.112029631825</t>
  </si>
  <si>
    <t>-545.869131690865 17.764698100941 -936.095569628421</t>
  </si>
  <si>
    <t>-596.381922693344 77.0572367689666 -785.39729658832</t>
  </si>
  <si>
    <t>-574.684171702369 222.443160185589 -781.361276104986</t>
  </si>
  <si>
    <t>-444.979186662265 240.763386297426 -493.216885922627</t>
  </si>
  <si>
    <t>-255.392102279043 179.855928443683 -325.917563341003</t>
  </si>
  <si>
    <t>-604.389894720246 14.7597389327524 -775.483218984837</t>
  </si>
  <si>
    <t>-584.68289397351 187.982786080448 -240.215446519009</t>
  </si>
  <si>
    <t>-576.574780222956 229.686192258797 213.494596674849</t>
  </si>
  <si>
    <t>-628.734310930518 254.261640337165 679.827937485807</t>
  </si>
  <si>
    <t>-473.439362775221 236.589126240428 760.541566077914</t>
  </si>
  <si>
    <t>-630.183991051805 5.38244400791957 214.838075276115</t>
  </si>
  <si>
    <t>-658.723525927411 2.64357724310924 683.850252447083</t>
  </si>
  <si>
    <t>-502.35127413778 -38.0420717337202 753.390909066187</t>
  </si>
  <si>
    <t>9763-20170724T164135.191349400.bin</t>
  </si>
  <si>
    <t>-601.804178048719 91.9399701229286 -240.787599166999</t>
  </si>
  <si>
    <t>-622.42273458624 95.9313202082956 -360.063632612159</t>
  </si>
  <si>
    <t>-626.341858718284 88.2246255455939 -480.95948849353</t>
  </si>
  <si>
    <t>-622.872334205086 76.7004712559683 -589.817241848488</t>
  </si>
  <si>
    <t>-612.459239721985 60.7689388393507 -697.671787247631</t>
  </si>
  <si>
    <t>-590.743596514049 34.163447091565 -846.065150809776</t>
  </si>
  <si>
    <t>-545.853060262654 17.658571142536 -936.039536338526</t>
  </si>
  <si>
    <t>-596.384482958185 77.0815386424695 -785.409285417605</t>
  </si>
  <si>
    <t>-575.157115215975 222.535714934618 -781.742754525871</t>
  </si>
  <si>
    <t>-446.835392873991 241.916021110139 -493.04894127098</t>
  </si>
  <si>
    <t>-256.929192427386 179.228468679286 -326.772103305001</t>
  </si>
  <si>
    <t>-604.31973703406 14.789603362915 -775.402094525228</t>
  </si>
  <si>
    <t>-584.320505262786 188.342424547071 -240.248801510068</t>
  </si>
  <si>
    <t>-575.884694059816 229.901032243411 213.468476436717</t>
  </si>
  <si>
    <t>-628.62423589783 254.103632587908 679.738603536612</t>
  </si>
  <si>
    <t>-473.320706557283 237.006624107698 760.559455081362</t>
  </si>
  <si>
    <t>-629.713126254781 5.8511232442135 214.833578290945</t>
  </si>
  <si>
    <t>-658.666111103246 2.95004769749363 683.811402951186</t>
  </si>
  <si>
    <t>-502.000606461242 -36.6073213831219 753.343004268817</t>
  </si>
  <si>
    <t>9763-20170724T164135.223432300.bin</t>
  </si>
  <si>
    <t>-601.740771918896 92.2062054898809 -240.806577344312</t>
  </si>
  <si>
    <t>-622.461646493322 96.2122206029329 -360.064487447963</t>
  </si>
  <si>
    <t>-626.460387885379 88.4939233416033 -480.956911516438</t>
  </si>
  <si>
    <t>-623.05218996964 76.9494252963605 -589.814468955312</t>
  </si>
  <si>
    <t>-612.689609975884 60.988558901481 -697.669465493692</t>
  </si>
  <si>
    <t>-591.032113413022 34.3333194575282 -846.062392983592</t>
  </si>
  <si>
    <t>-546.142959023395 17.7990519257965 -936.032225097367</t>
  </si>
  <si>
    <t>-596.660541912869 77.272847517574 -785.420559599355</t>
  </si>
  <si>
    <t>-575.592161745813 222.75382031559 -781.83294372456</t>
  </si>
  <si>
    <t>-447.733696099975 241.98111551668 -492.923473580502</t>
  </si>
  <si>
    <t>-257.838593654972 178.786758920182 -326.825944396966</t>
  </si>
  <si>
    <t>-604.569169356032 14.9820017852541 -775.385857495737</t>
  </si>
  <si>
    <t>-584.265980070803 188.57919080947 -240.260885263921</t>
  </si>
  <si>
    <t>-575.75070473752 230.044330960176 213.463411899464</t>
  </si>
  <si>
    <t>-628.605436124713 254.082146771544 679.71596689991</t>
  </si>
  <si>
    <t>-473.306999791595 237.077630277805 760.566188667473</t>
  </si>
  <si>
    <t>-629.565096992068 5.98121314574242 214.829628521865</t>
  </si>
  <si>
    <t>-658.665170415527 2.94208568522848 683.796749985989</t>
  </si>
  <si>
    <t>-502.206424633085 -37.388364350047 753.349813334461</t>
  </si>
  <si>
    <t>9763-20170724T164135.291643200.bin</t>
  </si>
  <si>
    <t>-601.883035125076 92.6081964339002 -240.833168047351</t>
  </si>
  <si>
    <t>-622.647291737038 96.6322657741412 -360.082794330228</t>
  </si>
  <si>
    <t>-626.760003160881 88.8918855295592 -480.970086003194</t>
  </si>
  <si>
    <t>-623.482962452633 77.3097998820311 -589.827641040034</t>
  </si>
  <si>
    <t>-613.278911522652 61.2927789197284 -697.689533794112</t>
  </si>
  <si>
    <t>-591.869821950901 34.539445393695 -846.100832294443</t>
  </si>
  <si>
    <t>-547.013310627037 17.8907007409829 -936.065751690258</t>
  </si>
  <si>
    <t>-597.368673334931 77.5162479113474 -785.473355832122</t>
  </si>
  <si>
    <t>-576.29761321689 223.011915156439 -782.036352969662</t>
  </si>
  <si>
    <t>-448.710187094018 241.724710131855 -492.973262839214</t>
  </si>
  <si>
    <t>-259.158688614911 178.019003960915 -326.67872431391</t>
  </si>
  <si>
    <t>-605.316697816152 15.2377001255537 -775.393347738821</t>
  </si>
  <si>
    <t>-584.269488161853 189.018956807529 -240.292513500027</t>
  </si>
  <si>
    <t>-575.696393823932 230.303878293092 213.447175152652</t>
  </si>
  <si>
    <t>-628.607753937718 254.116411032604 679.695074441582</t>
  </si>
  <si>
    <t>-473.32256237235 237.053634822127 760.558399020021</t>
  </si>
  <si>
    <t>-629.646120219493 6.09060182911243 214.800587958176</t>
  </si>
  <si>
    <t>-658.670258780042 2.88551906884013 683.769305949349</t>
  </si>
  <si>
    <t>-502.304082211204 -37.7987022708715 753.32456310395</t>
  </si>
  <si>
    <t>9763-20170724T164135.325735600.bin</t>
  </si>
  <si>
    <t>-602.126634582416 92.7280985636526 -240.839068183007</t>
  </si>
  <si>
    <t>-622.892566649155 96.765992860914 -360.087873788611</t>
  </si>
  <si>
    <t>-627.055147777089 89.0031333723516 -480.972018854468</t>
  </si>
  <si>
    <t>-623.841929309861 77.3858597187589 -589.827706578763</t>
  </si>
  <si>
    <t>-613.719829915077 61.318855785112 -697.689914070216</t>
  </si>
  <si>
    <t>-592.442951214465 34.4805360395612 -846.104781311281</t>
  </si>
  <si>
    <t>-547.630640465372 17.7566341533074 -936.077928685693</t>
  </si>
  <si>
    <t>-597.859963884373 77.4891862659224 -785.492671360549</t>
  </si>
  <si>
    <t>-576.674085660684 222.964767080047 -782.174040462579</t>
  </si>
  <si>
    <t>-449.215232337382 241.467769428916 -493.040612143034</t>
  </si>
  <si>
    <t>-259.935248533413 177.374879714344 -326.585770616707</t>
  </si>
  <si>
    <t>-605.854646831049 15.2221195127712 -775.378812993882</t>
  </si>
  <si>
    <t>-584.477566093544 189.179083335021 -240.305401877312</t>
  </si>
  <si>
    <t>-575.789864110087 230.353005117254 213.442216525317</t>
  </si>
  <si>
    <t>-628.616277157136 254.153340037728 679.692935844701</t>
  </si>
  <si>
    <t>-473.343046996488 236.974628575677 760.554665282014</t>
  </si>
  <si>
    <t>-629.873322520154 6.07552099589908 214.781526546471</t>
  </si>
  <si>
    <t>-658.676597099255 2.88532872004338 683.75868849491</t>
  </si>
  <si>
    <t>-502.3019921369 -37.7680189617477 753.312885991969</t>
  </si>
  <si>
    <t>9763-20170724T164135.395429000.bin</t>
  </si>
  <si>
    <t>-602.667533700724 92.9396904918733 -240.924177810568</t>
  </si>
  <si>
    <t>-623.543834108964 97.0553314133914 -360.150987129326</t>
  </si>
  <si>
    <t>-627.870624785477 89.2634074273188 -481.027462966482</t>
  </si>
  <si>
    <t>-624.825153001311 77.5765362914092 -589.88059960536</t>
  </si>
  <si>
    <t>-614.888847134996 61.39723795762 -697.743348149131</t>
  </si>
  <si>
    <t>-593.887789412121 34.3587640784277 -846.161163223405</t>
  </si>
  <si>
    <t>-549.205941309269 17.4680192582595 -936.167953586525</t>
  </si>
  <si>
    <t>-599.127626541474 77.4424958310893 -785.58688933365</t>
  </si>
  <si>
    <t>-577.760390469851 222.902296461636 -782.532623450429</t>
  </si>
  <si>
    <t>-450.617982434637 241.313868390453 -493.254194440641</t>
  </si>
  <si>
    <t>-261.52937844627 176.543158870516 -326.844173458003</t>
  </si>
  <si>
    <t>-607.232556026479 15.2023817428877 -775.394939603277</t>
  </si>
  <si>
    <t>-584.772360265736 189.540442214444 -240.368128804758</t>
  </si>
  <si>
    <t>-576.070838853879 230.487980598098 213.399744785254</t>
  </si>
  <si>
    <t>-628.662913084653 254.297210426982 679.694772115028</t>
  </si>
  <si>
    <t>-473.429910476441 236.674091426281 760.538121154611</t>
  </si>
  <si>
    <t>-630.461191205091 6.04316145734576 214.709511697607</t>
  </si>
  <si>
    <t>-658.687378656914 3.03794706868756 683.724672007786</t>
  </si>
  <si>
    <t>-501.933902773926 -36.2253944651084 753.224769645832</t>
  </si>
  <si>
    <t>9763-20170724T164135.422500800.bin</t>
  </si>
  <si>
    <t>-603.007895183431 92.9114205604568 -240.937008286469</t>
  </si>
  <si>
    <t>-623.891843305169 97.0618164767785 -360.161344292285</t>
  </si>
  <si>
    <t>-628.274293463827 89.24774767577 -481.03435719613</t>
  </si>
  <si>
    <t>-625.296848594457 77.5190573609904 -589.884828994546</t>
  </si>
  <si>
    <t>-615.444735456099 61.2770152630456 -697.745791907534</t>
  </si>
  <si>
    <t>-594.576857552819 34.1304631184931 -846.162790521373</t>
  </si>
  <si>
    <t>-549.978139160332 17.1507569996515 -936.19407222529</t>
  </si>
  <si>
    <t>-599.736563872762 77.2556024903708 -785.611021169348</t>
  </si>
  <si>
    <t>-578.298706482801 222.699480413422 -782.670141297395</t>
  </si>
  <si>
    <t>-451.278021818445 241.140799404391 -493.340167967296</t>
  </si>
  <si>
    <t>-262.345304681589 175.881525464838 -326.943929171954</t>
  </si>
  <si>
    <t>-607.883933906128 15.0283114352796 -775.374649369292</t>
  </si>
  <si>
    <t>-584.936247601698 189.588843190623 -240.382399648137</t>
  </si>
  <si>
    <t>-576.168010579894 230.459053959634 213.391139528724</t>
  </si>
  <si>
    <t>-628.691454842926 254.342449663091 679.702087550653</t>
  </si>
  <si>
    <t>-473.478680109171 236.491202103637 760.534290254055</t>
  </si>
  <si>
    <t>-630.820596638023 5.86620540451523 214.685887047632</t>
  </si>
  <si>
    <t>-658.72674653132 2.88135098272302 683.728702117475</t>
  </si>
  <si>
    <t>-502.142498913489 -37.0273275424356 753.242618879758</t>
  </si>
  <si>
    <t>9763-20170724T164135.491359900.bin</t>
  </si>
  <si>
    <t>-603.701490217633 92.8646183545985 -240.982250521721</t>
  </si>
  <si>
    <t>-624.690321189007 97.1053462003981 -360.184844790119</t>
  </si>
  <si>
    <t>-629.197107187251 89.31947129777 -481.0551788161</t>
  </si>
  <si>
    <t>-626.336768654701 77.5926566659037 -589.908935287962</t>
  </si>
  <si>
    <t>-616.604826020002 61.3303935611859 -697.777912346864</t>
  </si>
  <si>
    <t>-595.90568195022 34.134203598361 -846.209307097691</t>
  </si>
  <si>
    <t>-551.373746750713 17.065615712642 -936.256856228339</t>
  </si>
  <si>
    <t>-600.946375737014 77.2743370769147 -785.658152580673</t>
  </si>
  <si>
    <t>-579.230043715882 222.682830682512 -782.800670000217</t>
  </si>
  <si>
    <t>-452.416356897256 240.917210108792 -493.366775931859</t>
  </si>
  <si>
    <t>-263.998758418135 174.934428060976 -326.671941330869</t>
  </si>
  <si>
    <t>-609.182516055143 15.06101959351 -775.407779385946</t>
  </si>
  <si>
    <t>-585.337240867886 189.710738433144 -240.419564148564</t>
  </si>
  <si>
    <t>-576.333118898147 230.420870798886 213.363752414417</t>
  </si>
  <si>
    <t>-628.73028170771 254.423646999572 679.692191555993</t>
  </si>
  <si>
    <t>-473.556392626432 236.212091069918 760.518615755891</t>
  </si>
  <si>
    <t>-631.571706024626 5.71230588160543 214.64649079976</t>
  </si>
  <si>
    <t>-658.721090005309 3.12370493439632 683.73768507928</t>
  </si>
  <si>
    <t>-501.942142598905 -36.0945040475703 753.205787783171</t>
  </si>
  <si>
    <t>9763-20170724T164135.523445900.bin</t>
  </si>
  <si>
    <t>-604.043166352544 92.8795686101951 -240.992424725759</t>
  </si>
  <si>
    <t>-625.096996233 97.1644961269034 -360.182097391394</t>
  </si>
  <si>
    <t>-629.684213486911 89.4011106569424 -481.050903053578</t>
  </si>
  <si>
    <t>-626.900972617021 77.6866402306494 -589.908009405786</t>
  </si>
  <si>
    <t>-617.249713643045 61.4296538525031 -697.784803573818</t>
  </si>
  <si>
    <t>-596.665214982328 34.233878718622 -846.232362348027</t>
  </si>
  <si>
    <t>-552.171485088147 17.1435989267066 -936.294663580949</t>
  </si>
  <si>
    <t>-601.642168072811 77.3720026488902 -785.674588987965</t>
  </si>
  <si>
    <t>-579.802203065503 222.762203209429 -782.820491152239</t>
  </si>
  <si>
    <t>-453.185847571434 240.761250227329 -493.285497696012</t>
  </si>
  <si>
    <t>-265.400898797154 173.35418504584 -326.446916049002</t>
  </si>
  <si>
    <t>-609.904214412744 15.162306554749 -775.423276797571</t>
  </si>
  <si>
    <t>-585.580004346323 189.732687694708 -240.418886999808</t>
  </si>
  <si>
    <t>-576.43018943094 230.40664022261 213.364803713679</t>
  </si>
  <si>
    <t>-628.753058116414 254.470626309139 679.691978005381</t>
  </si>
  <si>
    <t>-473.596870974668 236.065451929897 760.50860076286</t>
  </si>
  <si>
    <t>-631.834343069534 5.73637613689705 214.639380102081</t>
  </si>
  <si>
    <t>-658.708615591695 3.30914577834938 683.74720063959</t>
  </si>
  <si>
    <t>-501.550310170377 -34.4690996115778 753.155965459814</t>
  </si>
  <si>
    <t>9763-20170724T164135.588212800.bin</t>
  </si>
  <si>
    <t>-604.821250665036 92.846400250518 -240.99937063008</t>
  </si>
  <si>
    <t>-625.981338038122 97.1585761846934 -360.169256770779</t>
  </si>
  <si>
    <t>-630.651213270621 89.413451643786 -481.036108672527</t>
  </si>
  <si>
    <t>-627.935158265865 77.7076169721665 -589.895965448272</t>
  </si>
  <si>
    <t>-618.34477136597 61.4490725604782 -697.777925429669</t>
  </si>
  <si>
    <t>-597.83986336516 34.2383755473212 -846.233701680751</t>
  </si>
  <si>
    <t>-553.347172050274 17.1026242692164 -936.287892237788</t>
  </si>
  <si>
    <t>-602.717838614664 77.375419043561 -785.66714236009</t>
  </si>
  <si>
    <t>-580.645558955902 222.723095459526 -782.795565652934</t>
  </si>
  <si>
    <t>-454.755781653091 239.992293278581 -492.899451149339</t>
  </si>
  <si>
    <t>-270.350164422422 161.991759043696 -326.909776538619</t>
  </si>
  <si>
    <t>-611.107397066937 15.1810638676386 -775.426166462874</t>
  </si>
  <si>
    <t>-586.283080620896 189.714000953225 -240.402355178214</t>
  </si>
  <si>
    <t>-576.748909643257 230.353340648063 213.376447570486</t>
  </si>
  <si>
    <t>-628.817890629457 254.497310249944 679.736447041706</t>
  </si>
  <si>
    <t>-473.660200721653 235.840780073887 760.492480707153</t>
  </si>
  <si>
    <t>-632.263813416734 5.5318277947371 214.639770260692</t>
  </si>
  <si>
    <t>-658.755593200878 3.18514989283423 683.778649749568</t>
  </si>
  <si>
    <t>-501.878306207702 -35.7104985617369 753.205837697514</t>
  </si>
  <si>
    <t>9763-20170724T164135.623307000.bin</t>
  </si>
  <si>
    <t>-605.303702262169 92.8076100141981 -240.965193345015</t>
  </si>
  <si>
    <t>-626.472592027292 97.1466631336054 -360.132495691889</t>
  </si>
  <si>
    <t>-631.135726261366 89.4290898383363 -481.001233176787</t>
  </si>
  <si>
    <t>-628.408157538227 77.7471500106077 -589.863297407831</t>
  </si>
  <si>
    <t>-618.801431334116 61.5107961126669 -697.74722531252</t>
  </si>
  <si>
    <t>-598.269097362544 34.3286418710289 -846.204534505854</t>
  </si>
  <si>
    <t>-553.74337932901 17.1725247977016 -936.238488946127</t>
  </si>
  <si>
    <t>-603.12341116177 77.4502511268009 -785.624985263567</t>
  </si>
  <si>
    <t>-580.883137132895 222.781772715579 -782.760839219638</t>
  </si>
  <si>
    <t>-455.656273012448 239.150463390553 -492.525609652101</t>
  </si>
  <si>
    <t>-273.243097384281 153.821595398817 -327.945900451319</t>
  </si>
  <si>
    <t>-611.584573495129 15.2615494134967 -775.408525217741</t>
  </si>
  <si>
    <t>-586.744211885857 189.671798322128 -240.373421367771</t>
  </si>
  <si>
    <t>-576.952656694647 230.343202198482 213.397071155099</t>
  </si>
  <si>
    <t>-628.857248986086 254.505433727398 679.770307468243</t>
  </si>
  <si>
    <t>-473.689830995166 235.747876423881 760.484262743923</t>
  </si>
  <si>
    <t>-632.524573020175 5.51283629260972 214.657592700202</t>
  </si>
  <si>
    <t>-658.752064778062 3.35204770524153 683.796299632425</t>
  </si>
  <si>
    <t>-501.605844494855 -34.5341745350817 753.173574058678</t>
  </si>
  <si>
    <t>9763-20170724T164135.688484400.bin</t>
  </si>
  <si>
    <t>-606.18735051449 92.7945765637255 -240.991301273283</t>
  </si>
  <si>
    <t>-627.501927289276 97.1279960803076 -360.132848991591</t>
  </si>
  <si>
    <t>-632.254343026461 89.3510288523603 -480.994328837072</t>
  </si>
  <si>
    <t>-629.583360842173 77.5944133878887 -589.849782630515</t>
  </si>
  <si>
    <t>-620.008757102445 61.2634517745571 -697.722336738311</t>
  </si>
  <si>
    <t>-599.495856752099 33.9301453094598 -846.154506116509</t>
  </si>
  <si>
    <t>-554.929729124792 16.6761224238466 -936.149728493165</t>
  </si>
  <si>
    <t>-604.292216844496 77.1078749335641 -785.610363406011</t>
  </si>
  <si>
    <t>-581.928424394538 222.419448611178 -782.886644965021</t>
  </si>
  <si>
    <t>-457.33272576959 237.218236993928 -492.295724271363</t>
  </si>
  <si>
    <t>-277.456536635909 138.653920160525 -332.384186015433</t>
  </si>
  <si>
    <t>-612.852111498405 14.9407031174693 -775.345283247049</t>
  </si>
  <si>
    <t>-587.525615438554 189.70090511599 -240.41781500538</t>
  </si>
  <si>
    <t>-577.391315513018 230.278820966842 213.353552086196</t>
  </si>
  <si>
    <t>-628.911741099525 254.538314320679 679.799258537839</t>
  </si>
  <si>
    <t>-473.75775417892 235.496923652489 760.47251284106</t>
  </si>
  <si>
    <t>-633.043179982548 5.32225416107528 214.692523668378</t>
  </si>
  <si>
    <t>-658.78184248626 3.36486258316377 683.853406268438</t>
  </si>
  <si>
    <t>-501.783333757582 -35.17930169565 753.202722184486</t>
  </si>
  <si>
    <t>9763-20170724T164135.720574300.bin</t>
  </si>
  <si>
    <t>-606.614859516309 92.6344000559852 -240.932743910642</t>
  </si>
  <si>
    <t>-627.912408397354 96.9671777220257 -360.07731457995</t>
  </si>
  <si>
    <t>-632.648721819342 89.1728951710656 -480.938445650363</t>
  </si>
  <si>
    <t>-629.963459455114 77.3938280293141 -589.791040167058</t>
  </si>
  <si>
    <t>-620.375064390137 61.0339883758029 -697.657995230278</t>
  </si>
  <si>
    <t>-599.843359660547 33.6539027847112 -846.078927756442</t>
  </si>
  <si>
    <t>-555.251271587106 16.3657684436249 -936.054797715276</t>
  </si>
  <si>
    <t>-604.625527715422 76.8482755360252 -785.545461739075</t>
  </si>
  <si>
    <t>-582.07417163106 222.127734240742 -782.876507883732</t>
  </si>
  <si>
    <t>-457.729727840889 236.839787858735 -492.173646518038</t>
  </si>
  <si>
    <t>-278.169833252443 132.754664874858 -335.436309721228</t>
  </si>
  <si>
    <t>-613.230521534367 14.6892540544053 -775.269107997282</t>
  </si>
  <si>
    <t>-587.956716521077 189.588200682841 -240.394746111423</t>
  </si>
  <si>
    <t>-577.531471967657 230.242195160522 213.363131232747</t>
  </si>
  <si>
    <t>-628.941862149157 254.550094559309 679.818824086184</t>
  </si>
  <si>
    <t>-473.78997220721 235.356731038897 760.460167575486</t>
  </si>
  <si>
    <t>-633.327328758502 5.17640562011402 214.734847768998</t>
  </si>
  <si>
    <t>-658.803195559071 3.35920753586849 683.897741124552</t>
  </si>
  <si>
    <t>-501.945783999857 -35.7536410059588 753.247938168659</t>
  </si>
  <si>
    <t>9763-20170724T164135.789768700.bin</t>
  </si>
  <si>
    <t>-607.308923051405 92.6054701715262 -240.878217527775</t>
  </si>
  <si>
    <t>-628.683732594144 96.9941294945118 -360.00691315469</t>
  </si>
  <si>
    <t>-633.437426220177 89.1748076686382 -480.865726023329</t>
  </si>
  <si>
    <t>-630.741756528056 77.3425763384203 -589.712254734055</t>
  </si>
  <si>
    <t>-621.116169344188 60.9008386101472 -697.56348178686</t>
  </si>
  <si>
    <t>-600.504955531067 33.37900835688 -845.947077909878</t>
  </si>
  <si>
    <t>-555.892521067886 15.979569833424 -935.891373800897</t>
  </si>
  <si>
    <t>-605.306403197709 76.629673548877 -785.455487488316</t>
  </si>
  <si>
    <t>-582.651353590239 221.899509934254 -782.858587850949</t>
  </si>
  <si>
    <t>-458.475667834202 237.099559525691 -492.10859391541</t>
  </si>
  <si>
    <t>-277.963792451716 125.08268468273 -342.076127265705</t>
  </si>
  <si>
    <t>-613.943142843707 14.4834512567116 -775.128364831091</t>
  </si>
  <si>
    <t>-588.662799268643 189.873441949045 -240.359748564827</t>
  </si>
  <si>
    <t>-577.474778772109 229.721698051794 213.451502841163</t>
  </si>
  <si>
    <t>-629.017344032844 254.464317342973 679.912671504158</t>
  </si>
  <si>
    <t>-473.845539569774 235.079568438246 760.469726837325</t>
  </si>
  <si>
    <t>-633.802416519581 5.0656868292903 214.799114069266</t>
  </si>
  <si>
    <t>-658.861382871093 3.39699610433998 683.978567401011</t>
  </si>
  <si>
    <t>-501.70466447683 -34.6612362410872 753.237764073884</t>
  </si>
  <si>
    <t>9763-20170724T164135.824859000.bin</t>
  </si>
  <si>
    <t>-607.593035204191 92.8189390060684 -240.846621335216</t>
  </si>
  <si>
    <t>-628.939424825271 97.184743769726 -359.98125024657</t>
  </si>
  <si>
    <t>-633.662340638411 89.3440893193663 -480.839884704894</t>
  </si>
  <si>
    <t>-630.937370095145 77.4942301097615 -589.683830214423</t>
  </si>
  <si>
    <t>-621.280919607812 61.0373984375982 -697.529902535446</t>
  </si>
  <si>
    <t>-600.624874861758 33.4978281116919 -845.904124508393</t>
  </si>
  <si>
    <t>-555.982199645872 16.0665238962818 -935.82719529045</t>
  </si>
  <si>
    <t>-605.451197882666 76.7565076748703 -785.42016884759</t>
  </si>
  <si>
    <t>-582.754825549286 222.011325532009 -782.8260570295</t>
  </si>
  <si>
    <t>-458.868929542607 237.605571691264 -491.973416880867</t>
  </si>
  <si>
    <t>-277.828410137938 123.968308018355 -343.808052727713</t>
  </si>
  <si>
    <t>-614.077905971957 14.6100104560371 -775.086059136716</t>
  </si>
  <si>
    <t>-588.993412911205 190.190153528111 -240.34603105921</t>
  </si>
  <si>
    <t>-577.318204023279 229.477466346288 213.501782788369</t>
  </si>
  <si>
    <t>-629.065864962029 254.394934859942 679.978984022005</t>
  </si>
  <si>
    <t>-473.888618793776 234.86891859934 760.491567022937</t>
  </si>
  <si>
    <t>-633.978924359187 5.16075732806137 214.837721349756</t>
  </si>
  <si>
    <t>-658.877211015749 3.54438164508048 684.024196388615</t>
  </si>
  <si>
    <t>-501.776964391416 -34.7851347792485 753.262024038697</t>
  </si>
  <si>
    <t>9763-20170724T164135.895587000.bin</t>
  </si>
  <si>
    <t>-607.93882554433 92.8955274677071 -240.665843359145</t>
  </si>
  <si>
    <t>-629.422491243219 97.1818222334504 -359.778828388269</t>
  </si>
  <si>
    <t>-634.172617943889 89.3229106059142 -480.635088883499</t>
  </si>
  <si>
    <t>-631.426619313454 77.4843910719539 -589.479679449531</t>
  </si>
  <si>
    <t>-621.703238717311 61.0684676758357 -697.32591242557</t>
  </si>
  <si>
    <t>-600.906380948669 33.6182416746717 -845.697094810395</t>
  </si>
  <si>
    <t>-556.208786354229 16.2241417867988 -935.600144974641</t>
  </si>
  <si>
    <t>-605.818519293008 76.84367335262 -785.196255511273</t>
  </si>
  <si>
    <t>-583.260554109318 222.11435164459 -782.391330615098</t>
  </si>
  <si>
    <t>-459.832623490601 238.493825931157 -491.38717582441</t>
  </si>
  <si>
    <t>-279.828157300145 126.533279494812 -340.704478288057</t>
  </si>
  <si>
    <t>-614.398113316351 14.6845597850381 -774.898672263501</t>
  </si>
  <si>
    <t>-589.303858839801 190.226984506089 -240.15207760911</t>
  </si>
  <si>
    <t>-576.42497919778 229.133949096904 213.696012141904</t>
  </si>
  <si>
    <t>-629.202798011551 254.228713108686 680.139690186016</t>
  </si>
  <si>
    <t>-473.978096671697 234.440824526 760.496660368265</t>
  </si>
  <si>
    <t>-633.990717969629 5.28067150165099 215.070221537436</t>
  </si>
  <si>
    <t>-658.905896753892 3.68145309310293 684.21709801495</t>
  </si>
  <si>
    <t>-501.702011374724 -34.3114345231891 753.405198804493</t>
  </si>
  <si>
    <t>9763-20170724T164135.924677500.bin</t>
  </si>
  <si>
    <t>-608.101549601722 93.1775219597582 -240.507595072514</t>
  </si>
  <si>
    <t>-629.644565081454 97.4216423620551 -359.611367646003</t>
  </si>
  <si>
    <t>-634.386296119699 89.5916509429949 -480.469849324165</t>
  </si>
  <si>
    <t>-631.60551328103 77.8086311263226 -589.319576011516</t>
  </si>
  <si>
    <t>-621.82041408221 61.477965060948 -697.173223618156</t>
  </si>
  <si>
    <t>-600.910327049411 34.1776717856698 -845.556176862105</t>
  </si>
  <si>
    <t>-556.166172668601 16.8808944079866 -935.454799297889</t>
  </si>
  <si>
    <t>-605.890720455291 77.344373440188 -785.018896463097</t>
  </si>
  <si>
    <t>-583.343512862386 222.619747926523 -782.054630445565</t>
  </si>
  <si>
    <t>-460.353218755529 238.804836011948 -490.854252923316</t>
  </si>
  <si>
    <t>-281.217002772688 130.551752238542 -336.473309285218</t>
  </si>
  <si>
    <t>-614.434037725334 15.1700297341716 -774.783666136662</t>
  </si>
  <si>
    <t>-589.834810399129 190.731530174105 -239.991343843041</t>
  </si>
  <si>
    <t>-575.523896257284 229.260145689467 213.846061064628</t>
  </si>
  <si>
    <t>-629.250942806149 254.084797109676 680.190535726994</t>
  </si>
  <si>
    <t>-473.993197687088 234.279242010417 760.479277466031</t>
  </si>
  <si>
    <t>-633.905231133561 5.41680898822034 215.241012589016</t>
  </si>
  <si>
    <t>-658.926330750273 3.65622510040346 684.361326402084</t>
  </si>
  <si>
    <t>-502.003698134623 -35.4456533314604 753.570060496697</t>
  </si>
  <si>
    <t>9763-20170724T164135.989384500.bin</t>
  </si>
  <si>
    <t>-608.387147399244 92.421047050632 -240.104785285286</t>
  </si>
  <si>
    <t>-629.880629174913 96.6583425653318 -359.217575129293</t>
  </si>
  <si>
    <t>-634.625580259781 88.9045803510534 -480.080859743074</t>
  </si>
  <si>
    <t>-631.866985283366 77.2273539949676 -588.942779181796</t>
  </si>
  <si>
    <t>-622.12149794147 61.0406568465958 -696.821649489888</t>
  </si>
  <si>
    <t>-601.282763447463 33.9814492826677 -845.258577933155</t>
  </si>
  <si>
    <t>-556.51913642326 16.9020359260039 -935.189089532327</t>
  </si>
  <si>
    <t>-606.30430419437 77.0574501290866 -784.660220392552</t>
  </si>
  <si>
    <t>-583.971027133131 222.373827800199 -781.466132931689</t>
  </si>
  <si>
    <t>-460.501665592287 238.807456544617 -490.482586319094</t>
  </si>
  <si>
    <t>-281.467997995902 135.346004660822 -332.733603748502</t>
  </si>
  <si>
    <t>-614.702142166411 14.851115627479 -774.499302311527</t>
  </si>
  <si>
    <t>-590.128778454309 189.333289359262 -239.572757928469</t>
  </si>
  <si>
    <t>-575.511382862796 229.458935633579 214.116533790255</t>
  </si>
  <si>
    <t>-629.301736859246 253.810862674486 680.340666994767</t>
  </si>
  <si>
    <t>-473.959373067094 234.109576871815 760.491217765484</t>
  </si>
  <si>
    <t>-633.94280490989 5.18752461603998 215.597788595845</t>
  </si>
  <si>
    <t>-658.930113303784 3.82651233871047 684.654568246423</t>
  </si>
  <si>
    <t>-501.878551895735 -34.8214205430393 753.825778191908</t>
  </si>
  <si>
    <t>9763-20170724T164136.022472700.bin</t>
  </si>
  <si>
    <t>-608.076806386644 92.1871293016702 -240.050294515573</t>
  </si>
  <si>
    <t>-629.467458772355 96.3822083606143 -359.18324096339</t>
  </si>
  <si>
    <t>-634.183835909433 88.6305799937812 -480.047820475966</t>
  </si>
  <si>
    <t>-631.431339280273 76.9709772818322 -588.91154541042</t>
  </si>
  <si>
    <t>-621.724554435872 60.8156692108515 -696.798748858556</t>
  </si>
  <si>
    <t>-600.973574690884 33.8124197334813 -845.258168863208</t>
  </si>
  <si>
    <t>-556.221261051119 16.8107257970346 -935.209120526825</t>
  </si>
  <si>
    <t>-605.964991712937 76.8662287000885 -784.641628450151</t>
  </si>
  <si>
    <t>-583.596059254993 222.169026808285 -781.408624312316</t>
  </si>
  <si>
    <t>-460.169761566772 238.737182194917 -490.414394555878</t>
  </si>
  <si>
    <t>-280.590374949787 134.846802555979 -333.570330669616</t>
  </si>
  <si>
    <t>-614.345498605811 14.6548176828572 -774.49731994402</t>
  </si>
  <si>
    <t>-589.820360341909 189.193754719522 -239.637003802815</t>
  </si>
  <si>
    <t>-576.549265815345 229.214070573562 214.103001990183</t>
  </si>
  <si>
    <t>-629.334488903163 253.848868116639 680.406655280791</t>
  </si>
  <si>
    <t>-473.961096149621 234.066289823024 760.476995243924</t>
  </si>
  <si>
    <t>-633.801185830075 5.09109030041031 215.674245458421</t>
  </si>
  <si>
    <t>-658.960258298037 3.85101679032675 684.737045118772</t>
  </si>
  <si>
    <t>-501.942212157923 -34.9348412160864 753.907062167361</t>
  </si>
  <si>
    <t>9763-20170724T164136.093719600.bin</t>
  </si>
  <si>
    <t>-607.467829934158 92.2509753058293 -240.099401233108</t>
  </si>
  <si>
    <t>-628.7829814741 96.3697573380093 -359.248518114887</t>
  </si>
  <si>
    <t>-633.481059332978 88.6398630536517 -480.11512289461</t>
  </si>
  <si>
    <t>-630.737495976103 77.0373877535472 -588.985306255532</t>
  </si>
  <si>
    <t>-621.065980762201 60.9744706557752 -696.889416313504</t>
  </si>
  <si>
    <t>-600.391694201507 34.134110669837 -845.389108749749</t>
  </si>
  <si>
    <t>-555.693584868613 17.3008991556103 -935.398604922423</t>
  </si>
  <si>
    <t>-605.420433774343 77.1288008176874 -784.733655350435</t>
  </si>
  <si>
    <t>-583.207580579453 222.43755340888 -781.369618365837</t>
  </si>
  <si>
    <t>-460.011180179992 238.935734190496 -490.273889143506</t>
  </si>
  <si>
    <t>-279.631579432361 134.226516979507 -334.899328113918</t>
  </si>
  <si>
    <t>-613.658465140181 14.8915177499616 -774.631569857777</t>
  </si>
  <si>
    <t>-589.625973595478 189.182059692069 -239.672284319019</t>
  </si>
  <si>
    <t>-576.978398205809 229.141542876013 214.090810565909</t>
  </si>
  <si>
    <t>-629.334087898202 253.791849512371 680.484419351904</t>
  </si>
  <si>
    <t>-473.893392793565 234.145544292777 760.457641643821</t>
  </si>
  <si>
    <t>-633.529087693361 5.13196238151897 215.69856152778</t>
  </si>
  <si>
    <t>-659.02148644049 3.72461032279013 684.821359833997</t>
  </si>
  <si>
    <t>-502.302534880553 -36.1712747533582 754.038509782718</t>
  </si>
  <si>
    <t>9763-20170724T164136.124796800.bin</t>
  </si>
  <si>
    <t>-607.272562198088 92.3321031095475 -240.056033525559</t>
  </si>
  <si>
    <t>-628.563511627009 96.4478452945792 -359.209709495632</t>
  </si>
  <si>
    <t>-633.236829311318 88.7532763702926 -480.079508001097</t>
  </si>
  <si>
    <t>-630.470079879111 77.1999778624134 -588.954267859279</t>
  </si>
  <si>
    <t>-620.773834530532 61.2039750815317 -696.866129365376</t>
  </si>
  <si>
    <t>-600.063258307521 34.4757549873889 -845.381068101132</t>
  </si>
  <si>
    <t>-555.375860461068 17.7474549880548 -935.415354623845</t>
  </si>
  <si>
    <t>-605.167044236949 77.4309631041658 -784.70394574112</t>
  </si>
  <si>
    <t>-583.113186412922 222.763600819358 -781.237924312578</t>
  </si>
  <si>
    <t>-459.446156614579 239.169103827634 -490.336716969558</t>
  </si>
  <si>
    <t>-279.384322738386 134.611547615156 -334.492299070886</t>
  </si>
  <si>
    <t>-613.286999249335 15.173335387344 -774.631758420301</t>
  </si>
  <si>
    <t>-589.498933694591 189.221938038537 -239.617644886809</t>
  </si>
  <si>
    <t>-576.494627518149 229.213912505068 214.132497209309</t>
  </si>
  <si>
    <t>-629.313431486676 253.686754084304 680.501077642457</t>
  </si>
  <si>
    <t>-473.848653241024 234.237514463058 760.475718838318</t>
  </si>
  <si>
    <t>-633.415953081916 5.25038039066879 215.720796595047</t>
  </si>
  <si>
    <t>-659.014243047916 3.83026006062585 684.856861927355</t>
  </si>
  <si>
    <t>-502.258184230515 -35.8984140836435 754.085967720732</t>
  </si>
  <si>
    <t>9763-20170724T164136.190479900.bin</t>
  </si>
  <si>
    <t>-606.760437368789 92.9663383909881 -239.983113910466</t>
  </si>
  <si>
    <t>-628.210593705045 97.0898123329852 -359.107834582183</t>
  </si>
  <si>
    <t>-632.988982373558 89.4741514910892 -479.978453771754</t>
  </si>
  <si>
    <t>-630.294217846002 78.0219924020228 -588.865751994663</t>
  </si>
  <si>
    <t>-620.646759474513 62.1569465113886 -696.801342680381</t>
  </si>
  <si>
    <t>-599.979413157361 35.642213869471 -845.360546700528</t>
  </si>
  <si>
    <t>-555.275369439309 19.1313853090329 -935.426748415683</t>
  </si>
  <si>
    <t>-605.15896829142 78.5198920774052 -784.63489888339</t>
  </si>
  <si>
    <t>-583.245981539148 223.880446925575 -780.99480477834</t>
  </si>
  <si>
    <t>-457.857424279803 239.064577910396 -490.764897845762</t>
  </si>
  <si>
    <t>-277.698972177375 134.906149308966 -334.764867432369</t>
  </si>
  <si>
    <t>-613.089198876716 16.2284723084197 -774.620443058279</t>
  </si>
  <si>
    <t>-589.080802664393 189.966357622061 -239.53099626272</t>
  </si>
  <si>
    <t>-575.800120533957 229.54374504562 214.247527951729</t>
  </si>
  <si>
    <t>-629.274915789252 253.495895062029 680.524505171602</t>
  </si>
  <si>
    <t>-473.763946585714 234.461378356548 760.509116195232</t>
  </si>
  <si>
    <t>-632.983667426903 5.82561809621465 215.778580536053</t>
  </si>
  <si>
    <t>-658.990027595156 4.06028070029816 684.912323406779</t>
  </si>
  <si>
    <t>-501.811079723233 -34.0289871574959 754.104091335649</t>
  </si>
  <si>
    <t>9763-20170724T164136.227576600.bin</t>
  </si>
  <si>
    <t>-606.460274800377 93.2807165690921 -239.94873910106</t>
  </si>
  <si>
    <t>-627.859213485474 97.3664579036788 -359.083980619817</t>
  </si>
  <si>
    <t>-632.636864796208 89.7737153179999 -479.956162508961</t>
  </si>
  <si>
    <t>-629.963403393477 78.3647973342922 -588.848537023862</t>
  </si>
  <si>
    <t>-620.359794863638 62.5638636920016 -696.797233992859</t>
  </si>
  <si>
    <t>-599.776815991563 36.1581141052683 -845.387673261183</t>
  </si>
  <si>
    <t>-555.088760011636 19.7273477010708 -935.476285978337</t>
  </si>
  <si>
    <t>-604.934020741513 78.992456121124 -784.629492663848</t>
  </si>
  <si>
    <t>-582.948609333334 224.345564092079 -780.878118983262</t>
  </si>
  <si>
    <t>-456.236617806065 238.393829736942 -491.166448085359</t>
  </si>
  <si>
    <t>-276.230683356113 135.681742523822 -334.035309157805</t>
  </si>
  <si>
    <t>-612.834253551636 16.6912037761275 -774.652499348159</t>
  </si>
  <si>
    <t>-588.847156752754 190.163377506232 -239.501634348386</t>
  </si>
  <si>
    <t>-575.634082646469 229.741615090594 214.278803869632</t>
  </si>
  <si>
    <t>-629.256130441197 253.456622187946 680.522379151944</t>
  </si>
  <si>
    <t>-473.739347400092 234.495407638914 760.513074878386</t>
  </si>
  <si>
    <t>-632.694109352678 6.1063996278772 215.805226836422</t>
  </si>
  <si>
    <t>-658.985186980364 4.14115437371036 684.928300952056</t>
  </si>
  <si>
    <t>-501.741331351464 -33.6878725147392 754.115414856362</t>
  </si>
  <si>
    <t>9763-20170724T164136.292285300.bin</t>
  </si>
  <si>
    <t>-605.548966125385 93.7012715136945 -239.938066898084</t>
  </si>
  <si>
    <t>-626.842389321191 97.7691440670642 -359.092809267319</t>
  </si>
  <si>
    <t>-631.636815255579 90.1922742735934 -479.965403405207</t>
  </si>
  <si>
    <t>-629.031355150581 78.8058418491659 -588.861693222806</t>
  </si>
  <si>
    <t>-619.549592778978 63.0314988975664 -696.825231077467</t>
  </si>
  <si>
    <t>-599.19278078642 36.6632815461312 -845.453279882157</t>
  </si>
  <si>
    <t>-554.581206691694 20.2776491928842 -935.588216968743</t>
  </si>
  <si>
    <t>-604.226110048445 79.4790344205914 -784.671727600993</t>
  </si>
  <si>
    <t>-581.885031441083 224.769697836664 -780.854038912052</t>
  </si>
  <si>
    <t>-452.235045386399 238.205057421022 -492.415956764151</t>
  </si>
  <si>
    <t>-273.173577813248 136.984499723182 -333.25110088603</t>
  </si>
  <si>
    <t>-612.174008652765 17.1817400755244 -774.708193630378</t>
  </si>
  <si>
    <t>-587.910023076448 190.574373495654 -239.491325726881</t>
  </si>
  <si>
    <t>-575.49081684934 229.700918464565 214.350665801727</t>
  </si>
  <si>
    <t>-629.23248422073 253.377603100816 680.541251646936</t>
  </si>
  <si>
    <t>-473.706773525436 234.556498573565 760.547699100981</t>
  </si>
  <si>
    <t>-632.189639756207 6.48840473887633 215.820731783674</t>
  </si>
  <si>
    <t>-658.998772831911 4.12014726791769 684.925050346225</t>
  </si>
  <si>
    <t>-502.070925448773 -34.8781791692823 754.180311389277</t>
  </si>
  <si>
    <t>9763-20170724T164136.323368500.bin</t>
  </si>
  <si>
    <t>-604.997563266616 94.0858659628553 -239.953771876678</t>
  </si>
  <si>
    <t>-626.228722920439 98.1732763345514 -359.118864262645</t>
  </si>
  <si>
    <t>-631.034386361162 90.6015109534606 -479.991312525336</t>
  </si>
  <si>
    <t>-628.470353803813 79.2108341103301 -588.888128225823</t>
  </si>
  <si>
    <t>-619.061704706192 63.4215822329985 -696.855833868937</t>
  </si>
  <si>
    <t>-598.83977866261 37.0196244763976 -845.496428558064</t>
  </si>
  <si>
    <t>-554.29790340919 20.5971987247496 -935.659066000738</t>
  </si>
  <si>
    <t>-603.778433975684 79.8451172082354 -784.714023669003</t>
  </si>
  <si>
    <t>-581.189151873006 225.107783890871 -780.949042667488</t>
  </si>
  <si>
    <t>-450.455457909596 238.441329355178 -492.995724755104</t>
  </si>
  <si>
    <t>-272.105533229058 138.073346037176 -332.497610198166</t>
  </si>
  <si>
    <t>-611.796305980327 17.5582563846612 -774.741212852415</t>
  </si>
  <si>
    <t>-587.27978639392 191.097497956082 -239.522391855341</t>
  </si>
  <si>
    <t>-575.369860052672 229.650245274284 214.382314674391</t>
  </si>
  <si>
    <t>-629.21969259011 253.345740646411 680.544491947309</t>
  </si>
  <si>
    <t>-473.691520494162 234.581717936124 760.559593300706</t>
  </si>
  <si>
    <t>-631.877008313911 6.79637579617619 215.792820373516</t>
  </si>
  <si>
    <t>-659.001059514067 4.10864350220858 684.897920320105</t>
  </si>
  <si>
    <t>-501.939326187779 -34.3413948631606 754.156261202823</t>
  </si>
  <si>
    <t>9763-20170724T164136.392068900.bin</t>
  </si>
  <si>
    <t>-603.772114127193 94.9956152289349 -240.038960984571</t>
  </si>
  <si>
    <t>-625.051108055215 99.1431462288245 -359.193464201098</t>
  </si>
  <si>
    <t>-629.89094291587 91.5876780993149 -480.065605006185</t>
  </si>
  <si>
    <t>-627.352531064623 80.1922634565893 -588.962631607151</t>
  </si>
  <si>
    <t>-617.964595982613 64.3781819208305 -696.928518579847</t>
  </si>
  <si>
    <t>-597.766882215346 37.9203960485638 -845.562261460528</t>
  </si>
  <si>
    <t>-553.261705488069 21.3974731193147 -935.724828642704</t>
  </si>
  <si>
    <t>-602.635715091679 80.7624571631088 -784.785999702521</t>
  </si>
  <si>
    <t>-579.597250517358 225.942614207643 -781.041542152444</t>
  </si>
  <si>
    <t>-447.308096854084 239.503780717449 -493.810110108062</t>
  </si>
  <si>
    <t>-270.090641334131 140.265929335897 -331.366740807743</t>
  </si>
  <si>
    <t>-610.771799381096 18.4918907332712 -774.806890233482</t>
  </si>
  <si>
    <t>-585.857738147888 191.978360562997 -239.562673711764</t>
  </si>
  <si>
    <t>-574.666761131778 229.773751292118 214.424069408855</t>
  </si>
  <si>
    <t>-629.172142887948 253.241596897708 680.518057696175</t>
  </si>
  <si>
    <t>-473.655929905105 234.636151886288 760.593360173888</t>
  </si>
  <si>
    <t>-631.021280741963 7.51583153106633 215.721591394226</t>
  </si>
  <si>
    <t>-658.993609322747 4.06479550782078 684.819190483761</t>
  </si>
  <si>
    <t>-502.353434984206 -35.9162676076729 754.165321908735</t>
  </si>
  <si>
    <t>9763-20170724T164136.427163100.bin</t>
  </si>
  <si>
    <t>-603.25409299786 95.3159512908979 -240.049853754112</t>
  </si>
  <si>
    <t>-624.54334137283 99.4787067377243 -359.202048875164</t>
  </si>
  <si>
    <t>-629.393052387145 91.9310035619756 -480.074156323775</t>
  </si>
  <si>
    <t>-626.863996193019 80.5385033943788 -588.971660250615</t>
  </si>
  <si>
    <t>-617.486030645976 64.7228035383607 -696.938258986714</t>
  </si>
  <si>
    <t>-597.303142254041 38.2574085430806 -845.572764250465</t>
  </si>
  <si>
    <t>-552.811765058633 21.667579241854 -935.729794838207</t>
  </si>
  <si>
    <t>-602.128258931587 81.0985148184298 -784.79226422059</t>
  </si>
  <si>
    <t>-578.820876454244 226.244404621335 -781.006272514409</t>
  </si>
  <si>
    <t>-445.897260584627 239.816016874282 -494.068507328462</t>
  </si>
  <si>
    <t>-269.224246760954 140.991816704416 -330.782081252464</t>
  </si>
  <si>
    <t>-610.33861390624 18.8364985888346 -774.820909315176</t>
  </si>
  <si>
    <t>-585.204867110706 192.23321154413 -239.550471977422</t>
  </si>
  <si>
    <t>-574.25773762819 229.914372149669 214.451673458519</t>
  </si>
  <si>
    <t>-629.149451079557 253.166297483115 680.496530043862</t>
  </si>
  <si>
    <t>-473.62676170853 234.723674495859 760.596912854087</t>
  </si>
  <si>
    <t>-630.653922898963 7.7956752895238 215.711820071098</t>
  </si>
  <si>
    <t>-658.975577180713 4.08290097724007 684.785725121813</t>
  </si>
  <si>
    <t>-502.323346154291 -35.8264810325458 754.145941183688</t>
  </si>
  <si>
    <t>9763-20170724T164136.487829100.bin</t>
  </si>
  <si>
    <t>-602.203116371273 95.6991922428442 -240.018470384539</t>
  </si>
  <si>
    <t>-623.423266337215 99.8728084790211 -359.182630879165</t>
  </si>
  <si>
    <t>-628.256107971638 92.3261900786244 -480.055354267478</t>
  </si>
  <si>
    <t>-625.738156886063 80.9226986400071 -588.95207965197</t>
  </si>
  <si>
    <t>-616.400518924097 65.0792899900329 -696.918058983416</t>
  </si>
  <si>
    <t>-596.30607075748 38.5531653124296 -845.553733895454</t>
  </si>
  <si>
    <t>-551.815877397761 21.8218019370342 -935.685153168291</t>
  </si>
  <si>
    <t>-601.002184514446 81.4090706623194 -784.773582122524</t>
  </si>
  <si>
    <t>-577.183554616991 226.467768409899 -781.013589335222</t>
  </si>
  <si>
    <t>-443.170570309693 239.489594892311 -494.557425433316</t>
  </si>
  <si>
    <t>-267.436157937246 142.328993402203 -329.271866693416</t>
  </si>
  <si>
    <t>-609.392315654092 19.1712578289176 -774.800568228883</t>
  </si>
  <si>
    <t>-583.857800817576 192.566555314992 -239.532981679566</t>
  </si>
  <si>
    <t>-573.391168617571 230.125640142479 214.490644197578</t>
  </si>
  <si>
    <t>-629.108329412917 253.065521292801 680.420037011013</t>
  </si>
  <si>
    <t>-473.592030128563 234.862354348892 760.587676608656</t>
  </si>
  <si>
    <t>-629.999540827716 8.0700542853281 215.692213907559</t>
  </si>
  <si>
    <t>-658.957282823409 3.99642343942195 684.739508145503</t>
  </si>
  <si>
    <t>-502.667034421656 -37.1780832466858 754.176731081114</t>
  </si>
  <si>
    <t>9763-20170724T164136.526933300.bin</t>
  </si>
  <si>
    <t>-601.741898947149 95.8014610180873 -240.015579186874</t>
  </si>
  <si>
    <t>-622.950656782638 100.003369737234 -359.180828432697</t>
  </si>
  <si>
    <t>-627.804021254201 92.452947321416 -480.052741837808</t>
  </si>
  <si>
    <t>-625.318923222125 81.0304068669346 -588.948098589004</t>
  </si>
  <si>
    <t>-616.029037499886 65.1505289413437 -696.912740854962</t>
  </si>
  <si>
    <t>-596.017303030082 38.5542624750235 -845.547112120924</t>
  </si>
  <si>
    <t>-551.54441160108 21.7309555607067 -935.669817581172</t>
  </si>
  <si>
    <t>-600.638802113858 81.4342957227908 -784.778098360148</t>
  </si>
  <si>
    <t>-576.591352814157 226.457674689312 -781.055051083293</t>
  </si>
  <si>
    <t>-442.007204271233 239.184640177099 -494.853565562705</t>
  </si>
  <si>
    <t>-266.776275725739 142.510269492623 -328.750390015521</t>
  </si>
  <si>
    <t>-609.104957923098 19.2102450292835 -774.78382586069</t>
  </si>
  <si>
    <t>-583.396753323872 192.525995104896 -239.498496106933</t>
  </si>
  <si>
    <t>-573.112098163853 230.308902929568 214.510690750429</t>
  </si>
  <si>
    <t>-629.081661333678 253.018975940177 680.383503089741</t>
  </si>
  <si>
    <t>-473.57685194383 234.943781402223 760.6022943388</t>
  </si>
  <si>
    <t>-629.716268906295 8.23524472451444 215.67645030413</t>
  </si>
  <si>
    <t>-658.950263155678 3.92128796447767 684.708260897147</t>
  </si>
  <si>
    <t>-502.59192631613 -36.9810182095228 754.153051458565</t>
  </si>
  <si>
    <t>9763-20170724T164136.592743600.bin</t>
  </si>
  <si>
    <t>-601.072493782453 96.412678028448 -240.065986952742</t>
  </si>
  <si>
    <t>-622.242717902113 100.662544149183 -359.236319212406</t>
  </si>
  <si>
    <t>-627.143289697064 93.1211402773712 -480.106803239193</t>
  </si>
  <si>
    <t>-624.737140848213 81.6868665307756 -589.002658128322</t>
  </si>
  <si>
    <t>-615.563184048426 65.7732316663671 -696.972322142935</t>
  </si>
  <si>
    <t>-595.751175758597 39.1047181621176 -845.620554285988</t>
  </si>
  <si>
    <t>-551.289178435926 22.0809037309758 -935.711104393377</t>
  </si>
  <si>
    <t>-600.219773289797 82.0063132952021 -784.855454759059</t>
  </si>
  <si>
    <t>-575.760500605003 226.966824735053 -781.216738854916</t>
  </si>
  <si>
    <t>-440.380879416851 239.23441213996 -495.370520860231</t>
  </si>
  <si>
    <t>-265.8214597505 144.545648168323 -327.426770052932</t>
  </si>
  <si>
    <t>-608.81495510142 19.8030918560347 -774.841176527525</t>
  </si>
  <si>
    <t>-582.685876872837 193.117338913369 -239.564101938646</t>
  </si>
  <si>
    <t>-573.043470736017 230.734688451655 214.472912327105</t>
  </si>
  <si>
    <t>-629.054571026972 252.940260537185 680.342531784793</t>
  </si>
  <si>
    <t>-473.567702610695 235.048156549558 760.63720731606</t>
  </si>
  <si>
    <t>-629.203258909593 8.79404527115915 215.604379855106</t>
  </si>
  <si>
    <t>-658.856931871335 4.27425652162273 684.605457238389</t>
  </si>
  <si>
    <t>-502.062033415694 -34.9508941773153 754.033463159057</t>
  </si>
  <si>
    <t>9763-20170724T164136.627841700.bin</t>
  </si>
  <si>
    <t>-600.948120593114 96.7069586843532 -240.142639457954</t>
  </si>
  <si>
    <t>-622.162034645793 100.963050996536 -359.304999295562</t>
  </si>
  <si>
    <t>-627.129033906233 93.4198746375256 -480.17263018711</t>
  </si>
  <si>
    <t>-624.793416783065 81.9779880124986 -589.069255748229</t>
  </si>
  <si>
    <t>-615.700954430069 66.0490438838562 -697.043640187311</t>
  </si>
  <si>
    <t>-596.014426752013 39.3495509600226 -845.702981544959</t>
  </si>
  <si>
    <t>-551.490836851908 22.1254598455657 -935.724939009325</t>
  </si>
  <si>
    <t>-600.393296659915 82.2594017329983 -784.937064702549</t>
  </si>
  <si>
    <t>-575.684733471793 227.179062758377 -781.363609703565</t>
  </si>
  <si>
    <t>-439.998270671204 239.297956000535 -495.656683576733</t>
  </si>
  <si>
    <t>-265.445446314003 145.708079715705 -327.091113175153</t>
  </si>
  <si>
    <t>-609.05687202277 20.0670648820424 -774.91455328969</t>
  </si>
  <si>
    <t>-582.54802186839 193.37786028035 -239.638324313472</t>
  </si>
  <si>
    <t>-572.994868645799 230.94528944299 214.404798963611</t>
  </si>
  <si>
    <t>-629.028840991893 252.900511970933 680.306109078877</t>
  </si>
  <si>
    <t>-473.550188760781 235.131276434176 760.643863421548</t>
  </si>
  <si>
    <t>-619.401386323688 0.0392965537201491 -239.970124994843</t>
  </si>
  <si>
    <t>-629.097990537976 8.97410900639814 215.533871192075</t>
  </si>
  <si>
    <t>-658.862216833941 4.12960994501628 684.548410832511</t>
  </si>
  <si>
    <t>-502.282148472674 -35.8626794319835 754.023698610313</t>
  </si>
  <si>
    <t>9763-20170724T164136.693032800.bin</t>
  </si>
  <si>
    <t>-600.859419057164 97.027417478152 -240.211964609542</t>
  </si>
  <si>
    <t>-622.178459332881 101.410635298211 -359.351028794901</t>
  </si>
  <si>
    <t>-627.300645001711 93.9138478812352 -480.214980450928</t>
  </si>
  <si>
    <t>-625.124914830982 82.478608476919 -589.11571156938</t>
  </si>
  <si>
    <t>-616.21177214391 66.5197477048208 -697.100449528208</t>
  </si>
  <si>
    <t>-596.794431580574 39.7394113386147 -845.780667080092</t>
  </si>
  <si>
    <t>-551.919528921779 21.8394870151394 -935.495758972698</t>
  </si>
  <si>
    <t>-601.029234033037 82.6783637604517 -785.025137631125</t>
  </si>
  <si>
    <t>-575.769841206479 227.520537410123 -781.656708607245</t>
  </si>
  <si>
    <t>-439.431683484701 239.828830747288 -496.268091329717</t>
  </si>
  <si>
    <t>-264.866767360253 148.06641193739 -326.713414383651</t>
  </si>
  <si>
    <t>-609.742729256133 20.4993384197485 -774.963330698686</t>
  </si>
  <si>
    <t>-582.297032190482 193.539456858163 -239.608886944001</t>
  </si>
  <si>
    <t>-572.959458243282 231.320848742106 214.420906716876</t>
  </si>
  <si>
    <t>-629.01831977356 252.847957733134 680.271194781457</t>
  </si>
  <si>
    <t>-473.53402404354 235.307410339397 760.648303627961</t>
  </si>
  <si>
    <t>-619.434102802204 0.519162854296852 -240.094813597459</t>
  </si>
  <si>
    <t>-628.839142326204 9.11728803916475 215.421631252274</t>
  </si>
  <si>
    <t>-658.83676310978 4.05270199312089 684.417626529159</t>
  </si>
  <si>
    <t>-502.669731641502 -37.4009501696544 753.965928987363</t>
  </si>
  <si>
    <t>9763-20170724T164136.725116400.bin</t>
  </si>
  <si>
    <t>-600.989798880658 97.2991872673371 -240.265115039903</t>
  </si>
  <si>
    <t>-622.362446679098 101.726950613159 -359.392885920442</t>
  </si>
  <si>
    <t>-627.560066725587 94.1797619856988 -480.250649865599</t>
  </si>
  <si>
    <t>-625.462973462327 82.6567559119829 -589.143558289774</t>
  </si>
  <si>
    <t>-616.640170851894 66.5656990589377 -697.116169829984</t>
  </si>
  <si>
    <t>-597.361565791379 39.5535597550039 -845.772440870988</t>
  </si>
  <si>
    <t>-552.232364230983 21.0193177527561 -935.230828671248</t>
  </si>
  <si>
    <t>-601.509526898359 82.5837816397831 -785.075444948097</t>
  </si>
  <si>
    <t>-575.964744597061 227.3719551046 -781.96198709256</t>
  </si>
  <si>
    <t>-439.258844606494 239.941579322022 -496.760720579325</t>
  </si>
  <si>
    <t>-264.580069324908 149.567515340856 -326.57876072931</t>
  </si>
  <si>
    <t>-610.273982451045 20.4274784163565 -774.917721634272</t>
  </si>
  <si>
    <t>-582.50742648306 193.808617155544 -239.647876009849</t>
  </si>
  <si>
    <t>-572.925098528562 231.742848326903 214.364074952497</t>
  </si>
  <si>
    <t>-629.001984470925 252.746708295053 680.2535085406</t>
  </si>
  <si>
    <t>-473.468825082282 235.594284012841 760.619879844173</t>
  </si>
  <si>
    <t>-619.505159527155 0.806263714273705 -240.214678478773</t>
  </si>
  <si>
    <t>-628.676354548831 9.19655626354876 215.310337218288</t>
  </si>
  <si>
    <t>-658.833070752123 3.99609349110173 684.329954472707</t>
  </si>
  <si>
    <t>-502.578843062171 -37.1260496479841 753.87923032868</t>
  </si>
  <si>
    <t>9763-20170724T164136.793812900.bin</t>
  </si>
  <si>
    <t>-601.410641243422 97.8340372156305 -240.34874908081</t>
  </si>
  <si>
    <t>-623.113099780515 102.514144290567 -359.407132896558</t>
  </si>
  <si>
    <t>-628.413311615593 94.6736090583562 -480.241688314381</t>
  </si>
  <si>
    <t>-626.321690377909 82.6554295196312 -589.081142205194</t>
  </si>
  <si>
    <t>-617.422600226957 65.8363425138803 -696.936503150163</t>
  </si>
  <si>
    <t>-597.959830212034 37.5683267060843 -845.33506246038</t>
  </si>
  <si>
    <t>-552.242544772068 17.0814488785893 -934.066110998909</t>
  </si>
  <si>
    <t>-601.995188806886 81.0879850379848 -784.980539609583</t>
  </si>
  <si>
    <t>-575.268216063229 225.671613600299 -782.956720796972</t>
  </si>
  <si>
    <t>-438.451548579277 240.466891703951 -497.915434801177</t>
  </si>
  <si>
    <t>-264.081740879524 151.932087452707 -326.45462051168</t>
  </si>
  <si>
    <t>-611.147790796491 19.0641197389616 -774.366036644402</t>
  </si>
  <si>
    <t>-582.655835274566 193.793076606506 -239.544565932618</t>
  </si>
  <si>
    <t>-572.574579652312 232.581493031136 214.38438040987</t>
  </si>
  <si>
    <t>-628.957309657034 252.563737221976 680.190795300747</t>
  </si>
  <si>
    <t>-473.249835472754 236.612560832582 760.46699234315</t>
  </si>
  <si>
    <t>-620.098044241897 1.78100112935815 -240.426686889836</t>
  </si>
  <si>
    <t>-627.837928498313 9.52262208914333 215.136482012287</t>
  </si>
  <si>
    <t>-658.782626696494 4.0990585193243 684.126255668541</t>
  </si>
  <si>
    <t>-502.332281548699 -36.2311536842347 753.698487557229</t>
  </si>
  <si>
    <t>9763-20170724T164136.823898900.bin</t>
  </si>
  <si>
    <t>-601.791532523997 98.2501268865949 -240.442120577805</t>
  </si>
  <si>
    <t>-623.73471418466 103.057888114502 -359.451346214429</t>
  </si>
  <si>
    <t>-629.042770571193 94.8158608429776 -480.258843036693</t>
  </si>
  <si>
    <t>-626.868276741128 82.2148805765548 -589.030761916707</t>
  </si>
  <si>
    <t>-617.802083774231 64.5927781681375 -696.743946072692</t>
  </si>
  <si>
    <t>-598.026189092769 34.9801232150659 -844.838504830932</t>
  </si>
  <si>
    <t>-551.996686293849 13.0200986218696 -933.054309445726</t>
  </si>
  <si>
    <t>-602.008808962409 79.0233129170531 -784.861361218477</t>
  </si>
  <si>
    <t>-574.348284780979 223.460335131917 -783.92369540961</t>
  </si>
  <si>
    <t>-437.989667504683 240.173670614575 -498.768932067586</t>
  </si>
  <si>
    <t>-264.209843484082 152.64092142678 -326.198283397083</t>
  </si>
  <si>
    <t>-611.5439941979 17.1422720317434 -773.761080891434</t>
  </si>
  <si>
    <t>-582.873390401303 193.853261224856 -239.538555437759</t>
  </si>
  <si>
    <t>-572.239140815237 233.390708903064 214.313195724272</t>
  </si>
  <si>
    <t>-628.908159955605 252.491258090934 680.109932791341</t>
  </si>
  <si>
    <t>-473.094787709268 237.296500102251 760.327248212866</t>
  </si>
  <si>
    <t>-620.715127267687 2.45711746234279 -240.547720926787</t>
  </si>
  <si>
    <t>-627.312120453676 9.71301740028267 215.041496303847</t>
  </si>
  <si>
    <t>-658.744774630773 4.06371325643067 684.023453886137</t>
  </si>
  <si>
    <t>-502.40151564878 -36.6046375449343 753.639384532573</t>
  </si>
  <si>
    <t>9763-20170724T164136.891579800.bin</t>
  </si>
  <si>
    <t>-603.020615009215 100.02443880693 -240.635045764285</t>
  </si>
  <si>
    <t>-625.304942047183 104.94352727735 -359.576299542057</t>
  </si>
  <si>
    <t>-630.470236396191 95.1897457493273 -480.277349060359</t>
  </si>
  <si>
    <t>-627.988175986058 80.5530450313101 -588.787582399067</t>
  </si>
  <si>
    <t>-618.454982178988 60.2289717154293 -695.983047631374</t>
  </si>
  <si>
    <t>-597.886357222544 26.1730081388665 -843.010833431797</t>
  </si>
  <si>
    <t>-551.379009249778 0.0782645764544654 -929.838846745069</t>
  </si>
  <si>
    <t>-601.586901060378 71.9231065065518 -784.306905069298</t>
  </si>
  <si>
    <t>-571.111048474814 215.752462445216 -786.780138839469</t>
  </si>
  <si>
    <t>-436.094708901884 238.306636037109 -501.388972341261</t>
  </si>
  <si>
    <t>-264.159209190272 152.841073825549 -325.958377267668</t>
  </si>
  <si>
    <t>-612.387737269161 10.5603265793231 -771.604290674419</t>
  </si>
  <si>
    <t>-583.36436433795 195.295335583222 -239.801577031635</t>
  </si>
  <si>
    <t>-572.06320380746 235.20897089344 214.001070401501</t>
  </si>
  <si>
    <t>-628.784119635287 252.892113962542 679.783235152809</t>
  </si>
  <si>
    <t>-472.989507594203 237.915580410284 760.078013137507</t>
  </si>
  <si>
    <t>-622.587947321553 4.65622379190279 -240.719481090053</t>
  </si>
  <si>
    <t>-627.091012305034 10.5336672394724 214.91513616889</t>
  </si>
  <si>
    <t>-658.651722017126 4.11019993406036 683.83855252883</t>
  </si>
  <si>
    <t>-502.012189352352 -35.3350286001779 753.492268923009</t>
  </si>
  <si>
    <t>9763-20170724T164136.925674400.bin</t>
  </si>
  <si>
    <t>-603.734910855132 101.195696795016 -240.780776176301</t>
  </si>
  <si>
    <t>-625.987721243175 106.025665456733 -359.731585373627</t>
  </si>
  <si>
    <t>-630.986667965445 95.1752138566878 -480.345941890997</t>
  </si>
  <si>
    <t>-628.311411164001 79.1379233699017 -588.65340454132</t>
  </si>
  <si>
    <t>-618.553975894667 57.0099630613071 -695.471049944712</t>
  </si>
  <si>
    <t>-597.655121073772 20.0348485813522 -841.74500071774</t>
  </si>
  <si>
    <t>-601.122177264252 66.8921195624779 -783.906480493293</t>
  </si>
  <si>
    <t>-568.890233745122 210.272513703721 -788.638785095237</t>
  </si>
  <si>
    <t>-434.741842168877 236.663724009978 -503.16739801207</t>
  </si>
  <si>
    <t>-263.935894262707 152.451714526484 -326.035482172781</t>
  </si>
  <si>
    <t>-612.682258787975 5.89825347215816 -770.140227103154</t>
  </si>
  <si>
    <t>-583.647738000512 196.354959642782 -240.085730658304</t>
  </si>
  <si>
    <t>-572.366291688605 236.395140593163 213.706208061437</t>
  </si>
  <si>
    <t>-628.733863455908 253.308776085386 679.57838338578</t>
  </si>
  <si>
    <t>-473.054739448843 237.713293934782 759.979293967263</t>
  </si>
  <si>
    <t>-623.713099307323 5.77773922336372 -240.78671754787</t>
  </si>
  <si>
    <t>-627.750477724591 10.9791460418329 214.860349129668</t>
  </si>
  <si>
    <t>-658.609549784459 4.11014387870813 683.788582011158</t>
  </si>
  <si>
    <t>-502.19366308652 -36.1116130795165 753.500766386951</t>
  </si>
  <si>
    <t>9763-20170724T164136.991353900.bin</t>
  </si>
  <si>
    <t>-605.601465906598 103.345721555646 -241.157187955396</t>
  </si>
  <si>
    <t>-627.633480226745 107.803693275357 -360.163567468624</t>
  </si>
  <si>
    <t>-632.242070183481 94.274964589396 -480.522627555946</t>
  </si>
  <si>
    <t>-629.179214843852 74.8885312368633 -588.270705635123</t>
  </si>
  <si>
    <t>-619.031275884588 48.5048939927888 -694.080769601682</t>
  </si>
  <si>
    <t>-597.622087085558 4.69680631322073 -838.380846969059</t>
  </si>
  <si>
    <t>-600.468841021633 54.0949472368477 -782.661445810121</t>
  </si>
  <si>
    <t>-564.598464946965 196.348095203114 -792.636827945057</t>
  </si>
  <si>
    <t>-432.153069589405 232.434887629655 -507.431328023268</t>
  </si>
  <si>
    <t>-263.378496081101 151.672839182143 -326.780516963882</t>
  </si>
  <si>
    <t>-584.864011119066 198.799559907841 -240.806550440834</t>
  </si>
  <si>
    <t>-573.468942674966 238.215502065402 213.037282321394</t>
  </si>
  <si>
    <t>-628.626424585497 254.14003913105 679.145342447382</t>
  </si>
  <si>
    <t>-473.233864479648 237.166980676741 759.821116165363</t>
  </si>
  <si>
    <t>-626.427821231507 7.79227924387662 -240.812269417361</t>
  </si>
  <si>
    <t>-630.24224881669 11.5506355684438 214.851055275511</t>
  </si>
  <si>
    <t>-658.583906410857 3.7857538835235 683.841636795167</t>
  </si>
  <si>
    <t>-502.240921201556 -36.6146400231597 753.614082527412</t>
  </si>
  <si>
    <t>9763-20170724T164137.025443100.bin</t>
  </si>
  <si>
    <t>-606.73355224961 104.453301116344 -241.279312150394</t>
  </si>
  <si>
    <t>-628.508549515402 108.600300502459 -360.344383919353</t>
  </si>
  <si>
    <t>-632.839031676088 93.5166074102661 -480.528706461267</t>
  </si>
  <si>
    <t>-629.539843748539 72.22980336035 -587.91047175283</t>
  </si>
  <si>
    <t>-619.190921071957 43.4674913149338 -693.079232710359</t>
  </si>
  <si>
    <t>-600.06596359224 46.6512616218928 -781.659553605676</t>
  </si>
  <si>
    <t>-562.265180293047 188.165345274323 -794.57661915747</t>
  </si>
  <si>
    <t>-430.643025210944 229.730400221624 -509.736091159861</t>
  </si>
  <si>
    <t>-262.877152129881 151.081444526455 -327.222961363425</t>
  </si>
  <si>
    <t>-585.637305891172 200.145705810448 -241.187488154047</t>
  </si>
  <si>
    <t>-574.192136869839 239.104559466186 212.694465080888</t>
  </si>
  <si>
    <t>-628.627497755762 254.53960815335 678.992497993929</t>
  </si>
  <si>
    <t>-473.363299731043 236.815064280398 759.753703080284</t>
  </si>
  <si>
    <t>-627.833805533752 8.79607825687836 -240.717513804331</t>
  </si>
  <si>
    <t>-631.730074445554 11.8928990960543 214.950097338266</t>
  </si>
  <si>
    <t>-658.550416362183 3.79572276718049 683.956921486852</t>
  </si>
  <si>
    <t>-502.200676307997 -36.5624559645218 753.738566202421</t>
  </si>
  <si>
    <t>9763-20170724T164137.093161100.bin</t>
  </si>
  <si>
    <t>-609.095406056287 106.445312193811 -241.573713283675</t>
  </si>
  <si>
    <t>-630.547935033038 109.580186384604 -360.727976858545</t>
  </si>
  <si>
    <t>-634.406682067336 91.0912586503513 -480.451986011062</t>
  </si>
  <si>
    <t>-630.693557906646 65.7758154195072 -586.942372011262</t>
  </si>
  <si>
    <t>-620.001617448493 32.0716677239416 -690.598249690326</t>
  </si>
  <si>
    <t>-599.786174817472 30.2368811312711 -778.974423258585</t>
  </si>
  <si>
    <t>-558.201078643078 170.011300779065 -797.832386565609</t>
  </si>
  <si>
    <t>-427.603511573163 223.321658897892 -514.48011428135</t>
  </si>
  <si>
    <t>-261.525948848427 150.31314431294 -328.120127891857</t>
  </si>
  <si>
    <t>-588.066343156581 202.578629126836 -242.136765883144</t>
  </si>
  <si>
    <t>-576.145902675185 240.213511084838 211.844778624569</t>
  </si>
  <si>
    <t>-628.623042135592 255.338170610164 678.639514521717</t>
  </si>
  <si>
    <t>-473.649996945345 235.932608280781 759.573464559276</t>
  </si>
  <si>
    <t>-629.999385628673 10.4125728433543 -240.243652356209</t>
  </si>
  <si>
    <t>-634.842383222464 12.4409054716698 215.420750505677</t>
  </si>
  <si>
    <t>-658.500291856961 4.03430729439604 684.421278000488</t>
  </si>
  <si>
    <t>-501.68063314868 -34.6653336067697 754.087853885606</t>
  </si>
  <si>
    <t>9763-20170724T164137.124239700.bin</t>
  </si>
  <si>
    <t>-610.197949890846 107.098338370727 -241.627492703452</t>
  </si>
  <si>
    <t>-631.358364690249 109.470159481986 -360.851653785527</t>
  </si>
  <si>
    <t>-634.87806974187 89.2715475877447 -480.309474381807</t>
  </si>
  <si>
    <t>-630.889768714851 62.0349114926537 -586.314781240125</t>
  </si>
  <si>
    <t>-619.990449539543 26.050076555731 -689.179489373453</t>
  </si>
  <si>
    <t>-599.256291971971 21.9054357212131 -777.35697562778</t>
  </si>
  <si>
    <t>-555.951523300547 160.744495216225 -798.860029005515</t>
  </si>
  <si>
    <t>-425.261437619695 219.778062561105 -516.687535028541</t>
  </si>
  <si>
    <t>-259.873860929231 149.705417945038 -328.594930393857</t>
  </si>
  <si>
    <t>-589.63738483254 203.557172978307 -242.604257335883</t>
  </si>
  <si>
    <t>-577.193375708217 240.547414436778 211.416148895409</t>
  </si>
  <si>
    <t>-628.654447003924 255.534141959967 678.545589370479</t>
  </si>
  <si>
    <t>-473.763220688878 235.571204611067 759.500575455128</t>
  </si>
  <si>
    <t>-630.647677790042 10.7476701387182 -239.846630676936</t>
  </si>
  <si>
    <t>-636.576154635354 12.4423436740209 215.806421730112</t>
  </si>
  <si>
    <t>-658.488979272022 4.16389899926696 684.817427116473</t>
  </si>
  <si>
    <t>-501.726067998565 -34.8593223069294 754.431349455644</t>
  </si>
  <si>
    <t>9763-20170724T164137.193463400.bin</t>
  </si>
  <si>
    <t>-611.89268646148 106.297469045071 -241.112292320657</t>
  </si>
  <si>
    <t>-631.989166831415 107.186972952723 -360.540630542871</t>
  </si>
  <si>
    <t>-634.553421712951 84.1344570471883 -479.505331490031</t>
  </si>
  <si>
    <t>-629.840515117497 53.7833886626157 -584.631172898894</t>
  </si>
  <si>
    <t>-618.421297543032 14.1796508741539 -686.100403137684</t>
  </si>
  <si>
    <t>-596.8311298436 6.38685962323 -773.82434032681</t>
  </si>
  <si>
    <t>-550.668380172787 143.668642833658 -799.264950637082</t>
  </si>
  <si>
    <t>-419.802380598658 212.178408061938 -519.324423661459</t>
  </si>
  <si>
    <t>-254.978545686951 148.106594179437 -328.615280446614</t>
  </si>
  <si>
    <t>-592.467450852513 203.209111308227 -242.911370443516</t>
  </si>
  <si>
    <t>-577.923441158051 240.117441093935 211.053295396134</t>
  </si>
  <si>
    <t>-628.797780990181 255.497111046367 678.502278087088</t>
  </si>
  <si>
    <t>-473.929187305459 235.197981558474 759.416948742512</t>
  </si>
  <si>
    <t>-630.971965879998 9.43726767561304 -238.62316161821</t>
  </si>
  <si>
    <t>-639.710293073419 11.5220588704075 216.982929204898</t>
  </si>
  <si>
    <t>-658.515271403409 4.30892643784559 685.959879574237</t>
  </si>
  <si>
    <t>-501.591102083919 -34.3571410607682 755.409495690717</t>
  </si>
  <si>
    <t>9763-20170724T164137.222538000.bin</t>
  </si>
  <si>
    <t>-612.142052012745 105.251608410308 -240.725921004872</t>
  </si>
  <si>
    <t>-631.865713804429 105.652370738478 -360.21925591819</t>
  </si>
  <si>
    <t>-634.044997458697 81.5989111086393 -478.993122803741</t>
  </si>
  <si>
    <t>-629.010605263061 50.149799788128 -583.780833806239</t>
  </si>
  <si>
    <t>-617.31898075879 9.2705887734557 -684.711741381921</t>
  </si>
  <si>
    <t>-595.397642633922 0.197426167371809 -772.23015625439</t>
  </si>
  <si>
    <t>-548.55777767968 136.995199257607 -799.007054658944</t>
  </si>
  <si>
    <t>-417.900644779246 208.983828420243 -519.843032336438</t>
  </si>
  <si>
    <t>-252.95244691383 147.312205692707 -328.451401381805</t>
  </si>
  <si>
    <t>-593.307606471592 202.391152911116 -242.875118538985</t>
  </si>
  <si>
    <t>-577.780648014421 239.056554279945 211.076525879326</t>
  </si>
  <si>
    <t>-628.865057916058 255.309427749108 678.578105573943</t>
  </si>
  <si>
    <t>-474.128577952238 234.493675953827 759.614209756363</t>
  </si>
  <si>
    <t>-630.695959719135 8.30813148150708 -237.987126769021</t>
  </si>
  <si>
    <t>-640.671381524467 11.0477556437871 217.590124136586</t>
  </si>
  <si>
    <t>-658.551128364571 4.45650665244833 686.571635160509</t>
  </si>
  <si>
    <t>-501.296458760295 -33.0406217431941 755.914697936118</t>
  </si>
  <si>
    <t>9763-20170724T164137.317294000.bin</t>
  </si>
  <si>
    <t>-612.020228308688 103.930260106254 -240.249515946641</t>
  </si>
  <si>
    <t>-631.428956333666 104.011625935141 -359.794808535567</t>
  </si>
  <si>
    <t>-633.289841424797 79.2769927208591 -478.434270983454</t>
  </si>
  <si>
    <t>-627.982125451469 47.0815012612439 -582.981411970736</t>
  </si>
  <si>
    <t>-616.043481918941 5.3396335318275 -683.529682738421</t>
  </si>
  <si>
    <t>-546.914566499809 131.953837200466 -798.703515044318</t>
  </si>
  <si>
    <t>-416.707499578733 207.011825659531 -520.138248130535</t>
  </si>
  <si>
    <t>-251.336599936432 147.43427306795 -328.448286260497</t>
  </si>
  <si>
    <t>-593.924905774035 201.192170209906 -242.675767559969</t>
  </si>
  <si>
    <t>-576.619675627508 238.165965735137 211.186662071074</t>
  </si>
  <si>
    <t>-628.848385482123 254.984264035326 678.222857826926</t>
  </si>
  <si>
    <t>-474.24572420209 234.103395515713 759.497295447469</t>
  </si>
  <si>
    <t>-629.953262081126 6.99156580252662 -237.407542013668</t>
  </si>
  <si>
    <t>-640.92066115659 10.4678833020519 218.141973875473</t>
  </si>
  <si>
    <t>-658.63475356069 4.50985502135954 687.140083822349</t>
  </si>
  <si>
    <t>-501.394595678571 -33.1463275477926 756.429660849031</t>
  </si>
  <si>
    <t>9763-20170724T164137.324318100.bin</t>
  </si>
  <si>
    <t>-610.422093219583 100.221413005291 -239.782174124031</t>
  </si>
  <si>
    <t>-629.87747767851 99.8944662280691 -359.319656225969</t>
  </si>
  <si>
    <t>-631.56424681812 74.5749023893665 -477.838150060101</t>
  </si>
  <si>
    <t>-626.000284557941 41.8044479004503 -582.193271638608</t>
  </si>
  <si>
    <t>-545.597901281122 125.805258195495 -798.327324771698</t>
  </si>
  <si>
    <t>-416.17783995328 205.422728407001 -520.662645987534</t>
  </si>
  <si>
    <t>-249.217694605767 149.858328213665 -329.145002103053</t>
  </si>
  <si>
    <t>-593.057838551563 197.379440025008 -242.693199813591</t>
  </si>
  <si>
    <t>-571.733397391721 236.539808530406 210.814619147995</t>
  </si>
  <si>
    <t>-628.354780190316 254.152416370752 677.176335298053</t>
  </si>
  <si>
    <t>-474.107989620004 233.901344466916 759.281977334066</t>
  </si>
  <si>
    <t>-627.614837407486 3.39623581920203 -236.490805162818</t>
  </si>
  <si>
    <t>-639.22079674735 8.9396516449539 219.022252855486</t>
  </si>
  <si>
    <t>-658.774517212815 4.47462939780721 688.075732973962</t>
  </si>
  <si>
    <t>-501.802503070946 -34.415087051016 757.29189559082</t>
  </si>
  <si>
    <t>9763-20170724T164137.392003300.bin</t>
  </si>
  <si>
    <t>-607.055903400494 96.1881860724504 -239.829072295263</t>
  </si>
  <si>
    <t>-626.805705486363 95.6229275310384 -359.317337905656</t>
  </si>
  <si>
    <t>-628.622113473888 70.6048048515543 -477.897918542921</t>
  </si>
  <si>
    <t>-623.066966969322 38.3342444397271 -582.409109361844</t>
  </si>
  <si>
    <t>-545.432625111651 124.893479053167 -798.435588353654</t>
  </si>
  <si>
    <t>-416.961092219724 206.821259292149 -521.002606456688</t>
  </si>
  <si>
    <t>-247.885827328748 150.924660857377 -331.44725634834</t>
  </si>
  <si>
    <t>-590.301313301309 193.088672376293 -242.957480880424</t>
  </si>
  <si>
    <t>-566.557075873116 234.40984616062 210.238254230664</t>
  </si>
  <si>
    <t>-627.416878902882 253.20238112176 676.061504395062</t>
  </si>
  <si>
    <t>-473.815798355441 234.070964935726 759.63299602951</t>
  </si>
  <si>
    <t>-635.604200675111 7.75154067540549 219.265036781548</t>
  </si>
  <si>
    <t>-658.85017012441 4.72376803477611 688.328050161397</t>
  </si>
  <si>
    <t>-501.809623996077 -34.0759833482733 757.439345487035</t>
  </si>
  <si>
    <t>9763-20170724T164137.425097100.bin</t>
  </si>
  <si>
    <t>-605.008637537928 93.9305366915407 -239.683726782163</t>
  </si>
  <si>
    <t>-624.982721206043 93.3532884438208 -359.13453926488</t>
  </si>
  <si>
    <t>-626.963695159704 68.7617113056896 -477.801643853562</t>
  </si>
  <si>
    <t>-621.505678506437 37.0537549775711 -582.490196765844</t>
  </si>
  <si>
    <t>-545.724594041603 125.79156504252 -798.341012887576</t>
  </si>
  <si>
    <t>-418.16254850948 208.574633328795 -520.742327187839</t>
  </si>
  <si>
    <t>-247.529631292919 150.051189905438 -333.388390664421</t>
  </si>
  <si>
    <t>-588.67642548672 190.563043749499 -242.708117822321</t>
  </si>
  <si>
    <t>-563.769773947459 233.380992386362 210.286262934575</t>
  </si>
  <si>
    <t>-627.05077163131 252.590433723751 675.795669222439</t>
  </si>
  <si>
    <t>-473.638094663704 234.357614453496 759.912449023187</t>
  </si>
  <si>
    <t>-633.45423912345 6.85099531226328 219.419176431521</t>
  </si>
  <si>
    <t>-658.921747210783 4.62977076453757 688.378602766946</t>
  </si>
  <si>
    <t>-502.173511386112 -35.3570068953237 757.476712533563</t>
  </si>
  <si>
    <t>9763-20170724T164137.491855300.bin</t>
  </si>
  <si>
    <t>-600.866669260811 89.1587708144487 -239.160686698329</t>
  </si>
  <si>
    <t>-621.398584621645 88.7234821763945 -358.517643308158</t>
  </si>
  <si>
    <t>-623.900503139871 65.3239507743942 -477.415693536025</t>
  </si>
  <si>
    <t>-618.840061168695 35.1116360057416 -582.565496474088</t>
  </si>
  <si>
    <t>-547.59438852708 129.141217970492 -797.844411365239</t>
  </si>
  <si>
    <t>-424.381966131713 212.171115489393 -518.361126807278</t>
  </si>
  <si>
    <t>-249.153412262629 146.121075644537 -337.877371201784</t>
  </si>
  <si>
    <t>-585.120237530835 185.266058581559 -241.94389611876</t>
  </si>
  <si>
    <t>-558.181579191694 230.98906983976 210.650149145874</t>
  </si>
  <si>
    <t>-626.553116722567 251.456296343409 675.512075216778</t>
  </si>
  <si>
    <t>-473.383744937538 234.738020861638 760.383558850115</t>
  </si>
  <si>
    <t>-628.720342818337 5.22478162119191 219.783225001333</t>
  </si>
  <si>
    <t>-659.029465133437 4.87792097825289 688.430496147972</t>
  </si>
  <si>
    <t>-502.459983539735 -36.0005247005728 757.412054484796</t>
  </si>
  <si>
    <t>9763-20170724T164137.525943500.bin</t>
  </si>
  <si>
    <t>-598.687423802901 86.6414869895042 -238.856245297131</t>
  </si>
  <si>
    <t>-619.417035965441 86.3068397005509 -358.17918292762</t>
  </si>
  <si>
    <t>-622.168280733028 63.6440607101723 -477.214552684655</t>
  </si>
  <si>
    <t>-617.323670962228 34.3509704710984 -582.634124106892</t>
  </si>
  <si>
    <t>-548.492881741034 131.465580435908 -797.362340247895</t>
  </si>
  <si>
    <t>-429.417651544042 213.123885630133 -515.690273013682</t>
  </si>
  <si>
    <t>-250.450337918854 145.726285520851 -339.42250016462</t>
  </si>
  <si>
    <t>-583.042846819793 182.478402339182 -241.568632327685</t>
  </si>
  <si>
    <t>-555.448488721753 229.697577346529 210.832310316641</t>
  </si>
  <si>
    <t>-626.444288700053 250.905005145008 675.258117243554</t>
  </si>
  <si>
    <t>-473.391495537027 234.780303483158 760.45408635128</t>
  </si>
  <si>
    <t>-626.465007677179 4.33868940767633 219.964974723826</t>
  </si>
  <si>
    <t>-659.106870804 4.77724385849008 688.447258218316</t>
  </si>
  <si>
    <t>-502.994883793651 -37.829701229442 757.419705851139</t>
  </si>
  <si>
    <t>9763-20170724T164137.588623300.bin</t>
  </si>
  <si>
    <t>-594.232873889276 81.8137572850159 -238.162849633365</t>
  </si>
  <si>
    <t>-615.412693441397 81.7678529204473 -357.407278221292</t>
  </si>
  <si>
    <t>-618.657699444548 60.9375806708201 -476.764342499895</t>
  </si>
  <si>
    <t>-614.204090610667 33.9255628975864 -582.808497157226</t>
  </si>
  <si>
    <t>-550.608980160847 138.506803083472 -795.33042834011</t>
  </si>
  <si>
    <t>-438.538957246173 214.113283878052 -509.130988636467</t>
  </si>
  <si>
    <t>-256.468605628321 154.184579716581 -333.344211916935</t>
  </si>
  <si>
    <t>-578.713975561395 177.381839061991 -240.759389794698</t>
  </si>
  <si>
    <t>-550.224157314149 227.166946912272 211.310836085354</t>
  </si>
  <si>
    <t>-626.266363365246 249.963065008508 674.850918670255</t>
  </si>
  <si>
    <t>-473.39973054516 234.779207601615 760.552416872357</t>
  </si>
  <si>
    <t>-622.421099859916 2.45851324430162 220.355973003825</t>
  </si>
  <si>
    <t>-659.276381796417 4.74058152682208 688.448799662105</t>
  </si>
  <si>
    <t>-503.144980654124 -38.0330202353185 757.274003277789</t>
  </si>
  <si>
    <t>9763-20170724T164137.623716800.bin</t>
  </si>
  <si>
    <t>-592.227855524407 79.5904379570501 -237.871836924655</t>
  </si>
  <si>
    <t>-613.757586717273 79.6468840489725 -357.053510710079</t>
  </si>
  <si>
    <t>-617.223847926612 59.7846394178783 -476.569427429068</t>
  </si>
  <si>
    <t>-612.883845453816 34.001425827635 -582.923803595195</t>
  </si>
  <si>
    <t>-601.23830800743 0.627405670038598 -686.583796204456</t>
  </si>
  <si>
    <t>-551.746023522904 142.58012487351 -794.143765995533</t>
  </si>
  <si>
    <t>-441.182398585273 216.962574997689 -507.039039799831</t>
  </si>
  <si>
    <t>-258.483472167372 162.342922657639 -330.177989141128</t>
  </si>
  <si>
    <t>-576.78912164833 175.243454984342 -240.417127488972</t>
  </si>
  <si>
    <t>-547.800653648265 226.081811802972 211.504092227778</t>
  </si>
  <si>
    <t>-626.211131974844 249.528193307229 674.688001488441</t>
  </si>
  <si>
    <t>-473.412322656859 234.760801905322 760.582954217448</t>
  </si>
  <si>
    <t>-620.671138196939 1.5872277996524 220.517938280548</t>
  </si>
  <si>
    <t>-659.392505032086 4.65686291593248 688.448402541352</t>
  </si>
  <si>
    <t>-503.367890489946 -38.6407372281902 757.187999416678</t>
  </si>
  <si>
    <t>9763-20170724T164137.689947400.bin</t>
  </si>
  <si>
    <t>-589.213178099369 75.4441240706899 -237.159974965172</t>
  </si>
  <si>
    <t>-611.240834301781 75.8809856117335 -356.249720521993</t>
  </si>
  <si>
    <t>-615.004278916947 57.9640372987767 -476.063843027459</t>
  </si>
  <si>
    <t>-610.802850250804 34.5775007376767 -582.976249078934</t>
  </si>
  <si>
    <t>-599.129985493917 4.22635285809663 -687.558195709185</t>
  </si>
  <si>
    <t>-580.593860915371 6.68293694038874 -776.286637552131</t>
  </si>
  <si>
    <t>-554.347623873655 150.563086249317 -791.498298709916</t>
  </si>
  <si>
    <t>-445.44401314656 221.505947465868 -502.892578519419</t>
  </si>
  <si>
    <t>-257.979434396412 191.957273413349 -325.0556901915</t>
  </si>
  <si>
    <t>-574.374682264976 170.965853738928 -239.309472715693</t>
  </si>
  <si>
    <t>-542.845322223376 224.24030018616 212.160848883016</t>
  </si>
  <si>
    <t>-626.121004116793 248.589587995165 674.325941865992</t>
  </si>
  <si>
    <t>-473.396873040876 235.035266755029 760.553095290058</t>
  </si>
  <si>
    <t>-617.563136785264 -0.00902148965534622 220.797681998829</t>
  </si>
  <si>
    <t>-659.563004010866 4.81751466232006 688.430507533151</t>
  </si>
  <si>
    <t>-503.447374954798 -38.4818656164918 756.962170970535</t>
  </si>
  <si>
    <t>9763-20170724T164137.723035600.bin</t>
  </si>
  <si>
    <t>-587.98597717029 73.7903476267533 -236.875724895803</t>
  </si>
  <si>
    <t>-610.12861790732 74.3626059599951 -355.943742783058</t>
  </si>
  <si>
    <t>-614.010342568405 57.3010932333486 -475.878713707793</t>
  </si>
  <si>
    <t>-609.901324923138 34.9798432307571 -583.022215560137</t>
  </si>
  <si>
    <t>-598.293313070938 5.97964370124225 -687.994088305945</t>
  </si>
  <si>
    <t>-580.168218893274 9.82543849945915 -776.758087158059</t>
  </si>
  <si>
    <t>-555.835763494075 154.234228280129 -790.175799437777</t>
  </si>
  <si>
    <t>-445.896246551131 222.269393582882 -501.262706940473</t>
  </si>
  <si>
    <t>-258.275860791099 200.068639256963 -322.523473873906</t>
  </si>
  <si>
    <t>-573.45901240713 169.131385654412 -238.862941962822</t>
  </si>
  <si>
    <t>-540.589574563543 223.643131747674 212.363999134385</t>
  </si>
  <si>
    <t>-626.025982824951 248.125118793636 674.110070966977</t>
  </si>
  <si>
    <t>-473.36090473671 235.305193337221 760.553864645805</t>
  </si>
  <si>
    <t>-616.10129525565 -0.6520796555874 220.894255752826</t>
  </si>
  <si>
    <t>-659.637471637895 4.82784295200236 688.402388553756</t>
  </si>
  <si>
    <t>-503.753344428808 -39.359979847595 756.893955821978</t>
  </si>
  <si>
    <t>9763-20170724T164137.789727400.bin</t>
  </si>
  <si>
    <t>-586.117854938584 71.0092675661339 -236.485611871495</t>
  </si>
  <si>
    <t>-608.266913193458 71.6492318076336 -355.552064926961</t>
  </si>
  <si>
    <t>-612.157255802789 55.9415599929469 -475.671656143105</t>
  </si>
  <si>
    <t>-608.038764233658 35.3657497194849 -583.163551969513</t>
  </si>
  <si>
    <t>-596.387327495801 8.62283093692983 -688.728178216608</t>
  </si>
  <si>
    <t>-578.781840977759 14.7864479062062 -777.466214370983</t>
  </si>
  <si>
    <t>-556.995606246281 159.836352729568 -788.042470085578</t>
  </si>
  <si>
    <t>-446.611860372804 224.293914820551 -498.479157254865</t>
  </si>
  <si>
    <t>-260.897930506419 200.921756874533 -317.907539630022</t>
  </si>
  <si>
    <t>-572.209954745848 166.097548118918 -238.253630135079</t>
  </si>
  <si>
    <t>-537.540094941158 222.806972199155 212.567485694927</t>
  </si>
  <si>
    <t>-625.824768877943 247.452138241039 673.715553354097</t>
  </si>
  <si>
    <t>-473.276652643715 235.904348268546 760.54434074998</t>
  </si>
  <si>
    <t>-614.374762362229 -1.79338835059453 221.026427389156</t>
  </si>
  <si>
    <t>-659.818303666313 4.61599787559915 688.359722079967</t>
  </si>
  <si>
    <t>-503.99486446656 -39.8439170821824 756.813337104993</t>
  </si>
  <si>
    <t>9763-20170724T164137.822815300.bin</t>
  </si>
  <si>
    <t>-585.469171126253 70.0021874351715 -236.42327486084</t>
  </si>
  <si>
    <t>-607.553909287963 70.6557335545392 -355.501653842034</t>
  </si>
  <si>
    <t>-611.434997918981 55.4298505830673 -475.683424218799</t>
  </si>
  <si>
    <t>-607.322985795286 35.4821096063561 -583.293913636039</t>
  </si>
  <si>
    <t>-595.686068391877 9.55800398196291 -689.064470025688</t>
  </si>
  <si>
    <t>-578.300228583297 16.5594753145482 -777.783395770541</t>
  </si>
  <si>
    <t>-557.404979950693 161.822054009358 -787.255827876819</t>
  </si>
  <si>
    <t>-448.144265140588 225.229494840975 -497.03567006577</t>
  </si>
  <si>
    <t>-261.662970225586 197.242470838855 -317.916956532135</t>
  </si>
  <si>
    <t>-571.679770871879 165.059979238937 -238.18989030829</t>
  </si>
  <si>
    <t>-536.88270544226 222.417541533895 212.539421089697</t>
  </si>
  <si>
    <t>-625.672588693999 247.26961046701 673.502325580055</t>
  </si>
  <si>
    <t>-473.25499748111 236.107237150433 760.610275076807</t>
  </si>
  <si>
    <t>-613.922844680527 -2.24778593439522 221.036024308358</t>
  </si>
  <si>
    <t>-659.886074257192 4.59340757420408 688.333470879773</t>
  </si>
  <si>
    <t>-503.872923745606 -39.2555597441832 756.748979158352</t>
  </si>
  <si>
    <t>9763-20170724T164137.890000400.bin</t>
  </si>
  <si>
    <t>-584.669200988765 68.4870169222001 -236.391330178027</t>
  </si>
  <si>
    <t>-606.42472245539 69.13853031749 -355.530341099681</t>
  </si>
  <si>
    <t>-610.118686041675 54.6428028234052 -475.808317316713</t>
  </si>
  <si>
    <t>-605.878851190144 35.6663438461996 -583.589325363344</t>
  </si>
  <si>
    <t>-594.141574718148 11.0286187154021 -689.655648707599</t>
  </si>
  <si>
    <t>-577.051866615188 19.356357590233 -778.317674964579</t>
  </si>
  <si>
    <t>-557.767713373703 164.947305065224 -785.883574364945</t>
  </si>
  <si>
    <t>-451.710731571386 224.174455919431 -493.598986429933</t>
  </si>
  <si>
    <t>-261.247437639428 192.829216149721 -319.29101252537</t>
  </si>
  <si>
    <t>-570.831757004369 163.406832364772 -238.211848512433</t>
  </si>
  <si>
    <t>-536.749295227178 221.607163420109 212.464067375444</t>
  </si>
  <si>
    <t>-625.486042593558 247.196208946601 673.426718745177</t>
  </si>
  <si>
    <t>-473.173512201729 236.154942915764 760.733612216362</t>
  </si>
  <si>
    <t>-613.580817017712 -2.99056084179665 220.98771299134</t>
  </si>
  <si>
    <t>-660.023864964655 4.54805901679958 688.271681415906</t>
  </si>
  <si>
    <t>-504.045607122391 -39.4476198122335 756.6724739514</t>
  </si>
  <si>
    <t>9763-20170724T164137.922106600.bin</t>
  </si>
  <si>
    <t>-584.626456402174 68.0769636712672 -236.369129185562</t>
  </si>
  <si>
    <t>-606.309400476382 68.7044308496608 -355.521451967764</t>
  </si>
  <si>
    <t>-609.869530890378 54.4995736999574 -475.838207470442</t>
  </si>
  <si>
    <t>-605.478847953202 35.9207780843538 -583.682455920759</t>
  </si>
  <si>
    <t>-593.556833563251 11.8179853430968 -689.851009990052</t>
  </si>
  <si>
    <t>-576.458756895488 20.7005262617771 -778.457473708969</t>
  </si>
  <si>
    <t>-557.81234783582 166.39831077053 -785.260957609518</t>
  </si>
  <si>
    <t>-452.901474751527 224.78086174898 -492.393500975842</t>
  </si>
  <si>
    <t>-262.31890165009 192.23171118111 -318.436989375604</t>
  </si>
  <si>
    <t>-570.806880258575 163.08085089907 -238.216244869813</t>
  </si>
  <si>
    <t>-537.012127056793 221.319264510242 212.476492002566</t>
  </si>
  <si>
    <t>-625.489998722023 247.250395144711 673.495291982908</t>
  </si>
  <si>
    <t>-473.152270602528 236.175677478279 760.754096779473</t>
  </si>
  <si>
    <t>-613.573799453495 -3.28548833934251 220.991307629227</t>
  </si>
  <si>
    <t>-660.07954785322 4.52220566592383 688.260986322977</t>
  </si>
  <si>
    <t>-504.135859455924 -39.6251924164427 756.642880548884</t>
  </si>
  <si>
    <t>9763-20170724T164137.990775200.bin</t>
  </si>
  <si>
    <t>-585.296093594156 67.7461859954059 -236.364596335189</t>
  </si>
  <si>
    <t>-607.07861053379 68.3974154814649 -355.498686149593</t>
  </si>
  <si>
    <t>-610.531555684877 54.622768895148 -475.868542968474</t>
  </si>
  <si>
    <t>-605.958345082065 36.6013639596903 -583.799853980208</t>
  </si>
  <si>
    <t>-593.767102009632 13.2249042609125 -690.100134030886</t>
  </si>
  <si>
    <t>-576.637059499268 22.8463716331294 -778.623243548068</t>
  </si>
  <si>
    <t>-558.947819875546 168.726075457756 -784.457294247729</t>
  </si>
  <si>
    <t>-454.619071819628 226.072113137574 -491.177405307442</t>
  </si>
  <si>
    <t>-262.825942539393 189.975209249175 -319.263317068749</t>
  </si>
  <si>
    <t>-571.643039858871 162.990146452882 -238.130259197921</t>
  </si>
  <si>
    <t>-537.674041199493 221.219308667291 212.550566985952</t>
  </si>
  <si>
    <t>-625.571512408115 247.326060391135 673.676853961481</t>
  </si>
  <si>
    <t>-473.098139807355 236.329846900775 760.708261280055</t>
  </si>
  <si>
    <t>-614.060396971872 -3.66691938365869 220.930629140605</t>
  </si>
  <si>
    <t>-660.183427245905 4.33861464685459 688.258407136797</t>
  </si>
  <si>
    <t>-504.243976132431 -39.8707843238579 756.609842721129</t>
  </si>
  <si>
    <t>9763-20170724T164138.023862700.bin</t>
  </si>
  <si>
    <t>-585.964787195228 67.8459875754648 -236.344155624832</t>
  </si>
  <si>
    <t>-607.721888759429 68.4990829740823 -355.482722320095</t>
  </si>
  <si>
    <t>-611.096111508629 54.8728145639704 -475.871658973948</t>
  </si>
  <si>
    <t>-606.432237414406 37.0435512409901 -583.831110665796</t>
  </si>
  <si>
    <t>-594.131822916893 13.9153318295615 -690.173032631011</t>
  </si>
  <si>
    <t>-576.987337822433 23.7865998500591 -778.665968463937</t>
  </si>
  <si>
    <t>-559.659520059205 169.709078429165 -784.15769001691</t>
  </si>
  <si>
    <t>-455.35663833822 226.510898905857 -490.762567881824</t>
  </si>
  <si>
    <t>-262.986555417883 188.777604271796 -319.847560609556</t>
  </si>
  <si>
    <t>-572.412209318123 163.155676209078 -238.063316058825</t>
  </si>
  <si>
    <t>-538.110818178472 221.358261557202 212.595731275347</t>
  </si>
  <si>
    <t>-625.647433106926 247.358040107126 673.777280500773</t>
  </si>
  <si>
    <t>-473.073060325922 236.487954685729 760.647405847425</t>
  </si>
  <si>
    <t>-614.745197397205 -3.73458915613922 220.867445121156</t>
  </si>
  <si>
    <t>-660.180734999043 4.55796195771831 688.263442981968</t>
  </si>
  <si>
    <t>-503.755881200621 -37.9996602156682 756.554050624296</t>
  </si>
  <si>
    <t>9763-20170724T164138.092107800.bin</t>
  </si>
  <si>
    <t>-587.859492632176 67.8448054420154 -236.326610254326</t>
  </si>
  <si>
    <t>-609.774857485664 68.5468062687177 -355.435976861561</t>
  </si>
  <si>
    <t>-613.137243526953 55.2288538561353 -475.859733647956</t>
  </si>
  <si>
    <t>-608.397616075725 37.7784891454182 -583.877633122402</t>
  </si>
  <si>
    <t>-595.959228553669 15.1251349225342 -690.305978517957</t>
  </si>
  <si>
    <t>-578.806764336113 25.4641488337033 -778.743778776349</t>
  </si>
  <si>
    <t>-562.129555583852 171.487893688067 -783.530901899958</t>
  </si>
  <si>
    <t>-455.80675796181 225.47256376743 -490.329167833875</t>
  </si>
  <si>
    <t>-262.127662039782 185.309697835115 -321.458242422678</t>
  </si>
  <si>
    <t>-574.53284596151 163.486014514862 -237.830808216398</t>
  </si>
  <si>
    <t>-539.35965517889 221.541260083916 212.77999146379</t>
  </si>
  <si>
    <t>-625.970271578463 247.463136881634 674.101933201031</t>
  </si>
  <si>
    <t>-473.07237827541 236.650816289517 760.4086408342</t>
  </si>
  <si>
    <t>-617.011454881893 -4.34926337568375 220.732916198603</t>
  </si>
  <si>
    <t>-660.231058625398 4.67557569817281 688.307949593547</t>
  </si>
  <si>
    <t>-503.473446043644 -36.7965218148616 756.503462802217</t>
  </si>
  <si>
    <t>9763-20170724T164138.125197400.bin</t>
  </si>
  <si>
    <t>-589.00210259939 67.8842995794868 -236.301943964813</t>
  </si>
  <si>
    <t>-610.843752007151 68.6867671582961 -355.424158581648</t>
  </si>
  <si>
    <t>-614.141449195954 55.5540536076985 -475.87009267217</t>
  </si>
  <si>
    <t>-609.348725132363 38.302774948134 -583.917677661434</t>
  </si>
  <si>
    <t>-596.863116321829 15.8778937090779 -690.388683151497</t>
  </si>
  <si>
    <t>-579.718671686953 26.4293412592958 -778.803043130691</t>
  </si>
  <si>
    <t>-563.164621217984 172.468041185025 -783.324149299004</t>
  </si>
  <si>
    <t>-455.608860770327 225.520541534899 -490.401887928443</t>
  </si>
  <si>
    <t>-261.503606920125 184.887578683336 -322.133676013187</t>
  </si>
  <si>
    <t>-575.745945763933 163.747528965894 -237.685634781877</t>
  </si>
  <si>
    <t>-540.003468104339 221.679246173298 212.896314450136</t>
  </si>
  <si>
    <t>-626.19836393243 247.555256495256 674.31214754865</t>
  </si>
  <si>
    <t>-473.105356073328 236.567465578416 760.24998753543</t>
  </si>
  <si>
    <t>-618.146691533585 -4.64816894577958 220.641999687325</t>
  </si>
  <si>
    <t>-660.26606477436 4.76470314167526 688.319268567786</t>
  </si>
  <si>
    <t>-503.304646683518 -36.0330435782196 756.452705124023</t>
  </si>
  <si>
    <t>9763-20170724T164138.189889900.bin</t>
  </si>
  <si>
    <t>-590.689626732899 68.1503782745017 -236.434455531746</t>
  </si>
  <si>
    <t>-612.564582417881 69.0418733490143 -355.549860108105</t>
  </si>
  <si>
    <t>-615.823048532667 56.1568597377589 -476.023616185089</t>
  </si>
  <si>
    <t>-610.970072191037 39.1868714523301 -584.11304018861</t>
  </si>
  <si>
    <t>-598.402318634125 17.0957585614069 -690.644303048445</t>
  </si>
  <si>
    <t>-581.186783675101 27.9594628263189 -779.006946308598</t>
  </si>
  <si>
    <t>-564.466536252685 173.997622545136 -782.960083900356</t>
  </si>
  <si>
    <t>-454.097159508865 224.581878517878 -490.648667239281</t>
  </si>
  <si>
    <t>-259.749705422619 181.874743529215 -323.175590765129</t>
  </si>
  <si>
    <t>-577.405023510332 164.294362322047 -237.773211916057</t>
  </si>
  <si>
    <t>-541.088389516475 221.875034081876 212.807813334684</t>
  </si>
  <si>
    <t>-626.394526176148 247.721055637981 674.327722351891</t>
  </si>
  <si>
    <t>-473.112535002393 236.419054242792 759.887142320882</t>
  </si>
  <si>
    <t>-619.97905670001 -4.98970705137658 220.445688397732</t>
  </si>
  <si>
    <t>-660.354205247682 4.56295729431606 688.327670564339</t>
  </si>
  <si>
    <t>-503.306691289323 -35.9652352538003 756.423617092503</t>
  </si>
  <si>
    <t>9763-20170724T164138.226987400.bin</t>
  </si>
  <si>
    <t>-591.267426158671 68.3488800040608 -236.510625340945</t>
  </si>
  <si>
    <t>-613.06537266609 69.2734479352456 -355.640035769892</t>
  </si>
  <si>
    <t>-616.272735039008 56.521048659834 -476.129200345277</t>
  </si>
  <si>
    <t>-611.386939198414 39.7069495943868 -584.241537373557</t>
  </si>
  <si>
    <t>-598.800645870968 17.8045574514086 -690.809455706558</t>
  </si>
  <si>
    <t>-581.559279091285 28.8450017130722 -779.145060381808</t>
  </si>
  <si>
    <t>-564.628979900165 174.859959696158 -782.825054262283</t>
  </si>
  <si>
    <t>-452.895369684293 224.07784725737 -490.79882686202</t>
  </si>
  <si>
    <t>-258.521607187173 180.820388719964 -323.497484244753</t>
  </si>
  <si>
    <t>-577.883927972449 164.595489828721 -237.84721763494</t>
  </si>
  <si>
    <t>-541.527095860755 221.983323621815 212.75513231506</t>
  </si>
  <si>
    <t>-626.438207252341 247.792555138262 674.316934546171</t>
  </si>
  <si>
    <t>-473.105488988992 236.365847135878 759.768787753754</t>
  </si>
  <si>
    <t>-620.59961341299 -5.03800768570955 220.357244276534</t>
  </si>
  <si>
    <t>-660.37293248615 4.59176821582793 688.319168193378</t>
  </si>
  <si>
    <t>-503.304539469269 -35.8376079344566 756.425626573736</t>
  </si>
  <si>
    <t>9763-20170724T164138.292113300.bin</t>
  </si>
  <si>
    <t>-591.955245580563 69.0660706599841 -236.63794889133</t>
  </si>
  <si>
    <t>-613.753128107627 70.1700172035506 -355.765814797348</t>
  </si>
  <si>
    <t>-616.966907561575 57.7454267039056 -476.289026628573</t>
  </si>
  <si>
    <t>-612.091032223064 41.2823661735386 -584.455771113056</t>
  </si>
  <si>
    <t>-599.519211790258 19.7825643271979 -691.107420170322</t>
  </si>
  <si>
    <t>-582.223950766777 31.1879482598299 -779.386250845579</t>
  </si>
  <si>
    <t>-564.66565317986 177.160686895947 -782.400011041186</t>
  </si>
  <si>
    <t>-450.593153854989 223.67265228972 -490.834803017946</t>
  </si>
  <si>
    <t>-256.365816920878 178.861627922441 -323.772778617737</t>
  </si>
  <si>
    <t>-578.408239508335 165.491220955367 -237.897192503645</t>
  </si>
  <si>
    <t>-541.825880116552 222.415394016434 212.745739017886</t>
  </si>
  <si>
    <t>-626.505287759157 247.934537906722 674.349618392146</t>
  </si>
  <si>
    <t>-473.11128667075 236.237342148134 759.654867880235</t>
  </si>
  <si>
    <t>-621.289840796859 -4.85159185559344 220.215166037072</t>
  </si>
  <si>
    <t>-660.407154314412 4.68150465962336 688.278128449475</t>
  </si>
  <si>
    <t>-502.987694623752 -34.368131710551 756.379165070567</t>
  </si>
  <si>
    <t>9763-20170724T164138.324195800.bin</t>
  </si>
  <si>
    <t>-592.130723902116 69.4033814187686 -236.657951283399</t>
  </si>
  <si>
    <t>-613.952719919214 70.6001664535256 -355.780459942369</t>
  </si>
  <si>
    <t>-617.191503489115 58.3124647096367 -476.317136128629</t>
  </si>
  <si>
    <t>-612.339519492004 41.9877651865398 -584.505850292123</t>
  </si>
  <si>
    <t>-599.793179283746 20.6392460384525 -691.19084744133</t>
  </si>
  <si>
    <t>-582.470289345189 32.1756951649735 -779.447207637229</t>
  </si>
  <si>
    <t>-564.614485863336 178.117162242761 -782.224160620847</t>
  </si>
  <si>
    <t>-449.410113665478 223.4542109973 -490.918948117025</t>
  </si>
  <si>
    <t>-255.374412767121 178.440782267713 -323.688650096011</t>
  </si>
  <si>
    <t>-578.442542175749 165.875269197276 -237.857046699889</t>
  </si>
  <si>
    <t>-541.717595743351 222.618488186414 212.79717153756</t>
  </si>
  <si>
    <t>-626.522184501374 248.021175298092 674.371911486016</t>
  </si>
  <si>
    <t>-473.108780203269 236.10387509475 759.61169368241</t>
  </si>
  <si>
    <t>-621.528840772079 -4.73715590084709 220.15999961845</t>
  </si>
  <si>
    <t>-660.426972229219 4.60457444126308 688.265846325745</t>
  </si>
  <si>
    <t>-503.175376143058 -35.0274186798996 756.418218688864</t>
  </si>
  <si>
    <t>9763-20170724T164138.392078800.bin</t>
  </si>
  <si>
    <t>-592.173765445844 70.1579228875129 -236.663504479223</t>
  </si>
  <si>
    <t>-613.929284584081 71.5588264965262 -355.796006975291</t>
  </si>
  <si>
    <t>-617.173102000403 59.5155728048712 -476.357290681181</t>
  </si>
  <si>
    <t>-612.354864900994 43.4242606824115 -584.582534609388</t>
  </si>
  <si>
    <t>-599.870965343513 22.3194328226904 -691.323225961999</t>
  </si>
  <si>
    <t>-582.513416045889 34.0590536661222 -779.545926053809</t>
  </si>
  <si>
    <t>-563.925940218078 179.91730872879 -781.91181571139</t>
  </si>
  <si>
    <t>-447.066292841783 223.376708324923 -490.980139115911</t>
  </si>
  <si>
    <t>-253.843434099229 176.935585477401 -323.199815475191</t>
  </si>
  <si>
    <t>-578.222302265358 166.626546320911 -237.794562510509</t>
  </si>
  <si>
    <t>-541.322534830782 222.893966969162 212.904993392799</t>
  </si>
  <si>
    <t>-626.506834908788 248.086221940617 674.393879798445</t>
  </si>
  <si>
    <t>-473.106298967013 235.858952673697 759.612857285811</t>
  </si>
  <si>
    <t>-621.599563087162 -4.40503989223919 220.090584582014</t>
  </si>
  <si>
    <t>-660.483639051068 4.43348313004819 688.232103336574</t>
  </si>
  <si>
    <t>-503.527511697805 -36.1957875608115 756.478468625878</t>
  </si>
  <si>
    <t>9763-20170724T164138.424160200.bin</t>
  </si>
  <si>
    <t>-592.079015457434 70.6738002237528 -236.668962493396</t>
  </si>
  <si>
    <t>-613.883337438002 72.1392626911373 -355.791744500376</t>
  </si>
  <si>
    <t>-617.179149745394 60.1818369118129 -476.360026588329</t>
  </si>
  <si>
    <t>-612.410025936495 44.1741442306321 -584.599890907069</t>
  </si>
  <si>
    <t>-599.977234990154 23.1574594736211 -691.364040404763</t>
  </si>
  <si>
    <t>-582.607091848527 34.969294234778 -779.574648262141</t>
  </si>
  <si>
    <t>-563.682058442998 180.779412720152 -781.841805760805</t>
  </si>
  <si>
    <t>-446.254227508366 223.304874388776 -491.000774189666</t>
  </si>
  <si>
    <t>-253.341658640567 176.532455306902 -322.955692087967</t>
  </si>
  <si>
    <t>-577.894051838556 167.240814440823 -237.78626749417</t>
  </si>
  <si>
    <t>-541.092020101364 223.119738037842 212.969561918128</t>
  </si>
  <si>
    <t>-626.496993867153 248.128717720324 674.421096539843</t>
  </si>
  <si>
    <t>-473.110128092431 235.748209244872 759.642606885684</t>
  </si>
  <si>
    <t>-621.593632826668 -4.07543098838566 220.076527278484</t>
  </si>
  <si>
    <t>-660.491218159538 4.43592913338838 688.228253569859</t>
  </si>
  <si>
    <t>-503.401588892898 -35.6680323337755 756.478047810645</t>
  </si>
  <si>
    <t>9763-20170724T164138.490344300.bin</t>
  </si>
  <si>
    <t>-591.88132298639 71.4961042391351 -236.604736378223</t>
  </si>
  <si>
    <t>-613.674757189979 73.1096753496077 -355.727665783323</t>
  </si>
  <si>
    <t>-617.025367892266 61.3230352060627 -476.311275717685</t>
  </si>
  <si>
    <t>-612.335740844788 45.4704119989897 -584.57743931041</t>
  </si>
  <si>
    <t>-600.014197409542 24.6044347157656 -691.383899689564</t>
  </si>
  <si>
    <t>-582.660278097857 36.530226343791 -779.582427389034</t>
  </si>
  <si>
    <t>-563.191589989104 182.275024564713 -781.623357687759</t>
  </si>
  <si>
    <t>-444.119950606624 223.120437629211 -491.210135127273</t>
  </si>
  <si>
    <t>-252.404447679983 175.329938805092 -322.08500047006</t>
  </si>
  <si>
    <t>-577.506566203723 168.008144403903 -237.598430061956</t>
  </si>
  <si>
    <t>-540.564723661536 223.583223060663 213.183512503272</t>
  </si>
  <si>
    <t>-626.506006578967 248.145807241097 674.500373845126</t>
  </si>
  <si>
    <t>-473.113650600246 235.640340147965 759.693739396076</t>
  </si>
  <si>
    <t>-621.530054150088 -3.6261162083344 220.061931833624</t>
  </si>
  <si>
    <t>-660.491847126196 4.44518841425204 688.228683322802</t>
  </si>
  <si>
    <t>-503.473507765191 -35.8755069824684 756.514807954346</t>
  </si>
  <si>
    <t>9763-20170724T164138.521427200.bin</t>
  </si>
  <si>
    <t>-591.740609991944 71.9009152169498 -236.558322807375</t>
  </si>
  <si>
    <t>-613.498271166601 73.549203345785 -355.68725952686</t>
  </si>
  <si>
    <t>-616.839257147925 61.7962163223178 -476.274470942906</t>
  </si>
  <si>
    <t>-612.15395369611 45.9697221952235 -584.544542399418</t>
  </si>
  <si>
    <t>-599.850847132282 25.123179554846 -691.357064230202</t>
  </si>
  <si>
    <t>-582.470378005544 37.0560610021859 -779.549361854606</t>
  </si>
  <si>
    <t>-562.665102122295 182.75271594329 -781.540764950516</t>
  </si>
  <si>
    <t>-442.792244222319 222.759600892289 -491.340577338982</t>
  </si>
  <si>
    <t>-251.695261833265 174.803795891437 -321.563616113219</t>
  </si>
  <si>
    <t>-577.205114092935 168.406315527327 -237.540671111366</t>
  </si>
  <si>
    <t>-540.374495301564 223.795816848129 213.273208112638</t>
  </si>
  <si>
    <t>-626.540439143883 248.153813247287 674.569963371786</t>
  </si>
  <si>
    <t>-473.119819897982 235.582678756126 759.702767932089</t>
  </si>
  <si>
    <t>-621.502815433231 -3.37571765278352 220.064763938085</t>
  </si>
  <si>
    <t>-660.498893744064 4.36366279880838 688.236303376534</t>
  </si>
  <si>
    <t>-503.451545401421 -35.8164425391795 756.53860222853</t>
  </si>
  <si>
    <t>9763-20170724T164138.592629000.bin</t>
  </si>
  <si>
    <t>-591.40962814425 72.7728482296924 -236.539674583336</t>
  </si>
  <si>
    <t>-613.134492640369 74.5001744657374 -355.673336240259</t>
  </si>
  <si>
    <t>-616.530845770366 62.8221004892085 -476.266306479275</t>
  </si>
  <si>
    <t>-611.935399644704 47.0531735426149 -584.548694273257</t>
  </si>
  <si>
    <t>-599.763848078714 26.2489115292896 -691.384531264713</t>
  </si>
  <si>
    <t>-582.433280456447 38.1983955699417 -779.584409737405</t>
  </si>
  <si>
    <t>-562.131371257054 183.822517146858 -781.51637650123</t>
  </si>
  <si>
    <t>-440.314950777887 222.377278914934 -491.929623663621</t>
  </si>
  <si>
    <t>-250.603987486004 174.475952778328 -320.589904168088</t>
  </si>
  <si>
    <t>-576.723082623939 169.218222559994 -237.450449793801</t>
  </si>
  <si>
    <t>-540.290743608728 224.188852488663 213.447074111831</t>
  </si>
  <si>
    <t>-626.591714816027 248.195144453683 674.660816508032</t>
  </si>
  <si>
    <t>-473.130972901439 235.554011138485 759.710858084052</t>
  </si>
  <si>
    <t>-621.401753478488 -2.74615214756187 220.054599452932</t>
  </si>
  <si>
    <t>-660.473012152105 4.35546744285269 688.248588460744</t>
  </si>
  <si>
    <t>-503.654759620147 -36.5922466518083 756.621297912062</t>
  </si>
  <si>
    <t>9763-20170724T164138.624718200.bin</t>
  </si>
  <si>
    <t>-591.13733223251 73.228163416211 -236.52175636987</t>
  </si>
  <si>
    <t>-612.743375784474 74.9663382918671 -355.676879035968</t>
  </si>
  <si>
    <t>-616.081412241755 63.293187209153 -476.272007182761</t>
  </si>
  <si>
    <t>-611.460560058311 47.5227752619012 -584.553047214366</t>
  </si>
  <si>
    <t>-599.291851461316 26.7088846675904 -691.387327998947</t>
  </si>
  <si>
    <t>-581.933680122414 38.6402212681502 -779.584184741255</t>
  </si>
  <si>
    <t>-561.350365660772 184.228892061818 -781.531594671984</t>
  </si>
  <si>
    <t>-438.845540516011 222.041317095355 -492.137344951919</t>
  </si>
  <si>
    <t>-249.821875762351 174.221766857745 -320.01710523745</t>
  </si>
  <si>
    <t>-576.327008819886 169.596891726444 -237.429304164341</t>
  </si>
  <si>
    <t>-540.158873886205 224.437523791837 213.505305815442</t>
  </si>
  <si>
    <t>-626.602319463274 248.226007344403 674.683113507069</t>
  </si>
  <si>
    <t>-473.131045751963 235.591553265903 759.715140660895</t>
  </si>
  <si>
    <t>-621.289180991203 -2.40002998666672 220.047042441487</t>
  </si>
  <si>
    <t>-660.445589523816 4.44765731117811 688.24809821887</t>
  </si>
  <si>
    <t>-503.39260602143 -35.6076021376574 756.610709512461</t>
  </si>
  <si>
    <t>9763-20170724T164138.690898100.bin</t>
  </si>
  <si>
    <t>-590.587848392253 74.2054804680747 -236.565487158738</t>
  </si>
  <si>
    <t>-612.117025154671 75.9436632828188 -355.734597691984</t>
  </si>
  <si>
    <t>-615.384689052624 64.2637153967885 -476.33091927502</t>
  </si>
  <si>
    <t>-610.70713861437 48.479261258528 -584.607610806522</t>
  </si>
  <si>
    <t>-598.491277096899 27.6403421576342 -691.431565382168</t>
  </si>
  <si>
    <t>-581.031331717723 39.5368223625395 -779.613044628647</t>
  </si>
  <si>
    <t>-559.936264787143 185.061233488634 -781.600226521251</t>
  </si>
  <si>
    <t>-436.299019509996 222.237592914405 -492.605603485123</t>
  </si>
  <si>
    <t>-248.354929957742 173.984741841844 -319.427235629574</t>
  </si>
  <si>
    <t>-575.704284525659 170.531282551981 -237.453469982392</t>
  </si>
  <si>
    <t>-540.007193273593 224.902159752778 213.575655915249</t>
  </si>
  <si>
    <t>-626.595082980105 248.29421367938 674.72381389481</t>
  </si>
  <si>
    <t>-473.119483674995 235.640628708285 759.745172079139</t>
  </si>
  <si>
    <t>-621.018613505015 -1.73937349030161 220.044674480609</t>
  </si>
  <si>
    <t>-660.424725431111 4.38980500312911 688.247926210114</t>
  </si>
  <si>
    <t>-503.500864378561 -36.0473981990008 756.682121231056</t>
  </si>
  <si>
    <t>9763-20170724T164138.723982700.bin</t>
  </si>
  <si>
    <t>-590.364865564677 74.682336981418 -236.595916155151</t>
  </si>
  <si>
    <t>-611.810999128156 76.3829964989086 -355.780574505762</t>
  </si>
  <si>
    <t>-615.035903064074 64.6484447226459 -476.372780885865</t>
  </si>
  <si>
    <t>-610.339809079311 48.8032515063873 -584.639718375351</t>
  </si>
  <si>
    <t>-598.127281221948 27.8894905431584 -691.449389112632</t>
  </si>
  <si>
    <t>-580.641138029294 39.7095010752577 -779.636026040181</t>
  </si>
  <si>
    <t>-559.303692896212 185.198000703489 -781.762389657188</t>
  </si>
  <si>
    <t>-435.457813949074 222.286538170553 -492.845732841546</t>
  </si>
  <si>
    <t>-248.028921885295 173.507469583802 -319.25689971766</t>
  </si>
  <si>
    <t>-575.5326773242 170.892059708224 -237.482324562886</t>
  </si>
  <si>
    <t>-540.041747485011 225.182691867269 213.572580721588</t>
  </si>
  <si>
    <t>-626.57969439119 248.291733177431 674.726429444484</t>
  </si>
  <si>
    <t>-473.106850201749 235.747070599802 759.768903190255</t>
  </si>
  <si>
    <t>-620.910961353646 -1.37991704814839 220.026822842482</t>
  </si>
  <si>
    <t>-660.399012982387 4.49337911488841 688.242849835224</t>
  </si>
  <si>
    <t>-503.206657799422 -34.8843801712551 756.678625807553</t>
  </si>
  <si>
    <t>9763-20170724T164138.791758500.bin</t>
  </si>
  <si>
    <t>-590.11966599852 75.4658285329892 -236.652384455838</t>
  </si>
  <si>
    <t>-611.377139247243 77.0609852813625 -355.872276796196</t>
  </si>
  <si>
    <t>-614.513322142756 65.1841069581827 -476.452745956567</t>
  </si>
  <si>
    <t>-609.784093965356 49.1881367547475 -584.696145278646</t>
  </si>
  <si>
    <t>-597.588799503032 28.0966638061255 -691.472896011389</t>
  </si>
  <si>
    <t>-580.073654957571 39.7420957476246 -779.676933085415</t>
  </si>
  <si>
    <t>-558.29393655069 185.142784817064 -782.035189270635</t>
  </si>
  <si>
    <t>-434.380661541214 221.990951655439 -493.116607818195</t>
  </si>
  <si>
    <t>-247.607940273855 172.440463152868 -319.039808806021</t>
  </si>
  <si>
    <t>-575.375285256982 171.54590256291 -237.640201242256</t>
  </si>
  <si>
    <t>-540.426200691691 225.607250759958 213.484686177465</t>
  </si>
  <si>
    <t>-626.50213808103 248.265487775181 674.711622757138</t>
  </si>
  <si>
    <t>-473.069794007186 236.029488996043 759.872175570213</t>
  </si>
  <si>
    <t>-620.689687558925 -0.776010082637683 220.032144500057</t>
  </si>
  <si>
    <t>-660.352045296106 4.46119605725518 688.244804493949</t>
  </si>
  <si>
    <t>-503.097607130643 -34.5525781511493 756.746532038782</t>
  </si>
  <si>
    <t>9763-20170724T164138.823837500.bin</t>
  </si>
  <si>
    <t>-590.040088142788 75.6574327065889 -236.657826594791</t>
  </si>
  <si>
    <t>-611.26678956914 77.2232148814191 -355.883636323478</t>
  </si>
  <si>
    <t>-614.394952992526 65.3072231539849 -476.460498511782</t>
  </si>
  <si>
    <t>-609.669857909092 49.2693362275371 -584.697842887277</t>
  </si>
  <si>
    <t>-597.491232820588 28.1278652772743 -691.46655935016</t>
  </si>
  <si>
    <t>-579.971456951479 39.7230336257953 -779.676373353824</t>
  </si>
  <si>
    <t>-557.98679984125 185.096807012216 -782.143154801778</t>
  </si>
  <si>
    <t>-434.089219561517 221.694809361973 -493.186028587054</t>
  </si>
  <si>
    <t>-247.635632623152 171.63378217766 -318.913339420869</t>
  </si>
  <si>
    <t>-575.311518256409 171.685397170357 -237.652004938926</t>
  </si>
  <si>
    <t>-540.526284646447 225.696894320497 213.491432023396</t>
  </si>
  <si>
    <t>-626.48004356313 248.249955818233 674.734978852025</t>
  </si>
  <si>
    <t>-473.053194493738 236.210545170306 759.933372931534</t>
  </si>
  <si>
    <t>-620.595517696882 -0.78073408949826 220.047479740692</t>
  </si>
  <si>
    <t>-660.384003358735 4.03876624331753 688.256439812234</t>
  </si>
  <si>
    <t>-504.059911707339 -38.3303475546826 756.894337366909</t>
  </si>
  <si>
    <t>9763-20170724T164138.889634100.bin</t>
  </si>
  <si>
    <t>-589.977797832866 76.1752266066811 -236.658653921291</t>
  </si>
  <si>
    <t>-611.131126014665 77.693903149497 -355.898034565911</t>
  </si>
  <si>
    <t>-614.230628670003 65.6621923271103 -476.464154049491</t>
  </si>
  <si>
    <t>-609.50164149387 49.4875414972919 -584.68094599119</t>
  </si>
  <si>
    <t>-597.343559025777 28.1745320930561 -691.417877156951</t>
  </si>
  <si>
    <t>-579.798661825925 39.5978596384999 -779.645144746096</t>
  </si>
  <si>
    <t>-557.446638593195 184.906978005902 -782.377321315805</t>
  </si>
  <si>
    <t>-433.577149679146 221.325146372903 -493.385499896752</t>
  </si>
  <si>
    <t>-247.570155331835 170.738432062659 -318.787716642244</t>
  </si>
  <si>
    <t>-575.229086172984 172.11959954814 -237.68876066892</t>
  </si>
  <si>
    <t>-540.695052950013 225.986740878269 213.491291952158</t>
  </si>
  <si>
    <t>-626.441664014357 248.295062912904 674.791229386005</t>
  </si>
  <si>
    <t>-473.029460506047 236.458874238245 760.044410983226</t>
  </si>
  <si>
    <t>-620.458024736046 -0.409606442511546 220.053408699028</t>
  </si>
  <si>
    <t>-660.330385480999 4.17756003423062 688.257768154334</t>
  </si>
  <si>
    <t>-503.703894199072 -37.0320244178894 756.912050785325</t>
  </si>
  <si>
    <t>9763-20170724T164138.926739300.bin</t>
  </si>
  <si>
    <t>-590.06136254095 76.4730750216947 -236.648954266886</t>
  </si>
  <si>
    <t>-611.225612719569 77.9806734505212 -355.886583198237</t>
  </si>
  <si>
    <t>-614.325986213643 65.8918798401638 -476.447002395207</t>
  </si>
  <si>
    <t>-609.595672402555 49.6449358152109 -584.652912269523</t>
  </si>
  <si>
    <t>-597.435311454129 28.2378464029577 -691.370765350557</t>
  </si>
  <si>
    <t>-579.861160001199 39.56569569737 -779.604421734084</t>
  </si>
  <si>
    <t>-557.290930156904 184.843344301519 -782.517196345275</t>
  </si>
  <si>
    <t>-433.292314153795 221.255909784206 -493.579966624303</t>
  </si>
  <si>
    <t>-247.50961030602 170.150079487616 -318.894473700008</t>
  </si>
  <si>
    <t>-575.352196747719 172.407671628085 -237.689475366172</t>
  </si>
  <si>
    <t>-540.819155168102 226.10376922565 213.511037554366</t>
  </si>
  <si>
    <t>-626.436993971497 248.319133712658 674.837732145028</t>
  </si>
  <si>
    <t>-473.026935917284 236.53873746801 760.102568350879</t>
  </si>
  <si>
    <t>-620.430528481628 -0.198395120321109 220.067207306338</t>
  </si>
  <si>
    <t>-660.307808685441 4.20952736247718 688.26150611623</t>
  </si>
  <si>
    <t>-503.621279208772 -36.7464175769835 756.930547294032</t>
  </si>
  <si>
    <t>9763-20170724T164138.990564700.bin</t>
  </si>
  <si>
    <t>-590.343816487939 77.0964918882631 -236.666949356897</t>
  </si>
  <si>
    <t>-611.488805026056 78.5858838329087 -355.908166859132</t>
  </si>
  <si>
    <t>-614.63032594633 66.3613098466568 -476.453814709501</t>
  </si>
  <si>
    <t>-609.965613803697 49.939057013243 -584.636047261925</t>
  </si>
  <si>
    <t>-597.90141699925 28.3013401223011 -691.318396692409</t>
  </si>
  <si>
    <t>-580.357375812224 39.3935074369624 -779.588010837193</t>
  </si>
  <si>
    <t>-557.453916156302 184.611027429131 -782.892899754663</t>
  </si>
  <si>
    <t>-433.188105492581 220.773366317903 -494.039048734445</t>
  </si>
  <si>
    <t>-247.5114248339 168.71507726472 -319.52221151318</t>
  </si>
  <si>
    <t>-575.734674571497 173.009837779117 -237.702112604431</t>
  </si>
  <si>
    <t>-541.173897286012 226.423980743931 213.529727977458</t>
  </si>
  <si>
    <t>-626.414114399578 248.397829709338 674.924753594433</t>
  </si>
  <si>
    <t>-473.025598402822 236.659910940255 760.234136504202</t>
  </si>
  <si>
    <t>-620.293546789105 0.205728892496552 220.082245289448</t>
  </si>
  <si>
    <t>-660.277560401592 4.12092307779695 688.272317958092</t>
  </si>
  <si>
    <t>-503.583018251733 -36.7374335343624 756.98130748606</t>
  </si>
  <si>
    <t>9763-20170724T164139.023652500.bin</t>
  </si>
  <si>
    <t>-590.449454809354 77.3922688736785 -236.66424742174</t>
  </si>
  <si>
    <t>-611.536588059422 78.8433699221084 -355.916204077438</t>
  </si>
  <si>
    <t>-614.661414162943 66.5446588368825 -476.454638559156</t>
  </si>
  <si>
    <t>-610.000711712856 50.0382960168808 -584.624414475309</t>
  </si>
  <si>
    <t>-597.960942221804 28.2977972891941 -691.288495122153</t>
  </si>
  <si>
    <t>-580.41664119602 39.2879882663767 -779.57090152385</t>
  </si>
  <si>
    <t>-557.339981749634 184.468280834199 -783.056507993102</t>
  </si>
  <si>
    <t>-432.767612288329 220.476806220686 -494.315545034942</t>
  </si>
  <si>
    <t>-247.200863796465 168.227146469181 -319.738878643633</t>
  </si>
  <si>
    <t>-575.850879898853 173.27669841718 -237.729858259073</t>
  </si>
  <si>
    <t>-541.3687138972 226.601134596121 213.518587437126</t>
  </si>
  <si>
    <t>-626.398612513077 248.450023776206 674.965876788827</t>
  </si>
  <si>
    <t>-473.025007236629 236.688210104938 760.298824376753</t>
  </si>
  <si>
    <t>-620.282744584331 0.38701974240562 220.084528631274</t>
  </si>
  <si>
    <t>-660.259372553333 4.1059634818869 688.278164320604</t>
  </si>
  <si>
    <t>-503.586421331067 -36.7839333418553 757.017610371858</t>
  </si>
  <si>
    <t>9763-20170724T164139.092377900.bin</t>
  </si>
  <si>
    <t>-590.773940609225 77.7042428090314 -236.695713229449</t>
  </si>
  <si>
    <t>-611.966690476681 79.1436176163158 -355.929153557442</t>
  </si>
  <si>
    <t>-615.210736029674 66.7508336750115 -476.455016632225</t>
  </si>
  <si>
    <t>-610.666216892647 50.1210560249454 -584.610633479986</t>
  </si>
  <si>
    <t>-598.75320364662 28.2162187597527 -691.255398960086</t>
  </si>
  <si>
    <t>-581.252610040746 39.0349294710941 -779.567524440713</t>
  </si>
  <si>
    <t>-557.827283604866 184.160111196837 -783.330445929134</t>
  </si>
  <si>
    <t>-432.138751990463 219.893682090795 -495.039387398451</t>
  </si>
  <si>
    <t>-246.555776591686 167.469826546522 -320.532344207261</t>
  </si>
  <si>
    <t>-576.241868358047 173.595948420285 -237.71171054366</t>
  </si>
  <si>
    <t>-541.655532637547 226.729382224308 213.551320102362</t>
  </si>
  <si>
    <t>-626.40785570252 248.557766320233 675.068782786079</t>
  </si>
  <si>
    <t>-473.036479749884 236.761727531553 760.400979064432</t>
  </si>
  <si>
    <t>-620.410546152861 0.545204313653464 220.112012555442</t>
  </si>
  <si>
    <t>-660.239682581964 4.1097939669877 688.294671427603</t>
  </si>
  <si>
    <t>-503.52782075775 -36.5934224272726 757.056164777627</t>
  </si>
  <si>
    <t>9763-20170724T164139.126469300.bin</t>
  </si>
  <si>
    <t>-591.090782495439 77.8236350518908 -236.688900609458</t>
  </si>
  <si>
    <t>-612.268518559134 79.2148180704379 -355.925476705016</t>
  </si>
  <si>
    <t>-615.524573581578 66.738129679757 -476.44239624504</t>
  </si>
  <si>
    <t>-611.004045169849 50.0156024355596 -584.584647357844</t>
  </si>
  <si>
    <t>-599.129617816845 27.9994911038534 -691.210930729014</t>
  </si>
  <si>
    <t>-581.634396701477 38.708920685394 -779.537428231458</t>
  </si>
  <si>
    <t>-558.093260861671 183.8120478625 -783.536002189273</t>
  </si>
  <si>
    <t>-431.721759154495 219.386753964599 -495.523954143238</t>
  </si>
  <si>
    <t>-246.302583028562 166.992144156952 -320.834127766184</t>
  </si>
  <si>
    <t>-576.522733176991 173.756322488965 -237.737945160396</t>
  </si>
  <si>
    <t>-541.856691857069 226.794097320855 213.530255954289</t>
  </si>
  <si>
    <t>-626.424853471088 248.633033639374 675.103284914247</t>
  </si>
  <si>
    <t>-473.049018993723 236.75533800846 760.416156665812</t>
  </si>
  <si>
    <t>-620.535810265873 0.486200735240956 220.127115769603</t>
  </si>
  <si>
    <t>-660.246633798693 3.95171714711584 688.312778339587</t>
  </si>
  <si>
    <t>-503.842453895684 -37.8531264191797 757.113920542673</t>
  </si>
  <si>
    <t>9763-20170724T164139.191714400.bin</t>
  </si>
  <si>
    <t>-591.969032277448 77.8730715884063 -236.715378211106</t>
  </si>
  <si>
    <t>-613.29918734192 79.2958622099464 -355.924429962454</t>
  </si>
  <si>
    <t>-616.690892526211 66.7503910578825 -476.43028752664</t>
  </si>
  <si>
    <t>-612.293312197598 49.914350595453 -584.560217630794</t>
  </si>
  <si>
    <t>-600.54664424532 27.7277070385405 -691.165166863508</t>
  </si>
  <si>
    <t>-583.036060119415 38.2430361865255 -779.511898999622</t>
  </si>
  <si>
    <t>-559.021690000724 183.253422827547 -783.815291730897</t>
  </si>
  <si>
    <t>-431.069126520878 218.633930392445 -496.47833917153</t>
  </si>
  <si>
    <t>-245.651472883809 166.488338274404 -321.712066383811</t>
  </si>
  <si>
    <t>-577.536755400789 173.943798006984 -237.729754006676</t>
  </si>
  <si>
    <t>-542.338594009084 226.77014459712 213.52202150529</t>
  </si>
  <si>
    <t>-626.461282649022 248.730354116374 675.148351237906</t>
  </si>
  <si>
    <t>-473.070130883192 236.77555118419 760.422907066056</t>
  </si>
  <si>
    <t>-621.072106495485 0.359377682793756 220.109120261713</t>
  </si>
  <si>
    <t>-660.243561515037 3.94074141380327 688.33052537881</t>
  </si>
  <si>
    <t>-503.611632983065 -37.054478627941 757.100720346878</t>
  </si>
  <si>
    <t>9763-20170724T164139.224801500.bin</t>
  </si>
  <si>
    <t>-592.446990943481 77.9271846155212 -236.76298255653</t>
  </si>
  <si>
    <t>-613.701031191856 79.3190787242112 -355.986096721474</t>
  </si>
  <si>
    <t>-617.098226426058 66.7098765533129 -476.485197207428</t>
  </si>
  <si>
    <t>-612.74292798388 49.7974569654086 -584.604698787509</t>
  </si>
  <si>
    <t>-601.078154920671 27.512382147702 -691.198152246501</t>
  </si>
  <si>
    <t>-583.58063889978 37.9212612028808 -779.560278424036</t>
  </si>
  <si>
    <t>-559.291188290199 182.892634501896 -784.06745405851</t>
  </si>
  <si>
    <t>-430.985053015142 218.031849128763 -496.858658115347</t>
  </si>
  <si>
    <t>-245.499303894936 166.228572833944 -322.062923835703</t>
  </si>
  <si>
    <t>-577.96451734265 173.968235918401 -237.788162407727</t>
  </si>
  <si>
    <t>-542.679821211146 226.803009218182 213.455801857928</t>
  </si>
  <si>
    <t>-626.464547420068 248.799321069518 675.154608912121</t>
  </si>
  <si>
    <t>-473.076014264465 236.792021846337 760.426452358774</t>
  </si>
  <si>
    <t>-621.347698604337 0.292353583593822 220.077134208888</t>
  </si>
  <si>
    <t>-660.241693324894 3.91009796309143 688.3342550665</t>
  </si>
  <si>
    <t>-503.475555816922 -36.5903192119423 757.091879279035</t>
  </si>
  <si>
    <t>9763-20170724T164139.288704500.bin</t>
  </si>
  <si>
    <t>-593.21623718452 77.6104410757881 -236.84981884977</t>
  </si>
  <si>
    <t>-614.433177401364 79.0091497523455 -356.079405167917</t>
  </si>
  <si>
    <t>-617.914572141983 66.2595720549981 -476.56138469617</t>
  </si>
  <si>
    <t>-613.688158970908 49.1555310303295 -584.655943433942</t>
  </si>
  <si>
    <t>-602.206680446179 26.6118868321918 -691.214809451031</t>
  </si>
  <si>
    <t>-584.721449960778 36.7421876199134 -779.611735950112</t>
  </si>
  <si>
    <t>-560.026028459596 181.609985656985 -784.62418059518</t>
  </si>
  <si>
    <t>-431.784417149882 216.841489556179 -497.397666741438</t>
  </si>
  <si>
    <t>-245.760780355131 165.723500003869 -322.972355508078</t>
  </si>
  <si>
    <t>-578.528496563814 173.735825907449 -237.930109032045</t>
  </si>
  <si>
    <t>-543.599297382665 226.48651133405 213.351422187656</t>
  </si>
  <si>
    <t>-626.470334469846 248.997569972183 675.182761801449</t>
  </si>
  <si>
    <t>-473.098030048265 236.675860617246 760.439007166577</t>
  </si>
  <si>
    <t>-622.107006905111 -0.113225262017373 220.032194745309</t>
  </si>
  <si>
    <t>-660.273772766657 3.78370558165341 688.338415700628</t>
  </si>
  <si>
    <t>-503.663285416532 -37.2722914527745 757.12119843042</t>
  </si>
  <si>
    <t>9763-20170724T164139.325803700.bin</t>
  </si>
  <si>
    <t>-593.549946601957 77.5042339270823 -236.941068895594</t>
  </si>
  <si>
    <t>-614.734085536242 78.9347803300495 -356.176060764016</t>
  </si>
  <si>
    <t>-618.244652347975 66.1591848475416 -476.654430897728</t>
  </si>
  <si>
    <t>-614.069162419326 49.0077512906983 -584.743365309443</t>
  </si>
  <si>
    <t>-602.663264622064 26.3934590793565 -691.295544232716</t>
  </si>
  <si>
    <t>-585.172508615058 36.4409593147769 -779.700783499263</t>
  </si>
  <si>
    <t>-560.248352362764 181.261262258114 -784.920682706399</t>
  </si>
  <si>
    <t>-432.541151468004 216.929395644326 -497.5102134484</t>
  </si>
  <si>
    <t>-246.238653702277 165.858215574828 -323.36886392147</t>
  </si>
  <si>
    <t>-578.675236889823 173.742665399181 -238.052888930121</t>
  </si>
  <si>
    <t>-544.124658780021 226.26352002467 213.284564906813</t>
  </si>
  <si>
    <t>-626.46985961605 249.130691257476 675.22300718986</t>
  </si>
  <si>
    <t>-473.121248406169 236.50563294261 760.477524289231</t>
  </si>
  <si>
    <t>-622.509168740943 -0.248084751100237 219.97238209235</t>
  </si>
  <si>
    <t>-660.280462433709 3.73923759528117 688.327028175292</t>
  </si>
  <si>
    <t>-503.754360963131 -37.592749885258 757.136663545332</t>
  </si>
  <si>
    <t>9763-20170724T164139.392703600.bin</t>
  </si>
  <si>
    <t>-594.121246888016 77.2376019794174 -237.018756611618</t>
  </si>
  <si>
    <t>-615.304936511673 78.7383106594124 -356.252972282273</t>
  </si>
  <si>
    <t>-618.875564191026 65.9128224637814 -476.724238133293</t>
  </si>
  <si>
    <t>-614.773172883225 48.6741147387046 -584.802134322782</t>
  </si>
  <si>
    <t>-603.455421009861 25.9352961601015 -691.337074760209</t>
  </si>
  <si>
    <t>-585.944397629305 35.8464551801042 -779.753744662453</t>
  </si>
  <si>
    <t>-560.739103060141 180.613203210246 -785.09187882631</t>
  </si>
  <si>
    <t>-433.807217453302 216.920887539589 -497.41799343027</t>
  </si>
  <si>
    <t>-247.295349989501 164.984967227839 -323.757316732735</t>
  </si>
  <si>
    <t>-578.752549866886 173.546173135741 -238.155903471722</t>
  </si>
  <si>
    <t>-544.633150783502 225.824511043441 213.242551526681</t>
  </si>
  <si>
    <t>-626.480450871209 249.305112154265 675.309357697889</t>
  </si>
  <si>
    <t>-473.177534114542 236.119448874678 760.561118175955</t>
  </si>
  <si>
    <t>-623.16484621655 -0.546413651069244 219.949427150839</t>
  </si>
  <si>
    <t>-660.300374255916 3.64351394411543 688.334833470728</t>
  </si>
  <si>
    <t>-503.426334214778 -36.3484367787687 757.143901784991</t>
  </si>
  <si>
    <t>9763-20170724T164139.425793200.bin</t>
  </si>
  <si>
    <t>-594.473776909478 77.0685858833409 -236.981541486162</t>
  </si>
  <si>
    <t>-615.700153218686 78.6552027306354 -356.207199199191</t>
  </si>
  <si>
    <t>-619.29069729462 65.8334027663408 -476.678103522134</t>
  </si>
  <si>
    <t>-615.193460846453 48.5690863048672 -584.752262074487</t>
  </si>
  <si>
    <t>-603.866048042636 25.7791389866391 -691.275295619137</t>
  </si>
  <si>
    <t>-586.320963440678 35.6314738530294 -779.691719677515</t>
  </si>
  <si>
    <t>-561.034228403922 180.384932445277 -785.049847054386</t>
  </si>
  <si>
    <t>-434.417148082644 217.004510629418 -497.276785569892</t>
  </si>
  <si>
    <t>-247.722225195183 164.198304660542 -324.07581131107</t>
  </si>
  <si>
    <t>-578.922435776693 173.433524816382 -238.087531746857</t>
  </si>
  <si>
    <t>-544.514623848316 225.676670297448 213.293090744997</t>
  </si>
  <si>
    <t>-626.506427419163 249.372016637873 675.345721714875</t>
  </si>
  <si>
    <t>-473.21120833917 235.942687855004 760.573349017807</t>
  </si>
  <si>
    <t>-623.430615094942 -0.771114629170384 219.952469829461</t>
  </si>
  <si>
    <t>-660.318579811402 3.6054612846258 688.34392034492</t>
  </si>
  <si>
    <t>-503.568229364311 -36.8305523162624 757.175287377952</t>
  </si>
  <si>
    <t>9763-20170724T164139.489636300.bin</t>
  </si>
  <si>
    <t>-595.18882583015 76.66913322142 -236.948820373104</t>
  </si>
  <si>
    <t>-616.527279170402 78.370858619742 -356.15278436528</t>
  </si>
  <si>
    <t>-620.190754788978 65.475678938572 -476.613850766446</t>
  </si>
  <si>
    <t>-616.141165429736 48.071475105743 -584.667290263743</t>
  </si>
  <si>
    <t>-604.842670198251 25.0712502543694 -691.148136576389</t>
  </si>
  <si>
    <t>-587.267064809519 34.6992954766926 -779.583121759572</t>
  </si>
  <si>
    <t>-561.903835131442 179.431773811564 -785.088561091249</t>
  </si>
  <si>
    <t>-435.976598616358 216.316761818838 -497.046791712114</t>
  </si>
  <si>
    <t>-248.942623661184 162.13888620495 -324.637050541244</t>
  </si>
  <si>
    <t>-579.382897706808 173.231903088137 -237.988140821162</t>
  </si>
  <si>
    <t>-544.2369559739 225.387932573163 213.345662949949</t>
  </si>
  <si>
    <t>-626.522646859404 249.407732296311 675.312626195772</t>
  </si>
  <si>
    <t>-473.252098465904 235.71000211578 760.541894764102</t>
  </si>
  <si>
    <t>-624.067532068524 -1.28276379799214 219.925025562113</t>
  </si>
  <si>
    <t>-660.370594977519 3.44521929416766 688.367480557113</t>
  </si>
  <si>
    <t>-503.980529533382 -38.2803988978925 757.248861902043</t>
  </si>
  <si>
    <t>9763-20170724T164139.522725100.bin</t>
  </si>
  <si>
    <t>-595.592487019755 76.5400531407349 -236.93229740812</t>
  </si>
  <si>
    <t>-617.002020372202 78.2749028287563 -356.122979115389</t>
  </si>
  <si>
    <t>-620.703801809137 65.3619995269036 -476.580808169736</t>
  </si>
  <si>
    <t>-616.674823318611 47.9217914803743 -584.629349638622</t>
  </si>
  <si>
    <t>-605.383124181912 24.8663382235127 -691.09908010126</t>
  </si>
  <si>
    <t>-587.797520068595 34.4353937015282 -779.538472747019</t>
  </si>
  <si>
    <t>-562.298898780549 179.139563123207 -785.01288592147</t>
  </si>
  <si>
    <t>-436.453123850952 216.046481002201 -496.938504501773</t>
  </si>
  <si>
    <t>-249.306592599304 161.728507864672 -324.695076069927</t>
  </si>
  <si>
    <t>-579.783183475196 173.157405945157 -237.973679197478</t>
  </si>
  <si>
    <t>-544.292158026013 225.293005408189 213.335491851221</t>
  </si>
  <si>
    <t>-626.539858724565 249.385410053918 675.300111175347</t>
  </si>
  <si>
    <t>-473.268857877713 235.688995697215 760.528654088057</t>
  </si>
  <si>
    <t>-624.367640235096 -1.44506094323808 219.922307663772</t>
  </si>
  <si>
    <t>-660.371908612118 3.4983756500325 688.375537471895</t>
  </si>
  <si>
    <t>-503.856021845755 -37.770432113204 757.246294076556</t>
  </si>
  <si>
    <t>9763-20170724T164139.592609200.bin</t>
  </si>
  <si>
    <t>-596.669119125922 76.3833049481975 -236.97124584738</t>
  </si>
  <si>
    <t>-618.287556476151 78.1332011100644 -356.124083415622</t>
  </si>
  <si>
    <t>-622.100575970582 65.1863315842058 -476.574874904066</t>
  </si>
  <si>
    <t>-618.134946347682 47.6919858645192 -584.616948838664</t>
  </si>
  <si>
    <t>-606.871738425093 24.5574455033379 -691.072390209199</t>
  </si>
  <si>
    <t>-589.264833516077 34.0406055548711 -779.516783680966</t>
  </si>
  <si>
    <t>-563.519838425258 178.720170973335 -784.95986279553</t>
  </si>
  <si>
    <t>-437.121396755574 215.144693181493 -497.066025100012</t>
  </si>
  <si>
    <t>-250.034933038131 161.594132538552 -324.517284637799</t>
  </si>
  <si>
    <t>-580.887184980913 173.166310567107 -237.984559037198</t>
  </si>
  <si>
    <t>-544.799760249104 225.196215723562 213.289491573692</t>
  </si>
  <si>
    <t>-626.601441283957 249.407898482808 675.300919852907</t>
  </si>
  <si>
    <t>-473.303813800712 235.648065874013 760.471458406145</t>
  </si>
  <si>
    <t>-625.071769423328 -1.69199454367644 219.901379427608</t>
  </si>
  <si>
    <t>-660.365670263236 3.54480069393934 688.398538383027</t>
  </si>
  <si>
    <t>-503.595787794292 -36.7853672452065 757.247566334331</t>
  </si>
  <si>
    <t>9763-20170724T164139.622687100.bin</t>
  </si>
  <si>
    <t>-597.345402809532 76.2330975749051 -236.985733882362</t>
  </si>
  <si>
    <t>-619.012488508953 77.9563749728095 -356.130112676015</t>
  </si>
  <si>
    <t>-622.84372143918 64.9682678624949 -476.575839969011</t>
  </si>
  <si>
    <t>-618.884158342313 47.4287198928229 -584.610733741884</t>
  </si>
  <si>
    <t>-607.618065698309 24.2398658765111 -691.054198053607</t>
  </si>
  <si>
    <t>-589.991719656078 33.6696347233421 -779.500533253998</t>
  </si>
  <si>
    <t>-564.116297974719 178.315309283715 -784.991083301178</t>
  </si>
  <si>
    <t>-436.866192449976 214.505612154795 -497.443112213465</t>
  </si>
  <si>
    <t>-249.941332845749 161.53301075107 -324.541300113758</t>
  </si>
  <si>
    <t>-581.554088046022 173.047686625013 -238.021283215966</t>
  </si>
  <si>
    <t>-545.20555820987 225.132062102009 213.225514085404</t>
  </si>
  <si>
    <t>-626.655318019906 249.412429787433 675.309419420512</t>
  </si>
  <si>
    <t>-473.324345568432 235.640733503998 760.417932675419</t>
  </si>
  <si>
    <t>-625.568579261203 -1.93887935111095 219.882674788189</t>
  </si>
  <si>
    <t>-660.360946708439 3.55244323448234 688.408465249036</t>
  </si>
  <si>
    <t>-503.488987407424 -36.4031466483038 757.24340565902</t>
  </si>
  <si>
    <t>9763-20170724T164139.688554200.bin</t>
  </si>
  <si>
    <t>-599.102039093412 75.7328201042979 -237.126689895301</t>
  </si>
  <si>
    <t>-620.944675141561 77.4454621327702 -356.239016848473</t>
  </si>
  <si>
    <t>-624.854262683415 64.3836814062884 -476.674465187173</t>
  </si>
  <si>
    <t>-620.925652828483 46.7527701194896 -584.695539417265</t>
  </si>
  <si>
    <t>-609.651463240709 23.4489007279034 -691.113020094713</t>
  </si>
  <si>
    <t>-592.01012108204 32.7691243367925 -779.567956997645</t>
  </si>
  <si>
    <t>-566.099843620779 177.414795800073 -785.223325488373</t>
  </si>
  <si>
    <t>-436.311940692805 213.400289032545 -498.785964117449</t>
  </si>
  <si>
    <t>-249.375554879219 161.548330170853 -325.557220224326</t>
  </si>
  <si>
    <t>-583.385855541267 172.803018874089 -238.169152846613</t>
  </si>
  <si>
    <t>-546.355729370678 224.802358312626 213.031956199687</t>
  </si>
  <si>
    <t>-626.745569335277 249.448291432017 675.289315502242</t>
  </si>
  <si>
    <t>-473.369338236745 235.549217717286 760.295598340884</t>
  </si>
  <si>
    <t>-627.160072307754 -2.60119869529755 219.781995470105</t>
  </si>
  <si>
    <t>-660.387978737444 3.56666048596335 688.416767789989</t>
  </si>
  <si>
    <t>-503.267595050787 -35.4313039979146 757.234307808579</t>
  </si>
  <si>
    <t>9763-20170724T164139.726655200.bin</t>
  </si>
  <si>
    <t>-600.175040517467 75.3334766479294 -237.184767870446</t>
  </si>
  <si>
    <t>-621.97974088046 77.0382708231434 -356.304337865014</t>
  </si>
  <si>
    <t>-625.849421658658 63.9073881373617 -476.733384655726</t>
  </si>
  <si>
    <t>-621.885362558452 46.1889112626847 -584.738898162057</t>
  </si>
  <si>
    <t>-610.577511195772 22.7722813695118 -691.127922477783</t>
  </si>
  <si>
    <t>-592.907964589275 31.9813159751334 -779.588950139336</t>
  </si>
  <si>
    <t>-567.006246158506 176.624955789872 -785.383745205128</t>
  </si>
  <si>
    <t>-436.12434851518 212.587176499627 -499.441733208707</t>
  </si>
  <si>
    <t>-249.000401339993 161.018335975382 -326.330919608503</t>
  </si>
  <si>
    <t>-584.544586629634 172.566288565542 -238.211405051131</t>
  </si>
  <si>
    <t>-547.034996067223 224.642975429033 212.941249896943</t>
  </si>
  <si>
    <t>-626.803077503362 249.484696929068 675.305097980741</t>
  </si>
  <si>
    <t>-473.397335560268 235.456494423191 760.236776006341</t>
  </si>
  <si>
    <t>-628.122545130562 -3.12929644576961 219.721793444727</t>
  </si>
  <si>
    <t>-660.409773831625 3.51994816411074 688.419387529733</t>
  </si>
  <si>
    <t>-503.402994727476 -35.8773323060974 757.268808351047</t>
  </si>
  <si>
    <t>9763-20170724T164139.790582500.bin</t>
  </si>
  <si>
    <t>-602.235096132438 74.5459189139667 -237.25599825068</t>
  </si>
  <si>
    <t>-623.979506032019 76.2386023682448 -356.386726152709</t>
  </si>
  <si>
    <t>-627.725555410617 62.9945608106532 -476.807311618205</t>
  </si>
  <si>
    <t>-623.627697755936 45.1320932241484 -584.78417304393</t>
  </si>
  <si>
    <t>-612.166831885497 21.5298179391469 -691.115853820577</t>
  </si>
  <si>
    <t>-594.352327812841 30.5553397818583 -779.566592580736</t>
  </si>
  <si>
    <t>-568.250929182462 175.143925781836 -785.575095496196</t>
  </si>
  <si>
    <t>-435.927303571495 211.350551355197 -500.328312790165</t>
  </si>
  <si>
    <t>-248.539218874476 160.463507064302 -327.301531191415</t>
  </si>
  <si>
    <t>-586.817480820977 172.005944322392 -238.274758229772</t>
  </si>
  <si>
    <t>-548.343038113603 224.280780229911 212.773733855398</t>
  </si>
  <si>
    <t>-626.931832299342 249.516084114772 675.357397772655</t>
  </si>
  <si>
    <t>-473.452368242002 235.26359201154 760.118327105676</t>
  </si>
  <si>
    <t>-629.884220200013 -3.98176187345393 219.618507028514</t>
  </si>
  <si>
    <t>-660.445190194501 3.61975308674515 688.414591899025</t>
  </si>
  <si>
    <t>-503.337994518044 -35.3571989113757 757.274159733015</t>
  </si>
  <si>
    <t>9763-20170724T164139.824674600.bin</t>
  </si>
  <si>
    <t>-603.188070645549 74.2284951288109 -237.278972871744</t>
  </si>
  <si>
    <t>-624.945788078794 75.8850916998628 -356.407621728182</t>
  </si>
  <si>
    <t>-628.630332420194 62.5840645145744 -476.823955759711</t>
  </si>
  <si>
    <t>-624.448969325634 44.6602916416046 -584.787454554951</t>
  </si>
  <si>
    <t>-612.878922494143 20.9866170511294 -691.091395167635</t>
  </si>
  <si>
    <t>-594.954521226909 29.9449572300476 -779.526862049797</t>
  </si>
  <si>
    <t>-568.82927328602 174.517034086537 -785.620955562442</t>
  </si>
  <si>
    <t>-435.736735752933 210.935405374313 -500.759191092847</t>
  </si>
  <si>
    <t>-248.597085858468 160.231720861389 -327.410045045177</t>
  </si>
  <si>
    <t>-587.883614577366 171.796239076584 -238.311375625568</t>
  </si>
  <si>
    <t>-548.979232089597 224.110389281239 212.695658777738</t>
  </si>
  <si>
    <t>-627.008510967636 249.528754846315 675.392794889384</t>
  </si>
  <si>
    <t>-473.48084102839 235.16975413231 760.04848738142</t>
  </si>
  <si>
    <t>-630.586240906682 -4.3910531596045 219.600552267366</t>
  </si>
  <si>
    <t>-660.493840647909 3.4651213541692 688.421708577486</t>
  </si>
  <si>
    <t>-503.404535280174 -35.5713967827431 757.288397565944</t>
  </si>
  <si>
    <t>9763-20170724T164139.894518200.bin</t>
  </si>
  <si>
    <t>-605.203136292984 73.7381217962367 -237.26739437059</t>
  </si>
  <si>
    <t>-627.065370070824 75.3500783809766 -356.377556025986</t>
  </si>
  <si>
    <t>-630.630973715067 62.045144274522 -476.796973314424</t>
  </si>
  <si>
    <t>-626.260716956581 44.1259616474828 -584.753744652987</t>
  </si>
  <si>
    <t>-614.427272132824 20.4600000579102 -691.03042298802</t>
  </si>
  <si>
    <t>-596.242476883646 29.4251835617187 -779.411988082765</t>
  </si>
  <si>
    <t>-569.976062293397 173.977598823969 -785.607912708793</t>
  </si>
  <si>
    <t>-434.829263496839 210.058954422005 -501.671934361244</t>
  </si>
  <si>
    <t>-248.64807731894 159.916388214625 -327.131522399637</t>
  </si>
  <si>
    <t>-590.400671177284 171.500858194208 -238.246635639232</t>
  </si>
  <si>
    <t>-549.819929186462 224.054641250686 212.58478778711</t>
  </si>
  <si>
    <t>-627.195460198717 249.440880885528 675.446297768782</t>
  </si>
  <si>
    <t>-473.52877117137 235.11722565415 759.855322755458</t>
  </si>
  <si>
    <t>-631.847342455221 -4.88664651453929 219.577054692498</t>
  </si>
  <si>
    <t>-660.518679981732 3.71175177743896 688.433768003424</t>
  </si>
  <si>
    <t>-502.816219611697 -32.8905353272335 757.235845526532</t>
  </si>
  <si>
    <t>9763-20170724T164139.925600700.bin</t>
  </si>
  <si>
    <t>-606.145539681463 73.4229528530475 -237.255971788318</t>
  </si>
  <si>
    <t>-627.920588745292 75.0497689597559 -356.381882944468</t>
  </si>
  <si>
    <t>-631.381633962245 61.7561550473759 -476.805718839042</t>
  </si>
  <si>
    <t>-626.91261392048 43.8436174094742 -584.759383466603</t>
  </si>
  <si>
    <t>-614.978096505077 20.1795011914505 -691.025221201325</t>
  </si>
  <si>
    <t>-596.720037324708 29.1438879085909 -779.391732781197</t>
  </si>
  <si>
    <t>-570.440156599851 173.689526191069 -785.581731267211</t>
  </si>
  <si>
    <t>-434.508990604688 209.275170792067 -501.957837289632</t>
  </si>
  <si>
    <t>-248.691245019509 159.83163995201 -326.831655810715</t>
  </si>
  <si>
    <t>-591.521242245547 171.148925787132 -238.189114169695</t>
  </si>
  <si>
    <t>-549.961556590489 224.078627039551 212.509122394495</t>
  </si>
  <si>
    <t>-627.230341812317 249.383483916233 675.381870894487</t>
  </si>
  <si>
    <t>-473.525434343909 235.168536783251 759.739740884101</t>
  </si>
  <si>
    <t>-632.389659789437 -5.20427847939598 219.562339288348</t>
  </si>
  <si>
    <t>-660.536986988117 3.78031811649682 688.439178896135</t>
  </si>
  <si>
    <t>-502.843430305449 -32.8527551537056 757.245123533778</t>
  </si>
  <si>
    <t>9763-20170724T164139.988435200.bin</t>
  </si>
  <si>
    <t>-607.572247674332 72.7581194760391 -237.225565924067</t>
  </si>
  <si>
    <t>-629.254486575546 74.465243316329 -356.367432528249</t>
  </si>
  <si>
    <t>-632.641969538023 61.1636875608388 -476.792300999654</t>
  </si>
  <si>
    <t>-628.108852443313 43.2161687889913 -584.73757687774</t>
  </si>
  <si>
    <t>-616.109554501642 19.4947442651105 -690.983386204254</t>
  </si>
  <si>
    <t>-597.82941099281 28.4032266555408 -779.35089307242</t>
  </si>
  <si>
    <t>-571.934057933962 173.024941026469 -785.956091182078</t>
  </si>
  <si>
    <t>-436.245525209057 208.157418845078 -502.159441022506</t>
  </si>
  <si>
    <t>-250.64741667942 159.964005971922 -326.453016817406</t>
  </si>
  <si>
    <t>-593.052393707477 170.3733845787 -238.128714115132</t>
  </si>
  <si>
    <t>-549.84220492333 223.839686966749 212.350972049843</t>
  </si>
  <si>
    <t>-627.219471222016 249.329038383888 675.197769183141</t>
  </si>
  <si>
    <t>-473.52490670488 235.075512455156 759.567921497197</t>
  </si>
  <si>
    <t>-633.548662380274 -5.85696755507162 219.530312132516</t>
  </si>
  <si>
    <t>-660.631648232806 3.72611596938305 688.433538934947</t>
  </si>
  <si>
    <t>-503.022701661833 -33.2852173963157 757.231017970806</t>
  </si>
  <si>
    <t>9763-20170724T164140.024548200.bin</t>
  </si>
  <si>
    <t>-607.9301571667 72.5457515131579 -237.293768663613</t>
  </si>
  <si>
    <t>-629.664791515305 74.2710781771473 -356.425818312122</t>
  </si>
  <si>
    <t>-633.079637712144 60.9055000420097 -476.842913926941</t>
  </si>
  <si>
    <t>-628.556499413407 42.873276580539 -584.774410445045</t>
  </si>
  <si>
    <t>-616.549956224822 19.0447318556255 -690.995498745936</t>
  </si>
  <si>
    <t>-598.247884626576 27.8507755779767 -779.368724132714</t>
  </si>
  <si>
    <t>-572.414162154568 172.458980182477 -786.223009919973</t>
  </si>
  <si>
    <t>-437.554580574335 208.478381898921 -502.142672140349</t>
  </si>
  <si>
    <t>-252.164990442321 159.902747053446 -326.321152889985</t>
  </si>
  <si>
    <t>-593.168787793592 170.305040398447 -238.255545142525</t>
  </si>
  <si>
    <t>-549.833675000409 223.629616573059 212.228978231956</t>
  </si>
  <si>
    <t>-627.178863930596 249.356577175594 675.092686900416</t>
  </si>
  <si>
    <t>-473.529658772565 234.903970363183 759.511633321591</t>
  </si>
  <si>
    <t>-633.920695631922 -6.09901456275588 219.507679203776</t>
  </si>
  <si>
    <t>-660.66942587853 3.67923407064828 688.429398051185</t>
  </si>
  <si>
    <t>-503.134465112816 -33.6228361445032 757.239341392774</t>
  </si>
  <si>
    <t>9763-20170724T164140.090331300.bin</t>
  </si>
  <si>
    <t>-608.377267052252 72.0052147638896 -237.325246243511</t>
  </si>
  <si>
    <t>-630.075494191336 73.8328294400313 -356.462348028352</t>
  </si>
  <si>
    <t>-633.507808632533 60.387125387546 -476.869912882955</t>
  </si>
  <si>
    <t>-629.01130162329 42.2222791583654 -584.780502404692</t>
  </si>
  <si>
    <t>-617.035895357358 18.2108958213541 -690.963661203341</t>
  </si>
  <si>
    <t>-598.752528257968 26.8350149150042 -779.358916044332</t>
  </si>
  <si>
    <t>-573.059750046788 171.452927256485 -786.614155324747</t>
  </si>
  <si>
    <t>-441.210495126955 210.332820201518 -501.499507016568</t>
  </si>
  <si>
    <t>-255.930673877069 160.483167726339 -325.919180007704</t>
  </si>
  <si>
    <t>-593.228051436536 169.88284372861 -238.292162216591</t>
  </si>
  <si>
    <t>-549.454737717617 223.236144937564 212.146474796678</t>
  </si>
  <si>
    <t>-627.12161280275 249.385756890377 674.951985716531</t>
  </si>
  <si>
    <t>-473.557436350655 234.448454048207 759.441238451313</t>
  </si>
  <si>
    <t>-634.538089109214 -6.56079692030814 219.480107005011</t>
  </si>
  <si>
    <t>-660.741927174113 3.53607344360914 688.433784483546</t>
  </si>
  <si>
    <t>-503.540434857691 -35.0620749336898 757.291537051118</t>
  </si>
  <si>
    <t>9763-20170724T164140.122414600.bin</t>
  </si>
  <si>
    <t>-608.473923571077 71.8959253866178 -237.319995007921</t>
  </si>
  <si>
    <t>-630.24107789385 73.7739815453088 -356.443884849844</t>
  </si>
  <si>
    <t>-633.709572248433 60.3069332844744 -476.848076074325</t>
  </si>
  <si>
    <t>-629.228067671667 42.0990066832392 -584.751835897135</t>
  </si>
  <si>
    <t>-617.247890541379 18.0245640439555 -690.920426419762</t>
  </si>
  <si>
    <t>-598.960399550473 26.5864266672056 -779.320781143383</t>
  </si>
  <si>
    <t>-573.392613821024 171.195650548612 -786.692522300732</t>
  </si>
  <si>
    <t>-443.146927399719 211.005070619088 -500.969792970968</t>
  </si>
  <si>
    <t>-257.876318339733 160.785664221875 -325.485071171947</t>
  </si>
  <si>
    <t>-593.162747523425 169.805808486416 -238.293418765072</t>
  </si>
  <si>
    <t>-548.99456533576 223.113051782358 212.112079596387</t>
  </si>
  <si>
    <t>-627.105764706912 249.332528466286 674.87635287106</t>
  </si>
  <si>
    <t>-473.564292911312 234.321931917958 759.393838630924</t>
  </si>
  <si>
    <t>-634.599813313725 -6.58216997828727 219.473866340589</t>
  </si>
  <si>
    <t>-660.754115464684 3.65362754824835 688.428874085455</t>
  </si>
  <si>
    <t>-503.447123914773 -34.5196765903585 757.282536173093</t>
  </si>
  <si>
    <t>9763-20170724T164140.188266100.bin</t>
  </si>
  <si>
    <t>-608.660027538831 71.8451284105577 -237.311580011422</t>
  </si>
  <si>
    <t>-630.73595601912 73.8109581689767 -356.377034443942</t>
  </si>
  <si>
    <t>-634.36475019464 60.3312368698467 -476.775070656249</t>
  </si>
  <si>
    <t>-629.960073765708 42.079509016056 -584.67458790332</t>
  </si>
  <si>
    <t>-617.985602789823 17.9350512162509 -690.827829886762</t>
  </si>
  <si>
    <t>-599.711804393586 26.4305960287502 -779.237450040908</t>
  </si>
  <si>
    <t>-574.530485448592 171.121267174753 -786.70751626027</t>
  </si>
  <si>
    <t>-447.304100654127 212.478404705805 -499.846394750344</t>
  </si>
  <si>
    <t>-262.110664902449 161.579906111054 -324.47594219272</t>
  </si>
  <si>
    <t>-593.130575676568 169.752391137663 -238.242533712852</t>
  </si>
  <si>
    <t>-547.808341923736 223.04370147035 212.050269305321</t>
  </si>
  <si>
    <t>-627.051303894699 249.16093168419 674.641294393749</t>
  </si>
  <si>
    <t>-473.561238521913 234.198026502382 759.260543806116</t>
  </si>
  <si>
    <t>-634.415823144888 -6.55139499108204 219.510732290551</t>
  </si>
  <si>
    <t>-660.787185649336 3.6515862167992 688.44933827825</t>
  </si>
  <si>
    <t>-503.593046770634 -34.9623254622139 757.315050116103</t>
  </si>
  <si>
    <t>9763-20170724T164140.227379100.bin</t>
  </si>
  <si>
    <t>-608.770681632834 71.910650368143 -237.298194533196</t>
  </si>
  <si>
    <t>-630.928992939187 73.88491606573 -356.348147223791</t>
  </si>
  <si>
    <t>-634.602209090194 60.3772329049692 -476.741871531747</t>
  </si>
  <si>
    <t>-630.220245561707 42.0875147950445 -584.635880091897</t>
  </si>
  <si>
    <t>-618.25082054608 17.8940782605932 -690.778586491097</t>
  </si>
  <si>
    <t>-600.004369657626 26.3456715628747 -779.198029674636</t>
  </si>
  <si>
    <t>-575.085215524348 171.063033045026 -786.744624862327</t>
  </si>
  <si>
    <t>-449.207478043589 213.167023305331 -499.397653061032</t>
  </si>
  <si>
    <t>-263.923823330374 162.062031123791 -324.182681346246</t>
  </si>
  <si>
    <t>-593.240231994772 169.775883716858 -238.205859008033</t>
  </si>
  <si>
    <t>-547.230762693971 223.142202551302 212.008378003746</t>
  </si>
  <si>
    <t>-627.018828536858 249.058666128207 674.494732950222</t>
  </si>
  <si>
    <t>-473.555749366462 234.191255478553 759.179831914216</t>
  </si>
  <si>
    <t>-634.351112457911 -6.46518473433724 219.510948349675</t>
  </si>
  <si>
    <t>-660.781971120131 3.76321832130931 688.454930110606</t>
  </si>
  <si>
    <t>-503.524820190229 -34.6035986832233 757.314775285063</t>
  </si>
  <si>
    <t>9763-20170724T164140.292051200.bin</t>
  </si>
  <si>
    <t>-609.132798691731 71.9164580270515 -237.23082370308</t>
  </si>
  <si>
    <t>-631.458957122057 73.9610700702175 -356.248282679777</t>
  </si>
  <si>
    <t>-635.261644195919 60.451144986952 -476.637550403689</t>
  </si>
  <si>
    <t>-630.975826219942 42.1353770516303 -584.531106719848</t>
  </si>
  <si>
    <t>-619.078782608834 17.8952443084803 -690.671243606343</t>
  </si>
  <si>
    <t>-600.969804032325 26.3056996735965 -779.122877239218</t>
  </si>
  <si>
    <t>-576.554852262253 171.114462322483 -786.680965505792</t>
  </si>
  <si>
    <t>-452.561558396049 213.989021583409 -498.629501047131</t>
  </si>
  <si>
    <t>-266.841310157547 162.297085913894 -324.050065346332</t>
  </si>
  <si>
    <t>-593.65254449623 169.757633795785 -238.067908748882</t>
  </si>
  <si>
    <t>-546.272652120252 223.248806384554 211.989279992041</t>
  </si>
  <si>
    <t>-627.009252262403 248.833212696207 674.287719291957</t>
  </si>
  <si>
    <t>-473.546688186928 234.238088724229 759.021138203312</t>
  </si>
  <si>
    <t>-634.426622731932 -6.47745395899697 219.535329178031</t>
  </si>
  <si>
    <t>-660.803388004058 3.88237529782275 688.462246261086</t>
  </si>
  <si>
    <t>-503.537287628795 -34.4631349386784 757.313645161063</t>
  </si>
  <si>
    <t>9763-20170724T164140.325138700.bin</t>
  </si>
  <si>
    <t>-609.353400736721 71.9470653509571 -237.210728038594</t>
  </si>
  <si>
    <t>-631.756565325562 74.0103665996462 -356.213428905203</t>
  </si>
  <si>
    <t>-635.615076489287 60.4956904908115 -476.600385651726</t>
  </si>
  <si>
    <t>-631.368171332222 42.1690396652683 -584.49366057494</t>
  </si>
  <si>
    <t>-619.497277653123 17.9133286353047 -690.633114323447</t>
  </si>
  <si>
    <t>-601.455197922333 26.3138283069021 -779.099394847817</t>
  </si>
  <si>
    <t>-577.296741814773 171.156938147503 -786.708250329567</t>
  </si>
  <si>
    <t>-453.717572367022 214.191940222545 -498.502669238635</t>
  </si>
  <si>
    <t>-267.724308215986 162.271715967019 -324.282136629182</t>
  </si>
  <si>
    <t>-593.919264123977 169.742136777455 -238.022533689228</t>
  </si>
  <si>
    <t>-545.95996203116 223.288744951754 211.966749075988</t>
  </si>
  <si>
    <t>-627.033312557078 248.763896726443 674.213530042531</t>
  </si>
  <si>
    <t>-473.556195631269 234.225525530948 758.930263424199</t>
  </si>
  <si>
    <t>-634.484206297396 -6.46236043727606 219.537828092475</t>
  </si>
  <si>
    <t>-660.799735940213 4.01281252339518 688.466921981761</t>
  </si>
  <si>
    <t>-503.465083696847 -34.0901491532843 757.296320074342</t>
  </si>
  <si>
    <t>9763-20170724T164140.389601600.bin</t>
  </si>
  <si>
    <t>-610.018617945855 72.0209985102551 -237.175054467118</t>
  </si>
  <si>
    <t>-632.495529655658 74.1181892088245 -356.163237811668</t>
  </si>
  <si>
    <t>-636.419897498576 60.6066499514378 -476.548458664699</t>
  </si>
  <si>
    <t>-632.225776842545 42.2740988532022 -584.442799656924</t>
  </si>
  <si>
    <t>-620.398745453183 18.0059876285843 -690.584450010457</t>
  </si>
  <si>
    <t>-602.446022928798 26.3989330704892 -779.069416365766</t>
  </si>
  <si>
    <t>-578.550263777297 171.290326690159 -786.687865365248</t>
  </si>
  <si>
    <t>-455.02464895413 214.51066694837 -498.48725889894</t>
  </si>
  <si>
    <t>-268.710068831061 161.866243172738 -324.828050403578</t>
  </si>
  <si>
    <t>-594.599996525851 169.851517554748 -237.974781945387</t>
  </si>
  <si>
    <t>-545.481934507469 223.366524696862 211.893287494025</t>
  </si>
  <si>
    <t>-627.087601644153 248.673035543689 674.063956534403</t>
  </si>
  <si>
    <t>-473.575583620475 234.131466807905 758.71690578222</t>
  </si>
  <si>
    <t>-634.797385446094 -6.48513334522448 219.537720074945</t>
  </si>
  <si>
    <t>-660.858120808544 3.97184412361844 688.471710940617</t>
  </si>
  <si>
    <t>-503.522323796186 -34.222957563083 757.247497168715</t>
  </si>
  <si>
    <t>9763-20170724T164140.421681700.bin</t>
  </si>
  <si>
    <t>-610.418745393045 72.3256711085445 -237.182256133058</t>
  </si>
  <si>
    <t>-633.053187769056 74.4269971538821 -356.140538596273</t>
  </si>
  <si>
    <t>-637.045402168917 60.9293455013471 -476.525071742271</t>
  </si>
  <si>
    <t>-632.875840281904 42.6131494816628 -584.423108013191</t>
  </si>
  <si>
    <t>-621.037339817017 18.3652769597497 -690.567974638048</t>
  </si>
  <si>
    <t>-603.067296137337 26.7794653734434 -779.047589223835</t>
  </si>
  <si>
    <t>-579.137454265762 171.660160878064 -786.645341928306</t>
  </si>
  <si>
    <t>-455.263316398603 214.891858034522 -498.595988764438</t>
  </si>
  <si>
    <t>-269.15117574218 161.603915789787 -324.915951725449</t>
  </si>
  <si>
    <t>-595.065649246113 170.391758416243 -238.027780508441</t>
  </si>
  <si>
    <t>-545.19496546324 223.252410546422 211.834790866368</t>
  </si>
  <si>
    <t>-627.113529748289 248.645583015845 673.980418253544</t>
  </si>
  <si>
    <t>-473.588499615021 234.033339529966 758.597588625198</t>
  </si>
  <si>
    <t>-634.843317231905 -6.30495449332756 219.537858829933</t>
  </si>
  <si>
    <t>-660.850875333671 4.19104152549197 688.469077203052</t>
  </si>
  <si>
    <t>-503.290626867476 -33.1842219892199 757.181336907924</t>
  </si>
  <si>
    <t>9763-20170724T164140.489872200.bin</t>
  </si>
  <si>
    <t>-611.421927405004 73.2468511173817 -237.069074319057</t>
  </si>
  <si>
    <t>-634.337936971181 75.4507332418253 -355.971576917421</t>
  </si>
  <si>
    <t>-638.450201905635 62.089539413527 -476.367342371463</t>
  </si>
  <si>
    <t>-634.327911069196 43.9025687883332 -584.288996341445</t>
  </si>
  <si>
    <t>-622.479098669888 19.7853956715932 -690.462461089242</t>
  </si>
  <si>
    <t>-604.479156686096 28.3103058863068 -778.925419105754</t>
  </si>
  <si>
    <t>-580.381885646017 173.181321857068 -786.394875351362</t>
  </si>
  <si>
    <t>-454.28298953023 215.592340627562 -499.190072848296</t>
  </si>
  <si>
    <t>-268.772971068462 161.569675816688 -325.093520187707</t>
  </si>
  <si>
    <t>-596.313278578658 171.572523696569 -237.717576290426</t>
  </si>
  <si>
    <t>-543.681339032681 223.484515508114 211.940873924987</t>
  </si>
  <si>
    <t>-627.281497471146 248.470428757968 673.883754122033</t>
  </si>
  <si>
    <t>-473.656173840069 233.843513996829 758.316207400913</t>
  </si>
  <si>
    <t>-634.926928118788 -5.89195717408763 219.541022533814</t>
  </si>
  <si>
    <t>-660.872132441939 4.35020204196653 688.477610456774</t>
  </si>
  <si>
    <t>-503.309597261752 -33.1149773088636 757.135547152086</t>
  </si>
  <si>
    <t>9763-20170724T164140.521957800.bin</t>
  </si>
  <si>
    <t>-612.077979130133 73.2810059320536 -236.856442522814</t>
  </si>
  <si>
    <t>-635.06982140371 75.55640232807 -355.7430739676</t>
  </si>
  <si>
    <t>-639.206831833285 62.3015765026606 -476.149735017238</t>
  </si>
  <si>
    <t>-635.091214482382 44.2171745205697 -584.088932370814</t>
  </si>
  <si>
    <t>-623.236889355915 20.2042332533977 -690.285416348734</t>
  </si>
  <si>
    <t>-605.211510582532 28.8145715818192 -778.734854221977</t>
  </si>
  <si>
    <t>-580.936255238187 173.659573035848 -786.070119362729</t>
  </si>
  <si>
    <t>-453.471462077592 214.734972851203 -499.274473520106</t>
  </si>
  <si>
    <t>-267.977331437384 160.939778412929 -325.090427615948</t>
  </si>
  <si>
    <t>-597.30833161253 171.595354631246 -237.310711489977</t>
  </si>
  <si>
    <t>-542.510902703858 223.620924997219 212.075763501262</t>
  </si>
  <si>
    <t>-627.427548274937 248.263334529603 673.824277501799</t>
  </si>
  <si>
    <t>-473.686958016949 233.889569225667 758.090186622238</t>
  </si>
  <si>
    <t>-635.082984062195 -5.97257987612686 219.613321888662</t>
  </si>
  <si>
    <t>-660.898101609708 4.40028863278621 688.504129196715</t>
  </si>
  <si>
    <t>-503.198753767486 -32.5704352570886 757.116001818462</t>
  </si>
  <si>
    <t>9763-20170724T164140.592254500.bin</t>
  </si>
  <si>
    <t>-612.900593755849 73.1433039553283 -236.456510340986</t>
  </si>
  <si>
    <t>-635.978480666643 75.7366767493336 -355.319857102267</t>
  </si>
  <si>
    <t>-640.170798019754 62.8060606456976 -475.75986884506</t>
  </si>
  <si>
    <t>-636.096670838594 45.0073986237628 -583.748088464645</t>
  </si>
  <si>
    <t>-624.277911125325 21.2673132815454 -690.009981662986</t>
  </si>
  <si>
    <t>-606.200344131142 30.0899487144409 -778.427816516445</t>
  </si>
  <si>
    <t>-581.27321307547 174.860423718889 -785.303379775871</t>
  </si>
  <si>
    <t>-450.771153833239 212.774410246425 -499.439971773181</t>
  </si>
  <si>
    <t>-264.953948230407 159.428843590254 -325.462196140364</t>
  </si>
  <si>
    <t>-598.145747570901 171.407680768509 -236.628880791478</t>
  </si>
  <si>
    <t>-541.792681341053 223.910736622675 212.509652156435</t>
  </si>
  <si>
    <t>-627.966687894075 247.977652354133 674.043778190653</t>
  </si>
  <si>
    <t>-473.840231062947 233.542022095729 757.591085431224</t>
  </si>
  <si>
    <t>-635.308918081481 -6.17287693051892 219.745782721402</t>
  </si>
  <si>
    <t>-660.945624470451 4.52516569344542 688.557967122554</t>
  </si>
  <si>
    <t>-503.257446114077 -32.6034526106924 757.110399564781</t>
  </si>
  <si>
    <t>9763-20170724T164140.625340900.bin</t>
  </si>
  <si>
    <t>-612.95602218689 73.154228219384 -236.458383473225</t>
  </si>
  <si>
    <t>-635.954538814534 75.8005495733978 -355.336059437421</t>
  </si>
  <si>
    <t>-640.137876285629 62.9492567355408 -475.784797016881</t>
  </si>
  <si>
    <t>-636.084850865282 45.2306137692545 -583.786939570849</t>
  </si>
  <si>
    <t>-624.316142096698 21.577587620751 -690.073767585058</t>
  </si>
  <si>
    <t>-606.230377113068 30.4705654630953 -778.482854167994</t>
  </si>
  <si>
    <t>-580.945654220674 175.178775291653 -785.199682912391</t>
  </si>
  <si>
    <t>-449.004070228304 211.910531476866 -499.843140365959</t>
  </si>
  <si>
    <t>-262.99500181188 159.071379281063 -325.915709966216</t>
  </si>
  <si>
    <t>-597.956705996393 171.439528952103 -236.727777545083</t>
  </si>
  <si>
    <t>-542.155879760371 223.738999071064 212.503504553406</t>
  </si>
  <si>
    <t>-628.175225153114 247.949619152308 674.073253235601</t>
  </si>
  <si>
    <t>-473.916643708596 233.269864027013 757.333744805161</t>
  </si>
  <si>
    <t>-635.326452763058 -6.08788518989411 219.734423916875</t>
  </si>
  <si>
    <t>-660.951467270881 4.74124583850696 688.556882451765</t>
  </si>
  <si>
    <t>-502.76748617886 -30.3831246458513 757.023161950557</t>
  </si>
  <si>
    <t>9763-20170724T164140.690283100.bin</t>
  </si>
  <si>
    <t>-612.855753750967 73.2123499110487 -236.641018475273</t>
  </si>
  <si>
    <t>-635.865587345954 75.9894542110929 -355.513366649741</t>
  </si>
  <si>
    <t>-640.136574630314 63.2807166509705 -475.974128826406</t>
  </si>
  <si>
    <t>-636.191126936045 45.6947258427411 -584.00201962899</t>
  </si>
  <si>
    <t>-624.555942075047 22.1783758154442 -690.333825211811</t>
  </si>
  <si>
    <t>-606.435435782617 31.1724905331285 -778.725579557085</t>
  </si>
  <si>
    <t>-580.207373965255 175.713053191613 -785.207489142109</t>
  </si>
  <si>
    <t>-445.580792798252 210.416162904677 -500.85277705842</t>
  </si>
  <si>
    <t>-259.493690491021 158.241082142464 -326.808663718479</t>
  </si>
  <si>
    <t>-597.53856682682 171.4875820151 -236.982792154472</t>
  </si>
  <si>
    <t>-542.444436663445 223.444668285633 212.375438221995</t>
  </si>
  <si>
    <t>-628.316538256354 247.994741303194 673.913893687688</t>
  </si>
  <si>
    <t>-473.994975777682 232.600316703113 756.928234158161</t>
  </si>
  <si>
    <t>-635.260198335608 -6.06838321207561 219.661195298544</t>
  </si>
  <si>
    <t>-660.998688420369 4.73067289312272 688.532918724278</t>
  </si>
  <si>
    <t>-503.309932642171 -32.4494647645276 757.055991856119</t>
  </si>
  <si>
    <t>9763-20170724T164140.722364200.bin</t>
  </si>
  <si>
    <t>-612.855633828353 73.1692046334355 -236.713950085996</t>
  </si>
  <si>
    <t>-635.798644094438 75.9934033267891 -355.598030139454</t>
  </si>
  <si>
    <t>-640.077252915141 63.3277987877401 -476.063122226558</t>
  </si>
  <si>
    <t>-636.169672840444 45.7773151608843 -584.098131881145</t>
  </si>
  <si>
    <t>-624.602984963032 22.2919071153696 -690.444305103451</t>
  </si>
  <si>
    <t>-606.466381640542 31.298490292929 -778.831550330468</t>
  </si>
  <si>
    <t>-579.770380255271 175.766133960231 -785.258265328557</t>
  </si>
  <si>
    <t>-444.003202936005 209.513786629312 -501.331101105739</t>
  </si>
  <si>
    <t>-257.92098244131 157.32207571925 -327.286655566891</t>
  </si>
  <si>
    <t>-597.346533966755 171.297181833863 -237.034642992351</t>
  </si>
  <si>
    <t>-542.449469610861 223.448959808349 212.325170682632</t>
  </si>
  <si>
    <t>-628.351244326128 247.991524364292 673.833231924</t>
  </si>
  <si>
    <t>-474.027346598827 232.340383375281 756.795219669789</t>
  </si>
  <si>
    <t>-635.257787948928 -6.04982640111638 219.607570347408</t>
  </si>
  <si>
    <t>-661.01193497553 4.80432110745669 688.505574362153</t>
  </si>
  <si>
    <t>-503.33127411751 -32.3990328932624 757.034726084505</t>
  </si>
  <si>
    <t>9763-20170724T164140.790549800.bin</t>
  </si>
  <si>
    <t>-612.371237337072 73.2481604313549 -236.775017175565</t>
  </si>
  <si>
    <t>-635.224528707852 76.2178709681499 -355.672932092491</t>
  </si>
  <si>
    <t>-639.506271942971 63.6434524670954 -476.147471577273</t>
  </si>
  <si>
    <t>-635.643060053892 46.1464495297575 -584.192866239932</t>
  </si>
  <si>
    <t>-624.163899085106 22.6822821691728 -690.553116224714</t>
  </si>
  <si>
    <t>-605.937484775265 31.6628986314792 -778.924416410416</t>
  </si>
  <si>
    <t>-578.232365037674 175.941787761595 -785.242864612393</t>
  </si>
  <si>
    <t>-440.742960072707 207.895323859076 -501.937732953341</t>
  </si>
  <si>
    <t>-254.98992578211 155.585867341683 -327.57724512121</t>
  </si>
  <si>
    <t>-596.398983813253 171.345741297904 -237.097162034506</t>
  </si>
  <si>
    <t>-542.12165414849 223.425502686512 212.346116829905</t>
  </si>
  <si>
    <t>-628.463881220448 247.892530772069 673.794491904252</t>
  </si>
  <si>
    <t>-474.077128298687 231.943975934441 756.58274128122</t>
  </si>
  <si>
    <t>-635.357589441278 -5.90567519335501 219.521950708078</t>
  </si>
  <si>
    <t>-661.043411402032 4.92203126991075 688.458364543285</t>
  </si>
  <si>
    <t>-503.156918080743 -31.4308629439691 756.969949677255</t>
  </si>
  <si>
    <t>9763-20170724T164140.824640100.bin</t>
  </si>
  <si>
    <t>-612.026384955399 73.5207283737663 -236.811376334715</t>
  </si>
  <si>
    <t>-634.735988866354 76.5453140443341 -355.735383927849</t>
  </si>
  <si>
    <t>-638.981935115476 63.9867919049167 -476.212906306046</t>
  </si>
  <si>
    <t>-635.132150953282 46.4856615977479 -584.257975374762</t>
  </si>
  <si>
    <t>-623.712897243653 22.9974189246892 -690.619331935872</t>
  </si>
  <si>
    <t>-605.478803103581 31.9337351373256 -778.993728804139</t>
  </si>
  <si>
    <t>-577.303359551416 176.122771261363 -785.320308717813</t>
  </si>
  <si>
    <t>-439.214578729054 207.482499860311 -502.240328860212</t>
  </si>
  <si>
    <t>-253.659104904926 155.219733475113 -327.655739853849</t>
  </si>
  <si>
    <t>-595.78046564655 171.636997252677 -237.165410397504</t>
  </si>
  <si>
    <t>-541.926996640617 223.358139318782 212.370282980694</t>
  </si>
  <si>
    <t>-628.47767826172 247.824542462052 673.733107185377</t>
  </si>
  <si>
    <t>-474.088485118635 231.793323191654 756.500834710015</t>
  </si>
  <si>
    <t>-635.358610534687 -5.73779287601101 219.46565556444</t>
  </si>
  <si>
    <t>-661.06566894478 4.93305941477638 688.432802650859</t>
  </si>
  <si>
    <t>-503.34857013094 -32.1000818377661 756.970276979665</t>
  </si>
  <si>
    <t>9763-20170724T164140.887816300.bin</t>
  </si>
  <si>
    <t>-610.571837757553 74.4523819207661 -237.059053688654</t>
  </si>
  <si>
    <t>-633.145529209988 77.5847959932543 -356.006204098608</t>
  </si>
  <si>
    <t>-637.419622153555 64.9635389458321 -476.476079855364</t>
  </si>
  <si>
    <t>-633.661072564422 47.3366794539481 -584.504017512068</t>
  </si>
  <si>
    <t>-622.397729327237 23.65502361721 -690.839076619871</t>
  </si>
  <si>
    <t>-604.1745367367 32.3662719177096 -779.238143446464</t>
  </si>
  <si>
    <t>-575.340182393403 176.430717864332 -785.678052220588</t>
  </si>
  <si>
    <t>-437.158179248733 207.995088540716 -502.666316495575</t>
  </si>
  <si>
    <t>-252.210903323987 155.952098560364 -327.372096153665</t>
  </si>
  <si>
    <t>-593.667271485764 172.555436881389 -237.502307568883</t>
  </si>
  <si>
    <t>-541.245038240687 222.895315722258 212.359279473512</t>
  </si>
  <si>
    <t>-628.285334430229 247.608994655918 673.444056673482</t>
  </si>
  <si>
    <t>-474.043772465161 231.673742722836 756.50497881982</t>
  </si>
  <si>
    <t>-634.93204691978 -4.9688652057735 219.297763150701</t>
  </si>
  <si>
    <t>-661.08102869973 4.90921637245556 688.355633842438</t>
  </si>
  <si>
    <t>-503.536126005032 -32.70753488796 756.971085754068</t>
  </si>
  <si>
    <t>9763-20170724T164140.927924100.bin</t>
  </si>
  <si>
    <t>-609.664875210715 75.082439681345 -237.219327151521</t>
  </si>
  <si>
    <t>-632.161588617593 78.1550893740034 -356.182675576785</t>
  </si>
  <si>
    <t>-636.382952765698 65.4448678465496 -476.645135481902</t>
  </si>
  <si>
    <t>-632.586621869299 47.7271929718922 -584.656659300098</t>
  </si>
  <si>
    <t>-621.295391711011 23.9456094936595 -690.96655024703</t>
  </si>
  <si>
    <t>-602.997615076165 32.5601438297937 -779.359753165808</t>
  </si>
  <si>
    <t>-573.954711706235 176.546411556676 -785.918302591321</t>
  </si>
  <si>
    <t>-436.121000819045 208.823477655239 -502.817104740944</t>
  </si>
  <si>
    <t>-251.561904013017 156.679805809744 -327.143984550068</t>
  </si>
  <si>
    <t>-592.450175580817 173.094887955429 -237.75777130193</t>
  </si>
  <si>
    <t>-540.730701575607 222.824147402317 212.253119318401</t>
  </si>
  <si>
    <t>-628.110755672904 247.52274045005 673.255568564471</t>
  </si>
  <si>
    <t>-474.010956979155 231.589163103597 756.579556906697</t>
  </si>
  <si>
    <t>-634.451236377813 -4.42049463580109 219.233548050594</t>
  </si>
  <si>
    <t>-661.051577172951 4.92184118239578 688.323438154683</t>
  </si>
  <si>
    <t>-503.680453036107 -33.3086397889285 756.998533062329</t>
  </si>
  <si>
    <t>9763-20170724T164140.988827700.bin</t>
  </si>
  <si>
    <t>-608.43255518105 76.3594934785949 -237.315433595475</t>
  </si>
  <si>
    <t>-631.105285284993 79.4470090953973 -356.244770623389</t>
  </si>
  <si>
    <t>-635.361431740269 66.7262447604044 -476.704902507185</t>
  </si>
  <si>
    <t>-631.544352556649 48.9825869443155 -584.711507593522</t>
  </si>
  <si>
    <t>-620.184377489479 25.1558261008413 -691.004004061483</t>
  </si>
  <si>
    <t>-601.720976101629 33.7086691165116 -779.368743747797</t>
  </si>
  <si>
    <t>-572.239119764505 177.618693371509 -785.932339506584</t>
  </si>
  <si>
    <t>-434.088336057149 210.042697410569 -503.002566472585</t>
  </si>
  <si>
    <t>-250.58672809364 158.809286615143 -325.959238703708</t>
  </si>
  <si>
    <t>-591.113623629586 174.600657788323 -237.810198888728</t>
  </si>
  <si>
    <t>-539.761043196335 223.326277814264 212.35243561003</t>
  </si>
  <si>
    <t>-627.966293766263 247.295589543179 673.198159729146</t>
  </si>
  <si>
    <t>-473.982615730084 231.604924848091 756.782499257292</t>
  </si>
  <si>
    <t>-633.606527191444 -3.45666030813184 219.196691499413</t>
  </si>
  <si>
    <t>-661.008720486743 4.92968765063327 688.288531083663</t>
  </si>
  <si>
    <t>-503.738533302915 -33.6101766038747 757.02188290707</t>
  </si>
  <si>
    <t>9763-20170724T164141.025926200.bin</t>
  </si>
  <si>
    <t>-608.031339904994 76.7551112060208 -237.275026935225</t>
  </si>
  <si>
    <t>-630.684018268528 79.8440390331814 -356.208214715368</t>
  </si>
  <si>
    <t>-634.894410914771 67.1304652849327 -476.67073179453</t>
  </si>
  <si>
    <t>-631.031107962876 49.3896813604441 -584.67633422643</t>
  </si>
  <si>
    <t>-619.623807405709 25.5584845574338 -690.962678659733</t>
  </si>
  <si>
    <t>-601.099376326749 34.0981899307294 -779.315790228395</t>
  </si>
  <si>
    <t>-571.446995319085 177.983864040087 -785.904787811097</t>
  </si>
  <si>
    <t>-432.467743292949 210.24181493156 -503.362176926051</t>
  </si>
  <si>
    <t>-249.607240960221 160.024035244806 -325.367006282103</t>
  </si>
  <si>
    <t>-590.71375814109 174.777487799312 -237.718586038135</t>
  </si>
  <si>
    <t>-539.277800099217 223.626406436098 212.421202958724</t>
  </si>
  <si>
    <t>-627.918500520583 247.137577628751 673.158225179561</t>
  </si>
  <si>
    <t>-473.958127356192 231.787368925286 756.848665688387</t>
  </si>
  <si>
    <t>-633.264226635328 -3.04383264464684 219.189986371072</t>
  </si>
  <si>
    <t>-660.957520600843 5.14348304350703 688.275467211879</t>
  </si>
  <si>
    <t>-503.559176330744 -32.8685942365949 757.009413276889</t>
  </si>
  <si>
    <t>9763-20170724T164141.092637800.bin</t>
  </si>
  <si>
    <t>-606.942764319851 77.3775620063276 -237.238884343564</t>
  </si>
  <si>
    <t>-629.465971517758 80.4379323689535 -356.197463990963</t>
  </si>
  <si>
    <t>-633.555215793569 67.6700872927845 -476.658368708724</t>
  </si>
  <si>
    <t>-629.595011811422 49.861683125752 -584.649211887031</t>
  </si>
  <si>
    <t>-618.108731318439 25.9391925320669 -690.906519551744</t>
  </si>
  <si>
    <t>-599.493386839027 34.3790895071282 -779.250230280565</t>
  </si>
  <si>
    <t>-569.640825279877 178.206534359925 -785.970281213488</t>
  </si>
  <si>
    <t>-428.95201711171 210.88549130172 -504.323384415613</t>
  </si>
  <si>
    <t>-246.413955885729 163.745971699594 -325.159408287224</t>
  </si>
  <si>
    <t>-589.566280397334 175.040599102372 -237.64781096921</t>
  </si>
  <si>
    <t>-538.454288116285 223.90740006372 212.526931335576</t>
  </si>
  <si>
    <t>-627.811253605166 246.871739642445 673.064451918996</t>
  </si>
  <si>
    <t>-473.896477463611 232.190935174263 756.958699432888</t>
  </si>
  <si>
    <t>-632.496753249515 -2.30542826497501 219.194992781816</t>
  </si>
  <si>
    <t>-660.874247124583 5.32726159204007 688.261916114553</t>
  </si>
  <si>
    <t>-503.338595069208 -32.0557797015504 757.026415239154</t>
  </si>
  <si>
    <t>9763-20170724T164141.123720300.bin</t>
  </si>
  <si>
    <t>-606.49475273764 77.6490922433414 -237.267582141554</t>
  </si>
  <si>
    <t>-628.941101772045 80.6804689003401 -356.241396259101</t>
  </si>
  <si>
    <t>-632.980797599442 67.8667535161926 -476.699124911114</t>
  </si>
  <si>
    <t>-628.987834374431 50.010243778901 -584.680774828544</t>
  </si>
  <si>
    <t>-617.48110725944 26.0330646428981 -690.923655409982</t>
  </si>
  <si>
    <t>-598.840922274052 34.4205040649239 -779.267075704211</t>
  </si>
  <si>
    <t>-568.893436566682 178.239991733974 -786.056960182506</t>
  </si>
  <si>
    <t>-427.822863520879 211.103152634222 -504.622656787972</t>
  </si>
  <si>
    <t>-244.943295483134 165.329709691363 -325.452646612136</t>
  </si>
  <si>
    <t>-589.155287693407 175.132668211879 -237.727220798669</t>
  </si>
  <si>
    <t>-538.474124450776 224.088601520804 212.486546591276</t>
  </si>
  <si>
    <t>-627.718973204789 246.80220368385 673.00721033077</t>
  </si>
  <si>
    <t>-473.867382735087 232.34606824006 757.056161280626</t>
  </si>
  <si>
    <t>-632.159908726019 -1.98188529880358 219.184182335783</t>
  </si>
  <si>
    <t>-660.851317801614 5.25838629060036 688.254022170755</t>
  </si>
  <si>
    <t>-503.73736478413 -33.7011941565533 757.108055925827</t>
  </si>
  <si>
    <t>9763-20170724T164141.189947400.bin</t>
  </si>
  <si>
    <t>-605.675685904889 78.1948168261583 -237.372997819726</t>
  </si>
  <si>
    <t>-627.938497194386 81.1307151914913 -356.383822187568</t>
  </si>
  <si>
    <t>-631.851155603658 68.2182030137196 -476.835147494173</t>
  </si>
  <si>
    <t>-627.766117584151 50.273939981867 -584.798690039661</t>
  </si>
  <si>
    <t>-616.189588934166 26.2122913075454 -691.014945535828</t>
  </si>
  <si>
    <t>-597.484299808169 34.5285001144544 -779.351326601777</t>
  </si>
  <si>
    <t>-567.507025599244 178.320015057024 -786.259718268876</t>
  </si>
  <si>
    <t>-426.02664615031 212.570796081372 -505.19677855954</t>
  </si>
  <si>
    <t>-242.187341206824 169.433829097149 -326.354977648811</t>
  </si>
  <si>
    <t>-588.17299093358 175.448851093662 -237.989617123817</t>
  </si>
  <si>
    <t>-538.618682138887 224.376933547942 212.35254223208</t>
  </si>
  <si>
    <t>-627.496710057966 246.829513979194 672.954746165847</t>
  </si>
  <si>
    <t>-473.832741648971 232.345759668579 757.341444549633</t>
  </si>
  <si>
    <t>-631.343578876087 -1.14746437046241 219.163755901998</t>
  </si>
  <si>
    <t>-660.743519571179 5.41571353385784 688.225659203957</t>
  </si>
  <si>
    <t>-503.512770969973 -32.9281893842057 757.158624528881</t>
  </si>
  <si>
    <t>9763-20170724T164141.225041300.bin</t>
  </si>
  <si>
    <t>-605.337416651536 78.6612650358961 -237.362727178079</t>
  </si>
  <si>
    <t>-627.604933571709 81.557069259609 -356.373507963506</t>
  </si>
  <si>
    <t>-631.504098168554 68.6339113819367 -476.824067443069</t>
  </si>
  <si>
    <t>-627.402537576823 50.6889354653062 -584.78707029466</t>
  </si>
  <si>
    <t>-615.806720092582 26.6332983584953 -691.002558191061</t>
  </si>
  <si>
    <t>-597.068354810484 34.9557516202629 -779.331328236197</t>
  </si>
  <si>
    <t>-566.994397745491 178.719895663036 -786.249272202763</t>
  </si>
  <si>
    <t>-425.263983636466 213.424348608031 -505.36791231099</t>
  </si>
  <si>
    <t>-241.088367854893 171.201949822955 -326.654024691867</t>
  </si>
  <si>
    <t>-587.926778106275 175.884431203756 -237.980080218699</t>
  </si>
  <si>
    <t>-538.657744361767 224.50209148785 212.42697064356</t>
  </si>
  <si>
    <t>-627.480882853313 246.798047950005 673.068979209535</t>
  </si>
  <si>
    <t>-473.837528593207 232.378281120736 757.504170288276</t>
  </si>
  <si>
    <t>-630.905697508969 -0.780735123109217 219.19912697738</t>
  </si>
  <si>
    <t>-660.693256723984 5.53330872265514 688.226996105343</t>
  </si>
  <si>
    <t>-503.276964595977 -32.0386192748919 757.161468414861</t>
  </si>
  <si>
    <t>9763-20170724T164141.288220400.bin</t>
  </si>
  <si>
    <t>-605.362251657898 79.2496248034356 -237.254469016407</t>
  </si>
  <si>
    <t>-627.677322488094 82.0640111784414 -356.258484941507</t>
  </si>
  <si>
    <t>-631.570315857705 69.1309062364309 -476.708161961147</t>
  </si>
  <si>
    <t>-627.450652120989 51.1950528177107 -584.67202008179</t>
  </si>
  <si>
    <t>-615.830275156762 27.1597038506021 -690.889350150173</t>
  </si>
  <si>
    <t>-597.039404914495 35.4985076372015 -779.20532571858</t>
  </si>
  <si>
    <t>-566.804146851293 179.23552283655 -786.11101612347</t>
  </si>
  <si>
    <t>-424.169533866104 213.543773057975 -505.639015453884</t>
  </si>
  <si>
    <t>-239.554549639303 172.887509752142 -327.015245445744</t>
  </si>
  <si>
    <t>-588.188523881982 176.332289595635 -237.815334464294</t>
  </si>
  <si>
    <t>-538.690316814947 224.891172630372 212.572986371094</t>
  </si>
  <si>
    <t>-627.519334558407 246.715068326333 673.264936574859</t>
  </si>
  <si>
    <t>-473.850406197577 232.543910037396 757.695652480254</t>
  </si>
  <si>
    <t>-630.607919532984 -0.498364931196093 219.277618626174</t>
  </si>
  <si>
    <t>-660.652899615553 5.53592404254233 688.25067612832</t>
  </si>
  <si>
    <t>-503.570196556372 -33.3146461481414 757.237391020087</t>
  </si>
  <si>
    <t>9763-20170724T164141.325319200.bin</t>
  </si>
  <si>
    <t>-605.542959632029 79.5015513626268 -237.204699164466</t>
  </si>
  <si>
    <t>-627.901788610208 82.3028896719053 -356.200636300249</t>
  </si>
  <si>
    <t>-631.820759424512 69.3844498451791 -476.651107604153</t>
  </si>
  <si>
    <t>-627.721716852569 51.4674222739278 -584.618858910062</t>
  </si>
  <si>
    <t>-616.121745101949 27.4527892753672 -690.84306819942</t>
  </si>
  <si>
    <t>-597.333515624046 35.8062161304771 -779.158331025066</t>
  </si>
  <si>
    <t>-566.966683423123 179.509060339195 -786.093687172855</t>
  </si>
  <si>
    <t>-423.545052784758 213.365359341531 -505.968531578114</t>
  </si>
  <si>
    <t>-238.777315908947 173.396222259537 -327.347690951132</t>
  </si>
  <si>
    <t>-588.478414495614 176.621194512734 -237.737666176618</t>
  </si>
  <si>
    <t>-538.835958227545 225.006216195327 212.653462917518</t>
  </si>
  <si>
    <t>-627.574517759746 246.667773676304 673.368963925674</t>
  </si>
  <si>
    <t>-473.864676255008 232.638468451678 757.748833798859</t>
  </si>
  <si>
    <t>-630.555225504679 -0.505352377851196 219.318405897945</t>
  </si>
  <si>
    <t>-660.648252771273 5.42874192586285 688.274130194675</t>
  </si>
  <si>
    <t>-503.865641728284 -34.5795564530939 757.281711386282</t>
  </si>
  <si>
    <t>9763-20170724T164141.390495500.bin</t>
  </si>
  <si>
    <t>-606.28847531902 79.931581192516 -237.176623406686</t>
  </si>
  <si>
    <t>-628.719581208524 82.6917411747571 -356.159927257907</t>
  </si>
  <si>
    <t>-632.739542648503 69.7791886921618 -476.607746509064</t>
  </si>
  <si>
    <t>-628.750105372686 51.8769385794939 -584.582047539675</t>
  </si>
  <si>
    <t>-617.28167899821 27.8802986662795 -690.824580891717</t>
  </si>
  <si>
    <t>-598.554647583364 36.2386783340905 -779.152365772362</t>
  </si>
  <si>
    <t>-567.856959191768 179.881849582117 -786.238212258463</t>
  </si>
  <si>
    <t>-423.060811859252 212.440924340061 -506.666770315102</t>
  </si>
  <si>
    <t>-238.402117506997 172.643754251675 -327.894690747535</t>
  </si>
  <si>
    <t>-589.435990211087 176.965580407813 -237.659769976033</t>
  </si>
  <si>
    <t>-539.486858479804 225.316178266493 212.701201406446</t>
  </si>
  <si>
    <t>-627.684331539665 246.682078983345 673.533669906425</t>
  </si>
  <si>
    <t>-473.912715691736 232.665896771751 757.803182542238</t>
  </si>
  <si>
    <t>-630.889265343215 -0.305590031168784 219.333570847614</t>
  </si>
  <si>
    <t>-660.592829850742 5.63963343641325 688.297033091655</t>
  </si>
  <si>
    <t>-503.334123624553 -32.6289693407805 757.208124913602</t>
  </si>
  <si>
    <t>9763-20170724T164141.421578000.bin</t>
  </si>
  <si>
    <t>-606.819584463288 80.0019395640566 -237.163570355861</t>
  </si>
  <si>
    <t>-629.282817486205 82.7500317220533 -356.141180662641</t>
  </si>
  <si>
    <t>-633.347586624156 69.8442480351583 -476.588210368809</t>
  </si>
  <si>
    <t>-629.406581160434 51.9515114018385 -584.565816382087</t>
  </si>
  <si>
    <t>-617.996213732751 27.9651074240174 -690.816956290906</t>
  </si>
  <si>
    <t>-599.286018868761 36.3258528752737 -779.148120411815</t>
  </si>
  <si>
    <t>-568.397255430436 179.91046085048 -786.316798910857</t>
  </si>
  <si>
    <t>-423.065812168914 212.075284214102 -506.97753978389</t>
  </si>
  <si>
    <t>-238.435404786692 172.241952505749 -328.184406572611</t>
  </si>
  <si>
    <t>-589.963237136191 177.219138047289 -237.668673903566</t>
  </si>
  <si>
    <t>-539.953630823688 225.367418404406 212.707219298435</t>
  </si>
  <si>
    <t>-627.76351973897 246.719205875881 673.638399488524</t>
  </si>
  <si>
    <t>-473.948266370275 232.59982036309 757.810957542688</t>
  </si>
  <si>
    <t>-631.273164317605 -0.473863398347227 219.343823374403</t>
  </si>
  <si>
    <t>-660.597720858165 5.5243133192902 688.315223132004</t>
  </si>
  <si>
    <t>-503.668457651287 -34.0244269888344 757.254427206152</t>
  </si>
  <si>
    <t>9763-20170724T164141.492704000.bin</t>
  </si>
  <si>
    <t>-608.122907014511 80.0241168924604 -237.182654451104</t>
  </si>
  <si>
    <t>-630.68782621932 82.8039517733445 -356.140320047729</t>
  </si>
  <si>
    <t>-634.864816171341 69.9954900505493 -476.593746099694</t>
  </si>
  <si>
    <t>-631.035565974689 52.2069913170836 -584.592717479617</t>
  </si>
  <si>
    <t>-619.75056340667 28.3345095215507 -690.882822066089</t>
  </si>
  <si>
    <t>-601.078459312737 36.7832641775007 -779.213704069497</t>
  </si>
  <si>
    <t>-569.81913359422 180.301452313869 -786.382346630447</t>
  </si>
  <si>
    <t>-423.412561200112 211.572025253022 -507.503319610584</t>
  </si>
  <si>
    <t>-238.919671289166 171.48795824136 -328.624363145711</t>
  </si>
  <si>
    <t>-591.469543935945 177.436389535992 -237.651399963919</t>
  </si>
  <si>
    <t>-540.880277900005 225.399308057899 212.679623375612</t>
  </si>
  <si>
    <t>-627.895670689141 246.804688062383 673.781736510851</t>
  </si>
  <si>
    <t>-474.019043232576 232.396032253329 757.792963261733</t>
  </si>
  <si>
    <t>-632.246273535195 -0.658967013593923 219.307753412313</t>
  </si>
  <si>
    <t>-660.565976837021 5.7039674791471 688.322091368879</t>
  </si>
  <si>
    <t>-503.345007328437 -32.7498496586278 757.21620214681</t>
  </si>
  <si>
    <t>9763-20170724T164141.523786500.bin</t>
  </si>
  <si>
    <t>-608.753874498658 79.9686552189413 -237.177030300223</t>
  </si>
  <si>
    <t>-631.326117642774 82.7282688186838 -356.133640881277</t>
  </si>
  <si>
    <t>-635.53486281015 69.9571592688063 -476.590168067549</t>
  </si>
  <si>
    <t>-631.747742356544 52.2204660649052 -584.599073053289</t>
  </si>
  <si>
    <t>-620.520030464944 28.4141858214954 -690.910051409123</t>
  </si>
  <si>
    <t>-601.865886187385 36.920164428936 -779.239137010593</t>
  </si>
  <si>
    <t>-570.418959170355 180.386224377393 -786.419415682069</t>
  </si>
  <si>
    <t>-423.445984213123 210.970019706545 -507.762240870673</t>
  </si>
  <si>
    <t>-239.039165233486 170.915018233398 -328.788006566103</t>
  </si>
  <si>
    <t>-592.094262405745 177.535077023468 -237.684945463944</t>
  </si>
  <si>
    <t>-541.300636188046 225.367244099714 212.636936256324</t>
  </si>
  <si>
    <t>-627.953418415197 246.834954930924 673.82467925369</t>
  </si>
  <si>
    <t>-474.05625549739 232.286661971562 757.774120007078</t>
  </si>
  <si>
    <t>-632.664865592058 -0.803149171375125 219.294316031191</t>
  </si>
  <si>
    <t>-660.552127194201 5.75402494424252 688.329205367292</t>
  </si>
  <si>
    <t>-503.28072326291 -32.5104451796341 757.213418754855</t>
  </si>
  <si>
    <t>9763-20170724T164141.586833000.bin</t>
  </si>
  <si>
    <t>-609.920282241633 79.7098044574085 -237.153840421269</t>
  </si>
  <si>
    <t>-632.642284259759 82.5466419248991 -356.080162315525</t>
  </si>
  <si>
    <t>-636.990800608069 69.9376561146542 -476.548714551309</t>
  </si>
  <si>
    <t>-633.331740246787 52.3703472109671 -584.589657851595</t>
  </si>
  <si>
    <t>-622.237261469472 28.7492756681533 -690.956094492488</t>
  </si>
  <si>
    <t>-603.621702227254 37.4065261732296 -779.278605493327</t>
  </si>
  <si>
    <t>-571.741825028227 180.786215609455 -786.337993472259</t>
  </si>
  <si>
    <t>-423.451544763063 209.723623791791 -508.20336075203</t>
  </si>
  <si>
    <t>-239.162192296469 169.916343742783 -329.053051354241</t>
  </si>
  <si>
    <t>-593.512227158347 177.316179508337 -237.534814276527</t>
  </si>
  <si>
    <t>-541.714013843188 225.379774552496 212.647836999414</t>
  </si>
  <si>
    <t>-628.076182721882 246.840578287111 673.917802456972</t>
  </si>
  <si>
    <t>-474.123642323655 232.118893807789 757.735489231299</t>
  </si>
  <si>
    <t>-633.210477835573 -1.05776453358057 219.285935888641</t>
  </si>
  <si>
    <t>-660.530080876813 5.90602439482269 688.335430496465</t>
  </si>
  <si>
    <t>-503.051024169165 -31.5693382965645 757.179128658182</t>
  </si>
  <si>
    <t>9763-20170724T164141.626939300.bin</t>
  </si>
  <si>
    <t>-610.422170478561 79.5919897067838 -237.116016269258</t>
  </si>
  <si>
    <t>-633.172917256856 82.4577264107837 -356.036113458261</t>
  </si>
  <si>
    <t>-637.576401007196 69.9163755816498 -476.509772086874</t>
  </si>
  <si>
    <t>-633.980393388199 52.4209836789352 -584.564563016316</t>
  </si>
  <si>
    <t>-622.963418027679 28.8792109078384 -690.956496302867</t>
  </si>
  <si>
    <t>-604.374878289675 37.5993591619107 -779.278621198801</t>
  </si>
  <si>
    <t>-572.248905795744 180.935772395066 -786.302177578256</t>
  </si>
  <si>
    <t>-423.407782965557 208.911760337434 -508.363455011801</t>
  </si>
  <si>
    <t>-239.146700804544 169.364043177902 -329.126614050693</t>
  </si>
  <si>
    <t>-594.043659616297 177.255345671699 -237.486169229982</t>
  </si>
  <si>
    <t>-541.762930217395 225.316765894322 212.641065584078</t>
  </si>
  <si>
    <t>-628.117542087215 246.839572370503 673.927351441481</t>
  </si>
  <si>
    <t>-474.150427792551 232.029670372942 757.702703062005</t>
  </si>
  <si>
    <t>-633.470697540339 -1.1990464921773 219.284487871649</t>
  </si>
  <si>
    <t>-660.537293598066 5.87195609384075 688.341363273951</t>
  </si>
  <si>
    <t>-502.985553780983 -31.3202154286246 757.172280859013</t>
  </si>
  <si>
    <t>9763-20170724T164141.690111400.bin</t>
  </si>
  <si>
    <t>-611.210533919933 79.1603544884207 -237.099252341055</t>
  </si>
  <si>
    <t>-634.058932720237 82.1111698014944 -355.998648569229</t>
  </si>
  <si>
    <t>-638.530769413342 69.721696951868 -476.485478025564</t>
  </si>
  <si>
    <t>-634.986268696423 52.3848907954307 -584.56738774169</t>
  </si>
  <si>
    <t>-624.01173416394 29.019972924707 -691.00284178472</t>
  </si>
  <si>
    <t>-605.379183879709 37.8880851375561 -779.300915347882</t>
  </si>
  <si>
    <t>-572.83873932207 181.115722635841 -786.203365851903</t>
  </si>
  <si>
    <t>-423.127117266438 207.700972991103 -508.595886088789</t>
  </si>
  <si>
    <t>-239.019568810874 168.630759081721 -329.096782999883</t>
  </si>
  <si>
    <t>-594.805879521546 176.804105527849 -237.417119052163</t>
  </si>
  <si>
    <t>-541.810609698451 225.112604656685 212.600064997534</t>
  </si>
  <si>
    <t>-628.161716987618 246.806717634697 673.886284585531</t>
  </si>
  <si>
    <t>-474.198491566814 231.843443179745 757.641465655475</t>
  </si>
  <si>
    <t>-633.881463474967 -1.53407971314972 219.265661629187</t>
  </si>
  <si>
    <t>-660.553185647268 5.85926307673331 688.338891373183</t>
  </si>
  <si>
    <t>-503.155460128842 -31.9556302638083 757.182952925765</t>
  </si>
  <si>
    <t>9763-20170724T164141.722196400.bin</t>
  </si>
  <si>
    <t>-611.567356492638 78.9456111755691 -237.095287098382</t>
  </si>
  <si>
    <t>-634.474590877511 81.9221728344477 -355.982565139104</t>
  </si>
  <si>
    <t>-638.98649343797 69.5986349268926 -476.474735820801</t>
  </si>
  <si>
    <t>-635.471207260212 52.335477485557 -584.569518570867</t>
  </si>
  <si>
    <t>-624.51910903327 29.056720688125 -691.026085363399</t>
  </si>
  <si>
    <t>-605.868210191717 37.9997357589801 -779.312699962514</t>
  </si>
  <si>
    <t>-573.123404052576 181.204587133561 -786.134864303136</t>
  </si>
  <si>
    <t>-422.924149825209 207.153204690831 -508.730725280178</t>
  </si>
  <si>
    <t>-238.893419698636 168.419898489955 -329.07979329616</t>
  </si>
  <si>
    <t>-595.119728360114 176.660778359141 -237.423057717057</t>
  </si>
  <si>
    <t>-541.806776811137 224.976557079039 212.555723817625</t>
  </si>
  <si>
    <t>-628.172318238393 246.763713638125 673.845964703511</t>
  </si>
  <si>
    <t>-474.217561500052 231.778990418078 757.612862333995</t>
  </si>
  <si>
    <t>-634.054439917289 -1.64604719940802 219.263259652095</t>
  </si>
  <si>
    <t>-660.526557763849 6.07959985393194 688.333269291152</t>
  </si>
  <si>
    <t>-502.932895336979 -30.9564763802752 757.152456764446</t>
  </si>
  <si>
    <t>9763-20170724T164141.793093200.bin</t>
  </si>
  <si>
    <t>-612.332605877931 78.417359378302 -237.087968513056</t>
  </si>
  <si>
    <t>-635.338020599488 81.4087124005394 -355.955987975732</t>
  </si>
  <si>
    <t>-639.937481989293 69.1947970064531 -476.455839218801</t>
  </si>
  <si>
    <t>-636.502785716282 52.0587336607396 -584.573512119514</t>
  </si>
  <si>
    <t>-625.635981801242 28.9288057223399 -691.071295902935</t>
  </si>
  <si>
    <t>-606.961674762911 37.9923381046543 -779.340655376565</t>
  </si>
  <si>
    <t>-573.734963060086 181.082266980952 -785.934934485544</t>
  </si>
  <si>
    <t>-422.849873527929 205.463378440771 -508.760856283948</t>
  </si>
  <si>
    <t>-239.026431130255 167.840520458312 -328.66208016725</t>
  </si>
  <si>
    <t>-595.940071450175 176.177298975479 -237.416251007275</t>
  </si>
  <si>
    <t>-541.805756304509 224.707875955363 212.441410091361</t>
  </si>
  <si>
    <t>-628.174716534555 246.663719034126 673.735120751951</t>
  </si>
  <si>
    <t>-474.247792271797 231.687233138647 757.5547263648</t>
  </si>
  <si>
    <t>-634.342378321358 -2.00179862791722 219.257508288381</t>
  </si>
  <si>
    <t>-660.539549917907 6.01052220608511 688.3418470268</t>
  </si>
  <si>
    <t>-502.953442453924 -31.0408232562204 757.170126562779</t>
  </si>
  <si>
    <t>9763-20170724T164141.826182400.bin</t>
  </si>
  <si>
    <t>-612.707402395938 78.1239462358971 -237.059950828124</t>
  </si>
  <si>
    <t>-635.764887188512 81.1397190215222 -355.917277933945</t>
  </si>
  <si>
    <t>-640.402434551151 69.0102689991751 -476.424335946214</t>
  </si>
  <si>
    <t>-636.998928401267 51.9699663859451 -584.558040637688</t>
  </si>
  <si>
    <t>-626.161541132967 28.9520554882607 -691.082944794704</t>
  </si>
  <si>
    <t>-607.471387284543 38.112158835057 -779.3389654113</t>
  </si>
  <si>
    <t>-574.043778430004 181.165085143507 -785.719190601951</t>
  </si>
  <si>
    <t>-422.642246067344 204.611837293941 -508.746101492474</t>
  </si>
  <si>
    <t>-238.969429923603 167.257951159195 -328.438110180468</t>
  </si>
  <si>
    <t>-596.432757455001 175.815031496887 -237.36514445126</t>
  </si>
  <si>
    <t>-541.850265514219 224.583501013552 212.412646163779</t>
  </si>
  <si>
    <t>-628.187624966212 246.611311783616 673.708978604262</t>
  </si>
  <si>
    <t>-474.260427810381 231.661274276235 757.532680719685</t>
  </si>
  <si>
    <t>-634.41197465403 -2.11805566641807 219.270475660527</t>
  </si>
  <si>
    <t>-660.522320119781 6.16867856455116 688.341286190101</t>
  </si>
  <si>
    <t>-502.888501997062 -30.6847444209784 757.166442127645</t>
  </si>
  <si>
    <t>9763-20170724T164141.892273400.bin</t>
  </si>
  <si>
    <t>-613.592773505321 77.5858834176769 -237.027241314621</t>
  </si>
  <si>
    <t>-636.765071623093 80.6353490715119 -355.861341365479</t>
  </si>
  <si>
    <t>-641.504180076403 68.6711233953475 -476.380980007049</t>
  </si>
  <si>
    <t>-638.189486484166 51.8259691666796 -584.547990290385</t>
  </si>
  <si>
    <t>-627.439241954941 29.0440162293679 -691.132546138537</t>
  </si>
  <si>
    <t>-608.774739037454 38.4181693030034 -779.371514171257</t>
  </si>
  <si>
    <t>-575.103094628171 181.427818056516 -785.452901902969</t>
  </si>
  <si>
    <t>-422.337679571161 202.807653408292 -509.062259987626</t>
  </si>
  <si>
    <t>-238.901734740085 166.257435588591 -328.348606825945</t>
  </si>
  <si>
    <t>-597.493493287249 175.2878983581 -237.329262062795</t>
  </si>
  <si>
    <t>-542.127812130312 224.214204067597 212.33563074554</t>
  </si>
  <si>
    <t>-628.229829895211 246.490824329395 673.686453768098</t>
  </si>
  <si>
    <t>-474.275041313136 231.680777724061 757.484467035286</t>
  </si>
  <si>
    <t>-634.747828147133 -2.4337090537702 219.27055129581</t>
  </si>
  <si>
    <t>-660.52870325985 6.13644176462046 688.345404187468</t>
  </si>
  <si>
    <t>-502.918518435772 -30.7971012117948 757.181888790651</t>
  </si>
  <si>
    <t>9763-20170724T164141.924358000.bin</t>
  </si>
  <si>
    <t>-614.171239967395 77.2708970451893 -237.025790971427</t>
  </si>
  <si>
    <t>-637.383946214009 80.3257658545886 -355.8519520919</t>
  </si>
  <si>
    <t>-642.160378414494 68.4329627601343 -476.377039559538</t>
  </si>
  <si>
    <t>-638.879431729819 51.6758449852284 -584.558704096136</t>
  </si>
  <si>
    <t>-628.163222924365 29.0030388963007 -691.170026666998</t>
  </si>
  <si>
    <t>-609.510659290715 38.4783984370539 -779.40078496733</t>
  </si>
  <si>
    <t>-575.773970256904 181.477372931424 -785.433479756258</t>
  </si>
  <si>
    <t>-422.506440283346 201.888373908665 -509.247616276489</t>
  </si>
  <si>
    <t>-239.17770346557 165.684740676408 -328.355528338235</t>
  </si>
  <si>
    <t>-598.140403840798 174.939108214977 -237.329665406893</t>
  </si>
  <si>
    <t>-542.343012303028 224.061726773502 212.260490600687</t>
  </si>
  <si>
    <t>-628.225084315417 246.43731123329 673.651459240751</t>
  </si>
  <si>
    <t>-474.275277228308 231.672937453344 757.466568592883</t>
  </si>
  <si>
    <t>-634.922655054522 -2.64698058544521 219.265188881633</t>
  </si>
  <si>
    <t>-660.543368868277 6.08391545257865 688.343044763924</t>
  </si>
  <si>
    <t>-503.042288309656 -31.2754982311367 757.199280245018</t>
  </si>
  <si>
    <t>9763-20170724T164141.988179600.bin</t>
  </si>
  <si>
    <t>-615.392091992469 76.8209609717892 -237.010939961701</t>
  </si>
  <si>
    <t>-638.77436883162 79.9511219303135 -355.801796626753</t>
  </si>
  <si>
    <t>-643.676582643223 68.1730789597722 -476.333232296281</t>
  </si>
  <si>
    <t>-640.492150392369 51.531433417482 -584.53560283295</t>
  </si>
  <si>
    <t>-629.855914193462 28.9834118989592 -691.181265772723</t>
  </si>
  <si>
    <t>-611.231712343033 38.5635280250474 -779.406626055344</t>
  </si>
  <si>
    <t>-577.378802563747 181.555243206183 -785.230120728126</t>
  </si>
  <si>
    <t>-423.280003627997 200.401105744486 -509.395774145233</t>
  </si>
  <si>
    <t>-239.903266229643 164.720140129387 -328.448601856367</t>
  </si>
  <si>
    <t>-599.546529604962 174.512401451276 -237.246961704649</t>
  </si>
  <si>
    <t>-542.690061914559 223.887416226578 212.182854277439</t>
  </si>
  <si>
    <t>-628.228601122004 246.403678586214 673.639406153018</t>
  </si>
  <si>
    <t>-474.284965736209 231.572947663852 757.454199550079</t>
  </si>
  <si>
    <t>-635.403540732303 -2.90298686992283 219.253481357508</t>
  </si>
  <si>
    <t>-660.532016264523 6.28034138635394 688.335920895865</t>
  </si>
  <si>
    <t>-502.952033122434 -30.7730149270328 757.177206633202</t>
  </si>
  <si>
    <t>9763-20170724T164142.023274200.bin</t>
  </si>
  <si>
    <t>-615.876806649813 76.4724876577243 -237.006877530707</t>
  </si>
  <si>
    <t>-639.23204430505 79.6377873136653 -355.802102629319</t>
  </si>
  <si>
    <t>-644.165561926412 67.8362586733823 -476.329916230598</t>
  </si>
  <si>
    <t>-641.031614890639 51.1517097606847 -584.527153880789</t>
  </si>
  <si>
    <t>-630.466943235446 28.5404980113895 -691.1666964854</t>
  </si>
  <si>
    <t>-611.908653024278 38.0545161630546 -779.41306501104</t>
  </si>
  <si>
    <t>-578.105558692776 181.064310598531 -785.316877377265</t>
  </si>
  <si>
    <t>-424.128162581138 199.800798269318 -509.407197148</t>
  </si>
  <si>
    <t>-240.44869112743 164.292370561221 -328.733350500585</t>
  </si>
  <si>
    <t>-599.951757749198 174.086381863949 -237.236330603126</t>
  </si>
  <si>
    <t>-542.842548372514 223.713620529931 212.133656131117</t>
  </si>
  <si>
    <t>-628.215915678332 246.396023306323 673.618363704782</t>
  </si>
  <si>
    <t>-474.284754165687 231.515321553058 757.447170346886</t>
  </si>
  <si>
    <t>-635.762108676563 -3.18876559483007 219.234133490744</t>
  </si>
  <si>
    <t>-660.550571234262 6.24376242077705 688.329390632928</t>
  </si>
  <si>
    <t>-502.998640960836 -30.9209673421035 757.174728658535</t>
  </si>
  <si>
    <t>9763-20170724T164142.089095100.bin</t>
  </si>
  <si>
    <t>-616.447239736171 75.9274529273767 -237.047742557639</t>
  </si>
  <si>
    <t>-639.724491630471 79.1487987180614 -355.856774283947</t>
  </si>
  <si>
    <t>-644.70542066671 67.2358174385084 -476.371657726962</t>
  </si>
  <si>
    <t>-641.659146067075 50.3915829492126 -584.546660962876</t>
  </si>
  <si>
    <t>-631.223274801073 27.5679693169058 -691.15354770625</t>
  </si>
  <si>
    <t>-612.766450467079 36.8687192389944 -779.44394667536</t>
  </si>
  <si>
    <t>-579.080097331403 179.872971900624 -785.474156186847</t>
  </si>
  <si>
    <t>-426.847002272565 200.328840134733 -508.720043718501</t>
  </si>
  <si>
    <t>-242.265294135851 163.418979987181 -329.250539068572</t>
  </si>
  <si>
    <t>-600.232639236491 173.585597019652 -237.307392688114</t>
  </si>
  <si>
    <t>-543.059211025957 223.176232360108 212.058433482182</t>
  </si>
  <si>
    <t>-628.187576187418 246.430749472567 673.611050467221</t>
  </si>
  <si>
    <t>-474.296246743698 231.246972540346 757.458616893193</t>
  </si>
  <si>
    <t>-636.399461840148 -3.62745804258346 219.201991082632</t>
  </si>
  <si>
    <t>-660.593206840659 6.33338064567542 688.313542184403</t>
  </si>
  <si>
    <t>-502.882943627642 -30.2023206111205 757.132966991012</t>
  </si>
  <si>
    <t>9763-20170724T164142.122179700.bin</t>
  </si>
  <si>
    <t>-616.636111216344 75.6064015268274 -237.026585383329</t>
  </si>
  <si>
    <t>-639.906169727949 78.8813227019424 -355.835588002514</t>
  </si>
  <si>
    <t>-644.892164390203 66.9369723919393 -476.347207210747</t>
  </si>
  <si>
    <t>-641.851493081003 50.035526817958 -584.513531497799</t>
  </si>
  <si>
    <t>-631.419620179977 27.1298886924807 -691.103125665853</t>
  </si>
  <si>
    <t>-612.950680204974 36.3461581821902 -779.399949588254</t>
  </si>
  <si>
    <t>-579.293277031286 179.361669550178 -785.482571170317</t>
  </si>
  <si>
    <t>-428.663258638773 200.754527260889 -507.92337664815</t>
  </si>
  <si>
    <t>-243.442169799498 163.303990443618 -329.226157953081</t>
  </si>
  <si>
    <t>-600.305151031326 173.257522535103 -237.262822471603</t>
  </si>
  <si>
    <t>-542.882780426217 222.950788428399 212.059910313755</t>
  </si>
  <si>
    <t>-628.177903658984 246.438589447907 673.59548517514</t>
  </si>
  <si>
    <t>-474.310760908439 231.070460024338 757.453838074857</t>
  </si>
  <si>
    <t>-636.689613208852 -3.90045349912936 219.209508343834</t>
  </si>
  <si>
    <t>-660.634852500202 6.27717901306237 688.314781037733</t>
  </si>
  <si>
    <t>-503.089232463698 -30.9372603089657 757.14781151644</t>
  </si>
  <si>
    <t>9763-20170724T164142.191978100.bin</t>
  </si>
  <si>
    <t>-616.935335784399 75.2426932240764 -237.004990461841</t>
  </si>
  <si>
    <t>-640.355887912167 78.6248842939306 -355.781357681345</t>
  </si>
  <si>
    <t>-645.420031837537 66.6339956414624 -476.285078078786</t>
  </si>
  <si>
    <t>-642.409956060195 49.640958783693 -584.437834119482</t>
  </si>
  <si>
    <t>-631.963159207574 26.603350241978 -690.997726042272</t>
  </si>
  <si>
    <t>-613.492618541126 35.6949498367781 -779.306957255661</t>
  </si>
  <si>
    <t>-580.07029203431 178.775306921383 -785.283370058825</t>
  </si>
  <si>
    <t>-432.034884854541 201.288784914273 -506.419876172241</t>
  </si>
  <si>
    <t>-246.061934958665 163.056213278207 -328.671732725031</t>
  </si>
  <si>
    <t>-600.255388442019 173.057218621895 -237.243910069899</t>
  </si>
  <si>
    <t>-542.135953014075 222.592671742121 212.00657438005</t>
  </si>
  <si>
    <t>-628.136462701483 246.377554112339 673.485915360353</t>
  </si>
  <si>
    <t>-474.330233856342 230.746252184918 757.407419160609</t>
  </si>
  <si>
    <t>-636.997808418208 -4.19648617543474 219.232696958239</t>
  </si>
  <si>
    <t>-660.670753791284 6.4510327968669 688.324032388289</t>
  </si>
  <si>
    <t>-502.955254090092 -30.1448048579906 757.099743342143</t>
  </si>
  <si>
    <t>9763-20170724T164142.224063500.bin</t>
  </si>
  <si>
    <t>-617.123634319013 75.0721645420976 -236.945436490037</t>
  </si>
  <si>
    <t>-640.584668377716 78.5140714924358 -355.712133564787</t>
  </si>
  <si>
    <t>-645.664833492992 66.5195197619503 -476.214838174854</t>
  </si>
  <si>
    <t>-642.656410484971 49.5006022320713 -584.363605768101</t>
  </si>
  <si>
    <t>-632.197436474159 26.4173397717195 -690.91230109844</t>
  </si>
  <si>
    <t>-613.711458787829 35.4601761708483 -779.223324925561</t>
  </si>
  <si>
    <t>-580.328666880479 178.546026303766 -785.130435483734</t>
  </si>
  <si>
    <t>-433.666608423424 201.54550734013 -505.5817914792</t>
  </si>
  <si>
    <t>-247.085805633696 161.633414458243 -328.842774639297</t>
  </si>
  <si>
    <t>-600.432288570474 172.841531296308 -237.133557689378</t>
  </si>
  <si>
    <t>-541.697637666803 222.506363148988 212.022689016789</t>
  </si>
  <si>
    <t>-628.120991978344 246.304198032118 673.409992884176</t>
  </si>
  <si>
    <t>-474.335439348751 230.641535056937 757.363467045082</t>
  </si>
  <si>
    <t>-637.063430094782 -4.27614293775911 219.253123543112</t>
  </si>
  <si>
    <t>-660.689273039382 6.48141375439596 688.333269416534</t>
  </si>
  <si>
    <t>-502.963260922043 -30.1017128013747 757.091405462079</t>
  </si>
  <si>
    <t>9763-20170724T164142.288239800.bin</t>
  </si>
  <si>
    <t>-617.314012273681 74.7483286850779 -236.897217755503</t>
  </si>
  <si>
    <t>-640.866493914339 78.2576700536675 -355.643855202429</t>
  </si>
  <si>
    <t>-646.00715607331 66.21483547408 -476.139113045585</t>
  </si>
  <si>
    <t>-643.036654213518 49.1102921684301 -584.275423860085</t>
  </si>
  <si>
    <t>-632.597032566046 25.9034777111992 -690.799167272423</t>
  </si>
  <si>
    <t>-614.097526230306 34.8180607856464 -779.1206062615</t>
  </si>
  <si>
    <t>-580.759652215811 177.940474527473 -784.905347441224</t>
  </si>
  <si>
    <t>-438.545493268912 203.158564860016 -503.257782002681</t>
  </si>
  <si>
    <t>-252.330385899835 149.705042940637 -329.739068565125</t>
  </si>
  <si>
    <t>-600.421679296698 172.389257085341 -237.066806240511</t>
  </si>
  <si>
    <t>-541.004265094279 222.173164747833 211.986435077435</t>
  </si>
  <si>
    <t>-628.092302541099 246.143246462114 673.244622676912</t>
  </si>
  <si>
    <t>-474.335543304806 230.529565692226 757.260047760458</t>
  </si>
  <si>
    <t>-637.013073066276 -4.46325355012004 219.296740233641</t>
  </si>
  <si>
    <t>-660.718209376561 6.6393637144751 688.345185628163</t>
  </si>
  <si>
    <t>-503.001396169188 -30.0418446756467 757.072231500959</t>
  </si>
  <si>
    <t>9763-20170724T164142.321331100.bin</t>
  </si>
  <si>
    <t>-617.317554339913 74.5946039930057 -236.90610915918</t>
  </si>
  <si>
    <t>-640.92989353676 78.1503989157853 -355.639509862003</t>
  </si>
  <si>
    <t>-646.104695514712 66.0962569892847 -476.132199107558</t>
  </si>
  <si>
    <t>-643.152205733827 48.9608044337385 -584.264193624587</t>
  </si>
  <si>
    <t>-632.716501040444 25.70467236484 -690.777432630223</t>
  </si>
  <si>
    <t>-614.175642972609 34.5619582573511 -779.095985452879</t>
  </si>
  <si>
    <t>-580.970742902411 177.721327354109 -784.839472739369</t>
  </si>
  <si>
    <t>-442.92981352639 204.005876026312 -501.220096910133</t>
  </si>
  <si>
    <t>-257.28926307912 141.595971520371 -330.092367056271</t>
  </si>
  <si>
    <t>-600.269294933118 172.255277359029 -237.059207875605</t>
  </si>
  <si>
    <t>-540.74793739813 221.93922936388 211.99131427831</t>
  </si>
  <si>
    <t>-628.098956515209 246.14257502114 673.203398707477</t>
  </si>
  <si>
    <t>-474.347611633565 230.37788747732 757.200443328743</t>
  </si>
  <si>
    <t>-636.958091736562 -4.53628588247085 219.318777810407</t>
  </si>
  <si>
    <t>-660.731372860208 6.75642875532273 688.347736113943</t>
  </si>
  <si>
    <t>-502.939678170488 -29.6705145577636 757.038141057157</t>
  </si>
  <si>
    <t>9763-20170724T164142.390124200.bin</t>
  </si>
  <si>
    <t>-617.224268911163 73.9194832624802 -236.885495636754</t>
  </si>
  <si>
    <t>-640.796459685414 77.5171582924467 -355.625659041917</t>
  </si>
  <si>
    <t>-645.939845360757 65.5427056030512 -476.127622680131</t>
  </si>
  <si>
    <t>-642.951337662127 48.5067943058928 -584.27430207849</t>
  </si>
  <si>
    <t>-632.465041606579 25.385350502256 -690.812023713664</t>
  </si>
  <si>
    <t>-613.908184140851 34.3883978112544 -779.112212619427</t>
  </si>
  <si>
    <t>-581.120009700843 177.617886604824 -784.169265526836</t>
  </si>
  <si>
    <t>-450.749616963289 205.793493052617 -497.122482142776</t>
  </si>
  <si>
    <t>-265.022467210941 140.77075082532 -327.06502413869</t>
  </si>
  <si>
    <t>-599.673753786921 171.521630631452 -237.073103928472</t>
  </si>
  <si>
    <t>-540.23019850084 221.37320577222 211.969141542832</t>
  </si>
  <si>
    <t>-628.147718328792 246.108149012306 673.105372614467</t>
  </si>
  <si>
    <t>-474.387783736991 230.028092836828 757.026992380877</t>
  </si>
  <si>
    <t>-637.133343081393 -4.92947348844929 219.326436147112</t>
  </si>
  <si>
    <t>-660.793896293558 6.78186027839273 688.354026881669</t>
  </si>
  <si>
    <t>-503.221354972747 -30.5798876137921 757.045474114861</t>
  </si>
  <si>
    <t>9763-20170724T164142.423210300.bin</t>
  </si>
  <si>
    <t>-617.166649744569 73.3653641002636 -236.80708753755</t>
  </si>
  <si>
    <t>-640.768738075808 77.0287578019987 -355.539318995184</t>
  </si>
  <si>
    <t>-645.892282880224 65.1788955900621 -476.05442540025</t>
  </si>
  <si>
    <t>-642.859860512722 48.2852441444845 -584.222240075769</t>
  </si>
  <si>
    <t>-632.299775900596 25.3390543207101 -690.790521547093</t>
  </si>
  <si>
    <t>-613.705326160303 34.5194747610815 -779.064586988209</t>
  </si>
  <si>
    <t>-581.289292569132 177.867217264825 -783.611924447078</t>
  </si>
  <si>
    <t>-453.179042467579 208.232494439736 -495.77183436795</t>
  </si>
  <si>
    <t>-267.608822326014 150.33835009115 -322.988568180598</t>
  </si>
  <si>
    <t>-599.466163293667 171.03422997262 -236.988369379801</t>
  </si>
  <si>
    <t>-539.763511803744 221.067829196293 211.999265058586</t>
  </si>
  <si>
    <t>-628.17937996298 246.073119119989 673.029619253979</t>
  </si>
  <si>
    <t>-474.410305708638 229.853021984782 756.907502892128</t>
  </si>
  <si>
    <t>-637.200056990491 -5.24123902643613 219.366862380154</t>
  </si>
  <si>
    <t>-660.817168230869 6.8677433567547 688.36165505371</t>
  </si>
  <si>
    <t>-503.19358028225 -30.3115309576598 757.034905527699</t>
  </si>
  <si>
    <t>9763-20170724T164142.492412100.bin</t>
  </si>
  <si>
    <t>-616.994679678531 72.2497125613938 -236.65830395268</t>
  </si>
  <si>
    <t>-640.679964201628 76.0822652389589 -355.368543452752</t>
  </si>
  <si>
    <t>-645.682276246475 64.589063600154 -475.923350576117</t>
  </si>
  <si>
    <t>-642.445862546414 48.1048053960417 -584.148240645518</t>
  </si>
  <si>
    <t>-631.581207356389 25.661618904815 -690.793081517468</t>
  </si>
  <si>
    <t>-612.795612330247 35.3478104415732 -778.972666740184</t>
  </si>
  <si>
    <t>-580.995860382815 178.886444650695 -782.642119251621</t>
  </si>
  <si>
    <t>-456.764549956169 213.975931511897 -493.641134487083</t>
  </si>
  <si>
    <t>-273.666258655142 176.914281845553 -312.689625028761</t>
  </si>
  <si>
    <t>-599.03350118297 169.976448553741 -236.768735106519</t>
  </si>
  <si>
    <t>-538.493864970887 220.448976465213 212.05761190287</t>
  </si>
  <si>
    <t>-628.227592915265 245.847008426815 672.811957008156</t>
  </si>
  <si>
    <t>-474.435228238367 229.657760760922 756.653068362116</t>
  </si>
  <si>
    <t>-637.154817443748 -5.8779967629429 219.430187447554</t>
  </si>
  <si>
    <t>-660.892685453606 6.83740084494161 688.38283480788</t>
  </si>
  <si>
    <t>-503.321167151465 -30.5957323428076 757.037645940423</t>
  </si>
  <si>
    <t>9763-20170724T164142.525499900.bin</t>
  </si>
  <si>
    <t>-616.909227858219 71.6440415703633 -236.601480328959</t>
  </si>
  <si>
    <t>-640.569948114348 75.5668885507674 -355.313743908676</t>
  </si>
  <si>
    <t>-645.482023022851 64.2112330577837 -475.885202982278</t>
  </si>
  <si>
    <t>-642.130461264643 47.878717271882 -584.129672549816</t>
  </si>
  <si>
    <t>-631.113135596508 25.6196648586549 -690.797416609716</t>
  </si>
  <si>
    <t>-612.271350821085 35.4984467923754 -778.943591377858</t>
  </si>
  <si>
    <t>-580.926408826435 179.13638294496 -782.227045528237</t>
  </si>
  <si>
    <t>-457.790533828772 215.750030216986 -492.946540791654</t>
  </si>
  <si>
    <t>-277.412354077785 188.745327281238 -307.537678103096</t>
  </si>
  <si>
    <t>-598.877115571625 169.37311272053 -236.670461874398</t>
  </si>
  <si>
    <t>-537.960925987618 220.101115699219 212.076194314995</t>
  </si>
  <si>
    <t>-628.229324730979 245.697959152981 672.689740823068</t>
  </si>
  <si>
    <t>-474.440818176227 229.587926351966 756.55323550384</t>
  </si>
  <si>
    <t>-637.09693904488 -6.2324610787232 219.434680118488</t>
  </si>
  <si>
    <t>-660.92493178258 6.87646004990312 688.378464441326</t>
  </si>
  <si>
    <t>-503.325714420951 -30.4560210761011 757.024510862747</t>
  </si>
  <si>
    <t>9763-20170724T164142.591684700.bin</t>
  </si>
  <si>
    <t>-616.57458569189 70.5923184875533 -236.515228519506</t>
  </si>
  <si>
    <t>-640.247569078037 74.6178475036455 -355.221567424171</t>
  </si>
  <si>
    <t>-645.124574496782 63.5487537744903 -475.821040865239</t>
  </si>
  <si>
    <t>-641.708625640545 47.5642961999912 -584.115477298359</t>
  </si>
  <si>
    <t>-630.585697526026 25.7499087534576 -690.864110991563</t>
  </si>
  <si>
    <t>-611.841467271491 36.0982880079381 -778.977165818962</t>
  </si>
  <si>
    <t>-581.545752214219 179.956693083678 -781.35232315364</t>
  </si>
  <si>
    <t>-459.890917988638 217.999880823489 -491.629897166358</t>
  </si>
  <si>
    <t>-286.516193965112 207.440894927035 -298.053712433052</t>
  </si>
  <si>
    <t>-598.624941791806 168.274962346382 -236.53590435241</t>
  </si>
  <si>
    <t>-537.129303633039 219.508035835906 212.074381687754</t>
  </si>
  <si>
    <t>-628.217843707506 245.431345834389 672.492935907219</t>
  </si>
  <si>
    <t>-474.445430549646 229.467133780256 756.41376389043</t>
  </si>
  <si>
    <t>-636.775451599793 -6.70152727118845 219.43611930251</t>
  </si>
  <si>
    <t>-660.981112377983 7.01329205853926 688.358775258183</t>
  </si>
  <si>
    <t>-503.212745603537 -29.6545464715365 756.974446195979</t>
  </si>
  <si>
    <t>9763-20170724T164142.624774300.bin</t>
  </si>
  <si>
    <t>-616.471066519896 70.2182868711642 -236.487722190438</t>
  </si>
  <si>
    <t>-640.195541246087 74.254247369413 -355.183475109795</t>
  </si>
  <si>
    <t>-645.049493789731 63.3473718501504 -475.798710484125</t>
  </si>
  <si>
    <t>-641.578489392105 47.5749062465202 -584.122482856915</t>
  </si>
  <si>
    <t>-630.363909967029 26.0395880522888 -690.918152661313</t>
  </si>
  <si>
    <t>-611.621088643444 36.6791944450356 -778.996848341203</t>
  </si>
  <si>
    <t>-581.701588841247 180.643878357436 -780.92624499517</t>
  </si>
  <si>
    <t>-461.201624788873 219.282643536032 -490.800220197499</t>
  </si>
  <si>
    <t>-292.127123114673 212.383319966049 -293.29522651985</t>
  </si>
  <si>
    <t>-598.620412215623 167.920353387619 -236.496494006844</t>
  </si>
  <si>
    <t>-536.887643784845 219.288235530982 212.065682970747</t>
  </si>
  <si>
    <t>-628.229985704045 245.314455303637 672.445478008146</t>
  </si>
  <si>
    <t>-474.446948035973 229.425266274098 756.360968556743</t>
  </si>
  <si>
    <t>-636.534429571093 -6.85752485657179 219.445556473949</t>
  </si>
  <si>
    <t>-660.996484497857 7.13315346806691 688.348811084867</t>
  </si>
  <si>
    <t>-503.169045235827 -29.30962945388 756.948712823962</t>
  </si>
  <si>
    <t>9763-20170724T164142.692544800.bin</t>
  </si>
  <si>
    <t>-616.488751280905 69.6207561313648 -236.376604987743</t>
  </si>
  <si>
    <t>-640.382278139242 73.6701628211046 -355.037944304307</t>
  </si>
  <si>
    <t>-645.247738525986 63.1085725665128 -475.683565893195</t>
  </si>
  <si>
    <t>-641.719164020351 47.7848943104444 -584.06978916682</t>
  </si>
  <si>
    <t>-630.376759580869 26.8346342654846 -690.968268691474</t>
  </si>
  <si>
    <t>-611.671384858189 38.0750133696121 -778.980293422443</t>
  </si>
  <si>
    <t>-582.723908950817 182.235340754721 -779.964997817281</t>
  </si>
  <si>
    <t>-463.840043673783 220.998413965597 -489.189781825333</t>
  </si>
  <si>
    <t>-302.674223939068 221.667222491031 -285.064199409674</t>
  </si>
  <si>
    <t>-598.953769855155 167.280682640408 -236.315525992678</t>
  </si>
  <si>
    <t>-536.554441198207 219.104933343358 212.101889168751</t>
  </si>
  <si>
    <t>-628.312722726085 245.126054370911 672.408135478138</t>
  </si>
  <si>
    <t>-474.457838756996 229.343095884675 756.211928701228</t>
  </si>
  <si>
    <t>-635.963843492811 -7.09530635749992 219.483106183447</t>
  </si>
  <si>
    <t>-661.036776138245 7.26415037598166 688.342019259939</t>
  </si>
  <si>
    <t>-503.204778214493 -29.2295189045392 756.904316437836</t>
  </si>
  <si>
    <t>9763-20170724T164142.758741900.bin</t>
  </si>
  <si>
    <t>-616.725485547771 69.1307117713343 -236.147073516572</t>
  </si>
  <si>
    <t>-640.75212915787 73.2611900995291 -354.778616324168</t>
  </si>
  <si>
    <t>-645.562939860645 63.1159256304829 -475.462213345021</t>
  </si>
  <si>
    <t>-641.908275629787 48.3023574904757 -583.915267513423</t>
  </si>
  <si>
    <t>-630.363068400815 27.9933095561091 -690.915538082181</t>
  </si>
  <si>
    <t>-611.60561852578 39.8714939435266 -778.832668196978</t>
  </si>
  <si>
    <t>-583.363469405202 184.174479753821 -778.794446010523</t>
  </si>
  <si>
    <t>-465.946129387923 222.588915447392 -487.377770482704</t>
  </si>
  <si>
    <t>-312.914742364461 231.172382390256 -277.259326398371</t>
  </si>
  <si>
    <t>-599.626283954373 166.601037351779 -235.902599235938</t>
  </si>
  <si>
    <t>-535.93223055669 219.283475923905 212.232730667221</t>
  </si>
  <si>
    <t>-628.487218357841 244.873824465741 672.436266190746</t>
  </si>
  <si>
    <t>-474.497905033001 229.139764725037 756.002008918094</t>
  </si>
  <si>
    <t>-635.597327791156 -7.33509354484941 219.552027450378</t>
  </si>
  <si>
    <t>-661.071967912493 7.42584050417993 688.350466038421</t>
  </si>
  <si>
    <t>-503.297316276433 -29.40951732697 756.861901375661</t>
  </si>
  <si>
    <t>9763-20170724T164142.788687200.bin</t>
  </si>
  <si>
    <t>-616.827959575457 68.7009588329688 -236.035073403893</t>
  </si>
  <si>
    <t>-640.935472702928 72.9038358975733 -354.64778048437</t>
  </si>
  <si>
    <t>-645.72716322474 62.984603500885 -475.350759118426</t>
  </si>
  <si>
    <t>-642.01436131238 48.4366189666913 -583.83786410544</t>
  </si>
  <si>
    <t>-630.369920515859 28.4530366658749 -690.888767627123</t>
  </si>
  <si>
    <t>-611.576939703287 40.6489494637175 -778.754904783328</t>
  </si>
  <si>
    <t>-583.65592686804 185.009599865835 -778.187843455879</t>
  </si>
  <si>
    <t>-466.832411703691 223.934425073576 -486.600254827393</t>
  </si>
  <si>
    <t>-317.695652664317 237.221673693386 -273.941543522489</t>
  </si>
  <si>
    <t>-599.864656528276 166.027560363072 -235.701885576947</t>
  </si>
  <si>
    <t>-535.617829145303 219.238322790866 212.292184797971</t>
  </si>
  <si>
    <t>-628.548817962111 244.675252865455 672.394706830058</t>
  </si>
  <si>
    <t>-474.519651825701 228.944965873409 755.887779102554</t>
  </si>
  <si>
    <t>-635.417283631634 -7.53809983986365 219.58105411072</t>
  </si>
  <si>
    <t>-661.103708590866 7.41615568240462 688.357156989959</t>
  </si>
  <si>
    <t>-503.359145145341 -29.5891342435518 756.846392975571</t>
  </si>
  <si>
    <t>9763-20170724T164142.836815200.bin</t>
  </si>
  <si>
    <t>-616.860122133098 68.296069024576 -235.922654949063</t>
  </si>
  <si>
    <t>-640.998324801011 72.5974978961406 -354.525577042491</t>
  </si>
  <si>
    <t>-645.776461252825 62.9304420202096 -475.24948067013</t>
  </si>
  <si>
    <t>-642.032596273437 48.6717773858585 -583.773813130534</t>
  </si>
  <si>
    <t>-630.337515920333 29.0376787932377 -690.884012436865</t>
  </si>
  <si>
    <t>-611.537660474824 41.5673889254353 -778.701602119027</t>
  </si>
  <si>
    <t>-583.820115581817 185.996580606769 -777.529317052001</t>
  </si>
  <si>
    <t>-468.057610497291 223.078016458332 -485.279170214756</t>
  </si>
  <si>
    <t>-322.447306350573 240.202636800522 -270.461907850571</t>
  </si>
  <si>
    <t>-599.930166333093 165.502375428799 -235.531910960214</t>
  </si>
  <si>
    <t>-535.219450083264 219.233334245968 212.333306658518</t>
  </si>
  <si>
    <t>-628.612777534264 244.55316448714 672.379357566364</t>
  </si>
  <si>
    <t>-474.538537115544 228.778581624198 755.780831046856</t>
  </si>
  <si>
    <t>-635.18847628821 -7.72571953687725 219.603480540879</t>
  </si>
  <si>
    <t>-661.129260154608 7.4975007423902 688.351573854966</t>
  </si>
  <si>
    <t>-503.263336587687 -29.0655996047095 756.798757085266</t>
  </si>
  <si>
    <t>9763-20170724T164142.889695400.bin</t>
  </si>
  <si>
    <t>-616.474490384364 67.5840987634807 -235.859552341894</t>
  </si>
  <si>
    <t>-640.60854721587 72.0900368082555 -354.455699158203</t>
  </si>
  <si>
    <t>-645.306893152075 62.7942954418391 -475.211981905235</t>
  </si>
  <si>
    <t>-641.456514285338 48.9414607237908 -583.785131602167</t>
  </si>
  <si>
    <t>-629.618241415137 29.7851626674825 -690.966002647338</t>
  </si>
  <si>
    <t>-610.669217635713 42.7567455900612 -778.687307245338</t>
  </si>
  <si>
    <t>-583.201931284817 187.230433993542 -776.559237994394</t>
  </si>
  <si>
    <t>-471.278485100068 223.069871665431 -482.663300637903</t>
  </si>
  <si>
    <t>-328.683740786992 237.721825556767 -265.651363571034</t>
  </si>
  <si>
    <t>-599.258574475293 164.65433830106 -235.416159862936</t>
  </si>
  <si>
    <t>-534.550423451297 218.867929719459 212.391180786552</t>
  </si>
  <si>
    <t>-628.645986668585 244.430399473351 672.260944329255</t>
  </si>
  <si>
    <t>-474.533326270894 228.67204644185 755.594416835634</t>
  </si>
  <si>
    <t>-634.900317253823 -8.0833665911869 219.58528150369</t>
  </si>
  <si>
    <t>-661.192840664558 7.50900310340199 688.324763963594</t>
  </si>
  <si>
    <t>-503.433012041442 -29.5311196208191 756.759898548773</t>
  </si>
  <si>
    <t>9763-20170724T164142.924794900.bin</t>
  </si>
  <si>
    <t>-616.057968523452 67.3543821425084 -235.920059207618</t>
  </si>
  <si>
    <t>-640.035717315377 71.8914315564189 -354.546741362011</t>
  </si>
  <si>
    <t>-644.59795994938 62.6513726671356 -475.3125603003</t>
  </si>
  <si>
    <t>-640.631052632357 48.862895506486 -583.889642363821</t>
  </si>
  <si>
    <t>-628.681307961556 29.787646028343 -691.072721649803</t>
  </si>
  <si>
    <t>-609.610713850721 42.8341499012597 -778.756484528423</t>
  </si>
  <si>
    <t>-582.227466857023 187.296079328292 -776.393414012991</t>
  </si>
  <si>
    <t>-474.06600499107 224.206941054957 -481.224249727112</t>
  </si>
  <si>
    <t>-328.663659389739 235.352685251142 -265.873413271664</t>
  </si>
  <si>
    <t>-598.489294831308 164.405824698617 -235.506922348521</t>
  </si>
  <si>
    <t>-534.386565528058 218.558718066658 212.394775349994</t>
  </si>
  <si>
    <t>-628.620058143339 244.491106259503 672.19310541617</t>
  </si>
  <si>
    <t>-474.535323008865 228.521939741215 755.538085639133</t>
  </si>
  <si>
    <t>-634.845153532211 -8.19343825527739 219.550547412012</t>
  </si>
  <si>
    <t>-661.224996273227 7.48253277212352 688.305098602366</t>
  </si>
  <si>
    <t>-503.460860678045 -29.542363131115 756.738699158253</t>
  </si>
  <si>
    <t>9763-20170724T164142.994016500.bin</t>
  </si>
  <si>
    <t>-614.945471542334 67.0741320951941 -236.014708931433</t>
  </si>
  <si>
    <t>-638.643574459442 71.7502254104147 -354.692249861677</t>
  </si>
  <si>
    <t>-642.955673267805 62.5754663328704 -475.472191173585</t>
  </si>
  <si>
    <t>-638.769588793763 48.8257816675432 -584.046027268159</t>
  </si>
  <si>
    <t>-626.604374100821 29.7764166264715 -691.209288021557</t>
  </si>
  <si>
    <t>-607.250317853738 42.8262126664984 -778.830582711569</t>
  </si>
  <si>
    <t>-579.698687569447 187.267063411624 -776.360352501128</t>
  </si>
  <si>
    <t>-483.648458547839 228.156016655552 -477.548375972176</t>
  </si>
  <si>
    <t>-328.168403551752 228.699846120306 -269.059211013301</t>
  </si>
  <si>
    <t>-596.62487485756 164.145288676199 -235.592528308555</t>
  </si>
  <si>
    <t>-533.772545614088 217.991247169563 212.523405181087</t>
  </si>
  <si>
    <t>-628.580887286045 244.533896195754 672.131136413933</t>
  </si>
  <si>
    <t>-474.54020396192 228.244358710812 755.495591187446</t>
  </si>
  <si>
    <t>-634.986163947627 -8.35073089800141 219.482890210901</t>
  </si>
  <si>
    <t>-661.287496255726 7.39465050369971 688.273437919073</t>
  </si>
  <si>
    <t>-503.788454183066 -30.6226598211458 756.773315075381</t>
  </si>
  <si>
    <t>9763-20170724T164143.026091600.bin</t>
  </si>
  <si>
    <t>-614.4145172401 66.9590159490659 -236.030207189287</t>
  </si>
  <si>
    <t>-637.919612163778 71.7031082601943 -354.743398701121</t>
  </si>
  <si>
    <t>-642.079774698929 62.5484262981537 -475.530238800089</t>
  </si>
  <si>
    <t>-637.770489968733 48.8028168444654 -584.099682258419</t>
  </si>
  <si>
    <t>-625.494297971154 29.7474649572222 -691.249324957198</t>
  </si>
  <si>
    <t>-606.021362179547 42.7834674764908 -778.846213015145</t>
  </si>
  <si>
    <t>-578.510578662623 187.212532290447 -776.30364708697</t>
  </si>
  <si>
    <t>-488.864153674297 228.916997841665 -475.620285771035</t>
  </si>
  <si>
    <t>-329.463933738917 224.18204034903 -270.166761193344</t>
  </si>
  <si>
    <t>-595.733108713394 164.014980795853 -235.603219090993</t>
  </si>
  <si>
    <t>-533.199759474331 217.736521817452 212.572226865495</t>
  </si>
  <si>
    <t>-628.52792371334 244.528511778548 672.05248123242</t>
  </si>
  <si>
    <t>-474.539887762194 228.095113492025 755.485991705982</t>
  </si>
  <si>
    <t>-635.110548414033 -8.35832299719912 219.441848280042</t>
  </si>
  <si>
    <t>-661.313292955269 7.42989497940927 688.256900468283</t>
  </si>
  <si>
    <t>-503.61107447044 -29.7499295073614 756.749097244068</t>
  </si>
  <si>
    <t>9763-20170724T164143.089059500.bin</t>
  </si>
  <si>
    <t>-613.271948458138 67.2015902548998 -236.019361090495</t>
  </si>
  <si>
    <t>-636.553346036665 72.0692862017087 -354.771732608285</t>
  </si>
  <si>
    <t>-640.492165875486 62.9110995245956 -475.565610506023</t>
  </si>
  <si>
    <t>-635.976819128559 49.1236456142352 -584.121439418681</t>
  </si>
  <si>
    <t>-623.484688445799 29.9967539924743 -691.233384614986</t>
  </si>
  <si>
    <t>-603.81060400157 42.958092035831 -778.796380609956</t>
  </si>
  <si>
    <t>-576.738364771812 187.471689805816 -776.257904217998</t>
  </si>
  <si>
    <t>-498.094942852685 230.56418259298 -472.704946557755</t>
  </si>
  <si>
    <t>-332.833797994793 218.477947632079 -272.243542614344</t>
  </si>
  <si>
    <t>-594.033362272484 164.371313829411 -235.635512240211</t>
  </si>
  <si>
    <t>-531.903883131568 217.430652967434 212.675043181676</t>
  </si>
  <si>
    <t>-628.385976554017 244.409024453818 671.866036281933</t>
  </si>
  <si>
    <t>-474.518999302101 227.871932250363 755.50201573324</t>
  </si>
  <si>
    <t>-634.941103445837 -8.16406971757385 219.424770790961</t>
  </si>
  <si>
    <t>-661.332094800411 7.53409802140773 688.242390784235</t>
  </si>
  <si>
    <t>-503.722285998046 -29.9699522467458 756.770559243255</t>
  </si>
  <si>
    <t>9763-20170724T164143.122148000.bin</t>
  </si>
  <si>
    <t>-612.715634973222 67.5059461012245 -236.055943462214</t>
  </si>
  <si>
    <t>-636.006973207926 72.4463588714185 -354.803083933754</t>
  </si>
  <si>
    <t>-639.939382140334 63.2944263131236 -475.597827245924</t>
  </si>
  <si>
    <t>-635.408476753854 49.4895592497955 -584.150842374716</t>
  </si>
  <si>
    <t>-622.889573847162 30.3252014560547 -691.252911753093</t>
  </si>
  <si>
    <t>-603.186317969961 43.2448020357416 -778.81554162319</t>
  </si>
  <si>
    <t>-576.37341081837 187.824719990088 -776.405121452954</t>
  </si>
  <si>
    <t>-502.928882632733 231.001221967842 -471.564369298684</t>
  </si>
  <si>
    <t>-335.378230564862 216.979129920306 -273.139967600681</t>
  </si>
  <si>
    <t>-593.320858964093 164.640407085645 -235.640647991964</t>
  </si>
  <si>
    <t>-531.306444800054 217.422843475107 212.718502961043</t>
  </si>
  <si>
    <t>-628.293219307784 244.318694066646 671.760894294145</t>
  </si>
  <si>
    <t>-474.499953854231 227.839806819036 755.543878447321</t>
  </si>
  <si>
    <t>-634.70766506518 -7.87208081401288 219.400016742281</t>
  </si>
  <si>
    <t>-661.326269418229 7.61652749361122 688.230011000524</t>
  </si>
  <si>
    <t>-503.761618937446 -30.055481046231 756.769850239189</t>
  </si>
  <si>
    <t>9763-20170724T164143.190011200.bin</t>
  </si>
  <si>
    <t>-611.655001483259 68.0889653641202 -236.131918005546</t>
  </si>
  <si>
    <t>-634.770573872065 72.9956311139999 -354.914799440727</t>
  </si>
  <si>
    <t>-638.566380780064 63.7293901518446 -475.705172025614</t>
  </si>
  <si>
    <t>-633.923646718003 49.7979653424744 -584.237256925423</t>
  </si>
  <si>
    <t>-621.301665659683 30.4896385135037 -691.301415167706</t>
  </si>
  <si>
    <t>-601.57386519624 43.2899647165589 -778.876041769095</t>
  </si>
  <si>
    <t>-575.622029767292 188.008163907088 -776.8667877874</t>
  </si>
  <si>
    <t>-509.552168281961 233.093944104717 -470.61819174258</t>
  </si>
  <si>
    <t>-338.446808129018 217.752072456318 -275.349962908589</t>
  </si>
  <si>
    <t>-592.00035052884 164.98027304869 -235.749701685446</t>
  </si>
  <si>
    <t>-530.440619002248 217.615901186731 212.689400592772</t>
  </si>
  <si>
    <t>-628.076096520047 244.183914940475 671.559473714318</t>
  </si>
  <si>
    <t>-474.443744886162 227.812105152535 755.658156820088</t>
  </si>
  <si>
    <t>-634.173113261438 -7.32630803654717 219.353536192569</t>
  </si>
  <si>
    <t>-661.320091275337 7.64284931301843 688.203601412357</t>
  </si>
  <si>
    <t>-503.808939374463 -30.1739515908578 756.786659793715</t>
  </si>
  <si>
    <t>9763-20170724T164143.224109700.bin</t>
  </si>
  <si>
    <t>-611.256596588642 68.3320734874511 -236.153667873548</t>
  </si>
  <si>
    <t>-634.388817150042 73.2403884452097 -354.933503127361</t>
  </si>
  <si>
    <t>-638.16448656781 63.9567822075674 -475.722933629794</t>
  </si>
  <si>
    <t>-633.486154360598 50.006173940562 -584.251151222461</t>
  </si>
  <si>
    <t>-620.810136051993 30.6778277562063 -691.305223914627</t>
  </si>
  <si>
    <t>-601.079179933973 43.4696171273036 -778.880485466461</t>
  </si>
  <si>
    <t>-575.534284600865 188.249862349032 -777.035200625569</t>
  </si>
  <si>
    <t>-512.233576363562 234.23784091247 -470.336038910639</t>
  </si>
  <si>
    <t>-340.146151493245 220.261449353671 -275.829937940577</t>
  </si>
  <si>
    <t>-591.611139431328 165.23035856516 -235.756638893877</t>
  </si>
  <si>
    <t>-530.236565111182 217.797747853109 212.715768415644</t>
  </si>
  <si>
    <t>-628.010388241778 244.123951452921 671.553089938827</t>
  </si>
  <si>
    <t>-474.42211631352 227.805638210222 755.742591295863</t>
  </si>
  <si>
    <t>-633.973640610253 -7.15158130348929 219.34755444858</t>
  </si>
  <si>
    <t>-661.334055036881 7.55198946492577 688.197212570109</t>
  </si>
  <si>
    <t>-504.113109900555 -31.3635691245314 756.831520244304</t>
  </si>
  <si>
    <t>9763-20170724T164143.289250400.bin</t>
  </si>
  <si>
    <t>-610.806673591063 68.9594917531154 -236.168761320933</t>
  </si>
  <si>
    <t>-633.917948296995 73.8685549529203 -354.952462360641</t>
  </si>
  <si>
    <t>-637.616172416748 64.548253670979 -475.741503925885</t>
  </si>
  <si>
    <t>-632.8418976954 50.5554108253946 -584.260069194972</t>
  </si>
  <si>
    <t>-620.043137745044 31.1795093912158 -691.291000906577</t>
  </si>
  <si>
    <t>-600.300042433829 43.944839467138 -778.867262513731</t>
  </si>
  <si>
    <t>-575.383707179699 188.856729469547 -777.062485827436</t>
  </si>
  <si>
    <t>-515.311173108159 234.766980543831 -469.703331694535</t>
  </si>
  <si>
    <t>-343.856315390404 222.236611438016 -274.541119469822</t>
  </si>
  <si>
    <t>-591.21747249349 165.816963276309 -235.750504182944</t>
  </si>
  <si>
    <t>-529.877971310133 218.080784231307 212.762245452346</t>
  </si>
  <si>
    <t>-627.906009225085 244.033870416383 671.549030131842</t>
  </si>
  <si>
    <t>-474.386145003238 227.839242938062 755.887079849138</t>
  </si>
  <si>
    <t>-633.714462424669 -6.66399498852538 219.318470015757</t>
  </si>
  <si>
    <t>-661.307396843511 7.68897206884371 688.186438508817</t>
  </si>
  <si>
    <t>-504.075003859596 -31.1577732092824 756.833469293147</t>
  </si>
  <si>
    <t>9763-20170724T164143.322350200.bin</t>
  </si>
  <si>
    <t>-610.659954651093 69.1539760377671 -236.182789994165</t>
  </si>
  <si>
    <t>-633.687772882869 74.0053123341672 -354.98510333111</t>
  </si>
  <si>
    <t>-637.337447502628 64.6661033151309 -475.774157945047</t>
  </si>
  <si>
    <t>-632.532747631215 50.674211038142 -584.291488107741</t>
  </si>
  <si>
    <t>-619.716358342244 31.3180431689881 -691.323884115462</t>
  </si>
  <si>
    <t>-600.037740064004 44.1208536863146 -778.909193114051</t>
  </si>
  <si>
    <t>-575.536959271847 189.112828031188 -777.092095322722</t>
  </si>
  <si>
    <t>-516.330086372063 233.85374482897 -469.392641423493</t>
  </si>
  <si>
    <t>-344.777290628222 222.631186748168 -274.236943194868</t>
  </si>
  <si>
    <t>-591.088729855591 165.991757225714 -235.797879121927</t>
  </si>
  <si>
    <t>-529.93125084314 218.252423858158 212.740062631012</t>
  </si>
  <si>
    <t>-627.830240942394 243.975641871466 671.517197707182</t>
  </si>
  <si>
    <t>-474.357014247912 227.8883029155 755.960587968402</t>
  </si>
  <si>
    <t>-633.673094784323 -6.58116421983549 219.300279616431</t>
  </si>
  <si>
    <t>-661.319097020027 7.59483002992623 688.18011942372</t>
  </si>
  <si>
    <t>-504.398483601027 -32.397952036089 756.882474301675</t>
  </si>
  <si>
    <t>9763-20170724T164143.394104200.bin</t>
  </si>
  <si>
    <t>-610.362800872793 69.6028367087472 -236.248727085859</t>
  </si>
  <si>
    <t>-633.38836677988 74.3686732160583 -355.054896581771</t>
  </si>
  <si>
    <t>-637.095088980946 64.9683557487986 -475.837655853142</t>
  </si>
  <si>
    <t>-632.361385361232 50.9378489719528 -584.353028739622</t>
  </si>
  <si>
    <t>-619.632147497216 31.5626573341207 -691.392300446906</t>
  </si>
  <si>
    <t>-600.189886760463 44.3828743004283 -779.027933688674</t>
  </si>
  <si>
    <t>-576.723297972115 189.54006638221 -777.470867146021</t>
  </si>
  <si>
    <t>-515.731402428992 235.944386880374 -470.367028148739</t>
  </si>
  <si>
    <t>-341.515522561009 227.941887862775 -277.424396228597</t>
  </si>
  <si>
    <t>-591.090447193622 166.371995756797 -235.906190495153</t>
  </si>
  <si>
    <t>-530.398794026429 218.542271620056 212.705521979838</t>
  </si>
  <si>
    <t>-627.742408550521 243.915119175929 671.60466091046</t>
  </si>
  <si>
    <t>-474.307282713204 228.039608932124 756.157215512341</t>
  </si>
  <si>
    <t>-633.527153649805 -6.14647456536211 219.263919722208</t>
  </si>
  <si>
    <t>-661.276165937762 7.82798171738402 688.158869088665</t>
  </si>
  <si>
    <t>-503.984477511416 -30.7256654636784 756.835383199631</t>
  </si>
  <si>
    <t>9763-20170724T164143.423181700.bin</t>
  </si>
  <si>
    <t>-610.355922410368 69.7830753867905 -236.274993525265</t>
  </si>
  <si>
    <t>-633.353259047028 74.477885803041 -355.089579105199</t>
  </si>
  <si>
    <t>-637.05254793247 65.0198832311233 -475.868013184247</t>
  </si>
  <si>
    <t>-632.321238877156 50.9426908891143 -584.377397635876</t>
  </si>
  <si>
    <t>-619.603695844978 31.525953095239 -691.410603579389</t>
  </si>
  <si>
    <t>-600.219242915597 44.319643281629 -779.06287391899</t>
  </si>
  <si>
    <t>-576.993342127912 189.503245406924 -777.682779780805</t>
  </si>
  <si>
    <t>-515.562748627816 237.883613819964 -470.971543527329</t>
  </si>
  <si>
    <t>-338.97015298874 232.511072632966 -280.109802040601</t>
  </si>
  <si>
    <t>-591.156986472395 166.481288897871 -235.960171063295</t>
  </si>
  <si>
    <t>-530.771605584751 218.666896668386 212.691009244945</t>
  </si>
  <si>
    <t>-627.715330374882 243.899358637435 671.67804199153</t>
  </si>
  <si>
    <t>-474.286140638903 228.097705280719 756.255266136968</t>
  </si>
  <si>
    <t>-633.409213629615 -6.02889881937703 219.262731927307</t>
  </si>
  <si>
    <t>-661.266483319321 7.82698458798511 688.15915836558</t>
  </si>
  <si>
    <t>-504.050605880101 -31.0124569251572 756.848016901241</t>
  </si>
  <si>
    <t>9763-20170724T164143.490364800.bin</t>
  </si>
  <si>
    <t>-610.32895636485 70.1353253818753 -236.315202456088</t>
  </si>
  <si>
    <t>-633.371961256899 74.7981201875206 -355.122034731317</t>
  </si>
  <si>
    <t>-637.183965926793 65.2855693323939 -475.89263279323</t>
  </si>
  <si>
    <t>-632.578528701869 51.1531952091785 -584.400426021532</t>
  </si>
  <si>
    <t>-620.008296341836 31.6767419028092 -691.440100161671</t>
  </si>
  <si>
    <t>-600.82675220394 44.4269224641562 -779.143353880197</t>
  </si>
  <si>
    <t>-578.117231430312 189.7262129861 -777.979695830834</t>
  </si>
  <si>
    <t>-516.722056309435 241.511721595645 -471.817814069655</t>
  </si>
  <si>
    <t>-332.365018731779 239.168993147391 -288.381010914288</t>
  </si>
  <si>
    <t>-591.213375499823 166.78326037773 -235.980050948246</t>
  </si>
  <si>
    <t>-531.228408268965 218.815208289572 212.742753872784</t>
  </si>
  <si>
    <t>-627.676874200938 243.884970857203 671.840428593425</t>
  </si>
  <si>
    <t>-474.255433203909 228.191161625907 756.451815316194</t>
  </si>
  <si>
    <t>-633.332570018601 -5.75050767355226 219.253318758144</t>
  </si>
  <si>
    <t>-661.241267449059 7.93524600304222 688.150212571676</t>
  </si>
  <si>
    <t>-503.947997492177 -30.5854490146391 756.84145462821</t>
  </si>
  <si>
    <t>9763-20170724T164143.527480200.bin</t>
  </si>
  <si>
    <t>-610.3822491409 70.2798124097574 -236.316867521508</t>
  </si>
  <si>
    <t>-633.408986532841 74.9192537810994 -355.127852274063</t>
  </si>
  <si>
    <t>-637.262440539823 65.331956049388 -475.891267460169</t>
  </si>
  <si>
    <t>-632.715634840193 51.1137292836223 -584.390273221222</t>
  </si>
  <si>
    <t>-620.223897690729 31.5347232869643 -691.420424666189</t>
  </si>
  <si>
    <t>-601.137809407667 44.1921294391762 -779.157909150387</t>
  </si>
  <si>
    <t>-578.730143379937 189.520403320259 -778.225841065875</t>
  </si>
  <si>
    <t>-517.172321541957 244.103679584943 -472.583170407784</t>
  </si>
  <si>
    <t>-330.345633347072 239.979649605637 -291.694135586346</t>
  </si>
  <si>
    <t>-591.239845458834 166.947150736271 -235.990885451071</t>
  </si>
  <si>
    <t>-531.253063386568 218.856635961148 212.745902934135</t>
  </si>
  <si>
    <t>-627.649756745044 243.884927712505 671.883597130263</t>
  </si>
  <si>
    <t>-474.250113998897 228.162690068805 756.529185997881</t>
  </si>
  <si>
    <t>-633.420501283101 -5.69511552994877 219.2542448725</t>
  </si>
  <si>
    <t>-661.239153222785 7.91602905486943 688.154555802167</t>
  </si>
  <si>
    <t>-504.154239161497 -31.3887076331584 756.87834857474</t>
  </si>
  <si>
    <t>9763-20170724T164143.591553900.bin</t>
  </si>
  <si>
    <t>-610.478061940349 70.4163158699534 -236.260892964635</t>
  </si>
  <si>
    <t>-633.568830976755 75.1116750634957 -355.057321080431</t>
  </si>
  <si>
    <t>-637.572966428455 65.4330452479604 -475.808476400557</t>
  </si>
  <si>
    <t>-633.19552734788 51.0719329058111 -584.295632296865</t>
  </si>
  <si>
    <t>-620.905232129501 31.2901846948108 -691.311718397084</t>
  </si>
  <si>
    <t>-601.935182203325 43.7333158794029 -779.105162027708</t>
  </si>
  <si>
    <t>-579.253018534945 189.016753754011 -778.557298088989</t>
  </si>
  <si>
    <t>-521.145248348743 246.162444920071 -472.707567262168</t>
  </si>
  <si>
    <t>-330.806854064658 238.233683469972 -295.646848316543</t>
  </si>
  <si>
    <t>-591.092029812616 167.114508181849 -235.895732260236</t>
  </si>
  <si>
    <t>-531.142163439543 218.845815597775 212.866550202708</t>
  </si>
  <si>
    <t>-627.63888836558 243.880726683767 671.985516821657</t>
  </si>
  <si>
    <t>-474.258722168413 228.058145367465 756.647685331467</t>
  </si>
  <si>
    <t>-633.578770643551 -5.62736750011407 219.286833889699</t>
  </si>
  <si>
    <t>-661.237723788062 7.94549966492393 688.168669603993</t>
  </si>
  <si>
    <t>-504.038622076369 -30.923405708405 756.879344765034</t>
  </si>
  <si>
    <t>9763-20170724T164143.624641700.bin</t>
  </si>
  <si>
    <t>-610.536260965727 70.4668993261249 -236.219163511958</t>
  </si>
  <si>
    <t>-633.667723106007 75.2051697132193 -355.00593149867</t>
  </si>
  <si>
    <t>-637.76416756208 65.5268665262173 -475.754113649443</t>
  </si>
  <si>
    <t>-633.491108443172 51.1464765734609 -584.2427719755</t>
  </si>
  <si>
    <t>-621.325916192927 31.3245363005559 -691.265845788109</t>
  </si>
  <si>
    <t>-602.413537943204 43.7134506904574 -779.079287277216</t>
  </si>
  <si>
    <t>-579.566963297365 188.984730095866 -778.477980131867</t>
  </si>
  <si>
    <t>-523.298059484983 245.773224005312 -472.218176965903</t>
  </si>
  <si>
    <t>-331.218005005152 233.754811343555 -297.28157377383</t>
  </si>
  <si>
    <t>-591.018934287525 167.176971354274 -235.816972437121</t>
  </si>
  <si>
    <t>-530.978514503944 218.826767720266 212.942547374711</t>
  </si>
  <si>
    <t>-627.667198148861 243.884170309016 672.042396212598</t>
  </si>
  <si>
    <t>-474.279372865907 227.976268136436 756.674639591097</t>
  </si>
  <si>
    <t>-633.650298845949 -5.60091080752373 219.316300338057</t>
  </si>
  <si>
    <t>-661.219311088901 8.08936375859238 688.183536257932</t>
  </si>
  <si>
    <t>-503.877320975595 -30.2289633591209 756.876232075437</t>
  </si>
  <si>
    <t>9763-20170724T164143.688833100.bin</t>
  </si>
  <si>
    <t>-610.84855419848 70.38203314648 -236.146127402126</t>
  </si>
  <si>
    <t>-634.110369424312 75.1647244882206 -354.905660707042</t>
  </si>
  <si>
    <t>-638.385720369669 65.4805159504142 -475.647080715556</t>
  </si>
  <si>
    <t>-634.294874019254 51.0695981350424 -584.1387678596</t>
  </si>
  <si>
    <t>-622.332565227325 31.1895175006528 -691.173981702719</t>
  </si>
  <si>
    <t>-603.503205289818 43.4993817589416 -779.016314538007</t>
  </si>
  <si>
    <t>-580.664957298541 188.767923343236 -778.423935370536</t>
  </si>
  <si>
    <t>-526.413435480947 246.010245222152 -471.884670552399</t>
  </si>
  <si>
    <t>-333.44945344004 226.048980070774 -298.65515624706</t>
  </si>
  <si>
    <t>-591.12856404837 167.18331239544 -235.729663497078</t>
  </si>
  <si>
    <t>-530.752543073731 218.642227516486 213.00672258726</t>
  </si>
  <si>
    <t>-627.729615195586 243.848998280659 672.071376433017</t>
  </si>
  <si>
    <t>-474.327046542931 227.788217371011 756.648006520842</t>
  </si>
  <si>
    <t>-633.935932331255 -5.68905204744154 219.365148240328</t>
  </si>
  <si>
    <t>-661.22536132142 8.16241228634088 688.218534740474</t>
  </si>
  <si>
    <t>-503.824272517992 -29.9492113383699 756.890935304327</t>
  </si>
  <si>
    <t>9763-20170724T164143.721919200.bin</t>
  </si>
  <si>
    <t>-611.119825326674 70.1398368404832 -236.113936061097</t>
  </si>
  <si>
    <t>-634.408124765018 74.8850204273924 -354.869734486986</t>
  </si>
  <si>
    <t>-638.734800201123 65.195878939912 -475.608996304087</t>
  </si>
  <si>
    <t>-634.702646429627 50.7896936222755 -584.103513179866</t>
  </si>
  <si>
    <t>-622.812558381747 30.9209261354952 -691.148819927138</t>
  </si>
  <si>
    <t>-604.020528044448 43.2388305534944 -778.997986427043</t>
  </si>
  <si>
    <t>-581.21287344894 188.49956760459 -778.468737195387</t>
  </si>
  <si>
    <t>-526.801341213168 246.763856548724 -472.150614616366</t>
  </si>
  <si>
    <t>-334.305458790632 220.833032474277 -299.191046225678</t>
  </si>
  <si>
    <t>-591.402784555217 166.965964862177 -235.71178218177</t>
  </si>
  <si>
    <t>-530.801459434542 218.582263824389 212.976234782863</t>
  </si>
  <si>
    <t>-627.773546267493 243.798031600226 672.055996527908</t>
  </si>
  <si>
    <t>-474.346773796991 227.754853543533 756.592188270275</t>
  </si>
  <si>
    <t>-634.086145431844 -5.91204224442702 219.397772259023</t>
  </si>
  <si>
    <t>-661.252685578246 8.01824555901054 688.246055366688</t>
  </si>
  <si>
    <t>-504.159655656977 -31.2963660545472 756.945672931745</t>
  </si>
  <si>
    <t>9763-20170724T164143.791699600.bin</t>
  </si>
  <si>
    <t>-611.692631058138 69.6374314365369 -235.965583883942</t>
  </si>
  <si>
    <t>-635.133820467268 74.3794734448278 -354.691404849514</t>
  </si>
  <si>
    <t>-639.59163068038 64.7845883529402 -475.433394926567</t>
  </si>
  <si>
    <t>-635.673572367436 50.4951293142206 -583.94754536724</t>
  </si>
  <si>
    <t>-623.895238041496 30.7689693310522 -691.031648678278</t>
  </si>
  <si>
    <t>-605.197183510821 43.2187705448024 -778.88233967741</t>
  </si>
  <si>
    <t>-582.222452044722 188.466136830187 -778.523180136903</t>
  </si>
  <si>
    <t>-524.385453680888 249.809461794623 -473.436136304923</t>
  </si>
  <si>
    <t>-332.844458958727 216.480617973717 -300.684002606032</t>
  </si>
  <si>
    <t>-592.204443340972 166.511242981782 -235.506258734223</t>
  </si>
  <si>
    <t>-530.805667303814 218.453555490834 213.035727203716</t>
  </si>
  <si>
    <t>-627.948944810632 243.715255450752 672.085886746104</t>
  </si>
  <si>
    <t>-474.403602332395 227.73762938153 756.418821610162</t>
  </si>
  <si>
    <t>-634.079013059972 -6.16243507409595 219.489712304099</t>
  </si>
  <si>
    <t>-661.227873204449 8.29145965892198 688.284489262996</t>
  </si>
  <si>
    <t>-503.711537513219 -29.453021094582 756.895514399512</t>
  </si>
  <si>
    <t>9763-20170724T164143.824787100.bin</t>
  </si>
  <si>
    <t>-612.075070315471 69.348931874929 -235.907362529005</t>
  </si>
  <si>
    <t>-635.610886677152 74.0855630201936 -354.614655530096</t>
  </si>
  <si>
    <t>-640.171669493298 64.5520060278062 -475.357599172364</t>
  </si>
  <si>
    <t>-636.351458498415 50.341258959927 -583.885524762957</t>
  </si>
  <si>
    <t>-624.676504971844 30.7140863262634 -690.999221844268</t>
  </si>
  <si>
    <t>-606.105505817627 43.2618664838793 -778.862893378366</t>
  </si>
  <si>
    <t>-583.175951281162 188.492175790326 -778.467283758665</t>
  </si>
  <si>
    <t>-522.120516582217 250.667548643932 -474.176944611091</t>
  </si>
  <si>
    <t>-330.9525719 213.868874197818 -301.716094209058</t>
  </si>
  <si>
    <t>-592.846849101183 166.158174817761 -235.399195631171</t>
  </si>
  <si>
    <t>-530.90010431861 218.486704719133 213.022517542353</t>
  </si>
  <si>
    <t>-628.052582124536 243.661391885046 672.100513512343</t>
  </si>
  <si>
    <t>-474.428919690072 227.770078008266 756.307095449429</t>
  </si>
  <si>
    <t>-634.064980542561 -6.38010108581214 219.517505738574</t>
  </si>
  <si>
    <t>-661.245454510498 8.19336965876843 688.303473377231</t>
  </si>
  <si>
    <t>-503.80454494558 -29.8696143468299 756.911645164493</t>
  </si>
  <si>
    <t>9763-20170724T164143.893982200.bin</t>
  </si>
  <si>
    <t>-612.978076926039 68.7547937319906 -235.80137515876</t>
  </si>
  <si>
    <t>-636.593357377875 73.5192804603199 -354.491848674178</t>
  </si>
  <si>
    <t>-641.371255039536 64.2544670799344 -475.247328518716</t>
  </si>
  <si>
    <t>-637.8055332479 50.3758973897976 -583.827008706752</t>
  </si>
  <si>
    <t>-626.442855532656 31.1628243736905 -691.049133138548</t>
  </si>
  <si>
    <t>-608.239139083281 44.1105006560873 -778.931603678707</t>
  </si>
  <si>
    <t>-585.443399559555 189.380717308296 -778.171491494814</t>
  </si>
  <si>
    <t>-517.985295059863 251.462191365627 -475.216877391385</t>
  </si>
  <si>
    <t>-327.682844886868 214.651270432511 -301.804117382817</t>
  </si>
  <si>
    <t>-594.259336879147 165.420711619265 -235.246370983217</t>
  </si>
  <si>
    <t>-531.207539417796 218.541764812291 212.927939782078</t>
  </si>
  <si>
    <t>-628.16009902762 243.50958140356 672.015324948079</t>
  </si>
  <si>
    <t>-474.435816766849 227.94464022692 756.099177556232</t>
  </si>
  <si>
    <t>-634.185743313288 -6.69980839610398 219.525742633896</t>
  </si>
  <si>
    <t>-661.226618008481 8.46521899419137 688.305472145573</t>
  </si>
  <si>
    <t>-503.515152999249 -28.5755460583805 756.851651129625</t>
  </si>
  <si>
    <t>9763-20170724T164143.926067200.bin</t>
  </si>
  <si>
    <t>-613.222216157785 68.4941399705267 -235.835170387422</t>
  </si>
  <si>
    <t>-636.922250057407 73.2635737909897 -354.508569071735</t>
  </si>
  <si>
    <t>-641.858226523353 64.1320393324874 -475.267887941517</t>
  </si>
  <si>
    <t>-638.464022814596 50.424308608392 -583.874580172194</t>
  </si>
  <si>
    <t>-627.299859847273 31.4302787678122 -691.156572456777</t>
  </si>
  <si>
    <t>-609.301843271181 44.591672093164 -779.049779478572</t>
  </si>
  <si>
    <t>-586.538789345483 189.852006601817 -777.96731402942</t>
  </si>
  <si>
    <t>-516.15465451837 250.794768996406 -475.447456451536</t>
  </si>
  <si>
    <t>-326.348145867139 214.573441376689 -301.36831659747</t>
  </si>
  <si>
    <t>-594.519537086012 165.207553481023 -235.321572981629</t>
  </si>
  <si>
    <t>-531.330510951055 218.372482891219 212.828300022285</t>
  </si>
  <si>
    <t>-628.156730584216 243.455863698999 671.931251437697</t>
  </si>
  <si>
    <t>-474.42779283621 227.992432836052 756.025244575566</t>
  </si>
  <si>
    <t>-634.202268017827 -6.87159456639698 219.503756053609</t>
  </si>
  <si>
    <t>-661.236977672753 8.45621176130449 688.295668625834</t>
  </si>
  <si>
    <t>-503.641419314702 -29.0614267829041 756.849259526889</t>
  </si>
  <si>
    <t>9763-20170724T164143.995783400.bin</t>
  </si>
  <si>
    <t>-613.485079546837 68.0848661494648 -235.906774613356</t>
  </si>
  <si>
    <t>-637.287894490374 72.9109453498166 -354.557316096084</t>
  </si>
  <si>
    <t>-642.438938914701 64.1257979205177 -475.333337399408</t>
  </si>
  <si>
    <t>-639.281725031046 50.8468555207829 -584.000496699979</t>
  </si>
  <si>
    <t>-628.393763017007 32.3949463105434 -691.40556537269</t>
  </si>
  <si>
    <t>-605.222714773922 1.50769409189851 -838.745570932521</t>
  </si>
  <si>
    <t>-610.651944603556 46.0753695992745 -779.271579028922</t>
  </si>
  <si>
    <t>-587.752799473948 191.319870175901 -777.546410984779</t>
  </si>
  <si>
    <t>-514.001206566759 247.975415242305 -474.995575088144</t>
  </si>
  <si>
    <t>-324.662622500692 213.579705262663 -300.03880103101</t>
  </si>
  <si>
    <t>-594.76056532283 164.784770723134 -235.392449677939</t>
  </si>
  <si>
    <t>-531.448226537991 217.994118630927 212.73480257944</t>
  </si>
  <si>
    <t>-628.137215602052 243.398078194893 671.831165478719</t>
  </si>
  <si>
    <t>-474.433008402852 227.953062464145 755.973773676455</t>
  </si>
  <si>
    <t>-634.132831627393 -7.09197709254409 219.457898424679</t>
  </si>
  <si>
    <t>-661.262105662102 8.4150495464711 688.267525500721</t>
  </si>
  <si>
    <t>-503.56836089327 -28.7306380810811 756.797610987589</t>
  </si>
  <si>
    <t>9763-20170724T164144.024860600.bin</t>
  </si>
  <si>
    <t>-613.636290677387 67.7219082132593 -235.934171911797</t>
  </si>
  <si>
    <t>-637.462254357605 72.5529358900797 -354.579871164117</t>
  </si>
  <si>
    <t>-642.719344005308 63.9070967982307 -475.361452503979</t>
  </si>
  <si>
    <t>-639.691765893134 50.8060771561491 -584.053839177484</t>
  </si>
  <si>
    <t>-628.96600937531 32.5817335942546 -691.513899070324</t>
  </si>
  <si>
    <t>-606.052875790443 2.05987661738663 -838.970373382337</t>
  </si>
  <si>
    <t>-611.359404295142 46.4777247250432 -779.373364016937</t>
  </si>
  <si>
    <t>-588.342784621832 191.726496222963 -777.310175660928</t>
  </si>
  <si>
    <t>-513.47701236297 246.592982809809 -474.703281001238</t>
  </si>
  <si>
    <t>-324.826828023538 211.957722071898 -299.051328178615</t>
  </si>
  <si>
    <t>-594.887243908662 164.446284145454 -235.42368413674</t>
  </si>
  <si>
    <t>-531.418892556922 217.701427461558 212.675983528604</t>
  </si>
  <si>
    <t>-628.101316439376 243.368390434797 671.758205298436</t>
  </si>
  <si>
    <t>-474.437868643663 227.883882130843 755.967994118353</t>
  </si>
  <si>
    <t>-634.200330259351 -7.33699541315297 219.433432790727</t>
  </si>
  <si>
    <t>-661.276458138326 8.3743923573509 688.249478194383</t>
  </si>
  <si>
    <t>-503.845219811391 -29.8115608385974 756.811537043804</t>
  </si>
  <si>
    <t>9763-20170724T164144.091622600.bin</t>
  </si>
  <si>
    <t>-613.837284429781 66.9281188064026 -235.928663519547</t>
  </si>
  <si>
    <t>-637.713105752547 71.788257188541 -354.563068061454</t>
  </si>
  <si>
    <t>-643.138998389102 63.4233624680938 -475.356972326188</t>
  </si>
  <si>
    <t>-640.312614101393 50.6734438306868 -584.09659569234</t>
  </si>
  <si>
    <t>-629.835335798905 32.8934265685125 -691.655587603568</t>
  </si>
  <si>
    <t>-607.314258338751 3.08165822784778 -839.317662788735</t>
  </si>
  <si>
    <t>-612.4173390163 47.2065471390198 -779.485656245736</t>
  </si>
  <si>
    <t>-589.043260429759 192.362864996702 -776.922228510732</t>
  </si>
  <si>
    <t>-513.91133131069 244.615828217737 -473.918847096562</t>
  </si>
  <si>
    <t>-327.147849435948 211.653372647242 -295.944310565546</t>
  </si>
  <si>
    <t>-594.955938860503 163.697666462991 -235.421335529582</t>
  </si>
  <si>
    <t>-531.349590272527 217.195889747564 212.62982207392</t>
  </si>
  <si>
    <t>-628.087902125901 243.309174611655 671.707850798554</t>
  </si>
  <si>
    <t>-474.457459459585 227.750418505092 755.964163035312</t>
  </si>
  <si>
    <t>-634.247442294735 -7.82486595237501 219.433182527183</t>
  </si>
  <si>
    <t>-661.306751432873 8.38733361593913 688.228709272208</t>
  </si>
  <si>
    <t>-503.980877631176 -30.2459261760733 756.782061594927</t>
  </si>
  <si>
    <t>9763-20170724T164144.125709400.bin</t>
  </si>
  <si>
    <t>-613.958521105886 66.5185508233475 -235.881928563331</t>
  </si>
  <si>
    <t>-637.896304333113 71.405235662161 -354.502842306722</t>
  </si>
  <si>
    <t>-643.420945818135 63.1792692074692 -475.301697014917</t>
  </si>
  <si>
    <t>-640.699810163405 50.5967719718431 -584.063600286191</t>
  </si>
  <si>
    <t>-630.343765407348 33.0232021509733 -691.668236319647</t>
  </si>
  <si>
    <t>-608.007549957744 3.53604652511247 -839.423412349687</t>
  </si>
  <si>
    <t>-613.009244022207 47.5260002809365 -779.483646296909</t>
  </si>
  <si>
    <t>-589.466923237806 192.666799465583 -776.631384104349</t>
  </si>
  <si>
    <t>-514.338982530746 242.728925491522 -473.257442229835</t>
  </si>
  <si>
    <t>-328.392427323227 208.757506138843 -294.618334705286</t>
  </si>
  <si>
    <t>-595.06499589311 163.303876061527 -235.348164927425</t>
  </si>
  <si>
    <t>-531.261824865724 216.996920489149 212.651772502848</t>
  </si>
  <si>
    <t>-628.122425769265 243.273174205124 671.727018442844</t>
  </si>
  <si>
    <t>-474.473668629867 227.694558701138 755.94623291937</t>
  </si>
  <si>
    <t>-634.191808208703 -8.11146231483337 219.459494505445</t>
  </si>
  <si>
    <t>-661.336187814257 8.30430155729164 688.228320866637</t>
  </si>
  <si>
    <t>-504.274476436238 -31.3499687105917 756.804393404432</t>
  </si>
  <si>
    <t>9763-20170724T164144.190615300.bin</t>
  </si>
  <si>
    <t>-614.232124006607 65.8552082395545 -235.721042182243</t>
  </si>
  <si>
    <t>-638.240853990946 70.8559841428055 -354.322835280408</t>
  </si>
  <si>
    <t>-643.911213165204 62.9449701128333 -475.135894144982</t>
  </si>
  <si>
    <t>-641.3542521768 50.7214526867614 -583.942732373118</t>
  </si>
  <si>
    <t>-631.194663480209 33.5758394816273 -691.635133928552</t>
  </si>
  <si>
    <t>-609.164643004095 4.75034035027409 -839.566816864537</t>
  </si>
  <si>
    <t>-613.996365210405 48.4657617008576 -779.412471079957</t>
  </si>
  <si>
    <t>-590.213713734524 193.544959627943 -776.01997558508</t>
  </si>
  <si>
    <t>-516.49161688417 240.803599364736 -471.8525645857</t>
  </si>
  <si>
    <t>-331.623956144104 204.81263203565 -292.490747623186</t>
  </si>
  <si>
    <t>-595.330799308231 162.528901088165 -235.089768945144</t>
  </si>
  <si>
    <t>-530.906578566293 216.713805701462 212.761976330744</t>
  </si>
  <si>
    <t>-628.222204217827 243.243514449955 671.747410376423</t>
  </si>
  <si>
    <t>-474.514618131674 227.551559479343 755.838131423663</t>
  </si>
  <si>
    <t>-634.048374482224 -8.34912199037236 219.519969868665</t>
  </si>
  <si>
    <t>-661.324019239379 8.64401273490591 688.230919597049</t>
  </si>
  <si>
    <t>-503.479111646108 -28.0203139998187 756.672219204211</t>
  </si>
  <si>
    <t>9763-20170724T164144.224706600.bin</t>
  </si>
  <si>
    <t>-614.344927215999 65.5389049754939 -235.640651996169</t>
  </si>
  <si>
    <t>-638.41591956408 70.6055699195796 -354.227032979063</t>
  </si>
  <si>
    <t>-644.154547316633 62.8319541181444 -475.045825629379</t>
  </si>
  <si>
    <t>-641.660307812524 50.761631778669 -583.871195224518</t>
  </si>
  <si>
    <t>-631.563574120215 33.7981668708444 -691.598347300366</t>
  </si>
  <si>
    <t>-609.619677073845 5.25552243864405 -839.597582361273</t>
  </si>
  <si>
    <t>-614.42800756458 48.857390354238 -779.35905393139</t>
  </si>
  <si>
    <t>-590.675842136846 193.938168996644 -775.782137847616</t>
  </si>
  <si>
    <t>-517.414562856459 240.874489664295 -471.453424598058</t>
  </si>
  <si>
    <t>-333.692996249508 203.33889759022 -291.232748419365</t>
  </si>
  <si>
    <t>-595.323398712304 162.262896130721 -234.979252153318</t>
  </si>
  <si>
    <t>-530.616689713195 216.522418955208 212.82274125658</t>
  </si>
  <si>
    <t>-628.26580531564 243.226061719177 671.727054268674</t>
  </si>
  <si>
    <t>-474.537912291677 227.454417098951 755.765789792125</t>
  </si>
  <si>
    <t>-633.992982064985 -8.58009963571507 219.542794345568</t>
  </si>
  <si>
    <t>-661.352216061468 8.54913899647761 688.242941621368</t>
  </si>
  <si>
    <t>-503.774213787087 -29.2075200652447 756.705363974875</t>
  </si>
  <si>
    <t>9763-20170724T164144.259811100.bin</t>
  </si>
  <si>
    <t>-614.436596567719 65.207169559126 -235.571314397985</t>
  </si>
  <si>
    <t>-638.555688428568 70.3377719913321 -354.145235222775</t>
  </si>
  <si>
    <t>-644.354627814461 62.6655981900598 -474.967695749447</t>
  </si>
  <si>
    <t>-641.917829608044 50.703666550797 -583.8061667376</t>
  </si>
  <si>
    <t>-631.879713483387 33.8661035468416 -691.558658164205</t>
  </si>
  <si>
    <t>-610.017428985095 5.51743256691957 -839.607305271126</t>
  </si>
  <si>
    <t>-614.816057219299 49.0433161881732 -779.313012483313</t>
  </si>
  <si>
    <t>-591.269010611452 194.140143915753 -775.644160565395</t>
  </si>
  <si>
    <t>-518.795718112645 242.541799277723 -471.356307526666</t>
  </si>
  <si>
    <t>-336.844984351166 205.232088487697 -289.301410276215</t>
  </si>
  <si>
    <t>-595.374275917084 161.932989577263 -234.868743355958</t>
  </si>
  <si>
    <t>-530.331861398823 216.413150619328 212.857791902053</t>
  </si>
  <si>
    <t>-628.305906948237 243.199168722359 671.696161305185</t>
  </si>
  <si>
    <t>-474.560475066202 227.351958148598 755.688523875043</t>
  </si>
  <si>
    <t>-633.976045385603 -8.85461718024498 219.56497093728</t>
  </si>
  <si>
    <t>-661.388958640184 8.37351112442661 688.254576201947</t>
  </si>
  <si>
    <t>-504.032836943934 -30.2709576945513 756.732022903399</t>
  </si>
  <si>
    <t>9763-20170724T164144.320981300.bin</t>
  </si>
  <si>
    <t>-614.700008568537 64.6488948979791 -235.491728265435</t>
  </si>
  <si>
    <t>-638.894264655032 69.8773108166803 -354.046044795188</t>
  </si>
  <si>
    <t>-644.801403560319 62.3202798826033 -474.870467801702</t>
  </si>
  <si>
    <t>-642.469857924213 50.475809424697 -583.724256403732</t>
  </si>
  <si>
    <t>-632.540667940275 33.7726409899318 -691.507623106778</t>
  </si>
  <si>
    <t>-610.830145795598 5.63179801433769 -839.618231010899</t>
  </si>
  <si>
    <t>-615.639932286233 49.0823238798164 -779.270514771294</t>
  </si>
  <si>
    <t>-592.58357581605 194.26308827837 -775.572637351014</t>
  </si>
  <si>
    <t>-519.931766057006 247.999131344604 -472.22409871504</t>
  </si>
  <si>
    <t>-339.238004829122 219.897374719163 -287.286007099587</t>
  </si>
  <si>
    <t>-595.626060137446 161.399388093162 -234.778069918823</t>
  </si>
  <si>
    <t>-530.16007075499 216.066710981203 212.86391190179</t>
  </si>
  <si>
    <t>-628.35460093998 243.073841414586 671.595869422284</t>
  </si>
  <si>
    <t>-474.582230687913 227.305245949793 755.553728519405</t>
  </si>
  <si>
    <t>-633.951818732425 -9.14200727291276 219.591605568258</t>
  </si>
  <si>
    <t>-661.39441149257 8.54774375789307 688.248581345597</t>
  </si>
  <si>
    <t>-504.056027051284 -30.2109152346196 756.702303611138</t>
  </si>
  <si>
    <t>9763-20170724T164144.390877800.bin</t>
  </si>
  <si>
    <t>-614.89228772078 64.4262073553615 -235.555325579669</t>
  </si>
  <si>
    <t>-639.144455507462 69.6559474915412 -354.097632003124</t>
  </si>
  <si>
    <t>-644.997209110207 62.1596608107564 -474.92861497826</t>
  </si>
  <si>
    <t>-642.570488954499 50.3956824890159 -583.788916016092</t>
  </si>
  <si>
    <t>-632.500439477058 33.799905492828 -691.575916563794</t>
  </si>
  <si>
    <t>-610.547136440381 5.83749241449647 -839.684457600025</t>
  </si>
  <si>
    <t>-615.463031911718 49.2161775982503 -779.293648063172</t>
  </si>
  <si>
    <t>-592.077734605778 194.320689070357 -775.348700533868</t>
  </si>
  <si>
    <t>-521.597201281619 249.19225750462 -471.691278204007</t>
  </si>
  <si>
    <t>-343.227581451717 222.171759863156 -284.351515544133</t>
  </si>
  <si>
    <t>-595.805298337698 160.996284225447 -234.857634084642</t>
  </si>
  <si>
    <t>-530.547420727944 215.887339445025 212.787379688907</t>
  </si>
  <si>
    <t>-628.385941205385 243.057416825472 671.566468928719</t>
  </si>
  <si>
    <t>-474.594940316494 227.241864699403 755.48140702971</t>
  </si>
  <si>
    <t>-633.707490671483 -9.12826670470687 219.560679003489</t>
  </si>
  <si>
    <t>-661.38208631351 8.71712346262889 688.228559824433</t>
  </si>
  <si>
    <t>-503.636454790383 -28.4589048521304 756.622767033616</t>
  </si>
  <si>
    <t>9763-20170724T164144.423964900.bin</t>
  </si>
  <si>
    <t>-615.033911240679 64.3741245660171 -235.586676153467</t>
  </si>
  <si>
    <t>-639.290072197046 69.6116837734187 -354.127873205446</t>
  </si>
  <si>
    <t>-645.026314106977 62.1642673953743 -474.967419311086</t>
  </si>
  <si>
    <t>-642.445157999722 50.4633566954854 -583.830990908836</t>
  </si>
  <si>
    <t>-632.172208485773 33.9511626333697 -691.611604723311</t>
  </si>
  <si>
    <t>-609.887316217434 6.12805404587486 -839.696890336304</t>
  </si>
  <si>
    <t>-614.946578777933 49.4509282974567 -779.277960483764</t>
  </si>
  <si>
    <t>-591.352264726572 194.541639542832 -775.019620624863</t>
  </si>
  <si>
    <t>-523.088389263438 247.574005404742 -470.53033779337</t>
  </si>
  <si>
    <t>-345.604721933788 219.630142358146 -282.485728612528</t>
  </si>
  <si>
    <t>-595.83762796984 160.95689341551 -234.900200004191</t>
  </si>
  <si>
    <t>-530.726283562885 215.81996360056 212.769616349281</t>
  </si>
  <si>
    <t>-628.42497864711 243.07910123875 671.590670775966</t>
  </si>
  <si>
    <t>-474.613113737181 227.166355207779 755.448800323918</t>
  </si>
  <si>
    <t>-633.650901710592 -9.15724083428893 219.54969556523</t>
  </si>
  <si>
    <t>-661.383127453363 8.7191099826492 688.222377560578</t>
  </si>
  <si>
    <t>-503.756403174467 -28.9298928933417 756.632026401065</t>
  </si>
  <si>
    <t>9763-20170724T164144.487901000.bin</t>
  </si>
  <si>
    <t>-615.452809562054 64.23721383743 -235.541389025968</t>
  </si>
  <si>
    <t>-639.667650857097 69.5260664646697 -354.088642056726</t>
  </si>
  <si>
    <t>-645.176393485973 62.1769710553128 -474.9448912031</t>
  </si>
  <si>
    <t>-642.311142397687 50.5922157586244 -583.813772342539</t>
  </si>
  <si>
    <t>-631.67508312649 34.2288203164372 -691.581749679777</t>
  </si>
  <si>
    <t>-608.803217678802 6.65182656104204 -839.623666173512</t>
  </si>
  <si>
    <t>-614.200402288969 49.8865120705878 -779.170737895231</t>
  </si>
  <si>
    <t>-590.98439935191 195.021909498472 -774.446122428903</t>
  </si>
  <si>
    <t>-526.202457833018 243.649243858151 -468.464160294349</t>
  </si>
  <si>
    <t>-347.941221871098 214.745105676747 -281.302372292758</t>
  </si>
  <si>
    <t>-596.257543932169 160.98254828783 -234.817059946386</t>
  </si>
  <si>
    <t>-530.963877710738 215.653947369814 212.849659662153</t>
  </si>
  <si>
    <t>-628.558419822643 243.108887105413 671.712259222384</t>
  </si>
  <si>
    <t>-474.673916186156 226.907223836233 755.381731469912</t>
  </si>
  <si>
    <t>-634.06718584854 -9.33425436335124 219.530075790422</t>
  </si>
  <si>
    <t>-661.409157815195 8.71840212732393 688.212728099674</t>
  </si>
  <si>
    <t>-503.847464354587 -29.1836897808853 756.632421822041</t>
  </si>
  <si>
    <t>9763-20170724T164144.527005200.bin</t>
  </si>
  <si>
    <t>-615.80028328902 64.281232851637 -235.495683675446</t>
  </si>
  <si>
    <t>-639.986328820913 69.5826008376953 -354.04834149788</t>
  </si>
  <si>
    <t>-645.39024354283 62.2432462949721 -474.909835379923</t>
  </si>
  <si>
    <t>-642.399587259494 50.6678987776197 -583.776486007432</t>
  </si>
  <si>
    <t>-631.607988789651 34.3157186911412 -691.530745257067</t>
  </si>
  <si>
    <t>-608.489642680421 6.75740247169138 -839.537867319797</t>
  </si>
  <si>
    <t>-614.044419513904 49.9914571586786 -779.098721601995</t>
  </si>
  <si>
    <t>-591.046208471416 195.150877751088 -774.318332123116</t>
  </si>
  <si>
    <t>-526.962637742049 243.099378659157 -468.082433600182</t>
  </si>
  <si>
    <t>-348.21438223202 211.988297771667 -281.740643396167</t>
  </si>
  <si>
    <t>-596.736103352786 161.145545280345 -234.726731974398</t>
  </si>
  <si>
    <t>-531.146318017853 215.675300322461 212.913915899941</t>
  </si>
  <si>
    <t>-628.67247407615 243.071131835932 671.819508243351</t>
  </si>
  <si>
    <t>-474.718420563623 226.804877078079 755.348264003034</t>
  </si>
  <si>
    <t>-634.307506977115 -9.45362067529361 219.535644686807</t>
  </si>
  <si>
    <t>-661.439101814873 8.64256477696749 688.21490032363</t>
  </si>
  <si>
    <t>-504.063698601272 -29.9672920852638 756.667646361029</t>
  </si>
  <si>
    <t>9763-20170724T164144.590182500.bin</t>
  </si>
  <si>
    <t>-616.744858160054 64.1553439688103 -235.34377692437</t>
  </si>
  <si>
    <t>-641.00333200253 69.4918901748983 -353.880100961007</t>
  </si>
  <si>
    <t>-646.24278034441 62.1372077340052 -474.747822786291</t>
  </si>
  <si>
    <t>-643.008371655137 50.529173900831 -583.603987789227</t>
  </si>
  <si>
    <t>-631.880773856274 34.1269712732601 -691.316472991561</t>
  </si>
  <si>
    <t>-608.202329936083 6.48318968733537 -839.219020884052</t>
  </si>
  <si>
    <t>-614.081816560745 49.7636346594459 -778.84394763521</t>
  </si>
  <si>
    <t>-591.33698213338 194.971276576645 -774.151671766948</t>
  </si>
  <si>
    <t>-527.751702888857 243.029659756638 -467.829201651764</t>
  </si>
  <si>
    <t>-346.669014843346 208.745391320811 -284.319767265051</t>
  </si>
  <si>
    <t>-598.151571201599 160.920656619645 -234.415507010427</t>
  </si>
  <si>
    <t>-531.40564306545 216.074219779662 212.977689417171</t>
  </si>
  <si>
    <t>-628.854521080386 242.973718146345 671.92576333741</t>
  </si>
  <si>
    <t>-474.743624119979 226.829204636696 755.188651923866</t>
  </si>
  <si>
    <t>-634.616822191328 -9.64103314045408 219.577174846738</t>
  </si>
  <si>
    <t>-661.442157025257 8.73370440030435 688.234515134633</t>
  </si>
  <si>
    <t>-503.954460062103 -29.4295247809255 756.679390872866</t>
  </si>
  <si>
    <t>9763-20170724T164144.624274600.bin</t>
  </si>
  <si>
    <t>-617.121190157098 64.1468891445485 -235.299753079876</t>
  </si>
  <si>
    <t>-641.409099147999 69.4894356994313 -353.829696909073</t>
  </si>
  <si>
    <t>-646.590502954415 62.115695077229 -474.698859520877</t>
  </si>
  <si>
    <t>-643.26753710245 50.4823782888249 -583.549437761357</t>
  </si>
  <si>
    <t>-632.015617111159 34.0482535208776 -691.244228277694</t>
  </si>
  <si>
    <t>-608.128405092013 6.3549928746053 -839.104112869546</t>
  </si>
  <si>
    <t>-614.150959330123 49.6623934581309 -778.76245250776</t>
  </si>
  <si>
    <t>-591.545912408148 194.902365879764 -774.170424086275</t>
  </si>
  <si>
    <t>-527.826746338115 243.23135697178 -467.918251944481</t>
  </si>
  <si>
    <t>-344.882962450654 207.064382050477 -286.629714505622</t>
  </si>
  <si>
    <t>-598.574180901195 160.960581748181 -234.377950405167</t>
  </si>
  <si>
    <t>-531.517497419831 216.143889087421 212.965113183807</t>
  </si>
  <si>
    <t>-628.908101089108 242.913402040616 671.927855648032</t>
  </si>
  <si>
    <t>-474.741516470253 226.827209144697 755.098831476225</t>
  </si>
  <si>
    <t>-634.739783403265 -9.6829918935852 219.586772062524</t>
  </si>
  <si>
    <t>-661.441322128392 8.84242282301483 688.23989586122</t>
  </si>
  <si>
    <t>-503.886903142907 -29.0652867711521 756.673166931647</t>
  </si>
  <si>
    <t>9763-20170724T164144.692492600.bin</t>
  </si>
  <si>
    <t>-617.696186026199 64.3848604413038 -235.318031982314</t>
  </si>
  <si>
    <t>-642.045941114971 69.7299882998074 -353.83518691948</t>
  </si>
  <si>
    <t>-647.143831155347 62.2182496750164 -474.699500351855</t>
  </si>
  <si>
    <t>-643.681655761984 50.4126775472922 -583.527279003377</t>
  </si>
  <si>
    <t>-632.22594998464 33.7650843847102 -691.167775732598</t>
  </si>
  <si>
    <t>-607.98795401373 5.73875410765883 -838.907528382017</t>
  </si>
  <si>
    <t>-614.284355032171 49.1969385362462 -778.702321151476</t>
  </si>
  <si>
    <t>-592.279023359177 194.524477051402 -774.443356612102</t>
  </si>
  <si>
    <t>-527.719325483759 244.045931536258 -468.557928460855</t>
  </si>
  <si>
    <t>-339.840399006969 206.585793687214 -292.659415125893</t>
  </si>
  <si>
    <t>-599.27762455491 161.30659232272 -234.387719627612</t>
  </si>
  <si>
    <t>-531.799807251837 216.222291631561 212.925046614496</t>
  </si>
  <si>
    <t>-628.993176552322 242.873646630652 671.895534017593</t>
  </si>
  <si>
    <t>-474.760462390454 226.797083631496 754.945717484828</t>
  </si>
  <si>
    <t>-634.938528785697 -9.64110816097566 219.562026773558</t>
  </si>
  <si>
    <t>-661.45548682723 8.84925686654664 688.238223260347</t>
  </si>
  <si>
    <t>-503.897656002245 -29.0386900370441 756.674722277471</t>
  </si>
  <si>
    <t>9763-20170724T164144.725564200.bin</t>
  </si>
  <si>
    <t>-618.035362499493 64.5410023193027 -235.336261032585</t>
  </si>
  <si>
    <t>-642.441071548874 69.8906213548761 -353.841795946514</t>
  </si>
  <si>
    <t>-647.5175125572 62.2852075515958 -474.70102878986</t>
  </si>
  <si>
    <t>-644.002038312871 50.3597463507871 -583.514058788774</t>
  </si>
  <si>
    <t>-632.458593409622 33.5604229513611 -691.121539263582</t>
  </si>
  <si>
    <t>-608.062900524721 5.29352093364184 -838.789575550291</t>
  </si>
  <si>
    <t>-614.478076453753 48.8557295278599 -778.672194097709</t>
  </si>
  <si>
    <t>-592.659698603065 194.223573316734 -774.666827107187</t>
  </si>
  <si>
    <t>-526.802275086679 244.406400998452 -469.166059450312</t>
  </si>
  <si>
    <t>-337.392061986026 205.794490354158 -295.169149627009</t>
  </si>
  <si>
    <t>-599.686983316139 161.489103308275 -234.395526291183</t>
  </si>
  <si>
    <t>-531.904016034917 216.334138825213 212.879650831674</t>
  </si>
  <si>
    <t>-629.027470809719 242.841119627933 671.87306725908</t>
  </si>
  <si>
    <t>-474.773364930196 226.760885754117 754.882746530372</t>
  </si>
  <si>
    <t>-635.059691052944 -9.5851476317491 219.54259630199</t>
  </si>
  <si>
    <t>-661.460371567333 8.83946792847132 688.238052554341</t>
  </si>
  <si>
    <t>-503.980046247417 -29.346359088277 756.687236883831</t>
  </si>
  <si>
    <t>9763-20170724T164144.790565300.bin</t>
  </si>
  <si>
    <t>-618.94588343455 64.4058774903201 -235.53176341678</t>
  </si>
  <si>
    <t>-643.502814798787 69.7568815166556 -354.005840200322</t>
  </si>
  <si>
    <t>-648.678536452168 61.9641868769098 -474.848968037008</t>
  </si>
  <si>
    <t>-645.230559573194 49.7930188696315 -583.637024627883</t>
  </si>
  <si>
    <t>-633.732984511122 32.672175196208 -691.198765473369</t>
  </si>
  <si>
    <t>-609.379920675408 3.88092689465205 -838.772483086812</t>
  </si>
  <si>
    <t>-615.799287430912 47.6587647712498 -778.812334725719</t>
  </si>
  <si>
    <t>-593.981820905229 193.035377068893 -775.277425230638</t>
  </si>
  <si>
    <t>-524.891448915138 243.489876972153 -470.536608378312</t>
  </si>
  <si>
    <t>-332.603525140932 204.915707475666 -299.716718375608</t>
  </si>
  <si>
    <t>-600.878132675372 160.843232564383 -234.634182398811</t>
  </si>
  <si>
    <t>-532.508683601298 216.229460270946 212.485047651881</t>
  </si>
  <si>
    <t>-628.942983457306 241.996847813712 671.400466062532</t>
  </si>
  <si>
    <t>-474.991788950559 226.033962155214 754.993036702981</t>
  </si>
  <si>
    <t>-635.344643223475 -9.61121997151447 219.417446452813</t>
  </si>
  <si>
    <t>-661.453294327839 8.88934084749914 688.192121444545</t>
  </si>
  <si>
    <t>-503.893363563428 -28.9919799016901 756.627384967296</t>
  </si>
  <si>
    <t>9763-20170724T164144.823652400.bin</t>
  </si>
  <si>
    <t>-619.296652760383 64.1043200063999 -235.71142245397</t>
  </si>
  <si>
    <t>-643.870224270376 69.4492216330164 -354.182325193359</t>
  </si>
  <si>
    <t>-649.102648371111 61.5642844828608 -475.017065703426</t>
  </si>
  <si>
    <t>-645.721860617886 49.2746673155029 -583.793773876474</t>
  </si>
  <si>
    <t>-634.306930213131 32.0002126495125 -691.339713342679</t>
  </si>
  <si>
    <t>-610.084622810565 2.95885153323472 -838.886017377931</t>
  </si>
  <si>
    <t>-616.442504259479 46.8373486881661 -778.992909353099</t>
  </si>
  <si>
    <t>-594.458246903223 192.200990361617 -775.628578047192</t>
  </si>
  <si>
    <t>-523.809450090775 242.22980213353 -471.17484275935</t>
  </si>
  <si>
    <t>-330.850438886319 203.800114605976 -301.080561205107</t>
  </si>
  <si>
    <t>-601.146996220891 160.291884878475 -234.962110134162</t>
  </si>
  <si>
    <t>-532.789897525996 216.038088894023 212.114308566734</t>
  </si>
  <si>
    <t>-628.592860529432 241.739408675168 670.973717009271</t>
  </si>
  <si>
    <t>-475.030379867524 225.660385630152 755.256255810445</t>
  </si>
  <si>
    <t>-635.459510304952 -9.74747189961597 219.285133338808</t>
  </si>
  <si>
    <t>-661.457457603946 8.90577275067182 688.127957398277</t>
  </si>
  <si>
    <t>-503.873492557419 -28.8831846152238 756.55909540617</t>
  </si>
  <si>
    <t>9763-20170724T164144.892854200.bin</t>
  </si>
  <si>
    <t>-619.480290355075 63.663784671963 -236.350486266573</t>
  </si>
  <si>
    <t>-644.268220776957 68.9918201272544 -354.77756577313</t>
  </si>
  <si>
    <t>-649.752003511668 60.8921855622979 -475.586919104239</t>
  </si>
  <si>
    <t>-646.611747067601 48.3264711309672 -584.339318786983</t>
  </si>
  <si>
    <t>-635.450223298597 30.6937519690529 -691.853851099626</t>
  </si>
  <si>
    <t>-611.593592013949 1.06879905175467 -839.34356290125</t>
  </si>
  <si>
    <t>-617.737326796051 45.1767353483357 -779.596960632868</t>
  </si>
  <si>
    <t>-595.370093105468 190.491929531023 -776.732209402138</t>
  </si>
  <si>
    <t>-522.516070189114 240.022383098842 -472.71711632188</t>
  </si>
  <si>
    <t>-329.009779512028 202.008972173069 -303.151963420201</t>
  </si>
  <si>
    <t>-601.126055192706 159.386102383544 -235.858860035513</t>
  </si>
  <si>
    <t>-532.589821488211 215.95598865538 211.086604271153</t>
  </si>
  <si>
    <t>-627.421008639944 241.519317874447 670.087372183229</t>
  </si>
  <si>
    <t>-474.837349460805 224.765585526093 756.000446142063</t>
  </si>
  <si>
    <t>-635.324491320799 -9.8792641991764 218.896685051285</t>
  </si>
  <si>
    <t>-661.415458422099 9.11581500844255 687.93267635688</t>
  </si>
  <si>
    <t>-503.660741826017 -28.0082887781198 756.3342883794</t>
  </si>
  <si>
    <t>9763-20170724T164144.925942700.bin</t>
  </si>
  <si>
    <t>-619.612299596594 63.6537248702613 -236.540506903053</t>
  </si>
  <si>
    <t>-644.440978397299 68.9847275412241 -354.958904127006</t>
  </si>
  <si>
    <t>-650.047259749167 60.8106649487862 -475.757517216444</t>
  </si>
  <si>
    <t>-647.049921345457 48.1451536662729 -584.502486727351</t>
  </si>
  <si>
    <t>-636.062728562993 30.3797482530405 -692.013064290141</t>
  </si>
  <si>
    <t>-612.480187689659 0.535533428126712 -839.502629946841</t>
  </si>
  <si>
    <t>-618.469910628815 44.7275368640307 -779.802437287989</t>
  </si>
  <si>
    <t>-595.832854699076 189.996012673301 -777.198277909679</t>
  </si>
  <si>
    <t>-522.4153932886 239.573782341776 -473.326453378502</t>
  </si>
  <si>
    <t>-329.183247490926 201.437217934564 -303.476617286167</t>
  </si>
  <si>
    <t>-601.177851255599 159.309776723726 -236.035281903242</t>
  </si>
  <si>
    <t>-532.674608012376 216.107407913421 210.886470792928</t>
  </si>
  <si>
    <t>-627.140130607118 241.612148391894 670.129180938319</t>
  </si>
  <si>
    <t>-474.818270050449 224.566677938144 756.448490747415</t>
  </si>
  <si>
    <t>-635.333253826955 -9.89666243725287 218.762955598929</t>
  </si>
  <si>
    <t>-661.41436613728 9.03397154149445 687.859288575869</t>
  </si>
  <si>
    <t>-503.696228216976 -28.2284586896269 756.269935032562</t>
  </si>
  <si>
    <t>9763-20170724T164144.989628500.bin</t>
  </si>
  <si>
    <t>-619.731848560515 64.0009351026974 -236.795093837786</t>
  </si>
  <si>
    <t>-644.538426671535 69.2983756710208 -355.219736319332</t>
  </si>
  <si>
    <t>-650.311874797215 60.9183642992093 -475.996362037878</t>
  </si>
  <si>
    <t>-647.538503777987 47.9995836143624 -584.717426034571</t>
  </si>
  <si>
    <t>-636.845138322989 29.9158463333153 -692.204589388163</t>
  </si>
  <si>
    <t>-619.461983403901 43.9524799916458 -780.086070957037</t>
  </si>
  <si>
    <t>-596.51481060392 189.17761184161 -777.846015070029</t>
  </si>
  <si>
    <t>-521.847195858088 239.179646947936 -474.348590248835</t>
  </si>
  <si>
    <t>-328.74820967087 200.956464679883 -304.366628827545</t>
  </si>
  <si>
    <t>-600.974553714345 159.66331176179 -236.401920481862</t>
  </si>
  <si>
    <t>-533.1239823123 216.235937952279 210.647953061297</t>
  </si>
  <si>
    <t>-626.413709171885 241.888890470885 669.861690630926</t>
  </si>
  <si>
    <t>-474.746638662531 224.26632737746 757.211872168831</t>
  </si>
  <si>
    <t>-635.535739552717 -9.75184561504648 218.610653585702</t>
  </si>
  <si>
    <t>-661.401592639788 8.96234639965203 687.753537161733</t>
  </si>
  <si>
    <t>-503.667153206987 -28.2136917484515 756.173518826113</t>
  </si>
  <si>
    <t>9763-20170724T164145.022717000.bin</t>
  </si>
  <si>
    <t>-619.546228149078 64.2091205193192 -236.98138119758</t>
  </si>
  <si>
    <t>-644.373534807559 69.4605312068688 -355.403564775574</t>
  </si>
  <si>
    <t>-650.209807124592 61.0096760139756 -476.172233828965</t>
  </si>
  <si>
    <t>-647.511690814925 48.0143041256375 -584.886110493854</t>
  </si>
  <si>
    <t>-636.912347910558 29.8397600891786 -692.367160767479</t>
  </si>
  <si>
    <t>-619.577841048737 43.7868260305981 -780.272613211338</t>
  </si>
  <si>
    <t>-596.362403366985 188.963012224784 -778.174035937141</t>
  </si>
  <si>
    <t>-520.804550609838 239.17230192134 -474.931237692398</t>
  </si>
  <si>
    <t>-327.44263404202 201.322781253406 -305.164908185925</t>
  </si>
  <si>
    <t>-600.601301068719 159.866701577791 -236.66942197503</t>
  </si>
  <si>
    <t>-533.138956990968 216.404762380626 210.443489111656</t>
  </si>
  <si>
    <t>-625.863559775174 242.211616782851 669.703892927818</t>
  </si>
  <si>
    <t>-474.617617942463 224.104900141404 757.68296975149</t>
  </si>
  <si>
    <t>-635.494760862499 -9.68456408228998 218.51453824553</t>
  </si>
  <si>
    <t>-661.39739227266 8.96566776385492 687.689026746422</t>
  </si>
  <si>
    <t>-503.823232207555 -28.8294021876617 756.139281576782</t>
  </si>
  <si>
    <t>9763-20170724T164145.093015100.bin</t>
  </si>
  <si>
    <t>-619.596413830567 64.9790744740118 -237.186705026012</t>
  </si>
  <si>
    <t>-644.521306825073 70.0865415883054 -355.594756027015</t>
  </si>
  <si>
    <t>-650.512284877407 61.4976747004327 -476.346097427526</t>
  </si>
  <si>
    <t>-647.984877518012 48.3677629454511 -585.047914516998</t>
  </si>
  <si>
    <t>-637.591429105536 30.0409066041159 -692.523305837244</t>
  </si>
  <si>
    <t>-620.371762798497 43.8370307590274 -780.47494253659</t>
  </si>
  <si>
    <t>-596.938925295404 188.990924748684 -778.608475243834</t>
  </si>
  <si>
    <t>-517.942397391504 238.600630601241 -476.144169490306</t>
  </si>
  <si>
    <t>-324.382411442788 201.135474522115 -306.518402445088</t>
  </si>
  <si>
    <t>-600.704600923057 160.853735663374 -236.932559883238</t>
  </si>
  <si>
    <t>-533.732451770939 216.932377032787 210.311877259664</t>
  </si>
  <si>
    <t>-625.234450441192 242.734310529457 669.919927009757</t>
  </si>
  <si>
    <t>-474.463804661993 224.19114610406 758.620933215147</t>
  </si>
  <si>
    <t>-635.271018830011 -9.26716894328861 218.411920155679</t>
  </si>
  <si>
    <t>-661.377759002381 8.93221319821754 687.623836308952</t>
  </si>
  <si>
    <t>-503.733523218209 -28.5594507624929 756.079462537374</t>
  </si>
  <si>
    <t>9763-20170724T164145.124095100.bin</t>
  </si>
  <si>
    <t>-619.723183032958 65.4013574898836 -237.169797469751</t>
  </si>
  <si>
    <t>-644.663944411648 70.4932801389033 -355.575265069747</t>
  </si>
  <si>
    <t>-650.682190985678 61.8883154911607 -476.324161028265</t>
  </si>
  <si>
    <t>-648.1875784249 48.7383807961973 -585.024221200898</t>
  </si>
  <si>
    <t>-637.837042206555 30.3826440987342 -692.498752022269</t>
  </si>
  <si>
    <t>-620.650682478833 44.1462929613839 -780.462116403461</t>
  </si>
  <si>
    <t>-597.101496656387 189.261321567938 -778.672318877283</t>
  </si>
  <si>
    <t>-516.077685042135 238.325775543441 -476.655665080381</t>
  </si>
  <si>
    <t>-322.59558328326 201.056730004671 -306.897686965789</t>
  </si>
  <si>
    <t>-600.856474813766 161.251860969542 -236.84967371204</t>
  </si>
  <si>
    <t>-533.8618112365 217.257476920681 210.400524497804</t>
  </si>
  <si>
    <t>-625.028174446613 242.979777011892 670.109891195262</t>
  </si>
  <si>
    <t>-474.379815615829 224.325094663998 758.99520248788</t>
  </si>
  <si>
    <t>-635.153101062647 -9.09043790021512 218.403485421995</t>
  </si>
  <si>
    <t>-661.364977721217 8.85406187040363 687.620188845921</t>
  </si>
  <si>
    <t>-503.769119560837 -28.8041091240933 756.095829235503</t>
  </si>
  <si>
    <t>9763-20170724T164145.191814500.bin</t>
  </si>
  <si>
    <t>-620.346476642971 66.1367062299547 -236.912015992346</t>
  </si>
  <si>
    <t>-645.421620280841 71.206166470431 -355.290063705857</t>
  </si>
  <si>
    <t>-651.523892235946 62.6004333701441 -476.034660856939</t>
  </si>
  <si>
    <t>-649.089992023382 49.4500862976394 -584.736010595059</t>
  </si>
  <si>
    <t>-638.788480580131 31.0886753632449 -692.214310181955</t>
  </si>
  <si>
    <t>-616.291972845028 0.285218387342034 -839.67647629428</t>
  </si>
  <si>
    <t>-621.634403732515 44.8412265352577 -780.185805730591</t>
  </si>
  <si>
    <t>-597.797756139489 189.94248649188 -778.33570690394</t>
  </si>
  <si>
    <t>-513.264197890136 237.440686609429 -477.031589979295</t>
  </si>
  <si>
    <t>-320.233995334862 200.394960311919 -306.711136444624</t>
  </si>
  <si>
    <t>-601.698359704326 162.041069684041 -236.352936027708</t>
  </si>
  <si>
    <t>-533.876009910599 218.04439001422 210.772851149256</t>
  </si>
  <si>
    <t>-625.016543586855 243.280156447151 670.724458683609</t>
  </si>
  <si>
    <t>-474.293759488904 224.683976293843 759.49577625318</t>
  </si>
  <si>
    <t>-635.403010426016 -8.83307273071942 218.534652873924</t>
  </si>
  <si>
    <t>-661.316613275303 8.94840626551419 687.679859737628</t>
  </si>
  <si>
    <t>-503.518500636488 -27.8504582776992 756.157007856118</t>
  </si>
  <si>
    <t>9763-20170724T164145.224901600.bin</t>
  </si>
  <si>
    <t>-620.792530593428 66.3746583785121 -236.713957532765</t>
  </si>
  <si>
    <t>-645.922538811682 71.4485123354017 -355.080054365978</t>
  </si>
  <si>
    <t>-652.037430260782 62.8386694218878 -475.823865868738</t>
  </si>
  <si>
    <t>-649.599682814573 49.6783775270096 -584.524007633253</t>
  </si>
  <si>
    <t>-639.280552528395 31.2992019192735 -691.997479763805</t>
  </si>
  <si>
    <t>-616.746562385563 0.461505474006493 -839.446679815889</t>
  </si>
  <si>
    <t>-622.101002554879 45.030974238405 -779.967158888094</t>
  </si>
  <si>
    <t>-598.106262160155 190.104573073806 -778.128628910507</t>
  </si>
  <si>
    <t>-512.678534897777 236.650783349 -476.928061961398</t>
  </si>
  <si>
    <t>-319.611653771638 199.245214257845 -306.728029183877</t>
  </si>
  <si>
    <t>-602.20239315581 162.317403485355 -236.03398997514</t>
  </si>
  <si>
    <t>-533.990369401954 218.496753224172 211.010349559033</t>
  </si>
  <si>
    <t>-625.18944229439 243.427739173313 671.046630193341</t>
  </si>
  <si>
    <t>-474.307637953755 224.878234816375 759.557177931422</t>
  </si>
  <si>
    <t>-635.685065105622 -8.86556770449484 218.648789279098</t>
  </si>
  <si>
    <t>-661.315506826623 8.78404554712861 687.746642235311</t>
  </si>
  <si>
    <t>-503.617689248544 -28.2781230402432 756.312709045473</t>
  </si>
  <si>
    <t>9763-20170724T164145.289109000.bin</t>
  </si>
  <si>
    <t>-621.629917332895 66.9172212272842 -236.17238006558</t>
  </si>
  <si>
    <t>-646.666321470426 72.0117068658684 -354.557462876517</t>
  </si>
  <si>
    <t>-652.703974760572 63.3474530789734 -475.301300989779</t>
  </si>
  <si>
    <t>-650.204273985969 50.10719021152 -583.990170260333</t>
  </si>
  <si>
    <t>-639.831717093375 31.6172013966172 -691.439589633881</t>
  </si>
  <si>
    <t>-617.233370279159 0.593513634238683 -838.839946987652</t>
  </si>
  <si>
    <t>-622.611666113913 45.2376970898951 -779.418719397763</t>
  </si>
  <si>
    <t>-598.372579524588 190.273704939095 -777.645234947609</t>
  </si>
  <si>
    <t>-511.681795412324 235.418374787247 -476.592285807643</t>
  </si>
  <si>
    <t>-318.336164421111 196.253531935517 -307.105816731134</t>
  </si>
  <si>
    <t>-602.831566114526 163.28029008907 -235.297537098802</t>
  </si>
  <si>
    <t>-534.08884929007 219.354408360506 211.678778462758</t>
  </si>
  <si>
    <t>-625.890608527531 243.866160430903 671.875406724641</t>
  </si>
  <si>
    <t>-474.389812873105 225.007718199559 759.256068793028</t>
  </si>
  <si>
    <t>-636.447109009798 -9.0229905193585 219.003773178116</t>
  </si>
  <si>
    <t>-661.279399389516 8.31212273772876 687.98013384254</t>
  </si>
  <si>
    <t>-503.801540632886 -29.127275898428 756.846135867762</t>
  </si>
  <si>
    <t>9763-20170724T164145.322196800.bin</t>
  </si>
  <si>
    <t>-621.978465089479 67.3851580283552 -235.913883157947</t>
  </si>
  <si>
    <t>-646.958014231633 72.4677876489566 -354.311598405504</t>
  </si>
  <si>
    <t>-652.92678294929 63.7534841597483 -475.055033337742</t>
  </si>
  <si>
    <t>-650.360730563275 50.4525765318605 -583.735088314102</t>
  </si>
  <si>
    <t>-639.918697038491 31.8868817965412 -691.164682971299</t>
  </si>
  <si>
    <t>-617.221159676263 0.742702027058542 -838.524389762386</t>
  </si>
  <si>
    <t>-622.629205510455 45.4342417871757 -779.141521408394</t>
  </si>
  <si>
    <t>-598.30848969345 190.439863463012 -777.420119586247</t>
  </si>
  <si>
    <t>-510.989587955313 235.160018338488 -476.485541418795</t>
  </si>
  <si>
    <t>-317.561383279236 194.62629664157 -307.415723360757</t>
  </si>
  <si>
    <t>-603.173118386287 163.969829814595 -234.973218469024</t>
  </si>
  <si>
    <t>-534.321549810988 219.757839187424 212.022100552053</t>
  </si>
  <si>
    <t>-626.28632667626 244.05757168311 672.166837985344</t>
  </si>
  <si>
    <t>-474.44568764116 225.075772729608 758.928689057229</t>
  </si>
  <si>
    <t>-636.919235922167 -8.97614574413644 219.198794272479</t>
  </si>
  <si>
    <t>-661.240277017597 8.21475489929679 688.117406311145</t>
  </si>
  <si>
    <t>-503.661988869553 -28.5757727901177 757.103291780196</t>
  </si>
  <si>
    <t>9763-20170724T164145.392433900.bin</t>
  </si>
  <si>
    <t>-622.744292531229 68.3130804386067 -235.490144691801</t>
  </si>
  <si>
    <t>-647.565292925304 73.3439567404644 -353.923353898995</t>
  </si>
  <si>
    <t>-653.387983615258 64.5063743811249 -474.664973853298</t>
  </si>
  <si>
    <t>-650.698583351521 51.0633244151867 -583.324487199353</t>
  </si>
  <si>
    <t>-640.143817802242 32.3240484673675 -690.71309716663</t>
  </si>
  <si>
    <t>-617.302702341807 0.905349187664172 -837.992312457949</t>
  </si>
  <si>
    <t>-622.711184865041 45.7007647884701 -778.687717001928</t>
  </si>
  <si>
    <t>-597.950172451068 190.651620165543 -777.154593600598</t>
  </si>
  <si>
    <t>-509.512415473194 234.580786012481 -476.430159466692</t>
  </si>
  <si>
    <t>-315.974550177178 192.36312356083 -307.898782134714</t>
  </si>
  <si>
    <t>-603.81263797731 165.106648596295 -234.504561427186</t>
  </si>
  <si>
    <t>-534.937781327522 220.740075975806 212.506363288275</t>
  </si>
  <si>
    <t>-627.053992394023 244.414527993647 672.651183703303</t>
  </si>
  <si>
    <t>-474.516670421745 225.269309103756 758.145842660771</t>
  </si>
  <si>
    <t>-637.760823743593 -8.75727404552453 219.549448533608</t>
  </si>
  <si>
    <t>-661.172419013387 7.96167646667435 688.390622842602</t>
  </si>
  <si>
    <t>-503.483595337864 -27.9601806803721 757.5815431569</t>
  </si>
  <si>
    <t>9763-20170724T164145.425537200.bin</t>
  </si>
  <si>
    <t>-623.164498837628 68.5953018964222 -235.386988895837</t>
  </si>
  <si>
    <t>-647.883087328137 73.5899591355354 -353.843113423343</t>
  </si>
  <si>
    <t>-653.610455744666 64.6739083397633 -474.583582782151</t>
  </si>
  <si>
    <t>-650.839957495903 51.1415140265171 -583.229942329222</t>
  </si>
  <si>
    <t>-640.210778563951 32.2941262890915 -690.59224428806</t>
  </si>
  <si>
    <t>-617.274335992135 0.705046805475568 -837.820170369624</t>
  </si>
  <si>
    <t>-622.666215506946 45.5625353685946 -778.560922532078</t>
  </si>
  <si>
    <t>-597.637527199621 190.459926054476 -777.125894712956</t>
  </si>
  <si>
    <t>-509.067801521076 233.785725711417 -476.352733146539</t>
  </si>
  <si>
    <t>-315.550444586334 190.466813036173 -308.077459905259</t>
  </si>
  <si>
    <t>-604.233540407889 165.385373819121 -234.451940046488</t>
  </si>
  <si>
    <t>-535.417850309997 221.099672331291 212.558100402909</t>
  </si>
  <si>
    <t>-627.232551133355 244.516871171335 672.644699529719</t>
  </si>
  <si>
    <t>-474.497369202797 225.362036312471 757.783195584381</t>
  </si>
  <si>
    <t>-638.173920242448 -8.69380364147 219.662644428013</t>
  </si>
  <si>
    <t>-661.128673481377 7.94347918483834 688.492048493437</t>
  </si>
  <si>
    <t>-503.377130666188 -27.5795551890836 757.74569188086</t>
  </si>
  <si>
    <t>9763-20170724T164145.493237500.bin</t>
  </si>
  <si>
    <t>-623.83875900463 68.9922693429354 -235.546250127817</t>
  </si>
  <si>
    <t>-648.419959013267 73.939110130846 -354.032887899293</t>
  </si>
  <si>
    <t>-653.967281529192 64.8235890814871 -474.766959404993</t>
  </si>
  <si>
    <t>-651.021231269684 51.0470409756971 -583.378182486785</t>
  </si>
  <si>
    <t>-640.207196663955 31.8915582432956 -690.667335598738</t>
  </si>
  <si>
    <t>-622.371200745714 44.8479292053254 -778.623917951327</t>
  </si>
  <si>
    <t>-596.688946710592 189.63058565242 -777.420177646473</t>
  </si>
  <si>
    <t>-508.228869308095 232.731376429168 -476.582588031706</t>
  </si>
  <si>
    <t>-314.723380791276 187.55176267433 -308.783556352454</t>
  </si>
  <si>
    <t>-604.796759797986 165.85543649023 -234.882121030159</t>
  </si>
  <si>
    <t>-536.284956678102 221.271829164706 212.211666166776</t>
  </si>
  <si>
    <t>-627.389827176724 244.665726186409 672.309929263328</t>
  </si>
  <si>
    <t>-474.559449100313 225.341423133682 757.239036700798</t>
  </si>
  <si>
    <t>-638.881710454421 -8.66469987387013 219.650622443168</t>
  </si>
  <si>
    <t>-661.098168725408 7.82752789340169 688.565846637996</t>
  </si>
  <si>
    <t>-503.560641358252 -28.4965788336237 757.891084049431</t>
  </si>
  <si>
    <t>9763-20170724T164145.526325000.bin</t>
  </si>
  <si>
    <t>-624.029663804655 69.2177843516221 -235.711434407717</t>
  </si>
  <si>
    <t>-648.540963563795 74.1342616020306 -354.213885350076</t>
  </si>
  <si>
    <t>-654.023212918605 64.9332810259474 -474.944356801801</t>
  </si>
  <si>
    <t>-651.023322480292 51.0546367071903 -583.541040146971</t>
  </si>
  <si>
    <t>-640.161985595662 31.7710133538793 -690.80244897337</t>
  </si>
  <si>
    <t>-622.223464574502 44.5957073247148 -778.757566563929</t>
  </si>
  <si>
    <t>-596.188661369687 189.311044729265 -777.707820293928</t>
  </si>
  <si>
    <t>-507.489166815029 232.385105390004 -476.936835285344</t>
  </si>
  <si>
    <t>-314.1297804299 186.686024433139 -309.110120421254</t>
  </si>
  <si>
    <t>-604.902331330681 166.17437458216 -235.11371939952</t>
  </si>
  <si>
    <t>-536.499941166397 221.351422061337 212.026327158586</t>
  </si>
  <si>
    <t>-627.478923041333 244.728810692649 672.194750728002</t>
  </si>
  <si>
    <t>-474.624094137439 225.30159632613 757.056371094603</t>
  </si>
  <si>
    <t>-639.177945704425 -8.60054433533615 219.569176672898</t>
  </si>
  <si>
    <t>-661.086247372087 7.77876804054468 688.554043388892</t>
  </si>
  <si>
    <t>-503.616419671121 -28.7873685447242 757.906011868547</t>
  </si>
  <si>
    <t>9763-20170724T164145.591057700.bin</t>
  </si>
  <si>
    <t>-624.075213929896 69.7077894563695 -235.869277537875</t>
  </si>
  <si>
    <t>-648.577640010702 74.6707436665192 -354.371584798601</t>
  </si>
  <si>
    <t>-654.021879332141 65.3188608019335 -475.092247506639</t>
  </si>
  <si>
    <t>-650.978025470859 51.2217822586648 -583.659476538091</t>
  </si>
  <si>
    <t>-640.065588098415 31.6379244598421 -690.86145966594</t>
  </si>
  <si>
    <t>-621.98415393036 44.1497923950868 -778.83226139625</t>
  </si>
  <si>
    <t>-595.493257147788 188.787533331064 -778.085882849635</t>
  </si>
  <si>
    <t>-505.299028611171 231.485026088795 -477.705906638381</t>
  </si>
  <si>
    <t>-312.174069452994 185.61662061558 -309.655737678341</t>
  </si>
  <si>
    <t>-604.853429023044 166.750060795049 -235.260643411926</t>
  </si>
  <si>
    <t>-536.203322741526 221.536432663004 211.889570352702</t>
  </si>
  <si>
    <t>-627.539755275127 244.655642699018 672.011244287668</t>
  </si>
  <si>
    <t>-474.682316476033 225.247318228065 756.872520403826</t>
  </si>
  <si>
    <t>-639.464455020532 -8.45676344693987 219.45948372767</t>
  </si>
  <si>
    <t>-661.082103314079 7.64593684972751 688.531116700782</t>
  </si>
  <si>
    <t>-503.534855222701 -28.5245230037863 757.914637068522</t>
  </si>
  <si>
    <t>9763-20170724T164145.626150500.bin</t>
  </si>
  <si>
    <t>-624.019686245708 69.9493343850226 -235.956593301243</t>
  </si>
  <si>
    <t>-648.583528227793 74.974751940835 -354.443678757736</t>
  </si>
  <si>
    <t>-654.044033288868 65.5766953452451 -475.159957912385</t>
  </si>
  <si>
    <t>-650.99693155457 51.392915391913 -583.715775910643</t>
  </si>
  <si>
    <t>-640.064302956675 31.6778802060353 -690.891559095714</t>
  </si>
  <si>
    <t>-621.916980941858 44.0481090233367 -778.868902800367</t>
  </si>
  <si>
    <t>-595.203696710353 188.649726114207 -778.287149035829</t>
  </si>
  <si>
    <t>-504.094819488 231.118239670937 -478.150658948539</t>
  </si>
  <si>
    <t>-311.073834009611 185.319175892971 -309.962195500814</t>
  </si>
  <si>
    <t>-604.73884671884 167.097485869671 -235.344482410952</t>
  </si>
  <si>
    <t>-535.938889373636 221.602586595837 211.817075037324</t>
  </si>
  <si>
    <t>-627.470387567753 244.616025505748 671.86508687734</t>
  </si>
  <si>
    <t>-474.692372318463 225.220754814935 756.872258349116</t>
  </si>
  <si>
    <t>-639.453000438125 -8.37295049543066 219.388127243487</t>
  </si>
  <si>
    <t>-661.070173574064 7.64285361422212 688.500344369782</t>
  </si>
  <si>
    <t>-503.615087669367 -28.915601450084 757.889653696299</t>
  </si>
  <si>
    <t>9763-20170724T164145.687343000.bin</t>
  </si>
  <si>
    <t>-623.939630766988 70.2869207904275 -236.151392330017</t>
  </si>
  <si>
    <t>-648.381403101921 75.3819432107185 -354.660570323797</t>
  </si>
  <si>
    <t>-653.790127589047 65.8686845923098 -475.370226151203</t>
  </si>
  <si>
    <t>-650.725718031146 51.5055071118245 -583.90198736593</t>
  </si>
  <si>
    <t>-639.805926616968 31.5366060168695 -691.0321487714</t>
  </si>
  <si>
    <t>-621.599603590507 43.6378863836791 -779.034556333099</t>
  </si>
  <si>
    <t>-594.441580801193 188.157589475879 -778.793666459402</t>
  </si>
  <si>
    <t>-502.170999288457 230.377511074254 -478.977482251862</t>
  </si>
  <si>
    <t>-309.449271917396 184.01386162858 -310.600445543745</t>
  </si>
  <si>
    <t>-604.605279786342 167.285076918375 -235.554900360138</t>
  </si>
  <si>
    <t>-535.736581873333 221.749480918525 211.60097227863</t>
  </si>
  <si>
    <t>-627.223976418142 244.557041404936 671.60875866472</t>
  </si>
  <si>
    <t>-474.693208471695 225.107522425938 757.046464348463</t>
  </si>
  <si>
    <t>-639.550064511918 -8.1213216954031 219.225318770465</t>
  </si>
  <si>
    <t>-661.006203530021 7.85947495982708 688.410913698548</t>
  </si>
  <si>
    <t>-503.661542754092 -29.2307008077299 757.768655380214</t>
  </si>
  <si>
    <t>9763-20170724T164145.725444700.bin</t>
  </si>
  <si>
    <t>-623.824756301741 70.4484852730583 -236.328143745057</t>
  </si>
  <si>
    <t>-648.225643371452 75.5267871596616 -354.846711595607</t>
  </si>
  <si>
    <t>-653.617403344838 65.9298013953746 -475.55039553795</t>
  </si>
  <si>
    <t>-650.548148437922 51.463461631192 -584.068322613313</t>
  </si>
  <si>
    <t>-639.634653334038 31.3641423890696 -691.174675961871</t>
  </si>
  <si>
    <t>-621.400432091495 43.3345046649601 -779.189401914884</t>
  </si>
  <si>
    <t>-594.038973548788 187.814395455229 -779.107619495483</t>
  </si>
  <si>
    <t>-501.442279520866 229.935829815963 -479.378011212656</t>
  </si>
  <si>
    <t>-308.79158718066 183.506850780866 -310.937639663022</t>
  </si>
  <si>
    <t>-604.461743734318 167.378677561487 -235.847371688688</t>
  </si>
  <si>
    <t>-535.978024008512 221.686123771072 211.386692035738</t>
  </si>
  <si>
    <t>-626.891221896212 244.432537576825 671.365369167934</t>
  </si>
  <si>
    <t>-474.64711335947 225.024520662451 757.322264804915</t>
  </si>
  <si>
    <t>-639.618095118559 -7.95702270395846 219.113905256329</t>
  </si>
  <si>
    <t>-660.971472896816 7.9737459535456 688.349325009629</t>
  </si>
  <si>
    <t>-503.436049398081 -28.3901653441267 757.658584381037</t>
  </si>
  <si>
    <t>9763-20170724T164145.793145400.bin</t>
  </si>
  <si>
    <t>-623.760432890427 70.5050691701458 -236.683532258807</t>
  </si>
  <si>
    <t>-648.051206526949 75.5891760111629 -355.224294450047</t>
  </si>
  <si>
    <t>-653.445558024042 65.8934441395945 -475.919979075657</t>
  </si>
  <si>
    <t>-650.427241569031 51.2920186280114 -584.421343465221</t>
  </si>
  <si>
    <t>-639.614596768914 31.0100302752655 -691.503463404106</t>
  </si>
  <si>
    <t>-621.417838519069 42.7867456710769 -779.551984017579</t>
  </si>
  <si>
    <t>-593.641739220788 187.196465894332 -779.722330045854</t>
  </si>
  <si>
    <t>-500.62111360756 228.848602127042 -480.058390771753</t>
  </si>
  <si>
    <t>-308.556898695917 181.744689436162 -311.136432390363</t>
  </si>
  <si>
    <t>-604.525977492912 167.196166138314 -236.269466472786</t>
  </si>
  <si>
    <t>-536.322004638189 221.436969488792 211.015463714194</t>
  </si>
  <si>
    <t>-626.611539872719 243.957085802492 671.326493976656</t>
  </si>
  <si>
    <t>-474.693146518241 224.873218761286 757.929717681781</t>
  </si>
  <si>
    <t>-639.869349988331 -7.76352676646752 218.864740609598</t>
  </si>
  <si>
    <t>-660.904581897845 8.21060796150999 688.202781731439</t>
  </si>
  <si>
    <t>-503.31281982819 -28.0601372603441 757.432673873085</t>
  </si>
  <si>
    <t>9763-20170724T164145.825228900.bin</t>
  </si>
  <si>
    <t>-623.75756926198 70.4910923902146 -236.744137334202</t>
  </si>
  <si>
    <t>-648.033720836219 75.5624579770056 -355.288398305705</t>
  </si>
  <si>
    <t>-653.447751208167 65.8086252166197 -475.978555859335</t>
  </si>
  <si>
    <t>-650.463144784585 51.1340905652019 -584.470970704678</t>
  </si>
  <si>
    <t>-639.700902933632 30.7569636142383 -691.540209853091</t>
  </si>
  <si>
    <t>-621.528759236543 42.4360055478151 -779.606867651213</t>
  </si>
  <si>
    <t>-593.58599550391 186.801467911634 -779.911224582062</t>
  </si>
  <si>
    <t>-500.220382149398 228.200613004345 -480.31950833213</t>
  </si>
  <si>
    <t>-308.611057136902 180.688901210348 -310.995626087303</t>
  </si>
  <si>
    <t>-604.661076374342 167.078543305246 -236.292053096455</t>
  </si>
  <si>
    <t>-536.619565730728 221.29885856833 211.020069241581</t>
  </si>
  <si>
    <t>-626.416153793951 243.459624588809 671.41665800703</t>
  </si>
  <si>
    <t>-474.647202933385 224.919024988801 758.399008521181</t>
  </si>
  <si>
    <t>-639.958182978388 -7.71671406459311 218.804389462054</t>
  </si>
  <si>
    <t>-660.882721565058 8.22396651243601 688.16098253064</t>
  </si>
  <si>
    <t>-503.376596060809 -28.4664711307493 757.364501130455</t>
  </si>
  <si>
    <t>9763-20170724T164145.888405900.bin</t>
  </si>
  <si>
    <t>-624.000389838535 70.8474283537763 -236.956274748592</t>
  </si>
  <si>
    <t>-648.3140476967 75.9333246118734 -355.492310104364</t>
  </si>
  <si>
    <t>-653.812277146636 66.1402629575894 -476.175513340712</t>
  </si>
  <si>
    <t>-650.925388312968 51.4036591018787 -584.66214317696</t>
  </si>
  <si>
    <t>-640.284237150598 30.93514106088 -691.725897507749</t>
  </si>
  <si>
    <t>-622.184523563136 42.5120031641217 -779.820885439644</t>
  </si>
  <si>
    <t>-593.996501976591 186.835332581902 -780.287465076817</t>
  </si>
  <si>
    <t>-499.924557747383 227.661957598092 -480.838286770648</t>
  </si>
  <si>
    <t>-308.939480054463 179.481385045166 -310.999023803836</t>
  </si>
  <si>
    <t>-605.216985851763 167.219740974603 -236.486593324983</t>
  </si>
  <si>
    <t>-537.957198475114 220.403266882432 211.068268560138</t>
  </si>
  <si>
    <t>-626.51735624969 242.328897953325 671.86555809466</t>
  </si>
  <si>
    <t>-474.956148931446 224.71918053215 759.401841359589</t>
  </si>
  <si>
    <t>-639.909559056499 -7.28535225003626 218.64346545778</t>
  </si>
  <si>
    <t>-660.803537625436 8.47981434389985 688.047535491953</t>
  </si>
  <si>
    <t>-503.14048049769 -27.6681682820953 757.179270819971</t>
  </si>
  <si>
    <t>9763-20170724T164145.925504700.bin</t>
  </si>
  <si>
    <t>-624.038928609044 71.0604261793732 -236.847476826703</t>
  </si>
  <si>
    <t>-648.369835029185 76.1228024005528 -355.380991306234</t>
  </si>
  <si>
    <t>-653.907385100214 66.3017682553638 -476.060060632714</t>
  </si>
  <si>
    <t>-651.06544563827 51.5371898518783 -584.544192543768</t>
  </si>
  <si>
    <t>-640.478877125223 31.0372442802058 -691.607349485857</t>
  </si>
  <si>
    <t>-622.430469466212 42.5853093231074 -779.716702661616</t>
  </si>
  <si>
    <t>-594.151395419034 186.891919441672 -780.262174604472</t>
  </si>
  <si>
    <t>-499.721282040398 227.265664563715 -480.864305731629</t>
  </si>
  <si>
    <t>-308.979617628755 179.039669807065 -310.764468344831</t>
  </si>
  <si>
    <t>-605.30989783737 167.34488673053 -236.251203102956</t>
  </si>
  <si>
    <t>-538.127782402972 220.553361306296 211.312361562891</t>
  </si>
  <si>
    <t>-626.658038507638 242.176613750385 672.24556874368</t>
  </si>
  <si>
    <t>-474.985307614575 224.86430547533 759.648041983293</t>
  </si>
  <si>
    <t>-639.817578541309 -7.02040162237661 218.701349582186</t>
  </si>
  <si>
    <t>-660.744855159931 8.70323289037962 688.054852943417</t>
  </si>
  <si>
    <t>-502.83752040628 -26.4598808960107 757.136988421999</t>
  </si>
  <si>
    <t>9763-20170724T164145.993693800.bin</t>
  </si>
  <si>
    <t>-624.114784450276 71.3341904669872 -236.52473591623</t>
  </si>
  <si>
    <t>-648.475600238337 76.3936317838783 -355.052307485051</t>
  </si>
  <si>
    <t>-654.089744747384 66.5849316475882 -475.728879331241</t>
  </si>
  <si>
    <t>-651.337569360946 51.834449265124 -584.217060922892</t>
  </si>
  <si>
    <t>-640.861922173649 31.3490343853664 -691.293924268605</t>
  </si>
  <si>
    <t>-622.925613566791 42.9089957493903 -779.424575797519</t>
  </si>
  <si>
    <t>-594.617473203612 187.206554345573 -780.054658696896</t>
  </si>
  <si>
    <t>-499.600376653403 226.972691478131 -480.76118979584</t>
  </si>
  <si>
    <t>-309.035088430281 178.37691396362 -310.568943682548</t>
  </si>
  <si>
    <t>-605.661776932971 167.679797110494 -235.800022615903</t>
  </si>
  <si>
    <t>-538.768775656693 220.565420345573 211.844999040703</t>
  </si>
  <si>
    <t>-627.031891885698 241.697339555949 672.891806712612</t>
  </si>
  <si>
    <t>-475.124121982897 224.822543589884 759.9709682904</t>
  </si>
  <si>
    <t>-639.908798145132 -6.87088127047442 218.887885163338</t>
  </si>
  <si>
    <t>-660.748194055876 8.61008055142537 688.120373144369</t>
  </si>
  <si>
    <t>-503.085143745328 -27.667883086177 757.183895582646</t>
  </si>
  <si>
    <t>9763-20170724T164146.025778100.bin</t>
  </si>
  <si>
    <t>-624.255163530816 71.5014783123158 -236.366850708773</t>
  </si>
  <si>
    <t>-648.602796310033 76.5607881015966 -354.897017883999</t>
  </si>
  <si>
    <t>-654.222971271108 66.7669319444981 -475.57459665364</t>
  </si>
  <si>
    <t>-651.484762686711 52.0348972437457 -584.065672907035</t>
  </si>
  <si>
    <t>-641.031619455679 31.5719750894616 -691.149018969532</t>
  </si>
  <si>
    <t>-623.125636226541 43.153622595788 -779.283050058249</t>
  </si>
  <si>
    <t>-594.804559162915 187.443841540107 -779.943951110644</t>
  </si>
  <si>
    <t>-499.633123454008 226.857905321108 -480.652900648415</t>
  </si>
  <si>
    <t>-308.988510885196 178.237860587034 -310.556546856902</t>
  </si>
  <si>
    <t>-605.955744969899 167.77163611456 -235.588805369492</t>
  </si>
  <si>
    <t>-539.083735903767 220.576741228121 212.068995377551</t>
  </si>
  <si>
    <t>-627.275357129513 241.538421144812 673.161117608922</t>
  </si>
  <si>
    <t>-475.207055234874 224.936502816216 760.012289783504</t>
  </si>
  <si>
    <t>-639.976751094488 -6.69587009657448 218.975545988466</t>
  </si>
  <si>
    <t>-660.723873284909 8.73893085979002 688.159141201704</t>
  </si>
  <si>
    <t>-502.880554056992 -26.8063773534481 757.191844806917</t>
  </si>
  <si>
    <t>9763-20170724T164146.091776000.bin</t>
  </si>
  <si>
    <t>-624.290771667989 71.7094212319147 -236.183134738641</t>
  </si>
  <si>
    <t>-648.569537266806 76.690524275918 -354.730782285743</t>
  </si>
  <si>
    <t>-654.195041274693 66.9054210658676 -475.408632886346</t>
  </si>
  <si>
    <t>-651.492539278471 52.2156301569603 -583.906334872105</t>
  </si>
  <si>
    <t>-641.105635942528 31.8280841565355 -691.010588149512</t>
  </si>
  <si>
    <t>-623.298070765165 43.4955379200092 -779.153293842642</t>
  </si>
  <si>
    <t>-594.944962082977 187.784989037067 -779.864167878395</t>
  </si>
  <si>
    <t>-499.862624694034 226.673866259807 -480.476054848026</t>
  </si>
  <si>
    <t>-308.851092669367 177.926063717766 -310.828522366973</t>
  </si>
  <si>
    <t>-606.068424659321 167.86438968024 -235.477596972045</t>
  </si>
  <si>
    <t>-539.107941153314 220.65658826439 212.168385929885</t>
  </si>
  <si>
    <t>-627.286329394196 241.569314640988 673.053151045559</t>
  </si>
  <si>
    <t>-475.237832257336 224.999841091982 759.945184432352</t>
  </si>
  <si>
    <t>-639.910407359545 -6.57549751109794 219.121121854287</t>
  </si>
  <si>
    <t>-660.702592893186 8.8018188329884 688.231835791568</t>
  </si>
  <si>
    <t>-502.97294379484 -27.2235169729678 757.275533507044</t>
  </si>
  <si>
    <t>9763-20170724T164146.124853300.bin</t>
  </si>
  <si>
    <t>-624.119697044461 71.7553341973792 -236.242282520465</t>
  </si>
  <si>
    <t>-648.482795668034 76.7455203237399 -354.772176718198</t>
  </si>
  <si>
    <t>-654.168367457861 66.999230228798 -475.450464270456</t>
  </si>
  <si>
    <t>-651.510218296343 52.3555258389173 -583.955561126017</t>
  </si>
  <si>
    <t>-641.157847147269 32.0242055007425 -691.073664645483</t>
  </si>
  <si>
    <t>-623.391519250267 43.7470903796849 -779.217382232077</t>
  </si>
  <si>
    <t>-595.058339630414 188.035365076847 -779.945736170676</t>
  </si>
  <si>
    <t>-499.539415926967 226.631868881521 -480.658843111165</t>
  </si>
  <si>
    <t>-308.485243851935 177.842074175101 -311.071399863344</t>
  </si>
  <si>
    <t>-605.826984376802 168.037739245033 -235.665412030543</t>
  </si>
  <si>
    <t>-538.816333783756 220.717514428764 211.986327477446</t>
  </si>
  <si>
    <t>-626.971610661326 241.695992189693 672.695396459799</t>
  </si>
  <si>
    <t>-475.153522852005 225.015028146136 759.968094652678</t>
  </si>
  <si>
    <t>-639.758420947547 -6.54411076946615 219.093479878208</t>
  </si>
  <si>
    <t>-660.705206449342 8.77630988791823 688.227311328131</t>
  </si>
  <si>
    <t>-502.912944889514 -27.0011474566078 757.256939616766</t>
  </si>
  <si>
    <t>9763-20170724T164146.192038800.bin</t>
  </si>
  <si>
    <t>-623.944339656804 71.9787369819936 -236.398953823252</t>
  </si>
  <si>
    <t>-648.395154051697 76.9879506379937 -354.909936333794</t>
  </si>
  <si>
    <t>-654.129195306786 67.3297888228729 -475.593080170257</t>
  </si>
  <si>
    <t>-651.500337300335 52.7905051586746 -584.112776044542</t>
  </si>
  <si>
    <t>-641.163649068008 32.5858836685243 -691.256516801454</t>
  </si>
  <si>
    <t>-623.433649268124 44.4312762857462 -779.391081555304</t>
  </si>
  <si>
    <t>-595.176274142402 188.732370190085 -780.121864707328</t>
  </si>
  <si>
    <t>-498.09069179685 226.769586779817 -481.267773944438</t>
  </si>
  <si>
    <t>-307.269852539811 177.89241835694 -311.442909710021</t>
  </si>
  <si>
    <t>-605.791782752506 168.219484840321 -235.784646260697</t>
  </si>
  <si>
    <t>-538.265979443884 220.872586799541 211.79274617625</t>
  </si>
  <si>
    <t>-626.737411190499 241.725858974301 672.656366180064</t>
  </si>
  <si>
    <t>-475.098905760007 225.058410680564 760.243293540958</t>
  </si>
  <si>
    <t>-639.514148740982 -6.42950183770999 218.972122411417</t>
  </si>
  <si>
    <t>-660.714378545007 8.75506596840468 688.190747727547</t>
  </si>
  <si>
    <t>-502.900431671363 -26.9668612657221 757.199427675791</t>
  </si>
  <si>
    <t>9763-20170724T164146.224125500.bin</t>
  </si>
  <si>
    <t>-623.985489899683 72.0024241745849 -236.413794467328</t>
  </si>
  <si>
    <t>-648.444912434449 76.9946056532562 -354.923877123367</t>
  </si>
  <si>
    <t>-654.181476909901 67.3379429364864 -475.606969388555</t>
  </si>
  <si>
    <t>-651.553910231106 52.805756891223 -584.127770858459</t>
  </si>
  <si>
    <t>-641.218168432419 32.6127732228458 -691.273839729238</t>
  </si>
  <si>
    <t>-623.487079976189 44.4698372479295 -779.406406006233</t>
  </si>
  <si>
    <t>-595.157963556548 188.778686073016 -780.148437972721</t>
  </si>
  <si>
    <t>-497.081966361261 226.295069919539 -481.552049719852</t>
  </si>
  <si>
    <t>-306.465579306906 177.540774778105 -311.462550795763</t>
  </si>
  <si>
    <t>-605.878216721824 168.216298315294 -235.763648713699</t>
  </si>
  <si>
    <t>-538.272261147138 220.872667676935 211.801394200101</t>
  </si>
  <si>
    <t>-626.715043750083 241.766928299522 672.653780199574</t>
  </si>
  <si>
    <t>-475.117044620353 225.104341431005 760.311708624069</t>
  </si>
  <si>
    <t>-639.451426901616 -6.37604643805303 218.95329205522</t>
  </si>
  <si>
    <t>-660.70455171752 8.82957749109218 688.179887591942</t>
  </si>
  <si>
    <t>-502.764709815673 -26.39039015012 757.158648313713</t>
  </si>
  <si>
    <t>9763-20170724T164146.262232800.bin</t>
  </si>
  <si>
    <t>-623.944884486526 71.9783261712064 -236.484207205692</t>
  </si>
  <si>
    <t>-648.452097199485 76.9686536915515 -354.984449648179</t>
  </si>
  <si>
    <t>-654.235402050114 67.3204377752305 -475.66587053153</t>
  </si>
  <si>
    <t>-651.652146280985 52.795846565734 -584.188730147575</t>
  </si>
  <si>
    <t>-641.364384303561 32.6080027922372 -691.340334467877</t>
  </si>
  <si>
    <t>-623.646997451211 44.462300930671 -779.476142071406</t>
  </si>
  <si>
    <t>-595.261742688975 188.74906982788 -780.237068536698</t>
  </si>
  <si>
    <t>-496.546021533761 225.685336662478 -481.77911700389</t>
  </si>
  <si>
    <t>-306.096993838623 177.071162752712 -311.462255283779</t>
  </si>
  <si>
    <t>-605.836130682721 168.261495939076 -235.821020927701</t>
  </si>
  <si>
    <t>-538.150833035997 220.859214497746 211.738954847598</t>
  </si>
  <si>
    <t>-626.561075771561 241.901014195302 672.526588211151</t>
  </si>
  <si>
    <t>-475.071670385292 225.167913845554 760.358713195135</t>
  </si>
  <si>
    <t>-639.407443051947 -6.44229200672405 218.923254695296</t>
  </si>
  <si>
    <t>-660.703551203458 8.73888790291279 688.163899753346</t>
  </si>
  <si>
    <t>-503.011251930276 -27.4843672959169 757.189330435868</t>
  </si>
  <si>
    <t>9763-20170724T164146.324913700.bin</t>
  </si>
  <si>
    <t>-623.841120619675 71.9183986959317 -236.501398293045</t>
  </si>
  <si>
    <t>-648.281152654169 76.8652187955158 -355.017221278415</t>
  </si>
  <si>
    <t>-654.041977817408 67.2159449182694 -475.699890555234</t>
  </si>
  <si>
    <t>-651.459550100091 52.7041955185998 -584.224378726752</t>
  </si>
  <si>
    <t>-641.194926995692 32.5404275971128 -691.382726588202</t>
  </si>
  <si>
    <t>-623.460220394493 44.4135278323588 -779.512511880125</t>
  </si>
  <si>
    <t>-594.742864555305 188.632213995305 -780.283258549237</t>
  </si>
  <si>
    <t>-494.900070316291 224.843688189361 -482.111518165154</t>
  </si>
  <si>
    <t>-304.560343378631 176.702034882487 -311.538461172703</t>
  </si>
  <si>
    <t>-605.542615968564 168.247380282895 -235.879010751004</t>
  </si>
  <si>
    <t>-537.804436146538 220.959770119665 211.659456811222</t>
  </si>
  <si>
    <t>-626.349581703126 242.257205627588 672.464692367304</t>
  </si>
  <si>
    <t>-475.019295598222 225.127780455125 760.494423188945</t>
  </si>
  <si>
    <t>-639.42964945898 -6.61951685914522 218.922125852706</t>
  </si>
  <si>
    <t>-660.689307400718 8.58238479972192 688.165794633285</t>
  </si>
  <si>
    <t>-503.263575645963 -28.5903614703035 757.295013632575</t>
  </si>
  <si>
    <t>9763-20170724T164146.358000800.bin</t>
  </si>
  <si>
    <t>-623.775606902479 71.9302833809765 -236.473310165182</t>
  </si>
  <si>
    <t>-648.248158938658 76.9019898952213 -354.981517846158</t>
  </si>
  <si>
    <t>-654.03981772786 67.2637930995292 -475.663380135665</t>
  </si>
  <si>
    <t>-651.484836401164 52.7551623823589 -584.189062475893</t>
  </si>
  <si>
    <t>-641.247702095838 32.5872336113218 -691.349280582872</t>
  </si>
  <si>
    <t>-623.498165391587 44.4467910893933 -779.477909474024</t>
  </si>
  <si>
    <t>-594.617569674649 188.639308136601 -780.283533505978</t>
  </si>
  <si>
    <t>-494.248644784922 224.527451520095 -482.249352617729</t>
  </si>
  <si>
    <t>-303.920875548149 176.572892097837 -311.610191001648</t>
  </si>
  <si>
    <t>-605.441440585343 168.280250386568 -235.804969287935</t>
  </si>
  <si>
    <t>-537.608282857255 221.050107104296 211.712282161061</t>
  </si>
  <si>
    <t>-626.366353933936 242.402122394726 672.547595865758</t>
  </si>
  <si>
    <t>-475.031073657652 225.034808315632 760.522124809014</t>
  </si>
  <si>
    <t>-639.423848079679 -6.58073076639994 218.945779059311</t>
  </si>
  <si>
    <t>-660.65159375265 8.71858641155602 688.179463744333</t>
  </si>
  <si>
    <t>-502.746638407004 -26.4388344236015 757.270084614471</t>
  </si>
  <si>
    <t>9763-20170724T164146.422337900.bin</t>
  </si>
  <si>
    <t>-623.778003791235 71.8781516996809 -236.287887846662</t>
  </si>
  <si>
    <t>-648.161255760302 76.9126638482014 -354.811684331118</t>
  </si>
  <si>
    <t>-653.938316826987 67.3099967875185 -475.497245502461</t>
  </si>
  <si>
    <t>-651.401859835572 52.8200887521276 -584.025792147442</t>
  </si>
  <si>
    <t>-641.215173461517 32.6563666946278 -691.191558862206</t>
  </si>
  <si>
    <t>-623.451917476591 44.4990422682963 -779.319766289862</t>
  </si>
  <si>
    <t>-594.135871977605 188.591872552667 -780.195841949654</t>
  </si>
  <si>
    <t>-492.828286150938 223.960913048394 -482.417353028714</t>
  </si>
  <si>
    <t>-302.650999656048 176.198383789559 -311.556595336071</t>
  </si>
  <si>
    <t>-605.199861244233 168.320535318291 -235.561906747959</t>
  </si>
  <si>
    <t>-536.949701820877 221.162139307743 211.883429691797</t>
  </si>
  <si>
    <t>-626.426529617923 242.620095198807 672.594983265055</t>
  </si>
  <si>
    <t>-475.047856706237 224.975966315051 760.439714805302</t>
  </si>
  <si>
    <t>-639.504291156729 -6.68976974217834 219.041177154719</t>
  </si>
  <si>
    <t>-660.631790378797 8.72041346073701 688.225408002105</t>
  </si>
  <si>
    <t>-502.908238518842 -27.1696243442936 757.353497557323</t>
  </si>
  <si>
    <t>9763-20170724T164146.487555500.bin</t>
  </si>
  <si>
    <t>-623.6162896699 71.8316589835984 -236.166373683648</t>
  </si>
  <si>
    <t>-648.047038941581 76.9435755391123 -354.67726563238</t>
  </si>
  <si>
    <t>-653.890989964565 67.3568693180868 -475.360756961016</t>
  </si>
  <si>
    <t>-651.423308491876 52.8543033697617 -583.889157215676</t>
  </si>
  <si>
    <t>-641.314060235005 32.6500460941257 -691.054649569053</t>
  </si>
  <si>
    <t>-623.537981557163 44.4294070638521 -779.18884591144</t>
  </si>
  <si>
    <t>-593.83895945388 188.447373009246 -780.154916423335</t>
  </si>
  <si>
    <t>-491.428479320229 223.536994005341 -482.720927883402</t>
  </si>
  <si>
    <t>-301.58878238031 175.854366692982 -311.462888102808</t>
  </si>
  <si>
    <t>-605.019598561278 168.251425718335 -235.39790845574</t>
  </si>
  <si>
    <t>-536.535713574003 221.244922702188 211.993828124685</t>
  </si>
  <si>
    <t>-626.396644434974 242.594856323189 672.58041267018</t>
  </si>
  <si>
    <t>-475.05003745252 224.883273502396 760.466843253726</t>
  </si>
  <si>
    <t>-639.480054316075 -6.73887689744213 219.121496641956</t>
  </si>
  <si>
    <t>-660.630283662091 8.6395174881674 688.272720503386</t>
  </si>
  <si>
    <t>-503.068540351269 -27.9555611754296 757.400256961241</t>
  </si>
  <si>
    <t>9763-20170724T164146.526639200.bin</t>
  </si>
  <si>
    <t>-623.547368467445 71.7837044578561 -236.154110267452</t>
  </si>
  <si>
    <t>-647.901422321513 76.8882902109909 -354.681004201163</t>
  </si>
  <si>
    <t>-653.73800142008 67.2881667168072 -475.363814672077</t>
  </si>
  <si>
    <t>-651.293029198408 52.7696707577743 -583.890665979043</t>
  </si>
  <si>
    <t>-641.236004781691 32.5448171125158 -691.057251771643</t>
  </si>
  <si>
    <t>-623.476045589943 44.2967740310487 -779.198157641221</t>
  </si>
  <si>
    <t>-593.548429934178 188.271909930787 -780.23226078196</t>
  </si>
  <si>
    <t>-490.76223518317 223.050086407278 -482.89127930395</t>
  </si>
  <si>
    <t>-301.08949296908 175.430369719161 -311.430763658774</t>
  </si>
  <si>
    <t>-604.920645451968 168.141476962193 -235.434481110505</t>
  </si>
  <si>
    <t>-536.627038182275 221.251847096998 211.972475051878</t>
  </si>
  <si>
    <t>-626.372091707081 242.413623491418 672.600870575473</t>
  </si>
  <si>
    <t>-475.054891443392 224.857557724488 760.569028096018</t>
  </si>
  <si>
    <t>-639.479972744442 -6.71816658457379 219.13198451152</t>
  </si>
  <si>
    <t>-660.626810797987 8.63930035934443 688.279591688528</t>
  </si>
  <si>
    <t>-503.068944147831 -28.0176916875637 757.383101732764</t>
  </si>
  <si>
    <t>9763-20170724T164146.593774300.bin</t>
  </si>
  <si>
    <t>-623.276086558689 71.8377531238999 -236.161487904419</t>
  </si>
  <si>
    <t>-647.555418208552 76.9218036328213 -354.704664520962</t>
  </si>
  <si>
    <t>-653.401742220448 67.2974080788374 -475.384953590861</t>
  </si>
  <si>
    <t>-651.001042335176 52.7538066757644 -583.909522852235</t>
  </si>
  <si>
    <t>-641.023682542584 32.499825993883 -691.077989881198</t>
  </si>
  <si>
    <t>-623.279255045574 44.2136849864294 -779.227197473163</t>
  </si>
  <si>
    <t>-593.009101646568 188.104167952052 -780.281955108722</t>
  </si>
  <si>
    <t>-489.758869123556 222.484386015332 -483.055481362262</t>
  </si>
  <si>
    <t>-300.3004245213 174.828155338493 -311.368492871687</t>
  </si>
  <si>
    <t>-604.734955321163 168.003033421192 -235.470151150501</t>
  </si>
  <si>
    <t>-537.546247353275 220.654998300977 212.158207053175</t>
  </si>
  <si>
    <t>-626.793456272428 241.692669906741 673.158122605589</t>
  </si>
  <si>
    <t>-475.24296397884 224.831767125583 760.860195617043</t>
  </si>
  <si>
    <t>-639.398155879747 -6.39116093011536 219.165799911662</t>
  </si>
  <si>
    <t>-660.565944830584 8.96633974254746 688.285410496558</t>
  </si>
  <si>
    <t>-502.572043688207 -25.9567871044137 757.291220429698</t>
  </si>
  <si>
    <t>9763-20170724T164146.627884700.bin</t>
  </si>
  <si>
    <t>-623.306349509871 71.7991869503724 -236.057345507652</t>
  </si>
  <si>
    <t>-647.545311736085 76.8501322536314 -354.61016596657</t>
  </si>
  <si>
    <t>-653.388194724587 67.1989784849816 -475.288578054555</t>
  </si>
  <si>
    <t>-650.999674897858 52.6338372665204 -583.810363162701</t>
  </si>
  <si>
    <t>-641.049639006572 32.3607729303433 -690.977898277367</t>
  </si>
  <si>
    <t>-623.31242470228 44.0564460318882 -779.130930567663</t>
  </si>
  <si>
    <t>-592.915199947603 187.931046478588 -780.204035859597</t>
  </si>
  <si>
    <t>-489.495434560635 222.091974572157 -483.011365934882</t>
  </si>
  <si>
    <t>-300.074619711388 174.459651707415 -311.275995557924</t>
  </si>
  <si>
    <t>-604.849093679434 167.922496031886 -235.252884463652</t>
  </si>
  <si>
    <t>-538.188981786286 220.333661533228 212.482722557348</t>
  </si>
  <si>
    <t>-627.325309131423 241.494871925232 673.717124294253</t>
  </si>
  <si>
    <t>-475.401725476114 224.825040962326 760.808190103686</t>
  </si>
  <si>
    <t>-639.410976186855 -6.34591090017406 219.260566717042</t>
  </si>
  <si>
    <t>-660.56096111114 8.98612420850479 688.327638957376</t>
  </si>
  <si>
    <t>-502.727676653286 -26.6389268237262 757.342329191862</t>
  </si>
  <si>
    <t>9763-20170724T164146.692565200.bin</t>
  </si>
  <si>
    <t>-623.601295508951 71.7177559666919 -235.598296045831</t>
  </si>
  <si>
    <t>-647.706613298594 76.703718590343 -354.181018766413</t>
  </si>
  <si>
    <t>-653.496599556583 66.9927950504661 -474.857254280954</t>
  </si>
  <si>
    <t>-651.093371253482 52.3767519665701 -583.372079473784</t>
  </si>
  <si>
    <t>-641.161253096354 32.0562280226192 -690.532087390216</t>
  </si>
  <si>
    <t>-623.435946197913 43.7110800770091 -778.692870661345</t>
  </si>
  <si>
    <t>-592.935840193116 187.55965285806 -779.860204812132</t>
  </si>
  <si>
    <t>-489.418016339497 221.846944561827 -482.716076426438</t>
  </si>
  <si>
    <t>-299.890734629203 174.111553989684 -311.127061372182</t>
  </si>
  <si>
    <t>-605.276102609764 167.900851766745 -234.625124451036</t>
  </si>
  <si>
    <t>-539.445462241674 220.23341914573 213.242428932835</t>
  </si>
  <si>
    <t>-628.471988897067 241.477737119819 674.660452826956</t>
  </si>
  <si>
    <t>-475.641942290977 224.975805461501 760.18346614038</t>
  </si>
  <si>
    <t>-639.697844561068 -6.28721231768067 219.574671635053</t>
  </si>
  <si>
    <t>-660.577507261597 8.91719703262376 688.481717511605</t>
  </si>
  <si>
    <t>-503.009500581386 -27.8353469384094 757.511310371734</t>
  </si>
  <si>
    <t>9763-20170724T164146.725653400.bin</t>
  </si>
  <si>
    <t>-623.643717089797 71.7803298829437 -235.387151164771</t>
  </si>
  <si>
    <t>-647.755046526179 76.7872608026034 -353.96779317328</t>
  </si>
  <si>
    <t>-653.555186908429 67.0583200348007 -474.642134406842</t>
  </si>
  <si>
    <t>-651.161327148128 52.4119109981268 -583.152836410697</t>
  </si>
  <si>
    <t>-641.238106881385 32.0482873705119 -690.305616558798</t>
  </si>
  <si>
    <t>-623.53279020298 43.6618848197915 -778.475934872797</t>
  </si>
  <si>
    <t>-593.174643832333 187.54046763314 -779.773562669212</t>
  </si>
  <si>
    <t>-489.693466261156 222.188052759616 -482.658575393996</t>
  </si>
  <si>
    <t>-300.056448658456 174.395717914284 -311.20677046677</t>
  </si>
  <si>
    <t>-605.497294158358 167.964861443205 -234.347166099475</t>
  </si>
  <si>
    <t>-539.820612520772 220.33211677947 213.538848826574</t>
  </si>
  <si>
    <t>-628.960919023593 241.59802112389 674.908318143865</t>
  </si>
  <si>
    <t>-475.726977245988 225.184452193294 759.722544148235</t>
  </si>
  <si>
    <t>-639.814546784974 -6.13627281403785 219.727363548344</t>
  </si>
  <si>
    <t>-660.55096675321 9.0747434832702 688.561539243966</t>
  </si>
  <si>
    <t>-502.838702037003 -27.0822669788971 757.576308603843</t>
  </si>
  <si>
    <t>9763-20170724T164146.790334000.bin</t>
  </si>
  <si>
    <t>-623.345612387376 71.879132562383 -235.239861264486</t>
  </si>
  <si>
    <t>-647.308577941675 76.8746499012829 -353.851127978015</t>
  </si>
  <si>
    <t>-653.019522352178 67.0159841711171 -474.519065647118</t>
  </si>
  <si>
    <t>-650.56417303051 52.2130644085667 -583.007202498375</t>
  </si>
  <si>
    <t>-640.595913001333 31.6591884208352 -690.119524532949</t>
  </si>
  <si>
    <t>-622.906292739689 43.1026289714099 -778.315197035069</t>
  </si>
  <si>
    <t>-593.052221679908 187.083420964086 -780.192972948702</t>
  </si>
  <si>
    <t>-491.208218722103 223.218557354359 -482.689450035612</t>
  </si>
  <si>
    <t>-300.786339314339 175.025020329997 -312.222706311283</t>
  </si>
  <si>
    <t>-605.183044008813 168.076971693931 -234.334736869077</t>
  </si>
  <si>
    <t>-539.916872488997 220.332636149923 213.624305448265</t>
  </si>
  <si>
    <t>-629.404989513926 241.728538613436 674.733917855075</t>
  </si>
  <si>
    <t>-475.763496143356 225.505842017069 758.844815074863</t>
  </si>
  <si>
    <t>-639.93910721409 -5.8769998501157 219.852271706987</t>
  </si>
  <si>
    <t>-660.570894879282 9.1317290398971 688.65231230904</t>
  </si>
  <si>
    <t>-502.846239012017 -26.9313612814714 757.687870039412</t>
  </si>
  <si>
    <t>9763-20170724T164146.823417500.bin</t>
  </si>
  <si>
    <t>-623.05044810513 71.7504525342335 -235.263772491463</t>
  </si>
  <si>
    <t>-646.954594687057 76.7364544316617 -353.887247591256</t>
  </si>
  <si>
    <t>-652.623874390317 66.8058660427098 -474.551219902958</t>
  </si>
  <si>
    <t>-650.134114066218 51.9187207349798 -583.02714018078</t>
  </si>
  <si>
    <t>-640.132186802977 31.2653410285433 -690.117072186172</t>
  </si>
  <si>
    <t>-622.443669141472 42.6226887959297 -778.324166554588</t>
  </si>
  <si>
    <t>-592.842841583465 186.643790042814 -780.384680158387</t>
  </si>
  <si>
    <t>-492.273354791301 223.650348712206 -482.555130920071</t>
  </si>
  <si>
    <t>-301.181316315148 175.352074385669 -312.869702879159</t>
  </si>
  <si>
    <t>-604.763350471873 167.89358830414 -234.460997309328</t>
  </si>
  <si>
    <t>-539.763012131846 220.150167662118 213.536635021532</t>
  </si>
  <si>
    <t>-629.477695693185 241.778352636223 674.521096928979</t>
  </si>
  <si>
    <t>-475.766942541179 225.581205497182 758.510188326164</t>
  </si>
  <si>
    <t>-639.859174732256 -5.93063293734325 219.85213196269</t>
  </si>
  <si>
    <t>-660.600453119704 8.9630317299472 688.671399709152</t>
  </si>
  <si>
    <t>-503.257544538328 -28.6196071674526 757.767456841755</t>
  </si>
  <si>
    <t>9763-20170724T164146.892387300.bin</t>
  </si>
  <si>
    <t>-622.360541251238 71.7051295304722 -235.430641426964</t>
  </si>
  <si>
    <t>-646.361515506065 76.7515264927278 -354.03198652285</t>
  </si>
  <si>
    <t>-652.041208997343 66.8009344391554 -474.693884805817</t>
  </si>
  <si>
    <t>-649.516971030578 51.8742502903245 -583.163568986163</t>
  </si>
  <si>
    <t>-639.432400945259 31.1674448477508 -690.235413329915</t>
  </si>
  <si>
    <t>-621.744443096429 42.4903087906973 -778.447022281853</t>
  </si>
  <si>
    <t>-592.680204596944 186.621670842741 -780.583358075068</t>
  </si>
  <si>
    <t>-493.12525989867 224.665393630328 -482.543667128515</t>
  </si>
  <si>
    <t>-300.880303407713 176.330304024518 -314.17600762425</t>
  </si>
  <si>
    <t>-604.051411509339 167.925849904649 -234.703105721067</t>
  </si>
  <si>
    <t>-539.042211510095 220.034283151798 213.310479284793</t>
  </si>
  <si>
    <t>-629.534344210545 241.752162216544 674.123297531368</t>
  </si>
  <si>
    <t>-475.782485427056 225.549415288424 758.03604715856</t>
  </si>
  <si>
    <t>-639.439005071715 -5.77716331629675 219.760333875435</t>
  </si>
  <si>
    <t>-660.591163990795 9.17349049846693 688.636926972216</t>
  </si>
  <si>
    <t>-503.097241379652 -27.8219129383585 757.705895627608</t>
  </si>
  <si>
    <t>9763-20170724T164146.925490600.bin</t>
  </si>
  <si>
    <t>-622.186802997844 71.7383930520561 -235.537651767829</t>
  </si>
  <si>
    <t>-646.24009381976 76.7978661734168 -354.127774608953</t>
  </si>
  <si>
    <t>-651.942070677586 66.8333500083726 -474.787454707155</t>
  </si>
  <si>
    <t>-649.42234212467 51.8871224603494 -583.254671502533</t>
  </si>
  <si>
    <t>-639.325272506733 31.1564003665882 -690.320626238247</t>
  </si>
  <si>
    <t>-621.667264845227 42.4653413567569 -778.540012353339</t>
  </si>
  <si>
    <t>-592.842074275271 186.647306346087 -780.709183787738</t>
  </si>
  <si>
    <t>-493.034517715132 225.187609085224 -482.817632924277</t>
  </si>
  <si>
    <t>-300.408063618213 176.95056409357 -314.858509803189</t>
  </si>
  <si>
    <t>-603.913709241226 167.916087715615 -234.815565026372</t>
  </si>
  <si>
    <t>-538.675967790148 220.013533930318 213.166049432388</t>
  </si>
  <si>
    <t>-629.494407471966 241.655391620652 673.861124391729</t>
  </si>
  <si>
    <t>-475.780123544739 225.517505757698 757.855205317363</t>
  </si>
  <si>
    <t>-639.219607951569 -5.69933114229869 219.691631860301</t>
  </si>
  <si>
    <t>-660.59992604929 9.27454801967893 688.600563015043</t>
  </si>
  <si>
    <t>-502.922822113512 -26.9901587226566 757.638991067587</t>
  </si>
  <si>
    <t>9763-20170724T164146.962575700.bin</t>
  </si>
  <si>
    <t>-622.073429534849 71.6642700158475 -235.673653270396</t>
  </si>
  <si>
    <t>-646.162124712239 76.732773662482 -354.256344939792</t>
  </si>
  <si>
    <t>-651.881250078011 66.7254492102387 -474.911692796401</t>
  </si>
  <si>
    <t>-649.367518986876 51.7224163952633 -583.371082044612</t>
  </si>
  <si>
    <t>-639.266025405453 30.9185901901992 -690.422455529097</t>
  </si>
  <si>
    <t>-621.638170385605 42.1630448844041 -778.656074783347</t>
  </si>
  <si>
    <t>-593.050466232317 186.394990284744 -780.9179899927</t>
  </si>
  <si>
    <t>-492.772305180663 225.211696997393 -483.220562288645</t>
  </si>
  <si>
    <t>-299.908668326041 177.057315438773 -315.5101203588</t>
  </si>
  <si>
    <t>-603.777209652749 167.832894666563 -234.991678798974</t>
  </si>
  <si>
    <t>-538.48380534255 219.84089695417 212.992312355393</t>
  </si>
  <si>
    <t>-629.39237664869 241.483108503801 673.581886139322</t>
  </si>
  <si>
    <t>-475.757283540697 225.431530040353 757.737144641063</t>
  </si>
  <si>
    <t>-639.047937774777 -5.83087768044065 219.595070580563</t>
  </si>
  <si>
    <t>-660.659645834195 9.03838972461699 688.555250840519</t>
  </si>
  <si>
    <t>-503.381358111796 -28.8412118868581 757.636354451226</t>
  </si>
  <si>
    <t>9763-20170724T164147.025314800.bin</t>
  </si>
  <si>
    <t>-621.867069084783 71.4168185201813 -235.911549174511</t>
  </si>
  <si>
    <t>-645.943329865045 76.4272932732072 -354.49918450546</t>
  </si>
  <si>
    <t>-651.651063640918 66.2963014885885 -475.144824912834</t>
  </si>
  <si>
    <t>-649.126936531337 51.1574078885886 -583.585010668077</t>
  </si>
  <si>
    <t>-639.014701277381 30.1950256166906 -690.604542760973</t>
  </si>
  <si>
    <t>-621.44298702 41.302576145047 -778.866702366159</t>
  </si>
  <si>
    <t>-593.200704765714 185.590168209831 -781.342841649702</t>
  </si>
  <si>
    <t>-492.436941571015 224.73693279191 -483.852733817911</t>
  </si>
  <si>
    <t>-299.174917378044 176.731940853991 -316.558414399703</t>
  </si>
  <si>
    <t>-603.724671225483 167.55376372778 -235.260264034702</t>
  </si>
  <si>
    <t>-538.481732418238 219.755383360037 212.708545767004</t>
  </si>
  <si>
    <t>-629.300786588214 241.338404041818 673.338497443962</t>
  </si>
  <si>
    <t>-475.731991617309 225.437602218401 757.643256871602</t>
  </si>
  <si>
    <t>-638.897324495982 -5.95307111141431 219.419476816581</t>
  </si>
  <si>
    <t>-660.709390364105 9.05690881723669 688.449689522286</t>
  </si>
  <si>
    <t>-503.538209178041 -29.2714044832756 757.527000297352</t>
  </si>
  <si>
    <t>9763-20170724T164147.093029600.bin</t>
  </si>
  <si>
    <t>-621.705809233821 70.9702770067275 -236.384072351959</t>
  </si>
  <si>
    <t>-645.808454598724 76.0048136895407 -354.96532517755</t>
  </si>
  <si>
    <t>-651.505737719027 65.8343959374548 -475.608046839869</t>
  </si>
  <si>
    <t>-648.954460794941 50.6378888496733 -584.039710848093</t>
  </si>
  <si>
    <t>-638.796616780503 29.5987564162121 -691.039780541406</t>
  </si>
  <si>
    <t>-621.231571988117 40.6392571751137 -779.311677476267</t>
  </si>
  <si>
    <t>-593.141485035922 184.960650718656 -781.864696499267</t>
  </si>
  <si>
    <t>-492.101887406712 224.368059734646 -484.502630034629</t>
  </si>
  <si>
    <t>-298.580249788421 176.377420596526 -317.504613897628</t>
  </si>
  <si>
    <t>-603.426335710806 167.054417700395 -235.964522305794</t>
  </si>
  <si>
    <t>-537.704907867006 219.383594207484 211.919392491227</t>
  </si>
  <si>
    <t>-628.285445790545 241.013832489727 672.148678880611</t>
  </si>
  <si>
    <t>-475.536613723007 224.882149520483 757.887057430336</t>
  </si>
  <si>
    <t>-638.893024449081 -6.35833141982643 219.092305314671</t>
  </si>
  <si>
    <t>-660.785439307444 8.94499333431055 688.271478864407</t>
  </si>
  <si>
    <t>-503.821981316882 -30.2161837089193 757.353969346798</t>
  </si>
  <si>
    <t>9763-20170724T164147.125113500.bin</t>
  </si>
  <si>
    <t>-621.610225904233 70.8580070516224 -236.569837059484</t>
  </si>
  <si>
    <t>-645.715765067161 75.9157364248879 -355.149538964215</t>
  </si>
  <si>
    <t>-651.390338346226 65.7446328249867 -475.793281783931</t>
  </si>
  <si>
    <t>-648.806553271717 50.5404607403905 -584.222962240204</t>
  </si>
  <si>
    <t>-638.603210919613 29.4882147527327 -691.216237670922</t>
  </si>
  <si>
    <t>-621.024453538732 40.519804916442 -779.486685694099</t>
  </si>
  <si>
    <t>-593.02477098284 184.850813528249 -782.060117089817</t>
  </si>
  <si>
    <t>-491.757734093875 224.150497463179 -484.761159797908</t>
  </si>
  <si>
    <t>-298.235687021001 176.089827219363 -317.783685325408</t>
  </si>
  <si>
    <t>-603.258862767199 167.012630192724 -236.175534805973</t>
  </si>
  <si>
    <t>-537.224965684976 219.343469739636 211.662293859759</t>
  </si>
  <si>
    <t>-627.96662685126 240.980112959851 672.003061363936</t>
  </si>
  <si>
    <t>-475.488280125277 224.832124267156 758.218555970267</t>
  </si>
  <si>
    <t>-638.922542218269 -6.4300416435247 218.931975496259</t>
  </si>
  <si>
    <t>-660.804313600951 9.06112172009585 688.173864671141</t>
  </si>
  <si>
    <t>-503.494530243682 -28.8002331365668 757.193060992092</t>
  </si>
  <si>
    <t>9763-20170724T164147.191168500.bin</t>
  </si>
  <si>
    <t>-621.398584223802 70.7929780615145 -236.78384153806</t>
  </si>
  <si>
    <t>-645.586624968085 75.971241495921 -355.341610526794</t>
  </si>
  <si>
    <t>-651.275992147148 65.8051857646233 -475.984959640587</t>
  </si>
  <si>
    <t>-648.673268239885 50.5638423963988 -584.409018462586</t>
  </si>
  <si>
    <t>-638.416988408313 29.4369461080495 -691.382405752609</t>
  </si>
  <si>
    <t>-620.805999224556 40.3897070998968 -779.65620980028</t>
  </si>
  <si>
    <t>-592.938276377473 184.758473757809 -782.286920352231</t>
  </si>
  <si>
    <t>-491.263920355708 223.920448319373 -485.108674872619</t>
  </si>
  <si>
    <t>-297.843405453622 175.276421531039 -318.182688311376</t>
  </si>
  <si>
    <t>-602.848497090697 167.019404290779 -236.272572743312</t>
  </si>
  <si>
    <t>-536.028372191908 219.347684409569 211.44889777148</t>
  </si>
  <si>
    <t>-627.301997784936 241.004256729371 671.739620376479</t>
  </si>
  <si>
    <t>-475.33364188697 224.67574514636 758.817213665774</t>
  </si>
  <si>
    <t>-638.928522948734 -6.54489898418823 218.715123403364</t>
  </si>
  <si>
    <t>-660.83850316472 9.08716930079424 688.034617669213</t>
  </si>
  <si>
    <t>-503.319050756614 -27.9830607806733 757.005090288366</t>
  </si>
  <si>
    <t>9763-20170724T164147.225260200.bin</t>
  </si>
  <si>
    <t>-621.405028465748 70.7232169418123 -236.715446786984</t>
  </si>
  <si>
    <t>-645.571405369936 75.9499249224455 -355.275399764546</t>
  </si>
  <si>
    <t>-651.239876402844 65.7686885171773 -475.918619723098</t>
  </si>
  <si>
    <t>-648.617350805834 50.4896390532628 -584.336829642925</t>
  </si>
  <si>
    <t>-638.340002820125 29.3023294814654 -691.296282719779</t>
  </si>
  <si>
    <t>-620.717617356859 40.1920479676021 -779.575543757643</t>
  </si>
  <si>
    <t>-592.878742702587 184.56027202789 -782.296380180802</t>
  </si>
  <si>
    <t>-491.016704047954 223.722225894067 -485.182361799339</t>
  </si>
  <si>
    <t>-297.658131115178 174.823263708508 -318.259105782184</t>
  </si>
  <si>
    <t>-602.807721092264 166.986720525443 -236.071845125014</t>
  </si>
  <si>
    <t>-535.663011082927 219.402209284815 211.590886506865</t>
  </si>
  <si>
    <t>-627.300647748995 240.978306616438 671.989196631653</t>
  </si>
  <si>
    <t>-475.337207605609 224.700968658857 759.084965506443</t>
  </si>
  <si>
    <t>-639.006164956298 -6.62718237414759 218.715385514308</t>
  </si>
  <si>
    <t>-660.860160676413 9.05919970383903 688.015668255015</t>
  </si>
  <si>
    <t>-503.409146575965 -28.2982856566596 756.987438857058</t>
  </si>
  <si>
    <t>9763-20170724T164147.293443700.bin</t>
  </si>
  <si>
    <t>-621.361558462574 70.5312268656026 -236.521737317965</t>
  </si>
  <si>
    <t>-645.490391443949 75.8196800179833 -355.086647679378</t>
  </si>
  <si>
    <t>-651.152466979239 65.5889223052791 -475.725949840291</t>
  </si>
  <si>
    <t>-648.534526919572 50.2228503375771 -584.132100626069</t>
  </si>
  <si>
    <t>-638.270948131225 28.9087426738651 -691.067695079509</t>
  </si>
  <si>
    <t>-620.661914258266 39.6681790538379 -779.365546077022</t>
  </si>
  <si>
    <t>-592.8193948243 184.019624027213 -782.222454416664</t>
  </si>
  <si>
    <t>-490.564514745582 223.360676922019 -485.267165604518</t>
  </si>
  <si>
    <t>-297.404094541112 173.87028625605 -318.288703384968</t>
  </si>
  <si>
    <t>-602.602883421655 166.768948088878 -235.780512664432</t>
  </si>
  <si>
    <t>-535.123727905953 219.331951755207 211.814576821644</t>
  </si>
  <si>
    <t>-627.098730596984 240.93919788848 671.971114486352</t>
  </si>
  <si>
    <t>-475.316329048643 224.578830745313 759.366479834309</t>
  </si>
  <si>
    <t>-639.112128096492 -6.77401272106648 218.808932479944</t>
  </si>
  <si>
    <t>-660.88194997966 9.08776469179338 688.029195129352</t>
  </si>
  <si>
    <t>-503.429896220997 -28.2640456757286 757.00172440448</t>
  </si>
  <si>
    <t>9763-20170724T164147.321518700.bin</t>
  </si>
  <si>
    <t>-621.258629626181 70.5732518268029 -236.453356586158</t>
  </si>
  <si>
    <t>-645.407642597737 75.8908193859848 -355.012835494024</t>
  </si>
  <si>
    <t>-651.092466627867 65.6575854325609 -475.650915772172</t>
  </si>
  <si>
    <t>-648.495553372348 50.2766503965943 -584.05535808322</t>
  </si>
  <si>
    <t>-638.253313079098 28.9354906614149 -690.987591617469</t>
  </si>
  <si>
    <t>-620.650453588203 39.6632956102381 -779.290441550542</t>
  </si>
  <si>
    <t>-592.693943756668 183.997255495465 -782.192325560498</t>
  </si>
  <si>
    <t>-490.301470097594 223.292028153395 -485.27822442218</t>
  </si>
  <si>
    <t>-297.338720534764 173.488405018552 -318.164493419891</t>
  </si>
  <si>
    <t>-602.382018284808 166.890662089191 -235.703964199486</t>
  </si>
  <si>
    <t>-534.862920038936 219.331827793868 211.899362795191</t>
  </si>
  <si>
    <t>-627.051969847916 240.938829628174 672.088516897706</t>
  </si>
  <si>
    <t>-475.294914619162 224.562017822792 759.524904963154</t>
  </si>
  <si>
    <t>-639.117098892828 -6.7906563353213 218.848427178351</t>
  </si>
  <si>
    <t>-660.899052118372 9.03348998147663 688.046863782736</t>
  </si>
  <si>
    <t>-503.497896272613 -28.5200631190608 757.025840725455</t>
  </si>
  <si>
    <t>9763-20170724T164147.390215900.bin</t>
  </si>
  <si>
    <t>-621.173921273272 70.934203705487 -236.255953993491</t>
  </si>
  <si>
    <t>-645.236735745756 76.3199855447176 -354.829884644328</t>
  </si>
  <si>
    <t>-650.910904019459 66.0643139481225 -475.466445515898</t>
  </si>
  <si>
    <t>-648.332577610368 50.6292797897213 -583.863786068865</t>
  </si>
  <si>
    <t>-638.135277798908 29.2021619363066 -690.783065075925</t>
  </si>
  <si>
    <t>-620.570421024253 39.8371225223536 -779.104801897434</t>
  </si>
  <si>
    <t>-592.535726831886 184.14653696521 -782.116460255359</t>
  </si>
  <si>
    <t>-489.857109945455 223.367074077183 -485.291551525521</t>
  </si>
  <si>
    <t>-297.430196032178 172.578011623207 -317.856833850983</t>
  </si>
  <si>
    <t>-602.21202620563 167.246414666595 -235.431524216348</t>
  </si>
  <si>
    <t>-534.542532711663 219.54341606033 212.165973895658</t>
  </si>
  <si>
    <t>-627.109429217215 240.923008160146 672.339771019205</t>
  </si>
  <si>
    <t>-475.314121486757 224.557860937918 759.711746118939</t>
  </si>
  <si>
    <t>-639.252597591896 -6.51342527452847 218.934669904269</t>
  </si>
  <si>
    <t>-660.875224340759 9.33003973624471 688.092238368122</t>
  </si>
  <si>
    <t>-502.953595963399 -26.1121965693481 756.998905732989</t>
  </si>
  <si>
    <t>9763-20170724T164147.423303000.bin</t>
  </si>
  <si>
    <t>-621.124813585145 71.048580502628 -236.175973856359</t>
  </si>
  <si>
    <t>-645.224379305899 76.470466125557 -354.74076574764</t>
  </si>
  <si>
    <t>-650.912515612888 66.2505508140346 -475.379788511009</t>
  </si>
  <si>
    <t>-648.336365970097 50.8484750854227 -583.781767387432</t>
  </si>
  <si>
    <t>-638.130342959476 29.4556382561492 -690.707197507632</t>
  </si>
  <si>
    <t>-620.55353954619 40.1208649827424 -779.022881949186</t>
  </si>
  <si>
    <t>-592.391143576674 184.413257995395 -782.004864993176</t>
  </si>
  <si>
    <t>-489.720470300304 223.489279476224 -485.158190118184</t>
  </si>
  <si>
    <t>-297.279535560754 172.636380707675 -317.758936147323</t>
  </si>
  <si>
    <t>-602.097954714156 167.437220572527 -235.31835353461</t>
  </si>
  <si>
    <t>-534.491517576116 219.613527033335 212.302804797905</t>
  </si>
  <si>
    <t>-627.181643191838 240.899987133017 672.495353707513</t>
  </si>
  <si>
    <t>-475.315380404512 224.61781592493 759.759548300475</t>
  </si>
  <si>
    <t>-639.297676356098 -6.51800197912812 218.989994324244</t>
  </si>
  <si>
    <t>-660.905589047425 9.14172520044177 688.127647671684</t>
  </si>
  <si>
    <t>-503.417439402982 -28.0517532214278 757.103282390601</t>
  </si>
  <si>
    <t>9763-20170724T164147.493016100.bin</t>
  </si>
  <si>
    <t>-621.141949953133 71.4754761970197 -235.93379789454</t>
  </si>
  <si>
    <t>-645.205482153005 76.896449391013 -354.505996760469</t>
  </si>
  <si>
    <t>-650.888094631751 66.6232890591037 -475.140736001546</t>
  </si>
  <si>
    <t>-648.31763535069 51.1542321762824 -583.533305653034</t>
  </si>
  <si>
    <t>-638.127059995471 29.6771915108007 -690.443311370779</t>
  </si>
  <si>
    <t>-620.594232777786 40.2651857365243 -778.777077643314</t>
  </si>
  <si>
    <t>-592.629580358596 184.59213917083 -781.785861465451</t>
  </si>
  <si>
    <t>-489.614944175049 223.620901347286 -485.05207307076</t>
  </si>
  <si>
    <t>-297.515520256866 171.876859067672 -317.53360427511</t>
  </si>
  <si>
    <t>-602.232832995947 167.927371981661 -234.966088170185</t>
  </si>
  <si>
    <t>-534.809001089474 220.05245710469 212.688481492084</t>
  </si>
  <si>
    <t>-627.577571611085 240.963968817288 673.005995804687</t>
  </si>
  <si>
    <t>-475.374270708823 224.829812040276 759.708745765374</t>
  </si>
  <si>
    <t>-639.311522756026 -6.276597030206 219.155882909249</t>
  </si>
  <si>
    <t>-660.907610172597 9.09646888755859 688.224674220429</t>
  </si>
  <si>
    <t>-503.458820885492 -28.2235752256512 757.221785852823</t>
  </si>
  <si>
    <t>9763-20170724T164147.525101100.bin</t>
  </si>
  <si>
    <t>-621.175800408989 71.7441137465575 -235.792677901365</t>
  </si>
  <si>
    <t>-645.222825873592 77.1524949528048 -354.368811590104</t>
  </si>
  <si>
    <t>-650.872787752622 66.887988759605 -475.005758258787</t>
  </si>
  <si>
    <t>-648.267395924573 51.434682198814 -583.399810858993</t>
  </si>
  <si>
    <t>-638.037130383259 29.9807662124394 -690.310546163051</t>
  </si>
  <si>
    <t>-620.483909020775 40.5944444797281 -778.637099380541</t>
  </si>
  <si>
    <t>-592.403535869656 184.900705633917 -781.564872265666</t>
  </si>
  <si>
    <t>-489.280244263768 223.831241914381 -484.855941432428</t>
  </si>
  <si>
    <t>-297.335243488201 171.680962497208 -317.286604847485</t>
  </si>
  <si>
    <t>-602.331353751647 168.224693590338 -234.794512833527</t>
  </si>
  <si>
    <t>-535.049269282094 220.278455803002 212.889782133543</t>
  </si>
  <si>
    <t>-627.859527211973 240.981732223551 673.280356595089</t>
  </si>
  <si>
    <t>-475.410187962851 224.978413541391 759.574138735359</t>
  </si>
  <si>
    <t>-639.316743463506 -6.08180380517096 219.24545058432</t>
  </si>
  <si>
    <t>-660.913172984731 9.10034099909117 688.278129056931</t>
  </si>
  <si>
    <t>-503.448821328545 -28.1535578836014 757.275468501342</t>
  </si>
  <si>
    <t>9763-20170724T164147.587206400.bin</t>
  </si>
  <si>
    <t>-621.374612100897 72.3136122767308 -235.519594427294</t>
  </si>
  <si>
    <t>-645.436089838253 77.7008678438142 -354.093607763918</t>
  </si>
  <si>
    <t>-651.1242428094 67.494152976707 -474.733807465082</t>
  </si>
  <si>
    <t>-648.564936224691 52.1221154929687 -583.140329624857</t>
  </si>
  <si>
    <t>-638.392817217252 30.7755647516574 -690.078289660045</t>
  </si>
  <si>
    <t>-620.920632458807 41.4974710971805 -778.407952235185</t>
  </si>
  <si>
    <t>-592.838491619142 185.79964701365 -781.16353390512</t>
  </si>
  <si>
    <t>-488.984185990252 224.292810451351 -484.652496653737</t>
  </si>
  <si>
    <t>-297.181954499039 171.712603718183 -317.053991592123</t>
  </si>
  <si>
    <t>-602.758221553542 168.74496082779 -234.417384999375</t>
  </si>
  <si>
    <t>-535.78479736041 220.797521760503 213.313218275311</t>
  </si>
  <si>
    <t>-628.494299749376 241.095586157704 673.757952313745</t>
  </si>
  <si>
    <t>-475.49871020805 225.35503809687 759.128301967486</t>
  </si>
  <si>
    <t>-639.232946241533 -5.66080478101025 219.445939833751</t>
  </si>
  <si>
    <t>-660.867565365866 9.2852345405263 688.394920727706</t>
  </si>
  <si>
    <t>-503.429672494782 -28.0225838105361 757.423551480435</t>
  </si>
  <si>
    <t>9763-20170724T164147.631332900.bin</t>
  </si>
  <si>
    <t>-621.539099924334 72.606796391453 -235.45716443055</t>
  </si>
  <si>
    <t>-645.645851312183 77.9997391625422 -354.021853946063</t>
  </si>
  <si>
    <t>-651.330848053315 67.8617969151191 -474.667874803334</t>
  </si>
  <si>
    <t>-648.747381657234 52.5789733127871 -583.086582661373</t>
  </si>
  <si>
    <t>-638.529119797911 31.3496237889947 -690.043433559196</t>
  </si>
  <si>
    <t>-621.061007636385 42.1949058806226 -778.358738158433</t>
  </si>
  <si>
    <t>-593.15240327153 186.536842405755 -780.975927033611</t>
  </si>
  <si>
    <t>-488.458015129908 224.649074666533 -484.711346664432</t>
  </si>
  <si>
    <t>-296.777759451113 171.847664094222 -317.042699718246</t>
  </si>
  <si>
    <t>-602.970486229067 169.083740279309 -234.396734415336</t>
  </si>
  <si>
    <t>-536.087554037288 220.906296636816 213.374046351087</t>
  </si>
  <si>
    <t>-628.617561116487 241.071954739793 673.713016898893</t>
  </si>
  <si>
    <t>-475.500278790532 225.428958534389 758.882856167948</t>
  </si>
  <si>
    <t>-639.212884466136 -5.51011639180751 219.496114077054</t>
  </si>
  <si>
    <t>-660.858598054237 9.31132528665796 688.430861528619</t>
  </si>
  <si>
    <t>-503.462858352823 -28.14784874925 757.473430460052</t>
  </si>
  <si>
    <t>9763-20170724T164147.691042600.bin</t>
  </si>
  <si>
    <t>-621.871415908167 73.19671039917 -235.736632823185</t>
  </si>
  <si>
    <t>-646.074675818452 78.5910894581695 -354.281551788814</t>
  </si>
  <si>
    <t>-651.708102304302 68.6015675591163 -474.942405855984</t>
  </si>
  <si>
    <t>-649.017107018029 53.5141303608949 -583.385890947248</t>
  </si>
  <si>
    <t>-638.630471073084 32.5415301939181 -690.377007860897</t>
  </si>
  <si>
    <t>-621.122514746035 43.6582314681412 -778.650725104515</t>
  </si>
  <si>
    <t>-593.7701243873 188.14071598395 -780.899905651392</t>
  </si>
  <si>
    <t>-487.133875477513 224.979752993349 -485.167297442555</t>
  </si>
  <si>
    <t>-295.499102716159 172.653324898848 -317.297894081465</t>
  </si>
  <si>
    <t>-603.470237427544 169.639753125025 -234.86086029934</t>
  </si>
  <si>
    <t>-536.223685560532 221.166036065478 212.889785643061</t>
  </si>
  <si>
    <t>-628.157970293873 240.925898724101 672.9112329193</t>
  </si>
  <si>
    <t>-475.383406666364 225.435147388514 758.721956400721</t>
  </si>
  <si>
    <t>-639.244446747692 -5.13267328138373 219.307785512974</t>
  </si>
  <si>
    <t>-660.83403083186 9.54269641872342 688.373260175825</t>
  </si>
  <si>
    <t>-503.113461579429 -26.6092399110473 757.371628842844</t>
  </si>
  <si>
    <t>9763-20170724T164147.723127300.bin</t>
  </si>
  <si>
    <t>-621.976758991361 73.382812695175 -235.972938135646</t>
  </si>
  <si>
    <t>-646.122700422252 78.7100564139416 -354.53251622484</t>
  </si>
  <si>
    <t>-651.655960778222 68.7624552615982 -475.201436976359</t>
  </si>
  <si>
    <t>-648.861815938673 53.7531420214108 -583.653121532321</t>
  </si>
  <si>
    <t>-638.362066979415 32.8955825598191 -690.655886538797</t>
  </si>
  <si>
    <t>-620.789495625138 44.1342784918314 -778.901239931626</t>
  </si>
  <si>
    <t>-593.620438547231 188.644130955236 -780.937707588028</t>
  </si>
  <si>
    <t>-486.147749063465 224.651303290975 -485.405476910129</t>
  </si>
  <si>
    <t>-294.599255664563 172.791094074882 -317.293113521672</t>
  </si>
  <si>
    <t>-603.633401145129 169.788512948965 -235.220446740591</t>
  </si>
  <si>
    <t>-536.392890463577 221.28159003756 212.535008539828</t>
  </si>
  <si>
    <t>-627.878503166173 240.875268894917 672.669979068555</t>
  </si>
  <si>
    <t>-475.318662324148 225.467291442969 758.876658605412</t>
  </si>
  <si>
    <t>-639.160529146974 -5.07933258230331 219.135490875765</t>
  </si>
  <si>
    <t>-660.832419784896 9.55528424383181 688.302665327849</t>
  </si>
  <si>
    <t>-503.15861073119 -26.7894751943832 757.306449245465</t>
  </si>
  <si>
    <t>9763-20170724T164147.794331600.bin</t>
  </si>
  <si>
    <t>-622.323667789225 73.5208126086755 -236.303604424315</t>
  </si>
  <si>
    <t>-646.491120730803 78.778807228045 -354.861962136316</t>
  </si>
  <si>
    <t>-651.923356635109 68.9596225743432 -475.546100543711</t>
  </si>
  <si>
    <t>-648.996544847708 54.1372031424646 -584.019812323485</t>
  </si>
  <si>
    <t>-638.327961142703 33.5307666800334 -691.054522829731</t>
  </si>
  <si>
    <t>-620.603520992285 45.0172278831557 -779.237678333866</t>
  </si>
  <si>
    <t>-593.518437915915 189.539889180139 -780.781089250439</t>
  </si>
  <si>
    <t>-485.139807706878 224.47851205998 -485.451506946651</t>
  </si>
  <si>
    <t>-293.900287445163 172.783389339313 -316.936999166234</t>
  </si>
  <si>
    <t>-604.274019758794 169.81927018434 -235.511413285613</t>
  </si>
  <si>
    <t>-537.437129965709 221.4196356773 212.292058528881</t>
  </si>
  <si>
    <t>-627.690128091813 240.968137193686 672.816712089799</t>
  </si>
  <si>
    <t>-475.273786263316 225.532054508961 759.271871638627</t>
  </si>
  <si>
    <t>-638.947931382242 -5.00312470594351 218.90474843</t>
  </si>
  <si>
    <t>-660.828792907845 9.51029234191955 688.179019801562</t>
  </si>
  <si>
    <t>-503.240164685759 -27.202757463668 757.18253754035</t>
  </si>
  <si>
    <t>9763-20170724T164147.821415000.bin</t>
  </si>
  <si>
    <t>-622.502940156619 73.5665158855178 -236.348794558779</t>
  </si>
  <si>
    <t>-646.651726552172 78.8133369517362 -354.911441552166</t>
  </si>
  <si>
    <t>-652.025952018117 69.0678783308815 -475.604171868357</t>
  </si>
  <si>
    <t>-649.032625967894 54.3447476313355 -584.089718185537</t>
  </si>
  <si>
    <t>-638.284362173491 33.868793215614 -691.141394570504</t>
  </si>
  <si>
    <t>-620.474480946728 45.4816406870289 -779.290789907417</t>
  </si>
  <si>
    <t>-593.424247609188 190.017694191343 -780.632566376932</t>
  </si>
  <si>
    <t>-485.122195305992 224.551367438293 -485.227254878267</t>
  </si>
  <si>
    <t>-293.9660914363 172.808724849138 -316.632797757849</t>
  </si>
  <si>
    <t>-604.497225926807 169.770644822957 -235.518493678961</t>
  </si>
  <si>
    <t>-537.759410106802 221.473765361459 212.287886446897</t>
  </si>
  <si>
    <t>-627.668476908836 241.02566618455 672.962665244148</t>
  </si>
  <si>
    <t>-475.259542938334 225.506297018982 759.415939780255</t>
  </si>
  <si>
    <t>-638.896195324339 -5.01844925401291 218.860917887787</t>
  </si>
  <si>
    <t>-660.856733917839 9.33990359668206 688.145233359416</t>
  </si>
  <si>
    <t>-503.517364084775 -28.401822612238 757.162418900434</t>
  </si>
  <si>
    <t>9763-20170724T164147.859504400.bin</t>
  </si>
  <si>
    <t>-622.625572751955 73.7108392400267 -236.312355825022</t>
  </si>
  <si>
    <t>-646.801217166173 79.0159924165553 -354.867057848202</t>
  </si>
  <si>
    <t>-652.1516092205 69.3725627467862 -475.568976410271</t>
  </si>
  <si>
    <t>-649.115240633286 54.7596903312356 -584.068248518717</t>
  </si>
  <si>
    <t>-638.302056971204 34.4126359828131 -691.137924759135</t>
  </si>
  <si>
    <t>-615.203347069451 0.308264621273075 -837.778018092567</t>
  </si>
  <si>
    <t>-620.406346899639 46.142890917076 -779.254331735241</t>
  </si>
  <si>
    <t>-593.391101539592 190.682674530451 -780.455079271314</t>
  </si>
  <si>
    <t>-485.50082602601 224.945763011112 -484.867738932508</t>
  </si>
  <si>
    <t>-294.196872046225 173.071739001719 -316.481360366197</t>
  </si>
  <si>
    <t>-604.540824011847 169.938281534518 -235.401386190582</t>
  </si>
  <si>
    <t>-537.828371986651 221.514642908402 212.423330966152</t>
  </si>
  <si>
    <t>-627.734606871765 241.097356309146 673.200669684608</t>
  </si>
  <si>
    <t>-475.27421444111 225.441666896271 759.538563825171</t>
  </si>
  <si>
    <t>-638.92140814809 -4.89744604892577 218.858661659421</t>
  </si>
  <si>
    <t>-660.847393071994 9.39341972763252 688.127663515376</t>
  </si>
  <si>
    <t>-503.307057318157 -27.5679642891783 757.108998623773</t>
  </si>
  <si>
    <t>9763-20170724T164147.935736600.bin</t>
  </si>
  <si>
    <t>-622.711669684103 73.8411214431834 -236.164261024447</t>
  </si>
  <si>
    <t>-646.893716731449 79.248538082299 -354.71286639109</t>
  </si>
  <si>
    <t>-652.227221569525 69.7227986384488 -475.424845894978</t>
  </si>
  <si>
    <t>-649.163873672115 55.224284162357 -583.938726580118</t>
  </si>
  <si>
    <t>-638.310795713384 35.0010011082208 -691.027846639026</t>
  </si>
  <si>
    <t>-615.141965462805 1.07962238818017 -837.699415818253</t>
  </si>
  <si>
    <t>-620.349197533221 46.8382321239118 -779.116545061652</t>
  </si>
  <si>
    <t>-593.336929782692 191.382633559964 -780.208437871294</t>
  </si>
  <si>
    <t>-486.060795153549 225.67842151343 -484.40140308624</t>
  </si>
  <si>
    <t>-294.482160086088 173.561753111094 -316.40283663669</t>
  </si>
  <si>
    <t>-604.482579945914 170.164614678784 -235.128479823613</t>
  </si>
  <si>
    <t>-537.628171249255 221.56258856447 212.69569293789</t>
  </si>
  <si>
    <t>-627.917742986245 241.143913820939 673.528017150372</t>
  </si>
  <si>
    <t>-475.310012324749 225.422299771901 759.593308381916</t>
  </si>
  <si>
    <t>-639.119011828937 -4.85367446108748 218.915080860555</t>
  </si>
  <si>
    <t>-660.856129330871 9.37228134201908 688.140237116764</t>
  </si>
  <si>
    <t>-503.47402609121 -28.2112640990032 757.1464112993</t>
  </si>
  <si>
    <t>9763-20170724T164147.990904600.bin</t>
  </si>
  <si>
    <t>-622.935620050916 74.0775912119926 -235.404379753996</t>
  </si>
  <si>
    <t>-647.060216041743 79.8373500902027 -353.948260318841</t>
  </si>
  <si>
    <t>-652.386427210485 70.6168788147125 -474.684197045182</t>
  </si>
  <si>
    <t>-649.322113256824 56.3897292263713 -583.233937399266</t>
  </si>
  <si>
    <t>-638.464279658244 36.4436140330213 -690.374586033961</t>
  </si>
  <si>
    <t>-615.276971678936 2.92269493970468 -837.135261640109</t>
  </si>
  <si>
    <t>-620.452649031649 48.5163068029176 -778.421053123443</t>
  </si>
  <si>
    <t>-593.468677882709 193.061846774093 -779.153505453524</t>
  </si>
  <si>
    <t>-487.804612555315 227.760996481663 -482.813584728195</t>
  </si>
  <si>
    <t>-295.57479550163 174.571941141886 -315.898394269011</t>
  </si>
  <si>
    <t>-604.171583591122 170.61807366654 -234.030809691353</t>
  </si>
  <si>
    <t>-536.868565812062 221.526945378997 213.781869116413</t>
  </si>
  <si>
    <t>-628.865604314636 241.425875858999 674.421297780776</t>
  </si>
  <si>
    <t>-475.538228785774 225.351937657569 759.131686704513</t>
  </si>
  <si>
    <t>-639.880812790057 -4.85592096016788 219.334200798713</t>
  </si>
  <si>
    <t>-660.890502571447 9.31323340243593 688.336559739334</t>
  </si>
  <si>
    <t>-503.743918754873 -29.1503403746698 757.394582776967</t>
  </si>
  <si>
    <t>9763-20170724T164148.024995300.bin</t>
  </si>
  <si>
    <t>-622.987651959538 74.2389630810346 -235.26165530955</t>
  </si>
  <si>
    <t>-647.164306416932 80.1180603392613 -353.789097139367</t>
  </si>
  <si>
    <t>-652.533269006823 71.0180560299343 -474.532345585127</t>
  </si>
  <si>
    <t>-649.49986620135 56.9028434808282 -583.09754492811</t>
  </si>
  <si>
    <t>-638.663483606426 37.0736977172485 -690.261925558527</t>
  </si>
  <si>
    <t>-615.494052060031 3.72232931134502 -837.064113964553</t>
  </si>
  <si>
    <t>-620.65577891568 49.2472304621155 -778.295444547462</t>
  </si>
  <si>
    <t>-593.658464380578 193.797922207148 -778.856580004065</t>
  </si>
  <si>
    <t>-488.360077097054 228.292753776898 -482.362783914038</t>
  </si>
  <si>
    <t>-295.841893443333 175.474610386264 -315.662214331788</t>
  </si>
  <si>
    <t>-604.078298008571 170.824088754499 -233.863035553559</t>
  </si>
  <si>
    <t>-536.651447315425 221.521631684725 213.955118111097</t>
  </si>
  <si>
    <t>-629.034303929837 241.479076125666 674.431460706622</t>
  </si>
  <si>
    <t>-475.584502954504 225.250281563341 758.890350066997</t>
  </si>
  <si>
    <t>-639.901428542098 -4.68550000873211 219.422885406639</t>
  </si>
  <si>
    <t>-660.866196120816 9.52467209937457 688.392578573797</t>
  </si>
  <si>
    <t>-503.354652496653 -27.4815195119395 757.415596480128</t>
  </si>
  <si>
    <t>9763-20170724T164148.089208300.bin</t>
  </si>
  <si>
    <t>-622.918685024009 74.6742417013661 -235.189286666484</t>
  </si>
  <si>
    <t>-647.087635790546 80.6339626844447 -353.714200820138</t>
  </si>
  <si>
    <t>-652.442639839619 71.6405852045015 -474.466038160193</t>
  </si>
  <si>
    <t>-649.393067193888 57.6327841376425 -583.044810067218</t>
  </si>
  <si>
    <t>-638.536032735484 37.922549801755 -690.229187490503</t>
  </si>
  <si>
    <t>-615.332482930229 4.74885624473966 -837.066106805062</t>
  </si>
  <si>
    <t>-620.467994140632 50.1974873417074 -778.236011833646</t>
  </si>
  <si>
    <t>-593.396833442305 194.724987693504 -778.562374419122</t>
  </si>
  <si>
    <t>-488.777598578125 228.748450239522 -481.773827121009</t>
  </si>
  <si>
    <t>-296.292518467849 176.690269465195 -314.796318771014</t>
  </si>
  <si>
    <t>-603.758973169705 171.079009022436 -233.869542597817</t>
  </si>
  <si>
    <t>-536.39127994487 221.665432537243 213.97006857366</t>
  </si>
  <si>
    <t>-629.211124110703 241.538294841961 674.312095706604</t>
  </si>
  <si>
    <t>-475.620712115812 225.139703805402 758.481962885835</t>
  </si>
  <si>
    <t>-639.736895473055 -4.29510939407881 219.469246311978</t>
  </si>
  <si>
    <t>-660.854797402797 9.69186481302322 688.451587116073</t>
  </si>
  <si>
    <t>-503.165840017561 -26.5753744869236 757.461606956412</t>
  </si>
  <si>
    <t>9763-20170724T164148.122296800.bin</t>
  </si>
  <si>
    <t>-622.914887295479 74.8149745234179 -235.245209593788</t>
  </si>
  <si>
    <t>-647.135408736774 80.7862875113981 -353.759013505688</t>
  </si>
  <si>
    <t>-652.497862010606 71.8684027950918 -474.516098931037</t>
  </si>
  <si>
    <t>-649.438847976608 57.9517851228674 -583.10634595599</t>
  </si>
  <si>
    <t>-638.557170956244 38.3539754723511 -690.308746362806</t>
  </si>
  <si>
    <t>-615.304961766427 5.35690290129375 -837.177824432777</t>
  </si>
  <si>
    <t>-620.429543708428 50.730752899597 -778.289227184271</t>
  </si>
  <si>
    <t>-593.12897025751 195.212726932954 -778.366769456381</t>
  </si>
  <si>
    <t>-488.689174168355 229.139175081818 -481.503972504939</t>
  </si>
  <si>
    <t>-296.472518449463 176.72760477211 -314.32787397037</t>
  </si>
  <si>
    <t>-603.692357607244 171.247659972906 -233.958887368767</t>
  </si>
  <si>
    <t>-536.448865577305 221.711493871211 213.913103520846</t>
  </si>
  <si>
    <t>-629.243500592835 241.556418266708 674.193169233752</t>
  </si>
  <si>
    <t>-475.633041702751 225.124479211942 758.319970438272</t>
  </si>
  <si>
    <t>-639.722690148118 -4.21162958740545 219.451683733926</t>
  </si>
  <si>
    <t>-660.869154586604 9.6235107957317 688.460759971686</t>
  </si>
  <si>
    <t>-503.369170884452 -27.410804523872 757.494938772314</t>
  </si>
  <si>
    <t>9763-20170724T164148.188980500.bin</t>
  </si>
  <si>
    <t>-623.120043625961 75.1399254051507 -235.412812063551</t>
  </si>
  <si>
    <t>-647.413916744458 81.1638254118952 -353.908903285314</t>
  </si>
  <si>
    <t>-652.735670362941 72.391992012251 -474.678551524185</t>
  </si>
  <si>
    <t>-649.596658239762 58.6409496818679 -583.287609693583</t>
  </si>
  <si>
    <t>-638.594104939898 39.2398149148909 -690.513452461727</t>
  </si>
  <si>
    <t>-615.133473468857 6.54632057324174 -837.417262047122</t>
  </si>
  <si>
    <t>-620.30592378826 51.7936802964226 -778.435567274298</t>
  </si>
  <si>
    <t>-592.753568245836 196.23118231454 -778.00521728599</t>
  </si>
  <si>
    <t>-488.389296610069 229.150739940092 -481.002672056644</t>
  </si>
  <si>
    <t>-296.662895244414 176.465614608495 -313.350205725643</t>
  </si>
  <si>
    <t>-603.81313786734 171.515741733283 -234.128294209158</t>
  </si>
  <si>
    <t>-536.348630439546 221.824928871398 213.727958641422</t>
  </si>
  <si>
    <t>-629.207650898425 241.545394318954 673.959048751564</t>
  </si>
  <si>
    <t>-475.611340899653 225.108647996657 758.110854032353</t>
  </si>
  <si>
    <t>-639.656255230679 -4.04464567612523 219.34344789163</t>
  </si>
  <si>
    <t>-660.894689975918 9.53051277863268 688.429284169674</t>
  </si>
  <si>
    <t>-503.658820063756 -28.5425460265726 757.500623221389</t>
  </si>
  <si>
    <t>9763-20170724T164148.221065900.bin</t>
  </si>
  <si>
    <t>-623.333243511569 75.3862998451447 -235.537834374246</t>
  </si>
  <si>
    <t>-647.711171341285 81.3967928063589 -354.017343474193</t>
  </si>
  <si>
    <t>-653.038739133218 72.7303655108666 -474.794371174485</t>
  </si>
  <si>
    <t>-649.875887674984 59.1189672803538 -583.420256029246</t>
  </si>
  <si>
    <t>-638.822085694452 39.8990265247025 -690.673450239347</t>
  </si>
  <si>
    <t>-615.263291023159 7.49806189973771 -837.626318251038</t>
  </si>
  <si>
    <t>-620.473965232663 52.6277214764896 -778.557942238247</t>
  </si>
  <si>
    <t>-592.882643569959 197.056160983107 -777.955601884643</t>
  </si>
  <si>
    <t>-487.88624178175 229.034852944236 -481.073013409224</t>
  </si>
  <si>
    <t>-296.726129703336 175.8902477636 -312.919756054146</t>
  </si>
  <si>
    <t>-604.060080827895 171.803494080739 -234.322363205726</t>
  </si>
  <si>
    <t>-536.512946689939 221.888233165813 213.546622771129</t>
  </si>
  <si>
    <t>-629.109863374108 241.482399911876 673.751607481961</t>
  </si>
  <si>
    <t>-475.606450174646 225.079423910079 758.079264827003</t>
  </si>
  <si>
    <t>-639.614245031025 -3.84348256250526 219.264432416764</t>
  </si>
  <si>
    <t>-660.867023810037 9.72975017947316 688.394000325158</t>
  </si>
  <si>
    <t>-503.395650458444 -27.4150972181406 757.434024889893</t>
  </si>
  <si>
    <t>9763-20170724T164148.292995200.bin</t>
  </si>
  <si>
    <t>-624.183638756756 75.5407065175711 -235.856012098389</t>
  </si>
  <si>
    <t>-648.71308831505 81.5255035829201 -354.305590762368</t>
  </si>
  <si>
    <t>-654.0261685103 73.0703506994765 -475.098179043552</t>
  </si>
  <si>
    <t>-650.790997134685 59.7347197595944 -583.756170900112</t>
  </si>
  <si>
    <t>-639.61095962712 40.8674391259635 -691.058795289325</t>
  </si>
  <si>
    <t>-615.825382981145 9.02947577672032 -838.098209923827</t>
  </si>
  <si>
    <t>-621.165096322056 53.9376095172885 -778.872688733089</t>
  </si>
  <si>
    <t>-593.654181624987 198.399162847952 -778.018120128814</t>
  </si>
  <si>
    <t>-486.204032994905 229.104351053949 -481.879895255598</t>
  </si>
  <si>
    <t>-296.008427249845 175.383837257742 -312.818354556575</t>
  </si>
  <si>
    <t>-605.271463946024 171.820192404622 -234.675942531659</t>
  </si>
  <si>
    <t>-537.225468330418 222.033104553684 213.103145193828</t>
  </si>
  <si>
    <t>-628.719197306198 241.304094612547 673.366640584897</t>
  </si>
  <si>
    <t>-475.501380636339 225.096538089128 758.24966560967</t>
  </si>
  <si>
    <t>-639.685165086038 -3.77888990006234 219.024392444445</t>
  </si>
  <si>
    <t>-660.866948048999 9.81330745072256 688.27383158883</t>
  </si>
  <si>
    <t>-503.215551049239 -26.6249069627612 757.279612905212</t>
  </si>
  <si>
    <t>9763-20170724T164148.325087500.bin</t>
  </si>
  <si>
    <t>-624.625792931952 75.5309968903464 -236.133498793112</t>
  </si>
  <si>
    <t>-649.103172542832 81.4237319570345 -354.598471933706</t>
  </si>
  <si>
    <t>-654.317272007264 73.0157254181638 -475.398602141034</t>
  </si>
  <si>
    <t>-650.980323126743 59.7721995815002 -584.064720286643</t>
  </si>
  <si>
    <t>-639.690057301243 41.0412650054618 -691.379778624366</t>
  </si>
  <si>
    <t>-615.745423237931 9.4340683375269 -838.443213664707</t>
  </si>
  <si>
    <t>-621.153053397786 54.249743202846 -779.153804304789</t>
  </si>
  <si>
    <t>-593.526961779662 198.688332451854 -778.184428301847</t>
  </si>
  <si>
    <t>-485.861149780421 228.811101707042 -482.064812609713</t>
  </si>
  <si>
    <t>-295.90693924976 174.810979154277 -312.820989452769</t>
  </si>
  <si>
    <t>-605.746699092842 171.632528145094 -235.098517308482</t>
  </si>
  <si>
    <t>-537.770131443326 222.029349145011 212.670381734379</t>
  </si>
  <si>
    <t>-628.221135295369 241.214202694488 672.77010120595</t>
  </si>
  <si>
    <t>-475.458024890859 225.092264325289 758.484980979915</t>
  </si>
  <si>
    <t>-639.781168977956 -3.84140209911114 218.836837793724</t>
  </si>
  <si>
    <t>-660.867251591746 9.86167917766345 688.179353110984</t>
  </si>
  <si>
    <t>-503.123393945243 -26.212489136351 757.165009770743</t>
  </si>
  <si>
    <t>9763-20170724T164148.392236700.bin</t>
  </si>
  <si>
    <t>-625.250908560625 75.1315088714571 -236.78831707082</t>
  </si>
  <si>
    <t>-649.753550833604 80.9280351851432 -355.252746788981</t>
  </si>
  <si>
    <t>-654.757307857104 72.6862146460401 -476.073325255146</t>
  </si>
  <si>
    <t>-651.142212824406 59.6922613378533 -584.760631103664</t>
  </si>
  <si>
    <t>-639.490883692972 41.3051211686607 -692.09657648691</t>
  </si>
  <si>
    <t>-614.963350567791 10.2692444258466 -839.185529601443</t>
  </si>
  <si>
    <t>-620.662275358239 54.8616760355048 -779.755378318066</t>
  </si>
  <si>
    <t>-593.177195800739 199.295361633236 -778.296262637786</t>
  </si>
  <si>
    <t>-485.501936049704 228.06408656582 -482.045199488071</t>
  </si>
  <si>
    <t>-295.741495137753 173.884798673265 -312.641537248783</t>
  </si>
  <si>
    <t>-606.484999531861 170.998123767825 -235.962716619823</t>
  </si>
  <si>
    <t>-538.044092268791 221.966089829116 211.670755266753</t>
  </si>
  <si>
    <t>-626.913408455227 241.323629248851 671.976406666966</t>
  </si>
  <si>
    <t>-475.184322286713 224.789992774816 759.431716218844</t>
  </si>
  <si>
    <t>-639.981342000886 -4.19538846829436 218.378899751404</t>
  </si>
  <si>
    <t>-660.86376223566 9.82671742780524 687.933492553649</t>
  </si>
  <si>
    <t>-502.97551376097 -25.5902672840709 756.92955464129</t>
  </si>
  <si>
    <t>9763-20170724T164148.424320300.bin</t>
  </si>
  <si>
    <t>-625.686124349015 74.8116959382879 -236.98803846604</t>
  </si>
  <si>
    <t>-650.147833083435 80.5850505046697 -355.462129873463</t>
  </si>
  <si>
    <t>-655.01637080595 72.4439465287706 -476.295023559307</t>
  </si>
  <si>
    <t>-651.242584789571 59.5904352002008 -584.993746585823</t>
  </si>
  <si>
    <t>-639.397698357437 41.3923965087774 -692.340705181638</t>
  </si>
  <si>
    <t>-614.56609557739 10.6692925276227 -839.444375463027</t>
  </si>
  <si>
    <t>-620.430022186831 55.1408013220393 -779.939650969799</t>
  </si>
  <si>
    <t>-593.003514180874 199.605502136687 -778.249789587723</t>
  </si>
  <si>
    <t>-485.227716097454 227.690944132989 -481.969797683175</t>
  </si>
  <si>
    <t>-295.615935678506 173.508825783161 -312.400570099584</t>
  </si>
  <si>
    <t>-606.91082315801 170.644428975076 -236.189674192612</t>
  </si>
  <si>
    <t>-537.869541206422 222.007509409688 211.306509349109</t>
  </si>
  <si>
    <t>-626.286870118132 241.515924571169 671.650933851552</t>
  </si>
  <si>
    <t>-475.062107398311 224.68177435727 759.918665214597</t>
  </si>
  <si>
    <t>-640.195501503929 -4.56650264616942 218.205756481751</t>
  </si>
  <si>
    <t>-660.862662047081 9.67647690976074 687.840896513833</t>
  </si>
  <si>
    <t>-503.21006411252 -26.6391871294353 756.908568154917</t>
  </si>
  <si>
    <t>9763-20170724T164148.455402800.bin</t>
  </si>
  <si>
    <t>-626.065786128172 74.5966423024228 -237.047107244765</t>
  </si>
  <si>
    <t>-650.480241079008 80.3812116676974 -355.53033228286</t>
  </si>
  <si>
    <t>-655.239712245275 72.3200079010779 -476.37301954311</t>
  </si>
  <si>
    <t>-651.34497891259 59.5641020000211 -585.078840257063</t>
  </si>
  <si>
    <t>-639.358478675775 41.4874251293853 -692.430655370997</t>
  </si>
  <si>
    <t>-614.310144244163 10.9562681585274 -839.537543237652</t>
  </si>
  <si>
    <t>-620.27532046547 55.3518814271107 -779.986253004268</t>
  </si>
  <si>
    <t>-592.851148087758 199.822592166127 -778.08520550126</t>
  </si>
  <si>
    <t>-484.877994021072 227.100244745883 -481.801675550288</t>
  </si>
  <si>
    <t>-295.191945831716 173.205419297459 -312.223973708649</t>
  </si>
  <si>
    <t>-607.17404405324 170.461532304808 -236.18126548079</t>
  </si>
  <si>
    <t>-537.538181272368 222.145574741619 211.185751448788</t>
  </si>
  <si>
    <t>-625.930356937483 241.750703507276 671.762501316453</t>
  </si>
  <si>
    <t>-474.970668057329 224.615173163681 760.4251767835</t>
  </si>
  <si>
    <t>-640.410660564601 -4.80356141434876 218.111175836742</t>
  </si>
  <si>
    <t>-660.836275238176 9.70153544381382 687.780906711006</t>
  </si>
  <si>
    <t>-502.951350270103 -25.6053558809116 756.840797040392</t>
  </si>
  <si>
    <t>9763-20170724T164148.528127900.bin</t>
  </si>
  <si>
    <t>-626.841377090937 74.4226969821394 -236.790030094139</t>
  </si>
  <si>
    <t>-651.265133757153 80.2466982443935 -355.269433114538</t>
  </si>
  <si>
    <t>-655.956547147254 72.2867442724474 -476.121368734738</t>
  </si>
  <si>
    <t>-651.973443350757 59.6412929026896 -584.837005748739</t>
  </si>
  <si>
    <t>-639.874897943854 41.6900126862512 -692.197263381482</t>
  </si>
  <si>
    <t>-614.649038623645 11.3450626871469 -839.312334326354</t>
  </si>
  <si>
    <t>-620.691438732272 55.6659563936992 -779.713147318184</t>
  </si>
  <si>
    <t>-593.300379517886 200.130636332169 -777.609074440629</t>
  </si>
  <si>
    <t>-484.493350000801 226.445667623104 -481.543655490723</t>
  </si>
  <si>
    <t>-294.716357524449 172.645076218801 -312.037776298077</t>
  </si>
  <si>
    <t>-608.227531181988 170.435963021555 -235.614174502911</t>
  </si>
  <si>
    <t>-537.524644909824 222.453265570488 211.546876323966</t>
  </si>
  <si>
    <t>-625.786839806631 242.004042035871 672.352669947811</t>
  </si>
  <si>
    <t>-474.957719137154 224.629951446376 761.190849864526</t>
  </si>
  <si>
    <t>-640.974089831294 -5.19262191502647 218.19131082013</t>
  </si>
  <si>
    <t>-660.829718981221 9.54390319037189 687.783953046009</t>
  </si>
  <si>
    <t>-503.333594808343 -27.3881818870967 756.881790868019</t>
  </si>
  <si>
    <t>9763-20170724T164148.588324200.bin</t>
  </si>
  <si>
    <t>-627.127912590015 74.6966715320471 -236.524322117992</t>
  </si>
  <si>
    <t>-651.539423309018 80.5436141379024 -355.005018543843</t>
  </si>
  <si>
    <t>-656.25397313075 72.6388129198924 -475.859691381034</t>
  </si>
  <si>
    <t>-652.307492566669 60.0531583838651 -584.583572417644</t>
  </si>
  <si>
    <t>-640.261700854478 42.1695465102761 -691.961110544804</t>
  </si>
  <si>
    <t>-615.126201357338 11.9247778460376 -839.112246269739</t>
  </si>
  <si>
    <t>-621.109587853481 56.2021399650246 -779.474716308187</t>
  </si>
  <si>
    <t>-593.558304178497 200.64004261139 -777.337956580664</t>
  </si>
  <si>
    <t>-483.511097723134 226.609416649429 -481.700735381207</t>
  </si>
  <si>
    <t>-293.659029319505 173.051542924694 -312.202060808791</t>
  </si>
  <si>
    <t>-608.365331959347 170.830435705836 -235.286778779523</t>
  </si>
  <si>
    <t>-537.610188168718 222.653914901392 211.888418362407</t>
  </si>
  <si>
    <t>-625.617634795795 242.258550123951 672.697259931321</t>
  </si>
  <si>
    <t>-474.926296138582 224.613152840446 761.715673622642</t>
  </si>
  <si>
    <t>-641.104206001404 -5.0998026700445 218.349433547288</t>
  </si>
  <si>
    <t>-660.773756222865 9.56912515055831 687.853674909322</t>
  </si>
  <si>
    <t>-503.144534675659 -26.7860672622387 756.953839733866</t>
  </si>
  <si>
    <t>9763-20170724T164148.625422700.bin</t>
  </si>
  <si>
    <t>-627.128268559738 74.9471499698013 -236.38948844393</t>
  </si>
  <si>
    <t>-651.573547650653 80.8115235937962 -354.8625272133</t>
  </si>
  <si>
    <t>-656.353504550299 72.9294313690845 -475.716079847501</t>
  </si>
  <si>
    <t>-652.479986121836 60.3639218504381 -584.444867516635</t>
  </si>
  <si>
    <t>-640.52095584513 42.4981650501072 -691.835082510803</t>
  </si>
  <si>
    <t>-615.520750841262 12.2745058015054 -839.013528777236</t>
  </si>
  <si>
    <t>-621.412164583623 56.5384106339861 -779.356891440988</t>
  </si>
  <si>
    <t>-593.678655968352 200.927951062444 -777.266982251279</t>
  </si>
  <si>
    <t>-483.089518272562 226.824227827772 -481.825664042343</t>
  </si>
  <si>
    <t>-293.308726204844 173.359797449167 -312.217672281386</t>
  </si>
  <si>
    <t>-608.379442028695 171.051427581473 -235.097351504645</t>
  </si>
  <si>
    <t>-537.581580528852 222.791632067819 212.080829517192</t>
  </si>
  <si>
    <t>-625.625986534241 242.326020030988 672.939144450966</t>
  </si>
  <si>
    <t>-474.955701678123 224.552129919382 761.967580710855</t>
  </si>
  <si>
    <t>-641.062074313078 -4.91223717469833 218.418401705743</t>
  </si>
  <si>
    <t>-660.716859084718 9.77665541178627 687.855493917466</t>
  </si>
  <si>
    <t>-502.9403012154 -25.9741279232708 756.934865855238</t>
  </si>
  <si>
    <t>9763-20170724T164148.693517700.bin</t>
  </si>
  <si>
    <t>-626.99791360008 75.4679979004227 -236.254642873428</t>
  </si>
  <si>
    <t>-651.493917907425 81.4014232430937 -354.713666230683</t>
  </si>
  <si>
    <t>-656.392647817573 73.5853047022375 -475.566756284394</t>
  </si>
  <si>
    <t>-652.654448196029 61.0744699327686 -584.306567687035</t>
  </si>
  <si>
    <t>-640.858448970064 43.2564880320236 -691.722797552657</t>
  </si>
  <si>
    <t>-616.113040582367 13.089669349195 -838.956040588488</t>
  </si>
  <si>
    <t>-621.830256234042 57.3210333157795 -779.258266930546</t>
  </si>
  <si>
    <t>-593.707299928883 201.634636839037 -777.190008894837</t>
  </si>
  <si>
    <t>-482.096183260863 227.206707831999 -482.104909541195</t>
  </si>
  <si>
    <t>-292.43215977401 174.040246989878 -312.27285473472</t>
  </si>
  <si>
    <t>-608.098092449102 171.550934317171 -234.869149604117</t>
  </si>
  <si>
    <t>-537.399191703125 223.089836759069 212.347887777872</t>
  </si>
  <si>
    <t>-625.716014024909 242.359925074874 673.229145712741</t>
  </si>
  <si>
    <t>-475.01024639675 224.48897724246 762.178076717516</t>
  </si>
  <si>
    <t>-640.923040233381 -4.5878782124909 218.439469373614</t>
  </si>
  <si>
    <t>-660.676493102366 9.72571430190442 687.777734342622</t>
  </si>
  <si>
    <t>-502.833893174154 -25.7879982607737 756.828522933539</t>
  </si>
  <si>
    <t>9763-20170724T164148.725601900.bin</t>
  </si>
  <si>
    <t>-626.90884174144 75.7807347161605 -236.244130338861</t>
  </si>
  <si>
    <t>-651.442436125892 81.7564213071903 -354.693219584405</t>
  </si>
  <si>
    <t>-656.422633962334 73.9876582868183 -475.54608517349</t>
  </si>
  <si>
    <t>-652.775700784434 61.519748981476 -584.29401862302</t>
  </si>
  <si>
    <t>-641.08816772656 43.7436500753333 -691.728862571012</t>
  </si>
  <si>
    <t>-616.510990870452 13.6327255215634 -839.001821258712</t>
  </si>
  <si>
    <t>-622.13195859969 57.8376713826518 -779.275243078482</t>
  </si>
  <si>
    <t>-593.810423904847 202.120847094399 -777.203773104627</t>
  </si>
  <si>
    <t>-481.625059504623 227.393367179373 -482.31066645165</t>
  </si>
  <si>
    <t>-292.09146209536 174.323303369851 -312.302910253305</t>
  </si>
  <si>
    <t>-608.000730711475 171.925647685452 -234.824335190374</t>
  </si>
  <si>
    <t>-537.2468891039 223.189660375079 212.415698079704</t>
  </si>
  <si>
    <t>-625.742979904634 242.292818456127 673.254780245444</t>
  </si>
  <si>
    <t>-475.040115997523 224.468972344283 762.218085364215</t>
  </si>
  <si>
    <t>-640.828783694734 -4.4337847618371 218.428748620707</t>
  </si>
  <si>
    <t>-660.653434893726 9.70568855237963 687.749483836926</t>
  </si>
  <si>
    <t>-503.014564787011 -26.6739228997813 756.814843555974</t>
  </si>
  <si>
    <t>9763-20170724T164148.789339600.bin</t>
  </si>
  <si>
    <t>-626.697684755275 76.5740846251375 -236.263606329796</t>
  </si>
  <si>
    <t>-651.249358856781 82.6048856073168 -354.706261691294</t>
  </si>
  <si>
    <t>-656.366593824472 74.8866549193718 -475.556672099519</t>
  </si>
  <si>
    <t>-652.892825751175 62.4580361242166 -584.314786544014</t>
  </si>
  <si>
    <t>-641.427519886521 44.7117849078739 -691.778515231783</t>
  </si>
  <si>
    <t>-617.209519186593 14.6295765396119 -839.116598569962</t>
  </si>
  <si>
    <t>-622.615202429805 58.8133341806094 -779.354751031054</t>
  </si>
  <si>
    <t>-593.871395217487 203.012439669695 -777.337769922289</t>
  </si>
  <si>
    <t>-480.74768222942 227.730095942392 -482.756407739376</t>
  </si>
  <si>
    <t>-291.410195227593 174.668734116284 -312.527583458025</t>
  </si>
  <si>
    <t>-607.755995595691 172.784053324035 -234.789269674714</t>
  </si>
  <si>
    <t>-537.282245738203 223.4144955701 212.567103601511</t>
  </si>
  <si>
    <t>-625.956753418953 242.083174422354 673.460986850513</t>
  </si>
  <si>
    <t>-475.129814512653 224.512777910143 762.264344523689</t>
  </si>
  <si>
    <t>-640.668271761535 -3.92175623372194 218.393840280651</t>
  </si>
  <si>
    <t>-660.601257141859 9.71893867305393 687.706910461317</t>
  </si>
  <si>
    <t>-502.941299534658 -26.6065660423813 756.752612651899</t>
  </si>
  <si>
    <t>9763-20170724T164148.825436300.bin</t>
  </si>
  <si>
    <t>-626.590902845659 76.9372165328603 -236.21156857225</t>
  </si>
  <si>
    <t>-651.099461980175 82.968737654238 -354.663078927275</t>
  </si>
  <si>
    <t>-656.261847491899 75.2534147378214 -475.51161610523</t>
  </si>
  <si>
    <t>-652.865338656947 62.8266886120336 -584.272330914525</t>
  </si>
  <si>
    <t>-641.513309586161 45.0805317521665 -691.748109465639</t>
  </si>
  <si>
    <t>-617.489382409115 14.9951401707683 -839.117454206265</t>
  </si>
  <si>
    <t>-622.782843173789 59.1755212294637 -779.343073293771</t>
  </si>
  <si>
    <t>-593.867235437008 203.344073741393 -777.383765172736</t>
  </si>
  <si>
    <t>-480.401342277214 227.890945512056 -482.919664705045</t>
  </si>
  <si>
    <t>-291.133287647361 174.667681767087 -312.664179829145</t>
  </si>
  <si>
    <t>-607.606793190832 173.096211704785 -234.707352162485</t>
  </si>
  <si>
    <t>-537.490563122807 223.568845873359 212.722974601015</t>
  </si>
  <si>
    <t>-626.210301937671 241.992537064148 673.744912558901</t>
  </si>
  <si>
    <t>-475.194747417149 224.547116215949 762.251732924091</t>
  </si>
  <si>
    <t>-640.647022766567 -3.62108699366551 218.424305944303</t>
  </si>
  <si>
    <t>-660.556408582834 9.84276537972058 687.723572343764</t>
  </si>
  <si>
    <t>-502.612904820856 -25.3061697886059 756.730107619067</t>
  </si>
  <si>
    <t>9763-20170724T164148.887658000.bin</t>
  </si>
  <si>
    <t>-626.794747279194 77.5960988183564 -235.813972706288</t>
  </si>
  <si>
    <t>-651.271243367878 83.5650025944047 -354.275276922833</t>
  </si>
  <si>
    <t>-656.507732449538 75.8132823930114 -475.11838130183</t>
  </si>
  <si>
    <t>-653.223406948705 63.3604412792931 -583.879548050443</t>
  </si>
  <si>
    <t>-642.029241152473 45.5922816105598 -691.368333591181</t>
  </si>
  <si>
    <t>-618.271990484989 15.4775560027101 -838.774805812676</t>
  </si>
  <si>
    <t>-623.410346573268 59.6632658725023 -778.990824266318</t>
  </si>
  <si>
    <t>-594.237936116322 203.778268851527 -777.153665952486</t>
  </si>
  <si>
    <t>-480.328516842255 228.014719525975 -482.835061307671</t>
  </si>
  <si>
    <t>-291.162409411664 174.529399039202 -312.548479420284</t>
  </si>
  <si>
    <t>-608.048508013014 173.828088536818 -234.194729604373</t>
  </si>
  <si>
    <t>-538.776650515266 223.715873629763 213.432716440067</t>
  </si>
  <si>
    <t>-627.155719703944 241.725871344409 674.764533863726</t>
  </si>
  <si>
    <t>-475.430726203514 224.702216737329 762.132850381907</t>
  </si>
  <si>
    <t>-640.817132303401 -3.1882895467282 218.78274576645</t>
  </si>
  <si>
    <t>-660.495211358239 9.84736389709764 687.990318795157</t>
  </si>
  <si>
    <t>-502.689899445464 -25.8417630731392 757.035778360575</t>
  </si>
  <si>
    <t>9763-20170724T164148.925760700.bin</t>
  </si>
  <si>
    <t>-627.068620756161 77.8113671344436 -235.501578270456</t>
  </si>
  <si>
    <t>-651.470543959383 83.7258720510094 -353.981082342788</t>
  </si>
  <si>
    <t>-656.703880891676 75.94657185033 -474.82252394664</t>
  </si>
  <si>
    <t>-653.447100478194 63.4782953917791 -583.58271793429</t>
  </si>
  <si>
    <t>-642.311069765807 45.7027299092459 -691.076377806081</t>
  </si>
  <si>
    <t>-618.666140482931 15.5847087384417 -838.50022649087</t>
  </si>
  <si>
    <t>-623.747001865058 59.7700702544203 -778.711036759579</t>
  </si>
  <si>
    <t>-594.446189234961 203.863239599734 -776.930858751727</t>
  </si>
  <si>
    <t>-480.326431704902 227.958165800779 -482.682126748103</t>
  </si>
  <si>
    <t>-291.168995396829 174.426303089814 -312.400459092101</t>
  </si>
  <si>
    <t>-608.512277226708 174.01022289709 -233.865544009241</t>
  </si>
  <si>
    <t>-539.545600843841 223.85443860601 213.813765955214</t>
  </si>
  <si>
    <t>-627.561471819155 241.656188645059 675.186848581882</t>
  </si>
  <si>
    <t>-475.503341046034 224.846046977795 762.015719455929</t>
  </si>
  <si>
    <t>-641.002742032362 -3.05524449380842 219.061624201717</t>
  </si>
  <si>
    <t>-660.469688197575 9.84567891686966 688.217099222175</t>
  </si>
  <si>
    <t>-502.808922051515 -26.4337322516399 757.285272787768</t>
  </si>
  <si>
    <t>9763-20170724T164148.989054400.bin</t>
  </si>
  <si>
    <t>-627.424101919162 78.1598610201848 -235.174311945007</t>
  </si>
  <si>
    <t>-651.767941521518 83.9567981317655 -353.671485958407</t>
  </si>
  <si>
    <t>-656.995021733555 76.0856136378175 -474.507359835662</t>
  </si>
  <si>
    <t>-653.757027547357 63.5413256110672 -583.259421442593</t>
  </si>
  <si>
    <t>-642.66568687109 45.6941190168635 -690.745738837935</t>
  </si>
  <si>
    <t>-619.111020846528 15.4786037950601 -838.164175637064</t>
  </si>
  <si>
    <t>-624.144316479309 59.702003207228 -778.399080443876</t>
  </si>
  <si>
    <t>-594.761622717236 203.776134112119 -776.778423765774</t>
  </si>
  <si>
    <t>-480.328910871909 227.894790324891 -482.653246586244</t>
  </si>
  <si>
    <t>-291.100007451237 174.277750526575 -312.477805691314</t>
  </si>
  <si>
    <t>-609.028847547196 174.336504935162 -233.639870371363</t>
  </si>
  <si>
    <t>-540.810286744479 224.077879191925 214.165530666588</t>
  </si>
  <si>
    <t>-628.131187945453 241.678682744637 675.569695692582</t>
  </si>
  <si>
    <t>-475.603079551888 225.061299566971 761.607724149615</t>
  </si>
  <si>
    <t>-641.18943085777 -2.83760579058298 219.389852402999</t>
  </si>
  <si>
    <t>-660.433101394 9.77183691173394 688.474394776657</t>
  </si>
  <si>
    <t>-502.814777028929 -26.6450972870492 757.56698813454</t>
  </si>
  <si>
    <t>9763-20170724T164149.022146500.bin</t>
  </si>
  <si>
    <t>-627.557555397274 78.3967185995756 -235.24250842202</t>
  </si>
  <si>
    <t>-651.927105909496 84.1518558528064 -353.736419613003</t>
  </si>
  <si>
    <t>-657.16504897345 76.2544261207297 -474.569929218379</t>
  </si>
  <si>
    <t>-653.932646475353 63.6904434641355 -583.319970655758</t>
  </si>
  <si>
    <t>-642.843775542077 45.8260560403924 -690.803583069348</t>
  </si>
  <si>
    <t>-619.290307047555 15.5878058374241 -838.217635396837</t>
  </si>
  <si>
    <t>-624.320392031383 59.8200088517586 -778.458609821501</t>
  </si>
  <si>
    <t>-594.933275406496 203.892978988515 -776.89868120711</t>
  </si>
  <si>
    <t>-480.313335468947 228.050861433847 -482.849669651349</t>
  </si>
  <si>
    <t>-291.027519692894 174.436366127664 -312.736637024351</t>
  </si>
  <si>
    <t>-609.284907315573 174.663221293143 -233.808119780615</t>
  </si>
  <si>
    <t>-541.166751884344 224.188681315792 214.036544811794</t>
  </si>
  <si>
    <t>-628.147570812261 241.689931794501 675.342209674556</t>
  </si>
  <si>
    <t>-475.620347332457 225.091403553766 761.385452958882</t>
  </si>
  <si>
    <t>-641.23265878716 -2.6685005380272 219.378254346536</t>
  </si>
  <si>
    <t>-660.397266746556 9.91774345982073 688.49445222671</t>
  </si>
  <si>
    <t>-502.62568279828 -25.8607427805295 757.570791184685</t>
  </si>
  <si>
    <t>9763-20170724T164149.089996700.bin</t>
  </si>
  <si>
    <t>-627.72175778883 78.6271195038719 -235.484986068919</t>
  </si>
  <si>
    <t>-652.018993944677 84.3126142109796 -353.997134789702</t>
  </si>
  <si>
    <t>-657.210138634591 76.3512208591294 -474.828641073485</t>
  </si>
  <si>
    <t>-653.948190503081 63.7299128623652 -583.570862419811</t>
  </si>
  <si>
    <t>-642.843930374218 45.8072089276202 -691.043447899159</t>
  </si>
  <si>
    <t>-619.284624078977 15.4854732869231 -838.439293874867</t>
  </si>
  <si>
    <t>-624.338536180624 59.7545202899076 -778.709780823329</t>
  </si>
  <si>
    <t>-595.025959071644 203.844002667579 -777.301110249365</t>
  </si>
  <si>
    <t>-480.020459375745 228.134850638707 -483.413601762299</t>
  </si>
  <si>
    <t>-290.636958679344 174.736914240124 -313.341280632842</t>
  </si>
  <si>
    <t>-609.587112932722 174.799898215084 -234.193770069105</t>
  </si>
  <si>
    <t>-541.48863323519 224.338232649632 213.652367379839</t>
  </si>
  <si>
    <t>-628.056048379647 241.682650426237 675.011965355587</t>
  </si>
  <si>
    <t>-475.577345770494 225.224941899661 761.168137195334</t>
  </si>
  <si>
    <t>-641.378148303232 -2.53584427095493 219.228106316966</t>
  </si>
  <si>
    <t>-660.376642327637 9.99005262544094 688.451028007579</t>
  </si>
  <si>
    <t>-502.456004401058 -25.1870841580925 757.495567629361</t>
  </si>
  <si>
    <t>9763-20170724T164149.124087000.bin</t>
  </si>
  <si>
    <t>-627.703226479653 78.718392706974 -235.668262260204</t>
  </si>
  <si>
    <t>-651.987124049235 84.370742692855 -354.184649721946</t>
  </si>
  <si>
    <t>-657.134695436206 76.3715398368743 -475.015533739931</t>
  </si>
  <si>
    <t>-653.82264169144 63.7132366278867 -583.7521271644</t>
  </si>
  <si>
    <t>-642.658501366903 45.7501935999124 -691.211525044342</t>
  </si>
  <si>
    <t>-619.007297004752 15.3684764291173 -838.580405312447</t>
  </si>
  <si>
    <t>-624.10470644237 59.662713211204 -778.873201714461</t>
  </si>
  <si>
    <t>-594.843972473322 203.767653908555 -777.508059650873</t>
  </si>
  <si>
    <t>-479.614068692416 228.083063352266 -483.710486831449</t>
  </si>
  <si>
    <t>-290.203818935616 174.816829736984 -313.626676347598</t>
  </si>
  <si>
    <t>-609.589470760059 174.968440869081 -234.45016736256</t>
  </si>
  <si>
    <t>-541.656663687835 224.338651208926 213.439768650169</t>
  </si>
  <si>
    <t>-627.918251299552 241.735755163062 674.771350154696</t>
  </si>
  <si>
    <t>-475.567061417176 225.235849626731 761.144908038456</t>
  </si>
  <si>
    <t>-641.38091130016 -2.53681668259783 219.114903576725</t>
  </si>
  <si>
    <t>-660.38164863648 9.89293787584441 688.404304173355</t>
  </si>
  <si>
    <t>-502.585777354148 -25.8187226380586 757.459761480295</t>
  </si>
  <si>
    <t>9763-20170724T164149.187882800.bin</t>
  </si>
  <si>
    <t>-627.601390302131 78.6390427451204 -235.951450041794</t>
  </si>
  <si>
    <t>-651.852195614398 84.2535475763295 -354.476439354695</t>
  </si>
  <si>
    <t>-656.885650326468 76.2091879956282 -475.309108886432</t>
  </si>
  <si>
    <t>-653.439278035917 63.5071130634676 -584.036375966616</t>
  </si>
  <si>
    <t>-642.111347994482 45.4973624598321 -691.471033352101</t>
  </si>
  <si>
    <t>-618.203464638785 15.0481278616712 -838.784433255357</t>
  </si>
  <si>
    <t>-623.429556390466 59.3731863063824 -779.111239581278</t>
  </si>
  <si>
    <t>-594.219874756098 203.499393898728 -777.784663852225</t>
  </si>
  <si>
    <t>-478.603495030662 227.975682396624 -484.152362075091</t>
  </si>
  <si>
    <t>-289.167057630252 174.976556766469 -314.014285862323</t>
  </si>
  <si>
    <t>-609.582614834534 174.856331837363 -234.73711726233</t>
  </si>
  <si>
    <t>-541.576350818716 224.394624014674 213.12305649524</t>
  </si>
  <si>
    <t>-627.697246534296 241.775347865006 674.588507185834</t>
  </si>
  <si>
    <t>-475.50572733799 225.272673528253 761.242466832786</t>
  </si>
  <si>
    <t>-641.346491797249 -2.60918499317697 218.917656247777</t>
  </si>
  <si>
    <t>-660.366274679942 9.8972887579545 688.300593310693</t>
  </si>
  <si>
    <t>-502.659564822721 -26.1928798028787 757.362904384931</t>
  </si>
  <si>
    <t>9763-20170724T164149.220969200.bin</t>
  </si>
  <si>
    <t>-627.56625871402 78.5539694813198 -236.02843019875</t>
  </si>
  <si>
    <t>-651.75172746395 84.1267107658639 -354.568733826043</t>
  </si>
  <si>
    <t>-656.698063829713 76.0300189666927 -475.40145940759</t>
  </si>
  <si>
    <t>-653.165686929348 63.2760694746986 -584.120079931043</t>
  </si>
  <si>
    <t>-641.745607341258 45.2098345427632 -691.535318821357</t>
  </si>
  <si>
    <t>-617.704312825818 14.6772355982064 -838.809925920702</t>
  </si>
  <si>
    <t>-622.983707474783 59.0359703901189 -779.166237114947</t>
  </si>
  <si>
    <t>-593.811042292003 203.158464765064 -777.852939030576</t>
  </si>
  <si>
    <t>-478.09786622133 227.650999046133 -484.260093051465</t>
  </si>
  <si>
    <t>-288.679894154213 174.731502357271 -314.076764510754</t>
  </si>
  <si>
    <t>-609.645799314821 174.832200410439 -234.803535965163</t>
  </si>
  <si>
    <t>-541.822189952785 224.333023894742 213.088554395688</t>
  </si>
  <si>
    <t>-627.702049911006 241.794223638565 674.603586145506</t>
  </si>
  <si>
    <t>-475.535494080303 225.293640489719 761.301844425588</t>
  </si>
  <si>
    <t>-641.383131451821 -2.72046938694751 218.870214957755</t>
  </si>
  <si>
    <t>-660.382916039486 9.7762307386521 688.264008856286</t>
  </si>
  <si>
    <t>-502.894271202722 -27.2087618757119 757.350625956179</t>
  </si>
  <si>
    <t>9763-20170724T164149.292696100.bin</t>
  </si>
  <si>
    <t>-627.152835103078 78.1285162287531 -236.182223002164</t>
  </si>
  <si>
    <t>-651.245193198231 83.6306106874012 -354.74488738923</t>
  </si>
  <si>
    <t>-656.08309842465 75.4808391171355 -475.57839549299</t>
  </si>
  <si>
    <t>-652.449301948175 62.684684678749 -584.28853324764</t>
  </si>
  <si>
    <t>-640.925921976813 44.5810035053245 -691.686552035098</t>
  </si>
  <si>
    <t>-616.74060212987 14.0005573042387 -838.927514063602</t>
  </si>
  <si>
    <t>-622.070578456149 58.3775762957095 -779.302053151756</t>
  </si>
  <si>
    <t>-592.84466947622 202.489337592776 -777.947956657358</t>
  </si>
  <si>
    <t>-476.724998457144 226.911756138297 -484.509821808432</t>
  </si>
  <si>
    <t>-287.30524445116 174.280953809552 -314.238790619954</t>
  </si>
  <si>
    <t>-609.145877659296 174.325596101937 -235.029846126312</t>
  </si>
  <si>
    <t>-541.507957289178 224.166646367505 212.852546297089</t>
  </si>
  <si>
    <t>-627.292128727905 241.981561906331 674.213624963317</t>
  </si>
  <si>
    <t>-475.453138533568 225.22310634604 761.435114614683</t>
  </si>
  <si>
    <t>-641.226110836622 -2.99884355354087 218.775611786047</t>
  </si>
  <si>
    <t>-660.384260763993 9.69640557923158 688.191825316414</t>
  </si>
  <si>
    <t>-502.92948536659 -27.4605786739821 757.263189341493</t>
  </si>
  <si>
    <t>9763-20170724T164149.326787100.bin</t>
  </si>
  <si>
    <t>-626.855862565972 77.8987748407724 -236.216681486153</t>
  </si>
  <si>
    <t>-650.905140923834 83.3837460520151 -354.788741488573</t>
  </si>
  <si>
    <t>-655.690550575344 75.2259803933957 -475.623888764495</t>
  </si>
  <si>
    <t>-652.006533467613 62.4256597679466 -584.331892030726</t>
  </si>
  <si>
    <t>-640.430904105492 44.3204673442361 -691.724002235426</t>
  </si>
  <si>
    <t>-616.171425737412 13.7402919748357 -838.952778237823</t>
  </si>
  <si>
    <t>-621.529495959256 58.1169403134716 -779.329625498475</t>
  </si>
  <si>
    <t>-592.300175224718 202.223304718841 -777.926399643314</t>
  </si>
  <si>
    <t>-475.920799338222 226.49386097569 -484.578425956933</t>
  </si>
  <si>
    <t>-286.522616179624 174.009716572765 -314.238134389319</t>
  </si>
  <si>
    <t>-608.911127406949 174.065047315198 -235.065227039398</t>
  </si>
  <si>
    <t>-541.274261005483 224.147901047557 212.790345187464</t>
  </si>
  <si>
    <t>-627.194315544567 242.003909186528 674.199337273929</t>
  </si>
  <si>
    <t>-475.443413656236 225.22479796337 761.570061549804</t>
  </si>
  <si>
    <t>-641.049153382597 -3.08187289688768 218.744880981398</t>
  </si>
  <si>
    <t>-660.35678565367 9.79595287755629 688.163151235226</t>
  </si>
  <si>
    <t>-502.786439027683 -26.921826258803 757.205973296415</t>
  </si>
  <si>
    <t>9763-20170724T164149.390225100.bin</t>
  </si>
  <si>
    <t>-626.131867096273 77.3629792211241 -236.102075686182</t>
  </si>
  <si>
    <t>-650.076215109822 82.8695911090446 -354.694458424534</t>
  </si>
  <si>
    <t>-654.783583100899 74.7488135932909 -475.535068349041</t>
  </si>
  <si>
    <t>-651.039861365348 61.9890060996891 -584.245902495547</t>
  </si>
  <si>
    <t>-639.415150041952 43.9320341054439 -691.640660550362</t>
  </si>
  <si>
    <t>-615.098012335456 13.4271359642346 -838.875610438174</t>
  </si>
  <si>
    <t>-620.474014840969 57.7725390537612 -779.230786262548</t>
  </si>
  <si>
    <t>-591.20087317075 201.868121783485 -777.693451690895</t>
  </si>
  <si>
    <t>-474.501145432477 225.704599743469 -484.437344409081</t>
  </si>
  <si>
    <t>-285.085619362535 173.382754126347 -314.066432743401</t>
  </si>
  <si>
    <t>-608.167645036719 173.429051374371 -234.864001234258</t>
  </si>
  <si>
    <t>-540.592706104316 223.968707260208 212.949594430642</t>
  </si>
  <si>
    <t>-627.207663203779 241.948096718661 674.35991005044</t>
  </si>
  <si>
    <t>-475.481437235032 225.097629380413 761.759742290374</t>
  </si>
  <si>
    <t>-640.702288846447 -3.27420282258962 218.792131941229</t>
  </si>
  <si>
    <t>-660.33608745257 9.88289153368858 688.152623484024</t>
  </si>
  <si>
    <t>-502.693833445216 -26.5814956563995 757.165445545255</t>
  </si>
  <si>
    <t>9763-20170724T164149.422305800.bin</t>
  </si>
  <si>
    <t>-625.671827767667 77.2018174375502 -236.018609528959</t>
  </si>
  <si>
    <t>-649.600993617846 82.7466044855452 -354.612393619021</t>
  </si>
  <si>
    <t>-654.28304751796 74.6625081502055 -475.456371904207</t>
  </si>
  <si>
    <t>-650.511305349113 61.9366786181057 -584.170114261526</t>
  </si>
  <si>
    <t>-638.852816510069 43.9154592218402 -691.56729192972</t>
  </si>
  <si>
    <t>-614.482275027644 13.4631767331056 -838.804414892699</t>
  </si>
  <si>
    <t>-619.872034809995 57.7861526967574 -779.144145131351</t>
  </si>
  <si>
    <t>-590.586494410686 201.879401588681 -777.516039683325</t>
  </si>
  <si>
    <t>-473.818372127808 225.594659929403 -484.27732366845</t>
  </si>
  <si>
    <t>-284.333387260324 173.245450052352 -313.992109499542</t>
  </si>
  <si>
    <t>-607.646944758338 173.324300189311 -234.744689494941</t>
  </si>
  <si>
    <t>-540.198892888443 223.833983697446 213.091360244254</t>
  </si>
  <si>
    <t>-627.260435709284 241.889283446088 674.446242457093</t>
  </si>
  <si>
    <t>-475.509978104487 225.080618006896 761.811984135444</t>
  </si>
  <si>
    <t>-640.466738586673 -3.27057364192986 218.842581772501</t>
  </si>
  <si>
    <t>-660.318762846998 10.0131580275117 688.162132864234</t>
  </si>
  <si>
    <t>-502.414383996413 -25.4071322738812 757.119452128822</t>
  </si>
  <si>
    <t>9763-20170724T164149.491500500.bin</t>
  </si>
  <si>
    <t>-624.678199630228 76.8786876279942 -235.783912276514</t>
  </si>
  <si>
    <t>-648.521547964226 82.4901888503495 -354.391670542114</t>
  </si>
  <si>
    <t>-653.180997004053 74.4982051368086 -475.242719347692</t>
  </si>
  <si>
    <t>-649.41184261574 61.869064080607 -583.967895247464</t>
  </si>
  <si>
    <t>-637.77682060851 43.9598404299775 -691.386413793886</t>
  </si>
  <si>
    <t>-613.458135862099 13.6802540884487 -838.667604423115</t>
  </si>
  <si>
    <t>-618.821798558859 57.9325044737561 -778.952515918974</t>
  </si>
  <si>
    <t>-589.455202351092 202.009914496899 -777.119759035658</t>
  </si>
  <si>
    <t>-472.383933370345 225.171419503027 -483.95765731169</t>
  </si>
  <si>
    <t>-282.901703256814 172.743620680237 -313.693520594353</t>
  </si>
  <si>
    <t>-606.642159362703 172.892795089034 -234.39380249411</t>
  </si>
  <si>
    <t>-539.420149000704 223.636265745029 213.449875497142</t>
  </si>
  <si>
    <t>-627.489537295454 241.754459731103 674.698205516456</t>
  </si>
  <si>
    <t>-475.598722753095 225.009272124783 761.831898995193</t>
  </si>
  <si>
    <t>-639.973593778501 -3.26520036002088 218.981488599296</t>
  </si>
  <si>
    <t>-660.301472857071 10.0571204900603 688.211137760432</t>
  </si>
  <si>
    <t>-502.339893660544 -25.1771678041767 757.132935831122</t>
  </si>
  <si>
    <t>9763-20170724T164149.524588700.bin</t>
  </si>
  <si>
    <t>-624.198589634996 76.6589645091507 -235.664084547672</t>
  </si>
  <si>
    <t>-648.009630847904 82.2787538020213 -354.277939099438</t>
  </si>
  <si>
    <t>-652.675326479361 74.3290991893425 -475.13163569774</t>
  </si>
  <si>
    <t>-648.927113617289 61.7519357053576 -583.863457793834</t>
  </si>
  <si>
    <t>-637.327628153814 43.9081260684923 -691.296748882479</t>
  </si>
  <si>
    <t>-613.072812425806 13.7332465421701 -838.609908814425</t>
  </si>
  <si>
    <t>-618.405994250881 57.9424088307152 -778.860256244008</t>
  </si>
  <si>
    <t>-589.044937125572 202.016517789035 -776.926792312501</t>
  </si>
  <si>
    <t>-471.793487494153 224.915768386582 -483.816022606282</t>
  </si>
  <si>
    <t>-282.274188392366 172.451900061458 -313.604227627694</t>
  </si>
  <si>
    <t>-606.19028517493 172.755203928937 -234.215997129949</t>
  </si>
  <si>
    <t>-539.245192105812 223.533889896365 213.665087745588</t>
  </si>
  <si>
    <t>-627.737731233062 241.662317358803 674.944814881938</t>
  </si>
  <si>
    <t>-475.661268548397 225.024520526679 761.774777980245</t>
  </si>
  <si>
    <t>-639.684844402236 -3.38188933354385 219.07345871677</t>
  </si>
  <si>
    <t>-660.313760251926 9.95127452629393 688.251920296696</t>
  </si>
  <si>
    <t>-502.87608858249 -27.4352257306083 757.238448542506</t>
  </si>
  <si>
    <t>9763-20170724T164149.593338100.bin</t>
  </si>
  <si>
    <t>-623.327565410077 76.4421471807756 -235.293665801501</t>
  </si>
  <si>
    <t>-647.004555221027 82.0388149510675 -353.935526410687</t>
  </si>
  <si>
    <t>-651.654606035994 74.1673653030517 -474.794855543496</t>
  </si>
  <si>
    <t>-647.939324608845 61.7032946783022 -583.54087243919</t>
  </si>
  <si>
    <t>-636.417908357807 44.0148682897443 -691.008217756854</t>
  </si>
  <si>
    <t>-612.316092096107 14.0992306405387 -838.399334304505</t>
  </si>
  <si>
    <t>-617.595927201234 58.2044093273632 -778.568123404369</t>
  </si>
  <si>
    <t>-588.251223809158 202.279401669268 -776.391457816583</t>
  </si>
  <si>
    <t>-470.627043369335 224.514213265245 -483.378902188691</t>
  </si>
  <si>
    <t>-280.994776744038 172.075289967326 -313.285414197472</t>
  </si>
  <si>
    <t>-605.436448690546 172.634962577736 -233.738276665015</t>
  </si>
  <si>
    <t>-539.388195252957 223.381668640993 214.2796970538</t>
  </si>
  <si>
    <t>-628.560425025942 241.595134016944 675.639569623682</t>
  </si>
  <si>
    <t>-475.835383164109 225.27204497681 761.384110739411</t>
  </si>
  <si>
    <t>-639.183989424162 -3.31782973859337 219.328140653072</t>
  </si>
  <si>
    <t>-660.31459726648 9.8933105078291 688.371032666002</t>
  </si>
  <si>
    <t>-502.882184834038 -27.4935301758304 757.369428930156</t>
  </si>
  <si>
    <t>9763-20170724T164149.624418800.bin</t>
  </si>
  <si>
    <t>-622.904596327927 76.2761038835743 -235.081411291281</t>
  </si>
  <si>
    <t>-646.525323765344 81.8738078172607 -353.734304548036</t>
  </si>
  <si>
    <t>-651.169181572051 74.039314484318 -474.596340620148</t>
  </si>
  <si>
    <t>-647.468080573614 61.6239920715602 -583.348428038907</t>
  </si>
  <si>
    <t>-635.979671811973 43.9998564363482 -690.829751580846</t>
  </si>
  <si>
    <t>-611.942100907532 14.1895297596061 -838.252839029812</t>
  </si>
  <si>
    <t>-617.206171020603 58.2534097558873 -778.38977024758</t>
  </si>
  <si>
    <t>-587.931107008023 202.342942328252 -776.109982427938</t>
  </si>
  <si>
    <t>-470.214577240219 224.289857956513 -483.112685799554</t>
  </si>
  <si>
    <t>-280.494866400326 171.783274230066 -313.137651135855</t>
  </si>
  <si>
    <t>-605.113229941445 172.420674357623 -233.458863203138</t>
  </si>
  <si>
    <t>-539.396811789835 223.326399657072 214.589854801097</t>
  </si>
  <si>
    <t>-628.971526643107 241.643889902084 675.890516465973</t>
  </si>
  <si>
    <t>-475.910795778964 225.400917254023 761.049785587627</t>
  </si>
  <si>
    <t>-638.887346371481 -3.33654963322792 219.478167340578</t>
  </si>
  <si>
    <t>-660.337002627305 9.75605208285351 688.446207053394</t>
  </si>
  <si>
    <t>-503.129920900326 -28.5100610218992 757.476179352865</t>
  </si>
  <si>
    <t>9763-20170724T164149.692155900.bin</t>
  </si>
  <si>
    <t>-622.24472114784 76.232504448742 -234.846518720472</t>
  </si>
  <si>
    <t>-645.848410461204 81.7806622658553 -353.505212312346</t>
  </si>
  <si>
    <t>-650.500009271127 73.9833509741708 -474.36935176418</t>
  </si>
  <si>
    <t>-646.815889243295 61.6369095253471 -583.129858231562</t>
  </si>
  <si>
    <t>-635.353698101004 44.1162589634302 -690.630996956518</t>
  </si>
  <si>
    <t>-611.361491580809 14.4852454394875 -838.097563017027</t>
  </si>
  <si>
    <t>-616.635142026076 58.4802164699574 -778.184704421228</t>
  </si>
  <si>
    <t>-587.457864449879 202.589830040767 -775.755005988411</t>
  </si>
  <si>
    <t>-469.485298202936 224.072679299373 -482.826436459834</t>
  </si>
  <si>
    <t>-279.571004864315 171.483501122423 -313.094193575766</t>
  </si>
  <si>
    <t>-604.664999938301 172.462754214307 -233.28177341441</t>
  </si>
  <si>
    <t>-539.463856291233 223.289632064896 214.851202778434</t>
  </si>
  <si>
    <t>-629.52446025796 241.738358437016 675.910295500261</t>
  </si>
  <si>
    <t>-476.011012810154 225.650321041498 760.28032696927</t>
  </si>
  <si>
    <t>-638.320774222907 -3.15447326130996 219.690223380974</t>
  </si>
  <si>
    <t>-660.329789829104 9.8472920307308 688.554301600779</t>
  </si>
  <si>
    <t>-502.929188716832 -27.6612416942133 757.559281122498</t>
  </si>
  <si>
    <t>9763-20170724T164149.725243300.bin</t>
  </si>
  <si>
    <t>-622.03890341156 76.1431690795376 -234.828865023857</t>
  </si>
  <si>
    <t>-645.602454831095 81.6836084882787 -353.495920307643</t>
  </si>
  <si>
    <t>-650.248597721928 73.9071786982 -474.361615434445</t>
  </si>
  <si>
    <t>-646.574010330656 61.5905407856554 -583.125693088081</t>
  </si>
  <si>
    <t>-635.136000503792 44.1099710742933 -690.636006725688</t>
  </si>
  <si>
    <t>-611.191956964084 14.5444998195264 -838.123505043009</t>
  </si>
  <si>
    <t>-616.461409865915 58.5150093104153 -778.192357510431</t>
  </si>
  <si>
    <t>-587.338822817605 202.63264940864 -775.70975009467</t>
  </si>
  <si>
    <t>-469.172847457182 223.938863605948 -482.84618346173</t>
  </si>
  <si>
    <t>-279.201286524652 171.36444535135 -313.173604935135</t>
  </si>
  <si>
    <t>-604.540335771418 172.276113281146 -233.32329803823</t>
  </si>
  <si>
    <t>-539.417636201981 223.314321047555 214.796935847723</t>
  </si>
  <si>
    <t>-629.602609058769 241.719349498122 675.740145743938</t>
  </si>
  <si>
    <t>-476.002903196165 225.727166920936 759.971315368383</t>
  </si>
  <si>
    <t>-638.154585921885 -3.12494065725731 219.698906948123</t>
  </si>
  <si>
    <t>-660.33310313026 9.91638552240809 688.566208760272</t>
  </si>
  <si>
    <t>-502.835176867014 -27.1995911148248 757.561335207684</t>
  </si>
  <si>
    <t>9763-20170724T164149.791984600.bin</t>
  </si>
  <si>
    <t>-621.785154581343 75.794778658204 -234.962587393108</t>
  </si>
  <si>
    <t>-645.313190203636 81.2843347891838 -353.638988372469</t>
  </si>
  <si>
    <t>-649.916693059029 73.5171767382373 -474.506888516032</t>
  </si>
  <si>
    <t>-646.201448817936 61.2333868763484 -583.273433076465</t>
  </si>
  <si>
    <t>-634.720647425074 43.8095942404205 -690.788338547334</t>
  </si>
  <si>
    <t>-610.715173330737 14.3475669391568 -838.286617753541</t>
  </si>
  <si>
    <t>-616.055954568152 58.2824471395225 -778.335613586096</t>
  </si>
  <si>
    <t>-587.126979267742 202.432843850931 -775.749173448893</t>
  </si>
  <si>
    <t>-468.746264356454 223.341509089784 -482.943762793498</t>
  </si>
  <si>
    <t>-278.586431041205 170.867885865277 -313.450910678656</t>
  </si>
  <si>
    <t>-604.44346745899 171.848822406487 -233.551083931745</t>
  </si>
  <si>
    <t>-539.449151031161 223.211154113595 214.550817297543</t>
  </si>
  <si>
    <t>-629.725120445139 241.711768257516 675.467321530011</t>
  </si>
  <si>
    <t>-475.997490399386 225.893871040965 759.497781694004</t>
  </si>
  <si>
    <t>-637.92437632456 -3.26394210817158 219.633043425669</t>
  </si>
  <si>
    <t>-660.363181145604 9.88254868247057 688.547559357881</t>
  </si>
  <si>
    <t>-503.064799540046 -28.0358742338994 757.561386280166</t>
  </si>
  <si>
    <t>9763-20170724T164149.824068800.bin</t>
  </si>
  <si>
    <t>-621.725162680969 75.692978080548 -235.075093872972</t>
  </si>
  <si>
    <t>-645.281896330634 81.1779664535814 -353.745982041361</t>
  </si>
  <si>
    <t>-649.915760817496 73.4455068699963 -474.615012333155</t>
  </si>
  <si>
    <t>-646.227864127093 61.2093415663116 -583.387750799704</t>
  </si>
  <si>
    <t>-634.773875858231 43.8493100383463 -690.915860562244</t>
  </si>
  <si>
    <t>-610.804635797087 14.4926799113701 -838.440982501283</t>
  </si>
  <si>
    <t>-616.157326674234 58.388403350818 -778.46245951058</t>
  </si>
  <si>
    <t>-587.371986497028 202.568400709847 -775.81319824816</t>
  </si>
  <si>
    <t>-468.914518518481 223.278995564389 -483.024816642079</t>
  </si>
  <si>
    <t>-278.599662776693 170.894323549645 -313.678595049165</t>
  </si>
  <si>
    <t>-604.448805230333 171.76196644992 -233.678838914965</t>
  </si>
  <si>
    <t>-539.480425257595 223.18074663102 214.420330215126</t>
  </si>
  <si>
    <t>-629.726623125421 241.691726933423 675.307828881076</t>
  </si>
  <si>
    <t>-475.98916189016 225.908102051024 759.326681457376</t>
  </si>
  <si>
    <t>-637.888177697945 -3.28702838036122 219.563248697394</t>
  </si>
  <si>
    <t>-660.369026912492 9.95469926074182 688.514319166903</t>
  </si>
  <si>
    <t>-502.975787839405 -27.5998845724956 757.511035446018</t>
  </si>
  <si>
    <t>9763-20170724T164149.891756100.bin</t>
  </si>
  <si>
    <t>-621.584963925298 75.5762034676742 -235.248562205045</t>
  </si>
  <si>
    <t>-645.085770797138 81.0607790495625 -353.930680284599</t>
  </si>
  <si>
    <t>-649.642935686337 73.3808530784904 -474.805872372664</t>
  </si>
  <si>
    <t>-645.875311031524 61.2172812623702 -583.58402416718</t>
  </si>
  <si>
    <t>-634.33030384809 43.9570618408124 -691.118484076841</t>
  </si>
  <si>
    <t>-610.221414841536 14.7690689388998 -838.654313039056</t>
  </si>
  <si>
    <t>-615.69153208155 58.6044797916924 -778.642235031511</t>
  </si>
  <si>
    <t>-587.179606239544 202.830576729676 -775.856988257071</t>
  </si>
  <si>
    <t>-468.802702033026 223.438144195145 -483.028821340451</t>
  </si>
  <si>
    <t>-278.163682187287 171.104256695234 -314.031775699662</t>
  </si>
  <si>
    <t>-604.295032855489 171.673260046892 -233.894763981577</t>
  </si>
  <si>
    <t>-539.343401428953 223.090567446875 214.207042327187</t>
  </si>
  <si>
    <t>-629.71380354052 241.655554205465 675.06672711052</t>
  </si>
  <si>
    <t>-475.964339612253 226.011976365612 759.090000108429</t>
  </si>
  <si>
    <t>-637.861098006023 -3.34982231864982 219.422471803513</t>
  </si>
  <si>
    <t>-660.402300804286 9.98184791185201 688.438142767128</t>
  </si>
  <si>
    <t>-503.085030176297 -27.8764744784073 757.441988516103</t>
  </si>
  <si>
    <t>9763-20170724T164149.923840000.bin</t>
  </si>
  <si>
    <t>-621.568819640699 75.5107588330316 -235.336110018685</t>
  </si>
  <si>
    <t>-645.082955851648 81.0267583387401 -354.014008762518</t>
  </si>
  <si>
    <t>-649.618231919079 73.3916332547355 -474.892892106136</t>
  </si>
  <si>
    <t>-645.815046029223 61.2763398950102 -583.67529779935</t>
  </si>
  <si>
    <t>-634.217724636698 44.073492473271 -691.213230636534</t>
  </si>
  <si>
    <t>-610.018344544461 14.9762477573288 -838.752237684113</t>
  </si>
  <si>
    <t>-615.547153403894 58.7776783844107 -778.720662676035</t>
  </si>
  <si>
    <t>-587.136066061859 203.028082323274 -775.851479633623</t>
  </si>
  <si>
    <t>-468.802413035455 223.672270519368 -483.008400210802</t>
  </si>
  <si>
    <t>-277.964955202955 171.301396860426 -314.246841787834</t>
  </si>
  <si>
    <t>-604.262598035435 171.595722690629 -233.984357443693</t>
  </si>
  <si>
    <t>-539.256629497923 223.050846786611 214.105157962949</t>
  </si>
  <si>
    <t>-629.641994786697 241.58077528836 674.892530934686</t>
  </si>
  <si>
    <t>-475.949203385263 225.9679333154 759.0250248436</t>
  </si>
  <si>
    <t>-637.851082606161 -3.42348738160166 219.353543819767</t>
  </si>
  <si>
    <t>-660.432349892741 9.88906285025675 688.400893700029</t>
  </si>
  <si>
    <t>-503.185715401823 -28.2428640239339 757.41507629696</t>
  </si>
  <si>
    <t>9763-20170724T164149.991565800.bin</t>
  </si>
  <si>
    <t>-621.511049438045 75.3298448385996 -235.495113453991</t>
  </si>
  <si>
    <t>-645.027632202806 80.8328508629212 -354.173220415419</t>
  </si>
  <si>
    <t>-649.529696418777 73.1736426935432 -475.051821074085</t>
  </si>
  <si>
    <t>-645.681264356472 61.033942543162 -583.829835986108</t>
  </si>
  <si>
    <t>-634.023361654282 43.8054850988617 -691.357164552515</t>
  </si>
  <si>
    <t>-609.723762461492 14.6726712299634 -838.872658414349</t>
  </si>
  <si>
    <t>-615.301215593038 58.4896404046829 -778.856990528479</t>
  </si>
  <si>
    <t>-587.072888096858 202.778556200812 -775.909419411605</t>
  </si>
  <si>
    <t>-468.965603345978 223.551455479314 -482.98398720574</t>
  </si>
  <si>
    <t>-277.764014862317 171.009197969596 -314.688536992538</t>
  </si>
  <si>
    <t>-604.140879434483 171.451895861597 -234.153953824746</t>
  </si>
  <si>
    <t>-539.145018146138 222.924862904019 213.935051534491</t>
  </si>
  <si>
    <t>-629.57715467155 241.54437323779 674.769240027068</t>
  </si>
  <si>
    <t>-475.916229135033 225.97838455566 758.968643618543</t>
  </si>
  <si>
    <t>-637.918641073124 -3.56654627385146 219.244118939741</t>
  </si>
  <si>
    <t>-660.481913006898 9.80972724027234 688.339302303818</t>
  </si>
  <si>
    <t>-503.367177934561 -28.8439094280578 757.363705191507</t>
  </si>
  <si>
    <t>9763-20170724T164150.023650100.bin</t>
  </si>
  <si>
    <t>-621.485697469956 75.3074190662793 -235.506936880954</t>
  </si>
  <si>
    <t>-644.947909774611 80.8084952746059 -354.195815794548</t>
  </si>
  <si>
    <t>-649.409837770057 73.1387633240628 -475.075317641202</t>
  </si>
  <si>
    <t>-645.530923481373 60.9867583118126 -583.850920578807</t>
  </si>
  <si>
    <t>-633.848327533604 43.743618001624 -691.373133213956</t>
  </si>
  <si>
    <t>-609.520166894484 14.588237782841 -838.879544058732</t>
  </si>
  <si>
    <t>-615.114741697999 58.4151442057893 -778.872561895121</t>
  </si>
  <si>
    <t>-586.916677945476 202.701424623697 -775.906519228072</t>
  </si>
  <si>
    <t>-468.867188872268 223.56054923758 -482.963700542914</t>
  </si>
  <si>
    <t>-277.544227476423 170.970564074032 -314.821486907092</t>
  </si>
  <si>
    <t>-604.084549803777 171.465762099377 -234.186072829887</t>
  </si>
  <si>
    <t>-539.217843725098 222.878766340702 213.928580523323</t>
  </si>
  <si>
    <t>-629.582747542149 241.558776494414 674.754994825669</t>
  </si>
  <si>
    <t>-475.917423299352 226.004903300024 758.948542433379</t>
  </si>
  <si>
    <t>-637.939730630175 -3.54131452092042 219.219742576014</t>
  </si>
  <si>
    <t>-660.46995095128 9.99824629118632 688.309143380578</t>
  </si>
  <si>
    <t>-503.139657008217 -27.8245266562067 757.302874906121</t>
  </si>
  <si>
    <t>9763-20170724T164150.088889100.bin</t>
  </si>
  <si>
    <t>-621.517258809999 75.1423142066379 -235.54151235231</t>
  </si>
  <si>
    <t>-645.06033792137 80.6798515089212 -354.21281648665</t>
  </si>
  <si>
    <t>-649.550562171834 73.0051069571867 -475.090840679893</t>
  </si>
  <si>
    <t>-645.675058276755 60.8323679785751 -583.864229932967</t>
  </si>
  <si>
    <t>-633.973532670311 43.5531478182688 -691.378647996716</t>
  </si>
  <si>
    <t>-609.596531684229 14.33273999114 -838.864040636391</t>
  </si>
  <si>
    <t>-615.210104996692 58.1860043546853 -778.878175413764</t>
  </si>
  <si>
    <t>-587.117801579907 202.500484501164 -775.8735709188</t>
  </si>
  <si>
    <t>-469.132772561213 223.292208941534 -482.900096778845</t>
  </si>
  <si>
    <t>-277.704037394581 170.758616003151 -314.860456364181</t>
  </si>
  <si>
    <t>-604.121032141029 171.263146346382 -234.165373281756</t>
  </si>
  <si>
    <t>-539.125955571103 222.843985740945 213.911312693263</t>
  </si>
  <si>
    <t>-629.583833238602 241.557012266174 674.742323172833</t>
  </si>
  <si>
    <t>-475.900552183383 225.96516814389 758.896102495319</t>
  </si>
  <si>
    <t>-637.998410295692 -3.6759441400575 219.185065265413</t>
  </si>
  <si>
    <t>-660.51327570219 9.91371678391972 688.278899534443</t>
  </si>
  <si>
    <t>-503.188755428311 -27.9220466686176 757.278474359002</t>
  </si>
  <si>
    <t>9763-20170724T164150.120974500.bin</t>
  </si>
  <si>
    <t>-621.494393356744 75.1587460054857 -235.527684181827</t>
  </si>
  <si>
    <t>-645.011020723565 80.7160173802447 -354.203204524579</t>
  </si>
  <si>
    <t>-649.478629662007 73.0363672348824 -475.081777015354</t>
  </si>
  <si>
    <t>-645.584746055111 60.8487972517111 -583.852880639234</t>
  </si>
  <si>
    <t>-633.867543529755 43.5441001522381 -691.361482030625</t>
  </si>
  <si>
    <t>-609.471490964141 14.2769409042762 -838.834425320812</t>
  </si>
  <si>
    <t>-615.076183856964 58.1469597861081 -778.860031358797</t>
  </si>
  <si>
    <t>-586.919476859514 202.436365289242 -775.854865896339</t>
  </si>
  <si>
    <t>-468.911269286502 223.251846265171 -482.892556114675</t>
  </si>
  <si>
    <t>-277.482322722759 170.660979958472 -314.871073902911</t>
  </si>
  <si>
    <t>-604.033594646461 171.342946645701 -234.156936738392</t>
  </si>
  <si>
    <t>-539.056316037883 222.798727300325 213.936802938141</t>
  </si>
  <si>
    <t>-629.604097657714 241.580018288078 674.747494334275</t>
  </si>
  <si>
    <t>-475.896227743861 226.013681679148 758.860970612254</t>
  </si>
  <si>
    <t>-638.061691545397 -3.65842950957388 219.171820615798</t>
  </si>
  <si>
    <t>-660.516079930862 10.0125812788317 688.269253151185</t>
  </si>
  <si>
    <t>-503.071949592301 -27.3573257254503 757.250131664266</t>
  </si>
  <si>
    <t>9763-20170724T164150.195187300.bin</t>
  </si>
  <si>
    <t>-621.463635220369 75.3849059034232 -235.514364480468</t>
  </si>
  <si>
    <t>-645.005229219736 80.9893838391053 -354.182833973958</t>
  </si>
  <si>
    <t>-649.498757234317 73.3294374786259 -475.061592706625</t>
  </si>
  <si>
    <t>-645.628437193161 61.1478911008185 -583.834219271474</t>
  </si>
  <si>
    <t>-633.934736110096 43.8375768524922 -691.344672503885</t>
  </si>
  <si>
    <t>-609.571573990648 14.5504808342696 -838.819034348796</t>
  </si>
  <si>
    <t>-615.114828884264 58.4221187939852 -778.840106744264</t>
  </si>
  <si>
    <t>-586.819254703832 202.695983472511 -775.790908339441</t>
  </si>
  <si>
    <t>-468.822198877282 223.507428848206 -482.82371184849</t>
  </si>
  <si>
    <t>-277.367725002702 170.839288640284 -314.855605813562</t>
  </si>
  <si>
    <t>-603.83315494089 171.614063727262 -234.096211929328</t>
  </si>
  <si>
    <t>-538.901573476814 222.881245917068 214.025660141306</t>
  </si>
  <si>
    <t>-629.663125429186 241.716389094755 674.790335197049</t>
  </si>
  <si>
    <t>-475.888454592589 226.06883607502 758.766643786101</t>
  </si>
  <si>
    <t>-638.141810902761 -3.53812756406043 219.181396750966</t>
  </si>
  <si>
    <t>-660.544366407161 9.99651077562619 688.274627663841</t>
  </si>
  <si>
    <t>-503.057877138546 -27.2114111410918 757.246369930286</t>
  </si>
  <si>
    <t>9763-20170724T164150.228274800.bin</t>
  </si>
  <si>
    <t>-621.426682421784 75.4635748166526 -235.490513057851</t>
  </si>
  <si>
    <t>-644.949046680756 81.073602939517 -354.16253905452</t>
  </si>
  <si>
    <t>-649.437547399654 73.3940441807753 -475.040261584496</t>
  </si>
  <si>
    <t>-645.568109132012 61.1851525134695 -583.809868337131</t>
  </si>
  <si>
    <t>-633.88062727724 43.8382488400575 -691.314934685144</t>
  </si>
  <si>
    <t>-609.531273915079 14.4912805884857 -838.779777172699</t>
  </si>
  <si>
    <t>-615.047852084891 58.3843537188795 -778.814034390075</t>
  </si>
  <si>
    <t>-586.686100960436 202.641962199946 -775.773593666949</t>
  </si>
  <si>
    <t>-468.681169303615 223.415802969059 -482.806976177213</t>
  </si>
  <si>
    <t>-277.276451229999 170.671114492226 -314.806061542182</t>
  </si>
  <si>
    <t>-603.694593271957 171.673794584297 -234.070317044066</t>
  </si>
  <si>
    <t>-538.838454420063 222.958281732886 214.060610871098</t>
  </si>
  <si>
    <t>-629.714681566159 241.763426934548 674.81318718813</t>
  </si>
  <si>
    <t>-475.891862378596 226.100767114571 758.698483992401</t>
  </si>
  <si>
    <t>-638.21072616154 -3.47576683088683 219.191873678817</t>
  </si>
  <si>
    <t>-660.54731273804 10.054148143549 688.277225721405</t>
  </si>
  <si>
    <t>-503.019088572511 -26.9637957658176 757.255807815055</t>
  </si>
  <si>
    <t>9763-20170724T164150.292471900.bin</t>
  </si>
  <si>
    <t>-621.45640409527 75.592539414407 -235.43531985571</t>
  </si>
  <si>
    <t>-644.974058316602 81.2223906468587 -354.107261271649</t>
  </si>
  <si>
    <t>-649.477323643229 73.5582174340831 -474.985576571711</t>
  </si>
  <si>
    <t>-645.630823685704 61.3585191759313 -583.756927676358</t>
  </si>
  <si>
    <t>-633.976543566955 44.0144712492428 -691.266035197179</t>
  </si>
  <si>
    <t>-609.684877922041 14.663208483569 -838.739509036342</t>
  </si>
  <si>
    <t>-615.129150624102 58.5512803815521 -778.763463854319</t>
  </si>
  <si>
    <t>-586.490256955705 202.752870892508 -775.693952221691</t>
  </si>
  <si>
    <t>-468.458599370781 223.138648859316 -482.710731176536</t>
  </si>
  <si>
    <t>-277.181210130657 170.174641491818 -314.63391329155</t>
  </si>
  <si>
    <t>-603.654767716078 171.967002806894 -234.032071123369</t>
  </si>
  <si>
    <t>-538.980035891086 223.025552304766 214.150786659537</t>
  </si>
  <si>
    <t>-629.866952886771 241.894340754109 674.911292966994</t>
  </si>
  <si>
    <t>-475.90010184014 226.197978238691 758.525579956016</t>
  </si>
  <si>
    <t>-638.278713707714 -3.47718035139307 219.236253067432</t>
  </si>
  <si>
    <t>-660.583257974572 9.92644191084574 688.305753015783</t>
  </si>
  <si>
    <t>-503.344966344278 -28.2125164528953 757.335014708252</t>
  </si>
  <si>
    <t>9763-20170724T164150.324557200.bin</t>
  </si>
  <si>
    <t>-621.499298932566 75.6879759665926 -235.42136690033</t>
  </si>
  <si>
    <t>-645.007294401213 81.3155451169575 -354.095300642593</t>
  </si>
  <si>
    <t>-649.511071349616 73.6516393393295 -474.973482412845</t>
  </si>
  <si>
    <t>-645.670584528378 61.4510619592095 -583.745090666937</t>
  </si>
  <si>
    <t>-634.028534149753 44.10380247817 -691.255036441949</t>
  </si>
  <si>
    <t>-609.760960790086 14.744320998744 -838.73088887247</t>
  </si>
  <si>
    <t>-615.176612666448 58.6331342258654 -778.752807341538</t>
  </si>
  <si>
    <t>-586.427642468929 202.811086565122 -775.66884872769</t>
  </si>
  <si>
    <t>-468.329084866123 222.880699106108 -482.690876800269</t>
  </si>
  <si>
    <t>-277.140199026715 169.831938372124 -314.539987196824</t>
  </si>
  <si>
    <t>-603.709450166893 172.005956812353 -234.014311426865</t>
  </si>
  <si>
    <t>-539.051639523972 223.101427896998 214.166831203368</t>
  </si>
  <si>
    <t>-629.909827796915 241.918846644808 674.894132977208</t>
  </si>
  <si>
    <t>-475.897913893081 226.265691342676 758.433510874005</t>
  </si>
  <si>
    <t>-638.28718443467 -3.43005844734026 219.240530314669</t>
  </si>
  <si>
    <t>-660.595778362185 9.89638181416626 688.312231586523</t>
  </si>
  <si>
    <t>-503.368833016394 -28.2709147701629 757.351789040548</t>
  </si>
  <si>
    <t>9763-20170724T164150.388992300.bin</t>
  </si>
  <si>
    <t>-621.642257951338 75.9180167446317 -235.476174704766</t>
  </si>
  <si>
    <t>-645.185813114558 81.5555185204366 -354.142693869623</t>
  </si>
  <si>
    <t>-649.713074717395 73.8988436501524 -475.020475912562</t>
  </si>
  <si>
    <t>-645.889925352185 61.7017511627344 -583.792907419637</t>
  </si>
  <si>
    <t>-634.262108741 44.3536866948668 -691.304291078577</t>
  </si>
  <si>
    <t>-610.011831245942 14.9876944924798 -838.781579468473</t>
  </si>
  <si>
    <t>-615.409598245697 58.8776427436459 -778.802806595148</t>
  </si>
  <si>
    <t>-586.524659640897 203.027604468563 -775.684673039046</t>
  </si>
  <si>
    <t>-468.240053593427 222.487801124809 -482.740477419066</t>
  </si>
  <si>
    <t>-277.15574484835 169.280218679889 -314.521088046113</t>
  </si>
  <si>
    <t>-603.82493548473 172.247187563955 -234.089412663238</t>
  </si>
  <si>
    <t>-539.166830796315 223.182725333795 214.109797031791</t>
  </si>
  <si>
    <t>-629.902097761905 241.916492988739 674.792487057677</t>
  </si>
  <si>
    <t>-475.877312735263 226.298767355624 758.314643829533</t>
  </si>
  <si>
    <t>-638.365484523591 -3.24533211355369 219.213709598929</t>
  </si>
  <si>
    <t>-660.595390904009 10.0189445750424 688.306980941605</t>
  </si>
  <si>
    <t>-503.088208248219 -27.0259222308388 757.319094897094</t>
  </si>
  <si>
    <t>9763-20170724T164150.426075600.bin</t>
  </si>
  <si>
    <t>-621.750387623543 76.1021922399776 -235.514341041386</t>
  </si>
  <si>
    <t>-645.278942275633 81.7292972824495 -354.184368354796</t>
  </si>
  <si>
    <t>-649.792745627587 74.0687099045257 -475.062402968274</t>
  </si>
  <si>
    <t>-645.958475917069 61.8702708753929 -583.834334907609</t>
  </si>
  <si>
    <t>-634.320894665707 44.5228777318922 -691.344732163037</t>
  </si>
  <si>
    <t>-610.058589646245 15.15954116507 -838.820550755825</t>
  </si>
  <si>
    <t>-615.462892926706 59.0486489115458 -778.841773332397</t>
  </si>
  <si>
    <t>-586.513536320966 203.184091498702 -775.71747230023</t>
  </si>
  <si>
    <t>-468.124262201539 222.347163017458 -482.796071692344</t>
  </si>
  <si>
    <t>-277.013852798114 169.152799738456 -314.602108919555</t>
  </si>
  <si>
    <t>-603.944201145021 172.38991642445 -234.143222348716</t>
  </si>
  <si>
    <t>-539.229291977757 223.321583203961 214.048232260821</t>
  </si>
  <si>
    <t>-629.899270381128 241.910953652342 674.762230198313</t>
  </si>
  <si>
    <t>-475.866654247635 226.344110949316 758.27957036694</t>
  </si>
  <si>
    <t>-638.450728292017 -3.13137395732305 219.185682409762</t>
  </si>
  <si>
    <t>-660.601960809053 10.0315543156416 688.299342719575</t>
  </si>
  <si>
    <t>-502.899936059758 -26.2094960281442 757.293404431096</t>
  </si>
  <si>
    <t>9763-20170724T164150.489789700.bin</t>
  </si>
  <si>
    <t>-622.091218255145 76.2463704645132 -235.605101293399</t>
  </si>
  <si>
    <t>-645.662584084658 81.8527907056339 -354.267446292642</t>
  </si>
  <si>
    <t>-650.20505530362 74.1892214567057 -475.144284204587</t>
  </si>
  <si>
    <t>-646.391165297366 61.9945725208952 -583.917429268469</t>
  </si>
  <si>
    <t>-634.76865831881 44.6568528255828 -691.430957014105</t>
  </si>
  <si>
    <t>-610.522158509041 15.3127515079512 -838.913290691144</t>
  </si>
  <si>
    <t>-615.929810731922 59.1953949302647 -778.929962098391</t>
  </si>
  <si>
    <t>-587.027358608719 203.345129306837 -775.793496878318</t>
  </si>
  <si>
    <t>-468.026728308832 222.298475582921 -483.106309902285</t>
  </si>
  <si>
    <t>-276.84974904105 169.271764318967 -314.935016095222</t>
  </si>
  <si>
    <t>-604.28643409866 172.571493816189 -234.259710462142</t>
  </si>
  <si>
    <t>-539.587262963285 223.444699643667 213.940746650681</t>
  </si>
  <si>
    <t>-629.869122734737 241.911402536618 674.704443203537</t>
  </si>
  <si>
    <t>-475.844518690445 226.392536364431 758.245328353249</t>
  </si>
  <si>
    <t>-638.62131178517 -3.16695311946463 219.14064568366</t>
  </si>
  <si>
    <t>-660.631381399697 9.87156765382349 688.287583374444</t>
  </si>
  <si>
    <t>-503.279950543012 -27.7424302976651 757.347129369932</t>
  </si>
  <si>
    <t>9763-20170724T164150.525883900.bin</t>
  </si>
  <si>
    <t>-622.322785015076 76.4132899869699 -235.635295375166</t>
  </si>
  <si>
    <t>-645.892138935596 81.9982744441513 -354.299142279264</t>
  </si>
  <si>
    <t>-650.427836654765 74.3189850475957 -475.175344385961</t>
  </si>
  <si>
    <t>-646.60714523122 62.1110230308233 -583.946569389159</t>
  </si>
  <si>
    <t>-634.977780483584 44.7599289612327 -691.457322278767</t>
  </si>
  <si>
    <t>-610.722358242945 15.3963285619717 -838.934237922221</t>
  </si>
  <si>
    <t>-616.133576988016 59.2868768982539 -778.957208921838</t>
  </si>
  <si>
    <t>-587.21459629169 203.432958463844 -775.849089382138</t>
  </si>
  <si>
    <t>-467.931771156322 222.378066863448 -483.276271141527</t>
  </si>
  <si>
    <t>-276.67050857882 169.494968725448 -315.155657894956</t>
  </si>
  <si>
    <t>-604.571143476142 172.719916412288 -234.30195234454</t>
  </si>
  <si>
    <t>-539.779887521314 223.532761503967 213.891995569988</t>
  </si>
  <si>
    <t>-629.858578972512 241.918895436242 674.692834465259</t>
  </si>
  <si>
    <t>-475.834988068301 226.418620183687 758.239251775492</t>
  </si>
  <si>
    <t>-638.711790258312 -3.02389599854846 219.110319411322</t>
  </si>
  <si>
    <t>-660.609503766777 10.074280345923 688.274172838704</t>
  </si>
  <si>
    <t>-502.896224270531 -26.0867717495678 757.284335793669</t>
  </si>
  <si>
    <t>9763-20170724T164150.592085300.bin</t>
  </si>
  <si>
    <t>-622.797185291923 76.6531702357384 -235.702159695716</t>
  </si>
  <si>
    <t>-646.40737760049 82.2240689930919 -354.358493227843</t>
  </si>
  <si>
    <t>-650.978208882842 74.5374513554102 -475.232800057598</t>
  </si>
  <si>
    <t>-647.188228772966 62.323330961122 -584.004512128026</t>
  </si>
  <si>
    <t>-635.589409098298 44.9649323728454 -691.517318268956</t>
  </si>
  <si>
    <t>-611.377032216443 15.58862053546 -838.998772906907</t>
  </si>
  <si>
    <t>-616.770440135206 59.4843012052694 -779.023957726429</t>
  </si>
  <si>
    <t>-587.857283064734 203.627347325551 -775.962355976765</t>
  </si>
  <si>
    <t>-467.953155682873 222.522769332702 -483.640346106647</t>
  </si>
  <si>
    <t>-276.586457550111 169.650914428213 -315.636220359206</t>
  </si>
  <si>
    <t>-605.09501633987 172.896429756762 -234.375376627659</t>
  </si>
  <si>
    <t>-540.185857342236 223.675214732851 213.805386271026</t>
  </si>
  <si>
    <t>-629.827824147893 241.920818941045 674.678883836779</t>
  </si>
  <si>
    <t>-475.825761137264 226.396614852353 758.260474085351</t>
  </si>
  <si>
    <t>-638.932527063985 -2.90467344495306 219.053481622162</t>
  </si>
  <si>
    <t>-660.613803705742 10.1691555842983 688.246196205533</t>
  </si>
  <si>
    <t>-502.883261693847 -25.9338055807202 757.247318148256</t>
  </si>
  <si>
    <t>9763-20170724T164150.625175900.bin</t>
  </si>
  <si>
    <t>-623.036829628945 76.7574934783247 -235.729260511468</t>
  </si>
  <si>
    <t>-646.722350655029 82.3413519627144 -354.370021591291</t>
  </si>
  <si>
    <t>-651.343747545022 74.6643674814652 -475.243041062309</t>
  </si>
  <si>
    <t>-647.589622646981 62.4563328557866 -584.016703358781</t>
  </si>
  <si>
    <t>-636.017233215604 45.1007184449022 -691.532808088822</t>
  </si>
  <si>
    <t>-611.832096206463 15.7243277100515 -839.018807124199</t>
  </si>
  <si>
    <t>-617.212357679497 59.6197600941051 -779.042490353372</t>
  </si>
  <si>
    <t>-588.270979843829 203.757274972891 -775.992491619366</t>
  </si>
  <si>
    <t>-468.087722446634 222.483048969199 -483.774205232215</t>
  </si>
  <si>
    <t>-276.752090357463 169.62513356638 -315.730358464502</t>
  </si>
  <si>
    <t>-605.413085324172 173.07530515859 -234.411026114357</t>
  </si>
  <si>
    <t>-540.300046655128 223.725804647178 213.75468706018</t>
  </si>
  <si>
    <t>-629.785377041922 241.871319427501 674.630378009529</t>
  </si>
  <si>
    <t>-475.819106393776 226.396526406787 758.286984203354</t>
  </si>
  <si>
    <t>-639.023232116693 -2.87002386126566 219.031674429842</t>
  </si>
  <si>
    <t>-660.624392752372 10.131795782374 688.2364666713</t>
  </si>
  <si>
    <t>-502.774639406607 -25.4841752109782 757.218168861027</t>
  </si>
  <si>
    <t>9763-20170724T164150.693434800.bin</t>
  </si>
  <si>
    <t>-623.430593211248 76.8637306975027 -235.924275626582</t>
  </si>
  <si>
    <t>-647.141223929808 82.4040974351686 -354.562059042183</t>
  </si>
  <si>
    <t>-651.742109702152 74.7364643157506 -475.436267872177</t>
  </si>
  <si>
    <t>-647.953268126938 62.55521748909 -584.211797204662</t>
  </si>
  <si>
    <t>-636.33153955243 45.2429300686654 -691.729584043636</t>
  </si>
  <si>
    <t>-612.06402101865 15.9420603715686 -839.217006437505</t>
  </si>
  <si>
    <t>-617.476363777827 59.8065726902006 -779.221097571974</t>
  </si>
  <si>
    <t>-588.48469808467 203.935128902916 -776.157364674675</t>
  </si>
  <si>
    <t>-467.601445802329 222.05446005053 -484.189796662495</t>
  </si>
  <si>
    <t>-276.430460522389 169.344748640881 -315.912037055117</t>
  </si>
  <si>
    <t>-605.745939591183 173.064852498664 -234.733427839678</t>
  </si>
  <si>
    <t>-540.507734632866 223.643130647359 213.422282836611</t>
  </si>
  <si>
    <t>-629.361095067476 241.63018576489 674.193446187012</t>
  </si>
  <si>
    <t>-475.751742042297 226.174249688549 758.507084692729</t>
  </si>
  <si>
    <t>-639.036944800196 -2.90436420144131 218.917652894413</t>
  </si>
  <si>
    <t>-660.633004270485 10.1434959317009 688.176941546615</t>
  </si>
  <si>
    <t>-503.078468706601 -26.7139866577822 757.181446146751</t>
  </si>
  <si>
    <t>9763-20170724T164150.725520800.bin</t>
  </si>
  <si>
    <t>-623.507539707553 76.8143008342063 -236.11782498613</t>
  </si>
  <si>
    <t>-647.283290828815 82.3469835258243 -354.742882131598</t>
  </si>
  <si>
    <t>-651.910122859227 74.6805541240963 -475.616213720434</t>
  </si>
  <si>
    <t>-648.12997803794 62.5021135611168 -584.392485123141</t>
  </si>
  <si>
    <t>-636.502859410905 45.1931099536612 -691.910173925551</t>
  </si>
  <si>
    <t>-612.214436042222 15.8965070244976 -839.395009874931</t>
  </si>
  <si>
    <t>-617.626661660198 59.7580707590186 -779.3968338603</t>
  </si>
  <si>
    <t>-588.614201117436 203.889967628616 -776.305074385879</t>
  </si>
  <si>
    <t>-467.347076572037 221.685616053117 -484.476806381671</t>
  </si>
  <si>
    <t>-276.302589314585 169.047863723098 -316.032904909093</t>
  </si>
  <si>
    <t>-605.803074440212 173.078412656293 -235.024569587206</t>
  </si>
  <si>
    <t>-540.434342174794 223.58715790683 213.119786002363</t>
  </si>
  <si>
    <t>-628.929141136667 241.568275790588 673.775062552946</t>
  </si>
  <si>
    <t>-475.694147752821 226.066024411235 758.758748777885</t>
  </si>
  <si>
    <t>-638.997404483325 -2.9910212957144 218.798160488191</t>
  </si>
  <si>
    <t>-660.644989034153 10.0734295225365 688.119980936588</t>
  </si>
  <si>
    <t>-503.228743297422 -27.3514141545235 757.134649944134</t>
  </si>
  <si>
    <t>9763-20170724T164150.788275400.bin</t>
  </si>
  <si>
    <t>-623.369280012053 76.7166710929042 -236.564523459094</t>
  </si>
  <si>
    <t>-647.195237342037 82.2590870369641 -355.179144660758</t>
  </si>
  <si>
    <t>-651.836570830507 74.6080162529766 -476.052955376245</t>
  </si>
  <si>
    <t>-648.057177498126 62.4419482332657 -584.830480010415</t>
  </si>
  <si>
    <t>-636.420340218852 45.1416121357928 -692.348475637342</t>
  </si>
  <si>
    <t>-612.108867678363 15.8510553605798 -839.830843509416</t>
  </si>
  <si>
    <t>-617.517640760748 59.7083601603849 -779.829140911335</t>
  </si>
  <si>
    <t>-588.486271743622 203.830567111124 -776.729619455927</t>
  </si>
  <si>
    <t>-466.587037260021 221.068294192055 -485.131088927629</t>
  </si>
  <si>
    <t>-275.660758093588 168.690507572322 -316.472287388436</t>
  </si>
  <si>
    <t>-605.460942539893 172.859696305831 -235.651193466167</t>
  </si>
  <si>
    <t>-539.604683847875 223.437898247264 212.414073658191</t>
  </si>
  <si>
    <t>-627.783901078129 241.520582192051 673.005932545889</t>
  </si>
  <si>
    <t>-475.473029041461 225.778163085587 759.591708901243</t>
  </si>
  <si>
    <t>-638.805281298649 -3.06425120033147 218.46719450885</t>
  </si>
  <si>
    <t>-660.621519982008 10.2116358460517 687.940571530251</t>
  </si>
  <si>
    <t>-502.978294184058 -26.3298102877516 756.910564509125</t>
  </si>
  <si>
    <t>9763-20170724T164150.826381600.bin</t>
  </si>
  <si>
    <t>-623.252378027917 76.6268204945027 -236.691467269003</t>
  </si>
  <si>
    <t>-647.133154044798 82.2118732088884 -355.292934621033</t>
  </si>
  <si>
    <t>-651.818410250333 74.5864643457068 -476.166814481296</t>
  </si>
  <si>
    <t>-648.073795917568 62.4364544358518 -584.947303480835</t>
  </si>
  <si>
    <t>-636.466653588491 45.1449058237254 -692.469974166662</t>
  </si>
  <si>
    <t>-612.191149253948 15.8591553706059 -839.959144328732</t>
  </si>
  <si>
    <t>-617.583175132929 59.7141984044602 -779.954306269979</t>
  </si>
  <si>
    <t>-588.582758802982 203.845739229386 -776.843912256394</t>
  </si>
  <si>
    <t>-466.352039226664 220.785079111859 -485.366852080445</t>
  </si>
  <si>
    <t>-275.407228886677 168.545002077673 -316.686401817786</t>
  </si>
  <si>
    <t>-605.297537275814 172.771032452607 -235.713874451753</t>
  </si>
  <si>
    <t>-539.11085523409 223.412105851506 212.295609715812</t>
  </si>
  <si>
    <t>-627.438003560648 241.532291784138 673.004839020605</t>
  </si>
  <si>
    <t>-475.410963639673 225.697731177947 760.07120602338</t>
  </si>
  <si>
    <t>-638.673110673593 -3.14462617113552 218.354819589259</t>
  </si>
  <si>
    <t>-660.631281903584 10.1310188702434 687.875177039514</t>
  </si>
  <si>
    <t>-502.94696745351 -26.2738512132041 756.823355884692</t>
  </si>
  <si>
    <t>9763-20170724T164150.891117200.bin</t>
  </si>
  <si>
    <t>-623.150397751155 76.6905891414323 -236.608739192696</t>
  </si>
  <si>
    <t>-647.146958361238 82.3887617850978 -355.181431490338</t>
  </si>
  <si>
    <t>-651.93791198517 74.82680969417 -476.055122039182</t>
  </si>
  <si>
    <t>-648.282361307417 62.7147545460618 -584.842955623741</t>
  </si>
  <si>
    <t>-636.756540784492 45.4425340924072 -692.377429581534</t>
  </si>
  <si>
    <t>-612.585534447678 16.1653373275365 -839.885516291058</t>
  </si>
  <si>
    <t>-617.920623000731 60.0148918253961 -779.871537472013</t>
  </si>
  <si>
    <t>-588.90142263742 204.139836298325 -776.780699048398</t>
  </si>
  <si>
    <t>-466.065655474637 220.706143075846 -485.536699890179</t>
  </si>
  <si>
    <t>-275.105020937593 168.695477972682 -316.803145153433</t>
  </si>
  <si>
    <t>-605.110785104424 172.807886634501 -235.397641837329</t>
  </si>
  <si>
    <t>-538.37740341432 223.456525193673 212.52987567278</t>
  </si>
  <si>
    <t>-627.154649014113 241.575374929452 673.321453842967</t>
  </si>
  <si>
    <t>-475.410704109414 225.597471805149 760.854189295691</t>
  </si>
  <si>
    <t>-638.457153988885 -3.08428249093652 218.342806966712</t>
  </si>
  <si>
    <t>-660.595198481319 10.232880432722 687.831789380104</t>
  </si>
  <si>
    <t>-502.715871533662 -25.4212028427084 756.725988980435</t>
  </si>
  <si>
    <t>9763-20170724T164150.926211000.bin</t>
  </si>
  <si>
    <t>-623.081669775117 76.6503447887059 -236.52438709151</t>
  </si>
  <si>
    <t>-647.123848837338 82.3700916018918 -355.086970634683</t>
  </si>
  <si>
    <t>-651.979385335794 74.8271516036659 -475.95911298727</t>
  </si>
  <si>
    <t>-648.389695973156 62.7300423231804 -584.750752590316</t>
  </si>
  <si>
    <t>-636.937089131317 45.4699970465809 -692.295061438303</t>
  </si>
  <si>
    <t>-612.87502469211 16.2061351604368 -839.82361448888</t>
  </si>
  <si>
    <t>-618.144145461812 60.0472138977397 -779.797560821231</t>
  </si>
  <si>
    <t>-589.045882808044 204.151015236984 -776.706769618598</t>
  </si>
  <si>
    <t>-465.858858129812 220.628681286061 -485.606057816049</t>
  </si>
  <si>
    <t>-274.937145083613 168.674697436066 -316.811069657435</t>
  </si>
  <si>
    <t>-604.914118286745 172.79455100074 -235.275409369603</t>
  </si>
  <si>
    <t>-538.004743718788 223.442727036404 212.625809913162</t>
  </si>
  <si>
    <t>-626.932240162513 241.625010068096 673.29896196885</t>
  </si>
  <si>
    <t>-475.371748221217 225.533140991801 761.128187423854</t>
  </si>
  <si>
    <t>-638.318219598934 -3.20850347896595 218.393278299171</t>
  </si>
  <si>
    <t>-660.601816312694 9.99880297031322 687.844645842584</t>
  </si>
  <si>
    <t>-503.313439174116 -28.031715415691 756.819662160411</t>
  </si>
  <si>
    <t>9763-20170724T164150.990504800.bin</t>
  </si>
  <si>
    <t>-622.879157276659 76.7847708225593 -236.299546285202</t>
  </si>
  <si>
    <t>-646.960495301675 82.5799048940177 -354.850383770552</t>
  </si>
  <si>
    <t>-651.924249687041 75.0919966802564 -475.721676524288</t>
  </si>
  <si>
    <t>-648.46056617125 63.0336903027321 -584.521712007628</t>
  </si>
  <si>
    <t>-637.161690338122 45.7999795232765 -692.086583496231</t>
  </si>
  <si>
    <t>-613.34180753647 16.55833057075 -839.658776835947</t>
  </si>
  <si>
    <t>-618.453987968923 60.3820319385999 -779.606504456034</t>
  </si>
  <si>
    <t>-589.078984485744 204.432285616044 -776.530429467574</t>
  </si>
  <si>
    <t>-465.414421303851 220.528334921028 -485.610951726463</t>
  </si>
  <si>
    <t>-274.602070884971 168.746728207703 -316.639431954642</t>
  </si>
  <si>
    <t>-604.585096207597 172.889322838741 -234.960491398021</t>
  </si>
  <si>
    <t>-537.393768459334 223.543660486996 212.897858591513</t>
  </si>
  <si>
    <t>-626.781769855229 241.707959411207 673.61723852124</t>
  </si>
  <si>
    <t>-475.371026603232 225.435050148193 761.671155951204</t>
  </si>
  <si>
    <t>-638.059190158216 -3.08229376782059 218.517927918482</t>
  </si>
  <si>
    <t>-660.542138347251 10.0918242156547 687.891483598349</t>
  </si>
  <si>
    <t>-502.954341035984 -26.7462104555283 756.830314893158</t>
  </si>
  <si>
    <t>9763-20170724T164151.024594000.bin</t>
  </si>
  <si>
    <t>-622.789121015876 76.8342289538966 -236.168400852133</t>
  </si>
  <si>
    <t>-646.875011443916 82.6610576783351 -354.716798472665</t>
  </si>
  <si>
    <t>-651.900284351597 75.1916530302036 -475.586637691937</t>
  </si>
  <si>
    <t>-648.514915414289 63.1437975263394 -584.390300856637</t>
  </si>
  <si>
    <t>-637.316747243084 45.9137773110817 -691.966160841504</t>
  </si>
  <si>
    <t>-613.659260698095 16.6693368607174 -839.564012064751</t>
  </si>
  <si>
    <t>-618.673798607047 60.489669761126 -779.50101849161</t>
  </si>
  <si>
    <t>-589.153604286657 204.514478438583 -776.432328010079</t>
  </si>
  <si>
    <t>-465.351782986427 220.484814389992 -485.564183018043</t>
  </si>
  <si>
    <t>-274.611335542279 168.680010530829 -316.518597231231</t>
  </si>
  <si>
    <t>-604.385639494561 172.994720291203 -234.798735909411</t>
  </si>
  <si>
    <t>-537.3111781229 223.574109108655 213.085626147914</t>
  </si>
  <si>
    <t>-626.816747875582 241.73316146762 673.807799022704</t>
  </si>
  <si>
    <t>-475.410833524003 225.393396111224 761.857737549603</t>
  </si>
  <si>
    <t>-638.071750057559 -3.11038237540621 218.602990953561</t>
  </si>
  <si>
    <t>-660.545787654539 9.94543877005493 687.93640557435</t>
  </si>
  <si>
    <t>-503.20409574035 -27.8858725802868 756.89940388713</t>
  </si>
  <si>
    <t>9763-20170724T164151.090465700.bin</t>
  </si>
  <si>
    <t>-622.628410421228 77.0756027572811 -236.012459667322</t>
  </si>
  <si>
    <t>-646.677681802353 82.9189535861183 -354.567488526064</t>
  </si>
  <si>
    <t>-651.802087069529 75.4609676424302 -475.433898208452</t>
  </si>
  <si>
    <t>-648.561702608995 63.4194329167432 -584.242668415371</t>
  </si>
  <si>
    <t>-637.562816264115 46.1903320055635 -691.83932256464</t>
  </si>
  <si>
    <t>-614.237622240246 16.9398780665194 -839.488827882601</t>
  </si>
  <si>
    <t>-619.051173885219 60.7530737336532 -779.404092640853</t>
  </si>
  <si>
    <t>-589.229088408115 204.717697176484 -776.373927389506</t>
  </si>
  <si>
    <t>-465.304194926079 220.556459099366 -485.550978230608</t>
  </si>
  <si>
    <t>-274.604674960692 168.707069879128 -316.47306170645</t>
  </si>
  <si>
    <t>-604.095271827126 173.215880357591 -234.555440295269</t>
  </si>
  <si>
    <t>-537.161358134182 223.683631352466 213.362460577511</t>
  </si>
  <si>
    <t>-626.910019874633 241.75600359748 674.12953082937</t>
  </si>
  <si>
    <t>-475.445331650186 225.324559134229 762.061184789037</t>
  </si>
  <si>
    <t>-638.072341113962 -2.88671839661104 218.670371446124</t>
  </si>
  <si>
    <t>-660.481606774498 10.151028939353 687.892871494196</t>
  </si>
  <si>
    <t>-502.906383563289 -26.739201388777 756.832454193732</t>
  </si>
  <si>
    <t>9763-20170724T164151.123556000.bin</t>
  </si>
  <si>
    <t>-622.531967157016 77.2060549692561 -235.920597336756</t>
  </si>
  <si>
    <t>-646.574036921154 83.066826631409 -354.476242028239</t>
  </si>
  <si>
    <t>-651.746492757038 75.6127844363871 -475.340824617953</t>
  </si>
  <si>
    <t>-648.571510761339 63.5689321330389 -584.151284901717</t>
  </si>
  <si>
    <t>-637.659603849731 46.3314695907817 -691.755325408982</t>
  </si>
  <si>
    <t>-614.47693888759 17.0627530710549 -839.423718629023</t>
  </si>
  <si>
    <t>-619.20837103686 60.8798117464385 -779.335349367953</t>
  </si>
  <si>
    <t>-589.277526474764 204.81601851962 -776.358018446681</t>
  </si>
  <si>
    <t>-465.30354334837 220.610836156398 -485.553550273859</t>
  </si>
  <si>
    <t>-274.671787460479 168.721859899208 -316.411331099671</t>
  </si>
  <si>
    <t>-604.002645876572 173.341190337901 -234.410720056162</t>
  </si>
  <si>
    <t>-537.239640099289 223.770318602699 213.537126777279</t>
  </si>
  <si>
    <t>-627.095591547429 241.740734388301 674.385011304418</t>
  </si>
  <si>
    <t>-475.485160240214 225.37104549791 762.076614082131</t>
  </si>
  <si>
    <t>-638.077440902723 -2.75912343924078 218.729075165675</t>
  </si>
  <si>
    <t>-660.454265994823 10.1911758204363 687.920534451411</t>
  </si>
  <si>
    <t>-502.776247786545 -26.2621586536166 756.857627220231</t>
  </si>
  <si>
    <t>9763-20170724T164151.188773900.bin</t>
  </si>
  <si>
    <t>-622.575721818095 77.7578143441307 -235.412535091572</t>
  </si>
  <si>
    <t>-646.56159766152 83.569355769647 -353.981892722083</t>
  </si>
  <si>
    <t>-651.811265886031 76.0722270664388 -474.840526221995</t>
  </si>
  <si>
    <t>-648.761488408915 63.9896565844419 -583.650309237454</t>
  </si>
  <si>
    <t>-638.029888959718 46.7118480688344 -691.266124681683</t>
  </si>
  <si>
    <t>-615.154506063833 17.3832413172885 -838.970335847535</t>
  </si>
  <si>
    <t>-619.72621196021 61.2195580254503 -778.883741608112</t>
  </si>
  <si>
    <t>-589.653716908233 205.132574618065 -776.003896225671</t>
  </si>
  <si>
    <t>-465.531949829813 220.920810157305 -485.26234517622</t>
  </si>
  <si>
    <t>-274.925035562154 169.078799286595 -316.077518916158</t>
  </si>
  <si>
    <t>-604.167710901158 174.026911154423 -233.770772108733</t>
  </si>
  <si>
    <t>-538.045508735077 224.088292147314 214.313336038198</t>
  </si>
  <si>
    <t>-627.982984478583 241.760099396767 675.46253189378</t>
  </si>
  <si>
    <t>-475.667810718966 225.648652896374 761.972777709843</t>
  </si>
  <si>
    <t>-638.152719653963 -2.33478737831457 219.147392313674</t>
  </si>
  <si>
    <t>-660.391729345343 10.3100224769214 688.224879378151</t>
  </si>
  <si>
    <t>-502.658847529562 -25.8988640701064 757.165276684829</t>
  </si>
  <si>
    <t>9763-20170724T164151.223864900.bin</t>
  </si>
  <si>
    <t>-622.644801132825 77.9997716247405 -235.103671867275</t>
  </si>
  <si>
    <t>-646.627405339513 83.7770510419366 -353.675423025227</t>
  </si>
  <si>
    <t>-651.917114343019 76.2535217544379 -474.530668911831</t>
  </si>
  <si>
    <t>-648.9221154838 64.1484915474463 -583.339455709089</t>
  </si>
  <si>
    <t>-638.264234487236 46.8484182905424 -690.958993861325</t>
  </si>
  <si>
    <t>-615.511088039454 17.4877291305492 -838.675744667246</t>
  </si>
  <si>
    <t>-620.021255410661 61.335318829143 -778.592797746567</t>
  </si>
  <si>
    <t>-589.859547582434 205.222030713501 -775.777129008941</t>
  </si>
  <si>
    <t>-465.731887494216 221.149601479179 -485.045660957541</t>
  </si>
  <si>
    <t>-275.132121614867 169.294676101797 -315.856848571026</t>
  </si>
  <si>
    <t>-604.403667776543 174.292064595997 -233.391277118302</t>
  </si>
  <si>
    <t>-538.509064512987 224.272531835113 214.735442641617</t>
  </si>
  <si>
    <t>-628.453690635634 241.838109294736 675.906305187487</t>
  </si>
  <si>
    <t>-475.747473362538 225.858338686729 761.74905303095</t>
  </si>
  <si>
    <t>-638.176928878673 -2.18633720388341 219.412862982187</t>
  </si>
  <si>
    <t>-660.377177544832 10.2574741580603 688.410834541579</t>
  </si>
  <si>
    <t>-502.90529341105 -26.9844727284224 757.397432153833</t>
  </si>
  <si>
    <t>9763-20170724T164151.291141800.bin</t>
  </si>
  <si>
    <t>-622.788846192168 78.4689259495812 -234.765846252641</t>
  </si>
  <si>
    <t>-646.755592046535 84.1668477588956 -353.344705836997</t>
  </si>
  <si>
    <t>-652.102497888959 76.5939912278359 -474.194305314279</t>
  </si>
  <si>
    <t>-649.19051070375 64.4542869411646 -583.001422086831</t>
  </si>
  <si>
    <t>-638.647304167664 47.1272755352032 -690.628025000818</t>
  </si>
  <si>
    <t>-616.086601348135 17.7351875690281 -838.368074487337</t>
  </si>
  <si>
    <t>-620.534165453257 61.5978510763129 -778.291470680783</t>
  </si>
  <si>
    <t>-590.389016031246 205.496031349043 -775.590720152944</t>
  </si>
  <si>
    <t>-466.112209209993 221.624469898926 -484.933878935704</t>
  </si>
  <si>
    <t>-275.497622607588 169.885560989318 -315.726424031294</t>
  </si>
  <si>
    <t>-604.790693784801 174.823569011165 -233.075928909661</t>
  </si>
  <si>
    <t>-539.311056927763 224.660236309643 215.127570416199</t>
  </si>
  <si>
    <t>-629.161948866787 241.95489741702 676.224461194878</t>
  </si>
  <si>
    <t>-475.862685824512 226.2081518659 761.047164391276</t>
  </si>
  <si>
    <t>-638.219755613406 -1.87910824142833 219.687875983259</t>
  </si>
  <si>
    <t>-660.344740476083 10.2678074226061 688.590131877323</t>
  </si>
  <si>
    <t>-502.755410302891 -26.4559975029735 757.586312412552</t>
  </si>
  <si>
    <t>9763-20170724T164151.324230300.bin</t>
  </si>
  <si>
    <t>-622.784139476225 78.627080901808 -234.757348059454</t>
  </si>
  <si>
    <t>-646.747369483159 84.2901409014205 -353.338472880945</t>
  </si>
  <si>
    <t>-652.104244942386 76.7038074035071 -474.186906267979</t>
  </si>
  <si>
    <t>-649.207510640582 64.5597016219156 -582.993871341417</t>
  </si>
  <si>
    <t>-638.685915247212 47.2352042476998 -690.622957191709</t>
  </si>
  <si>
    <t>-616.162294042198 17.8531521624988 -838.37075299615</t>
  </si>
  <si>
    <t>-620.60902985793 61.7138817697973 -778.292542566249</t>
  </si>
  <si>
    <t>-590.469645720375 205.60957812213 -775.625374128132</t>
  </si>
  <si>
    <t>-466.254792049711 221.769111610418 -484.943912790109</t>
  </si>
  <si>
    <t>-275.634991958323 170.063466069786 -315.732076119151</t>
  </si>
  <si>
    <t>-604.840820942243 174.972639765753 -233.134508546269</t>
  </si>
  <si>
    <t>-539.417101378246 224.79811010048 215.07836560878</t>
  </si>
  <si>
    <t>-629.32377732292 241.95480638859 676.081339634446</t>
  </si>
  <si>
    <t>-475.886089476613 226.307787649107 760.671874041647</t>
  </si>
  <si>
    <t>-638.229580684649 -1.80321700787194 219.714407199143</t>
  </si>
  <si>
    <t>-660.342022384551 10.2043836599236 688.623970857873</t>
  </si>
  <si>
    <t>-502.882291931965 -27.0170060945178 757.649476640031</t>
  </si>
  <si>
    <t>9763-20170724T164151.371355100.bin</t>
  </si>
  <si>
    <t>-622.77225647367 78.7705264506084 -234.817590617581</t>
  </si>
  <si>
    <t>-646.71621440398 84.4244670802308 -353.403076026341</t>
  </si>
  <si>
    <t>-652.09541733507 76.833527580844 -474.250128068877</t>
  </si>
  <si>
    <t>-649.235554640732 64.6871203921929 -583.057947835405</t>
  </si>
  <si>
    <t>-638.767399984367 47.3619024830049 -690.691990888949</t>
  </si>
  <si>
    <t>-616.334445185233 17.9801013863161 -838.453607892734</t>
  </si>
  <si>
    <t>-620.759008060872 61.8428657017556 -778.375366643916</t>
  </si>
  <si>
    <t>-590.638691457182 205.755710358682 -775.77270658109</t>
  </si>
  <si>
    <t>-466.439917480072 221.9669362486 -485.087180239085</t>
  </si>
  <si>
    <t>-275.834421030405 170.280729370128 -315.853203514292</t>
  </si>
  <si>
    <t>-631.761665586933 0.118417281016605 -767.772071209758</t>
  </si>
  <si>
    <t>-604.888227231488 175.071450259591 -233.253535597019</t>
  </si>
  <si>
    <t>-539.402402260188 224.958607968326 214.943566581555</t>
  </si>
  <si>
    <t>-629.414929594224 241.945100433214 675.891096891263</t>
  </si>
  <si>
    <t>-475.887412264439 226.445269395986 760.345719408709</t>
  </si>
  <si>
    <t>-638.262718634738 -1.64045795602564 219.682940331966</t>
  </si>
  <si>
    <t>-660.324179634117 10.3560463170559 688.623287493714</t>
  </si>
  <si>
    <t>-502.495426579935 -25.3649838288808 757.598706535784</t>
  </si>
  <si>
    <t>9763-20170724T164151.424503000.bin</t>
  </si>
  <si>
    <t>-622.625826655497 78.9168990323421 -235.005031551498</t>
  </si>
  <si>
    <t>-646.550661973024 84.5578164853904 -353.594899205516</t>
  </si>
  <si>
    <t>-651.948427591214 76.9597875645296 -474.440763009865</t>
  </si>
  <si>
    <t>-649.120932633099 64.8090701101093 -583.248934899437</t>
  </si>
  <si>
    <t>-638.700561528977 47.4810216799942 -690.887226054766</t>
  </si>
  <si>
    <t>-616.349699831394 18.0964375161769 -838.660690501545</t>
  </si>
  <si>
    <t>-620.745465555626 61.9610057467263 -778.581544635573</t>
  </si>
  <si>
    <t>-590.701602541129 205.881298720675 -776.075606025763</t>
  </si>
  <si>
    <t>-466.577680093966 222.22304757488 -485.365481220547</t>
  </si>
  <si>
    <t>-276.019078896905 170.554028180964 -316.07347120491</t>
  </si>
  <si>
    <t>-631.732953708996 0.235381284658288 -767.969342597891</t>
  </si>
  <si>
    <t>-604.798473075708 175.288607945791 -233.500959474737</t>
  </si>
  <si>
    <t>-539.511061275619 225.158660676143 214.726891013985</t>
  </si>
  <si>
    <t>-629.642475830636 242.039110932583 675.701629606213</t>
  </si>
  <si>
    <t>-475.914563194727 226.714930464208 759.82312707907</t>
  </si>
  <si>
    <t>-638.276928814179 -1.5739946246755 219.567330608389</t>
  </si>
  <si>
    <t>-660.328484879068 10.2857179764435 688.588966267573</t>
  </si>
  <si>
    <t>-502.753086378912 -26.450119918621 757.610644227954</t>
  </si>
  <si>
    <t>9763-20170724T164151.490222700.bin</t>
  </si>
  <si>
    <t>-622.439969733129 79.0545345998969 -235.143481510617</t>
  </si>
  <si>
    <t>-646.333335641152 84.6872890253586 -353.740297473655</t>
  </si>
  <si>
    <t>-651.708024367484 77.0841178906924 -474.586719927857</t>
  </si>
  <si>
    <t>-648.862278278752 64.9313662587607 -583.394135905659</t>
  </si>
  <si>
    <t>-638.425660401997 47.6049757100895 -691.03108033749</t>
  </si>
  <si>
    <t>-616.05389546273 18.2272326430737 -838.802754216109</t>
  </si>
  <si>
    <t>-620.458055454032 62.0890172708333 -778.722269630484</t>
  </si>
  <si>
    <t>-590.36287616878 206.010067391201 -776.242701034919</t>
  </si>
  <si>
    <t>-466.518803422913 222.427019602872 -485.417358409863</t>
  </si>
  <si>
    <t>-276.066947238073 170.621285153849 -316.047049327182</t>
  </si>
  <si>
    <t>-631.447382160081 0.362944883933636 -768.114513117262</t>
  </si>
  <si>
    <t>-604.6393658823 175.437214554662 -233.659024631735</t>
  </si>
  <si>
    <t>-539.436732769876 225.313405242005 214.580496527404</t>
  </si>
  <si>
    <t>-629.823984339851 242.091441060232 675.492442171001</t>
  </si>
  <si>
    <t>-475.946246401129 226.87204206589 759.358565401729</t>
  </si>
  <si>
    <t>-638.217837214175 -1.45433255268072 219.47614577864</t>
  </si>
  <si>
    <t>-660.320894516602 10.3012108951225 688.544223063119</t>
  </si>
  <si>
    <t>-502.823483413102 -26.7100865293993 757.596740010356</t>
  </si>
  <si>
    <t>9763-20170724T164151.522306900.bin</t>
  </si>
  <si>
    <t>-622.318496154719 79.099038277841 -235.2439305637</t>
  </si>
  <si>
    <t>-646.233550965603 84.7104111280469 -353.837328521015</t>
  </si>
  <si>
    <t>-651.622886133445 77.0866833406285 -474.681882090895</t>
  </si>
  <si>
    <t>-648.788428688221 64.9146403545471 -583.48745522173</t>
  </si>
  <si>
    <t>-638.36156821994 47.5675087502628 -691.122086196695</t>
  </si>
  <si>
    <t>-616.002283052462 18.1588065557458 -838.889391510425</t>
  </si>
  <si>
    <t>-620.388093466008 62.0312398898093 -778.815306215091</t>
  </si>
  <si>
    <t>-590.241964057623 205.936135653295 -776.354351123026</t>
  </si>
  <si>
    <t>-466.46252630852 222.336239027665 -485.500802811483</t>
  </si>
  <si>
    <t>-276.124798186863 170.554853044079 -315.994655834883</t>
  </si>
  <si>
    <t>-631.403046999023 0.31125340494232 -768.198494488507</t>
  </si>
  <si>
    <t>-604.525253798132 175.507007921115 -233.780238086594</t>
  </si>
  <si>
    <t>-539.459796482375 225.327977165848 214.485401031584</t>
  </si>
  <si>
    <t>-629.870289446819 242.103243802346 675.357288064374</t>
  </si>
  <si>
    <t>-475.956866162414 226.92349263791 759.165025590945</t>
  </si>
  <si>
    <t>-638.227528462345 -1.42018250584599 219.425800824043</t>
  </si>
  <si>
    <t>-660.32111916103 10.3135136062932 688.516057999549</t>
  </si>
  <si>
    <t>-502.84933332936 -26.803254499493 757.570418592621</t>
  </si>
  <si>
    <t>9763-20170724T164151.615074100.bin</t>
  </si>
  <si>
    <t>-622.003451629074 79.2056440831509 -235.492373670607</t>
  </si>
  <si>
    <t>-645.852778064172 84.7312692747217 -354.102958231855</t>
  </si>
  <si>
    <t>-651.224079489621 77.0629344118514 -474.945342452047</t>
  </si>
  <si>
    <t>-648.396652237119 64.8623302921941 -583.748017791703</t>
  </si>
  <si>
    <t>-638.002195386183 47.495211375124 -691.382616924636</t>
  </si>
  <si>
    <t>-615.715716393927 18.0642749048774 -839.156487733994</t>
  </si>
  <si>
    <t>-620.033507533887 61.9400165503998 -779.079972717483</t>
  </si>
  <si>
    <t>-589.660992298255 205.796890210744 -776.663754122255</t>
  </si>
  <si>
    <t>-465.772833183007 221.909970479601 -485.840353393898</t>
  </si>
  <si>
    <t>-275.834519501099 170.215016782654 -315.860515108858</t>
  </si>
  <si>
    <t>-631.12003939199 0.233054859550514 -768.462321823523</t>
  </si>
  <si>
    <t>-604.241251773341 175.553647349229 -234.129314568751</t>
  </si>
  <si>
    <t>-539.634607699156 225.404432532827 214.199279400365</t>
  </si>
  <si>
    <t>-629.894800863859 242.108221411782 675.043773098819</t>
  </si>
  <si>
    <t>-475.961790328207 227.019854318621 758.832072218841</t>
  </si>
  <si>
    <t>-638.026181975462 -1.27488225840868 219.255283042137</t>
  </si>
  <si>
    <t>-660.317480755746 10.3466332070986 688.375499822754</t>
  </si>
  <si>
    <t>-502.648325099731 -25.9884906029186 757.395079392695</t>
  </si>
  <si>
    <t>9763-20170724T164151.623095800.bin</t>
  </si>
  <si>
    <t>-621.98343790806 79.1665309295804 -235.522907813309</t>
  </si>
  <si>
    <t>-645.839894145246 84.6868977058263 -354.13238178513</t>
  </si>
  <si>
    <t>-651.219853308354 77.0170433337043 -474.974304206779</t>
  </si>
  <si>
    <t>-648.401784526188 64.8151845735375 -583.77711063438</t>
  </si>
  <si>
    <t>-638.018664893212 47.4460518283577 -691.412364085262</t>
  </si>
  <si>
    <t>-615.75061441291 18.010838662373 -839.188296719817</t>
  </si>
  <si>
    <t>-620.051841947773 61.886997930257 -779.110782316737</t>
  </si>
  <si>
    <t>-589.616450081012 205.731863113858 -776.716627524652</t>
  </si>
  <si>
    <t>-465.68785755658 221.762516484898 -485.905945163732</t>
  </si>
  <si>
    <t>-275.893999826847 170.106328662354 -315.753029047403</t>
  </si>
  <si>
    <t>-631.155186224304 0.182974527307543 -768.493226591093</t>
  </si>
  <si>
    <t>-604.28574395008 175.509604338709 -234.159734718269</t>
  </si>
  <si>
    <t>-539.614910517356 225.424828717799 214.152519643861</t>
  </si>
  <si>
    <t>-629.897360113326 242.105311049627 675.000773079304</t>
  </si>
  <si>
    <t>-475.959914307001 227.031524881925 758.783551839903</t>
  </si>
  <si>
    <t>-638.002284992051 -1.32312720320991 219.233449907497</t>
  </si>
  <si>
    <t>-660.323818391966 10.3013153191158 688.370176348251</t>
  </si>
  <si>
    <t>-502.765388208899 -26.4927174070495 757.39956458443</t>
  </si>
  <si>
    <t>9763-20170724T164151.690336000.bin</t>
  </si>
  <si>
    <t>-621.931338222396 79.1607173997951 -235.630273086846</t>
  </si>
  <si>
    <t>-645.779672805893 84.6402087869702 -354.243309331517</t>
  </si>
  <si>
    <t>-651.154452521348 76.9772107101163 -475.085946656674</t>
  </si>
  <si>
    <t>-648.33613856788 64.7964696430076 -583.890987716868</t>
  </si>
  <si>
    <t>-637.958952252878 47.4603137176009 -691.532092669669</t>
  </si>
  <si>
    <t>-615.707142582328 18.0805924303365 -839.321519329787</t>
  </si>
  <si>
    <t>-619.970375081621 61.9295162973721 -779.221453271001</t>
  </si>
  <si>
    <t>-589.360288116656 205.731270282945 -776.817566398935</t>
  </si>
  <si>
    <t>-465.448864239937 221.317632148556 -485.975522458224</t>
  </si>
  <si>
    <t>-276.196577318003 169.673684220402 -315.216778668593</t>
  </si>
  <si>
    <t>-631.135342122313 0.230921952664744 -768.637065002313</t>
  </si>
  <si>
    <t>-604.256654574192 175.502985187192 -234.332559566273</t>
  </si>
  <si>
    <t>-539.718856418778 225.427422711812 213.997741664179</t>
  </si>
  <si>
    <t>-629.886630567596 242.07551168293 674.82668148099</t>
  </si>
  <si>
    <t>-475.965009957375 227.056135187374 758.648409102335</t>
  </si>
  <si>
    <t>-637.918990283346 -1.35818970965764 219.172870561936</t>
  </si>
  <si>
    <t>-660.327249730645 10.2788116576053 688.340025414409</t>
  </si>
  <si>
    <t>-502.81230267417 -26.7055241168193 757.366993640533</t>
  </si>
  <si>
    <t>9763-20170724T164151.723425200.bin</t>
  </si>
  <si>
    <t>-621.926508070809 79.1740389986849 -235.68269406648</t>
  </si>
  <si>
    <t>-645.758924341298 84.6307671899794 -354.299884996035</t>
  </si>
  <si>
    <t>-651.112471136483 76.9666752171989 -475.143481909955</t>
  </si>
  <si>
    <t>-648.273884731472 64.792364897985 -583.948655241639</t>
  </si>
  <si>
    <t>-637.876046047438 47.4693382986686 -691.589947087101</t>
  </si>
  <si>
    <t>-615.595589186985 18.1138053959833 -839.379865612432</t>
  </si>
  <si>
    <t>-619.855872847472 61.9506915466351 -779.270811682727</t>
  </si>
  <si>
    <t>-589.169940765314 205.744923152663 -776.850697671835</t>
  </si>
  <si>
    <t>-465.357969933732 221.030139654791 -485.950176320585</t>
  </si>
  <si>
    <t>-276.407098390248 169.199340848958 -314.914504664862</t>
  </si>
  <si>
    <t>-631.052166988419 0.254789760335925 -768.704088216121</t>
  </si>
  <si>
    <t>-604.272079719934 175.497532657784 -234.404768526486</t>
  </si>
  <si>
    <t>-539.762113438086 225.45605319252 213.92585644888</t>
  </si>
  <si>
    <t>-629.871959346808 242.066970643023 674.758429340786</t>
  </si>
  <si>
    <t>-475.969345648943 227.03917212343 758.613408536221</t>
  </si>
  <si>
    <t>-637.883358811172 -1.34839751454093 219.146033870423</t>
  </si>
  <si>
    <t>-660.318840096072 10.2975490602034 688.32188623342</t>
  </si>
  <si>
    <t>-502.837772941077 -26.81801176405 757.355668241681</t>
  </si>
  <si>
    <t>9763-20170724T164151.791495800.bin</t>
  </si>
  <si>
    <t>-622.031495623348 79.0980572843592 -235.797763463795</t>
  </si>
  <si>
    <t>-645.876600057694 84.5285042148745 -354.413625091586</t>
  </si>
  <si>
    <t>-651.213572264021 76.875731835731 -475.258688404767</t>
  </si>
  <si>
    <t>-648.350884969593 64.7232864172551 -584.065604195199</t>
  </si>
  <si>
    <t>-637.921475757409 47.4314259381844 -691.709004389227</t>
  </si>
  <si>
    <t>-615.590725708829 18.1268664512553 -839.501313750934</t>
  </si>
  <si>
    <t>-619.844647112045 61.9389507779129 -779.373671674346</t>
  </si>
  <si>
    <t>-589.058442872819 205.705905201142 -776.880154481755</t>
  </si>
  <si>
    <t>-465.193802443566 220.304350752264 -485.966662841354</t>
  </si>
  <si>
    <t>-276.643103309956 168.318169881714 -314.537019162479</t>
  </si>
  <si>
    <t>-631.098109236949 0.247468959345532 -768.841712865539</t>
  </si>
  <si>
    <t>-604.471431751783 175.420982646875 -234.548293822969</t>
  </si>
  <si>
    <t>-539.839394231685 225.461564273933 213.755474863211</t>
  </si>
  <si>
    <t>-629.775789679298 241.966750690592 674.572670703556</t>
  </si>
  <si>
    <t>-475.958840954596 227.031291735455 758.601216191391</t>
  </si>
  <si>
    <t>-637.863858107333 -1.41248968549608 219.082405446865</t>
  </si>
  <si>
    <t>-660.315387260684 10.2928369835172 688.282255737872</t>
  </si>
  <si>
    <t>-502.757257902172 -26.5169726715738 757.304027223933</t>
  </si>
  <si>
    <t>9763-20170724T164151.822570900.bin</t>
  </si>
  <si>
    <t>-622.055729075112 79.0196066616052 -235.834527139077</t>
  </si>
  <si>
    <t>-645.856523254903 84.4424219568967 -354.459753637842</t>
  </si>
  <si>
    <t>-651.153006910416 76.8036413183315 -475.307428558703</t>
  </si>
  <si>
    <t>-648.25614245681 64.6718279263848 -584.115797894747</t>
  </si>
  <si>
    <t>-637.795494515749 47.4079076775373 -691.760483005407</t>
  </si>
  <si>
    <t>-615.42464431678 18.1491852913095 -839.555801275137</t>
  </si>
  <si>
    <t>-619.686744289273 61.941369584034 -779.414436412492</t>
  </si>
  <si>
    <t>-588.82783678617 205.693458280011 -776.861639623988</t>
  </si>
  <si>
    <t>-465.021896230716 220.077411768755 -485.912514611214</t>
  </si>
  <si>
    <t>-276.627232572088 167.956840572225 -314.352201105169</t>
  </si>
  <si>
    <t>-630.959330049182 0.249143583464075 -768.907571433893</t>
  </si>
  <si>
    <t>-604.499798229737 175.301345969743 -234.594170854977</t>
  </si>
  <si>
    <t>-539.959024609539 225.477189905433 213.707713139901</t>
  </si>
  <si>
    <t>-629.753336737791 241.972424630206 674.563179674978</t>
  </si>
  <si>
    <t>-475.952395331422 227.045080575705 758.622379686656</t>
  </si>
  <si>
    <t>-637.930840100684 -1.42529114138492 219.046510319857</t>
  </si>
  <si>
    <t>-660.312183742012 10.3931739057009 688.256006481181</t>
  </si>
  <si>
    <t>-502.753762022373 -26.4289284044482 757.270498337636</t>
  </si>
  <si>
    <t>9763-20170724T164151.890766000.bin</t>
  </si>
  <si>
    <t>-621.910277530097 78.8192613459404 -235.860987654593</t>
  </si>
  <si>
    <t>-645.628503817449 84.2055453386883 -354.504335383452</t>
  </si>
  <si>
    <t>-650.821497003846 76.5623440162779 -475.356251686106</t>
  </si>
  <si>
    <t>-647.824209390167 64.4388038725228 -584.162956053501</t>
  </si>
  <si>
    <t>-637.257032121773 47.1951577286841 -691.800373469573</t>
  </si>
  <si>
    <t>-614.732753507111 17.9766525169855 -839.580408633229</t>
  </si>
  <si>
    <t>-619.04633987493 61.7508183265304 -779.429473967865</t>
  </si>
  <si>
    <t>-588.118957644534 205.484653004647 -776.783200750066</t>
  </si>
  <si>
    <t>-464.504653313258 219.65576394548 -485.742277058578</t>
  </si>
  <si>
    <t>-276.223424801038 167.315268183072 -314.124247264617</t>
  </si>
  <si>
    <t>-630.351789715069 0.0590732755625325 -768.955194377759</t>
  </si>
  <si>
    <t>-604.365735755089 175.078407388274 -234.624263650147</t>
  </si>
  <si>
    <t>-539.907510505861 225.353877149532 213.678317065538</t>
  </si>
  <si>
    <t>-629.756343946164 241.961664139816 674.574108475526</t>
  </si>
  <si>
    <t>-475.95567498217 227.063244925807 758.639072216629</t>
  </si>
  <si>
    <t>-637.968507882553 -1.51411556675718 219.03020157794</t>
  </si>
  <si>
    <t>-660.316207142969 10.4167350341569 688.233945824527</t>
  </si>
  <si>
    <t>-502.680686939642 -26.0939848944878 757.237800412588</t>
  </si>
  <si>
    <t>9763-20170724T164151.922845300.bin</t>
  </si>
  <si>
    <t>-621.789182867674 78.6850076798007 -235.847463106726</t>
  </si>
  <si>
    <t>-645.494830415245 84.0907518946165 -354.492519612413</t>
  </si>
  <si>
    <t>-650.643767713332 76.4540351679295 -475.346744546075</t>
  </si>
  <si>
    <t>-647.593495089147 64.3320876821753 -584.152040330061</t>
  </si>
  <si>
    <t>-636.9603459535 47.0863609014369 -691.782670767983</t>
  </si>
  <si>
    <t>-614.330984487729 17.8621221480518 -839.545467021476</t>
  </si>
  <si>
    <t>-618.68853410976 61.6388069010993 -779.399655446601</t>
  </si>
  <si>
    <t>-587.74517849598 205.369684025242 -776.716847286831</t>
  </si>
  <si>
    <t>-464.229038325256 219.495659280456 -485.632049301444</t>
  </si>
  <si>
    <t>-275.972254523311 167.014117285732 -314.030370714895</t>
  </si>
  <si>
    <t>-604.200084234202 174.997010850419 -234.601490453718</t>
  </si>
  <si>
    <t>-539.849465066108 225.258074557351 213.718153171549</t>
  </si>
  <si>
    <t>-629.768774105059 241.972052316797 674.591478579566</t>
  </si>
  <si>
    <t>-475.960364119848 227.077747360545 758.64297319004</t>
  </si>
  <si>
    <t>-637.972323593689 -1.62354936827813 219.036732954205</t>
  </si>
  <si>
    <t>-660.33451460894 10.3175760696198 688.234280054729</t>
  </si>
  <si>
    <t>-502.732601619398 -26.3247106040483 757.245035055784</t>
  </si>
  <si>
    <t>9763-20170724T164151.989022700.bin</t>
  </si>
  <si>
    <t>-621.340711069656 78.4463495655874 -235.783937865848</t>
  </si>
  <si>
    <t>-644.962069149017 83.8516494450267 -354.445796368793</t>
  </si>
  <si>
    <t>-650.019574510819 76.1930598313665 -475.302315652016</t>
  </si>
  <si>
    <t>-646.882766573029 64.0458513893175 -584.102443286806</t>
  </si>
  <si>
    <t>-636.158496194926 46.771600962399 -691.719555669827</t>
  </si>
  <si>
    <t>-613.397092611803 17.5060767554278 -839.453946469515</t>
  </si>
  <si>
    <t>-617.824630558338 61.3020273022477 -779.327052627827</t>
  </si>
  <si>
    <t>-586.925498855618 205.038897474443 -776.614988174285</t>
  </si>
  <si>
    <t>-463.571057943197 219.111556487413 -485.458848978201</t>
  </si>
  <si>
    <t>-275.450446252177 166.102788712715 -313.870086745955</t>
  </si>
  <si>
    <t>-603.703066239211 174.764901486142 -234.512819370589</t>
  </si>
  <si>
    <t>-539.541661318261 225.123259969777 213.822973352287</t>
  </si>
  <si>
    <t>-629.837048548903 242.001090374072 674.65807938814</t>
  </si>
  <si>
    <t>-475.976537003294 227.123345785207 758.617000016989</t>
  </si>
  <si>
    <t>-637.900477304737 -1.76038937717198 219.07299556939</t>
  </si>
  <si>
    <t>-660.339621213195 10.3250765981398 688.24196516438</t>
  </si>
  <si>
    <t>-502.727188511955 -26.2749411615691 757.251148885944</t>
  </si>
  <si>
    <t>9763-20170724T164152.028132900.bin</t>
  </si>
  <si>
    <t>-621.124114786203 78.3732679881778 -235.752029306751</t>
  </si>
  <si>
    <t>-644.695534305847 83.7687054070807 -354.424127975186</t>
  </si>
  <si>
    <t>-649.71992797317 76.0971221355482 -475.281364878067</t>
  </si>
  <si>
    <t>-646.559635359345 63.9379540108693 -584.079333177909</t>
  </si>
  <si>
    <t>-635.818195440972 46.652080514693 -691.692974146532</t>
  </si>
  <si>
    <t>-613.0392525978 17.3712725928567 -839.421617825451</t>
  </si>
  <si>
    <t>-617.481309753484 61.1745141486297 -779.301236781124</t>
  </si>
  <si>
    <t>-586.623942086722 204.925585222123 -776.598078519018</t>
  </si>
  <si>
    <t>-463.323975987238 219.015733139815 -485.419814164844</t>
  </si>
  <si>
    <t>-275.305710368716 165.649735433513 -313.829384697293</t>
  </si>
  <si>
    <t>-603.481289850599 174.756292684083 -234.49091296811</t>
  </si>
  <si>
    <t>-539.455068677694 225.066789803105 213.869587709937</t>
  </si>
  <si>
    <t>-629.863403193817 241.999204572702 674.654777617083</t>
  </si>
  <si>
    <t>-475.987552906961 227.148514449281 758.590528295308</t>
  </si>
  <si>
    <t>-637.802750177338 -1.80244447547091 219.093882909852</t>
  </si>
  <si>
    <t>-660.331110077957 10.4142858431097 688.246370296263</t>
  </si>
  <si>
    <t>-502.715619693463 -26.1743710686465 757.254564652881</t>
  </si>
  <si>
    <t>9763-20170724T164152.087298500.bin</t>
  </si>
  <si>
    <t>-620.443740679236 78.2051579787315 -235.721360690632</t>
  </si>
  <si>
    <t>-643.918953210601 83.5914000070268 -354.412968865207</t>
  </si>
  <si>
    <t>-648.900276684177 75.8841105330224 -475.269739449801</t>
  </si>
  <si>
    <t>-645.720940716418 63.6855961316118 -584.062769758172</t>
  </si>
  <si>
    <t>-634.978889130168 46.3554989200632 -691.669121262428</t>
  </si>
  <si>
    <t>-612.216838304114 17.0099773173874 -839.387530932202</t>
  </si>
  <si>
    <t>-616.671916042379 60.842600129898 -779.28964914867</t>
  </si>
  <si>
    <t>-585.919909595027 204.616303677367 -776.681228921355</t>
  </si>
  <si>
    <t>-462.910135888573 218.660153972215 -485.378065820826</t>
  </si>
  <si>
    <t>-275.403159003539 163.594694027575 -313.765059564215</t>
  </si>
  <si>
    <t>-602.747113148485 174.509876590877 -234.461984350563</t>
  </si>
  <si>
    <t>-539.110981282574 224.985181357556 213.935614457184</t>
  </si>
  <si>
    <t>-629.910007324491 242.01053677305 674.663865031529</t>
  </si>
  <si>
    <t>-475.995824901282 227.188373017681 758.53416024052</t>
  </si>
  <si>
    <t>-637.518729561846 -1.82888285447328 219.123640825059</t>
  </si>
  <si>
    <t>-660.343959541533 10.3386001790009 688.259411248059</t>
  </si>
  <si>
    <t>-502.84675138845 -26.7225920932156 757.285582388044</t>
  </si>
  <si>
    <t>9763-20170724T164152.124919900.bin</t>
  </si>
  <si>
    <t>-620.02516674836 78.1879573323488 -235.702761154283</t>
  </si>
  <si>
    <t>-643.479423877117 83.5648947129625 -354.39896748441</t>
  </si>
  <si>
    <t>-648.476388674241 75.845430259766 -475.254283398497</t>
  </si>
  <si>
    <t>-645.3251181252 63.6360445635962 -584.046922907405</t>
  </si>
  <si>
    <t>-634.624289450668 46.2957581603676 -691.655617218556</t>
  </si>
  <si>
    <t>-611.932281072656 16.9373527352424 -839.382383394535</t>
  </si>
  <si>
    <t>-616.364156018595 60.7760054686984 -779.287047932812</t>
  </si>
  <si>
    <t>-585.611826022346 204.551398301396 -776.70128376468</t>
  </si>
  <si>
    <t>-462.906813969422 218.617642773962 -485.270724315347</t>
  </si>
  <si>
    <t>-275.438889769485 162.76082181642 -313.87101151238</t>
  </si>
  <si>
    <t>-602.315621512894 174.491532321126 -234.456087478937</t>
  </si>
  <si>
    <t>-538.944620078805 224.986192372047 213.976877540087</t>
  </si>
  <si>
    <t>-629.943931259211 241.984442905504 674.671452850195</t>
  </si>
  <si>
    <t>-476.002111818073 227.228337801678 758.502698639927</t>
  </si>
  <si>
    <t>-637.278459074513 -1.75717124953573 219.149782344467</t>
  </si>
  <si>
    <t>-660.344197166332 10.348086532456 688.267511559896</t>
  </si>
  <si>
    <t>-502.781543540295 -26.4593178226188 757.280034377798</t>
  </si>
  <si>
    <t>9763-20170724T164152.190132500.bin</t>
  </si>
  <si>
    <t>-619.037360438416 78.1391368484238 -235.629177225175</t>
  </si>
  <si>
    <t>-642.430639363753 83.5435600361074 -354.336127049376</t>
  </si>
  <si>
    <t>-647.435180015788 75.7880537751614 -475.188710029213</t>
  </si>
  <si>
    <t>-644.314877307203 63.5258040887695 -583.976411114063</t>
  </si>
  <si>
    <t>-633.666458270057 46.115945330091 -691.579254245893</t>
  </si>
  <si>
    <t>-611.067466906044 16.6465352169541 -839.298105409006</t>
  </si>
  <si>
    <t>-615.472809975091 60.5320655697542 -779.235020169179</t>
  </si>
  <si>
    <t>-584.857051431237 204.33474987417 -776.775395216478</t>
  </si>
  <si>
    <t>-463.01505694258 218.753969370825 -485.000249709314</t>
  </si>
  <si>
    <t>-275.558148807405 159.702503697501 -314.662602590169</t>
  </si>
  <si>
    <t>-601.23075003092 174.357699478293 -234.36818071994</t>
  </si>
  <si>
    <t>-538.270649617913 224.904394796506 214.116664421444</t>
  </si>
  <si>
    <t>-630.024249832996 241.957036149241 674.683679665117</t>
  </si>
  <si>
    <t>-476.023765312202 227.269506922884 758.419244868371</t>
  </si>
  <si>
    <t>-636.800105736141 -1.62727272209169 219.196485115262</t>
  </si>
  <si>
    <t>-660.3463847304 10.4119127440412 688.277186527252</t>
  </si>
  <si>
    <t>-502.775490373018 -26.3784644626273 757.280189589072</t>
  </si>
  <si>
    <t>9763-20170724T164152.223220000.bin</t>
  </si>
  <si>
    <t>-618.464480046382 78.0665124318887 -235.624391015234</t>
  </si>
  <si>
    <t>-641.819471224585 83.490445644658 -354.337981146744</t>
  </si>
  <si>
    <t>-646.811885789097 75.7305051892737 -475.190879593664</t>
  </si>
  <si>
    <t>-643.688484097512 63.4585229094506 -583.977351740154</t>
  </si>
  <si>
    <t>-633.043202571401 46.0357699328878 -691.578304289361</t>
  </si>
  <si>
    <t>-610.45325210953 16.5474156024743 -839.294788715744</t>
  </si>
  <si>
    <t>-614.861998480041 60.441716419991 -779.238274263945</t>
  </si>
  <si>
    <t>-584.305846467501 204.261149142176 -776.809353384254</t>
  </si>
  <si>
    <t>-463.266597551857 219.112640231866 -484.72164316159</t>
  </si>
  <si>
    <t>-275.269434573063 158.984189417416 -315.359163182652</t>
  </si>
  <si>
    <t>-600.512959867915 174.314622728916 -234.37088987651</t>
  </si>
  <si>
    <t>-537.918350501579 224.819827105155 214.169891813147</t>
  </si>
  <si>
    <t>-630.047291934972 241.945411052781 674.663753448181</t>
  </si>
  <si>
    <t>-476.033445705344 227.268543766874 758.376686687824</t>
  </si>
  <si>
    <t>-636.563681899119 -1.69266610568613 219.220976472721</t>
  </si>
  <si>
    <t>-660.379242781692 10.1391215970044 688.290927525225</t>
  </si>
  <si>
    <t>-503.311808565109 -28.6056508770515 757.371975036131</t>
  </si>
  <si>
    <t>9763-20170724T164152.290909400.bin</t>
  </si>
  <si>
    <t>-617.269063483806 78.1256368354504 -235.63736535297</t>
  </si>
  <si>
    <t>-640.55431309271 83.5445106526024 -354.364937217431</t>
  </si>
  <si>
    <t>-645.545679976847 75.6734255899748 -475.210760466123</t>
  </si>
  <si>
    <t>-642.445293293664 63.264422894439 -583.98220931741</t>
  </si>
  <si>
    <t>-631.844570629847 45.6723763019162 -691.560122314325</t>
  </si>
  <si>
    <t>-609.33663871056 15.9189338771462 -839.235868866522</t>
  </si>
  <si>
    <t>-613.710850319722 59.9207409049456 -779.255639035885</t>
  </si>
  <si>
    <t>-583.473386914682 203.811500150736 -777.024054145116</t>
  </si>
  <si>
    <t>-463.67031584991 219.640775853055 -484.478632685745</t>
  </si>
  <si>
    <t>-275.029462001958 157.702527439342 -316.489528181945</t>
  </si>
  <si>
    <t>-599.193377898472 174.343507577868 -234.394795516595</t>
  </si>
  <si>
    <t>-537.161315139787 224.751714429981 214.234966144409</t>
  </si>
  <si>
    <t>-630.050763790198 241.933558785397 674.571863874146</t>
  </si>
  <si>
    <t>-476.061846583819 227.12716332262 758.30781225268</t>
  </si>
  <si>
    <t>-636.034080569488 -1.47458141162498 219.243392529853</t>
  </si>
  <si>
    <t>-660.366012949684 10.3129192672148 688.289788620144</t>
  </si>
  <si>
    <t>-503.100227466858 -27.6812287596235 757.336379078994</t>
  </si>
  <si>
    <t>9763-20170724T164152.323997900.bin</t>
  </si>
  <si>
    <t>-616.662706495329 78.0941286719007 -235.618074908523</t>
  </si>
  <si>
    <t>-639.845546683124 83.502167803076 -354.366188256795</t>
  </si>
  <si>
    <t>-644.814501678686 75.5718909653857 -475.208906007432</t>
  </si>
  <si>
    <t>-641.725325790409 63.0923094473416 -583.972741988849</t>
  </si>
  <si>
    <t>-631.166070232659 45.4139818501118 -691.540624111215</t>
  </si>
  <si>
    <t>-608.74599984273 15.5254709861611 -839.202428013393</t>
  </si>
  <si>
    <t>-613.088152824484 59.5826629373416 -779.260591719543</t>
  </si>
  <si>
    <t>-582.895663131821 203.477373802511 -777.133340687187</t>
  </si>
  <si>
    <t>-463.33150188247 220.047068096377 -484.531179827511</t>
  </si>
  <si>
    <t>-274.583065729799 157.288677363933 -316.967742284667</t>
  </si>
  <si>
    <t>-598.503540041949 174.298163280376 -234.411317605257</t>
  </si>
  <si>
    <t>-536.867916182134 224.724962315696 214.271001798651</t>
  </si>
  <si>
    <t>-630.047965087093 241.915376403104 674.531080719959</t>
  </si>
  <si>
    <t>-476.066348159946 227.108612218222 758.280301664928</t>
  </si>
  <si>
    <t>-635.719418664149 -1.41335037170319 219.253384011494</t>
  </si>
  <si>
    <t>-660.363343408255 10.3321762616772 688.288301239018</t>
  </si>
  <si>
    <t>-503.221489048926 -28.1345970244819 757.355400958658</t>
  </si>
  <si>
    <t>9763-20170724T164152.392859500.bin</t>
  </si>
  <si>
    <t>-615.327296701978 78.1744526536989 -235.618009130178</t>
  </si>
  <si>
    <t>-638.487253568224 83.5956565282506 -354.370114716083</t>
  </si>
  <si>
    <t>-643.493931913401 75.5601044085395 -475.204301433472</t>
  </si>
  <si>
    <t>-640.461997553045 62.9392489096631 -583.953524857582</t>
  </si>
  <si>
    <t>-629.982521958332 45.0752436931401 -691.498325100504</t>
  </si>
  <si>
    <t>-607.696337233019 14.8838800055148 -839.11897828437</t>
  </si>
  <si>
    <t>-611.969571890818 59.0617816056134 -779.260937260429</t>
  </si>
  <si>
    <t>-581.836890769912 202.977156018534 -777.40358734629</t>
  </si>
  <si>
    <t>-462.62994569423 220.756386170784 -484.726591675267</t>
  </si>
  <si>
    <t>-274.292986564111 155.583860873564 -317.622551607948</t>
  </si>
  <si>
    <t>-597.085364968186 174.338652793325 -234.421540813063</t>
  </si>
  <si>
    <t>-536.100773248401 224.737121742376 214.352884678581</t>
  </si>
  <si>
    <t>-630.020142398261 241.847624153624 674.443471348152</t>
  </si>
  <si>
    <t>-476.065782677393 227.085319174203 758.250641248609</t>
  </si>
  <si>
    <t>-635.004442530388 -1.20085398433301 219.272635746558</t>
  </si>
  <si>
    <t>-660.377191418659 10.2397338018345 688.288071317775</t>
  </si>
  <si>
    <t>-503.289484806335 -28.4362517044646 757.361446884175</t>
  </si>
  <si>
    <t>9763-20170724T164152.423941900.bin</t>
  </si>
  <si>
    <t>-614.6734947565 78.3845123584035 -235.673778825009</t>
  </si>
  <si>
    <t>-637.809627123068 83.8153724574421 -354.430068247275</t>
  </si>
  <si>
    <t>-642.827529598474 75.7450267360616 -475.261547203255</t>
  </si>
  <si>
    <t>-639.819371711421 63.0756947137155 -584.005701870606</t>
  </si>
  <si>
    <t>-629.376699276832 45.1468105506949 -691.543355941125</t>
  </si>
  <si>
    <t>-607.154723242124 14.8489260031815 -839.151712054328</t>
  </si>
  <si>
    <t>-611.384136083682 59.0673171528627 -779.320504763112</t>
  </si>
  <si>
    <t>-581.206944365756 202.966340105801 -777.545683636192</t>
  </si>
  <si>
    <t>-462.22479271247 221.324348510447 -484.813016532236</t>
  </si>
  <si>
    <t>-273.907842128624 155.285229615968 -318.026907658259</t>
  </si>
  <si>
    <t>-596.350987057636 174.546612809128 -234.499501578048</t>
  </si>
  <si>
    <t>-535.805792321221 224.744024915202 214.357009440712</t>
  </si>
  <si>
    <t>-629.98119244993 241.80241272415 674.38266565058</t>
  </si>
  <si>
    <t>-476.065050313307 227.073101163868 758.265862027743</t>
  </si>
  <si>
    <t>-634.65270021583 -0.969214833417013 219.255484353168</t>
  </si>
  <si>
    <t>-660.358002338362 10.3164031217215 688.27522010123</t>
  </si>
  <si>
    <t>-503.225957482596 -28.179538243225 757.348342074129</t>
  </si>
  <si>
    <t>9763-20170724T164152.488616100.bin</t>
  </si>
  <si>
    <t>-613.298361449767 78.7869383507202 -235.746803960873</t>
  </si>
  <si>
    <t>-636.255746077024 84.1914089480227 -354.538873792468</t>
  </si>
  <si>
    <t>-641.2123647522 76.0313622445503 -475.366883285005</t>
  </si>
  <si>
    <t>-638.193582009694 63.2609836690079 -584.098923586827</t>
  </si>
  <si>
    <t>-627.78257947697 45.2144610969005 -691.62001456003</t>
  </si>
  <si>
    <t>-605.6461410358 14.738776821669 -839.204669018826</t>
  </si>
  <si>
    <t>-609.839438978506 59.0290318338898 -779.424128679092</t>
  </si>
  <si>
    <t>-579.638957923465 202.931185958192 -777.786674132666</t>
  </si>
  <si>
    <t>-461.595055445245 222.448298458634 -484.749319457675</t>
  </si>
  <si>
    <t>-273.35111326057 154.060074623327 -318.829690202473</t>
  </si>
  <si>
    <t>-594.736922732543 174.878827402491 -234.638113949915</t>
  </si>
  <si>
    <t>-535.343078161614 224.759207794062 214.407547869861</t>
  </si>
  <si>
    <t>-629.909570584773 241.743227551504 674.331582297469</t>
  </si>
  <si>
    <t>-476.06152255414 227.066848829982 758.348892489969</t>
  </si>
  <si>
    <t>-633.944822934359 -0.589846160118682 219.230529546066</t>
  </si>
  <si>
    <t>-660.361180552131 10.1951242007749 688.255161421253</t>
  </si>
  <si>
    <t>-503.497865812235 -29.2810051517285 757.385769092984</t>
  </si>
  <si>
    <t>9763-20170724T164152.524790100.bin</t>
  </si>
  <si>
    <t>-612.677193474019 78.9845539762321 -235.740527701662</t>
  </si>
  <si>
    <t>-635.605164301987 84.3985895165777 -354.53782971333</t>
  </si>
  <si>
    <t>-640.551529873311 76.2098980197506 -475.36427638054</t>
  </si>
  <si>
    <t>-637.528818574538 63.4017511050529 -584.09174433145</t>
  </si>
  <si>
    <t>-627.117693715527 45.3078836343319 -691.604963821874</t>
  </si>
  <si>
    <t>-604.983914732987 14.7586483572034 -839.174778607532</t>
  </si>
  <si>
    <t>-609.198926848011 59.0820962760223 -779.420436600888</t>
  </si>
  <si>
    <t>-579.057910846842 202.999745792868 -777.852147547</t>
  </si>
  <si>
    <t>-461.274323579811 222.97441963703 -484.740748033149</t>
  </si>
  <si>
    <t>-273.278077958568 153.399183860287 -319.033957441832</t>
  </si>
  <si>
    <t>-594.14043186559 174.970070498874 -234.611456532749</t>
  </si>
  <si>
    <t>-534.946778894787 224.893838093719 214.455902669852</t>
  </si>
  <si>
    <t>-629.875639789875 241.718611771776 674.327156526703</t>
  </si>
  <si>
    <t>-476.055979177208 227.072414375158 758.401553273852</t>
  </si>
  <si>
    <t>-633.562963132435 -0.348377204938451 219.23346750863</t>
  </si>
  <si>
    <t>-660.352011376927 10.2519823621526 688.240723244898</t>
  </si>
  <si>
    <t>-503.455986510842 -29.1005606385157 757.36766538014</t>
  </si>
  <si>
    <t>9763-20170724T164152.589460700.bin</t>
  </si>
  <si>
    <t>-611.494129332195 79.4199181248109 -235.773557014589</t>
  </si>
  <si>
    <t>-634.347714936947 84.7850719002827 -354.587415382305</t>
  </si>
  <si>
    <t>-639.300166270999 76.4815162139318 -475.405835882103</t>
  </si>
  <si>
    <t>-636.314518495661 63.5454523327637 -584.119233694744</t>
  </si>
  <si>
    <t>-625.971089767708 45.3008939058452 -691.613335631887</t>
  </si>
  <si>
    <t>-603.96198254616 14.5196159396189 -839.153702599014</t>
  </si>
  <si>
    <t>-608.171176205168 58.9435710890685 -779.473493484848</t>
  </si>
  <si>
    <t>-578.338779691069 202.921470100173 -778.143674714585</t>
  </si>
  <si>
    <t>-461.003056992898 223.640960712296 -484.904563207689</t>
  </si>
  <si>
    <t>-273.920113603343 151.684804861178 -319.180922575571</t>
  </si>
  <si>
    <t>-592.916091017668 175.332715792363 -234.69162030866</t>
  </si>
  <si>
    <t>-534.517553311851 225.056938957525 214.501862098259</t>
  </si>
  <si>
    <t>-629.765691098298 241.681374927862 674.265912722323</t>
  </si>
  <si>
    <t>-476.040486864993 227.086798147453 758.521904594813</t>
  </si>
  <si>
    <t>-632.951439321589 0.137557568963189 219.211966002486</t>
  </si>
  <si>
    <t>-660.302907177288 10.3749544778297 688.218907675904</t>
  </si>
  <si>
    <t>-503.289955909468 -28.4858819980108 757.358390953754</t>
  </si>
  <si>
    <t>9763-20170724T164152.622595100.bin</t>
  </si>
  <si>
    <t>-610.900866933898 79.6832240882019 -235.7845870396</t>
  </si>
  <si>
    <t>-633.654579070095 85.0097995515919 -354.619442807132</t>
  </si>
  <si>
    <t>-638.560339531337 76.6649325903964 -475.436897947325</t>
  </si>
  <si>
    <t>-635.555154467593 63.6899358329781 -584.14501857633</t>
  </si>
  <si>
    <t>-625.21522883 45.4043972359531 -691.632499538305</t>
  </si>
  <si>
    <t>-603.235175223137 14.5632739533118 -839.164647829461</t>
  </si>
  <si>
    <t>-607.443274067911 59.0129561777365 -779.503676561632</t>
  </si>
  <si>
    <t>-577.677808839966 202.998629460331 -778.231211057867</t>
  </si>
  <si>
    <t>-460.4914829788 224.080526817172 -484.958094606395</t>
  </si>
  <si>
    <t>-273.490792164643 152.344570769631 -319.046230639313</t>
  </si>
  <si>
    <t>-592.336322661653 175.569148041745 -234.714535065173</t>
  </si>
  <si>
    <t>-534.456581297245 225.187213547422 214.557825146028</t>
  </si>
  <si>
    <t>-629.739801482461 241.657143449855 674.293334741894</t>
  </si>
  <si>
    <t>-476.031143291109 227.174189781922 758.598852892502</t>
  </si>
  <si>
    <t>-632.667636483324 0.309284434991639 219.211174742616</t>
  </si>
  <si>
    <t>-660.293407835783 10.3174955519568 688.213831204948</t>
  </si>
  <si>
    <t>-503.410672766621 -29.0137711983224 757.38293954516</t>
  </si>
  <si>
    <t>9763-20170724T164152.692797300.bin</t>
  </si>
  <si>
    <t>-609.867114572021 80.2938611590852 -235.79395213201</t>
  </si>
  <si>
    <t>-632.561630610038 85.5674844507711 -354.642290519129</t>
  </si>
  <si>
    <t>-637.428555918015 77.1425686659369 -475.455849596158</t>
  </si>
  <si>
    <t>-634.396257975227 64.0861825491832 -584.153522773305</t>
  </si>
  <si>
    <t>-624.036970439409 45.7112124318078 -691.624102241261</t>
  </si>
  <si>
    <t>-602.037693139078 14.7382964981413 -839.125481058842</t>
  </si>
  <si>
    <t>-606.291984716682 59.2468724310315 -779.511739717458</t>
  </si>
  <si>
    <t>-576.743450600884 203.294240504225 -778.301132933297</t>
  </si>
  <si>
    <t>-460.280574032018 224.888582299264 -484.777238372145</t>
  </si>
  <si>
    <t>-273.726170964884 152.174706828123 -318.788641581132</t>
  </si>
  <si>
    <t>-591.463985209243 176.079983408384 -234.707576312594</t>
  </si>
  <si>
    <t>-534.240544437034 225.614694240444 214.658050807207</t>
  </si>
  <si>
    <t>-629.713589785258 241.643903014281 674.388241916826</t>
  </si>
  <si>
    <t>-476.007910098923 227.364160662712 758.733713247293</t>
  </si>
  <si>
    <t>-632.115866180389 0.760167505771719 219.238312614975</t>
  </si>
  <si>
    <t>-660.256988319826 10.3294474574117 688.209471950408</t>
  </si>
  <si>
    <t>-503.440094925108 -29.1953961879988 757.417587519313</t>
  </si>
  <si>
    <t>9763-20170724T164152.724881900.bin</t>
  </si>
  <si>
    <t>-609.366902281462 80.6039113951297 -235.797923549518</t>
  </si>
  <si>
    <t>-632.023070382599 85.8480746866005 -354.655007772067</t>
  </si>
  <si>
    <t>-636.844491862191 77.3973718445579 -475.468549897412</t>
  </si>
  <si>
    <t>-633.769761424004 64.3180006678403 -584.162257408737</t>
  </si>
  <si>
    <t>-623.367774787099 45.9195754443442 -691.624592711307</t>
  </si>
  <si>
    <t>-601.309622277803 14.9129463332633 -839.110222580481</t>
  </si>
  <si>
    <t>-605.583506337892 59.4345077140622 -779.50759866157</t>
  </si>
  <si>
    <t>-576.006794261859 203.465344030618 -778.2869431477</t>
  </si>
  <si>
    <t>-460.180113240738 225.294887600474 -484.528711125152</t>
  </si>
  <si>
    <t>-273.623134586007 151.685963118829 -318.938046491624</t>
  </si>
  <si>
    <t>-590.927644507396 176.39945838792 -234.721592906239</t>
  </si>
  <si>
    <t>-534.104400462729 225.849889865136 214.704060741275</t>
  </si>
  <si>
    <t>-629.695153307996 241.658429628849 674.419430172967</t>
  </si>
  <si>
    <t>-476.000437671426 227.40294914197 758.788996834091</t>
  </si>
  <si>
    <t>-631.929249195973 0.972369607175985 219.240173542239</t>
  </si>
  <si>
    <t>-660.245685546368 10.3367390995083 688.208776817262</t>
  </si>
  <si>
    <t>-503.663034113457 -30.0356597121752 757.457919370306</t>
  </si>
  <si>
    <t>9763-20170724T164152.793220500.bin</t>
  </si>
  <si>
    <t>-608.381806047046 81.3494459462624 -235.817373211876</t>
  </si>
  <si>
    <t>-630.907558546179 86.5482173362712 -354.701181873111</t>
  </si>
  <si>
    <t>-635.640462554147 78.0873719155368 -475.517447234419</t>
  </si>
  <si>
    <t>-632.503141290614 65.0138928205883 -584.210064590571</t>
  </si>
  <si>
    <t>-622.05577618996 46.6366395625529 -691.671570035702</t>
  </si>
  <si>
    <t>-599.952074095427 15.6752284680009 -839.160017572971</t>
  </si>
  <si>
    <t>-604.241610853295 60.1781388837418 -779.544539826387</t>
  </si>
  <si>
    <t>-574.675154176071 204.222164301492 -778.186394134716</t>
  </si>
  <si>
    <t>-460.268367549246 226.215169355193 -483.88452753452</t>
  </si>
  <si>
    <t>-274.379519142972 147.98989696523 -319.664559589826</t>
  </si>
  <si>
    <t>-589.878949483287 177.036787077867 -234.791023052216</t>
  </si>
  <si>
    <t>-533.876976570739 226.23880482181 214.76506001881</t>
  </si>
  <si>
    <t>-629.613117979522 241.682658396401 674.43556698097</t>
  </si>
  <si>
    <t>-475.974379167278 227.495885275368 758.918620792776</t>
  </si>
  <si>
    <t>-631.471801267008 1.61072833606393 219.24629832055</t>
  </si>
  <si>
    <t>-660.204196336943 10.3849810021509 688.209677371153</t>
  </si>
  <si>
    <t>-503.304697996606 -28.7476298142399 757.453352263505</t>
  </si>
  <si>
    <t>9763-20170724T164152.822284900.bin</t>
  </si>
  <si>
    <t>-607.91569980844 81.6484944298695 -235.799785501706</t>
  </si>
  <si>
    <t>-630.404883623005 86.8535885194219 -354.690280104291</t>
  </si>
  <si>
    <t>-635.084520750754 78.406455592657 -475.509596762753</t>
  </si>
  <si>
    <t>-631.891627593007 65.3498703526101 -584.202735637503</t>
  </si>
  <si>
    <t>-621.38087334344 46.994998532671 -691.661870828205</t>
  </si>
  <si>
    <t>-599.180839542169 16.0714689177288 -839.1437350814</t>
  </si>
  <si>
    <t>-603.520582954021 60.5607265192416 -779.521648991697</t>
  </si>
  <si>
    <t>-573.972755617443 204.600676543376 -778.093476138226</t>
  </si>
  <si>
    <t>-460.003892679196 226.713555615602 -483.630661498962</t>
  </si>
  <si>
    <t>-274.272660356051 147.045440092831 -319.926864796248</t>
  </si>
  <si>
    <t>-589.382155836572 177.282082854941 -234.784130627719</t>
  </si>
  <si>
    <t>-533.801344714593 226.381258252423 214.835363966722</t>
  </si>
  <si>
    <t>-629.575855907269 241.678940446726 674.467535536142</t>
  </si>
  <si>
    <t>-475.963012056103 227.567977328497 759.010327437956</t>
  </si>
  <si>
    <t>-631.252692108017 1.78861079339206 219.263745259589</t>
  </si>
  <si>
    <t>-660.210246460729 10.2251612357955 688.214508144851</t>
  </si>
  <si>
    <t>-503.548627350356 -29.7674587998306 757.505461934188</t>
  </si>
  <si>
    <t>9763-20170724T164152.890473300.bin</t>
  </si>
  <si>
    <t>-607.000321210925 82.2174860894851 -235.898871334964</t>
  </si>
  <si>
    <t>-629.445999837601 87.3700668328389 -354.79980627678</t>
  </si>
  <si>
    <t>-634.072553619072 78.9054115466391 -475.61993913368</t>
  </si>
  <si>
    <t>-630.828402560857 65.8475741189904 -584.3114174454</t>
  </si>
  <si>
    <t>-620.26327297563 47.506036121006 -691.767524363271</t>
  </si>
  <si>
    <t>-597.984518747852 16.6160848020221 -839.244528523584</t>
  </si>
  <si>
    <t>-602.352777964026 61.0912335980513 -779.614015086718</t>
  </si>
  <si>
    <t>-572.894339143617 205.148006460049 -778.065713365794</t>
  </si>
  <si>
    <t>-459.187726526607 228.107073622772 -483.566375172908</t>
  </si>
  <si>
    <t>-273.600866902196 145.315892085672 -321.254431032509</t>
  </si>
  <si>
    <t>-588.318546353935 177.788698217042 -234.952423464223</t>
  </si>
  <si>
    <t>-533.846305519503 226.524761200963 214.84228991915</t>
  </si>
  <si>
    <t>-629.429625657851 241.78691811791 674.469740043778</t>
  </si>
  <si>
    <t>-475.945730284583 227.534847240554 759.222862202909</t>
  </si>
  <si>
    <t>-630.783991369923 2.2589135838672 219.235764384367</t>
  </si>
  <si>
    <t>-660.148687549532 10.3369868273842 688.199867994469</t>
  </si>
  <si>
    <t>-503.358461670499 -29.1052058148195 757.515493840473</t>
  </si>
  <si>
    <t>9763-20170724T164152.921558300.bin</t>
  </si>
  <si>
    <t>-606.612637523249 82.5931270678709 -235.934844844572</t>
  </si>
  <si>
    <t>-629.003176462292 87.7351803448794 -354.846674182557</t>
  </si>
  <si>
    <t>-633.575357153826 79.2702969018613 -475.668945762485</t>
  </si>
  <si>
    <t>-630.282592517831 66.2166493816424 -584.359414871326</t>
  </si>
  <si>
    <t>-619.669694099676 47.8839790220435 -691.812275820551</t>
  </si>
  <si>
    <t>-597.325366417299 17.0112685358949 -839.283072942048</t>
  </si>
  <si>
    <t>-601.719390465099 61.4793671665112 -779.649165665998</t>
  </si>
  <si>
    <t>-572.236164277608 205.525211105878 -778.07641614042</t>
  </si>
  <si>
    <t>-458.343908710596 229.255700667839 -483.709916314748</t>
  </si>
  <si>
    <t>-272.404837664573 146.745049440914 -321.658313285833</t>
  </si>
  <si>
    <t>-587.882579798071 178.160607160184 -235.009175431652</t>
  </si>
  <si>
    <t>-534.062650568575 226.677653870083 214.887658698055</t>
  </si>
  <si>
    <t>-629.391158294679 241.829752242508 674.552800671326</t>
  </si>
  <si>
    <t>-475.938977453989 227.565921610413 759.361205714717</t>
  </si>
  <si>
    <t>-630.572478531256 2.54098141722427 219.215684098443</t>
  </si>
  <si>
    <t>-660.122798380167 10.3926157218331 688.186693033935</t>
  </si>
  <si>
    <t>-503.210251567539 -28.5801623525605 757.491048668659</t>
  </si>
  <si>
    <t>9763-20170724T164152.989740300.bin</t>
  </si>
  <si>
    <t>-605.938958329598 83.1688663319083 -235.983986050335</t>
  </si>
  <si>
    <t>-628.23208818646 88.2903447769202 -354.915150191911</t>
  </si>
  <si>
    <t>-632.630762330252 79.8426764334343 -475.74488222847</t>
  </si>
  <si>
    <t>-629.151091644466 66.8213984106577 -584.433386740686</t>
  </si>
  <si>
    <t>-618.321732152385 48.5389264761513 -691.873288584324</t>
  </si>
  <si>
    <t>-595.646757653619 17.7558000325965 -839.312252696894</t>
  </si>
  <si>
    <t>-600.186047442451 62.1893206374257 -779.663506125329</t>
  </si>
  <si>
    <t>-570.66674572573 206.230622956004 -777.883343058862</t>
  </si>
  <si>
    <t>-456.872533998135 232.83101172829 -483.724352785605</t>
  </si>
  <si>
    <t>-267.023497754313 167.524937796973 -318.392886926783</t>
  </si>
  <si>
    <t>-611.173437525734 0.563372261505073 -768.486698068981</t>
  </si>
  <si>
    <t>-587.131628910014 178.555411634309 -235.064602550465</t>
  </si>
  <si>
    <t>-534.230454997059 226.898097608504 214.959922113586</t>
  </si>
  <si>
    <t>-629.283872571674 241.904450846854 674.674258508226</t>
  </si>
  <si>
    <t>-475.910865545766 227.703067867394 759.636324682662</t>
  </si>
  <si>
    <t>-630.207628734781 2.96565257141891 219.18511513188</t>
  </si>
  <si>
    <t>-660.099509173678 10.2975513195246 688.163343753597</t>
  </si>
  <si>
    <t>-503.325912512539 -29.1671246836596 757.50376258827</t>
  </si>
  <si>
    <t>9763-20170724T164153.022833700.bin</t>
  </si>
  <si>
    <t>-605.550416999718 83.4343188719026 -236.035565668485</t>
  </si>
  <si>
    <t>-627.857752250495 88.5578023670271 -354.963838762909</t>
  </si>
  <si>
    <t>-632.2141274455 80.0897492107998 -475.79381810437</t>
  </si>
  <si>
    <t>-628.672840975033 67.0425783485176 -584.477245740897</t>
  </si>
  <si>
    <t>-617.758655454709 48.7279714718677 -691.902954856069</t>
  </si>
  <si>
    <t>-594.941707604475 17.8949325882607 -839.309740135911</t>
  </si>
  <si>
    <t>-599.542393961727 62.349275618351 -779.681104783705</t>
  </si>
  <si>
    <t>-570.18781956526 206.433537369077 -777.837465333466</t>
  </si>
  <si>
    <t>-455.505977701809 234.713134650971 -484.180439739545</t>
  </si>
  <si>
    <t>-262.026871242259 182.70113020631 -318.34123299699</t>
  </si>
  <si>
    <t>-610.532572531906 0.725937641807924 -768.492533625065</t>
  </si>
  <si>
    <t>-586.655985349076 178.791095153739 -235.114222668418</t>
  </si>
  <si>
    <t>-534.311032665752 226.941268540577 214.996077795587</t>
  </si>
  <si>
    <t>-629.218816611247 241.955855677428 674.726842083658</t>
  </si>
  <si>
    <t>-475.897540879342 227.758642996531 759.782965845963</t>
  </si>
  <si>
    <t>-630.053140989755 3.14442196098136 219.170099002172</t>
  </si>
  <si>
    <t>-660.077586337632 10.2620773793237 688.159220826203</t>
  </si>
  <si>
    <t>-503.310615363285 -29.1747163797569 757.53042307046</t>
  </si>
  <si>
    <t>9763-20170724T164153.091965400.bin</t>
  </si>
  <si>
    <t>-604.952327498063 83.8549404853607 -236.04107465612</t>
  </si>
  <si>
    <t>-627.070105559111 88.8970433033662 -355.0081953912</t>
  </si>
  <si>
    <t>-631.244640452398 80.3175477897797 -475.836798702173</t>
  </si>
  <si>
    <t>-627.544071890656 67.1584575307248 -584.501311604071</t>
  </si>
  <si>
    <t>-616.476864164838 48.7214988461592 -691.890649389427</t>
  </si>
  <si>
    <t>-593.454787624823 17.708241447996 -839.227505053005</t>
  </si>
  <si>
    <t>-598.111712856782 62.2315682692102 -779.654791954768</t>
  </si>
  <si>
    <t>-568.820014041023 206.32867666743 -778.008546561139</t>
  </si>
  <si>
    <t>-452.158610613214 238.58421563097 -485.543341910232</t>
  </si>
  <si>
    <t>-252.252178612336 200.532085467515 -323.581844398134</t>
  </si>
  <si>
    <t>-609.17096720407 0.62973915118851 -768.41619281934</t>
  </si>
  <si>
    <t>-585.926702911106 179.197839197263 -235.185189840931</t>
  </si>
  <si>
    <t>-534.527939896096 227.027793600596 215.06819462641</t>
  </si>
  <si>
    <t>-629.111743216416 242.037280085553 674.844156987812</t>
  </si>
  <si>
    <t>-475.876819011224 227.878124126226 760.062000631181</t>
  </si>
  <si>
    <t>-629.934195796117 3.40562045797056 219.182414207499</t>
  </si>
  <si>
    <t>-660.03574991769 10.1850485764729 688.162144114768</t>
  </si>
  <si>
    <t>-503.513910465776 -30.092131466019 757.604020684298</t>
  </si>
  <si>
    <t>9763-20170724T164153.124049600.bin</t>
  </si>
  <si>
    <t>-604.683241506146 84.0823135999852 -236.055172598803</t>
  </si>
  <si>
    <t>-626.812812261579 89.1280769049538 -355.020015729932</t>
  </si>
  <si>
    <t>-630.964230312617 80.4720873335869 -475.843771796039</t>
  </si>
  <si>
    <t>-627.227941205643 67.2132187847617 -584.495123300571</t>
  </si>
  <si>
    <t>-616.110150265628 48.647431385946 -691.856814646508</t>
  </si>
  <si>
    <t>-593.002905039667 17.4265952844203 -839.136597339454</t>
  </si>
  <si>
    <t>-597.685190673703 62.0325147249984 -779.627693288493</t>
  </si>
  <si>
    <t>-568.418338467959 206.118348107458 -778.09442164717</t>
  </si>
  <si>
    <t>-450.217293911324 241.3927643689 -486.597564063681</t>
  </si>
  <si>
    <t>-246.809281157446 209.318655022831 -327.731384793061</t>
  </si>
  <si>
    <t>-608.769226616818 0.449230428047933 -768.312073356027</t>
  </si>
  <si>
    <t>-585.578981229361 179.459653361916 -235.202631929201</t>
  </si>
  <si>
    <t>-534.650089492424 227.099531267197 215.124349090119</t>
  </si>
  <si>
    <t>-629.083573672105 242.095528580023 674.94160325201</t>
  </si>
  <si>
    <t>-475.876138971134 227.915196177878 760.205417443132</t>
  </si>
  <si>
    <t>-629.860885446509 3.51413886252158 219.196874555124</t>
  </si>
  <si>
    <t>-660.012472107457 10.1911443541875 688.164496082941</t>
  </si>
  <si>
    <t>-503.556187859117 -30.3120453730585 757.622542481819</t>
  </si>
  <si>
    <t>9763-20170724T164153.193806800.bin</t>
  </si>
  <si>
    <t>-604.324315562308 84.6094993171528 -236.013567761536</t>
  </si>
  <si>
    <t>-626.417954390252 89.6233315751954 -354.986401077244</t>
  </si>
  <si>
    <t>-630.484860978015 80.8000587700983 -475.80108465523</t>
  </si>
  <si>
    <t>-626.651482404794 67.3389878757446 -584.424134827209</t>
  </si>
  <si>
    <t>-615.416234417987 48.523213186965 -691.7300679623</t>
  </si>
  <si>
    <t>-592.125147334674 16.9083927051404 -838.896815655618</t>
  </si>
  <si>
    <t>-596.889053741729 61.6744520451151 -779.514693353327</t>
  </si>
  <si>
    <t>-567.805729540897 205.830464475006 -778.50356717136</t>
  </si>
  <si>
    <t>-445.863934277709 247.095389073175 -489.343270008897</t>
  </si>
  <si>
    <t>-239.617653390481 219.406161951269 -333.33745282533</t>
  </si>
  <si>
    <t>-607.972345536078 0.119483315433264 -768.045353683828</t>
  </si>
  <si>
    <t>-585.126646801907 180.020548562325 -235.148130757617</t>
  </si>
  <si>
    <t>-534.548083987094 227.299297397142 215.25635527522</t>
  </si>
  <si>
    <t>-629.061954121996 242.182208432637 675.108067214889</t>
  </si>
  <si>
    <t>-475.888843032636 227.943488163549 760.42380432326</t>
  </si>
  <si>
    <t>-629.820608654431 3.8388910692755 219.237755722719</t>
  </si>
  <si>
    <t>-659.974736507223 10.1250168496387 688.186570617392</t>
  </si>
  <si>
    <t>-503.390978699574 -29.8544142555949 757.660928762458</t>
  </si>
  <si>
    <t>9763-20170724T164153.226887200.bin</t>
  </si>
  <si>
    <t>-604.197104606472 84.8155980989474 -235.963847382041</t>
  </si>
  <si>
    <t>-626.266293513458 89.8409010052361 -354.940686319649</t>
  </si>
  <si>
    <t>-630.298794283135 80.9347799661713 -475.750395454627</t>
  </si>
  <si>
    <t>-626.431145325927 67.3607011047556 -584.358077874021</t>
  </si>
  <si>
    <t>-615.15944183836 48.394312288203 -691.6337507273</t>
  </si>
  <si>
    <t>-591.816252094203 16.5315655657199 -838.738841445544</t>
  </si>
  <si>
    <t>-596.586656298487 61.3955338912931 -779.431213514537</t>
  </si>
  <si>
    <t>-567.504730788972 205.543296672682 -778.722113253922</t>
  </si>
  <si>
    <t>-444.607512561309 249.324989281796 -490.337678577001</t>
  </si>
  <si>
    <t>-236.667688051226 223.979395088558 -336.192509479934</t>
  </si>
  <si>
    <t>-584.970714488349 180.202171830497 -235.053853805773</t>
  </si>
  <si>
    <t>-534.385291492634 227.427048087136 215.355434189168</t>
  </si>
  <si>
    <t>-629.069104391225 242.186291917446 675.170025769922</t>
  </si>
  <si>
    <t>-475.892723471178 228.020054038068 760.491975578131</t>
  </si>
  <si>
    <t>-629.827165665658 3.87934018683522 219.268825580653</t>
  </si>
  <si>
    <t>-659.970491869988 9.9878643807946 688.210312200925</t>
  </si>
  <si>
    <t>-503.452888299118 -30.2108602098344 757.707203296515</t>
  </si>
  <si>
    <t>9763-20170724T164153.289484800.bin</t>
  </si>
  <si>
    <t>-604.113787906866 85.1947781387287 -235.881141625371</t>
  </si>
  <si>
    <t>-626.147094236613 90.2658017839005 -354.862855247017</t>
  </si>
  <si>
    <t>-630.14709859107 81.2458364325535 -475.665178182002</t>
  </si>
  <si>
    <t>-626.24943178017 67.5078863856293 -584.251093143975</t>
  </si>
  <si>
    <t>-614.946616954772 48.3198340048689 -691.484199105152</t>
  </si>
  <si>
    <t>-591.558966863005 16.0919792701201 -838.502390351634</t>
  </si>
  <si>
    <t>-596.330588506775 61.1006340401694 -779.304671785006</t>
  </si>
  <si>
    <t>-567.338405414245 205.268779367166 -778.976337761573</t>
  </si>
  <si>
    <t>-442.60550004665 252.610990992392 -491.945717995439</t>
  </si>
  <si>
    <t>-234.152940003002 227.236317044562 -338.499648295765</t>
  </si>
  <si>
    <t>-584.760257564083 180.586384474935 -234.947550743507</t>
  </si>
  <si>
    <t>-534.260122365748 227.656066977785 215.487627391725</t>
  </si>
  <si>
    <t>-629.089918912136 242.284236861573 675.277637802737</t>
  </si>
  <si>
    <t>-475.931857489039 227.997067911195 760.612215612317</t>
  </si>
  <si>
    <t>-629.929611360031 4.04814928710856 219.309214972821</t>
  </si>
  <si>
    <t>-659.935062237404 9.97241327851539 688.245235204169</t>
  </si>
  <si>
    <t>-503.389109555431 -30.0758661394074 757.765144681821</t>
  </si>
  <si>
    <t>9763-20170724T164153.327287500.bin</t>
  </si>
  <si>
    <t>-604.114125840554 85.5116390318909 -235.886360376789</t>
  </si>
  <si>
    <t>-626.177221263858 90.5818490419338 -354.862431437587</t>
  </si>
  <si>
    <t>-630.210297186671 81.5014091640185 -475.65919010559</t>
  </si>
  <si>
    <t>-626.344728151328 67.6837267737329 -584.236172353709</t>
  </si>
  <si>
    <t>-615.07664371229 48.3904561339758 -691.454011110349</t>
  </si>
  <si>
    <t>-591.740803716285 15.9897146844804 -838.442590473896</t>
  </si>
  <si>
    <t>-596.459717147898 61.0632822443189 -779.289962102432</t>
  </si>
  <si>
    <t>-567.361515800208 205.202500596107 -779.158650128707</t>
  </si>
  <si>
    <t>-442.465320664064 253.259772319899 -492.317969588213</t>
  </si>
  <si>
    <t>-233.930893803772 227.713671852801 -339.011450494756</t>
  </si>
  <si>
    <t>-584.743244479952 180.908977328773 -234.946368114499</t>
  </si>
  <si>
    <t>-534.344389162763 227.833730612392 215.515252746452</t>
  </si>
  <si>
    <t>-629.107565050186 242.339896744631 675.332228414354</t>
  </si>
  <si>
    <t>-475.950471887448 227.984752962807 760.657127079759</t>
  </si>
  <si>
    <t>-629.934377644469 4.19761647490058 219.329435839658</t>
  </si>
  <si>
    <t>-659.909250971213 10.0162092915215 688.261996036193</t>
  </si>
  <si>
    <t>-503.167021017007 -29.3075534042511 757.753139070751</t>
  </si>
  <si>
    <t>9763-20170724T164153.390458500.bin</t>
  </si>
  <si>
    <t>-604.249228932117 85.9576676667288 -235.890634274907</t>
  </si>
  <si>
    <t>-626.275273538168 91.0189729944189 -354.873952748673</t>
  </si>
  <si>
    <t>-630.363239084994 81.9189699347945 -475.667460588637</t>
  </si>
  <si>
    <t>-626.58778413722 68.0740306262981 -584.244171879301</t>
  </si>
  <si>
    <t>-615.451670932745 48.740804099453 -691.468641938468</t>
  </si>
  <si>
    <t>-592.343792440523 16.2682775555019 -838.47731553235</t>
  </si>
  <si>
    <t>-596.891936943 61.3591387050146 -779.324478642601</t>
  </si>
  <si>
    <t>-567.442166402289 205.428368645995 -779.279372933695</t>
  </si>
  <si>
    <t>-443.098650996193 252.826465842282 -492.088916367312</t>
  </si>
  <si>
    <t>-235.089648593683 226.876515676964 -338.137897013338</t>
  </si>
  <si>
    <t>-584.799764547392 181.385524704268 -234.97679753301</t>
  </si>
  <si>
    <t>-534.718099856971 228.138844268103 215.537967989138</t>
  </si>
  <si>
    <t>-629.146043881078 242.452685718547 675.427861917886</t>
  </si>
  <si>
    <t>-475.983956628699 227.995352825361 760.726513256842</t>
  </si>
  <si>
    <t>-630.088905471651 4.36129872690499 219.339575532925</t>
  </si>
  <si>
    <t>-659.859594720902 10.0619978473311 688.279364105882</t>
  </si>
  <si>
    <t>-503.302920854175 -29.9523800898414 757.794531913384</t>
  </si>
  <si>
    <t>9763-20170724T164153.423549800.bin</t>
  </si>
  <si>
    <t>-604.25874374357 86.1281287014421 -235.904359807592</t>
  </si>
  <si>
    <t>-626.290267511166 91.1745836903808 -354.887368658663</t>
  </si>
  <si>
    <t>-630.433986160571 82.0769452210377 -475.678986071908</t>
  </si>
  <si>
    <t>-626.73037404363 68.2388119576351 -584.25909566105</t>
  </si>
  <si>
    <t>-615.687900273808 48.9154536850049 -691.494952008902</t>
  </si>
  <si>
    <t>-592.732775690863 16.4579457744136 -838.530910466536</t>
  </si>
  <si>
    <t>-597.18937776262 61.5383076386069 -779.363177536277</t>
  </si>
  <si>
    <t>-567.615743788773 205.585317606269 -779.310128092885</t>
  </si>
  <si>
    <t>-443.545145694466 252.318527772333 -491.892915753578</t>
  </si>
  <si>
    <t>-236.252301196077 225.71977959272 -337.089139675527</t>
  </si>
  <si>
    <t>-608.590101396594 0.100503461597107 -767.58100862754</t>
  </si>
  <si>
    <t>-584.751576755402 181.561325805154 -235.009713972139</t>
  </si>
  <si>
    <t>-534.881629799995 228.221296565816 215.538248215712</t>
  </si>
  <si>
    <t>-629.156537937394 242.505542023127 675.454024302896</t>
  </si>
  <si>
    <t>-475.995029752579 228.02664884372 760.750139044874</t>
  </si>
  <si>
    <t>-630.193446961196 4.39550013727218 219.332008141281</t>
  </si>
  <si>
    <t>-659.846670129569 9.99472628667918 688.28730524486</t>
  </si>
  <si>
    <t>-503.132991356944 -29.4124566611182 757.795813868974</t>
  </si>
  <si>
    <t>9763-20170724T164153.492746300.bin</t>
  </si>
  <si>
    <t>-604.24433530582 86.2452177099405 -235.928614653299</t>
  </si>
  <si>
    <t>-626.287373816655 91.300415152438 -354.90911313126</t>
  </si>
  <si>
    <t>-630.552309453241 82.2250143696137 -475.698137423962</t>
  </si>
  <si>
    <t>-627.00402937401 68.4087370373141 -584.286181899909</t>
  </si>
  <si>
    <t>-616.162517644797 49.1063240915177 -691.54631710968</t>
  </si>
  <si>
    <t>-593.53391479786 16.6743360370129 -838.63856654084</t>
  </si>
  <si>
    <t>-597.8046759661 61.7362186029694 -779.44303205088</t>
  </si>
  <si>
    <t>-568.022505128892 205.74283476559 -779.366471097665</t>
  </si>
  <si>
    <t>-444.620606204496 250.939374392216 -491.416026873724</t>
  </si>
  <si>
    <t>-240.271950908375 220.799567391021 -333.380495431633</t>
  </si>
  <si>
    <t>-609.28810124088 0.31277423722463 -767.666510034164</t>
  </si>
  <si>
    <t>-584.647443651582 181.730763793819 -235.025614043037</t>
  </si>
  <si>
    <t>-535.005719359058 228.337358017709 215.553129733277</t>
  </si>
  <si>
    <t>-629.166727770222 242.555032796253 675.478914224881</t>
  </si>
  <si>
    <t>-476.018952130458 228.084407766344 760.801138741962</t>
  </si>
  <si>
    <t>-630.344041819418 4.36513718390644 219.318767993008</t>
  </si>
  <si>
    <t>-659.80380002329 9.98693996918234 688.299849627178</t>
  </si>
  <si>
    <t>-503.16806927112 -29.6951845865582 757.827585553944</t>
  </si>
  <si>
    <t>9763-20170724T164153.524829600.bin</t>
  </si>
  <si>
    <t>-604.197048774341 86.2258022850759 -235.939689662427</t>
  </si>
  <si>
    <t>-626.259410438092 91.2808854842845 -354.916577804789</t>
  </si>
  <si>
    <t>-630.61523197652 82.2276583921769 -475.704189439122</t>
  </si>
  <si>
    <t>-627.178681102416 68.437826258541 -584.299238622719</t>
  </si>
  <si>
    <t>-616.478533000556 49.1665680116097 -691.579142299071</t>
  </si>
  <si>
    <t>-594.076845151735 16.7807345829244 -838.716149943113</t>
  </si>
  <si>
    <t>-598.231503132404 61.8202950919693 -779.495414883276</t>
  </si>
  <si>
    <t>-568.355468130951 205.791542251734 -779.389625421045</t>
  </si>
  <si>
    <t>-445.202589815721 250.345932262566 -491.23250922196</t>
  </si>
  <si>
    <t>-241.63068618151 219.382356256972 -332.355792962216</t>
  </si>
  <si>
    <t>-609.746294697017 0.400640640669415 -767.729740943244</t>
  </si>
  <si>
    <t>-584.542926861606 181.746797678474 -235.04480800492</t>
  </si>
  <si>
    <t>-535.03426327023 228.331558423924 215.550847636706</t>
  </si>
  <si>
    <t>-629.167937811984 242.559807636466 675.473349426527</t>
  </si>
  <si>
    <t>-476.029488683752 228.146182651423 760.821903644925</t>
  </si>
  <si>
    <t>-630.423524150295 4.3218550110193 219.312094336294</t>
  </si>
  <si>
    <t>-659.798068838676 9.86433485987533 688.305124231367</t>
  </si>
  <si>
    <t>-503.263784964498 -30.1931739365586 757.84605191831</t>
  </si>
  <si>
    <t>9763-20170724T164153.590012200.bin</t>
  </si>
  <si>
    <t>-604.033046502867 86.2722296745921 -235.922178562051</t>
  </si>
  <si>
    <t>-626.11745821402 91.3226704751819 -354.895189451522</t>
  </si>
  <si>
    <t>-630.613454727706 82.3341522965837 -475.682415059952</t>
  </si>
  <si>
    <t>-627.35244027656 68.6272168231452 -584.293514147452</t>
  </si>
  <si>
    <t>-616.876174358468 49.460179853833 -691.614201393652</t>
  </si>
  <si>
    <t>-594.83474263456 17.2382915876216 -838.84158979765</t>
  </si>
  <si>
    <t>-598.816755855113 62.2076388991675 -779.555652235138</t>
  </si>
  <si>
    <t>-568.761542043232 206.147246551862 -779.43665761714</t>
  </si>
  <si>
    <t>-445.460985268653 251.364882408986 -491.446166361684</t>
  </si>
  <si>
    <t>-237.944601863124 225.541300486477 -336.810610587525</t>
  </si>
  <si>
    <t>-610.357993957818 0.783296193902373 -767.84037800481</t>
  </si>
  <si>
    <t>-584.392856264201 181.777229358762 -235.028985411112</t>
  </si>
  <si>
    <t>-535.082639456106 228.407444665221 215.58373547347</t>
  </si>
  <si>
    <t>-629.203766255003 242.550692038837 675.520290556741</t>
  </si>
  <si>
    <t>-476.058715379796 228.275439275018 760.880256768788</t>
  </si>
  <si>
    <t>-630.245600746617 4.3938464317992 219.326234571968</t>
  </si>
  <si>
    <t>-659.733144805997 10.0138133932664 688.303291956499</t>
  </si>
  <si>
    <t>-502.764412495431 -28.3904293809098 757.797499019923</t>
  </si>
  <si>
    <t>9763-20170724T164153.625119500.bin</t>
  </si>
  <si>
    <t>-604.035175610041 86.1375431211259 -235.887232340287</t>
  </si>
  <si>
    <t>-626.179249622405 91.2153243938227 -354.848012889758</t>
  </si>
  <si>
    <t>-630.757861354767 82.2481139953966 -475.633727155724</t>
  </si>
  <si>
    <t>-627.580906773044 68.5565707026026 -584.248984703878</t>
  </si>
  <si>
    <t>-617.197782569417 49.4002246815681 -691.58072917064</t>
  </si>
  <si>
    <t>-595.295472079515 17.187498269118 -838.830848574583</t>
  </si>
  <si>
    <t>-599.213742379423 62.1519736019496 -779.537000556919</t>
  </si>
  <si>
    <t>-569.116877317979 206.090893205963 -779.511935677341</t>
  </si>
  <si>
    <t>-444.958636572777 251.970720006152 -491.995091442406</t>
  </si>
  <si>
    <t>-236.477529218402 227.528287274672 -338.436300966661</t>
  </si>
  <si>
    <t>-610.759454696985 0.729282716871907 -767.817333970448</t>
  </si>
  <si>
    <t>-584.459911998762 181.676324768076 -234.978361079292</t>
  </si>
  <si>
    <t>-535.009087773763 228.379624888458 215.611412377982</t>
  </si>
  <si>
    <t>-629.217443346749 242.538193157049 675.52649538243</t>
  </si>
  <si>
    <t>-476.075298511665 228.335205837019 760.903672150711</t>
  </si>
  <si>
    <t>-630.144475819947 4.26643260081734 219.348292802342</t>
  </si>
  <si>
    <t>-659.732812252324 9.82048110832876 688.315666871551</t>
  </si>
  <si>
    <t>-503.21773084104 -30.2850012803991 757.872115243919</t>
  </si>
  <si>
    <t>9763-20170724T164153.691312400.bin</t>
  </si>
  <si>
    <t>-603.850355166919 86.0532616544697 -235.862981446332</t>
  </si>
  <si>
    <t>-625.993986538978 91.1624976863006 -354.822529353691</t>
  </si>
  <si>
    <t>-630.722694328504 82.1892665469377 -475.601996643736</t>
  </si>
  <si>
    <t>-627.740429403749 68.4773850255994 -584.220340150235</t>
  </si>
  <si>
    <t>-617.609025461968 49.2856332620749 -691.569670953339</t>
  </si>
  <si>
    <t>-596.113793797119 17.0077380854008 -838.865676586183</t>
  </si>
  <si>
    <t>-599.852652275231 61.9960878072244 -779.578313945259</t>
  </si>
  <si>
    <t>-569.73142624347 205.923379726526 -779.785716280589</t>
  </si>
  <si>
    <t>-444.067556166461 252.400062492732 -493.01990098351</t>
  </si>
  <si>
    <t>-233.992556587762 230.313852524016 -341.287183315197</t>
  </si>
  <si>
    <t>-611.396791388652 0.583360532744592 -767.805185854221</t>
  </si>
  <si>
    <t>-584.221772893134 181.474795297993 -234.926964221118</t>
  </si>
  <si>
    <t>-534.807216438186 228.32160769839 215.651837117712</t>
  </si>
  <si>
    <t>-629.223573746001 242.50993831269 675.528865530764</t>
  </si>
  <si>
    <t>-476.092759987794 228.476370980195 760.954420219916</t>
  </si>
  <si>
    <t>-629.894228943541 4.27659684655947 219.357138873805</t>
  </si>
  <si>
    <t>-659.687842486921 9.84566424507037 688.309059309881</t>
  </si>
  <si>
    <t>-503.089742415739 -29.9415861759978 757.861336570537</t>
  </si>
  <si>
    <t>9763-20170724T164153.724938000.bin</t>
  </si>
  <si>
    <t>-603.765842631332 86.0008154669495 -235.854268798137</t>
  </si>
  <si>
    <t>-625.918175255823 91.100521606689 -354.812669110686</t>
  </si>
  <si>
    <t>-630.68051310422 82.1110902542263 -475.589588350913</t>
  </si>
  <si>
    <t>-627.738163833807 68.3823202582833 -584.206857907552</t>
  </si>
  <si>
    <t>-617.655872037732 49.1716325783301 -691.557431415521</t>
  </si>
  <si>
    <t>-596.237879492945 16.8654654472355 -838.858478441267</t>
  </si>
  <si>
    <t>-599.936167293245 61.8637205755217 -779.576074144493</t>
  </si>
  <si>
    <t>-569.792149203513 205.78384371423 -779.900292167219</t>
  </si>
  <si>
    <t>-443.496487668208 253.091541783501 -493.548148688374</t>
  </si>
  <si>
    <t>-233.097975835915 231.460620926251 -342.198895276274</t>
  </si>
  <si>
    <t>-611.493180026882 0.456164437575808 -767.788571622831</t>
  </si>
  <si>
    <t>-584.123161817334 181.459780111146 -234.934136451496</t>
  </si>
  <si>
    <t>-534.728002531755 228.269158417973 215.650716133614</t>
  </si>
  <si>
    <t>-629.22078755122 242.538322285684 675.516666593099</t>
  </si>
  <si>
    <t>-476.111443257595 228.475383175607 760.97594051624</t>
  </si>
  <si>
    <t>-629.809673479827 4.23053948927287 219.374674371726</t>
  </si>
  <si>
    <t>-659.677875285461 9.77212123679968 688.316248892701</t>
  </si>
  <si>
    <t>-503.295563497894 -30.7978422927196 757.90178141248</t>
  </si>
  <si>
    <t>9763-20170724T164153.791118500.bin</t>
  </si>
  <si>
    <t>-603.672277620525 85.7781684938972 -235.904274242589</t>
  </si>
  <si>
    <t>-625.89997610565 90.8441818986243 -354.84993280311</t>
  </si>
  <si>
    <t>-630.789285597533 81.7730543346068 -475.615778070633</t>
  </si>
  <si>
    <t>-627.980004383205 67.9533688545506 -584.224956640471</t>
  </si>
  <si>
    <t>-618.047127075811 48.6363342291181 -691.570401057842</t>
  </si>
  <si>
    <t>-596.852195097049 16.1674769167086 -838.86786830599</t>
  </si>
  <si>
    <t>-600.446801882786 61.2290284822627 -779.627164253022</t>
  </si>
  <si>
    <t>-570.357944610789 205.170612915028 -780.240281171234</t>
  </si>
  <si>
    <t>-443.024331133023 253.892845880084 -494.58572756846</t>
  </si>
  <si>
    <t>-232.75001914472 232.877215968901 -342.977378916419</t>
  </si>
  <si>
    <t>-583.953191893958 181.178151949167 -235.028501761125</t>
  </si>
  <si>
    <t>-534.74756201503 228.099981732553 215.565298780666</t>
  </si>
  <si>
    <t>-629.192105524416 242.586349571956 675.450010813358</t>
  </si>
  <si>
    <t>-476.135758705336 228.484008944049 760.997648197806</t>
  </si>
  <si>
    <t>-629.719664258879 4.15779076086309 219.385950933364</t>
  </si>
  <si>
    <t>-659.626392484537 9.84860432385162 688.320639155327</t>
  </si>
  <si>
    <t>-503.163179094705 -30.4164710588549 757.901550749868</t>
  </si>
  <si>
    <t>9763-20170724T164153.823707400.bin</t>
  </si>
  <si>
    <t>-603.726862032608 85.5722292762453 -235.900516207462</t>
  </si>
  <si>
    <t>-625.927152658164 90.5984703458186 -354.853125862143</t>
  </si>
  <si>
    <t>-630.847348038429 81.4707272121415 -475.613333079092</t>
  </si>
  <si>
    <t>-628.089522923211 67.5932302681444 -584.21661435443</t>
  </si>
  <si>
    <t>-618.231327533036 48.2117999698464 -691.557266254289</t>
  </si>
  <si>
    <t>-597.163988225054 15.6463356593588 -838.851704324274</t>
  </si>
  <si>
    <t>-600.695879420159 60.7449836380136 -779.635479017574</t>
  </si>
  <si>
    <t>-570.575062182333 204.672037131598 -780.412347629944</t>
  </si>
  <si>
    <t>-442.885112278114 253.534138558308 -494.940925809358</t>
  </si>
  <si>
    <t>-232.982456084693 232.508830628781 -342.819633380887</t>
  </si>
  <si>
    <t>-584.027238159646 181.005522302349 -235.066357344164</t>
  </si>
  <si>
    <t>-534.918801160091 228.024378930934 215.527981993743</t>
  </si>
  <si>
    <t>-629.19707978853 242.602792708165 675.441192350507</t>
  </si>
  <si>
    <t>-476.153282918446 228.514164204962 761.01358738504</t>
  </si>
  <si>
    <t>-629.724926808995 3.99899819027618 219.397830891034</t>
  </si>
  <si>
    <t>-659.640308442473 9.67092602477203 688.326356382362</t>
  </si>
  <si>
    <t>-503.423710768397 -31.4882175801379 757.938207879863</t>
  </si>
  <si>
    <t>9763-20170724T164153.889385500.bin</t>
  </si>
  <si>
    <t>-603.918715842415 85.2330998197773 -235.920294001396</t>
  </si>
  <si>
    <t>-626.230425150435 90.2112534356249 -354.8539689288</t>
  </si>
  <si>
    <t>-631.328575751656 80.9820718581931 -475.599006011664</t>
  </si>
  <si>
    <t>-628.757943144167 66.990425881145 -584.192226600168</t>
  </si>
  <si>
    <t>-619.112998241226 47.471924155769 -691.527578935707</t>
  </si>
  <si>
    <t>-598.368645879241 14.6915701928833 -838.820146849896</t>
  </si>
  <si>
    <t>-601.756506891676 59.8743628817207 -779.659758755167</t>
  </si>
  <si>
    <t>-571.600931390986 203.795850832584 -780.732529176729</t>
  </si>
  <si>
    <t>-443.77103102836 252.017603661744 -495.21481053285</t>
  </si>
  <si>
    <t>-236.226416485685 228.59705776702 -340.23497372383</t>
  </si>
  <si>
    <t>-584.290381863232 180.579609717984 -235.121906397951</t>
  </si>
  <si>
    <t>-535.274332255084 227.867474520381 215.454310181184</t>
  </si>
  <si>
    <t>-629.233574538153 242.676620382788 675.462085155529</t>
  </si>
  <si>
    <t>-476.181746915868 228.55587769528 761.014724390345</t>
  </si>
  <si>
    <t>-629.648887689796 3.78696654946577 219.424908468806</t>
  </si>
  <si>
    <t>-659.608498368472 9.69570279014971 688.332619960978</t>
  </si>
  <si>
    <t>-503.196739479851 -30.7679261062253 757.914029393049</t>
  </si>
  <si>
    <t>9763-20170724T164153.925841500.bin</t>
  </si>
  <si>
    <t>-604.057072576357 85.1078138429125 -235.888514550549</t>
  </si>
  <si>
    <t>-626.409806642219 90.0745397691163 -354.81491775339</t>
  </si>
  <si>
    <t>-631.586538773652 80.8071595915757 -475.553955048713</t>
  </si>
  <si>
    <t>-629.102803767187 66.768800291622 -584.142998844403</t>
  </si>
  <si>
    <t>-619.560784358511 47.1903517877398 -691.476467985102</t>
  </si>
  <si>
    <t>-598.976455551902 14.3121211951704 -838.76985193865</t>
  </si>
  <si>
    <t>-602.292361050694 59.5330600124375 -779.634413263025</t>
  </si>
  <si>
    <t>-572.114637907733 203.438511816518 -780.802989585511</t>
  </si>
  <si>
    <t>-444.199277474148 251.253699219603 -495.25511754916</t>
  </si>
  <si>
    <t>-236.802494964986 227.568919567844 -340.117535927482</t>
  </si>
  <si>
    <t>-584.48768381871 180.492969907752 -235.096341562691</t>
  </si>
  <si>
    <t>-535.455917001794 227.871803020056 215.468674581123</t>
  </si>
  <si>
    <t>-629.302597454954 242.707896306644 675.520631711465</t>
  </si>
  <si>
    <t>-476.212835929878 228.580399085023 761.004253973635</t>
  </si>
  <si>
    <t>-629.641849324883 3.68334021061733 219.446191448644</t>
  </si>
  <si>
    <t>-659.594143557132 9.75255633143125 688.335388604612</t>
  </si>
  <si>
    <t>-503.087632648062 -30.3951765054109 757.886604459083</t>
  </si>
  <si>
    <t>9763-20170724T164153.992524200.bin</t>
  </si>
  <si>
    <t>-604.581163806594 84.9327870695692 -235.805204678392</t>
  </si>
  <si>
    <t>-627.018123852543 89.9074065817293 -354.715539770264</t>
  </si>
  <si>
    <t>-632.345115105271 80.6096109226325 -475.445529601506</t>
  </si>
  <si>
    <t>-630.025763295589 66.5242819205468 -584.032203509722</t>
  </si>
  <si>
    <t>-620.677704355377 46.8767957666066 -691.370161032443</t>
  </si>
  <si>
    <t>-600.394447126422 13.877325690884 -838.678044561035</t>
  </si>
  <si>
    <t>-603.561001050361 59.1424988714615 -779.568453443415</t>
  </si>
  <si>
    <t>-573.188162651652 203.021594122556 -780.929286059976</t>
  </si>
  <si>
    <t>-445.210588759195 250.383027715659 -495.333657176016</t>
  </si>
  <si>
    <t>-241.429213197246 222.269071544799 -336.195872805573</t>
  </si>
  <si>
    <t>-585.231749523528 180.383069086429 -234.963255341043</t>
  </si>
  <si>
    <t>-535.470393754115 227.999980864782 215.496657711084</t>
  </si>
  <si>
    <t>-629.43541694701 242.753349108701 675.588659529805</t>
  </si>
  <si>
    <t>-476.266377501099 228.565680646958 760.920170805908</t>
  </si>
  <si>
    <t>-629.906906813819 3.42023896120283 219.489977762706</t>
  </si>
  <si>
    <t>-659.599097796638 9.66209972839758 688.357502220421</t>
  </si>
  <si>
    <t>-503.04873221786 -30.3809458757388 757.870426949564</t>
  </si>
  <si>
    <t>9763-20170724T164154.025870100.bin</t>
  </si>
  <si>
    <t>-604.80744253423 84.872608407899 -235.761679211021</t>
  </si>
  <si>
    <t>-627.32786605627 89.8592722662817 -354.655646530861</t>
  </si>
  <si>
    <t>-632.755141261356 80.5054441638317 -475.376854519622</t>
  </si>
  <si>
    <t>-630.534696225026 66.339214857145 -583.955042896164</t>
  </si>
  <si>
    <t>-621.29491953153 46.5793074309833 -691.281829433512</t>
  </si>
  <si>
    <t>-601.173120547531 13.3896372317486 -838.569164788903</t>
  </si>
  <si>
    <t>-604.23690684419 58.7251845107007 -779.508012562979</t>
  </si>
  <si>
    <t>-573.802984590814 202.583461242169 -781.046290062534</t>
  </si>
  <si>
    <t>-445.75917030018 249.769971490327 -495.451515684172</t>
  </si>
  <si>
    <t>-244.384138181311 218.764044342593 -333.807549733541</t>
  </si>
  <si>
    <t>-585.499392565639 180.434720445656 -234.898716458013</t>
  </si>
  <si>
    <t>-535.408341140655 228.112326721407 215.518137959105</t>
  </si>
  <si>
    <t>-629.512452501056 242.749015231563 675.603766894256</t>
  </si>
  <si>
    <t>-476.290916755352 228.597161857102 760.846897592861</t>
  </si>
  <si>
    <t>-630.011252495045 3.27891545590877 219.517539222076</t>
  </si>
  <si>
    <t>-659.607549394548 9.57036154537302 688.378379518112</t>
  </si>
  <si>
    <t>-503.171994844608 -30.9246028694817 757.887992554235</t>
  </si>
  <si>
    <t>9763-20170724T164154.086544900.bin</t>
  </si>
  <si>
    <t>-605.166973935006 84.7011633252372 -235.663008473051</t>
  </si>
  <si>
    <t>-627.80407408625 89.7670304917918 -354.531434657835</t>
  </si>
  <si>
    <t>-633.427817924741 80.3470233127215 -475.238541635045</t>
  </si>
  <si>
    <t>-631.419897196378 66.0568829051309 -583.804568405987</t>
  </si>
  <si>
    <t>-622.429374843776 46.1062810449143 -691.117257020132</t>
  </si>
  <si>
    <t>-602.693878743273 12.579787402273 -838.380672131182</t>
  </si>
  <si>
    <t>-605.520883065043 58.037430526619 -779.401517174269</t>
  </si>
  <si>
    <t>-574.81909055824 201.832199933993 -781.260021593899</t>
  </si>
  <si>
    <t>-446.447747122913 248.210579627257 -495.679811522699</t>
  </si>
  <si>
    <t>-249.538383747751 211.495354052016 -329.786034259606</t>
  </si>
  <si>
    <t>-585.959558387645 180.383676598265 -234.737828169031</t>
  </si>
  <si>
    <t>-534.961875982398 228.221165864667 215.560360030025</t>
  </si>
  <si>
    <t>-629.631129899682 242.726562544013 675.549692758883</t>
  </si>
  <si>
    <t>-476.331271449945 228.647815192116 760.664099113503</t>
  </si>
  <si>
    <t>-630.187961325679 3.15254212733612 219.549524613879</t>
  </si>
  <si>
    <t>-659.577782295267 9.73170757665785 688.400517150286</t>
  </si>
  <si>
    <t>-502.796387645561 -29.5332557392644 757.836658168744</t>
  </si>
  <si>
    <t>9763-20170724T164154.124148700.bin</t>
  </si>
  <si>
    <t>-605.120201064747 84.5383827778413 -235.659325008046</t>
  </si>
  <si>
    <t>-627.795584836947 89.6354512465081 -354.519233385517</t>
  </si>
  <si>
    <t>-633.491567401222 80.1924600586492 -475.221055811389</t>
  </si>
  <si>
    <t>-631.564491201294 65.8568367803507 -583.782780793452</t>
  </si>
  <si>
    <t>-622.671248628046 45.8347997782689 -691.090081959284</t>
  </si>
  <si>
    <t>-603.088987054384 12.1805667243128 -838.344779913036</t>
  </si>
  <si>
    <t>-605.803875273754 57.6812320989505 -779.393685077692</t>
  </si>
  <si>
    <t>-574.881270944254 201.416689385484 -781.34092955224</t>
  </si>
  <si>
    <t>-446.530618600886 247.385937131267 -495.68525265536</t>
  </si>
  <si>
    <t>-249.26386824314 211.009562666356 -330.141635886822</t>
  </si>
  <si>
    <t>-585.839787887582 180.150980803617 -234.715684013596</t>
  </si>
  <si>
    <t>-534.618566466728 228.134926752441 215.541550007056</t>
  </si>
  <si>
    <t>-629.648776087197 242.697086879499 675.45038219673</t>
  </si>
  <si>
    <t>-476.344152870836 228.658564199121 760.562868817059</t>
  </si>
  <si>
    <t>-630.09931783585 3.06784519601075 219.549716641177</t>
  </si>
  <si>
    <t>-659.565511256675 9.7842680443532 688.403913952524</t>
  </si>
  <si>
    <t>-502.824196149216 -29.6478137735077 757.835691961212</t>
  </si>
  <si>
    <t>9763-20170724T164154.189824700.bin</t>
  </si>
  <si>
    <t>-604.924136722292 84.2207696601191 -235.688601091482</t>
  </si>
  <si>
    <t>-627.652561832492 89.3263174644692 -354.537943847832</t>
  </si>
  <si>
    <t>-633.490997848499 79.8465705787025 -475.230225874601</t>
  </si>
  <si>
    <t>-631.728610899156 65.4579405972815 -583.787590181014</t>
  </si>
  <si>
    <t>-623.03553892238 45.3624350200665 -691.097588389042</t>
  </si>
  <si>
    <t>-603.768040133597 11.5841475327841 -838.365383525869</t>
  </si>
  <si>
    <t>-606.279819011475 57.1220387480278 -779.434023990458</t>
  </si>
  <si>
    <t>-574.943106303798 200.784829824761 -781.416568009994</t>
  </si>
  <si>
    <t>-447.192236176228 245.297809534119 -495.261964544073</t>
  </si>
  <si>
    <t>-249.725876287243 209.39963845651 -329.852091278626</t>
  </si>
  <si>
    <t>-585.534853154636 179.846783500437 -234.79771990919</t>
  </si>
  <si>
    <t>-534.25827905111 227.999048380655 215.435327013002</t>
  </si>
  <si>
    <t>-629.654998378656 242.702591065676 675.250546328376</t>
  </si>
  <si>
    <t>-476.376316476733 228.621036975092 760.40252432802</t>
  </si>
  <si>
    <t>-629.946898192271 2.9790993551255 219.555781880324</t>
  </si>
  <si>
    <t>-659.548562120043 9.82626874415595 688.399974935925</t>
  </si>
  <si>
    <t>-502.742575349521 -29.3882696380925 757.809115977082</t>
  </si>
  <si>
    <t>9763-20170724T164154.229432400.bin</t>
  </si>
  <si>
    <t>-604.835783171536 84.0369989160243 -235.730881898571</t>
  </si>
  <si>
    <t>-627.582280571642 89.1542252030851 -354.576273917658</t>
  </si>
  <si>
    <t>-633.466029471287 79.6397972110792 -475.263560153318</t>
  </si>
  <si>
    <t>-631.756275186942 65.1998926990939 -583.815023452909</t>
  </si>
  <si>
    <t>-623.128019729979 45.0329933942523 -691.116859773298</t>
  </si>
  <si>
    <t>-603.963572662308 11.1340145043907 -838.37028809002</t>
  </si>
  <si>
    <t>-606.384998101728 56.7121947082261 -779.466405872132</t>
  </si>
  <si>
    <t>-574.811618748392 200.319152018236 -781.476138657793</t>
  </si>
  <si>
    <t>-447.3068858521 243.977561471572 -495.080088291036</t>
  </si>
  <si>
    <t>-249.488944948386 208.908986655241 -329.912659643546</t>
  </si>
  <si>
    <t>-585.411401679352 179.686611482561 -234.85750350064</t>
  </si>
  <si>
    <t>-534.157647609098 227.886944477757 215.372968100484</t>
  </si>
  <si>
    <t>-629.650028413354 242.717361474418 675.165126727036</t>
  </si>
  <si>
    <t>-476.388471502038 228.590671756857 760.340505495798</t>
  </si>
  <si>
    <t>-629.944061686439 2.8394989568509 219.545162067351</t>
  </si>
  <si>
    <t>-659.55642805976 9.73724569829626 688.395611440683</t>
  </si>
  <si>
    <t>-502.869822428181 -29.9342128163441 757.814454231666</t>
  </si>
  <si>
    <t>9763-20170724T164154.293118900.bin</t>
  </si>
  <si>
    <t>-604.701505431365 83.6740437347976 -235.787193032609</t>
  </si>
  <si>
    <t>-627.341494684427 88.7470851301798 -354.654777045076</t>
  </si>
  <si>
    <t>-633.213319449347 79.1428197127179 -475.335521744615</t>
  </si>
  <si>
    <t>-631.533622957518 64.6014218175561 -583.873926942658</t>
  </si>
  <si>
    <t>-622.977008705353 44.311675793493 -691.158409409953</t>
  </si>
  <si>
    <t>-603.956111472883 10.2186463573008 -838.385712262434</t>
  </si>
  <si>
    <t>-606.231819923587 55.8598709093829 -779.524626431947</t>
  </si>
  <si>
    <t>-574.150701142379 199.359251196193 -781.582707974387</t>
  </si>
  <si>
    <t>-447.043767126428 242.619645564424 -494.949590617896</t>
  </si>
  <si>
    <t>-250.056699575973 206.388198884734 -329.041748250167</t>
  </si>
  <si>
    <t>-585.136681775731 179.281185563183 -234.999180060545</t>
  </si>
  <si>
    <t>-534.21259323454 227.661118549007 215.249300562382</t>
  </si>
  <si>
    <t>-629.650485219916 242.710844286095 675.044434076455</t>
  </si>
  <si>
    <t>-476.40528734592 228.574907612461 760.247749699051</t>
  </si>
  <si>
    <t>-629.976803101491 2.56627761954492 219.52499658373</t>
  </si>
  <si>
    <t>-659.580360015629 9.5830341719775 688.38645930939</t>
  </si>
  <si>
    <t>-503.028702269906 -30.6121625178733 757.808548013316</t>
  </si>
  <si>
    <t>9763-20170724T164154.324383000.bin</t>
  </si>
  <si>
    <t>-604.615189593234 83.5036987743482 -235.817329002332</t>
  </si>
  <si>
    <t>-627.304237399603 88.5835237993713 -354.675178253075</t>
  </si>
  <si>
    <t>-633.194224750518 78.9126507701821 -475.349874652175</t>
  </si>
  <si>
    <t>-631.518250608047 64.2816974334243 -583.876189043496</t>
  </si>
  <si>
    <t>-622.953142045705 43.8738274525994 -691.137680403125</t>
  </si>
  <si>
    <t>-603.908510590901 9.58800420402839 -838.317120848665</t>
  </si>
  <si>
    <t>-606.17352233495 55.3028965679168 -779.512822159467</t>
  </si>
  <si>
    <t>-574.036455457064 198.779963525691 -781.64953244193</t>
  </si>
  <si>
    <t>-446.909865272526 242.079077316533 -495.031120531216</t>
  </si>
  <si>
    <t>-250.330675260874 205.015305245848 -328.823451716375</t>
  </si>
  <si>
    <t>-585.020341423003 179.17200563458 -235.021350754915</t>
  </si>
  <si>
    <t>-534.195524681257 227.578051710307 215.235642616481</t>
  </si>
  <si>
    <t>-629.676362970086 242.717871256235 675.02079162413</t>
  </si>
  <si>
    <t>-476.424003086234 228.560762978575 760.207614015251</t>
  </si>
  <si>
    <t>-629.953137526728 2.42941345701289 219.517980675636</t>
  </si>
  <si>
    <t>-659.577548218684 9.64127983399706 688.374958479711</t>
  </si>
  <si>
    <t>-502.948951806457 -30.2908080226032 757.775398756534</t>
  </si>
  <si>
    <t>9763-20170724T164154.389566000.bin</t>
  </si>
  <si>
    <t>-604.550875107163 83.2497763597027 -235.823518539756</t>
  </si>
  <si>
    <t>-627.182888788477 88.3115580093348 -354.692939080618</t>
  </si>
  <si>
    <t>-632.959487159796 78.5442096642914 -475.365210418155</t>
  </si>
  <si>
    <t>-631.158795410152 63.7961923977477 -583.873842521045</t>
  </si>
  <si>
    <t>-622.447571747138 43.242987225914 -691.095716501234</t>
  </si>
  <si>
    <t>-603.178741694044 8.72739519285659 -838.192221570765</t>
  </si>
  <si>
    <t>-605.55280140782 54.5373072511306 -779.466338593542</t>
  </si>
  <si>
    <t>-573.41671893243 198.013944837564 -781.701359829585</t>
  </si>
  <si>
    <t>-446.475475926786 241.529581026025 -495.033373479519</t>
  </si>
  <si>
    <t>-251.3420747486 201.817073659116 -327.737595179071</t>
  </si>
  <si>
    <t>-584.988531016139 178.968910523201 -235.00498072087</t>
  </si>
  <si>
    <t>-534.129210192569 227.624673956458 215.221190967706</t>
  </si>
  <si>
    <t>-629.771020862761 242.705391286055 675.012934112812</t>
  </si>
  <si>
    <t>-476.45596425879 228.601133587992 760.095750977386</t>
  </si>
  <si>
    <t>-629.949448691468 2.20599021001958 219.506750485898</t>
  </si>
  <si>
    <t>-659.593185870934 9.61111875316632 688.364045989631</t>
  </si>
  <si>
    <t>-502.893977663763 -30.1301902508552 757.714598177042</t>
  </si>
  <si>
    <t>9763-20170724T164154.424672200.bin</t>
  </si>
  <si>
    <t>-604.518595745454 83.1651067281224 -235.761611089852</t>
  </si>
  <si>
    <t>-627.090953073617 88.2250674093089 -354.642601848088</t>
  </si>
  <si>
    <t>-632.800117512223 78.4421408101197 -475.316727013655</t>
  </si>
  <si>
    <t>-630.935496131857 63.6752176206182 -583.821755470007</t>
  </si>
  <si>
    <t>-622.157666190214 43.0988157469709 -691.033661164727</t>
  </si>
  <si>
    <t>-602.793685695905 8.54698139333934 -838.109269670142</t>
  </si>
  <si>
    <t>-605.235385122565 54.3762748654765 -779.401167503369</t>
  </si>
  <si>
    <t>-573.181125625336 197.862596788157 -781.639552934564</t>
  </si>
  <si>
    <t>-446.18529709438 241.425606123445 -495.003098631093</t>
  </si>
  <si>
    <t>-250.870038077893 202.1948772152 -327.805831371828</t>
  </si>
  <si>
    <t>-585.04094297824 178.928114129234 -234.919803285914</t>
  </si>
  <si>
    <t>-534.039121217479 227.763314378193 215.270800759626</t>
  </si>
  <si>
    <t>-629.855900613325 242.691241764309 675.043346751022</t>
  </si>
  <si>
    <t>-476.475945237782 228.648604267129 760.019305071936</t>
  </si>
  <si>
    <t>-630.025476245798 2.0989792905944 219.52020558734</t>
  </si>
  <si>
    <t>-659.590998836212 9.63967157498178 688.365624519158</t>
  </si>
  <si>
    <t>-502.857417762716 -30.000267007128 757.696449408044</t>
  </si>
  <si>
    <t>9763-20170724T164154.489345000.bin</t>
  </si>
  <si>
    <t>-604.432651113374 83.1754582208333 -235.732672175698</t>
  </si>
  <si>
    <t>-627.039769574752 88.2515956091398 -354.60630651089</t>
  </si>
  <si>
    <t>-632.656762466771 78.5104386080123 -475.28821532038</t>
  </si>
  <si>
    <t>-630.657380506487 63.7925979920931 -583.797440323064</t>
  </si>
  <si>
    <t>-621.694046352709 43.2770720911333 -691.005706901405</t>
  </si>
  <si>
    <t>-602.020498189728 8.82314400088438 -838.063122018434</t>
  </si>
  <si>
    <t>-604.669335546966 54.6270146633777 -779.344228964308</t>
  </si>
  <si>
    <t>-572.824007888747 198.168432148212 -781.461197608245</t>
  </si>
  <si>
    <t>-446.061113540327 241.482866367128 -494.683956059503</t>
  </si>
  <si>
    <t>-249.929034146327 204.23793828721 -327.98938746542</t>
  </si>
  <si>
    <t>-585.208607227372 178.98515030022 -234.850214502551</t>
  </si>
  <si>
    <t>-533.963203383122 228.049031276794 215.287930696339</t>
  </si>
  <si>
    <t>-629.977854434143 242.601518567001 675.036457805665</t>
  </si>
  <si>
    <t>-476.499534220641 228.77532335883 759.870101538775</t>
  </si>
  <si>
    <t>-629.992872522606 2.06458167569028 219.515018807752</t>
  </si>
  <si>
    <t>-659.585697338195 9.7016033868013 688.359467767224</t>
  </si>
  <si>
    <t>-502.685411766135 -29.3625058498075 757.640120850194</t>
  </si>
  <si>
    <t>9763-20170724T164154.521727200.bin</t>
  </si>
  <si>
    <t>-604.219433836229 83.1797023793858 -235.740775940293</t>
  </si>
  <si>
    <t>-626.801735501874 88.2445298402405 -354.619705310174</t>
  </si>
  <si>
    <t>-632.361348969372 78.5152306234962 -475.305252566392</t>
  </si>
  <si>
    <t>-630.294847810286 63.8208074893533 -583.816294922193</t>
  </si>
  <si>
    <t>-621.248067585124 43.3430847995056 -691.024856919253</t>
  </si>
  <si>
    <t>-601.440304730884 8.9581892529493 -838.080460929269</t>
  </si>
  <si>
    <t>-604.202791873015 54.7441879341744 -779.352761853775</t>
  </si>
  <si>
    <t>-572.528372795909 198.329470330081 -781.375270578049</t>
  </si>
  <si>
    <t>-445.869148152959 241.309938041467 -494.501948693993</t>
  </si>
  <si>
    <t>-249.061076414103 205.468403281621 -328.297049090443</t>
  </si>
  <si>
    <t>-585.017318266377 178.954314101121 -234.862926887619</t>
  </si>
  <si>
    <t>-533.814166320272 228.083078475159 215.272911489581</t>
  </si>
  <si>
    <t>-629.986662857935 242.563491988968 674.968424825687</t>
  </si>
  <si>
    <t>-476.504673797268 228.799303731761 759.805514333541</t>
  </si>
  <si>
    <t>-629.852505112298 2.1052260210751 219.504051286314</t>
  </si>
  <si>
    <t>-659.572140746625 9.74461885512376 688.353889076627</t>
  </si>
  <si>
    <t>-502.701165087467 -29.4347989999938 757.635786817805</t>
  </si>
  <si>
    <t>9763-20170724T164154.592917100.bin</t>
  </si>
  <si>
    <t>-603.434380466572 83.1349456649816 -235.798393417281</t>
  </si>
  <si>
    <t>-625.974798395001 88.1267263051782 -354.688365922489</t>
  </si>
  <si>
    <t>-631.439886964836 78.3930394270593 -475.377964268523</t>
  </si>
  <si>
    <t>-629.265235278439 63.7256485153048 -583.89051324016</t>
  </si>
  <si>
    <t>-620.086670987401 43.3072137610327 -691.099140571612</t>
  </si>
  <si>
    <t>-600.070613185263 9.03981856335679 -838.153895061777</t>
  </si>
  <si>
    <t>-603.013187299149 54.7943382845612 -779.410582149172</t>
  </si>
  <si>
    <t>-571.748623073067 198.465493110061 -781.292820010036</t>
  </si>
  <si>
    <t>-445.00257406927 241.571395809974 -494.476665853559</t>
  </si>
  <si>
    <t>-246.15090223189 209.603621472321 -329.92224282113</t>
  </si>
  <si>
    <t>-584.291682218395 178.881737154931 -234.970204740078</t>
  </si>
  <si>
    <t>-533.546805687979 228.074068388133 215.210640398418</t>
  </si>
  <si>
    <t>-629.945525850878 242.504469053502 674.8054233381</t>
  </si>
  <si>
    <t>-476.498258728327 228.919317374721 759.73423483584</t>
  </si>
  <si>
    <t>-629.391392082097 2.13553987989427 219.476874518105</t>
  </si>
  <si>
    <t>-659.552450221334 9.66625852603079 688.338856258912</t>
  </si>
  <si>
    <t>-503.014359812857 -30.7343904324584 757.672227181562</t>
  </si>
  <si>
    <t>9763-20170724T164154.621999200.bin</t>
  </si>
  <si>
    <t>-602.937091963859 83.2069545064423 -235.838542964072</t>
  </si>
  <si>
    <t>-625.448378356612 88.1564530482606 -354.735832067576</t>
  </si>
  <si>
    <t>-630.86922765694 78.4134289125282 -475.426503937956</t>
  </si>
  <si>
    <t>-628.648327750538 63.7518104030908 -583.938977136713</t>
  </si>
  <si>
    <t>-619.417354604843 43.3536851789858 -691.146999216059</t>
  </si>
  <si>
    <t>-599.321734094114 9.12972352001825 -838.201073430069</t>
  </si>
  <si>
    <t>-602.341183006124 54.8739439274223 -779.453601080929</t>
  </si>
  <si>
    <t>-571.234060793655 198.592305590508 -781.307664624682</t>
  </si>
  <si>
    <t>-444.175425233207 242.2665376205 -494.715829022481</t>
  </si>
  <si>
    <t>-244.209348112944 212.163737033001 -331.163332518566</t>
  </si>
  <si>
    <t>-583.90168678125 178.922204459473 -235.029660528735</t>
  </si>
  <si>
    <t>-533.526243530714 228.109188930844 215.193180985094</t>
  </si>
  <si>
    <t>-629.923794553438 242.479509020976 674.760440473157</t>
  </si>
  <si>
    <t>-476.491519474969 229.021623904346 759.736499794575</t>
  </si>
  <si>
    <t>-629.031106540973 2.32100029786601 219.461590467801</t>
  </si>
  <si>
    <t>-659.518342417663 9.75857471658121 688.320031252469</t>
  </si>
  <si>
    <t>-502.795206799066 -29.9413468010661 757.640047333594</t>
  </si>
  <si>
    <t>9763-20170724T164154.692691100.bin</t>
  </si>
  <si>
    <t>-602.021971249369 83.3914927487049 -235.934221307</t>
  </si>
  <si>
    <t>-624.442091383024 88.25463504551 -354.852197915106</t>
  </si>
  <si>
    <t>-629.763031057434 78.4580093137316 -475.543097443683</t>
  </si>
  <si>
    <t>-627.448943470666 63.7627045298287 -584.049085270075</t>
  </si>
  <si>
    <t>-618.122035568441 43.3459129425278 -691.245097759087</t>
  </si>
  <si>
    <t>-597.890256023768 9.11203726757064 -838.278151821983</t>
  </si>
  <si>
    <t>-601.036533953828 54.8714166123246 -779.549221330122</t>
  </si>
  <si>
    <t>-570.336867148184 198.670929661796 -781.45187467363</t>
  </si>
  <si>
    <t>-442.521454711617 243.72331757317 -495.410317366121</t>
  </si>
  <si>
    <t>-241.052116283545 216.506868730265 -333.202377978648</t>
  </si>
  <si>
    <t>-583.186133923317 178.952749950549 -235.163173184043</t>
  </si>
  <si>
    <t>-533.735235164744 228.224099285581 215.152960151328</t>
  </si>
  <si>
    <t>-629.868520063171 242.443306955599 674.7321769646</t>
  </si>
  <si>
    <t>-476.471212845319 229.241159029133 759.811461820326</t>
  </si>
  <si>
    <t>-628.377895868666 2.57609673085098 219.423680067264</t>
  </si>
  <si>
    <t>-659.491603413608 9.61288314909424 688.280180352588</t>
  </si>
  <si>
    <t>-502.940664046272 -30.6681282669879 757.654212719586</t>
  </si>
  <si>
    <t>9763-20170724T164154.721122300.bin</t>
  </si>
  <si>
    <t>-601.554879817438 83.4979252773574 -235.957295051509</t>
  </si>
  <si>
    <t>-623.876835149925 88.3228581610973 -354.895240910725</t>
  </si>
  <si>
    <t>-629.125536550935 78.4993807557076 -475.587153846911</t>
  </si>
  <si>
    <t>-626.75603248955 63.786365875688 -584.089636292239</t>
  </si>
  <si>
    <t>-617.383111804434 43.359245137089 -691.279795736177</t>
  </si>
  <si>
    <t>-597.096561695627 9.11954203188367 -838.303869415915</t>
  </si>
  <si>
    <t>-600.293467048953 54.8856922410708 -779.582865298543</t>
  </si>
  <si>
    <t>-569.752474356102 198.713265219764 -781.524277853803</t>
  </si>
  <si>
    <t>-441.764754326706 244.111154414108 -495.614469761735</t>
  </si>
  <si>
    <t>-240.23033855224 217.056523740804 -333.460283147362</t>
  </si>
  <si>
    <t>-582.671982827119 178.914035494614 -235.218008861046</t>
  </si>
  <si>
    <t>-533.760388597318 228.312093869356 215.143138251566</t>
  </si>
  <si>
    <t>-629.828018761522 242.441789719845 674.719099941844</t>
  </si>
  <si>
    <t>-476.460902931192 229.351844755022 759.870114332453</t>
  </si>
  <si>
    <t>-628.122963325511 2.75253928149027 219.407349120916</t>
  </si>
  <si>
    <t>-659.449558808802 9.7268525094134 688.26101522867</t>
  </si>
  <si>
    <t>-502.725989140231 -29.886041645756 757.62998624651</t>
  </si>
  <si>
    <t>9763-20170724T164154.789810700.bin</t>
  </si>
  <si>
    <t>-600.688397466184 83.89033034073 -236.041686598076</t>
  </si>
  <si>
    <t>-622.935216645555 88.6558055569371 -354.996262324476</t>
  </si>
  <si>
    <t>-628.085959116632 78.7841524730988 -475.688345034166</t>
  </si>
  <si>
    <t>-625.616508977054 64.0364217536243 -584.183697860234</t>
  </si>
  <si>
    <t>-616.131069222064 43.5862218436986 -691.35963149897</t>
  </si>
  <si>
    <t>-595.673816838743 9.32861699462029 -838.355877461802</t>
  </si>
  <si>
    <t>-598.986589834365 55.109190620746 -779.65255845208</t>
  </si>
  <si>
    <t>-568.66085716784 198.984628207035 -781.601668602455</t>
  </si>
  <si>
    <t>-440.604716546815 245.193735185506 -495.852608345377</t>
  </si>
  <si>
    <t>-239.387854459915 217.303711545034 -333.445783935192</t>
  </si>
  <si>
    <t>-581.713689136553 179.292577224802 -235.363794863942</t>
  </si>
  <si>
    <t>-533.9045386437 228.449000562048 215.142145031562</t>
  </si>
  <si>
    <t>-629.733342897417 242.480185117561 674.736457572309</t>
  </si>
  <si>
    <t>-476.437807027571 229.522908132192 760.036440709241</t>
  </si>
  <si>
    <t>-627.690326877246 3.09152146762101 219.384261881074</t>
  </si>
  <si>
    <t>-659.412254648224 9.68862297975217 688.231825515135</t>
  </si>
  <si>
    <t>-502.552021149187 -29.3712334416013 757.605408256323</t>
  </si>
  <si>
    <t>9763-20170724T164154.822158000.bin</t>
  </si>
  <si>
    <t>-600.340406839589 84.0694992502466 -236.057609255583</t>
  </si>
  <si>
    <t>-622.535060818827 88.8293055652315 -355.022055510627</t>
  </si>
  <si>
    <t>-627.624001096284 78.9389504437328 -475.715230278343</t>
  </si>
  <si>
    <t>-625.094007382385 64.1710442050567 -584.206585784708</t>
  </si>
  <si>
    <t>-615.542890352507 43.6985059561747 -691.372417449654</t>
  </si>
  <si>
    <t>-594.988696339775 9.40909177500433 -838.347815474794</t>
  </si>
  <si>
    <t>-598.358381445951 55.2051055563873 -779.659745743062</t>
  </si>
  <si>
    <t>-568.087128566883 199.086458525062 -781.585470577041</t>
  </si>
  <si>
    <t>-440.232254614285 245.22678260449 -495.735085102964</t>
  </si>
  <si>
    <t>-239.415548977098 216.681615287866 -332.947258262614</t>
  </si>
  <si>
    <t>-581.385369937887 179.390196917839 -235.37777244368</t>
  </si>
  <si>
    <t>-533.904761214925 228.591057292562 215.158111694845</t>
  </si>
  <si>
    <t>-629.682760440667 242.520622776853 674.755313715921</t>
  </si>
  <si>
    <t>-476.429141221954 229.57336232786 760.13216813605</t>
  </si>
  <si>
    <t>-627.514651317934 3.22828980040026 219.371424543039</t>
  </si>
  <si>
    <t>-659.398806256715 9.58818592160047 688.224376626959</t>
  </si>
  <si>
    <t>-502.764554808415 -30.2833213746793 757.646956178274</t>
  </si>
  <si>
    <t>9763-20170724T164154.890340700.bin</t>
  </si>
  <si>
    <t>-599.767578578309 84.4883517316979 -236.072333400648</t>
  </si>
  <si>
    <t>-621.892231281817 89.1850606374914 -355.052347065876</t>
  </si>
  <si>
    <t>-626.884066715542 79.2572175536158 -475.746655760889</t>
  </si>
  <si>
    <t>-624.258553808241 64.4638093594191 -584.23205152333</t>
  </si>
  <si>
    <t>-614.606111317398 43.9726532692505 -691.38520787893</t>
  </si>
  <si>
    <t>-593.90689999111 9.66326564514293 -838.335617732153</t>
  </si>
  <si>
    <t>-597.333822685577 55.4671390814052 -779.656980515364</t>
  </si>
  <si>
    <t>-567.033742793605 199.345007148382 -781.480995388972</t>
  </si>
  <si>
    <t>-439.610238275045 245.427791716671 -495.429027675558</t>
  </si>
  <si>
    <t>-239.102439461908 216.569306803514 -332.31583902019</t>
  </si>
  <si>
    <t>-580.794100106735 179.686666855604 -235.42204263751</t>
  </si>
  <si>
    <t>-534.036583974411 229.018060791194 215.175202778677</t>
  </si>
  <si>
    <t>-629.622019944313 242.488189867947 674.815791445071</t>
  </si>
  <si>
    <t>-476.402798813546 229.948752470107 760.315221432497</t>
  </si>
  <si>
    <t>-627.173205112566 3.55322265610678 219.368849872533</t>
  </si>
  <si>
    <t>-659.316922204073 9.66299709276724 688.213938938697</t>
  </si>
  <si>
    <t>-502.502572089601 -29.4677382625016 757.651172672023</t>
  </si>
  <si>
    <t>9763-20170724T164154.923005000.bin</t>
  </si>
  <si>
    <t>-599.511242082964 84.6188611711683 -236.077328858638</t>
  </si>
  <si>
    <t>-621.645905663518 89.2993358492012 -355.056168771642</t>
  </si>
  <si>
    <t>-626.620394528018 79.3517542858623 -475.749379927358</t>
  </si>
  <si>
    <t>-623.970562914499 64.5365811980818 -584.231306500673</t>
  </si>
  <si>
    <t>-614.286882135152 44.0184928894126 -691.37646642466</t>
  </si>
  <si>
    <t>-593.538437999269 9.66494993044029 -838.309680215932</t>
  </si>
  <si>
    <t>-596.949845149652 55.4811352361024 -779.639705304772</t>
  </si>
  <si>
    <t>-566.486652693698 199.332762509076 -781.449107973369</t>
  </si>
  <si>
    <t>-439.160969418613 245.55486974906 -495.375863795381</t>
  </si>
  <si>
    <t>-238.136845265277 217.802124874548 -332.707120589319</t>
  </si>
  <si>
    <t>-580.492177545676 179.780001290442 -235.441407751545</t>
  </si>
  <si>
    <t>-534.149603474995 229.106203741595 215.199237167197</t>
  </si>
  <si>
    <t>-629.590221293834 242.516766399987 674.850927233158</t>
  </si>
  <si>
    <t>-476.384469379485 230.121909608407 760.395515985762</t>
  </si>
  <si>
    <t>-627.011726715023 3.62874447393843 219.382684375166</t>
  </si>
  <si>
    <t>-659.293355664225 9.61041882616044 688.21218448336</t>
  </si>
  <si>
    <t>-502.688578356547 -30.2787569478985 757.691000601534</t>
  </si>
  <si>
    <t>9763-20170724T164154.990190200.bin</t>
  </si>
  <si>
    <t>-599.204170016814 84.987718783729 -236.065540606726</t>
  </si>
  <si>
    <t>-621.279572024658 89.6200312683484 -355.0573714553</t>
  </si>
  <si>
    <t>-626.166288977535 79.6381457501839 -475.751223788864</t>
  </si>
  <si>
    <t>-623.429341426603 64.7943265053335 -584.227186774245</t>
  </si>
  <si>
    <t>-613.652994764662 44.2481719084308 -691.358527238527</t>
  </si>
  <si>
    <t>-592.772504415514 9.85470185320538 -838.263613241932</t>
  </si>
  <si>
    <t>-596.176380953399 55.6776306410976 -779.598586795195</t>
  </si>
  <si>
    <t>-565.377084028855 199.461903609941 -781.341604114289</t>
  </si>
  <si>
    <t>-437.383661312468 246.557435823963 -495.709248136207</t>
  </si>
  <si>
    <t>-235.470514712322 220.739444069095 -333.824763905997</t>
  </si>
  <si>
    <t>-580.088441197025 180.107369876906 -235.429296365087</t>
  </si>
  <si>
    <t>-534.306603254963 229.23300733083 215.290575456978</t>
  </si>
  <si>
    <t>-629.599704501973 242.653406473805 674.999901003389</t>
  </si>
  <si>
    <t>-476.404195227085 230.189630073635 760.552757559833</t>
  </si>
  <si>
    <t>-626.906453944704 3.75186920554752 219.417847184277</t>
  </si>
  <si>
    <t>-659.247865549841 9.4657980825811 688.23146754566</t>
  </si>
  <si>
    <t>-502.836527073362 -31.12302966133 757.740797089888</t>
  </si>
  <si>
    <t>9763-20170724T164155.027809200.bin</t>
  </si>
  <si>
    <t>-599.166052831738 85.145979469994 -236.050209573426</t>
  </si>
  <si>
    <t>-621.255308718902 89.7638899741668 -355.039982937417</t>
  </si>
  <si>
    <t>-626.122619508807 79.7370332322665 -475.730971900453</t>
  </si>
  <si>
    <t>-623.356437012896 64.8388101251704 -584.198686533642</t>
  </si>
  <si>
    <t>-613.540528561427 44.2240320981336 -691.313239679127</t>
  </si>
  <si>
    <t>-592.595544836847 9.71997547020042 -838.183180129573</t>
  </si>
  <si>
    <t>-595.992161915965 55.5819324177502 -779.548194863302</t>
  </si>
  <si>
    <t>-565.072724966976 199.342522273491 -781.379137015238</t>
  </si>
  <si>
    <t>-436.672762912067 247.143042979887 -496.046506678598</t>
  </si>
  <si>
    <t>-233.693657251031 222.671862197336 -335.28987061979</t>
  </si>
  <si>
    <t>-580.040614427333 180.296546219312 -235.400153226717</t>
  </si>
  <si>
    <t>-534.374644874816 229.279539495567 215.346981840279</t>
  </si>
  <si>
    <t>-629.632890147052 242.70707185853 675.074021373635</t>
  </si>
  <si>
    <t>-476.428368515498 230.190058656694 760.602993050688</t>
  </si>
  <si>
    <t>-626.943167343641 3.86027116378717 219.441653029226</t>
  </si>
  <si>
    <t>-659.202714642864 9.62698459963889 688.239662141366</t>
  </si>
  <si>
    <t>-502.418175589208 -29.5912651472699 757.694960976988</t>
  </si>
  <si>
    <t>9763-20170724T164155.093991500.bin</t>
  </si>
  <si>
    <t>-599.309639093948 85.1677224005049 -235.960074114041</t>
  </si>
  <si>
    <t>-621.283351185823 89.764958361585 -354.971951689559</t>
  </si>
  <si>
    <t>-626.015246066492 79.6658120293059 -475.662486599255</t>
  </si>
  <si>
    <t>-623.120703430381 64.6811518190589 -584.114860065454</t>
  </si>
  <si>
    <t>-613.172146707036 43.959167386803 -691.196609495164</t>
  </si>
  <si>
    <t>-592.040048050604 9.28484402313067 -837.999532720165</t>
  </si>
  <si>
    <t>-595.499046889605 55.2128784143159 -779.419939747559</t>
  </si>
  <si>
    <t>-564.508219578885 198.940177750176 -781.46063827431</t>
  </si>
  <si>
    <t>-434.74535232387 247.54420893071 -496.88129389393</t>
  </si>
  <si>
    <t>-230.896901327783 224.1732359638 -337.063674839702</t>
  </si>
  <si>
    <t>-580.178707708276 180.403021864933 -235.301159732749</t>
  </si>
  <si>
    <t>-534.694440061799 229.546336046615 215.446944488292</t>
  </si>
  <si>
    <t>-629.760815785823 242.80578015443 675.25026623996</t>
  </si>
  <si>
    <t>-476.479664276906 230.235041837207 760.633948149776</t>
  </si>
  <si>
    <t>-627.142090494138 3.70419155312612 219.486380506923</t>
  </si>
  <si>
    <t>-659.186330471732 9.54935675275019 688.26846019293</t>
  </si>
  <si>
    <t>-502.425075421813 -29.777558162221 757.714896543256</t>
  </si>
  <si>
    <t>9763-20170724T164155.125590200.bin</t>
  </si>
  <si>
    <t>-599.429885475722 85.2599298299221 -235.916826162486</t>
  </si>
  <si>
    <t>-621.418808207401 89.8596176223753 -354.925788471985</t>
  </si>
  <si>
    <t>-626.117718815517 79.7514994333704 -475.616768186462</t>
  </si>
  <si>
    <t>-623.174938504876 64.7534739459387 -584.065980217781</t>
  </si>
  <si>
    <t>-613.16063980809 44.0126374451096 -691.137959404299</t>
  </si>
  <si>
    <t>-591.920046030914 9.30632099596198 -837.917623746748</t>
  </si>
  <si>
    <t>-595.42710506301 55.2478472018653 -779.351464717075</t>
  </si>
  <si>
    <t>-564.429355732108 198.968191510691 -781.432310748945</t>
  </si>
  <si>
    <t>-433.925540948033 247.168630744882 -497.123141152447</t>
  </si>
  <si>
    <t>-230.298453084312 223.922657367575 -337.005404595168</t>
  </si>
  <si>
    <t>-580.392835409595 180.544545744558 -235.236591726023</t>
  </si>
  <si>
    <t>-534.803176987941 229.758159148553 215.493040337022</t>
  </si>
  <si>
    <t>-629.847052232855 242.860989789738 675.335518951515</t>
  </si>
  <si>
    <t>-476.511815934441 230.244734570267 760.615276456546</t>
  </si>
  <si>
    <t>-627.249189110151 3.68303966957534 219.507439071497</t>
  </si>
  <si>
    <t>-659.160956466638 9.67571331659511 688.279662292506</t>
  </si>
  <si>
    <t>-502.224377915332 -29.0081842268214 757.691430638257</t>
  </si>
  <si>
    <t>9763-20170724T164155.193272200.bin</t>
  </si>
  <si>
    <t>-599.934478615222 85.1970362552668 -235.731675952272</t>
  </si>
  <si>
    <t>-621.92469559165 89.8452274823493 -354.738539312781</t>
  </si>
  <si>
    <t>-626.580077349735 79.8292576911865 -475.438909912149</t>
  </si>
  <si>
    <t>-623.584449500738 64.9265400295399 -583.899870473574</t>
  </si>
  <si>
    <t>-613.506711485874 44.2891881129733 -690.98575626101</t>
  </si>
  <si>
    <t>-592.169506624662 9.7319848711023 -837.786731812118</t>
  </si>
  <si>
    <t>-595.716784775879 55.6142724831402 -779.17654623142</t>
  </si>
  <si>
    <t>-564.617313333016 199.324257153393 -781.116031292179</t>
  </si>
  <si>
    <t>-433.144153840554 245.790605716144 -496.964932943072</t>
  </si>
  <si>
    <t>-230.414575217841 222.353004469721 -335.739994909062</t>
  </si>
  <si>
    <t>-581.261727904273 180.417657104942 -234.88375128769</t>
  </si>
  <si>
    <t>-534.639074459169 230.374146179892 215.658472671831</t>
  </si>
  <si>
    <t>-630.083358860264 242.892115620455 675.501515748984</t>
  </si>
  <si>
    <t>-476.576068435709 230.378093125247 760.48636525722</t>
  </si>
  <si>
    <t>-627.531801302609 3.45285060216386 219.579259179153</t>
  </si>
  <si>
    <t>-659.158879312579 9.56885256845281 688.323426923018</t>
  </si>
  <si>
    <t>-502.188326735423 -29.0347171781136 757.703017673643</t>
  </si>
  <si>
    <t>9763-20170724T164155.224380500.bin</t>
  </si>
  <si>
    <t>-600.131438640143 85.234070488969 -235.67914674664</t>
  </si>
  <si>
    <t>-622.129490547789 89.9165061569255 -354.683273426289</t>
  </si>
  <si>
    <t>-626.744830318458 79.9584450767417 -475.389877943774</t>
  </si>
  <si>
    <t>-623.693934109206 65.117002477833 -583.857686650593</t>
  </si>
  <si>
    <t>-613.54247256751 44.5496108581588 -690.950055666821</t>
  </si>
  <si>
    <t>-592.083832982687 10.098467642092 -837.758352331979</t>
  </si>
  <si>
    <t>-595.68979690635 55.9399761970834 -779.1198291183</t>
  </si>
  <si>
    <t>-564.60349390769 199.650596085501 -780.951350128193</t>
  </si>
  <si>
    <t>-433.178826562369 245.17523551233 -496.625407501467</t>
  </si>
  <si>
    <t>-230.701116253921 221.579149313521 -335.107393837241</t>
  </si>
  <si>
    <t>-581.470527723815 180.551233613757 -234.84043495916</t>
  </si>
  <si>
    <t>-534.614659455836 230.530109003727 215.675132766744</t>
  </si>
  <si>
    <t>-630.160212900872 242.920678665221 675.511483889649</t>
  </si>
  <si>
    <t>-476.598740976768 230.417670139163 760.399982976744</t>
  </si>
  <si>
    <t>-627.708682701222 3.38604286028823 219.594035104029</t>
  </si>
  <si>
    <t>-659.162239326865 9.49059955757301 688.341093847216</t>
  </si>
  <si>
    <t>-502.202373795896 -29.1587796355578 757.719251627878</t>
  </si>
  <si>
    <t>9763-20170724T164155.289055000.bin</t>
  </si>
  <si>
    <t>-600.146682955553 85.2682900776751 -235.663626988045</t>
  </si>
  <si>
    <t>-622.173202220902 90.0162252955923 -354.659866345627</t>
  </si>
  <si>
    <t>-626.70738032615 80.1986581434609 -475.381044938385</t>
  </si>
  <si>
    <t>-623.536062546534 65.517185139586 -583.867229901398</t>
  </si>
  <si>
    <t>-613.215822419494 45.1443919934745 -690.980632436249</t>
  </si>
  <si>
    <t>-591.471730899571 11.0016904226447 -837.819017899864</t>
  </si>
  <si>
    <t>-595.237863079952 56.7270234604911 -779.099852844733</t>
  </si>
  <si>
    <t>-564.254603483004 200.475622395912 -780.618971177198</t>
  </si>
  <si>
    <t>-433.185988178778 244.516412283432 -495.895169416742</t>
  </si>
  <si>
    <t>-230.808209973614 220.339994922519 -334.337748466947</t>
  </si>
  <si>
    <t>-581.470307896144 180.72149865219 -234.801041602526</t>
  </si>
  <si>
    <t>-534.553537838634 230.669020827992 215.71163620055</t>
  </si>
  <si>
    <t>-630.256852549684 242.97217377612 675.48848774475</t>
  </si>
  <si>
    <t>-476.644789368304 230.402344988803 760.275407461627</t>
  </si>
  <si>
    <t>-627.79307431055 3.2503820182524 219.601884091514</t>
  </si>
  <si>
    <t>-659.184232933541 9.16204980952277 688.361054922215</t>
  </si>
  <si>
    <t>-502.913979894802 -32.0349161961254 757.829959389962</t>
  </si>
  <si>
    <t>9763-20170724T164155.324700000.bin</t>
  </si>
  <si>
    <t>-599.987379552869 85.3880656019276 -235.678531939381</t>
  </si>
  <si>
    <t>-621.971349786404 90.1270224414707 -354.682942119046</t>
  </si>
  <si>
    <t>-626.443129313482 80.3378418447546 -475.4088267686</t>
  </si>
  <si>
    <t>-623.207007134474 65.6979720775714 -583.898780509363</t>
  </si>
  <si>
    <t>-612.813564813838 45.3831675286688 -691.01603435871</t>
  </si>
  <si>
    <t>-590.958547467683 11.3381574712986 -837.860680710973</t>
  </si>
  <si>
    <t>-594.787314104186 57.0272331876972 -779.117304591011</t>
  </si>
  <si>
    <t>-563.835665643553 200.787638842613 -780.526376624006</t>
  </si>
  <si>
    <t>-432.966986453143 244.150823976436 -495.606771339226</t>
  </si>
  <si>
    <t>-230.793476984401 219.507618752235 -333.864284492377</t>
  </si>
  <si>
    <t>-581.284496881203 180.87952544691 -234.844808629553</t>
  </si>
  <si>
    <t>-534.405914325179 230.700111910278 215.685864428881</t>
  </si>
  <si>
    <t>-630.256933499166 242.992459825835 675.418840810141</t>
  </si>
  <si>
    <t>-476.655015536728 230.435406142578 760.226100502668</t>
  </si>
  <si>
    <t>-627.632122719048 3.37219972940497 219.586260788294</t>
  </si>
  <si>
    <t>-659.165677494359 9.16801488404279 688.360772562156</t>
  </si>
  <si>
    <t>-502.552745041996 -30.7665327196608 757.795003863546</t>
  </si>
  <si>
    <t>9763-20170724T164155.391382400.bin</t>
  </si>
  <si>
    <t>-599.602993805624 85.4793347434345 -235.708608787906</t>
  </si>
  <si>
    <t>-621.573452509736 90.2265479849466 -354.715281005949</t>
  </si>
  <si>
    <t>-626.015297030784 80.5321425078512 -475.449901299549</t>
  </si>
  <si>
    <t>-622.746836592179 66.0108744983796 -583.954754472945</t>
  </si>
  <si>
    <t>-612.31631711921 45.8457581402537 -691.096751456593</t>
  </si>
  <si>
    <t>-590.405211788375 12.0396046163815 -837.988164466668</t>
  </si>
  <si>
    <t>-594.271952204011 57.6354906132842 -779.174964293967</t>
  </si>
  <si>
    <t>-563.39719111086 201.396241385334 -780.312926110667</t>
  </si>
  <si>
    <t>-432.275326532694 243.717423021635 -495.353027001903</t>
  </si>
  <si>
    <t>-230.012089439093 218.751146269709 -333.772199310415</t>
  </si>
  <si>
    <t>-581.050495927218 180.855906787276 -234.867681264121</t>
  </si>
  <si>
    <t>-534.489340678002 230.822542443091 215.679803876231</t>
  </si>
  <si>
    <t>-630.261979886491 243.009436741272 675.37472439076</t>
  </si>
  <si>
    <t>-476.665681398801 230.571352956899 760.209722141517</t>
  </si>
  <si>
    <t>-627.332619555207 3.49436325362171 219.552531051942</t>
  </si>
  <si>
    <t>-659.109546145557 9.25526516147566 688.338560228824</t>
  </si>
  <si>
    <t>-502.53366777286 -30.7890606006673 757.793264493237</t>
  </si>
  <si>
    <t>9763-20170724T164155.422968000.bin</t>
  </si>
  <si>
    <t>-599.453569411582 85.5994485214535 -235.758792607546</t>
  </si>
  <si>
    <t>-621.398849585708 90.3134641854915 -354.771276714198</t>
  </si>
  <si>
    <t>-625.811608642658 80.6596647899355 -475.510348233208</t>
  </si>
  <si>
    <t>-622.516663931491 66.2032467079985 -584.022963752355</t>
  </si>
  <si>
    <t>-612.060138339009 46.1296529311048 -691.179710932485</t>
  </si>
  <si>
    <t>-590.113601057327 12.4767613578563 -838.101028441482</t>
  </si>
  <si>
    <t>-594.004288384822 58.0127317362474 -779.243009788595</t>
  </si>
  <si>
    <t>-563.170500200165 201.786199986881 -780.244229285609</t>
  </si>
  <si>
    <t>-431.813034049407 243.471353646905 -495.299150623462</t>
  </si>
  <si>
    <t>-229.760315288416 218.132144682674 -333.513215092264</t>
  </si>
  <si>
    <t>-580.980489606221 180.94498928637 -234.944755586057</t>
  </si>
  <si>
    <t>-534.632595193739 230.859865118617 215.630505248755</t>
  </si>
  <si>
    <t>-630.248496637006 243.008253233595 675.360620763805</t>
  </si>
  <si>
    <t>-476.663998311854 230.679469450204 760.233033282384</t>
  </si>
  <si>
    <t>-627.08793091925 3.61905976737494 219.531162414855</t>
  </si>
  <si>
    <t>-659.086747512267 9.2631311825985 688.323436728319</t>
  </si>
  <si>
    <t>-502.438316650258 -30.4884502935508 757.782823217604</t>
  </si>
  <si>
    <t>9763-20170724T164155.492669800.bin</t>
  </si>
  <si>
    <t>-599.197774825477 85.9599911144677 -235.815324862391</t>
  </si>
  <si>
    <t>-621.153899585223 90.6441184604263 -354.827005845461</t>
  </si>
  <si>
    <t>-625.530838221905 81.0882850834192 -475.5749743752</t>
  </si>
  <si>
    <t>-622.184968505682 66.771296385628 -584.104624691512</t>
  </si>
  <si>
    <t>-611.65886897075 46.8868616826052 -691.289924631889</t>
  </si>
  <si>
    <t>-589.596275836163 13.547701620069 -838.265230979302</t>
  </si>
  <si>
    <t>-593.565926828848 58.9628573388303 -779.319275867916</t>
  </si>
  <si>
    <t>-562.819914095706 202.756547394603 -780.02261007083</t>
  </si>
  <si>
    <t>-430.974784783347 243.233733540891 -495.128494437813</t>
  </si>
  <si>
    <t>-229.054317682032 217.305405701098 -333.270895934961</t>
  </si>
  <si>
    <t>-580.814593346447 181.26111132825 -235.018138416843</t>
  </si>
  <si>
    <t>-534.836250685366 231.10171443308 215.603188100465</t>
  </si>
  <si>
    <t>-630.225843452117 243.054809536461 675.390650672706</t>
  </si>
  <si>
    <t>-476.658734254991 230.867886301261 760.314906659173</t>
  </si>
  <si>
    <t>-626.702953781765 3.87072183584391 219.513521631802</t>
  </si>
  <si>
    <t>-659.051250399712 9.18210704662253 688.297141767718</t>
  </si>
  <si>
    <t>-502.535003729484 -31.0102554760134 757.800698382663</t>
  </si>
  <si>
    <t>9763-20170724T164155.525258700.bin</t>
  </si>
  <si>
    <t>-599.119818963817 86.0991858430992 -235.808556771536</t>
  </si>
  <si>
    <t>-621.063330260225 90.7820685778087 -354.822786286852</t>
  </si>
  <si>
    <t>-625.397323760066 81.2645787094429 -475.575390736603</t>
  </si>
  <si>
    <t>-622.000327664859 66.9984339799881 -584.110145828444</t>
  </si>
  <si>
    <t>-611.410952287837 47.1810906968164 -691.301493893995</t>
  </si>
  <si>
    <t>-589.247685200107 13.9520272892061 -838.286548994681</t>
  </si>
  <si>
    <t>-593.281616778734 59.3266638149069 -779.313777633741</t>
  </si>
  <si>
    <t>-562.600925726009 203.138383936212 -779.909827148758</t>
  </si>
  <si>
    <t>-430.536857812367 243.084585316761 -495.042288546059</t>
  </si>
  <si>
    <t>-228.728659447738 216.809380519421 -333.100456542075</t>
  </si>
  <si>
    <t>-580.751190968352 181.370703635544 -235.00812314167</t>
  </si>
  <si>
    <t>-534.869311922435 231.232506858314 215.620638305242</t>
  </si>
  <si>
    <t>-630.227779362709 243.074099101363 675.432361735608</t>
  </si>
  <si>
    <t>-476.658529737328 230.954662089634 760.362436311017</t>
  </si>
  <si>
    <t>-626.607019216526 3.86704755690114 219.510136956422</t>
  </si>
  <si>
    <t>-659.039987642771 9.11302451869383 688.289202362162</t>
  </si>
  <si>
    <t>-502.661958753206 -31.5738657167822 757.816058490474</t>
  </si>
  <si>
    <t>9763-20170724T164155.588952300.bin</t>
  </si>
  <si>
    <t>-599.216604206397 86.3071746205275 -235.802615997745</t>
  </si>
  <si>
    <t>-621.173453623403 91.0031161704461 -354.813826983322</t>
  </si>
  <si>
    <t>-625.469382413981 81.534949863309 -475.571653590793</t>
  </si>
  <si>
    <t>-622.017812205294 67.3274856122078 -584.112436142843</t>
  </si>
  <si>
    <t>-611.354039896411 47.582324333643 -691.309612117458</t>
  </si>
  <si>
    <t>-589.067438631243 14.4671699854796 -838.301879772569</t>
  </si>
  <si>
    <t>-593.170216841311 59.7990138173613 -779.300977481531</t>
  </si>
  <si>
    <t>-562.537606504278 203.623330904676 -779.777749638531</t>
  </si>
  <si>
    <t>-430.074052256063 242.328723921579 -494.924302317578</t>
  </si>
  <si>
    <t>-228.515862142748 215.382399428884 -332.781654386817</t>
  </si>
  <si>
    <t>-580.902270726617 181.531851458359 -234.954545568887</t>
  </si>
  <si>
    <t>-534.951632772492 231.512743748647 215.653999943112</t>
  </si>
  <si>
    <t>-630.237425623701 243.085541330459 675.48400282786</t>
  </si>
  <si>
    <t>-476.652742432599 231.25845631964 760.427353318619</t>
  </si>
  <si>
    <t>-626.607994472417 3.96359995486493 219.498772571483</t>
  </si>
  <si>
    <t>-658.993715536501 9.11408136488933 688.281893548894</t>
  </si>
  <si>
    <t>-502.294094142158 -30.3509747225014 757.789024474088</t>
  </si>
  <si>
    <t>9763-20170724T164155.624550400.bin</t>
  </si>
  <si>
    <t>-599.352463205262 86.3638364618802 -235.78373498097</t>
  </si>
  <si>
    <t>-621.280163254633 91.0395600717469 -354.801091286489</t>
  </si>
  <si>
    <t>-625.544430317807 81.5866890743465 -475.561252893552</t>
  </si>
  <si>
    <t>-622.064460450816 67.4060962627251 -584.10453905928</t>
  </si>
  <si>
    <t>-611.373109739826 47.6998067955644 -691.306193442624</t>
  </si>
  <si>
    <t>-589.049632538151 14.6504344195462 -838.307708937675</t>
  </si>
  <si>
    <t>-593.172972977939 59.9567602376477 -779.288604200424</t>
  </si>
  <si>
    <t>-562.531547377327 203.774928600527 -779.718127990986</t>
  </si>
  <si>
    <t>-429.761768658915 241.749963882534 -494.908989536365</t>
  </si>
  <si>
    <t>-228.420051807464 214.592620163432 -332.532844694282</t>
  </si>
  <si>
    <t>-581.092120304563 181.520091358516 -234.950129377882</t>
  </si>
  <si>
    <t>-535.183700783064 231.661432892801 215.644978126476</t>
  </si>
  <si>
    <t>-630.236847251135 243.099182385233 675.506932756949</t>
  </si>
  <si>
    <t>-476.642066244342 231.432932893727 760.454362010065</t>
  </si>
  <si>
    <t>-626.658097578343 3.94255880455484 219.501464593135</t>
  </si>
  <si>
    <t>-658.971863023442 9.12077544834831 688.281959272499</t>
  </si>
  <si>
    <t>-502.160434580553 -29.9053829805973 757.784795139244</t>
  </si>
  <si>
    <t>9763-20170724T164155.690227700.bin</t>
  </si>
  <si>
    <t>-599.58006986708 86.4988274090273 -235.82825518339</t>
  </si>
  <si>
    <t>-621.525926960879 91.1628288690089 -354.842797065274</t>
  </si>
  <si>
    <t>-625.764507742453 81.7527571454946 -475.607222481392</t>
  </si>
  <si>
    <t>-622.246111091599 67.6294617285232 -584.156671202441</t>
  </si>
  <si>
    <t>-611.503078804192 47.9969213306414 -691.366696910829</t>
  </si>
  <si>
    <t>-589.095276451537 15.0649942707893 -838.381723447921</t>
  </si>
  <si>
    <t>-593.235013311368 60.3215196909015 -779.325519686606</t>
  </si>
  <si>
    <t>-562.410885729546 204.093452167772 -779.639583832197</t>
  </si>
  <si>
    <t>-429.179671695376 240.765728804766 -494.875245532325</t>
  </si>
  <si>
    <t>-228.366031245938 212.697494059472 -332.000598729982</t>
  </si>
  <si>
    <t>-581.324696014144 181.699440851243 -235.015779821218</t>
  </si>
  <si>
    <t>-535.706572925089 231.754544863149 215.618395372522</t>
  </si>
  <si>
    <t>-630.233268278717 243.194006049111 675.571440482736</t>
  </si>
  <si>
    <t>-476.638946954771 231.629194078014 760.533537755878</t>
  </si>
  <si>
    <t>-626.74436883344 3.90329239782403 219.485705447049</t>
  </si>
  <si>
    <t>-658.956516481239 8.92153897458621 688.282033396536</t>
  </si>
  <si>
    <t>-502.339318618965 -30.7989432418002 757.829585023334</t>
  </si>
  <si>
    <t>9763-20170724T164155.722375100.bin</t>
  </si>
  <si>
    <t>-599.744435023883 86.6002476768931 -235.843009470866</t>
  </si>
  <si>
    <t>-621.672387743968 91.22470456175 -354.862159942562</t>
  </si>
  <si>
    <t>-625.884221761275 81.8125098752688 -475.627345949545</t>
  </si>
  <si>
    <t>-622.338619083737 67.7019107068543 -584.177688716554</t>
  </si>
  <si>
    <t>-611.565654651483 48.0964020729321 -691.389786776736</t>
  </si>
  <si>
    <t>-589.11354067921 15.2164581658418 -838.409463412462</t>
  </si>
  <si>
    <t>-593.268855245533 60.4517089079198 -779.338267313531</t>
  </si>
  <si>
    <t>-562.391142460236 204.223381363403 -779.618520612833</t>
  </si>
  <si>
    <t>-429.026784568088 240.163877555424 -494.823131865125</t>
  </si>
  <si>
    <t>-228.389298891982 211.894199439528 -331.766480659988</t>
  </si>
  <si>
    <t>-581.471708516636 181.81589190367 -235.050017833632</t>
  </si>
  <si>
    <t>-535.970280806717 231.794757269544 215.604452425589</t>
  </si>
  <si>
    <t>-630.236462213548 243.248874460421 675.597229936542</t>
  </si>
  <si>
    <t>-476.643807668625 231.711961229041 760.56613834118</t>
  </si>
  <si>
    <t>-626.816632921099 3.88272656554449 219.492703478374</t>
  </si>
  <si>
    <t>-658.935125517312 8.9132861485744 688.28810810448</t>
  </si>
  <si>
    <t>-502.461112911436 -31.3330122482478 757.855582118902</t>
  </si>
  <si>
    <t>9763-20170724T164155.793067400.bin</t>
  </si>
  <si>
    <t>-600.078174842998 86.7269468957005 -235.884901600515</t>
  </si>
  <si>
    <t>-622.027996174799 91.3499265578535 -354.90019733748</t>
  </si>
  <si>
    <t>-626.250340043548 81.9767581664512 -475.667923720706</t>
  </si>
  <si>
    <t>-622.71108770462 67.9158862886416 -584.224878877321</t>
  </si>
  <si>
    <t>-611.941545877985 48.3730015997701 -691.448771530341</t>
  </si>
  <si>
    <t>-589.491986342187 15.5922407894601 -838.491062258306</t>
  </si>
  <si>
    <t>-593.620565385804 60.7837499049973 -779.384422180266</t>
  </si>
  <si>
    <t>-562.629459248104 204.530027515536 -779.561597990716</t>
  </si>
  <si>
    <t>-428.853907158659 239.347548673671 -494.819629639908</t>
  </si>
  <si>
    <t>-228.30810152149 210.827613323946 -331.693674626788</t>
  </si>
  <si>
    <t>-581.742555326605 182.030428174588 -235.090631563801</t>
  </si>
  <si>
    <t>-536.396258789122 231.898428323535 215.591698084755</t>
  </si>
  <si>
    <t>-630.260975395375 243.373589500004 675.69120612703</t>
  </si>
  <si>
    <t>-476.657177849547 231.828565165958 760.638833564028</t>
  </si>
  <si>
    <t>-627.116305823681 3.85337077221432 219.462227656786</t>
  </si>
  <si>
    <t>-658.911589708589 8.81217365326805 688.28858572673</t>
  </si>
  <si>
    <t>-502.410782620312 -31.3221624780666 757.860438913478</t>
  </si>
  <si>
    <t>9763-20170724T164155.827160600.bin</t>
  </si>
  <si>
    <t>-600.340316450023 86.6606936948997 -235.888419531872</t>
  </si>
  <si>
    <t>-622.295047263766 91.2945110078031 -354.902342116426</t>
  </si>
  <si>
    <t>-626.527483508259 81.9461593138676 -475.67178785127</t>
  </si>
  <si>
    <t>-623.000070567234 67.9118715054526 -584.232521539368</t>
  </si>
  <si>
    <t>-612.245626029482 48.3988545180009 -691.463335755921</t>
  </si>
  <si>
    <t>-589.820636147915 15.6621630683287 -838.519283717069</t>
  </si>
  <si>
    <t>-593.917994359923 60.8326759624359 -779.394283928544</t>
  </si>
  <si>
    <t>-562.864495896181 204.565844511994 -779.527257563483</t>
  </si>
  <si>
    <t>-428.950859921326 238.919490101955 -494.793818262454</t>
  </si>
  <si>
    <t>-228.377748149966 210.486549777833 -331.686335959857</t>
  </si>
  <si>
    <t>-582.039166155739 181.921485440743 -235.071071021832</t>
  </si>
  <si>
    <t>-536.595628053028 231.883573693693 215.591085399912</t>
  </si>
  <si>
    <t>-630.268476025526 243.417673530099 675.714881715255</t>
  </si>
  <si>
    <t>-476.664934498564 231.878319859845 760.663712203039</t>
  </si>
  <si>
    <t>-627.304136394584 3.72282544868219 219.463791684148</t>
  </si>
  <si>
    <t>-658.916255004757 8.68366813124392 688.29704800099</t>
  </si>
  <si>
    <t>-502.542847911797 -31.918451209543 757.884062301441</t>
  </si>
  <si>
    <t>9763-20170724T164155.887330100.bin</t>
  </si>
  <si>
    <t>-600.885151326391 86.5735839922438 -235.882649936972</t>
  </si>
  <si>
    <t>-622.885791431935 91.2382642065028 -354.886924725152</t>
  </si>
  <si>
    <t>-627.18721644881 81.9193905410262 -475.656145618918</t>
  </si>
  <si>
    <t>-623.731430822089 67.9098203377108 -584.222432933096</t>
  </si>
  <si>
    <t>-613.057798858219 48.4190129325705 -691.465382919683</t>
  </si>
  <si>
    <t>-590.754476556885 15.7098178880327 -838.545852428497</t>
  </si>
  <si>
    <t>-594.757674700331 60.8622637446763 -779.400731712016</t>
  </si>
  <si>
    <t>-563.538986477914 204.56130286832 -779.493926007784</t>
  </si>
  <si>
    <t>-429.087746863015 238.19409727037 -494.927840718765</t>
  </si>
  <si>
    <t>-228.705253004697 209.568165950434 -331.619972165018</t>
  </si>
  <si>
    <t>-582.541280628598 181.936720437833 -235.06238940813</t>
  </si>
  <si>
    <t>-536.86718757839 231.867131962166 215.57989949179</t>
  </si>
  <si>
    <t>-630.300434187196 243.521560511769 675.790856430091</t>
  </si>
  <si>
    <t>-476.692770945836 231.889023193087 760.71952347004</t>
  </si>
  <si>
    <t>-627.627972622627 3.62471676445328 219.45636503348</t>
  </si>
  <si>
    <t>-658.885576950158 8.76395379976908 688.297811335694</t>
  </si>
  <si>
    <t>-502.252439257794 -30.8715746222683 757.857682086034</t>
  </si>
  <si>
    <t>9763-20170724T164155.926962100.bin</t>
  </si>
  <si>
    <t>-601.13009976633 86.3833401835933 -235.852035745186</t>
  </si>
  <si>
    <t>-623.16810996329 91.08983535651 -354.847778296912</t>
  </si>
  <si>
    <t>-627.531832216241 81.8128795163269 -475.618044938299</t>
  </si>
  <si>
    <t>-624.143179746024 67.8388515977902 -584.191040256833</t>
  </si>
  <si>
    <t>-613.547753860652 48.3799453644599 -691.447431133216</t>
  </si>
  <si>
    <t>-591.364862075638 15.7099989208542 -838.554829392503</t>
  </si>
  <si>
    <t>-595.284226919067 60.8411558015275 -779.387926438961</t>
  </si>
  <si>
    <t>-563.906922577132 204.494036583084 -779.468675348171</t>
  </si>
  <si>
    <t>-429.179043570451 237.856635103238 -495.001572657352</t>
  </si>
  <si>
    <t>-228.796425111798 209.322982357716 -331.677634007183</t>
  </si>
  <si>
    <t>-582.753098017237 181.794904818267 -235.013222158142</t>
  </si>
  <si>
    <t>-536.88998223828 231.794253796626 215.602268458244</t>
  </si>
  <si>
    <t>-630.321564909546 243.566836114931 675.817315913256</t>
  </si>
  <si>
    <t>-476.711131730393 231.884012861661 760.734191188673</t>
  </si>
  <si>
    <t>-627.738519208309 3.4450087003496 219.473045375424</t>
  </si>
  <si>
    <t>-658.886019484192 8.68014608873331 688.309471587341</t>
  </si>
  <si>
    <t>-502.427510994763 -31.5958279798669 757.894538259995</t>
  </si>
  <si>
    <t>9763-20170724T164155.991636700.bin</t>
  </si>
  <si>
    <t>-601.444432027404 86.1265495307117 -235.79122578744</t>
  </si>
  <si>
    <t>-623.531854806025 90.8655999746715 -354.776445266105</t>
  </si>
  <si>
    <t>-627.991610904944 81.6602051808004 -475.548646463519</t>
  </si>
  <si>
    <t>-624.709531685312 67.7633704131387 -584.134952767358</t>
  </si>
  <si>
    <t>-614.240704658888 48.3919580693914 -691.419601174439</t>
  </si>
  <si>
    <t>-592.254265833471 15.8521392716091 -838.585379612068</t>
  </si>
  <si>
    <t>-596.039883203383 60.9223460237521 -779.363137424505</t>
  </si>
  <si>
    <t>-564.40154605455 204.526074029797 -779.366280727999</t>
  </si>
  <si>
    <t>-429.093372579313 237.128186827711 -495.086483010397</t>
  </si>
  <si>
    <t>-228.930993350467 208.652093820513 -331.482812382181</t>
  </si>
  <si>
    <t>-582.972757279407 181.524306616416 -234.948663273145</t>
  </si>
  <si>
    <t>-536.829357661371 231.58955631635 215.630866336299</t>
  </si>
  <si>
    <t>-630.356786654983 243.654546110147 675.833067909409</t>
  </si>
  <si>
    <t>-476.749865990785 231.845986359149 760.738866957629</t>
  </si>
  <si>
    <t>-627.86796119989 3.23884083644909 219.493658806684</t>
  </si>
  <si>
    <t>-658.873441542595 8.64816468886173 688.322725840647</t>
  </si>
  <si>
    <t>-502.330560225252 -31.3265545949884 757.891703600375</t>
  </si>
  <si>
    <t>9763-20170724T164156.024725500.bin</t>
  </si>
  <si>
    <t>-601.658200618678 86.0156049982826 -235.773044916353</t>
  </si>
  <si>
    <t>-623.817416377949 90.7869999886031 -354.743655259804</t>
  </si>
  <si>
    <t>-628.343717934022 81.6369496532189 -475.517692440997</t>
  </si>
  <si>
    <t>-625.119678268534 67.7979088392472 -584.112911707271</t>
  </si>
  <si>
    <t>-614.706527665394 48.4912714592506 -691.414790028783</t>
  </si>
  <si>
    <t>-592.795243255053 16.0479505695119 -838.613042662295</t>
  </si>
  <si>
    <t>-596.525126831382 61.0752837177856 -779.354680421202</t>
  </si>
  <si>
    <t>-564.741434922773 204.647570979678 -779.337088104746</t>
  </si>
  <si>
    <t>-429.125157351455 236.746981211242 -495.146809192645</t>
  </si>
  <si>
    <t>-229.342578661377 207.90262952382 -331.143948510186</t>
  </si>
  <si>
    <t>-583.205116689166 181.456029506174 -234.914685395128</t>
  </si>
  <si>
    <t>-536.827023870704 231.574261260194 215.634884699279</t>
  </si>
  <si>
    <t>-630.371676998032 243.668871526469 675.834277039736</t>
  </si>
  <si>
    <t>-476.76250043812 231.852830169821 760.734849750808</t>
  </si>
  <si>
    <t>-627.906758197299 3.19254231801551 219.507202113785</t>
  </si>
  <si>
    <t>-658.854427561844 8.70137716480296 688.327406011624</t>
  </si>
  <si>
    <t>-502.182348629182 -30.792701909049 757.880086162522</t>
  </si>
  <si>
    <t>9763-20170724T164156.088697300.bin</t>
  </si>
  <si>
    <t>-602.122042539198 85.6835187937191 -235.806277499055</t>
  </si>
  <si>
    <t>-624.355132727337 90.4877265608024 -354.761789772812</t>
  </si>
  <si>
    <t>-628.989482960985 81.3954928819119 -475.53602870189</t>
  </si>
  <si>
    <t>-625.87747754366 67.6159261423681 -584.142102853549</t>
  </si>
  <si>
    <t>-615.590887298819 48.3740412182361 -691.467652904256</t>
  </si>
  <si>
    <t>-593.870427031951 16.0244415693718 -838.714796596794</t>
  </si>
  <si>
    <t>-597.476844976209 61.0065571940834 -779.414682024893</t>
  </si>
  <si>
    <t>-565.43957317476 204.523954957261 -779.355493618727</t>
  </si>
  <si>
    <t>-429.695536334772 235.809818632665 -495.135645451507</t>
  </si>
  <si>
    <t>-230.662598290874 206.020323046845 -330.391972059744</t>
  </si>
  <si>
    <t>-583.60095789376 181.141672679323 -234.948649824899</t>
  </si>
  <si>
    <t>-536.897148066111 231.315977029333 215.561045836889</t>
  </si>
  <si>
    <t>-630.358322174525 243.705156607458 675.770131110858</t>
  </si>
  <si>
    <t>-476.781028448361 231.882853228966 760.727406639635</t>
  </si>
  <si>
    <t>-628.137293080918 2.92743471362192 219.490512149341</t>
  </si>
  <si>
    <t>-658.857686957918 8.55369948611192 688.335134110202</t>
  </si>
  <si>
    <t>-502.329297115842 -31.4665019757997 757.910623440975</t>
  </si>
  <si>
    <t>9763-20170724T164156.125322900.bin</t>
  </si>
  <si>
    <t>-602.317749741218 85.5494936361274 -235.822497194356</t>
  </si>
  <si>
    <t>-624.529144519913 90.3488357856681 -354.782253123221</t>
  </si>
  <si>
    <t>-629.211831517386 81.2604714650867 -475.555019686703</t>
  </si>
  <si>
    <t>-626.17168092923 67.4875319518885 -584.163998627593</t>
  </si>
  <si>
    <t>-615.984257688736 48.2551618205991 -691.500733191228</t>
  </si>
  <si>
    <t>-594.429470467269 15.9210965554133 -838.775700360757</t>
  </si>
  <si>
    <t>-597.942856265219 60.8927252315462 -779.461841734298</t>
  </si>
  <si>
    <t>-565.803540670952 204.392597171611 -779.407379502222</t>
  </si>
  <si>
    <t>-430.162782507327 235.254810573807 -495.091841088984</t>
  </si>
  <si>
    <t>-231.492382668823 204.756815395477 -330.040363720326</t>
  </si>
  <si>
    <t>-583.769137178268 181.059590577574 -234.995078943844</t>
  </si>
  <si>
    <t>-537.094027979277 231.135142378905 215.528599026857</t>
  </si>
  <si>
    <t>-630.35257104803 243.74668744474 675.763983228594</t>
  </si>
  <si>
    <t>-476.794762281662 231.841504424675 760.745104043705</t>
  </si>
  <si>
    <t>-628.304875862365 2.83523827961891 219.484689973293</t>
  </si>
  <si>
    <t>-658.843866107575 8.57576383482464 688.335403074501</t>
  </si>
  <si>
    <t>-502.183352586294 -30.9452228362208 757.898731626159</t>
  </si>
  <si>
    <t>9763-20170724T164156.191507000.bin</t>
  </si>
  <si>
    <t>-602.693603151569 85.0047421795103 -235.856422852376</t>
  </si>
  <si>
    <t>-624.959523502288 89.8192977498022 -354.805481328858</t>
  </si>
  <si>
    <t>-629.819156321241 80.7147293427722 -475.569836671909</t>
  </si>
  <si>
    <t>-626.988112071409 66.9128193899464 -584.180820541774</t>
  </si>
  <si>
    <t>-617.058132351007 47.6360929381989 -691.533745504299</t>
  </si>
  <si>
    <t>-595.910196560847 15.2231997124117 -838.850363600226</t>
  </si>
  <si>
    <t>-599.191854193133 60.2155324859013 -779.538998504941</t>
  </si>
  <si>
    <t>-566.842797876629 203.659764147777 -779.575789280529</t>
  </si>
  <si>
    <t>-431.813989947865 234.142464574296 -494.928182141344</t>
  </si>
  <si>
    <t>-233.18463100983 202.959232345854 -329.955432212876</t>
  </si>
  <si>
    <t>-584.110108614888 180.462512220129 -235.015261759592</t>
  </si>
  <si>
    <t>-537.341266328879 230.893157027789 215.459084906461</t>
  </si>
  <si>
    <t>-630.364673903261 243.854678673086 675.776523203175</t>
  </si>
  <si>
    <t>-476.821549600599 231.777760844049 760.759947931981</t>
  </si>
  <si>
    <t>-628.555946859842 2.5077021849408 219.47763356885</t>
  </si>
  <si>
    <t>-658.848070133053 8.50363632034221 688.336012590503</t>
  </si>
  <si>
    <t>-502.168648161215 -30.9534971902281 757.893156477101</t>
  </si>
  <si>
    <t>9763-20170724T164156.223621600.bin</t>
  </si>
  <si>
    <t>-602.755708392672 84.8274941739928 -235.883342273463</t>
  </si>
  <si>
    <t>-625.017533835289 89.6664847833634 -354.832101809542</t>
  </si>
  <si>
    <t>-629.956392794719 80.5577657047685 -475.592976562043</t>
  </si>
  <si>
    <t>-627.229963904386 66.7403675162573 -584.204691875164</t>
  </si>
  <si>
    <t>-617.436754401416 47.4364533854141 -691.565369601257</t>
  </si>
  <si>
    <t>-596.511542681969 14.9733924466896 -838.902670483224</t>
  </si>
  <si>
    <t>-599.664585545705 59.9794976009582 -779.594669547005</t>
  </si>
  <si>
    <t>-567.172856034839 203.388812826054 -779.666138580094</t>
  </si>
  <si>
    <t>-432.463033283756 233.78449750384 -494.858277127628</t>
  </si>
  <si>
    <t>-233.787440192277 202.48541333781 -329.962999200051</t>
  </si>
  <si>
    <t>-584.034196897718 180.380075805883 -235.080780043796</t>
  </si>
  <si>
    <t>-537.312209139596 230.689880568261 215.411899188054</t>
  </si>
  <si>
    <t>-630.342584426676 243.892819002986 675.732140846441</t>
  </si>
  <si>
    <t>-476.834374278867 231.720937884135 760.765059214155</t>
  </si>
  <si>
    <t>-628.693906047704 2.44249638199413 219.45692180501</t>
  </si>
  <si>
    <t>-658.840571144711 8.5292454342221 688.328199237852</t>
  </si>
  <si>
    <t>-502.00470251053 -30.3227565708757 757.873429395852</t>
  </si>
  <si>
    <t>9763-20170724T164156.291814200.bin</t>
  </si>
  <si>
    <t>-602.811118974094 84.543735575032 -235.924023376977</t>
  </si>
  <si>
    <t>-625.1840442615 89.4252974015257 -354.850207809281</t>
  </si>
  <si>
    <t>-630.352584235294 80.3066166606152 -475.600736672038</t>
  </si>
  <si>
    <t>-627.878317415721 66.4604468955027 -584.214790012201</t>
  </si>
  <si>
    <t>-618.379158618658 47.1092235796755 -691.593361434419</t>
  </si>
  <si>
    <t>-597.903441367234 14.5617595666833 -838.975207791451</t>
  </si>
  <si>
    <t>-600.804239837817 59.5899806535752 -779.671184827209</t>
  </si>
  <si>
    <t>-568.094779220054 202.955223955186 -779.864402864805</t>
  </si>
  <si>
    <t>-433.841745772961 233.291055991896 -494.834343304551</t>
  </si>
  <si>
    <t>-234.986711611393 201.91798274352 -330.169686581164</t>
  </si>
  <si>
    <t>-583.921293333244 180.168209922259 -235.135878574824</t>
  </si>
  <si>
    <t>-537.16981828527 230.331006520776 215.370172124192</t>
  </si>
  <si>
    <t>-630.279311147969 243.974511819581 675.656818548568</t>
  </si>
  <si>
    <t>-476.853925732218 231.563972827651 760.804634519069</t>
  </si>
  <si>
    <t>-628.753033170575 2.22823911890922 219.460491820334</t>
  </si>
  <si>
    <t>-658.850606256592 8.38107873134676 688.334045500934</t>
  </si>
  <si>
    <t>-502.505435282592 -32.2805818929069 757.949602834603</t>
  </si>
  <si>
    <t>9763-20170724T164156.324206700.bin</t>
  </si>
  <si>
    <t>-602.799724651409 84.4100620104374 -235.942417777902</t>
  </si>
  <si>
    <t>-625.203568648885 89.2988884245502 -354.862445388623</t>
  </si>
  <si>
    <t>-630.481803002141 80.1489850448882 -475.605935421222</t>
  </si>
  <si>
    <t>-628.137908801569 66.2588733298794 -584.217170665678</t>
  </si>
  <si>
    <t>-618.799335639264 46.8478622399761 -691.599056674866</t>
  </si>
  <si>
    <t>-598.577794489056 14.2008519851937 -838.993905396226</t>
  </si>
  <si>
    <t>-601.329519012433 59.2612872289688 -779.707240711586</t>
  </si>
  <si>
    <t>-568.440534915963 202.587047162799 -780.019885070801</t>
  </si>
  <si>
    <t>-434.197461844971 232.869408117224 -494.979497260956</t>
  </si>
  <si>
    <t>-235.402762071322 201.348447503618 -330.270146257987</t>
  </si>
  <si>
    <t>-583.762214939948 180.040073773119 -235.162195498645</t>
  </si>
  <si>
    <t>-537.040755354471 230.203875502765 215.346773285516</t>
  </si>
  <si>
    <t>-630.267739876095 244.006991036421 675.636843613451</t>
  </si>
  <si>
    <t>-476.869261429161 231.485749612238 760.816820116847</t>
  </si>
  <si>
    <t>-628.727960680945 2.19702359656627 219.459705768796</t>
  </si>
  <si>
    <t>-658.836177650455 8.45882157821308 688.335217254176</t>
  </si>
  <si>
    <t>-502.19907568247 -31.1324867018059 757.911443058682</t>
  </si>
  <si>
    <t>9763-20170724T164156.391893600.bin</t>
  </si>
  <si>
    <t>-602.857830878771 83.9325647948949 -235.896108272449</t>
  </si>
  <si>
    <t>-625.349278359147 88.8666193723669 -354.797684463146</t>
  </si>
  <si>
    <t>-630.879725553685 79.6679497265004 -475.526161634323</t>
  </si>
  <si>
    <t>-628.829454584258 65.6942465350521 -584.132793716023</t>
  </si>
  <si>
    <t>-619.849028944507 46.1597071183887 -691.522730527839</t>
  </si>
  <si>
    <t>-600.190916054348 13.2983491977493 -838.946174317603</t>
  </si>
  <si>
    <t>-602.622944866154 58.4290625525909 -779.699153911005</t>
  </si>
  <si>
    <t>-569.437992211355 201.686866893098 -780.320313763271</t>
  </si>
  <si>
    <t>-434.904258626843 232.041131602296 -495.424770782353</t>
  </si>
  <si>
    <t>-236.218615619916 200.201315706486 -330.645178148521</t>
  </si>
  <si>
    <t>-583.683359932496 179.633897516292 -235.12650592895</t>
  </si>
  <si>
    <t>-536.81438937225 229.880974971781 215.357925787409</t>
  </si>
  <si>
    <t>-630.282721121424 244.038491723336 675.611535683806</t>
  </si>
  <si>
    <t>-476.901236590862 231.366303317994 760.799920286922</t>
  </si>
  <si>
    <t>-628.758264139028 1.89582669475738 219.499456994826</t>
  </si>
  <si>
    <t>-658.865407665298 8.34169198256595 688.349529231609</t>
  </si>
  <si>
    <t>-502.432507044218 -32.0514282183065 757.924204214863</t>
  </si>
  <si>
    <t>9763-20170724T164156.422048000.bin</t>
  </si>
  <si>
    <t>-602.848962095942 83.7571538454117 -235.892869088411</t>
  </si>
  <si>
    <t>-625.384032855384 88.6919276458508 -354.786096386539</t>
  </si>
  <si>
    <t>-631.021487946384 79.4547948003168 -475.506718754914</t>
  </si>
  <si>
    <t>-629.094020865139 65.4290925383486 -584.108889982806</t>
  </si>
  <si>
    <t>-620.262509855354 45.8244531396851 -691.498509835753</t>
  </si>
  <si>
    <t>-600.838518011923 12.8461141177153 -838.926922820963</t>
  </si>
  <si>
    <t>-603.1368189475 58.0170475895423 -779.704983863849</t>
  </si>
  <si>
    <t>-569.791365682988 201.229044577962 -780.473219159171</t>
  </si>
  <si>
    <t>-435.260990174617 231.741088695096 -495.592895611108</t>
  </si>
  <si>
    <t>-236.561099947814 199.59731248117 -330.889585837765</t>
  </si>
  <si>
    <t>-583.630650638228 179.355891705541 -235.114963204607</t>
  </si>
  <si>
    <t>-536.682760959603 229.835097419547 215.335202804166</t>
  </si>
  <si>
    <t>-630.298162187044 244.054475619236 675.588516428484</t>
  </si>
  <si>
    <t>-476.913809788056 231.35297122488 760.767333453169</t>
  </si>
  <si>
    <t>-628.752299569306 1.83448951721678 219.515652055185</t>
  </si>
  <si>
    <t>-658.859402325229 8.43052080132978 688.350312320203</t>
  </si>
  <si>
    <t>-502.16031002786 -30.9950495368362 757.881073393782</t>
  </si>
  <si>
    <t>9763-20170724T164156.491242100.bin</t>
  </si>
  <si>
    <t>-602.918320201711 83.3062281585354 -235.860560464453</t>
  </si>
  <si>
    <t>-625.500330322757 88.2453977003084 -354.744862934578</t>
  </si>
  <si>
    <t>-631.327808189363 78.9385912996157 -475.451157674242</t>
  </si>
  <si>
    <t>-629.63006570823 64.8184815148421 -584.044829776734</t>
  </si>
  <si>
    <t>-621.085651258102 45.0872386835051 -691.4342782981</t>
  </si>
  <si>
    <t>-602.119700062582 11.8984271737221 -838.875147928815</t>
  </si>
  <si>
    <t>-604.163224555154 57.1416116806135 -779.699185654155</t>
  </si>
  <si>
    <t>-570.538088161369 200.285466508258 -780.717815508891</t>
  </si>
  <si>
    <t>-435.906923836585 231.023504280603 -495.909576253564</t>
  </si>
  <si>
    <t>-237.315129533426 198.314729711165 -331.186985948236</t>
  </si>
  <si>
    <t>-583.655476789533 179.030581512652 -235.124053717672</t>
  </si>
  <si>
    <t>-536.549635988232 229.697770086982 215.2885743409</t>
  </si>
  <si>
    <t>-630.315343183412 244.052410888756 675.513521769678</t>
  </si>
  <si>
    <t>-476.929930937562 231.31588892507 760.685065933186</t>
  </si>
  <si>
    <t>-628.856407733592 1.49631081633967 219.553875580353</t>
  </si>
  <si>
    <t>-658.885861184779 8.26533615070696 688.370717660344</t>
  </si>
  <si>
    <t>-502.472711581078 -32.224871868917 757.933432274708</t>
  </si>
  <si>
    <t>9763-20170724T164156.521324500.bin</t>
  </si>
  <si>
    <t>-602.90957028962 83.2408222260409 -235.856581519469</t>
  </si>
  <si>
    <t>-625.509280560882 88.1718231138035 -354.737744645592</t>
  </si>
  <si>
    <t>-631.413720936919 78.8227053043491 -475.43701831831</t>
  </si>
  <si>
    <t>-629.809512389884 64.6499699033561 -584.025159956669</t>
  </si>
  <si>
    <t>-621.382509582543 44.8514859352721 -691.411674486409</t>
  </si>
  <si>
    <t>-602.604343012915 11.5536746999291 -838.851996395408</t>
  </si>
  <si>
    <t>-604.546787582386 56.8360875837102 -779.702638544767</t>
  </si>
  <si>
    <t>-570.844090312274 199.96423507614 -780.855917313178</t>
  </si>
  <si>
    <t>-436.100244404236 230.761959744161 -496.107198773849</t>
  </si>
  <si>
    <t>-237.699142225473 197.732035254343 -331.219089322597</t>
  </si>
  <si>
    <t>-583.606191113671 179.008996318403 -235.137100511544</t>
  </si>
  <si>
    <t>-536.405331688076 229.660088792168 215.267468693446</t>
  </si>
  <si>
    <t>-630.32641069845 244.064008522688 675.473771405473</t>
  </si>
  <si>
    <t>-476.935585076658 231.308615405065 760.632859258292</t>
  </si>
  <si>
    <t>-628.851450789699 1.44927570374999 219.568351621372</t>
  </si>
  <si>
    <t>-658.886033392077 8.28996054483341 688.379835944046</t>
  </si>
  <si>
    <t>-502.350741260649 -31.7661784545236 757.91911615055</t>
  </si>
  <si>
    <t>9763-20170724T164156.588003400.bin</t>
  </si>
  <si>
    <t>-602.945155515597 82.9312215751451 -235.85718799783</t>
  </si>
  <si>
    <t>-625.635902729508 87.847968796161 -354.721626538933</t>
  </si>
  <si>
    <t>-631.695684454308 78.4407127163036 -475.408554764333</t>
  </si>
  <si>
    <t>-630.259127242264 64.1951583704563 -583.989671484243</t>
  </si>
  <si>
    <t>-622.027459069009 44.3021774871109 -691.373895804478</t>
  </si>
  <si>
    <t>-603.550030017997 10.8490083305364 -838.817021931885</t>
  </si>
  <si>
    <t>-605.329812253782 56.1863162656232 -779.704622399575</t>
  </si>
  <si>
    <t>-571.403018334475 199.261465034327 -781.10965543054</t>
  </si>
  <si>
    <t>-436.452779477102 230.299144526981 -496.484824910172</t>
  </si>
  <si>
    <t>-237.834502800765 198.226508816098 -331.669215199089</t>
  </si>
  <si>
    <t>-583.701355736564 178.638271823982 -235.130772988379</t>
  </si>
  <si>
    <t>-536.220953143462 229.558271073675 215.214028275883</t>
  </si>
  <si>
    <t>-630.348299212466 244.053811683201 675.370167554407</t>
  </si>
  <si>
    <t>-476.947761909566 231.312554063187 760.513771785462</t>
  </si>
  <si>
    <t>-628.836858452003 1.21904146223208 219.587207635054</t>
  </si>
  <si>
    <t>-658.919726329791 8.20620726078828 688.391198180938</t>
  </si>
  <si>
    <t>-502.471862685137 -32.1978669825586 757.926021490507</t>
  </si>
  <si>
    <t>9763-20170724T164156.624222800.bin</t>
  </si>
  <si>
    <t>-603.017518850273 82.8547505154646 -235.858412949613</t>
  </si>
  <si>
    <t>-625.705102185849 87.7182378316495 -354.725571649781</t>
  </si>
  <si>
    <t>-631.796949064783 78.2634592279022 -475.407286961764</t>
  </si>
  <si>
    <t>-630.404835042179 63.9759531468537 -583.983382968903</t>
  </si>
  <si>
    <t>-622.2337779101 44.0408779398809 -691.364461773836</t>
  </si>
  <si>
    <t>-603.85800469621 10.528137360823 -838.806613502752</t>
  </si>
  <si>
    <t>-605.591548543785 55.8883718404649 -779.710440175132</t>
  </si>
  <si>
    <t>-571.732621375574 198.96582803767 -781.263929653161</t>
  </si>
  <si>
    <t>-435.95139734162 230.073365747425 -497.042127198875</t>
  </si>
  <si>
    <t>-235.756325809422 201.15153783939 -333.556641221923</t>
  </si>
  <si>
    <t>-583.769538535077 178.642186019679 -235.180168696795</t>
  </si>
  <si>
    <t>-536.298706533498 229.506260613187 215.171952565196</t>
  </si>
  <si>
    <t>-630.379992471157 244.039802594113 675.34169787689</t>
  </si>
  <si>
    <t>-476.955168619996 231.346182979197 760.448732349786</t>
  </si>
  <si>
    <t>-628.746315380058 1.12706988375737 219.599790082904</t>
  </si>
  <si>
    <t>-658.924745406626 8.18228709444642 688.397570200941</t>
  </si>
  <si>
    <t>-502.587343616451 -32.6371205814001 757.938286570553</t>
  </si>
  <si>
    <t>9763-20170724T164156.691902700.bin</t>
  </si>
  <si>
    <t>-603.288607554588 82.6290326502225 -235.772626185768</t>
  </si>
  <si>
    <t>-626.047580193544 87.4987906826594 -354.626019510399</t>
  </si>
  <si>
    <t>-632.165929181385 78.0495497084664 -475.306821777608</t>
  </si>
  <si>
    <t>-630.78495837332 63.7601035586124 -583.882725414171</t>
  </si>
  <si>
    <t>-622.615834610603 43.8121886218554 -691.261468317715</t>
  </si>
  <si>
    <t>-604.236450975434 10.266540007584 -838.695856338743</t>
  </si>
  <si>
    <t>-605.963077034662 55.6385092672351 -779.60839734531</t>
  </si>
  <si>
    <t>-572.045577778263 198.72139310498 -781.427244194299</t>
  </si>
  <si>
    <t>-433.845330617827 231.197303359596 -498.527590898456</t>
  </si>
  <si>
    <t>-229.990956316644 208.134020109987 -338.6729718998</t>
  </si>
  <si>
    <t>-584.342372487362 178.411723874696 -235.018172196027</t>
  </si>
  <si>
    <t>-536.172127958088 229.625278513944 215.220155443274</t>
  </si>
  <si>
    <t>-630.512794203669 244.037847610831 675.353197623629</t>
  </si>
  <si>
    <t>-476.977970293281 231.454233143037 760.278063719374</t>
  </si>
  <si>
    <t>-628.702246752123 0.949015173373425 219.636257833391</t>
  </si>
  <si>
    <t>-658.916338192532 8.394340677625 688.397437525656</t>
  </si>
  <si>
    <t>-502.29234184648 -31.4110524761972 757.881087178212</t>
  </si>
  <si>
    <t>9763-20170724T164156.724418500.bin</t>
  </si>
  <si>
    <t>-603.455056348091 82.5519433036258 -235.721431638795</t>
  </si>
  <si>
    <t>-626.208006469808 87.4357487671369 -354.575378333887</t>
  </si>
  <si>
    <t>-632.326325397608 77.9533969152555 -475.253540624515</t>
  </si>
  <si>
    <t>-630.949352813899 63.613579195123 -583.822943263382</t>
  </si>
  <si>
    <t>-622.789502781469 43.5940299186463 -691.189105787874</t>
  </si>
  <si>
    <t>-604.429587863823 9.92618273613499 -838.597959959581</t>
  </si>
  <si>
    <t>-606.15127059962 55.3475983123405 -779.548535139471</t>
  </si>
  <si>
    <t>-572.278889950981 198.440388653391 -781.550052097442</t>
  </si>
  <si>
    <t>-432.894755804379 231.798751975959 -499.33472274757</t>
  </si>
  <si>
    <t>-227.290106520968 210.876243115588 -341.439070126006</t>
  </si>
  <si>
    <t>-584.611637064308 178.342208131247 -234.934368602134</t>
  </si>
  <si>
    <t>-536.045849417948 229.780736058661 215.235712131907</t>
  </si>
  <si>
    <t>-630.589841649942 244.02203258765 675.35949846003</t>
  </si>
  <si>
    <t>-476.990748900963 231.507941430726 760.178302995054</t>
  </si>
  <si>
    <t>-628.801720639309 0.81529586101496 219.642998080956</t>
  </si>
  <si>
    <t>-658.951856813033 8.26288853577371 688.40825636397</t>
  </si>
  <si>
    <t>-502.372481807879 -31.7361405131912 757.881268276549</t>
  </si>
  <si>
    <t>9763-20170724T164156.792594900.bin</t>
  </si>
  <si>
    <t>-603.7983967338 82.4920507647523 -235.630631692165</t>
  </si>
  <si>
    <t>-626.569671518213 87.4566365863575 -354.477723967225</t>
  </si>
  <si>
    <t>-632.596546064377 77.9100229593554 -475.155313518629</t>
  </si>
  <si>
    <t>-631.089765287205 63.4585780283288 -583.708321918339</t>
  </si>
  <si>
    <t>-622.752142023335 43.2777790656193 -691.030575341489</t>
  </si>
  <si>
    <t>-604.09571633412 9.33850638608615 -838.340043341128</t>
  </si>
  <si>
    <t>-606.002374668748 54.8801922757216 -779.388867984216</t>
  </si>
  <si>
    <t>-572.523600708195 198.048478262373 -781.814783282804</t>
  </si>
  <si>
    <t>-431.053909656519 234.452449008675 -501.017240327911</t>
  </si>
  <si>
    <t>-223.433086953117 215.069732468398 -345.582470107665</t>
  </si>
  <si>
    <t>-585.088646349928 178.471902309788 -234.770767282717</t>
  </si>
  <si>
    <t>-535.627269347671 229.981559397365 215.293707311451</t>
  </si>
  <si>
    <t>-630.716920025627 243.953074872485 675.320881090245</t>
  </si>
  <si>
    <t>-477.012543276908 231.564988428137 759.967291218462</t>
  </si>
  <si>
    <t>-629.241866102273 0.566175802769102 219.647842786881</t>
  </si>
  <si>
    <t>-659.00888595348 8.10618472861744 688.425613072309</t>
  </si>
  <si>
    <t>-502.585356717391 -32.5013443235961 757.896562479532</t>
  </si>
  <si>
    <t>9763-20170724T164156.823329700.bin</t>
  </si>
  <si>
    <t>-603.805941851988 82.5535632599725 -235.632602789698</t>
  </si>
  <si>
    <t>-626.537398078609 87.5407151328696 -354.486402376147</t>
  </si>
  <si>
    <t>-632.478774240234 77.9445084995446 -475.164302604412</t>
  </si>
  <si>
    <t>-630.874107357899 63.4227169933745 -583.706429412781</t>
  </si>
  <si>
    <t>-622.417725069284 43.148833566303 -691.001969782275</t>
  </si>
  <si>
    <t>-603.573902931579 9.05920983950469 -838.25273617342</t>
  </si>
  <si>
    <t>-605.594580895545 54.6678258044568 -779.357246649355</t>
  </si>
  <si>
    <t>-572.28112221041 197.871922559779 -781.952612156167</t>
  </si>
  <si>
    <t>-430.089857053998 235.800349841042 -501.721861960025</t>
  </si>
  <si>
    <t>-221.839305351479 216.644129387765 -347.103671225317</t>
  </si>
  <si>
    <t>-585.071518490733 178.579147452651 -234.77911547177</t>
  </si>
  <si>
    <t>-535.376576470632 230.03112147959 215.266143474352</t>
  </si>
  <si>
    <t>-630.731252298722 243.890555249695 675.231455539838</t>
  </si>
  <si>
    <t>-477.013492949654 231.61224589645 759.86947199235</t>
  </si>
  <si>
    <t>-629.343517179061 0.613182017919669 219.632469843403</t>
  </si>
  <si>
    <t>-658.991690565606 8.28729070140813 688.418949217188</t>
  </si>
  <si>
    <t>-502.185885665339 -30.8964590782683 757.845761896262</t>
  </si>
  <si>
    <t>9763-20170724T164156.892518500.bin</t>
  </si>
  <si>
    <t>-603.564738457715 82.6661946545367 -235.692653078488</t>
  </si>
  <si>
    <t>-626.18056682728 87.6221832837033 -354.569769935376</t>
  </si>
  <si>
    <t>-631.932965829077 77.8810424502328 -475.245359359419</t>
  </si>
  <si>
    <t>-630.128361903065 63.1857899760721 -583.760914420583</t>
  </si>
  <si>
    <t>-621.443630446393 42.6986502395161 -690.99764851488</t>
  </si>
  <si>
    <t>-602.254297144182 8.27426348382568 -838.125858118893</t>
  </si>
  <si>
    <t>-604.450939577958 54.0232084502815 -779.345550519014</t>
  </si>
  <si>
    <t>-571.3738892624 197.269091038024 -782.159221835224</t>
  </si>
  <si>
    <t>-428.258999300664 236.791431241432 -502.619847872388</t>
  </si>
  <si>
    <t>-220.899252552944 216.184765507837 -346.994204530716</t>
  </si>
  <si>
    <t>-584.888921548471 178.577923474941 -234.865189187697</t>
  </si>
  <si>
    <t>-535.229484762381 230.150561304796 215.170178592028</t>
  </si>
  <si>
    <t>-630.702364729006 243.853930409053 675.042661975023</t>
  </si>
  <si>
    <t>-476.999803422429 231.728139259604 759.730377257244</t>
  </si>
  <si>
    <t>-629.330322190788 0.737749568643117 219.578934624508</t>
  </si>
  <si>
    <t>-658.986042989103 8.35231737753384 688.403365597614</t>
  </si>
  <si>
    <t>-502.162358819252 -30.736179189524 757.843438193086</t>
  </si>
  <si>
    <t>9763-20170724T164156.927161300.bin</t>
  </si>
  <si>
    <t>-603.300263918615 82.8330448955929 -235.810615819462</t>
  </si>
  <si>
    <t>-625.946332007293 87.7586223590966 -354.683306727057</t>
  </si>
  <si>
    <t>-631.656601155276 77.9781022986118 -475.357696402578</t>
  </si>
  <si>
    <t>-629.785075101342 63.243562047346 -583.866811193272</t>
  </si>
  <si>
    <t>-621.005729537272 42.7138640001949 -691.087607404045</t>
  </si>
  <si>
    <t>-601.656998396196 8.22738432136703 -838.180528605191</t>
  </si>
  <si>
    <t>-603.916135798565 54.0009530420718 -779.421608454264</t>
  </si>
  <si>
    <t>-570.744827408743 197.230310665048 -782.212389745819</t>
  </si>
  <si>
    <t>-427.954013657923 236.619044802409 -502.488476146077</t>
  </si>
  <si>
    <t>-221.764086544021 214.638397573123 -345.502335608703</t>
  </si>
  <si>
    <t>-584.611737475905 178.805781134077 -235.015630646666</t>
  </si>
  <si>
    <t>-535.356152783522 230.190600128331 215.085656816178</t>
  </si>
  <si>
    <t>-630.677422254308 243.862992564605 674.979554621446</t>
  </si>
  <si>
    <t>-476.991212265963 231.782217479444 759.703238211805</t>
  </si>
  <si>
    <t>-629.221631068641 0.783458296646266 219.547812977838</t>
  </si>
  <si>
    <t>-659.007146485868 8.16549514975507 688.395491092618</t>
  </si>
  <si>
    <t>-502.547349690051 -32.2696055107819 757.885344732439</t>
  </si>
  <si>
    <t>9763-20170724T164156.989830600.bin</t>
  </si>
  <si>
    <t>-602.793771975938 83.4438205773319 -236.00932957062</t>
  </si>
  <si>
    <t>-625.313908824552 88.269543881767 -354.909946663822</t>
  </si>
  <si>
    <t>-630.853781645704 78.4050134243702 -475.585429363541</t>
  </si>
  <si>
    <t>-628.809488266837 63.604702807699 -584.082603197748</t>
  </si>
  <si>
    <t>-619.838265193069 43.0218048741964 -691.277282618671</t>
  </si>
  <si>
    <t>-600.202588114292 8.4764224664481 -838.318312802824</t>
  </si>
  <si>
    <t>-602.598510398223 54.2772707466073 -779.586190836562</t>
  </si>
  <si>
    <t>-569.422489118808 197.507138761857 -782.25191358005</t>
  </si>
  <si>
    <t>-427.417285626703 236.540745093153 -502.07866267808</t>
  </si>
  <si>
    <t>-223.611792813459 211.578836755019 -342.446861641553</t>
  </si>
  <si>
    <t>-584.003370307618 179.334229166359 -235.357380153204</t>
  </si>
  <si>
    <t>-535.778993269415 230.217479517012 214.912533099487</t>
  </si>
  <si>
    <t>-630.561235775394 243.896700119374 674.8656633994</t>
  </si>
  <si>
    <t>-476.958645234177 231.832219457721 759.743257351748</t>
  </si>
  <si>
    <t>-628.99241992592 1.30700120798489 219.462083649018</t>
  </si>
  <si>
    <t>-658.936554583988 8.40166267339359 688.3503069021</t>
  </si>
  <si>
    <t>-502.287183974269 -31.2853671638972 757.844345783437</t>
  </si>
  <si>
    <t>9763-20170724T164157.020478300.bin</t>
  </si>
  <si>
    <t>-602.552344420352 83.7092119656564 -236.100729842527</t>
  </si>
  <si>
    <t>-625.027885822477 88.5240912463924 -355.010215716469</t>
  </si>
  <si>
    <t>-630.507614558337 78.6356087744198 -475.686604372281</t>
  </si>
  <si>
    <t>-628.401817953181 63.8104070800287 -584.179088396422</t>
  </si>
  <si>
    <t>-619.36142369564 43.2007085624415 -691.36282372803</t>
  </si>
  <si>
    <t>-599.621282367996 8.61749161999649 -838.380922484112</t>
  </si>
  <si>
    <t>-602.057106099531 54.4331530593036 -779.662063079867</t>
  </si>
  <si>
    <t>-568.817437848995 197.659020740955 -782.261490700297</t>
  </si>
  <si>
    <t>-427.580640904552 236.179401499079 -501.62916851971</t>
  </si>
  <si>
    <t>-224.463644767314 210.377650590999 -341.255275056679</t>
  </si>
  <si>
    <t>-583.651747369255 179.565781269518 -235.481861398394</t>
  </si>
  <si>
    <t>-535.902836442745 230.250338473309 214.861137896345</t>
  </si>
  <si>
    <t>-630.492600818929 243.940132788653 674.837936603948</t>
  </si>
  <si>
    <t>-476.94770698836 231.812327676431 759.810825744214</t>
  </si>
  <si>
    <t>-628.923036627807 1.43355726550702 219.418327009318</t>
  </si>
  <si>
    <t>-658.935337394348 8.27922851897205 688.329343932745</t>
  </si>
  <si>
    <t>-502.393543072464 -31.7726581752664 757.856409101663</t>
  </si>
  <si>
    <t>9763-20170724T164157.092674500.bin</t>
  </si>
  <si>
    <t>-602.176511527856 84.0929899430975 -236.17204261533</t>
  </si>
  <si>
    <t>-624.56916035455 88.9071250812084 -355.097174726246</t>
  </si>
  <si>
    <t>-629.917474038294 78.9835246504004 -475.776442774721</t>
  </si>
  <si>
    <t>-627.673901305431 64.1136885601548 -584.260066754793</t>
  </si>
  <si>
    <t>-618.477487997668 43.4475750636262 -691.419774898051</t>
  </si>
  <si>
    <t>-598.502598464501 8.77491636735991 -838.385001549107</t>
  </si>
  <si>
    <t>-601.00609667676 54.6218189571912 -779.693497030852</t>
  </si>
  <si>
    <t>-567.549528468572 197.770673702165 -782.163735618226</t>
  </si>
  <si>
    <t>-427.464280123078 235.523903171551 -500.850789883542</t>
  </si>
  <si>
    <t>-223.306032317181 210.924022769963 -341.614149408833</t>
  </si>
  <si>
    <t>-583.067106261779 179.942823404916 -235.561955456625</t>
  </si>
  <si>
    <t>-535.896070945935 230.305085436289 214.878014353977</t>
  </si>
  <si>
    <t>-630.386885103503 243.998948890173 674.847132544938</t>
  </si>
  <si>
    <t>-476.927209731909 231.812223239299 759.965501684934</t>
  </si>
  <si>
    <t>-628.903780091415 1.67166892268549 219.355271430781</t>
  </si>
  <si>
    <t>-658.914259414135 8.25428339119307 688.294654386141</t>
  </si>
  <si>
    <t>-502.511560363161 -32.2494346958062 757.873023534914</t>
  </si>
  <si>
    <t>9763-20170724T164157.125777800.bin</t>
  </si>
  <si>
    <t>-602.024932661108 84.325354380637 -236.180629152543</t>
  </si>
  <si>
    <t>-624.368533981841 89.164335007426 -355.114007424276</t>
  </si>
  <si>
    <t>-629.667673265928 79.3012404894864 -475.800380628049</t>
  </si>
  <si>
    <t>-627.379672674599 64.5003815685521 -584.292616883471</t>
  </si>
  <si>
    <t>-618.138715093467 43.9174102831039 -691.464463879956</t>
  </si>
  <si>
    <t>-598.101377269042 9.37463518547449 -838.45190437419</t>
  </si>
  <si>
    <t>-600.619504512002 55.167898661078 -779.718870355581</t>
  </si>
  <si>
    <t>-567.030846045485 198.31064092045 -782.047935343244</t>
  </si>
  <si>
    <t>-427.083077237294 235.673046207333 -500.61434724404</t>
  </si>
  <si>
    <t>-222.813208448856 211.451207067629 -341.462922788065</t>
  </si>
  <si>
    <t>-582.842061994546 180.183184087657 -235.560902875363</t>
  </si>
  <si>
    <t>-535.880675050551 230.346119279345 214.923270040475</t>
  </si>
  <si>
    <t>-630.355064097996 244.024787168029 674.890795443966</t>
  </si>
  <si>
    <t>-476.923880162093 231.810320479859 760.056510209734</t>
  </si>
  <si>
    <t>-628.827818757582 1.8638891775964 219.345786462758</t>
  </si>
  <si>
    <t>-658.898568376897 8.30306259693586 688.280032818443</t>
  </si>
  <si>
    <t>-502.200593141224 -31.0986880905016 757.826764981968</t>
  </si>
  <si>
    <t>9763-20170724T164157.189442100.bin</t>
  </si>
  <si>
    <t>-601.784065980361 84.5312230642451 -236.166152945248</t>
  </si>
  <si>
    <t>-624.039739290993 89.3825102916778 -355.115549820798</t>
  </si>
  <si>
    <t>-629.231215774928 79.4954989255424 -475.804612441981</t>
  </si>
  <si>
    <t>-626.836133127935 64.6620866979143 -584.290143400235</t>
  </si>
  <si>
    <t>-617.47737347813 44.038335740669 -691.443851649557</t>
  </si>
  <si>
    <t>-597.264268853385 9.43272274200994 -838.392403367049</t>
  </si>
  <si>
    <t>-599.866559190557 55.2534733984849 -779.68459026482</t>
  </si>
  <si>
    <t>-566.398174076334 198.431188158478 -781.889957917804</t>
  </si>
  <si>
    <t>-427.224114050655 235.226981164491 -499.998375783785</t>
  </si>
  <si>
    <t>-222.900630430532 210.674411727091 -340.966353138119</t>
  </si>
  <si>
    <t>-582.521152834129 180.276823919817 -235.502315307883</t>
  </si>
  <si>
    <t>-536.013832610181 230.514082767646 215.020651104801</t>
  </si>
  <si>
    <t>-630.328051518546 244.086692327592 675.013660003438</t>
  </si>
  <si>
    <t>-476.919466109064 231.825052495621 760.213291209345</t>
  </si>
  <si>
    <t>-628.835091368174 1.93608024973494 219.335175746127</t>
  </si>
  <si>
    <t>-658.900846036339 8.17530302530933 688.269317919024</t>
  </si>
  <si>
    <t>-502.57581421876 -32.5853726164879 757.872129770807</t>
  </si>
  <si>
    <t>9763-20170724T164157.222972500.bin</t>
  </si>
  <si>
    <t>-601.59604088281 84.653112467802 -236.147780202582</t>
  </si>
  <si>
    <t>-623.760490042754 89.4880169410352 -355.114931928848</t>
  </si>
  <si>
    <t>-628.820266665268 79.5609302591033 -475.806274149982</t>
  </si>
  <si>
    <t>-626.288418990924 64.6851891341324 -584.282843834961</t>
  </si>
  <si>
    <t>-616.774628077681 44.0153424092619 -691.414086287676</t>
  </si>
  <si>
    <t>-596.327019760217 9.3442501071967 -838.314740854258</t>
  </si>
  <si>
    <t>-599.049435242312 55.195720304942 -779.63634694527</t>
  </si>
  <si>
    <t>-565.674794740862 198.377538578713 -781.802495663081</t>
  </si>
  <si>
    <t>-426.911271027136 235.461023863571 -499.746344424478</t>
  </si>
  <si>
    <t>-222.703041054554 210.571327434776 -340.618981329058</t>
  </si>
  <si>
    <t>-582.276709559505 180.47537543967 -235.525111791589</t>
  </si>
  <si>
    <t>-536.074051758593 230.506708184842 215.052136637917</t>
  </si>
  <si>
    <t>-630.319249459781 244.111814353497 675.076609354452</t>
  </si>
  <si>
    <t>-476.921676211487 231.81906074955 760.291464377863</t>
  </si>
  <si>
    <t>-628.858910925819 2.01770158759107 219.340857648488</t>
  </si>
  <si>
    <t>-658.889647251273 8.22744071338306 688.265156732298</t>
  </si>
  <si>
    <t>-502.407157331982 -31.9552486003551 757.850210403687</t>
  </si>
  <si>
    <t>9763-20170724T164157.288648400.bin</t>
  </si>
  <si>
    <t>-601.120753405108 85.0111510867485 -236.175999694798</t>
  </si>
  <si>
    <t>-623.207799339286 89.8204098458403 -355.158608850056</t>
  </si>
  <si>
    <t>-628.053052139835 79.8473895591917 -475.854981731839</t>
  </si>
  <si>
    <t>-625.272829391994 64.9236577296859 -584.318776626114</t>
  </si>
  <si>
    <t>-615.458074368727 44.2009442836312 -691.412693895904</t>
  </si>
  <si>
    <t>-594.539036030928 9.45309266150508 -838.228858611564</t>
  </si>
  <si>
    <t>-597.459768034971 55.3368830682068 -779.585254727632</t>
  </si>
  <si>
    <t>-564.193049860345 198.5570126442 -781.670249512391</t>
  </si>
  <si>
    <t>-426.246162459717 236.289824860777 -499.299871379635</t>
  </si>
  <si>
    <t>-222.7742916922 209.846998612629 -339.481095948759</t>
  </si>
  <si>
    <t>-581.756557873208 180.808464773189 -235.542865944988</t>
  </si>
  <si>
    <t>-536.08852164886 230.553370656244 215.120596563257</t>
  </si>
  <si>
    <t>-630.292535091343 244.149380436128 675.173565193227</t>
  </si>
  <si>
    <t>-476.923838212616 231.80198137297 760.432509110434</t>
  </si>
  <si>
    <t>-628.684976645232 2.25633504281434 219.344593572902</t>
  </si>
  <si>
    <t>-658.857457340617 8.3254179691636 688.266947340173</t>
  </si>
  <si>
    <t>-502.289232039177 -31.528929906073 757.848005537201</t>
  </si>
  <si>
    <t>9763-20170724T164157.325768800.bin</t>
  </si>
  <si>
    <t>-600.862241129475 85.0889764022354 -236.155287721886</t>
  </si>
  <si>
    <t>-622.877053272965 89.8671459743253 -355.152368789707</t>
  </si>
  <si>
    <t>-627.62611199844 79.8686722261202 -475.850504106464</t>
  </si>
  <si>
    <t>-624.750796779704 64.924257768132 -584.309052902273</t>
  </si>
  <si>
    <t>-614.833306307302 44.1831153322251 -691.389860016841</t>
  </si>
  <si>
    <t>-593.764501787472 9.41215540307087 -838.179048889169</t>
  </si>
  <si>
    <t>-596.737938319249 55.3039354605244 -779.5445503654</t>
  </si>
  <si>
    <t>-563.350208912745 198.492885238127 -781.605155110617</t>
  </si>
  <si>
    <t>-425.889059388332 236.296762072041 -499.007310263607</t>
  </si>
  <si>
    <t>-222.834961303636 209.177296513314 -338.77132609925</t>
  </si>
  <si>
    <t>-581.494755288927 180.800956921685 -235.523301392312</t>
  </si>
  <si>
    <t>-536.026222503523 230.621068717835 215.15195519146</t>
  </si>
  <si>
    <t>-630.273325275648 244.149517072143 675.193447599062</t>
  </si>
  <si>
    <t>-476.920971059779 231.833322057562 760.486335171028</t>
  </si>
  <si>
    <t>-628.591864660257 2.32946164911908 219.356354736948</t>
  </si>
  <si>
    <t>-658.850372695888 8.31130957924735 688.272145265435</t>
  </si>
  <si>
    <t>-502.277040205958 -31.5170333203251 757.856635961088</t>
  </si>
  <si>
    <t>9763-20170724T164157.359860900.bin</t>
  </si>
  <si>
    <t>-600.559645088493 85.1790935390067 -236.132262056064</t>
  </si>
  <si>
    <t>-622.48557948866 89.9082289262507 -355.147746156346</t>
  </si>
  <si>
    <t>-627.136325711624 79.8658875546004 -475.846168770436</t>
  </si>
  <si>
    <t>-624.168673970497 64.8850088429829 -584.297157186439</t>
  </si>
  <si>
    <t>-614.15561915221 44.111492417695 -691.362796967556</t>
  </si>
  <si>
    <t>-592.950904046635 9.30034489665263 -838.123009274225</t>
  </si>
  <si>
    <t>-595.980170890729 55.2084789734515 -779.503942319755</t>
  </si>
  <si>
    <t>-562.587323044828 198.397059207671 -781.538936670025</t>
  </si>
  <si>
    <t>-425.418078888735 236.02494249087 -498.775823985023</t>
  </si>
  <si>
    <t>-223.620438928562 207.632248114158 -337.178774856502</t>
  </si>
  <si>
    <t>-581.151668860214 180.817918329013 -235.525073986989</t>
  </si>
  <si>
    <t>-535.991985095062 230.65144699108 215.179707272509</t>
  </si>
  <si>
    <t>-630.266193100145 244.17741229467 675.227140485167</t>
  </si>
  <si>
    <t>-476.922160993234 231.830934637661 760.530670339216</t>
  </si>
  <si>
    <t>-628.483602207544 2.42120014885201 219.388819304436</t>
  </si>
  <si>
    <t>-658.823767588372 8.45575211592208 688.278135945159</t>
  </si>
  <si>
    <t>-501.957847326276 -30.2703569803052 757.825851938231</t>
  </si>
  <si>
    <t>9763-20170724T164157.423571000.bin</t>
  </si>
  <si>
    <t>-600.162724794516 85.0591667825244 -236.067817983117</t>
  </si>
  <si>
    <t>-622.09526354549 89.7697792173712 -355.082863487201</t>
  </si>
  <si>
    <t>-626.653654623883 79.7672406897852 -475.787928517348</t>
  </si>
  <si>
    <t>-623.563974914415 64.844887891741 -584.243632190393</t>
  </si>
  <si>
    <t>-613.391585460852 44.1517722171973 -691.309837952201</t>
  </si>
  <si>
    <t>-591.927853580303 9.4746823320379 -838.064168596891</t>
  </si>
  <si>
    <t>-595.075099359272 55.331717810997 -779.411263526502</t>
  </si>
  <si>
    <t>-561.632919366866 198.513378150506 -781.296919003053</t>
  </si>
  <si>
    <t>-425.158196287601 234.899813119521 -498.035713931299</t>
  </si>
  <si>
    <t>-226.109686971925 203.951815373044 -333.524426732272</t>
  </si>
  <si>
    <t>-580.848165894822 180.801228053121 -235.430623523725</t>
  </si>
  <si>
    <t>-535.834145849376 230.802295430161 215.270209260586</t>
  </si>
  <si>
    <t>-630.318713294351 244.15982883176 675.322904053917</t>
  </si>
  <si>
    <t>-476.938507196781 231.87506920597 760.570191787021</t>
  </si>
  <si>
    <t>-628.291020528884 2.27398182339749 219.448057429019</t>
  </si>
  <si>
    <t>-658.858293740478 8.20077233285619 688.292141867105</t>
  </si>
  <si>
    <t>-502.501120729314 -32.4345561788894 757.896026324872</t>
  </si>
  <si>
    <t>9763-20170724T164157.491751300.bin</t>
  </si>
  <si>
    <t>-599.845550462676 84.9997776416957 -235.917210430474</t>
  </si>
  <si>
    <t>-621.657636318677 89.6556234125682 -354.956448494391</t>
  </si>
  <si>
    <t>-626.049946674663 79.69472289378 -475.671265620063</t>
  </si>
  <si>
    <t>-622.794582885572 64.8472978693209 -584.132266415714</t>
  </si>
  <si>
    <t>-612.442778612352 44.264673770774 -691.202551472753</t>
  </si>
  <si>
    <t>-590.716799720316 9.77650278357085 -837.962838010878</t>
  </si>
  <si>
    <t>-594.023885744681 55.5672953526882 -779.267053692187</t>
  </si>
  <si>
    <t>-560.625226010127 198.754226951217 -780.974643190304</t>
  </si>
  <si>
    <t>-424.486183874941 233.127294674296 -497.300798301731</t>
  </si>
  <si>
    <t>-228.073907848862 199.782807810673 -330.110962813268</t>
  </si>
  <si>
    <t>-580.66614145619 180.72557734407 -235.284793191974</t>
  </si>
  <si>
    <t>-535.767536364002 230.966258978447 215.400905217901</t>
  </si>
  <si>
    <t>-630.411457316477 244.143848888595 675.41767437382</t>
  </si>
  <si>
    <t>-476.951665184084 232.041745778155 760.547820172663</t>
  </si>
  <si>
    <t>-628.090128507788 2.24067183340644 219.525483937538</t>
  </si>
  <si>
    <t>-658.844808555561 8.24483957846074 688.337336812258</t>
  </si>
  <si>
    <t>-502.357454872928 -31.9483624661772 757.905434808064</t>
  </si>
  <si>
    <t>9763-20170724T164157.523379200.bin</t>
  </si>
  <si>
    <t>-599.610595410538 84.9730530603549 -235.903019690038</t>
  </si>
  <si>
    <t>-621.462289302792 89.6149053727893 -354.935522712294</t>
  </si>
  <si>
    <t>-625.808573818445 79.7249851365837 -475.657957220746</t>
  </si>
  <si>
    <t>-622.478362246157 64.9741311389418 -584.129917772043</t>
  </si>
  <si>
    <t>-612.019832303973 44.5188106063297 -691.214126356569</t>
  </si>
  <si>
    <t>-590.113272947135 10.2383841761668 -837.996057543976</t>
  </si>
  <si>
    <t>-593.524015633091 55.9513157498585 -779.245755801224</t>
  </si>
  <si>
    <t>-560.142767200753 199.140621532926 -780.762314437587</t>
  </si>
  <si>
    <t>-423.998048116048 232.408668668654 -496.959548476546</t>
  </si>
  <si>
    <t>-226.970731844311 200.107373665876 -330.289511718359</t>
  </si>
  <si>
    <t>-580.577956055817 180.669830369101 -235.232631810692</t>
  </si>
  <si>
    <t>-535.696811029177 231.048067345052 215.439566725817</t>
  </si>
  <si>
    <t>-630.448831076142 244.146677334938 675.434703171789</t>
  </si>
  <si>
    <t>-476.960146196166 232.082704070339 760.518171157791</t>
  </si>
  <si>
    <t>-627.919077782433 2.26049498759826 219.550790175656</t>
  </si>
  <si>
    <t>-658.834780986209 8.28339427780563 688.348248062116</t>
  </si>
  <si>
    <t>-502.117380689467 -31.0704380764534 757.878412662149</t>
  </si>
  <si>
    <t>9763-20170724T164157.588053100.bin</t>
  </si>
  <si>
    <t>-599.239424118821 84.894608862004 -235.81816212919</t>
  </si>
  <si>
    <t>-621.004843680942 89.4672384568366 -354.869339635689</t>
  </si>
  <si>
    <t>-625.16976485519 79.6613572742709 -475.604805891521</t>
  </si>
  <si>
    <t>-621.639317714775 65.0472491224744 -584.089056336147</t>
  </si>
  <si>
    <t>-610.945464319763 44.7879669294924 -691.187373064121</t>
  </si>
  <si>
    <t>-588.676560704711 10.8402702097924 -837.992165203911</t>
  </si>
  <si>
    <t>-592.316015016777 56.4338565704014 -779.162658962317</t>
  </si>
  <si>
    <t>-559.235578649827 199.715103489611 -780.321268488654</t>
  </si>
  <si>
    <t>-423.115919819122 231.4352115572 -496.329311064912</t>
  </si>
  <si>
    <t>-225.879522441741 199.402055481077 -329.854809364821</t>
  </si>
  <si>
    <t>-580.464876254879 180.614728436148 -235.125213805831</t>
  </si>
  <si>
    <t>-535.511490903713 231.23038088698 215.513128776983</t>
  </si>
  <si>
    <t>-630.535057375758 244.121378873128 675.462617229005</t>
  </si>
  <si>
    <t>-476.978468571616 232.197312359865 760.443205029576</t>
  </si>
  <si>
    <t>-627.657675351635 2.29925523108215 219.596119059384</t>
  </si>
  <si>
    <t>-658.817311226546 8.37514054537564 688.365290516566</t>
  </si>
  <si>
    <t>-501.875890836501 -30.1733882612515 757.841355479492</t>
  </si>
  <si>
    <t>9763-20170724T164157.625675200.bin</t>
  </si>
  <si>
    <t>-598.981149487951 84.7369253685823 -235.793158736716</t>
  </si>
  <si>
    <t>-620.747228821961 89.2990433665825 -354.844545302518</t>
  </si>
  <si>
    <t>-624.870520069167 79.521679814695 -475.583872925679</t>
  </si>
  <si>
    <t>-621.285768955907 64.948892949912 -584.071762716431</t>
  </si>
  <si>
    <t>-610.521329544775 44.745964201623 -691.173677244337</t>
  </si>
  <si>
    <t>-588.137863815625 10.8919894243326 -837.982683347997</t>
  </si>
  <si>
    <t>-591.863987805288 56.4547469044039 -779.134856494165</t>
  </si>
  <si>
    <t>-558.962809644955 199.783581810341 -780.200637950105</t>
  </si>
  <si>
    <t>-422.775906285542 230.910632208452 -496.175292849167</t>
  </si>
  <si>
    <t>-225.461125846314 198.792541715717 -329.810075661339</t>
  </si>
  <si>
    <t>-580.325234544173 180.414532382652 -235.083786593104</t>
  </si>
  <si>
    <t>-535.352124248778 231.249014841413 215.527937102744</t>
  </si>
  <si>
    <t>-630.561520113878 244.08504882861 675.444979085955</t>
  </si>
  <si>
    <t>-476.98170789981 232.295422435741 760.402344435408</t>
  </si>
  <si>
    <t>-627.496081081261 2.19895171225082 219.608621464172</t>
  </si>
  <si>
    <t>-658.809022943831 8.39769212802358 688.36773398819</t>
  </si>
  <si>
    <t>-502.041546933843 -30.828432702698 757.857045026844</t>
  </si>
  <si>
    <t>9763-20170724T164157.690360000.bin</t>
  </si>
  <si>
    <t>-598.401532086031 84.3459250684084 -235.741554434322</t>
  </si>
  <si>
    <t>-620.066307680373 88.9231026570517 -354.810777093811</t>
  </si>
  <si>
    <t>-624.064214135191 79.2124969938138 -475.559658933318</t>
  </si>
  <si>
    <t>-620.35476126408 64.7243063719022 -584.05482656158</t>
  </si>
  <si>
    <t>-609.453109684187 44.6316988558144 -691.163617901592</t>
  </si>
  <si>
    <t>-586.864846292878 10.9592832462388 -837.982990591369</t>
  </si>
  <si>
    <t>-590.759313270789 56.4632616363807 -779.100600090603</t>
  </si>
  <si>
    <t>-558.344679460655 199.881434750633 -780.004088764995</t>
  </si>
  <si>
    <t>-422.079202900907 230.924672037764 -496.007300447716</t>
  </si>
  <si>
    <t>-224.653385378854 198.660176911898 -329.802324247737</t>
  </si>
  <si>
    <t>-579.901564345417 180.033024787895 -235.023543774358</t>
  </si>
  <si>
    <t>-535.060176420834 231.131452224458 215.571433047013</t>
  </si>
  <si>
    <t>-630.567805132653 244.014844197643 675.394496832821</t>
  </si>
  <si>
    <t>-476.978482754898 232.45850648485 760.366704851465</t>
  </si>
  <si>
    <t>-627.128820026802 2.07483080137868 219.614946430932</t>
  </si>
  <si>
    <t>-658.815540785111 8.32292729572963 688.359103697126</t>
  </si>
  <si>
    <t>-502.039177325009 -30.8925492836284 757.834595219517</t>
  </si>
  <si>
    <t>9763-20170724T164157.722968200.bin</t>
  </si>
  <si>
    <t>-598.03604854431 84.3575593389691 -235.751615914911</t>
  </si>
  <si>
    <t>-619.679330200092 88.9142430161084 -354.825548936595</t>
  </si>
  <si>
    <t>-623.626958827238 79.2409000807499 -475.579174353104</t>
  </si>
  <si>
    <t>-619.85930046858 64.8113653142141 -584.080007005048</t>
  </si>
  <si>
    <t>-608.886129475097 44.8031065690163 -691.197266347289</t>
  </si>
  <si>
    <t>-586.183728286671 11.2750631126291 -838.032093512664</t>
  </si>
  <si>
    <t>-590.162964727636 56.7274009025986 -779.115423730692</t>
  </si>
  <si>
    <t>-557.89958090622 200.193021813978 -779.931213748303</t>
  </si>
  <si>
    <t>-421.512300291235 231.277485730828 -495.997235325437</t>
  </si>
  <si>
    <t>-223.9962510343 199.036923883782 -329.894840867622</t>
  </si>
  <si>
    <t>-579.57350311963 180.06320985218 -235.061524155209</t>
  </si>
  <si>
    <t>-534.938628742591 231.09518851573 215.561595545594</t>
  </si>
  <si>
    <t>-630.561696848722 243.969281930816 675.382291740392</t>
  </si>
  <si>
    <t>-476.977649517819 232.541653210935 760.381455395843</t>
  </si>
  <si>
    <t>-626.839828189933 2.12113932516598 219.613675611135</t>
  </si>
  <si>
    <t>-658.80765692943 8.36647561454603 688.345348444859</t>
  </si>
  <si>
    <t>-502.099721708927 -31.1118642758088 757.826343474318</t>
  </si>
  <si>
    <t>9763-20170724T164157.789144600.bin</t>
  </si>
  <si>
    <t>-597.462658925 84.1739034553324 -235.740349359651</t>
  </si>
  <si>
    <t>-619.087245558531 88.699939772361 -354.818769255537</t>
  </si>
  <si>
    <t>-622.960713322964 79.064306425169 -475.577739328013</t>
  </si>
  <si>
    <t>-619.103097387169 64.6975393365665 -584.083858523938</t>
  </si>
  <si>
    <t>-608.017037717551 44.7811305863831 -691.20657165036</t>
  </si>
  <si>
    <t>-585.133799570381 11.4113594000738 -838.049504402835</t>
  </si>
  <si>
    <t>-589.239882616214 56.8088254018501 -779.099205440471</t>
  </si>
  <si>
    <t>-557.274493475636 200.330398958633 -779.783401010469</t>
  </si>
  <si>
    <t>-420.726278757224 231.122839490624 -495.894956835185</t>
  </si>
  <si>
    <t>-223.170091240665 198.727258333565 -329.870575746883</t>
  </si>
  <si>
    <t>-579.196938501006 179.76481140133 -235.012599442017</t>
  </si>
  <si>
    <t>-534.761206653848 231.151668498928 215.589816256666</t>
  </si>
  <si>
    <t>-630.546970064917 243.935008214857 675.363286315004</t>
  </si>
  <si>
    <t>-476.976404887064 232.682536391142 760.410136826224</t>
  </si>
  <si>
    <t>-626.351957819229 2.09648563459335 219.631746239605</t>
  </si>
  <si>
    <t>-658.79751544989 8.31626677301043 688.337774012403</t>
  </si>
  <si>
    <t>-502.250678051279 -31.794135295311 757.819801975579</t>
  </si>
  <si>
    <t>9763-20170724T164157.824266600.bin</t>
  </si>
  <si>
    <t>-597.227385926714 84.0691347447767 -235.745035296696</t>
  </si>
  <si>
    <t>-618.835417230698 88.5644922614651 -354.827805442512</t>
  </si>
  <si>
    <t>-622.659310992034 78.9561349129416 -475.590395432411</t>
  </si>
  <si>
    <t>-618.744464745159 64.6368207588128 -584.100650277333</t>
  </si>
  <si>
    <t>-607.589157781624 44.7897747000538 -691.229186908371</t>
  </si>
  <si>
    <t>-584.597721894166 11.5388990186345 -838.082101750907</t>
  </si>
  <si>
    <t>-588.766513557188 56.8916787058952 -779.101763028715</t>
  </si>
  <si>
    <t>-556.783968640801 200.418210060198 -779.669629544551</t>
  </si>
  <si>
    <t>-420.207248445771 230.765337589098 -495.746996297846</t>
  </si>
  <si>
    <t>-222.796244676174 198.217987498548 -329.579560021446</t>
  </si>
  <si>
    <t>-578.970568103856 179.622902442247 -235.024131581203</t>
  </si>
  <si>
    <t>-534.746878578729 231.184366630791 215.579170506019</t>
  </si>
  <si>
    <t>-630.552996357168 243.911732781098 675.372717046593</t>
  </si>
  <si>
    <t>-476.972606210881 232.78619689095 760.418572904239</t>
  </si>
  <si>
    <t>-626.162111733282 2.05047627968595 219.635399323616</t>
  </si>
  <si>
    <t>-658.798535142826 8.28679388239426 688.335864064751</t>
  </si>
  <si>
    <t>-502.232711077052 -31.7770461855476 757.802073526664</t>
  </si>
  <si>
    <t>9763-20170724T164157.890948300.bin</t>
  </si>
  <si>
    <t>-596.83305278728 83.8293139225071 -235.728890030272</t>
  </si>
  <si>
    <t>-618.364986527971 88.2683922065403 -354.82748487124</t>
  </si>
  <si>
    <t>-622.082672619553 78.703718199489 -475.596929506784</t>
  </si>
  <si>
    <t>-618.062190080134 64.4620160426693 -584.113625493763</t>
  </si>
  <si>
    <t>-606.793033538971 44.7287871195694 -691.251118099441</t>
  </si>
  <si>
    <t>-583.635716410806 11.6717990630117 -838.121771156682</t>
  </si>
  <si>
    <t>-587.884853625476 56.9487957472054 -779.089124279511</t>
  </si>
  <si>
    <t>-555.879015431018 200.470263047952 -779.420283103678</t>
  </si>
  <si>
    <t>-419.349498040147 229.920739763028 -495.380642662986</t>
  </si>
  <si>
    <t>-222.009177142214 197.34515561503 -329.134783702333</t>
  </si>
  <si>
    <t>-578.724683732671 179.363395761398 -235.03805656065</t>
  </si>
  <si>
    <t>-534.682253218579 231.309386203455 215.53885543016</t>
  </si>
  <si>
    <t>-630.527659861643 243.895773319341 675.314872550838</t>
  </si>
  <si>
    <t>-476.939453788499 233.132202589114 760.393168162917</t>
  </si>
  <si>
    <t>-625.84168963515 2.00081608192206 219.659503839689</t>
  </si>
  <si>
    <t>-658.778938083903 8.33398419600147 688.325253140807</t>
  </si>
  <si>
    <t>-502.207126935968 -31.7371368328201 757.773665239406</t>
  </si>
  <si>
    <t>9763-20170724T164157.922637300.bin</t>
  </si>
  <si>
    <t>-596.582872136344 83.8529021834511 -235.739246343608</t>
  </si>
  <si>
    <t>-618.060617162279 88.2640705930197 -354.848644551943</t>
  </si>
  <si>
    <t>-621.720948995359 78.7204327191913 -475.621584275118</t>
  </si>
  <si>
    <t>-617.648243827691 64.516895200273 -584.141158914321</t>
  </si>
  <si>
    <t>-606.326797374874 44.8403958839383 -691.283818452503</t>
  </si>
  <si>
    <t>-583.097058599336 11.8808371421856 -838.164756537097</t>
  </si>
  <si>
    <t>-587.380972041326 57.1196057242535 -779.105402847101</t>
  </si>
  <si>
    <t>-555.384665382164 200.638211530988 -779.325096086945</t>
  </si>
  <si>
    <t>-418.924762040769 229.765289627727 -495.218558408531</t>
  </si>
  <si>
    <t>-221.692746242997 196.9969509449 -328.882103697022</t>
  </si>
  <si>
    <t>-578.45107707818 179.398157961033 -235.09129017346</t>
  </si>
  <si>
    <t>-534.749130877521 231.246898953985 215.529888731237</t>
  </si>
  <si>
    <t>-630.508524739477 243.908454976295 675.309266723626</t>
  </si>
  <si>
    <t>-476.929758817059 233.197298873913 760.411165326978</t>
  </si>
  <si>
    <t>-625.697436821168 1.98926279531672 219.65370679021</t>
  </si>
  <si>
    <t>-658.792174157642 8.22226932329119 688.317179272931</t>
  </si>
  <si>
    <t>-502.389040389225 -32.4685547198408 757.78545870114</t>
  </si>
  <si>
    <t>9763-20170724T164157.991321400.bin</t>
  </si>
  <si>
    <t>-596.121696030698 83.6934554471892 -235.748291823017</t>
  </si>
  <si>
    <t>-617.512610431577 88.0777443813941 -354.87424093574</t>
  </si>
  <si>
    <t>-621.084899708403 78.5811389543784 -475.653482329523</t>
  </si>
  <si>
    <t>-616.933028385228 64.4496139979892 -584.179536114466</t>
  </si>
  <si>
    <t>-605.532996412608 44.873989761456 -691.332169273911</t>
  </si>
  <si>
    <t>-582.194363420214 12.0838683331836 -838.233877752629</t>
  </si>
  <si>
    <t>-586.520607455095 57.2542350010837 -779.12531278826</t>
  </si>
  <si>
    <t>-554.484326318643 200.773308941932 -779.145548438307</t>
  </si>
  <si>
    <t>-418.212301682122 229.340376492308 -494.892072857626</t>
  </si>
  <si>
    <t>-221.123817505154 196.327405846316 -328.433934659662</t>
  </si>
  <si>
    <t>-578.038886640458 179.13778494852 -235.084675110231</t>
  </si>
  <si>
    <t>-534.677741450741 231.204464934672 215.544374756997</t>
  </si>
  <si>
    <t>-630.478846099501 243.949727131407 675.323686045201</t>
  </si>
  <si>
    <t>-476.919259127938 233.305991271707 760.46878314797</t>
  </si>
  <si>
    <t>-625.443292748706 2.00433345390881 219.641587201182</t>
  </si>
  <si>
    <t>-658.7738300548 8.24849095815621 688.301755687412</t>
  </si>
  <si>
    <t>-502.177931559307 -31.7238338896224 757.752782795449</t>
  </si>
  <si>
    <t>9763-20170724T164158.022436700.bin</t>
  </si>
  <si>
    <t>-595.915494066609 83.6830127213833 -235.733493854434</t>
  </si>
  <si>
    <t>-617.249291625102 88.0489966377314 -354.870522035719</t>
  </si>
  <si>
    <t>-620.77158984668 78.5577833199891 -475.651519692995</t>
  </si>
  <si>
    <t>-616.577725123508 64.4408789898908 -584.177931579246</t>
  </si>
  <si>
    <t>-605.138961333741 44.889571598363 -691.330923397142</t>
  </si>
  <si>
    <t>-581.749838729263 12.1432840190727 -838.234366558564</t>
  </si>
  <si>
    <t>-586.097382220452 57.2962030316724 -779.113879460659</t>
  </si>
  <si>
    <t>-554.049749873859 200.807928038359 -779.074830122024</t>
  </si>
  <si>
    <t>-417.84022110973 229.192758066593 -494.773058185529</t>
  </si>
  <si>
    <t>-220.909219607996 195.886649196605 -328.186799806657</t>
  </si>
  <si>
    <t>-577.828523105138 179.168977939149 -235.104944248555</t>
  </si>
  <si>
    <t>-534.653494919619 231.151883859873 215.55159219746</t>
  </si>
  <si>
    <t>-630.468193019808 243.957948171597 675.335483948809</t>
  </si>
  <si>
    <t>-476.918260899563 233.352887097053 760.502785883377</t>
  </si>
  <si>
    <t>-625.343883292813 1.97806433556791 219.648895911736</t>
  </si>
  <si>
    <t>-658.778204552475 8.17038082656309 688.299981949969</t>
  </si>
  <si>
    <t>-502.27586407478 -32.1336319913571 757.770227490643</t>
  </si>
  <si>
    <t>9763-20170724T164158.089124700.bin</t>
  </si>
  <si>
    <t>-595.57779426554 83.4824796734081 -235.717733863375</t>
  </si>
  <si>
    <t>-616.9255230317 87.8417956897191 -354.852463029942</t>
  </si>
  <si>
    <t>-620.411557578297 78.3805247228321 -475.636924962645</t>
  </si>
  <si>
    <t>-616.165293601046 64.3045576407931 -584.166655901872</t>
  </si>
  <si>
    <t>-604.655233897833 44.8075830835099 -691.321877004964</t>
  </si>
  <si>
    <t>-581.148071540028 12.1504217315704 -838.226366745915</t>
  </si>
  <si>
    <t>-585.547062850905 57.2680740911521 -779.082694562178</t>
  </si>
  <si>
    <t>-553.488651728167 200.781403895857 -778.923956958119</t>
  </si>
  <si>
    <t>-417.349253600604 228.666353703592 -494.539232036573</t>
  </si>
  <si>
    <t>-220.468257859367 195.247059096927 -327.916696117642</t>
  </si>
  <si>
    <t>-577.544731062829 178.979502695639 -235.063012119254</t>
  </si>
  <si>
    <t>-534.56793309602 231.120202649555 215.594338530009</t>
  </si>
  <si>
    <t>-630.448908942304 244.002474304255 675.361106986468</t>
  </si>
  <si>
    <t>-476.9079388165 233.445608102893 760.550490771991</t>
  </si>
  <si>
    <t>-625.161921631822 1.81092211829907 219.674719697128</t>
  </si>
  <si>
    <t>-658.809024653031 7.9574704022906 688.300697251087</t>
  </si>
  <si>
    <t>-502.798258545257 -34.1125053592026 757.82964422387</t>
  </si>
  <si>
    <t>9763-20170724T164158.125233400.bin</t>
  </si>
  <si>
    <t>-595.446550681629 83.4584525643733 -235.69729705295</t>
  </si>
  <si>
    <t>-616.707918708599 87.8042622359187 -354.847909723277</t>
  </si>
  <si>
    <t>-620.124775735594 78.343938438721 -475.634445468991</t>
  </si>
  <si>
    <t>-615.823479205748 64.2751678299995 -584.16285399134</t>
  </si>
  <si>
    <t>-604.265701373851 44.7918006118807 -691.315309604083</t>
  </si>
  <si>
    <t>-580.700002149176 12.1602108687624 -838.21611560736</t>
  </si>
  <si>
    <t>-585.126101656442 57.268112758635 -779.067226187335</t>
  </si>
  <si>
    <t>-553.06102638298 200.773902921393 -778.864185625232</t>
  </si>
  <si>
    <t>-416.938409762851 228.448484103471 -494.450768696105</t>
  </si>
  <si>
    <t>-220.087719900709 194.995700598703 -327.799232059483</t>
  </si>
  <si>
    <t>-577.47756396132 178.802694221333 -235.043693094772</t>
  </si>
  <si>
    <t>-534.514722817437 231.170055345142 215.588574231223</t>
  </si>
  <si>
    <t>-630.420640821752 244.013811187137 675.351465424245</t>
  </si>
  <si>
    <t>-476.898278568436 233.502906924878 760.579992714327</t>
  </si>
  <si>
    <t>-625.014879592621 1.90907504344551 219.680747663053</t>
  </si>
  <si>
    <t>-658.778160488466 8.11460861007889 688.296637958486</t>
  </si>
  <si>
    <t>-502.296733585521 -32.2616740928554 757.77204743331</t>
  </si>
  <si>
    <t>9763-20170724T164158.192921000.bin</t>
  </si>
  <si>
    <t>-595.165061909401 83.3991656021655 -235.727006254998</t>
  </si>
  <si>
    <t>-616.412924167077 87.6884106032302 -354.882024862398</t>
  </si>
  <si>
    <t>-619.793081371691 78.2139015850926 -475.668641430216</t>
  </si>
  <si>
    <t>-615.449813948574 64.1493334478313 -584.195808944541</t>
  </si>
  <si>
    <t>-603.841652120685 44.6868358559836 -691.346746956667</t>
  </si>
  <si>
    <t>-580.197206973833 12.1012953388267 -838.245197461718</t>
  </si>
  <si>
    <t>-584.662681828168 57.1918809309074 -779.085834578163</t>
  </si>
  <si>
    <t>-552.567704826571 200.689193423968 -778.84233466621</t>
  </si>
  <si>
    <t>-416.41051941027 228.115733704541 -494.42150462656</t>
  </si>
  <si>
    <t>-219.749183737807 194.393489424439 -327.600625832153</t>
  </si>
  <si>
    <t>-577.210170569649 178.759976248851 -235.138497903173</t>
  </si>
  <si>
    <t>-534.712348939429 231.076084872806 215.54395300375</t>
  </si>
  <si>
    <t>-630.371644068681 244.052246860493 675.362201529906</t>
  </si>
  <si>
    <t>-476.880581308237 233.604672190677 760.654992410326</t>
  </si>
  <si>
    <t>-624.780705662907 1.89789916501488 219.69623556535</t>
  </si>
  <si>
    <t>-658.770026415228 8.1059383758667 688.294679221711</t>
  </si>
  <si>
    <t>-502.348080696648 -32.4741550681594 757.785208451916</t>
  </si>
  <si>
    <t>9763-20170724T164158.224526100.bin</t>
  </si>
  <si>
    <t>-595.070749759593 83.4141404515856 -235.736532019997</t>
  </si>
  <si>
    <t>-616.288587256602 87.6954294533123 -354.897292789812</t>
  </si>
  <si>
    <t>-619.651862493461 78.2277903067121 -475.684666964142</t>
  </si>
  <si>
    <t>-615.299499026333 64.1746006884701 -584.213163178494</t>
  </si>
  <si>
    <t>-603.688724900901 44.7280165769319 -691.366658033633</t>
  </si>
  <si>
    <t>-580.047619722512 12.1686196768607 -838.271372569746</t>
  </si>
  <si>
    <t>-584.508095320356 57.2480989150159 -779.103238379718</t>
  </si>
  <si>
    <t>-552.37469643763 200.740830449431 -778.837388228536</t>
  </si>
  <si>
    <t>-416.163828490088 227.938100271574 -494.420290042596</t>
  </si>
  <si>
    <t>-219.467147921205 194.405655876359 -327.602713916032</t>
  </si>
  <si>
    <t>-577.155045022273 178.793761073147 -235.147357946463</t>
  </si>
  <si>
    <t>-534.807609145648 231.065781353036 215.55431421742</t>
  </si>
  <si>
    <t>-630.358654088328 244.069476188376 675.394644296673</t>
  </si>
  <si>
    <t>-476.868447715869 233.688196752723 760.6969709012</t>
  </si>
  <si>
    <t>-624.7103333635 1.92794223043496 219.694142795722</t>
  </si>
  <si>
    <t>-658.76108584852 8.12191562224869 688.289891343818</t>
  </si>
  <si>
    <t>-502.247296742582 -32.1049241444921 757.779106671032</t>
  </si>
  <si>
    <t>9763-20170724T164158.289200600.bin</t>
  </si>
  <si>
    <t>-595.006006593631 83.453191242473 -235.739747622631</t>
  </si>
  <si>
    <t>-616.196926824166 87.689976699861 -354.906838120178</t>
  </si>
  <si>
    <t>-619.510263766023 78.1866816045309 -475.693009742234</t>
  </si>
  <si>
    <t>-615.104209940375 64.1048047643838 -584.215350842871</t>
  </si>
  <si>
    <t>-603.431902466327 44.6329708636017 -691.35767258213</t>
  </si>
  <si>
    <t>-579.697692258052 12.0421277499562 -838.240436535508</t>
  </si>
  <si>
    <t>-584.202786892633 57.1354097141284 -779.086230664451</t>
  </si>
  <si>
    <t>-552.038155330514 200.619093290058 -778.85436207394</t>
  </si>
  <si>
    <t>-415.67906745721 227.514110367797 -494.479416163973</t>
  </si>
  <si>
    <t>-219.006834523001 194.093137127063 -327.610924772595</t>
  </si>
  <si>
    <t>-577.185543197684 178.722576781923 -235.155428622186</t>
  </si>
  <si>
    <t>-534.942043348428 231.031547255335 215.551783455008</t>
  </si>
  <si>
    <t>-630.312201216396 244.119726097708 675.43332072845</t>
  </si>
  <si>
    <t>-476.842883959698 233.786791387403 760.779197538919</t>
  </si>
  <si>
    <t>-624.667315338123 1.8826447910312 219.708101735899</t>
  </si>
  <si>
    <t>-658.777747905146 7.95367280220465 688.29243492916</t>
  </si>
  <si>
    <t>-502.421337602159 -32.8363020905134 757.807601523635</t>
  </si>
  <si>
    <t>9763-20170724T164158.325321300.bin</t>
  </si>
  <si>
    <t>-595.022311131776 83.4031537666198 -235.769601296652</t>
  </si>
  <si>
    <t>-616.208448381778 87.6367315260942 -354.937635884523</t>
  </si>
  <si>
    <t>-619.519685420684 78.0999498776616 -475.721230684375</t>
  </si>
  <si>
    <t>-615.112583772362 63.9762555990924 -584.238189020887</t>
  </si>
  <si>
    <t>-603.440007134627 44.4517962867976 -691.370804963035</t>
  </si>
  <si>
    <t>-579.706201794888 11.7770456763761 -838.234889764586</t>
  </si>
  <si>
    <t>-584.197285976715 56.9018764621339 -779.103691876097</t>
  </si>
  <si>
    <t>-551.958982187798 200.385718975274 -778.906290738272</t>
  </si>
  <si>
    <t>-415.487021825403 227.238554355059 -494.581665414186</t>
  </si>
  <si>
    <t>-218.705371592159 194.038482785677 -327.798020168922</t>
  </si>
  <si>
    <t>-577.171364036639 178.718248693398 -235.198154190598</t>
  </si>
  <si>
    <t>-535.129604735616 230.95137277207 215.536591405906</t>
  </si>
  <si>
    <t>-630.278322015886 244.154203690235 675.440107547212</t>
  </si>
  <si>
    <t>-476.833740968514 233.830706992862 760.831540875222</t>
  </si>
  <si>
    <t>-624.749503856507 1.82245613591625 219.698025567526</t>
  </si>
  <si>
    <t>-658.796921209232 7.84019244062105 688.292454125445</t>
  </si>
  <si>
    <t>-502.563414933957 -33.3854220921799 757.826883828901</t>
  </si>
  <si>
    <t>9763-20170724T164158.389986000.bin</t>
  </si>
  <si>
    <t>-594.958880087648 83.4425637619183 -235.854824467696</t>
  </si>
  <si>
    <t>-616.03485986982 87.6058786875082 -355.044847398058</t>
  </si>
  <si>
    <t>-619.341381692818 77.9553272992814 -475.819598349803</t>
  </si>
  <si>
    <t>-614.972968463649 63.71192213533 -584.322507917547</t>
  </si>
  <si>
    <t>-603.381661032652 44.051511897162 -691.4390685763</t>
  </si>
  <si>
    <t>-579.804288876753 11.1709284729868 -838.282399164285</t>
  </si>
  <si>
    <t>-584.184062320784 56.3709226389892 -779.200422145359</t>
  </si>
  <si>
    <t>-551.8685044825 199.82708370549 -779.195769479411</t>
  </si>
  <si>
    <t>-415.545835064736 227.138751577214 -494.843284492028</t>
  </si>
  <si>
    <t>-218.255436299165 194.80425153356 -328.491114755497</t>
  </si>
  <si>
    <t>-576.969405992135 178.775524823598 -235.387987272348</t>
  </si>
  <si>
    <t>-535.497545358395 230.720989921787 215.432891157856</t>
  </si>
  <si>
    <t>-630.150629534904 244.297978445372 675.417160968209</t>
  </si>
  <si>
    <t>-476.802493595322 233.782137174661 760.958283118531</t>
  </si>
  <si>
    <t>-624.800608550094 1.9405718782745 219.668703978623</t>
  </si>
  <si>
    <t>-658.778421050534 7.92338960331581 688.275557825398</t>
  </si>
  <si>
    <t>-502.225370984961 -32.103392095997 757.79184042063</t>
  </si>
  <si>
    <t>9763-20170724T164158.422215200.bin</t>
  </si>
  <si>
    <t>-594.833944987225 83.5396158764401 -235.919228772985</t>
  </si>
  <si>
    <t>-615.969028913046 87.7026693259703 -355.098871756068</t>
  </si>
  <si>
    <t>-619.353288317207 78.0087471853259 -475.867770508612</t>
  </si>
  <si>
    <t>-615.060848353545 63.7106348397854 -584.366567678016</t>
  </si>
  <si>
    <t>-603.549964272376 43.981220683229 -691.479122332364</t>
  </si>
  <si>
    <t>-580.088129375852 10.9912916114937 -838.316601661787</t>
  </si>
  <si>
    <t>-584.405649616739 56.232804838588 -779.261516640778</t>
  </si>
  <si>
    <t>-552.072885536398 199.68397332807 -779.345191577029</t>
  </si>
  <si>
    <t>-415.880323651108 227.417361713756 -494.971086858486</t>
  </si>
  <si>
    <t>-218.481890649312 195.000556759967 -328.763146092819</t>
  </si>
  <si>
    <t>-576.83167927069 178.909963410705 -235.482708169519</t>
  </si>
  <si>
    <t>-535.72706188677 230.560572297262 215.405607030285</t>
  </si>
  <si>
    <t>-630.090586238398 244.406598008534 675.449516154162</t>
  </si>
  <si>
    <t>-476.79673235174 233.669271946174 761.060384194861</t>
  </si>
  <si>
    <t>-624.827099642442 2.07398624610354 219.650000428709</t>
  </si>
  <si>
    <t>-658.772306813803 7.91207466334195 688.26693026653</t>
  </si>
  <si>
    <t>-502.247337327839 -32.1758609157131 757.811198012093</t>
  </si>
  <si>
    <t>9763-20170724T164158.489907100.bin</t>
  </si>
  <si>
    <t>-594.7129135304 83.5833269910671 -235.944807069175</t>
  </si>
  <si>
    <t>-615.812963512012 87.7146691241028 -355.131620045647</t>
  </si>
  <si>
    <t>-619.271937398492 77.8451186692893 -475.884334846329</t>
  </si>
  <si>
    <t>-615.088908184425 63.334130267151 -584.359083876266</t>
  </si>
  <si>
    <t>-603.727738789445 43.3407983679891 -691.438704792451</t>
  </si>
  <si>
    <t>-580.514199866516 9.93342528956164 -838.221151693016</t>
  </si>
  <si>
    <t>-584.697818397693 55.3371976506344 -779.281126422459</t>
  </si>
  <si>
    <t>-552.465708259188 198.802402137777 -779.729147836272</t>
  </si>
  <si>
    <t>-417.002357708999 227.564866233118 -495.109100545196</t>
  </si>
  <si>
    <t>-219.393335714454 195.025815178776 -329.17567652628</t>
  </si>
  <si>
    <t>-576.554419735776 178.914579670688 -235.53130151589</t>
  </si>
  <si>
    <t>-535.822454383543 230.389238299585 215.411045841701</t>
  </si>
  <si>
    <t>-630.005027413129 244.607071894104 675.53554400024</t>
  </si>
  <si>
    <t>-476.792804038962 233.426377693634 761.235706690609</t>
  </si>
  <si>
    <t>-624.86999191164 2.10610803883336 219.667514936431</t>
  </si>
  <si>
    <t>-658.77679081202 7.78272951291709 688.281256125956</t>
  </si>
  <si>
    <t>-502.599935559217 -33.5224438733977 757.895860061329</t>
  </si>
  <si>
    <t>9763-20170724T164158.526427300.bin</t>
  </si>
  <si>
    <t>-594.592524528411 83.6074611509538 -235.930848119467</t>
  </si>
  <si>
    <t>-615.673748973673 87.7344699537013 -355.121328740238</t>
  </si>
  <si>
    <t>-619.178325423646 77.8088862797793 -475.868027650864</t>
  </si>
  <si>
    <t>-615.062832621851 63.2260648172057 -584.335730839885</t>
  </si>
  <si>
    <t>-603.79508827291 43.1395519339384 -691.407857601485</t>
  </si>
  <si>
    <t>-580.738533796874 9.5806117374035 -838.180385901728</t>
  </si>
  <si>
    <t>-584.822301560285 55.039268259658 -779.275856978816</t>
  </si>
  <si>
    <t>-552.530855428515 198.493317056329 -779.839185700932</t>
  </si>
  <si>
    <t>-417.409097920204 227.563664515931 -495.087894371513</t>
  </si>
  <si>
    <t>-219.766854792173 194.894744220417 -329.219538242917</t>
  </si>
  <si>
    <t>-576.321592689041 179.024192146389 -235.541013321861</t>
  </si>
  <si>
    <t>-535.69452966479 230.340926210329 215.428709308411</t>
  </si>
  <si>
    <t>-629.969714479521 244.637990428677 675.546903580796</t>
  </si>
  <si>
    <t>-476.788419279557 233.392907715085 761.293898787315</t>
  </si>
  <si>
    <t>-624.894472148019 2.14421282293821 219.681002223363</t>
  </si>
  <si>
    <t>-658.785473223044 7.73965081771512 688.289964935403</t>
  </si>
  <si>
    <t>-502.479625570189 -33.0822535028301 757.900090646972</t>
  </si>
  <si>
    <t>9763-20170724T164158.588593300.bin</t>
  </si>
  <si>
    <t>-594.3846019369 83.7092665167314 -235.896796798225</t>
  </si>
  <si>
    <t>-615.519790207431 87.8293596156088 -355.077953182649</t>
  </si>
  <si>
    <t>-619.133918334242 77.8037171351903 -475.813127640134</t>
  </si>
  <si>
    <t>-615.139815921412 63.092470051027 -584.268078024376</t>
  </si>
  <si>
    <t>-604.015878872132 42.8400660572285 -691.323799164999</t>
  </si>
  <si>
    <t>-581.182380835221 9.01156771412946 -838.069368152039</t>
  </si>
  <si>
    <t>-585.114133041649 54.5682276075947 -779.230335196118</t>
  </si>
  <si>
    <t>-552.527851615128 197.943078322264 -779.987503793532</t>
  </si>
  <si>
    <t>-418.053939418535 227.422104701025 -494.9717365287</t>
  </si>
  <si>
    <t>-220.348095694972 194.635218413048 -329.202422778119</t>
  </si>
  <si>
    <t>-575.969960491404 179.079229932876 -235.50595462429</t>
  </si>
  <si>
    <t>-535.315907400301 230.352688379144 215.466263892049</t>
  </si>
  <si>
    <t>-629.884983007078 244.731970637045 675.52045015786</t>
  </si>
  <si>
    <t>-476.766068269645 233.346886774408 761.360295449371</t>
  </si>
  <si>
    <t>-624.760380238992 2.25840698866165 219.740117719841</t>
  </si>
  <si>
    <t>-658.76607406628 7.79362771343486 688.315757963022</t>
  </si>
  <si>
    <t>-502.317813498762 -32.4520575320221 757.941442721621</t>
  </si>
  <si>
    <t>9763-20170724T164158.624189300.bin</t>
  </si>
  <si>
    <t>-594.269541694089 83.6775366471497 -235.895766351599</t>
  </si>
  <si>
    <t>-615.451859088524 87.7937908268776 -355.06870660972</t>
  </si>
  <si>
    <t>-619.168991310321 77.7484681129138 -475.799068323968</t>
  </si>
  <si>
    <t>-615.290684666702 63.0117035369541 -584.254847730926</t>
  </si>
  <si>
    <t>-604.305054851578 42.7251051195284 -691.31846342133</t>
  </si>
  <si>
    <t>-581.686875065414 8.83917809018706 -838.084063628783</t>
  </si>
  <si>
    <t>-585.502522171079 54.4139699061621 -779.251240849295</t>
  </si>
  <si>
    <t>-552.762076866902 197.777114267764 -780.07961054376</t>
  </si>
  <si>
    <t>-418.068481356977 227.318416302592 -495.174083662956</t>
  </si>
  <si>
    <t>-220.422837628781 194.708522794005 -329.298123746923</t>
  </si>
  <si>
    <t>-575.820256390292 179.122654536111 -235.50369306585</t>
  </si>
  <si>
    <t>-535.134176431124 230.339464889378 215.472088148553</t>
  </si>
  <si>
    <t>-629.855754439259 244.762385464771 675.501443530162</t>
  </si>
  <si>
    <t>-476.76570318319 233.306577628292 761.383348108384</t>
  </si>
  <si>
    <t>-624.711809887753 2.1568151311132 219.762037973247</t>
  </si>
  <si>
    <t>-658.799216527462 7.56667130553859 688.336683018047</t>
  </si>
  <si>
    <t>-502.897115266165 -34.6153009037115 758.041202541797</t>
  </si>
  <si>
    <t>9763-20170724T164158.687863400.bin</t>
  </si>
  <si>
    <t>-594.040665362496 83.5993834590595 -235.873326665534</t>
  </si>
  <si>
    <t>-615.218047933633 87.7254132340424 -355.046616911878</t>
  </si>
  <si>
    <t>-619.061443681581 77.6039632307884 -475.766798433428</t>
  </si>
  <si>
    <t>-615.351242462663 62.7617104519171 -584.214006439304</t>
  </si>
  <si>
    <t>-604.587535674229 42.3321248376553 -691.272974738804</t>
  </si>
  <si>
    <t>-582.333569593184 8.20732910319123 -838.039077365467</t>
  </si>
  <si>
    <t>-585.921019094443 53.8642284504763 -779.255575134999</t>
  </si>
  <si>
    <t>-552.920639848441 197.147904287325 -780.417677801458</t>
  </si>
  <si>
    <t>-418.213432864864 227.100520721646 -495.561643420857</t>
  </si>
  <si>
    <t>-220.442448603779 194.814898375684 -329.771532445815</t>
  </si>
  <si>
    <t>-575.476694416889 178.97151201595 -235.483723312053</t>
  </si>
  <si>
    <t>-534.832367137991 230.279390724175 215.485490059983</t>
  </si>
  <si>
    <t>-629.809995277872 244.81348149718 675.459262527925</t>
  </si>
  <si>
    <t>-476.755133844342 233.318492671173 761.398741375843</t>
  </si>
  <si>
    <t>-624.695361530288 2.14767212892747 219.795958242807</t>
  </si>
  <si>
    <t>-658.790218815229 7.59202286668294 688.358757967639</t>
  </si>
  <si>
    <t>-502.733585711099 -34.0159477971011 758.062711565563</t>
  </si>
  <si>
    <t>9763-20170724T164158.723244000.bin</t>
  </si>
  <si>
    <t>-593.95694254617 83.5541362187057 -235.868610871279</t>
  </si>
  <si>
    <t>-615.094968066018 87.6603892494439 -355.049574610904</t>
  </si>
  <si>
    <t>-618.998388149362 77.5032698748112 -475.76495524798</t>
  </si>
  <si>
    <t>-615.383517525888 62.6208111479003 -584.209683368077</t>
  </si>
  <si>
    <t>-604.756177959103 42.1420569281675 -691.272949562099</t>
  </si>
  <si>
    <t>-582.733958004172 7.93833708480086 -838.055541004629</t>
  </si>
  <si>
    <t>-586.185007198695 53.6195673393966 -779.282774881053</t>
  </si>
  <si>
    <t>-553.008549866856 196.872565187598 -780.582725611137</t>
  </si>
  <si>
    <t>-418.143747829697 227.128164834693 -495.833185248666</t>
  </si>
  <si>
    <t>-220.382544377558 194.998543924105 -330.001211637139</t>
  </si>
  <si>
    <t>-575.284356880044 178.991106387043 -235.522628414854</t>
  </si>
  <si>
    <t>-534.794613581849 230.204718329402 215.471209854819</t>
  </si>
  <si>
    <t>-629.791103349924 244.851025041342 675.448064110137</t>
  </si>
  <si>
    <t>-476.752620076574 233.297394059472 761.408850504529</t>
  </si>
  <si>
    <t>-624.707013920799 2.07422624811529 219.805061617668</t>
  </si>
  <si>
    <t>-658.817768733056 7.47749049935787 688.367205319775</t>
  </si>
  <si>
    <t>-503.0508114163 -35.1342223941941 758.112393706864</t>
  </si>
  <si>
    <t>9763-20170724T164158.787892800.bin</t>
  </si>
  <si>
    <t>-593.810644035806 83.3738189144577 -235.837920402787</t>
  </si>
  <si>
    <t>-614.999450275345 87.4992924015035 -355.009270633141</t>
  </si>
  <si>
    <t>-619.08850897249 77.3267118400614 -475.717054068328</t>
  </si>
  <si>
    <t>-615.696145273351 62.4136839310799 -584.164990375107</t>
  </si>
  <si>
    <t>-605.345494183958 41.8861532962224 -691.245988039271</t>
  </si>
  <si>
    <t>-583.763622506809 7.59392950082793 -838.073222254789</t>
  </si>
  <si>
    <t>-586.9621794771 53.2977279259625 -779.303720716194</t>
  </si>
  <si>
    <t>-553.54298220184 196.490140045638 -780.789791929229</t>
  </si>
  <si>
    <t>-418.592026246376 227.156248198549 -496.125003756721</t>
  </si>
  <si>
    <t>-220.693883938744 195.614726469637 -330.343450303294</t>
  </si>
  <si>
    <t>-575.038635307617 178.813514184148 -235.501343255928</t>
  </si>
  <si>
    <t>-534.593532067793 230.176005132082 215.479546259914</t>
  </si>
  <si>
    <t>-629.763288013273 244.929740613689 675.41519035069</t>
  </si>
  <si>
    <t>-476.745964694384 233.231404247037 761.393960675475</t>
  </si>
  <si>
    <t>-624.680327433593 1.94384472006338 219.842683471907</t>
  </si>
  <si>
    <t>-658.841231288082 7.46276582366646 688.384084900339</t>
  </si>
  <si>
    <t>-502.964098253224 -34.7714454510503 758.112771482371</t>
  </si>
  <si>
    <t>9763-20170724T164158.824494800.bin</t>
  </si>
  <si>
    <t>-593.735755593438 83.3569484504395 -235.829617765656</t>
  </si>
  <si>
    <t>-614.931714370152 87.4776549501724 -354.999868609004</t>
  </si>
  <si>
    <t>-619.119576118962 77.2917342491279 -475.703263052658</t>
  </si>
  <si>
    <t>-615.853757305489 62.3622270765297 -584.152728692585</t>
  </si>
  <si>
    <t>-605.666181354836 41.8129599339029 -691.245091558012</t>
  </si>
  <si>
    <t>-584.348157344445 7.4840382431438 -838.102530187991</t>
  </si>
  <si>
    <t>-587.411190225122 53.1974182889366 -779.333233040274</t>
  </si>
  <si>
    <t>-553.912982616695 196.376804110487 -780.892489960522</t>
  </si>
  <si>
    <t>-418.888354828451 227.055336163482 -496.264179177959</t>
  </si>
  <si>
    <t>-220.350652812383 196.770736430335 -331.013752639538</t>
  </si>
  <si>
    <t>-574.933136271301 178.834281894043 -235.505414458183</t>
  </si>
  <si>
    <t>-534.481035943752 230.147709257929 215.480460290641</t>
  </si>
  <si>
    <t>-629.771267508708 244.912736074902 675.411371225783</t>
  </si>
  <si>
    <t>-476.749077956097 233.258663091624 761.387608043298</t>
  </si>
  <si>
    <t>-624.624554508916 1.9422912875328 219.853723753252</t>
  </si>
  <si>
    <t>-658.830153587287 7.57735851539246 688.384611610317</t>
  </si>
  <si>
    <t>-502.75974142565 -33.9797498173065 758.08789970277</t>
  </si>
  <si>
    <t>9763-20170724T164158.891176100.bin</t>
  </si>
  <si>
    <t>-593.550833756991 83.1916293863797 -235.793006709598</t>
  </si>
  <si>
    <t>-614.806528625664 87.3283433006112 -354.952214143484</t>
  </si>
  <si>
    <t>-619.164652829664 77.1100596355127 -475.646669882762</t>
  </si>
  <si>
    <t>-616.09878899092 62.1282058303635 -584.094835029577</t>
  </si>
  <si>
    <t>-606.1578059607 41.5014737684055 -691.195506136104</t>
  </si>
  <si>
    <t>-585.231299790934 7.03656126846838 -838.077241558449</t>
  </si>
  <si>
    <t>-588.090342674083 52.7962399067818 -779.333674483329</t>
  </si>
  <si>
    <t>-554.496306084878 195.927685225393 -781.097441571435</t>
  </si>
  <si>
    <t>-419.135832482565 227.208037331457 -496.694102212408</t>
  </si>
  <si>
    <t>-219.987341690219 198.695617531617 -331.863828141849</t>
  </si>
  <si>
    <t>-574.736204291937 178.640741357523 -235.45057348752</t>
  </si>
  <si>
    <t>-534.312998450468 230.16639173327 215.513719259215</t>
  </si>
  <si>
    <t>-629.786545438589 244.949059721902 675.391064623644</t>
  </si>
  <si>
    <t>-476.750036125317 233.281630177665 761.339917964977</t>
  </si>
  <si>
    <t>-624.461714998389 1.82720485229557 219.87729547185</t>
  </si>
  <si>
    <t>-658.848384767338 7.5831880296176 688.394346291774</t>
  </si>
  <si>
    <t>-502.7302741183 -33.8184885873537 758.083315115765</t>
  </si>
  <si>
    <t>9763-20170724T164158.922676100.bin</t>
  </si>
  <si>
    <t>-593.426314071677 83.2024546672463 -235.792307124589</t>
  </si>
  <si>
    <t>-614.686180163056 87.3239244897336 -354.951179935446</t>
  </si>
  <si>
    <t>-619.086083729101 77.1153807779899 -475.645024479809</t>
  </si>
  <si>
    <t>-616.074261255412 62.1508593545022 -584.097100380058</t>
  </si>
  <si>
    <t>-606.203534351728 41.5485556569646 -691.208986297671</t>
  </si>
  <si>
    <t>-585.391806747269 7.12382598244501 -838.116404596239</t>
  </si>
  <si>
    <t>-588.176832750601 52.8625576547914 -779.353042065245</t>
  </si>
  <si>
    <t>-554.350412448798 195.947535991008 -781.142244209666</t>
  </si>
  <si>
    <t>-418.852845234776 227.485232309515 -496.832572044594</t>
  </si>
  <si>
    <t>-218.845861808229 200.588297689571 -332.772075794523</t>
  </si>
  <si>
    <t>-574.581410066993 178.693053962006 -235.473448451026</t>
  </si>
  <si>
    <t>-534.107503428163 230.20116075453 215.488279150171</t>
  </si>
  <si>
    <t>-629.781869045869 244.93238867074 675.353577126884</t>
  </si>
  <si>
    <t>-476.74582499774 233.31257465626 761.30978737064</t>
  </si>
  <si>
    <t>-624.355925530859 1.80880431259111 219.888282228446</t>
  </si>
  <si>
    <t>-658.875531096448 7.46326252996059 688.401826841992</t>
  </si>
  <si>
    <t>-502.79710708434 -34.0844357848569 758.092791870433</t>
  </si>
  <si>
    <t>9763-20170724T164158.987851000.bin</t>
  </si>
  <si>
    <t>-593.244831094599 83.1281652708614 -235.77820239481</t>
  </si>
  <si>
    <t>-614.556593723337 87.2464916359255 -354.927915294342</t>
  </si>
  <si>
    <t>-619.107230519846 77.0637282947336 -475.61834401336</t>
  </si>
  <si>
    <t>-616.270327557092 62.1333620108816 -584.079681152591</t>
  </si>
  <si>
    <t>-606.612117924129 41.5753920489214 -691.219556380007</t>
  </si>
  <si>
    <t>-586.132954064169 7.2217161179078 -838.190397351097</t>
  </si>
  <si>
    <t>-588.765759778875 52.9286697508969 -779.395290198005</t>
  </si>
  <si>
    <t>-554.783412515444 195.988185992377 -781.260306484359</t>
  </si>
  <si>
    <t>-418.579889324981 227.426924939776 -497.277361851104</t>
  </si>
  <si>
    <t>-218.425837593547 201.298911792847 -333.272053978237</t>
  </si>
  <si>
    <t>-574.316328544857 178.61798343433 -235.464078509849</t>
  </si>
  <si>
    <t>-533.906484702192 230.224980938436 215.492097492798</t>
  </si>
  <si>
    <t>-629.781093614842 244.960862886548 675.280248759279</t>
  </si>
  <si>
    <t>-476.74231054443 233.342119536935 761.231644637382</t>
  </si>
  <si>
    <t>-624.240142194643 1.80803685390838 219.920420830123</t>
  </si>
  <si>
    <t>-658.872927526515 7.5371974910196 688.412423974803</t>
  </si>
  <si>
    <t>-502.64425598148 -33.4843995232409 758.078316090002</t>
  </si>
  <si>
    <t>9763-20170724T164159.024849000.bin</t>
  </si>
  <si>
    <t>-593.150245139439 83.0771668617452 -235.78777662011</t>
  </si>
  <si>
    <t>-614.484329571243 87.2019479254926 -354.933262769766</t>
  </si>
  <si>
    <t>-619.086519750281 77.0136596355529 -475.621266485004</t>
  </si>
  <si>
    <t>-616.308725381729 62.0722356750575 -584.082589723196</t>
  </si>
  <si>
    <t>-606.722156817926 41.4961520334825 -691.225384134848</t>
  </si>
  <si>
    <t>-586.35627616265 7.10932944129041 -838.204286548567</t>
  </si>
  <si>
    <t>-588.926793509129 52.8265510926881 -779.414538918235</t>
  </si>
  <si>
    <t>-554.882604941239 195.869860124366 -781.342044475282</t>
  </si>
  <si>
    <t>-418.549624873868 227.019539488542 -497.389311354641</t>
  </si>
  <si>
    <t>-218.364201442928 201.131246851596 -333.384109648294</t>
  </si>
  <si>
    <t>-574.223023259469 178.596377459464 -235.459297236986</t>
  </si>
  <si>
    <t>-533.765104013552 230.193319943283 215.493611639763</t>
  </si>
  <si>
    <t>-629.796192596522 244.93925254266 675.263083645962</t>
  </si>
  <si>
    <t>-476.744082264208 233.396478878037 761.200956763888</t>
  </si>
  <si>
    <t>-624.217247977133 1.70846993396923 219.919668964989</t>
  </si>
  <si>
    <t>-658.889842886695 7.44076488909371 688.41862988164</t>
  </si>
  <si>
    <t>-502.753888299119 -33.9158872419981 758.094324200404</t>
  </si>
  <si>
    <t>9763-20170724T164159.091034500.bin</t>
  </si>
  <si>
    <t>-593.078547678864 82.8246666682685 -235.815396197014</t>
  </si>
  <si>
    <t>-614.430614608435 86.9546382315359 -354.957570538517</t>
  </si>
  <si>
    <t>-619.096316403666 76.7811699808669 -475.644205514964</t>
  </si>
  <si>
    <t>-616.393162190375 61.8574716925804 -584.110073327647</t>
  </si>
  <si>
    <t>-606.897766606817 41.3036053839282 -691.265252586062</t>
  </si>
  <si>
    <t>-586.674376994747 6.95211574758829 -838.272050028619</t>
  </si>
  <si>
    <t>-589.19495247497 52.6564846217971 -779.469927255265</t>
  </si>
  <si>
    <t>-555.170163038051 195.716088151748 -781.40827122871</t>
  </si>
  <si>
    <t>-418.879712581464 226.830177098197 -497.431068387682</t>
  </si>
  <si>
    <t>-218.94798125281 201.093793084456 -333.093142788024</t>
  </si>
  <si>
    <t>-574.144607916499 178.335416498581 -235.486456282717</t>
  </si>
  <si>
    <t>-533.749149696082 230.141452364001 215.448196970904</t>
  </si>
  <si>
    <t>-629.795593422795 244.959337092461 675.185544816791</t>
  </si>
  <si>
    <t>-476.736431165436 233.477746868331 761.119121641287</t>
  </si>
  <si>
    <t>-624.242190828537 1.54282720762262 219.911083216342</t>
  </si>
  <si>
    <t>-658.907023501804 7.43003997833624 688.414658241543</t>
  </si>
  <si>
    <t>-503.030165876077 -34.850154939292 758.116132889426</t>
  </si>
  <si>
    <t>9763-20170724T164159.122979100.bin</t>
  </si>
  <si>
    <t>-593.050655595727 82.7933303506196 -235.849816551386</t>
  </si>
  <si>
    <t>-614.378590180503 86.8761582577888 -354.997914495285</t>
  </si>
  <si>
    <t>-619.019734664082 76.6475303897336 -475.681006468146</t>
  </si>
  <si>
    <t>-616.295673016301 61.6700491250266 -584.138716645449</t>
  </si>
  <si>
    <t>-606.781423569247 41.0579205450946 -691.281036459276</t>
  </si>
  <si>
    <t>-586.534865515549 6.62039866846601 -838.264550619218</t>
  </si>
  <si>
    <t>-589.058618484027 52.358118675586 -779.488544672338</t>
  </si>
  <si>
    <t>-555.092915083652 195.413632919229 -781.499499073995</t>
  </si>
  <si>
    <t>-419.019298167846 226.685894390292 -497.43586422731</t>
  </si>
  <si>
    <t>-219.169727939106 200.794484889443 -333.022128665094</t>
  </si>
  <si>
    <t>-574.137445233199 178.358622038279 -235.556794142476</t>
  </si>
  <si>
    <t>-533.862880522392 230.143167179953 215.391099656519</t>
  </si>
  <si>
    <t>-629.792931653742 244.963053872346 675.159626666585</t>
  </si>
  <si>
    <t>-476.733400279703 233.515401600533 761.097104249175</t>
  </si>
  <si>
    <t>-624.270004663695 1.44864076582543 219.896943584354</t>
  </si>
  <si>
    <t>-658.932977548202 7.31186504397958 688.413875893961</t>
  </si>
  <si>
    <t>-503.06130612349 -34.9865052796726 758.116019371172</t>
  </si>
  <si>
    <t>9763-20170724T164159.191162900.bin</t>
  </si>
  <si>
    <t>-592.928624709248 82.7572105303812 -235.8933964498</t>
  </si>
  <si>
    <t>-614.210653725188 86.7784151724715 -355.051735124395</t>
  </si>
  <si>
    <t>-618.855422433611 76.5193088181833 -475.732001512227</t>
  </si>
  <si>
    <t>-616.157930447398 61.523382040047 -584.188088621712</t>
  </si>
  <si>
    <t>-606.694897919553 40.8994946269581 -691.332608070949</t>
  </si>
  <si>
    <t>-586.546529261463 6.45035613865639 -838.32682503969</t>
  </si>
  <si>
    <t>-589.002221416437 52.1876878638475 -779.547689675347</t>
  </si>
  <si>
    <t>-554.869790986037 195.213218880048 -781.600147961291</t>
  </si>
  <si>
    <t>-418.730071377009 226.778347785182 -497.600465243573</t>
  </si>
  <si>
    <t>-219.167833455783 200.509714169688 -332.897949068965</t>
  </si>
  <si>
    <t>-574.069286409919 178.280749323916 -235.647138978338</t>
  </si>
  <si>
    <t>-534.095424929519 230.144773441426 215.318302194845</t>
  </si>
  <si>
    <t>-629.780572993782 245.025611188856 675.117370788792</t>
  </si>
  <si>
    <t>-476.718214764654 233.592777455583 761.05170940075</t>
  </si>
  <si>
    <t>-624.238132241854 1.44561073578865 219.882402834596</t>
  </si>
  <si>
    <t>-658.940660412882 7.30509096121202 688.408147210395</t>
  </si>
  <si>
    <t>-502.898037834383 -34.37557569053 758.099859845783</t>
  </si>
  <si>
    <t>9763-20170724T164159.225262000.bin</t>
  </si>
  <si>
    <t>-592.869619143955 82.7241989415942 -235.887871310464</t>
  </si>
  <si>
    <t>-614.120687206684 86.7356628401656 -355.052002381397</t>
  </si>
  <si>
    <t>-618.763630550164 76.4462897645053 -475.729883138341</t>
  </si>
  <si>
    <t>-616.077275238942 61.4138354517846 -584.18102395233</t>
  </si>
  <si>
    <t>-606.63874677862 40.7438649702659 -691.318919295314</t>
  </si>
  <si>
    <t>-586.538719575208 6.22002468353783 -838.302292588585</t>
  </si>
  <si>
    <t>-588.959668765198 51.984507986394 -779.54287250866</t>
  </si>
  <si>
    <t>-554.812174378461 194.996819875075 -781.673730400229</t>
  </si>
  <si>
    <t>-418.581255828717 226.472753925379 -497.707923688109</t>
  </si>
  <si>
    <t>-219.085807787497 200.151621131535 -332.932881915158</t>
  </si>
  <si>
    <t>-574.030291028492 178.238547554312 -235.650831317187</t>
  </si>
  <si>
    <t>-534.110581297256 230.121135552699 215.317392859786</t>
  </si>
  <si>
    <t>-629.779792973838 245.04004106762 675.115968000582</t>
  </si>
  <si>
    <t>-476.715178095619 233.612020384262 761.04703091544</t>
  </si>
  <si>
    <t>-624.254876227582 1.41750619242401 219.87915330198</t>
  </si>
  <si>
    <t>-658.937515333682 7.32969606303291 688.40503120715</t>
  </si>
  <si>
    <t>-502.865709160176 -34.2336283055048 758.101500010236</t>
  </si>
  <si>
    <t>9763-20170724T164159.287924900.bin</t>
  </si>
  <si>
    <t>-592.738640562342 82.7082388590751 -235.904581974694</t>
  </si>
  <si>
    <t>-614.022040922922 86.7331776987005 -355.062597347631</t>
  </si>
  <si>
    <t>-618.710089349482 76.4239120458617 -475.736950225582</t>
  </si>
  <si>
    <t>-616.068865404028 61.3606893814309 -584.184907646342</t>
  </si>
  <si>
    <t>-606.679497877539 40.6476385168619 -691.318811685678</t>
  </si>
  <si>
    <t>-586.651538253936 6.0516835034592 -838.294973931714</t>
  </si>
  <si>
    <t>-589.031340160738 51.8428078645151 -779.554747369098</t>
  </si>
  <si>
    <t>-554.852107646966 194.846939858021 -781.750537507483</t>
  </si>
  <si>
    <t>-418.831814742048 226.442518574012 -497.697086434308</t>
  </si>
  <si>
    <t>-219.469266731601 199.740153275635 -332.822567267184</t>
  </si>
  <si>
    <t>-573.825795917956 178.284619043692 -235.685553810778</t>
  </si>
  <si>
    <t>-534.030083892447 230.155902249862 215.294793269544</t>
  </si>
  <si>
    <t>-629.756092284626 245.095165443541 675.087097548909</t>
  </si>
  <si>
    <t>-476.707582874193 233.613513122155 761.039570026272</t>
  </si>
  <si>
    <t>-624.194625139184 1.38786062677956 219.87551134184</t>
  </si>
  <si>
    <t>-658.952702057229 7.27243665976226 688.400445914226</t>
  </si>
  <si>
    <t>-502.763253872588 -33.8625323568564 758.087526250446</t>
  </si>
  <si>
    <t>9763-20170724T164159.324398900.bin</t>
  </si>
  <si>
    <t>-592.615934013984 82.73574955996 -235.901171833125</t>
  </si>
  <si>
    <t>-613.897287928699 86.7544019700121 -355.059777244712</t>
  </si>
  <si>
    <t>-618.577879385369 76.4142153407834 -475.731803121041</t>
  </si>
  <si>
    <t>-615.927890106003 61.3133906335135 -584.174383810276</t>
  </si>
  <si>
    <t>-606.527873160368 40.5533612264164 -691.29822734877</t>
  </si>
  <si>
    <t>-586.483469298422 5.88276408185612 -838.254570482004</t>
  </si>
  <si>
    <t>-588.863577391532 51.7026378024721 -779.536661120902</t>
  </si>
  <si>
    <t>-554.649363927092 194.697203253707 -781.74956795298</t>
  </si>
  <si>
    <t>-418.84969702405 226.246309905038 -497.585374088321</t>
  </si>
  <si>
    <t>-219.573120708711 199.39336289597 -332.631232673458</t>
  </si>
  <si>
    <t>-573.642695864 178.346599419154 -235.68894415528</t>
  </si>
  <si>
    <t>-533.948197198083 230.195106066836 215.303070828569</t>
  </si>
  <si>
    <t>-629.745974665243 245.10452342046 675.067386577655</t>
  </si>
  <si>
    <t>-476.703140675423 233.649474838713 761.033531290647</t>
  </si>
  <si>
    <t>-624.151881984049 1.32983481478229 219.883681556372</t>
  </si>
  <si>
    <t>-658.977266382284 7.15195764153795 688.404176684342</t>
  </si>
  <si>
    <t>-503.003872977663 -34.7514128594168 758.11738543185</t>
  </si>
  <si>
    <t>9763-20170724T164159.391595000.bin</t>
  </si>
  <si>
    <t>-592.39931177086 82.8043717682629 -235.898381526516</t>
  </si>
  <si>
    <t>-613.659368377201 86.7939848223386 -355.061726178719</t>
  </si>
  <si>
    <t>-618.256356940746 76.3925112033154 -475.731756124264</t>
  </si>
  <si>
    <t>-615.507731267528 61.2222115139034 -584.162158723863</t>
  </si>
  <si>
    <t>-605.987928495595 40.3784563799425 -691.259187011644</t>
  </si>
  <si>
    <t>-585.75693512613 5.57649736589121 -838.158852262654</t>
  </si>
  <si>
    <t>-588.206699524871 51.447991181292 -779.48412085868</t>
  </si>
  <si>
    <t>-553.904179814394 194.414894328769 -781.736947647789</t>
  </si>
  <si>
    <t>-418.148824733469 225.950171806304 -497.550097020582</t>
  </si>
  <si>
    <t>-219.349993834121 198.761432964274 -332.075497796754</t>
  </si>
  <si>
    <t>-573.465622148803 178.397588464955 -235.673100794069</t>
  </si>
  <si>
    <t>-533.800208074398 230.322117516756 215.312637541325</t>
  </si>
  <si>
    <t>-629.75010480973 245.108049299228 675.048873284502</t>
  </si>
  <si>
    <t>-476.699085884901 233.73117498505 761.01087441795</t>
  </si>
  <si>
    <t>-624.044923007646 1.35618393642225 219.890541571081</t>
  </si>
  <si>
    <t>-658.973103878907 7.16634745749482 688.404626852987</t>
  </si>
  <si>
    <t>-503.048924953883 -34.9163510850903 758.119826637103</t>
  </si>
  <si>
    <t>9763-20170724T164159.423706000.bin</t>
  </si>
  <si>
    <t>-592.340414969925 82.8379640479742 -235.893745447092</t>
  </si>
  <si>
    <t>-613.560814655986 86.8162689331643 -355.064492082713</t>
  </si>
  <si>
    <t>-618.102179120361 76.393905854535 -475.734733902761</t>
  </si>
  <si>
    <t>-615.298047272968 61.2001341019508 -584.160516144023</t>
  </si>
  <si>
    <t>-605.718584592488 40.3280251112001 -691.246718800783</t>
  </si>
  <si>
    <t>-585.401018915149 5.48145085071762 -838.123883714416</t>
  </si>
  <si>
    <t>-587.887428785941 51.3711362246814 -779.464810379358</t>
  </si>
  <si>
    <t>-553.574034561916 194.33769523779 -781.741834075837</t>
  </si>
  <si>
    <t>-417.635603852786 225.733026376181 -497.626996520749</t>
  </si>
  <si>
    <t>-218.383564798743 199.565212603086 -332.53343107389</t>
  </si>
  <si>
    <t>-573.449735879636 178.394495910867 -235.674069128255</t>
  </si>
  <si>
    <t>-533.819673723637 230.375329151462 215.308414361773</t>
  </si>
  <si>
    <t>-629.749521339181 245.091892082388 675.038907749326</t>
  </si>
  <si>
    <t>-476.690998746602 233.824425595334 761.00188177853</t>
  </si>
  <si>
    <t>-623.968804981257 1.38285426884463 219.894439425313</t>
  </si>
  <si>
    <t>-658.964374296856 7.21556628989191 688.402967553027</t>
  </si>
  <si>
    <t>-502.914561837014 -34.4224471586234 758.104088094165</t>
  </si>
  <si>
    <t>9763-20170724T164159.489886600.bin</t>
  </si>
  <si>
    <t>-592.29137755232 82.9921520394849 -235.900994631825</t>
  </si>
  <si>
    <t>-613.505001607336 86.8916350293925 -355.07549087001</t>
  </si>
  <si>
    <t>-617.883913605004 76.422936738318 -475.747834413938</t>
  </si>
  <si>
    <t>-614.872319135969 61.2001263789248 -584.16390692279</t>
  </si>
  <si>
    <t>-605.026937765978 40.3117362923778 -691.222716175952</t>
  </si>
  <si>
    <t>-584.281427551866 5.45591113782262 -838.037878929783</t>
  </si>
  <si>
    <t>-586.990227130133 51.3582743115124 -779.398712819832</t>
  </si>
  <si>
    <t>-552.773934209002 194.3488403818 -781.767009113737</t>
  </si>
  <si>
    <t>-415.608492979831 225.452382246151 -498.210247581853</t>
  </si>
  <si>
    <t>-214.918972768029 202.844222255159 -334.336457540331</t>
  </si>
  <si>
    <t>-573.543267063021 178.511925155754 -235.722723359135</t>
  </si>
  <si>
    <t>-533.969175900035 230.571646397316 215.255513725411</t>
  </si>
  <si>
    <t>-629.754218296024 245.082695857829 675.027444800352</t>
  </si>
  <si>
    <t>-476.677012694915 234.015654037252 760.983216108706</t>
  </si>
  <si>
    <t>-623.850942784101 1.4968433614625 219.898351335379</t>
  </si>
  <si>
    <t>-658.935005420175 7.34338866241117 688.398202363472</t>
  </si>
  <si>
    <t>-502.804675395623 -34.0092355397507 758.088920079974</t>
  </si>
  <si>
    <t>9763-20170724T164159.525888800.bin</t>
  </si>
  <si>
    <t>-592.368904503482 82.9955654900062 -235.908998738691</t>
  </si>
  <si>
    <t>-613.659445969461 86.8991025515891 -355.069787775273</t>
  </si>
  <si>
    <t>-618.019381921038 76.4248729165427 -475.742292813497</t>
  </si>
  <si>
    <t>-614.953298130017 61.1916661668358 -584.155372631444</t>
  </si>
  <si>
    <t>-605.01763066512 40.2867256576517 -691.202637476606</t>
  </si>
  <si>
    <t>-584.111451426468 5.40123548314497 -837.987990766643</t>
  </si>
  <si>
    <t>-586.898959571663 51.3179917561619 -779.363775476165</t>
  </si>
  <si>
    <t>-552.718277421989 194.322504530056 -781.794213389272</t>
  </si>
  <si>
    <t>-414.776959679814 225.477157600634 -498.619769460448</t>
  </si>
  <si>
    <t>-214.041586583649 203.743392442136 -334.683645090242</t>
  </si>
  <si>
    <t>-573.790247633708 178.573941758509 -235.703328001484</t>
  </si>
  <si>
    <t>-534.059072909212 230.636936530148 215.260665417727</t>
  </si>
  <si>
    <t>-629.765969475659 245.076763327242 675.032139128611</t>
  </si>
  <si>
    <t>-476.673603779518 234.117423633852 760.974671513537</t>
  </si>
  <si>
    <t>-623.796768979006 1.4456972151075 219.904121469472</t>
  </si>
  <si>
    <t>-658.948836816237 7.20928630785804 688.402715396965</t>
  </si>
  <si>
    <t>-502.932734007212 -34.5436854036603 758.110424207604</t>
  </si>
  <si>
    <t>9763-20170724T164159.592539800.bin</t>
  </si>
  <si>
    <t>-592.52951028447 83.0777970699741 -235.923171587554</t>
  </si>
  <si>
    <t>-613.721701664807 86.9156354835309 -355.103570729574</t>
  </si>
  <si>
    <t>-617.911495864471 76.3715698623002 -475.776039751245</t>
  </si>
  <si>
    <t>-614.665149332639 61.0735931200071 -584.174776956925</t>
  </si>
  <si>
    <t>-604.524662267577 40.1021590207882 -691.189821473213</t>
  </si>
  <si>
    <t>-583.310034064713 5.12265410218373 -837.908516214476</t>
  </si>
  <si>
    <t>-586.255592878421 51.0830067423306 -779.326149184658</t>
  </si>
  <si>
    <t>-552.057430910583 194.080346864472 -781.810415952137</t>
  </si>
  <si>
    <t>-414.287582497088 225.105398803525 -498.538235270236</t>
  </si>
  <si>
    <t>-215.784594662627 200.740999002434 -332.270522044197</t>
  </si>
  <si>
    <t>-573.994099277087 178.52180579737 -235.749058419416</t>
  </si>
  <si>
    <t>-534.383073154693 230.758327921411 215.20542806443</t>
  </si>
  <si>
    <t>-629.763590649326 245.103579884202 675.031485354755</t>
  </si>
  <si>
    <t>-476.658054486869 234.294912618952 760.969638740426</t>
  </si>
  <si>
    <t>-623.80420268235 1.48184419932214 219.881261822936</t>
  </si>
  <si>
    <t>-658.943665352458 7.19058647351108 688.395438874526</t>
  </si>
  <si>
    <t>-502.741219823547 -33.8922006303607 758.084130157702</t>
  </si>
  <si>
    <t>9763-20170724T164159.625714000.bin</t>
  </si>
  <si>
    <t>-592.513351848797 83.0985406126519 -235.930718200406</t>
  </si>
  <si>
    <t>-613.733030360967 86.9372750146153 -355.106146768723</t>
  </si>
  <si>
    <t>-617.909793415391 76.403838629435 -475.78006370096</t>
  </si>
  <si>
    <t>-614.632571936174 61.1223900190956 -584.180161060827</t>
  </si>
  <si>
    <t>-604.440931182967 40.1764751937203 -691.195294553512</t>
  </si>
  <si>
    <t>-583.132813241296 5.24354050928427 -837.911550795209</t>
  </si>
  <si>
    <t>-586.159228986236 51.1927668849285 -779.324620633247</t>
  </si>
  <si>
    <t>-552.098968772393 194.216517621262 -781.731038274178</t>
  </si>
  <si>
    <t>-414.66235841453 225.146028045971 -498.286534267587</t>
  </si>
  <si>
    <t>-216.487745943162 200.318031633788 -331.695952450155</t>
  </si>
  <si>
    <t>-574.04434334875 178.529875098003 -235.75733533975</t>
  </si>
  <si>
    <t>-534.500470992326 230.761308568201 215.203653866626</t>
  </si>
  <si>
    <t>-629.765465043362 245.14984699734 675.045067834856</t>
  </si>
  <si>
    <t>-476.657824005831 234.314213025019 760.976169665351</t>
  </si>
  <si>
    <t>-623.815556614426 1.52696196732371 219.888437817965</t>
  </si>
  <si>
    <t>-658.915596332841 7.37256855375759 688.390175852142</t>
  </si>
  <si>
    <t>-502.446802560313 -32.7372519727883 758.04812181268</t>
  </si>
  <si>
    <t>9763-20170724T164159.691877300.bin</t>
  </si>
  <si>
    <t>-592.56938038961 82.9840783557902 -235.907455702548</t>
  </si>
  <si>
    <t>-613.737385692203 86.8633408832064 -355.09087194108</t>
  </si>
  <si>
    <t>-617.801304672038 76.392119739841 -475.773916171031</t>
  </si>
  <si>
    <t>-614.392682149841 61.1820493769995 -584.179980966017</t>
  </si>
  <si>
    <t>-604.037467850809 40.3262073716882 -691.197164304413</t>
  </si>
  <si>
    <t>-582.466468535629 5.54194555219225 -837.910229973627</t>
  </si>
  <si>
    <t>-585.671210128662 51.4442892764068 -779.296130807869</t>
  </si>
  <si>
    <t>-551.836576792382 194.529224826118 -781.473666252345</t>
  </si>
  <si>
    <t>-415.39441356256 225.281253475436 -497.5299468322</t>
  </si>
  <si>
    <t>-213.742811672279 204.152591099109 -334.642495163968</t>
  </si>
  <si>
    <t>-574.043433348648 178.44762029571 -235.705570293958</t>
  </si>
  <si>
    <t>-534.41199846355 230.775748654821 215.236558797612</t>
  </si>
  <si>
    <t>-629.781966037383 245.183803870488 675.087029048712</t>
  </si>
  <si>
    <t>-476.659166360916 234.369571893933 760.993778400037</t>
  </si>
  <si>
    <t>-623.914055234034 1.34489212931508 219.881479319448</t>
  </si>
  <si>
    <t>-658.948403745922 7.17034290026847 688.389936123815</t>
  </si>
  <si>
    <t>-502.938189677414 -34.592233746385 758.105089596051</t>
  </si>
  <si>
    <t>9763-20170724T164159.723965800.bin</t>
  </si>
  <si>
    <t>-592.47923863683 82.9406057171731 -235.892622125275</t>
  </si>
  <si>
    <t>-613.677471640519 86.8512172131119 -355.069577281967</t>
  </si>
  <si>
    <t>-617.742636604099 76.4277976913982 -475.756799446169</t>
  </si>
  <si>
    <t>-614.322072423001 61.2686189631356 -584.169655498059</t>
  </si>
  <si>
    <t>-603.941148891948 40.4721467574549 -691.195662129947</t>
  </si>
  <si>
    <t>-582.319441297472 5.77967622119772 -837.923248079506</t>
  </si>
  <si>
    <t>-585.556078063638 51.6473164115557 -779.283484082695</t>
  </si>
  <si>
    <t>-551.680381052021 194.729084947311 -781.316492776191</t>
  </si>
  <si>
    <t>-415.666473688121 225.112871472922 -497.127915896725</t>
  </si>
  <si>
    <t>-212.367396337039 205.194565712854 -336.146978217115</t>
  </si>
  <si>
    <t>-573.921620762717 178.449885117152 -235.678848002532</t>
  </si>
  <si>
    <t>-534.305195839941 230.728220138049 215.27027492939</t>
  </si>
  <si>
    <t>-629.780767136029 245.212453116202 675.094344085005</t>
  </si>
  <si>
    <t>-476.662319402983 234.350712093304 761.002863483994</t>
  </si>
  <si>
    <t>-623.878641584858 1.2655647445874 219.884560967838</t>
  </si>
  <si>
    <t>-658.971084233234 7.04181581266413 688.392445910028</t>
  </si>
  <si>
    <t>-503.13853170113 -35.3391117534962 758.131854065354</t>
  </si>
  <si>
    <t>9763-20170724T164159.789148800.bin</t>
  </si>
  <si>
    <t>-592.291178323335 83.0064636102249 -235.891943021155</t>
  </si>
  <si>
    <t>-613.484964222293 86.9611786769813 -355.068114247045</t>
  </si>
  <si>
    <t>-617.512218049436 76.6305889565087 -475.764669815021</t>
  </si>
  <si>
    <t>-614.04315743808 61.5752762410916 -584.190430913172</t>
  </si>
  <si>
    <t>-603.599014297593 40.9027789969294 -691.234379937736</t>
  </si>
  <si>
    <t>-581.873588317613 6.40364631444825 -837.99205811456</t>
  </si>
  <si>
    <t>-585.141192368947 52.1922018784499 -779.292467174954</t>
  </si>
  <si>
    <t>-551.096601477003 195.234276980085 -781.042305262151</t>
  </si>
  <si>
    <t>-415.729252213894 224.316609548697 -496.408995875208</t>
  </si>
  <si>
    <t>-214.338085727197 201.043039742941 -333.491849127674</t>
  </si>
  <si>
    <t>-573.66892126194 178.454735358007 -235.641062061172</t>
  </si>
  <si>
    <t>-534.098906375505 230.785141275031 215.306151035557</t>
  </si>
  <si>
    <t>-629.76437038679 245.277449111313 675.095338247488</t>
  </si>
  <si>
    <t>-476.663174067365 234.327802008896 761.02347888937</t>
  </si>
  <si>
    <t>-623.767714505732 1.32042201206975 219.878612626897</t>
  </si>
  <si>
    <t>-658.954426055926 7.06998051162638 688.392023901382</t>
  </si>
  <si>
    <t>-502.8310149567 -34.2630683995313 758.109854995041</t>
  </si>
  <si>
    <t>9763-20170724T164159.825167200.bin</t>
  </si>
  <si>
    <t>-592.178310459943 83.0147870792069 -235.876418931688</t>
  </si>
  <si>
    <t>-613.347040896762 86.9707986317982 -355.057040561211</t>
  </si>
  <si>
    <t>-617.336746682862 76.6659630954946 -475.75700304116</t>
  </si>
  <si>
    <t>-613.828501250453 61.6438742098355 -584.186044051484</t>
  </si>
  <si>
    <t>-603.339844687779 41.014768150689 -691.234196114958</t>
  </si>
  <si>
    <t>-581.54699658096 6.5865539464498 -837.998405087678</t>
  </si>
  <si>
    <t>-584.831329415479 52.3449678114374 -779.276234255905</t>
  </si>
  <si>
    <t>-550.640343990759 195.357640492176 -780.901568830267</t>
  </si>
  <si>
    <t>-415.517528246055 223.892424816821 -496.096798237031</t>
  </si>
  <si>
    <t>-217.20178591657 196.381067488384 -330.096622301815</t>
  </si>
  <si>
    <t>-573.43401365758 178.548302770961 -235.656197386075</t>
  </si>
  <si>
    <t>-533.975430946237 230.725164773274 215.3186343922</t>
  </si>
  <si>
    <t>-629.744044523167 245.309317819225 675.074377403766</t>
  </si>
  <si>
    <t>-476.661675888707 234.305319028569 761.029124188844</t>
  </si>
  <si>
    <t>-623.761014659661 1.30113157019751 219.887218849299</t>
  </si>
  <si>
    <t>-658.957599481524 7.03378755747278 688.394156150635</t>
  </si>
  <si>
    <t>-503.0752208976 -35.143938618676 758.145394111481</t>
  </si>
  <si>
    <t>9763-20170724T164159.892359100.bin</t>
  </si>
  <si>
    <t>-591.907380037627 83.0047608653882 -235.900058526882</t>
  </si>
  <si>
    <t>-613.029597069792 86.974371740006 -355.088624316284</t>
  </si>
  <si>
    <t>-616.995113032658 76.6832181518854 -475.790499142101</t>
  </si>
  <si>
    <t>-613.474751567396 61.6726440135154 -584.22085552282</t>
  </si>
  <si>
    <t>-602.984012760724 41.0539625789851 -691.270678825893</t>
  </si>
  <si>
    <t>-581.198763557743 6.63868164338137 -838.039214344261</t>
  </si>
  <si>
    <t>-584.428849095002 52.3832045248573 -779.303082930764</t>
  </si>
  <si>
    <t>-550.080418275318 195.358723770602 -780.788593910268</t>
  </si>
  <si>
    <t>-415.52407946964 223.515132749177 -495.678174088058</t>
  </si>
  <si>
    <t>-218.184755601805 195.785703616886 -328.554442634738</t>
  </si>
  <si>
    <t>-573.026057064909 178.47966137456 -235.672381056789</t>
  </si>
  <si>
    <t>-533.88427206851 230.739518530108 215.320352458046</t>
  </si>
  <si>
    <t>-629.703316708388 245.360091636427 675.041574207443</t>
  </si>
  <si>
    <t>-476.655361654092 234.317416373174 761.052504192943</t>
  </si>
  <si>
    <t>-623.737840186497 1.24000287192456 219.882953025212</t>
  </si>
  <si>
    <t>-658.969829813066 6.90052085512653 688.400486646815</t>
  </si>
  <si>
    <t>-503.112447040776 -35.3356251687555 758.172173809975</t>
  </si>
  <si>
    <t>9763-20170724T164159.922435900.bin</t>
  </si>
  <si>
    <t>-591.760928873304 82.9503605718538 -235.877640003764</t>
  </si>
  <si>
    <t>-612.843562124767 86.9371139322088 -355.072589227924</t>
  </si>
  <si>
    <t>-616.784926234904 76.6488241284286 -475.775500071786</t>
  </si>
  <si>
    <t>-613.248149376877 61.6363738317794 -584.204918071943</t>
  </si>
  <si>
    <t>-602.745727122737 41.0122861103574 -691.252574021058</t>
  </si>
  <si>
    <t>-580.948527980919 6.58654151661872 -838.016873137207</t>
  </si>
  <si>
    <t>-584.169410852722 52.3328664946148 -779.281718186595</t>
  </si>
  <si>
    <t>-549.821637922865 195.298841030232 -780.700750982223</t>
  </si>
  <si>
    <t>-415.546908483308 223.643489026933 -495.476100766739</t>
  </si>
  <si>
    <t>-215.631892667203 199.818419475726 -330.829802946075</t>
  </si>
  <si>
    <t>-572.801931352827 178.402401805564 -235.661954212832</t>
  </si>
  <si>
    <t>-533.81808460773 230.725371610209 215.337262050706</t>
  </si>
  <si>
    <t>-629.692616096924 245.377873238273 675.048020719742</t>
  </si>
  <si>
    <t>-476.653988041695 234.324495749675 761.074287435416</t>
  </si>
  <si>
    <t>-623.650849572455 1.25313399284083 219.888878566007</t>
  </si>
  <si>
    <t>-658.954402500954 6.9496494727848 688.398236606753</t>
  </si>
  <si>
    <t>-503.007816894132 -34.9589799997758 758.168097168331</t>
  </si>
  <si>
    <t>9763-20170724T164159.991123200.bin</t>
  </si>
  <si>
    <t>-591.430701095835 83.013564559278 -235.854922849951</t>
  </si>
  <si>
    <t>-612.560209911532 87.0772841630773 -355.03899455605</t>
  </si>
  <si>
    <t>-616.561998884394 76.8524636955686 -475.745253229052</t>
  </si>
  <si>
    <t>-613.08467531281 61.8913148285961 -584.183865020135</t>
  </si>
  <si>
    <t>-602.646169246944 41.3122068239682 -691.246269183997</t>
  </si>
  <si>
    <t>-580.941944105408 6.94219758423881 -838.037392753444</t>
  </si>
  <si>
    <t>-584.0854541588 52.6592270236272 -779.275391478636</t>
  </si>
  <si>
    <t>-549.506926649359 195.571523229065 -780.505320606948</t>
  </si>
  <si>
    <t>-415.275365177408 223.453438924431 -495.214716875257</t>
  </si>
  <si>
    <t>-210.32811931279 206.879710105609 -335.954042986519</t>
  </si>
  <si>
    <t>-572.329781063665 178.461099287103 -235.607187459573</t>
  </si>
  <si>
    <t>-533.454946738396 230.770737564083 215.402883383836</t>
  </si>
  <si>
    <t>-629.69126500443 245.391747248431 675.067962704345</t>
  </si>
  <si>
    <t>-476.655731041561 234.375580908446 761.104423524271</t>
  </si>
  <si>
    <t>-623.465038912919 1.35008837262138 219.895169474455</t>
  </si>
  <si>
    <t>-658.939677779909 6.97832601453968 688.396258398616</t>
  </si>
  <si>
    <t>-502.791748617807 -34.1852891918928 758.159316794363</t>
  </si>
  <si>
    <t>9763-20170724T164200.025719600.bin</t>
  </si>
  <si>
    <t>-591.288420891034 83.076548536105 -235.838523083458</t>
  </si>
  <si>
    <t>-612.388350659229 87.1536123675458 -355.027314098692</t>
  </si>
  <si>
    <t>-616.43513640023 76.9522422034519 -475.73403912064</t>
  </si>
  <si>
    <t>-613.02836291648 62.0157727646131 -584.178241246782</t>
  </si>
  <si>
    <t>-602.68952264219 41.4645169365118 -691.255803404308</t>
  </si>
  <si>
    <t>-581.15328600906 7.13578725844499 -838.081284916109</t>
  </si>
  <si>
    <t>-584.20283661639 52.8316194127152 -779.297735294097</t>
  </si>
  <si>
    <t>-549.444618673088 195.707555351207 -780.475508291329</t>
  </si>
  <si>
    <t>-414.700713337483 222.434229094558 -495.316090901505</t>
  </si>
  <si>
    <t>-208.784476625173 208.159009438043 -337.085938195373</t>
  </si>
  <si>
    <t>-572.062026820638 178.558890907714 -235.597121428757</t>
  </si>
  <si>
    <t>-533.261905841979 230.775961577963 215.430160160697</t>
  </si>
  <si>
    <t>-629.678600140888 245.391185949104 675.050558320409</t>
  </si>
  <si>
    <t>-476.654355840175 234.410863701106 761.111738459782</t>
  </si>
  <si>
    <t>-623.403406370072 1.31746065181382 219.905053061922</t>
  </si>
  <si>
    <t>-658.947885780182 6.90121803074408 688.401001023138</t>
  </si>
  <si>
    <t>-503.111891704339 -35.3651667524849 758.202296421629</t>
  </si>
  <si>
    <t>9763-20170724T164200.092899800.bin</t>
  </si>
  <si>
    <t>-590.961489183801 83.2359041909873 -235.814433686912</t>
  </si>
  <si>
    <t>-612.120916036879 87.3707306993422 -354.990765359075</t>
  </si>
  <si>
    <t>-616.265779179682 77.1597213160904 -475.693339274286</t>
  </si>
  <si>
    <t>-612.962843779466 62.1866856083319 -584.135708362639</t>
  </si>
  <si>
    <t>-602.742478494122 41.5711528322101 -691.212326633519</t>
  </si>
  <si>
    <t>-581.386140292809 7.12455058163147 -838.036464112888</t>
  </si>
  <si>
    <t>-584.276029071631 52.8522138610203 -779.269655937371</t>
  </si>
  <si>
    <t>-549.060296278287 195.615885688255 -780.517489261669</t>
  </si>
  <si>
    <t>-413.875785723002 222.156301070091 -495.549137942161</t>
  </si>
  <si>
    <t>-206.193606810835 210.46384078149 -339.429064138738</t>
  </si>
  <si>
    <t>-571.523797979572 178.709868464727 -235.555652336954</t>
  </si>
  <si>
    <t>-532.903259501722 230.804300297771 215.501180267109</t>
  </si>
  <si>
    <t>-629.66147850203 245.492673883297 675.03741019426</t>
  </si>
  <si>
    <t>-476.666328990477 234.32504804795 761.126221716151</t>
  </si>
  <si>
    <t>-623.22904000309 1.37303337621719 219.946231717363</t>
  </si>
  <si>
    <t>-658.961683045231 6.77034783201927 688.414215730753</t>
  </si>
  <si>
    <t>-503.366826120808 -36.3402680163468 758.237112641793</t>
  </si>
  <si>
    <t>9763-20170724T164200.122982300.bin</t>
  </si>
  <si>
    <t>-590.79931106209 83.31963282744 -235.816279897529</t>
  </si>
  <si>
    <t>-611.939202699479 87.4679398168168 -354.995578165368</t>
  </si>
  <si>
    <t>-616.107405075628 77.2360477289797 -475.695604945445</t>
  </si>
  <si>
    <t>-612.841660440644 62.2315418076722 -584.134806608517</t>
  </si>
  <si>
    <t>-602.67385098959 41.5728902629647 -691.208047099391</t>
  </si>
  <si>
    <t>-581.405530375313 7.05505651368247 -838.028347557372</t>
  </si>
  <si>
    <t>-584.234189118217 52.8066195837488 -779.276969198208</t>
  </si>
  <si>
    <t>-548.952764520227 195.553878703244 -780.55773130094</t>
  </si>
  <si>
    <t>-413.596633587603 222.388618623506 -495.698474143812</t>
  </si>
  <si>
    <t>-205.739640041543 210.994077611644 -339.78934859774</t>
  </si>
  <si>
    <t>-571.204602326085 178.816520982793 -235.55890186777</t>
  </si>
  <si>
    <t>-532.704905244824 230.850979525088 215.515224524618</t>
  </si>
  <si>
    <t>-629.657288566421 245.527676950915 675.026741701225</t>
  </si>
  <si>
    <t>-476.672084202281 234.276921303604 761.122364907568</t>
  </si>
  <si>
    <t>-623.12483769052 1.42901093620688 219.954358569161</t>
  </si>
  <si>
    <t>-658.946012483757 6.83497894031404 688.415641264494</t>
  </si>
  <si>
    <t>-503.262642246606 -35.9661677454281 758.23154254725</t>
  </si>
  <si>
    <t>9763-20170724T164200.199691600.bin</t>
  </si>
  <si>
    <t>-590.632122522669 83.3653921150531 -235.77601594669</t>
  </si>
  <si>
    <t>-611.742038800538 87.5366327933773 -354.959670565899</t>
  </si>
  <si>
    <t>-615.941500438127 77.3003114326744 -475.658374760426</t>
  </si>
  <si>
    <t>-612.726908477892 62.2828541724287 -584.097183387735</t>
  </si>
  <si>
    <t>-602.631435129146 41.6036642505641 -691.173381765607</t>
  </si>
  <si>
    <t>-581.484268046402 7.05035604138891 -838.002755823538</t>
  </si>
  <si>
    <t>-584.258244523125 52.8149840379624 -779.25910529411</t>
  </si>
  <si>
    <t>-548.938643031086 195.559451232909 -780.587684256657</t>
  </si>
  <si>
    <t>-413.220147620216 222.33755771603 -495.895487443002</t>
  </si>
  <si>
    <t>-206.426546605226 209.767258825197 -338.668266784775</t>
  </si>
  <si>
    <t>-570.919337911743 178.837110742447 -235.523920963744</t>
  </si>
  <si>
    <t>-532.53297597744 230.895342962492 215.55712852526</t>
  </si>
  <si>
    <t>-629.66052262774 245.561520221891 675.020499820996</t>
  </si>
  <si>
    <t>-476.681057133911 234.226806376691 761.1153033609</t>
  </si>
  <si>
    <t>-623.043486220794 1.47701277244644 219.967082935241</t>
  </si>
  <si>
    <t>-658.951908598343 6.80767018440157 688.422126653316</t>
  </si>
  <si>
    <t>-503.040797432261 -35.2032553920569 758.209755795814</t>
  </si>
  <si>
    <t>9763-20170724T164200.223256000.bin</t>
  </si>
  <si>
    <t>-590.317850092463 83.6704362372388 -235.777033389123</t>
  </si>
  <si>
    <t>-611.516925323347 87.8892692525009 -354.943278490871</t>
  </si>
  <si>
    <t>-615.862023707396 77.6520518460877 -475.636627539756</t>
  </si>
  <si>
    <t>-612.79947232714 62.6150954528126 -584.07722270738</t>
  </si>
  <si>
    <t>-602.875057393764 41.8986100072739 -691.162050421439</t>
  </si>
  <si>
    <t>-581.98396041832 7.27557167057242 -838.011808503297</t>
  </si>
  <si>
    <t>-584.643027901644 53.0658640417072 -779.282696376767</t>
  </si>
  <si>
    <t>-549.335521130788 195.794374212709 -780.767465962858</t>
  </si>
  <si>
    <t>-413.223447024612 222.7738626848 -496.282219108809</t>
  </si>
  <si>
    <t>-207.279626065167 209.011715695895 -338.042585442445</t>
  </si>
  <si>
    <t>-570.543592468455 179.218057045335 -235.509940195072</t>
  </si>
  <si>
    <t>-532.250934069107 231.071644958826 215.60265485744</t>
  </si>
  <si>
    <t>-629.673768164216 245.555479443188 675.01915522306</t>
  </si>
  <si>
    <t>-476.689633704233 234.231048647548 761.106979257578</t>
  </si>
  <si>
    <t>-622.869184069184 1.65894806425153 219.977077378937</t>
  </si>
  <si>
    <t>-658.926085790754 6.92347997690665 688.422177147505</t>
  </si>
  <si>
    <t>-502.93677692395 -34.8239090511975 758.193225490926</t>
  </si>
  <si>
    <t>9763-20170724T164200.293482100.bin</t>
  </si>
  <si>
    <t>-589.925293865494 83.8912506557643 -235.779402024928</t>
  </si>
  <si>
    <t>-611.12366064736 88.0914323315837 -354.946560554047</t>
  </si>
  <si>
    <t>-615.564325305078 77.8568727759732 -475.636635164478</t>
  </si>
  <si>
    <t>-612.623728014473 62.8339665593328 -584.082475536682</t>
  </si>
  <si>
    <t>-602.854087699576 42.1442839225996 -691.186985589453</t>
  </si>
  <si>
    <t>-582.209437102543 7.57274635806436 -838.083515724922</t>
  </si>
  <si>
    <t>-584.805522346695 53.3487926092284 -779.340495205206</t>
  </si>
  <si>
    <t>-549.679736421261 196.134491744477 -780.835339405906</t>
  </si>
  <si>
    <t>-413.47347375714 222.519751785566 -496.339610393558</t>
  </si>
  <si>
    <t>-210.00101995301 205.736782623363 -335.220612226981</t>
  </si>
  <si>
    <t>-570.076393363262 179.442383186548 -235.531191770497</t>
  </si>
  <si>
    <t>-532.08705145735 231.244346760358 215.612994433231</t>
  </si>
  <si>
    <t>-629.666946626825 245.568673997276 674.978901149453</t>
  </si>
  <si>
    <t>-476.690074274259 234.282683228158 761.084749524117</t>
  </si>
  <si>
    <t>-622.733471104804 1.72685020555693 219.988943673802</t>
  </si>
  <si>
    <t>-658.931040517864 6.80834810152997 688.428635427724</t>
  </si>
  <si>
    <t>-503.263358009311 -36.0517177143239 758.24331406004</t>
  </si>
  <si>
    <t>9763-20170724T164200.323158400.bin</t>
  </si>
  <si>
    <t>-589.740873185256 84.0363381423393 -235.788227325178</t>
  </si>
  <si>
    <t>-610.9358701706 88.2272091846867 -354.956314850087</t>
  </si>
  <si>
    <t>-615.412302089282 78.0165827292678 -475.647067916296</t>
  </si>
  <si>
    <t>-612.517979180624 63.0302874125558 -584.099393788117</t>
  </si>
  <si>
    <t>-602.807019254721 42.392735811726 -691.219009586914</t>
  </si>
  <si>
    <t>-582.255395744115 7.91020282522405 -838.149650097297</t>
  </si>
  <si>
    <t>-584.842481533462 53.6556378665948 -779.382371427682</t>
  </si>
  <si>
    <t>-549.842181437606 196.460957546277 -780.830790779952</t>
  </si>
  <si>
    <t>-413.655492873996 222.389190988856 -496.283511895865</t>
  </si>
  <si>
    <t>-210.534907827583 204.865993390301 -334.799738121677</t>
  </si>
  <si>
    <t>-569.917463241009 179.592822124128 -235.553979837851</t>
  </si>
  <si>
    <t>-532.11602895166 231.351980160359 215.610829594746</t>
  </si>
  <si>
    <t>-629.676617747469 245.563290886068 674.981195577059</t>
  </si>
  <si>
    <t>-476.689759719819 234.342746127923 761.077892475765</t>
  </si>
  <si>
    <t>-622.656754387996 1.79991954787032 219.986739569179</t>
  </si>
  <si>
    <t>-658.915718116163 6.82662222297837 688.428020456891</t>
  </si>
  <si>
    <t>-503.164357451342 -35.7413987260423 758.234856422913</t>
  </si>
  <si>
    <t>9763-20170724T164200.387355500.bin</t>
  </si>
  <si>
    <t>-589.353444021339 84.3060068543361 -235.8022392106</t>
  </si>
  <si>
    <t>-610.554429751913 88.462581947693 -354.970379864565</t>
  </si>
  <si>
    <t>-615.130395373806 78.3438124880255 -475.665151198239</t>
  </si>
  <si>
    <t>-612.360593495411 63.4933450565786 -584.139289731692</t>
  </si>
  <si>
    <t>-602.805777043449 43.044262359184 -691.309244337822</t>
  </si>
  <si>
    <t>-582.500802784378 8.87794174611835 -838.347971347446</t>
  </si>
  <si>
    <t>-585.067946091695 54.5106704173062 -779.492256027076</t>
  </si>
  <si>
    <t>-550.387586218765 197.408128723461 -780.751894516187</t>
  </si>
  <si>
    <t>-414.315144876322 222.175990911053 -496.046694097465</t>
  </si>
  <si>
    <t>-212.985869663096 202.132704068523 -332.624416369921</t>
  </si>
  <si>
    <t>-569.586426832396 179.843728323326 -235.598063374586</t>
  </si>
  <si>
    <t>-532.211931396305 231.534949013978 215.610141624547</t>
  </si>
  <si>
    <t>-629.685065908652 245.569812558852 674.986142451462</t>
  </si>
  <si>
    <t>-476.687588485224 234.455654987961 761.077664239039</t>
  </si>
  <si>
    <t>-622.441310203426 1.95323088339435 219.986403961217</t>
  </si>
  <si>
    <t>-658.903267075742 6.78953537544932 688.426902403378</t>
  </si>
  <si>
    <t>-503.238860112802 -36.0842337292789 758.240516117965</t>
  </si>
  <si>
    <t>9763-20170724T164200.425037500.bin</t>
  </si>
  <si>
    <t>-589.117008093987 84.40768768231 -235.800093008948</t>
  </si>
  <si>
    <t>-610.334905715558 88.5573854448352 -354.965581020746</t>
  </si>
  <si>
    <t>-614.956150951451 78.5031389867958 -475.664010756064</t>
  </si>
  <si>
    <t>-612.236884236075 63.7412232858465 -584.151496411613</t>
  </si>
  <si>
    <t>-602.740612358063 43.4109347985055 -691.349307390091</t>
  </si>
  <si>
    <t>-582.523638842094 9.44120298922073 -838.445595391669</t>
  </si>
  <si>
    <t>-585.113197017131 55.0051734582032 -779.53769056918</t>
  </si>
  <si>
    <t>-550.715576574857 197.967060041083 -780.671728365622</t>
  </si>
  <si>
    <t>-414.678085028827 221.989970347078 -495.886152397242</t>
  </si>
  <si>
    <t>-213.254572036603 201.947697469422 -332.579721171758</t>
  </si>
  <si>
    <t>-569.396781618736 179.944337765069 -235.583870636019</t>
  </si>
  <si>
    <t>-532.201023893309 231.619110936763 215.641000276968</t>
  </si>
  <si>
    <t>-629.697501837846 245.557734358479 675.005955018928</t>
  </si>
  <si>
    <t>-476.685805535161 234.538324129395 761.084501117752</t>
  </si>
  <si>
    <t>-622.276872744099 2.0150402918916 219.986785527259</t>
  </si>
  <si>
    <t>-658.886495807403 6.85452646582415 688.421766904701</t>
  </si>
  <si>
    <t>-503.212617222782 -36.0013270187316 758.22525971164</t>
  </si>
  <si>
    <t>9763-20170724T164200.490210700.bin</t>
  </si>
  <si>
    <t>-588.525117042517 84.595994978122 -235.79140578357</t>
  </si>
  <si>
    <t>-609.740496977227 88.7240183269044 -354.957918823238</t>
  </si>
  <si>
    <t>-614.470227485436 78.8149964383647 -475.664289204034</t>
  </si>
  <si>
    <t>-611.888913617706 64.2550294174818 -584.182429747707</t>
  </si>
  <si>
    <t>-602.566491619898 44.1979460509243 -691.446813346028</t>
  </si>
  <si>
    <t>-582.62412885701 10.681911163614 -838.684723299343</t>
  </si>
  <si>
    <t>-585.231823462563 56.0859048246295 -779.654252358686</t>
  </si>
  <si>
    <t>-551.405702656014 199.192522230422 -780.516861661404</t>
  </si>
  <si>
    <t>-415.440302022583 222.136798638595 -495.607866607867</t>
  </si>
  <si>
    <t>-214.606987228769 201.022686552961 -331.710695915363</t>
  </si>
  <si>
    <t>-568.912776610915 180.117629314175 -235.573490660564</t>
  </si>
  <si>
    <t>-532.110836404409 231.710734693062 215.692976218685</t>
  </si>
  <si>
    <t>-629.69587247288 245.550177714649 675.017330862169</t>
  </si>
  <si>
    <t>-476.686408957287 234.672592692512 761.117738395896</t>
  </si>
  <si>
    <t>-621.907040579369 2.14243141250852 219.980954903305</t>
  </si>
  <si>
    <t>-658.875399742991 6.80058625644206 688.410516045934</t>
  </si>
  <si>
    <t>-503.249921298895 -36.227848298278 758.215856362094</t>
  </si>
  <si>
    <t>9763-20170724T164200.525912400.bin</t>
  </si>
  <si>
    <t>-588.140840661263 84.7423662073521 -235.795027760438</t>
  </si>
  <si>
    <t>-609.347962894338 88.8648924442976 -354.963222412528</t>
  </si>
  <si>
    <t>-614.124080373479 79.0172756004211 -475.672769841487</t>
  </si>
  <si>
    <t>-611.605072352381 64.5410703216473 -584.203607095055</t>
  </si>
  <si>
    <t>-602.363704229582 44.595807565491 -691.495867743278</t>
  </si>
  <si>
    <t>-582.551741945615 11.264392186159 -838.793230374546</t>
  </si>
  <si>
    <t>-585.154989924525 56.6024337321648 -779.711821404052</t>
  </si>
  <si>
    <t>-551.577082458259 199.759418857755 -780.444683764539</t>
  </si>
  <si>
    <t>-415.551363852112 222.290303597421 -495.531492183793</t>
  </si>
  <si>
    <t>-214.416349958225 201.277988269405 -331.991655194897</t>
  </si>
  <si>
    <t>-568.575340188379 180.19892588856 -235.569488795579</t>
  </si>
  <si>
    <t>-532.056299459069 231.837712011301 215.714789530578</t>
  </si>
  <si>
    <t>-629.687953313704 245.537625179098 675.027234347112</t>
  </si>
  <si>
    <t>-476.683459976824 234.76340414043 761.149512714016</t>
  </si>
  <si>
    <t>-621.610329859101 2.2894181692597 219.97720095114</t>
  </si>
  <si>
    <t>-658.857682123918 6.81857901438843 688.403837372186</t>
  </si>
  <si>
    <t>-502.978880585908 -35.3166806361412 758.188786708222</t>
  </si>
  <si>
    <t>9763-20170724T164200.591607800.bin</t>
  </si>
  <si>
    <t>-587.414340039598 85.1778931110166 -235.7868771763</t>
  </si>
  <si>
    <t>-608.663676453194 89.2836126870746 -354.948238135692</t>
  </si>
  <si>
    <t>-613.517607950499 79.5599100078994 -475.664689350706</t>
  </si>
  <si>
    <t>-611.0810067692 65.253621219154 -584.21988738046</t>
  </si>
  <si>
    <t>-601.93184483806 45.5357555834671 -691.562128033168</t>
  </si>
  <si>
    <t>-582.256067968302 12.5796280284099 -838.962127264023</t>
  </si>
  <si>
    <t>-584.878881383135 57.7793609884573 -779.775736573724</t>
  </si>
  <si>
    <t>-551.608200885948 201.020901588197 -780.301505646014</t>
  </si>
  <si>
    <t>-415.592473596845 222.965220375499 -495.337724314262</t>
  </si>
  <si>
    <t>-214.55105209028 201.701022509941 -331.715525815094</t>
  </si>
  <si>
    <t>-567.977845432846 180.57748192694 -235.591299812393</t>
  </si>
  <si>
    <t>-532.133002916975 232.015411759529 215.769884844957</t>
  </si>
  <si>
    <t>-629.648898588256 245.551432679882 675.073488711539</t>
  </si>
  <si>
    <t>-476.674915372486 234.88908326586 761.263917222388</t>
  </si>
  <si>
    <t>-620.955169253341 2.69431350717436 219.997511340942</t>
  </si>
  <si>
    <t>-658.80253943356 6.92610679098212 688.380286389463</t>
  </si>
  <si>
    <t>-502.771807337209 -34.6559054519724 758.157539390987</t>
  </si>
  <si>
    <t>9763-20170724T164200.623965000.bin</t>
  </si>
  <si>
    <t>-587.061944605678 85.4263965948672 -235.808617246274</t>
  </si>
  <si>
    <t>-608.347142010031 89.5132896681979 -354.964050287323</t>
  </si>
  <si>
    <t>-613.230054007942 79.7974025572142 -475.680046190557</t>
  </si>
  <si>
    <t>-610.816259226404 65.5093824926834 -584.23819217933</t>
  </si>
  <si>
    <t>-601.686272064036 45.820928532992 -691.587445148049</t>
  </si>
  <si>
    <t>-582.03292592173 12.9172355441253 -839.002113651566</t>
  </si>
  <si>
    <t>-584.666733165549 58.099234617893 -779.802687770454</t>
  </si>
  <si>
    <t>-551.566992890714 201.375475140584 -780.304270608588</t>
  </si>
  <si>
    <t>-415.545197546737 223.209343083064 -495.334950431955</t>
  </si>
  <si>
    <t>-214.735951579348 201.226712549643 -331.522644777757</t>
  </si>
  <si>
    <t>-567.660647598357 180.810462013472 -235.610209219045</t>
  </si>
  <si>
    <t>-532.13194712921 232.118124450374 215.790860382837</t>
  </si>
  <si>
    <t>-629.630840922682 245.564826472142 675.110620736231</t>
  </si>
  <si>
    <t>-476.674633185914 234.927444350576 761.335661991171</t>
  </si>
  <si>
    <t>-620.686266912886 2.83006634846896 220.001662200309</t>
  </si>
  <si>
    <t>-658.789978780751 6.86305610294667 688.374934003056</t>
  </si>
  <si>
    <t>-503.081905207227 -35.8391500479917 758.196204868446</t>
  </si>
  <si>
    <t>9763-20170724T164200.693149500.bin</t>
  </si>
  <si>
    <t>-586.294773410431 85.8479038791664 -235.780224930705</t>
  </si>
  <si>
    <t>-607.489575831053 89.8767997293407 -354.953773031658</t>
  </si>
  <si>
    <t>-612.350268228878 80.1501939289538 -475.669794951299</t>
  </si>
  <si>
    <t>-609.944068554098 65.8719049289454 -584.229257097718</t>
  </si>
  <si>
    <t>-600.848888713903 46.2122658386972 -691.586794290307</t>
  </si>
  <si>
    <t>-581.271383606758 13.3680035764255 -839.024821968179</t>
  </si>
  <si>
    <t>-583.897614523016 58.5298400468245 -779.809773783075</t>
  </si>
  <si>
    <t>-550.926530694674 201.840591783724 -780.248079135414</t>
  </si>
  <si>
    <t>-415.300369350337 223.937395635012 -495.110440785549</t>
  </si>
  <si>
    <t>-215.291049795522 199.374510436873 -330.687190998925</t>
  </si>
  <si>
    <t>-566.882189381789 181.181724759488 -235.618555426326</t>
  </si>
  <si>
    <t>-532.166371089355 232.310646159289 215.865986937469</t>
  </si>
  <si>
    <t>-629.602029850143 245.596291863697 675.169806628316</t>
  </si>
  <si>
    <t>-476.675650678954 235.040022432139 761.457751592187</t>
  </si>
  <si>
    <t>-620.281194147975 3.17631057238177 220.021207868451</t>
  </si>
  <si>
    <t>-658.746535131819 6.90983507557537 688.364889672578</t>
  </si>
  <si>
    <t>-502.981897102591 -35.5848973509286 758.186673376348</t>
  </si>
  <si>
    <t>9763-20170724T164200.724105400.bin</t>
  </si>
  <si>
    <t>-585.915379579245 86.0808449191293 -235.784079123006</t>
  </si>
  <si>
    <t>-607.123559404443 90.0769065942475 -354.956541501379</t>
  </si>
  <si>
    <t>-611.980193704679 80.3225220735693 -475.670316544938</t>
  </si>
  <si>
    <t>-609.563712874085 66.021060751089 -584.226639905098</t>
  </si>
  <si>
    <t>-600.451834640373 46.3401005207123 -691.578864113882</t>
  </si>
  <si>
    <t>-580.844895413508 13.4681023808863 -839.006735619221</t>
  </si>
  <si>
    <t>-583.487721868372 58.6418902574091 -779.801540341248</t>
  </si>
  <si>
    <t>-550.586337634798 201.948381791277 -780.225088100152</t>
  </si>
  <si>
    <t>-414.986197400335 224.228025653224 -495.089293500008</t>
  </si>
  <si>
    <t>-214.721996463169 199.656895990448 -330.978002271503</t>
  </si>
  <si>
    <t>-566.517907883865 181.440275162404 -235.645843338651</t>
  </si>
  <si>
    <t>-532.303136654511 232.401857571443 215.895907773092</t>
  </si>
  <si>
    <t>-629.605237242756 245.61448562411 675.23187094334</t>
  </si>
  <si>
    <t>-476.679545764223 235.119927929575 761.528463953505</t>
  </si>
  <si>
    <t>-619.995573291411 3.27175395383958 220.043474852316</t>
  </si>
  <si>
    <t>-658.739564378189 6.81460100461082 688.367215333252</t>
  </si>
  <si>
    <t>-503.189224213478 -36.4234216619893 758.210428694537</t>
  </si>
  <si>
    <t>9763-20170724T164200.792789600.bin</t>
  </si>
  <si>
    <t>-585.413988165659 86.4797400323809 -235.805533286312</t>
  </si>
  <si>
    <t>-606.750794524242 90.4499372097563 -354.955703272537</t>
  </si>
  <si>
    <t>-611.703545621181 80.6851689370875 -475.664888817437</t>
  </si>
  <si>
    <t>-609.363295840228 66.3763433642009 -584.22178977064</t>
  </si>
  <si>
    <t>-600.318864759447 46.6875180632741 -691.578307349916</t>
  </si>
  <si>
    <t>-580.79816030456 13.8018295570401 -839.014560777807</t>
  </si>
  <si>
    <t>-583.365875198549 58.9744816010941 -779.805120210853</t>
  </si>
  <si>
    <t>-550.200037609985 202.230243529529 -780.130739139029</t>
  </si>
  <si>
    <t>-414.21085889009 224.783236228446 -495.201782185603</t>
  </si>
  <si>
    <t>-211.771181968981 203.564003838274 -333.306720671288</t>
  </si>
  <si>
    <t>-566.040878310208 181.784910054807 -235.647894083788</t>
  </si>
  <si>
    <t>-532.577081666788 232.583587502833 215.968426571395</t>
  </si>
  <si>
    <t>-629.649924980434 245.688374963165 675.370861708811</t>
  </si>
  <si>
    <t>-476.694577213229 235.2539153745 761.622213694365</t>
  </si>
  <si>
    <t>-619.424557350072 3.55748070954225 220.084968368671</t>
  </si>
  <si>
    <t>-658.705807609005 6.79156146694028 688.367942226762</t>
  </si>
  <si>
    <t>-503.202059749023 -36.6201451906683 758.20717470117</t>
  </si>
  <si>
    <t>9763-20170724T164200.825998700.bin</t>
  </si>
  <si>
    <t>-585.216352177945 86.7235629136991 -235.787357417601</t>
  </si>
  <si>
    <t>-606.44882402889 90.638575413608 -354.958153104231</t>
  </si>
  <si>
    <t>-611.355935807119 80.8407507296537 -475.666415883891</t>
  </si>
  <si>
    <t>-609.000828553233 66.5085761755081 -584.220089283748</t>
  </si>
  <si>
    <t>-599.969103220178 46.8012803207399 -691.574123630675</t>
  </si>
  <si>
    <t>-580.49554254834 13.8931400171917 -839.011724893651</t>
  </si>
  <si>
    <t>-582.998998971427 59.0672858734795 -779.800656347096</t>
  </si>
  <si>
    <t>-549.665684807119 202.283402033432 -780.127616227628</t>
  </si>
  <si>
    <t>-413.212480491442 224.820772285522 -495.419389903721</t>
  </si>
  <si>
    <t>-209.125334931532 206.151495569528 -335.288336925978</t>
  </si>
  <si>
    <t>-565.737405835682 181.905234365039 -235.670599132959</t>
  </si>
  <si>
    <t>-532.678569343484 232.72477565314 215.973230062749</t>
  </si>
  <si>
    <t>-629.661814157006 245.718003380035 675.408452919327</t>
  </si>
  <si>
    <t>-476.701756955175 235.310486829489 761.654648993583</t>
  </si>
  <si>
    <t>-619.28048801887 3.72640433707033 220.099635756762</t>
  </si>
  <si>
    <t>-658.69101434804 6.7569344531222 688.372210977733</t>
  </si>
  <si>
    <t>-503.017704968961 -36.07268283953 758.192984639666</t>
  </si>
  <si>
    <t>9763-20170724T164200.890666500.bin</t>
  </si>
  <si>
    <t>-584.80230312732 87.0248685314396 -235.811685566207</t>
  </si>
  <si>
    <t>-605.990591047629 90.8718092349297 -354.992443311772</t>
  </si>
  <si>
    <t>-610.896673517918 81.0170463952198 -475.696175361878</t>
  </si>
  <si>
    <t>-608.561634789806 66.6340715161615 -584.243508847984</t>
  </si>
  <si>
    <t>-599.572837608678 46.8743508601817 -691.591464482548</t>
  </si>
  <si>
    <t>-580.184152004825 13.8892407063671 -839.023121366016</t>
  </si>
  <si>
    <t>-582.571643172246 59.0805377130394 -779.820433427409</t>
  </si>
  <si>
    <t>-548.823576735807 202.208072706401 -780.255146803701</t>
  </si>
  <si>
    <t>-411.364926081323 225.534652633668 -496.094687135807</t>
  </si>
  <si>
    <t>-205.113961655289 209.373025089608 -338.483237562045</t>
  </si>
  <si>
    <t>-565.164672030208 182.278711674114 -235.753550077142</t>
  </si>
  <si>
    <t>-533.20552055938 232.768371355242 216.006462327642</t>
  </si>
  <si>
    <t>-629.711896645166 245.862506124007 675.50521439951</t>
  </si>
  <si>
    <t>-476.734172112595 235.31326160955 761.702823348653</t>
  </si>
  <si>
    <t>-619.193961606091 3.85400893013397 220.135588609084</t>
  </si>
  <si>
    <t>-658.651257543838 6.72638170757519 688.385496288499</t>
  </si>
  <si>
    <t>-503.230252990432 -36.9188804486647 758.263338098477</t>
  </si>
  <si>
    <t>9763-20170724T164200.922766700.bin</t>
  </si>
  <si>
    <t>-584.63850652378 87.1988788179631 -235.841205985894</t>
  </si>
  <si>
    <t>-605.770042997254 91.0424207910247 -355.032172115966</t>
  </si>
  <si>
    <t>-610.684150479923 81.1586369228022 -475.733204748697</t>
  </si>
  <si>
    <t>-608.383171831314 66.7383445484827 -584.276360009124</t>
  </si>
  <si>
    <t>-599.455206018417 46.9300491454077 -691.620515503544</t>
  </si>
  <si>
    <t>-580.178900231651 13.8652881937931 -839.048989091486</t>
  </si>
  <si>
    <t>-582.478076965296 59.0812511218165 -779.861474256571</t>
  </si>
  <si>
    <t>-548.587832293166 202.164854878382 -780.400760509356</t>
  </si>
  <si>
    <t>-410.693759665877 226.095720241311 -496.501678619959</t>
  </si>
  <si>
    <t>-203.894004416505 210.359797986617 -339.56747988648</t>
  </si>
  <si>
    <t>-564.99548700364 182.390681730443 -235.773435923994</t>
  </si>
  <si>
    <t>-533.312965524847 232.824557646951 216.012327252728</t>
  </si>
  <si>
    <t>-629.738384912487 245.905954800161 675.550194680122</t>
  </si>
  <si>
    <t>-476.754232117516 235.312371290477 761.73108165375</t>
  </si>
  <si>
    <t>-619.16746306999 3.9429014366159 220.129499183978</t>
  </si>
  <si>
    <t>-658.63547608362 6.70760628810096 688.389618444558</t>
  </si>
  <si>
    <t>-503.145819199953 -36.680927606049 758.274532529266</t>
  </si>
  <si>
    <t>9763-20170724T164200.989445800.bin</t>
  </si>
  <si>
    <t>-584.246291266601 87.6492388144915 -235.875007736436</t>
  </si>
  <si>
    <t>-605.286019075316 91.4160234925316 -355.084718889042</t>
  </si>
  <si>
    <t>-610.261762247176 81.4631666227808 -475.777513071964</t>
  </si>
  <si>
    <t>-608.081392869148 66.9802405713965 -584.314802738166</t>
  </si>
  <si>
    <t>-599.339468272968 47.1066598802821 -691.662226581261</t>
  </si>
  <si>
    <t>-580.390200349864 13.9458917773959 -839.111506177325</t>
  </si>
  <si>
    <t>-582.462298934443 59.1839253587443 -779.932586990231</t>
  </si>
  <si>
    <t>-548.250680016677 202.198144607569 -780.636579098613</t>
  </si>
  <si>
    <t>-410.407656711979 226.454565435132 -496.740239874</t>
  </si>
  <si>
    <t>-204.111968409575 210.055151481146 -339.211907701126</t>
  </si>
  <si>
    <t>-564.388234577862 182.855695464763 -235.917069513361</t>
  </si>
  <si>
    <t>-533.764205296486 232.896299948114 215.985351522051</t>
  </si>
  <si>
    <t>-629.755075774458 245.993003129762 675.5814508633</t>
  </si>
  <si>
    <t>-476.780866466033 235.34555368878 761.773267905019</t>
  </si>
  <si>
    <t>-619.095514026641 4.22956684738622 220.143751206418</t>
  </si>
  <si>
    <t>-658.610430140874 6.62305490106289 688.400062585917</t>
  </si>
  <si>
    <t>-503.026657032413 -36.397791469233 758.302848699355</t>
  </si>
  <si>
    <t>9763-20170724T164201.026072500.bin</t>
  </si>
  <si>
    <t>-583.913940973443 87.9208139319003 -235.923062829894</t>
  </si>
  <si>
    <t>-604.933799914702 91.6663160520102 -355.136858492868</t>
  </si>
  <si>
    <t>-609.959690803856 81.6940269058651 -475.825959831618</t>
  </si>
  <si>
    <t>-607.853227312209 67.1934857414586 -584.362314098912</t>
  </si>
  <si>
    <t>-599.213591517832 47.3016435933433 -691.714637139908</t>
  </si>
  <si>
    <t>-580.435476449017 14.1140210787049 -839.179884170023</t>
  </si>
  <si>
    <t>-582.402459812705 59.3564950500377 -780.000714390738</t>
  </si>
  <si>
    <t>-548.125077714751 202.341182794437 -780.755766867823</t>
  </si>
  <si>
    <t>-410.577011658814 226.427235858188 -496.701887915835</t>
  </si>
  <si>
    <t>-204.575075584016 209.592023599274 -338.83547022546</t>
  </si>
  <si>
    <t>-563.94082388765 183.223645706229 -236.023058280721</t>
  </si>
  <si>
    <t>-533.925708428733 232.862655118005 215.964508697269</t>
  </si>
  <si>
    <t>-629.739409564618 246.011418784867 675.588342201407</t>
  </si>
  <si>
    <t>-476.780307868028 235.411021558876 761.812806130841</t>
  </si>
  <si>
    <t>-618.936251014722 4.36582176688991 220.132721708606</t>
  </si>
  <si>
    <t>-658.604402029993 6.47969647166002 688.394356056475</t>
  </si>
  <si>
    <t>-503.372273864394 -37.6896528824839 758.362596235298</t>
  </si>
  <si>
    <t>9763-20170724T164201.095757800.bin</t>
  </si>
  <si>
    <t>-583.106466822074 88.6885008734113 -236.106861807828</t>
  </si>
  <si>
    <t>-604.132658099201 92.3689683437154 -355.321658730676</t>
  </si>
  <si>
    <t>-609.259246167914 82.4036277330607 -476.007044546005</t>
  </si>
  <si>
    <t>-607.281325127462 67.9378216867426 -584.550507124318</t>
  </si>
  <si>
    <t>-598.806670521151 48.1084947831812 -691.927548383409</t>
  </si>
  <si>
    <t>-580.294598928297 15.035457732797 -839.452029942579</t>
  </si>
  <si>
    <t>-582.123185583332 60.226426095077 -780.22915461325</t>
  </si>
  <si>
    <t>-547.73954052569 203.199569378353 -780.949762196477</t>
  </si>
  <si>
    <t>-410.998704727957 226.442647328468 -496.436324680075</t>
  </si>
  <si>
    <t>-205.99361661515 208.22468227051 -337.42978984114</t>
  </si>
  <si>
    <t>-562.939004448404 183.956448383389 -236.318055631259</t>
  </si>
  <si>
    <t>-534.171912572763 232.803208253792 215.836986924395</t>
  </si>
  <si>
    <t>-629.644162895809 246.111961235719 675.466281302011</t>
  </si>
  <si>
    <t>-476.786361459031 235.481706526998 761.866502693502</t>
  </si>
  <si>
    <t>-618.378394616122 4.93800767152685 220.056680369332</t>
  </si>
  <si>
    <t>-658.542559677878 6.34886356010244 688.313726219312</t>
  </si>
  <si>
    <t>-503.301844895026 -37.704336840374 758.336198780539</t>
  </si>
  <si>
    <t>9763-20170724T164201.122340500.bin</t>
  </si>
  <si>
    <t>-582.602220944823 89.0977521220758 -236.256103478053</t>
  </si>
  <si>
    <t>-603.641263223907 92.7528177493386 -355.469403605959</t>
  </si>
  <si>
    <t>-608.836383200297 82.7901709746957 -476.152093965586</t>
  </si>
  <si>
    <t>-606.942056973754 68.3386244015164 -584.698970515902</t>
  </si>
  <si>
    <t>-598.571382111871 48.5353313889406 -692.089019741548</t>
  </si>
  <si>
    <t>-580.22403694765 15.510608408742 -839.644846064804</t>
  </si>
  <si>
    <t>-581.976922207732 60.680497688138 -780.403574908219</t>
  </si>
  <si>
    <t>-547.565994967361 203.64282369774 -781.104223109152</t>
  </si>
  <si>
    <t>-411.253760604975 226.317569318557 -496.339320878822</t>
  </si>
  <si>
    <t>-206.470749807586 207.595555300325 -337.105379734282</t>
  </si>
  <si>
    <t>-562.330736732751 184.304514757444 -236.505420775869</t>
  </si>
  <si>
    <t>-534.33011372272 232.757656126516 215.740017269803</t>
  </si>
  <si>
    <t>-629.579361020705 246.14340974372 675.374866440584</t>
  </si>
  <si>
    <t>-476.784029763972 235.546669170638 761.889590385104</t>
  </si>
  <si>
    <t>-618.00548535406 5.2653332005581 219.973835590799</t>
  </si>
  <si>
    <t>-658.47892294164 6.42774553573294 688.234740951135</t>
  </si>
  <si>
    <t>-503.123965700184 -37.2004223176974 758.270076741393</t>
  </si>
  <si>
    <t>9763-20170724T164201.192031700.bin</t>
  </si>
  <si>
    <t>-581.758417858575 89.8210738746627 -236.509976449789</t>
  </si>
  <si>
    <t>-602.790357081173 93.3396852200615 -355.728746307172</t>
  </si>
  <si>
    <t>-608.115346991334 83.3656252710563 -476.404787351291</t>
  </si>
  <si>
    <t>-606.392976214158 68.9539677479371 -584.959824696902</t>
  </si>
  <si>
    <t>-598.247644597762 49.2394161565906 -692.383386396935</t>
  </si>
  <si>
    <t>-580.266655775029 16.3870527550367 -840.02286577418</t>
  </si>
  <si>
    <t>-581.877293624141 61.4885864501213 -780.72551634083</t>
  </si>
  <si>
    <t>-547.483415553368 204.465243767896 -781.385232334445</t>
  </si>
  <si>
    <t>-411.396029617116 226.516414250861 -496.463950853672</t>
  </si>
  <si>
    <t>-207.366740266065 206.557413277394 -336.414730236298</t>
  </si>
  <si>
    <t>-594.568115913458 0.357826957602455 -768.668610196269</t>
  </si>
  <si>
    <t>-561.378206869546 184.889490176168 -236.839683159978</t>
  </si>
  <si>
    <t>-534.901863146686 232.821722459142 215.553045083027</t>
  </si>
  <si>
    <t>-629.527372707174 246.22700584434 675.298861100473</t>
  </si>
  <si>
    <t>-476.78211165028 235.858457391755 761.929617938479</t>
  </si>
  <si>
    <t>-617.272021335429 5.78229667060029 219.822813111693</t>
  </si>
  <si>
    <t>-658.365772161588 6.41671479150176 688.062919919902</t>
  </si>
  <si>
    <t>-503.214740828298 -37.8618179281853 758.142002297829</t>
  </si>
  <si>
    <t>9763-20170724T164201.225066000.bin</t>
  </si>
  <si>
    <t>-581.263210995539 90.1389100794036 -236.645918689579</t>
  </si>
  <si>
    <t>-602.317415233665 93.5833648863064 -355.862894404971</t>
  </si>
  <si>
    <t>-607.749717431093 83.5999226880238 -476.533368295338</t>
  </si>
  <si>
    <t>-606.159843650698 69.203643754428 -585.092459611602</t>
  </si>
  <si>
    <t>-598.182434442945 49.5263703158149 -692.535499960227</t>
  </si>
  <si>
    <t>-580.471538230405 16.7466470964699 -840.223762634793</t>
  </si>
  <si>
    <t>-581.951305014973 61.8150452745903 -780.897921423765</t>
  </si>
  <si>
    <t>-547.572206104045 204.786876000857 -781.522059357703</t>
  </si>
  <si>
    <t>-411.373957517895 226.584307913714 -496.634012091674</t>
  </si>
  <si>
    <t>-207.285731609212 206.495638070745 -336.676298679007</t>
  </si>
  <si>
    <t>-594.664805354068 0.686284103583773 -768.854811193289</t>
  </si>
  <si>
    <t>-560.834908692761 185.197943867711 -237.005789353966</t>
  </si>
  <si>
    <t>-535.295257279254 232.772592711923 215.478492915609</t>
  </si>
  <si>
    <t>-629.544494677076 246.273271626047 675.291785606414</t>
  </si>
  <si>
    <t>-476.799547441443 235.969453981269 761.930852680443</t>
  </si>
  <si>
    <t>-616.989945324181 6.04318433822408 219.741159822642</t>
  </si>
  <si>
    <t>-658.301733408915 6.52353628442231 687.968882252846</t>
  </si>
  <si>
    <t>-502.922598323994 -36.9886820129449 758.022550506128</t>
  </si>
  <si>
    <t>9763-20170724T164201.287233700.bin</t>
  </si>
  <si>
    <t>-580.799379683164 90.3866017925793 -236.7427033133</t>
  </si>
  <si>
    <t>-601.714376744797 93.7142659090137 -355.987350197429</t>
  </si>
  <si>
    <t>-607.141646939131 83.6919376703075 -476.654973544722</t>
  </si>
  <si>
    <t>-605.604426637934 69.2890232573541 -585.213895748619</t>
  </si>
  <si>
    <t>-597.73760366662 49.631131297093 -692.668695548414</t>
  </si>
  <si>
    <t>-580.240991008787 16.9024492832987 -840.393724420867</t>
  </si>
  <si>
    <t>-581.604334588172 61.9449870249482 -781.045417609176</t>
  </si>
  <si>
    <t>-547.333238278424 204.943981151055 -781.685871587337</t>
  </si>
  <si>
    <t>-410.885988726096 226.624290337405 -496.908252880114</t>
  </si>
  <si>
    <t>-206.878216425955 206.44507467961 -336.859257897666</t>
  </si>
  <si>
    <t>-594.361119700218 0.8227925202047 -769.014639498066</t>
  </si>
  <si>
    <t>-560.301848274921 185.416763347274 -237.200750204276</t>
  </si>
  <si>
    <t>-535.788440047881 232.713512735079 215.369488905342</t>
  </si>
  <si>
    <t>-629.555813702378 246.329370944928 675.274332429267</t>
  </si>
  <si>
    <t>-476.813548202061 236.079055381943 761.924434812573</t>
  </si>
  <si>
    <t>-616.728025111109 6.16477859995777 219.678089753796</t>
  </si>
  <si>
    <t>-658.260728909865 6.47573190569254 687.884601644952</t>
  </si>
  <si>
    <t>-503.191896081285 -38.0557005225581 757.985450286249</t>
  </si>
  <si>
    <t>9763-20170724T164201.323887600.bin</t>
  </si>
  <si>
    <t>-580.062135390522 90.9240250501721 -237.079645080629</t>
  </si>
  <si>
    <t>-601.042460086192 94.1642683884626 -356.315171146645</t>
  </si>
  <si>
    <t>-606.519839402906 84.0642819509386 -476.974016140383</t>
  </si>
  <si>
    <t>-605.02396303804 69.5925229303552 -585.524437064936</t>
  </si>
  <si>
    <t>-597.195951328318 49.8657151413431 -692.969356170747</t>
  </si>
  <si>
    <t>-579.751879966975 17.0398965616502 -840.679181497913</t>
  </si>
  <si>
    <t>-581.030486029171 62.1100657619389 -781.350027177135</t>
  </si>
  <si>
    <t>-546.687111248484 205.084996709326 -782.016733359559</t>
  </si>
  <si>
    <t>-409.750773693438 226.61804117333 -497.462761135946</t>
  </si>
  <si>
    <t>-205.968561394559 206.060757212268 -337.174651880904</t>
  </si>
  <si>
    <t>-593.910186063348 1.01853800606744 -769.294443235348</t>
  </si>
  <si>
    <t>-559.568511907106 186.091492900181 -237.647815882672</t>
  </si>
  <si>
    <t>-536.768165871657 232.691407536504 215.084209044628</t>
  </si>
  <si>
    <t>-629.512487666849 246.523145209407 675.159820273467</t>
  </si>
  <si>
    <t>-476.844876696352 236.170555202836 761.929273126711</t>
  </si>
  <si>
    <t>-616.311134504833 6.4710009896046 219.493729329054</t>
  </si>
  <si>
    <t>-658.199998365531 6.26677811153884 687.684866776974</t>
  </si>
  <si>
    <t>-503.402712477599 -39.1084847995034 757.844705276346</t>
  </si>
  <si>
    <t>9763-20170724T164201.391072800.bin</t>
  </si>
  <si>
    <t>-579.655591954462 91.4294172869838 -237.359286726041</t>
  </si>
  <si>
    <t>-600.656959340196 94.5918805506287 -356.593339446114</t>
  </si>
  <si>
    <t>-606.192161298584 84.4261148235314 -477.24403745299</t>
  </si>
  <si>
    <t>-604.763007393953 69.9001946307657 -585.787994569064</t>
  </si>
  <si>
    <t>-597.015686270261 50.1245126697833 -693.229878468728</t>
  </si>
  <si>
    <t>-579.697878480206 17.2363001572618 -840.940610805133</t>
  </si>
  <si>
    <t>-580.915603838608 62.3297238943403 -781.62771361022</t>
  </si>
  <si>
    <t>-546.650147445437 205.334183019065 -782.286675464549</t>
  </si>
  <si>
    <t>-409.455820155168 226.777858160715 -497.850354650538</t>
  </si>
  <si>
    <t>-205.852659330609 205.78432957183 -337.391390939206</t>
  </si>
  <si>
    <t>-593.805374991769 1.24692708992185 -769.538635443971</t>
  </si>
  <si>
    <t>-559.060946447279 186.583243246625 -237.980870915655</t>
  </si>
  <si>
    <t>-537.660403092808 232.678633489999 214.871091186942</t>
  </si>
  <si>
    <t>-629.51962866178 246.680940574425 675.130032714937</t>
  </si>
  <si>
    <t>-476.885253734438 236.251388893245 761.94880374519</t>
  </si>
  <si>
    <t>-616.153641219067 6.68251124506469 219.283418677667</t>
  </si>
  <si>
    <t>-658.141843283678 6.10287955244527 687.473744242169</t>
  </si>
  <si>
    <t>-503.480231994595 -39.6825346481225 757.666239604027</t>
  </si>
  <si>
    <t>9763-20170724T164201.423723700.bin</t>
  </si>
  <si>
    <t>-579.419002502134 91.5821294838867 -237.467560542738</t>
  </si>
  <si>
    <t>-600.422910971428 94.749245339135 -356.701027145284</t>
  </si>
  <si>
    <t>-605.976109784024 84.5660661830604 -477.349327204505</t>
  </si>
  <si>
    <t>-604.56999562603 70.0148758246026 -585.89027399917</t>
  </si>
  <si>
    <t>-596.852771563439 50.2042467863706 -693.327809474496</t>
  </si>
  <si>
    <t>-579.584238267317 17.2570635856699 -841.031226273965</t>
  </si>
  <si>
    <t>-580.763427770896 62.3707657574464 -781.732999680343</t>
  </si>
  <si>
    <t>-546.4796137507 205.361213186139 -782.394093656632</t>
  </si>
  <si>
    <t>-409.183949219647 226.860768835958 -498.010939541231</t>
  </si>
  <si>
    <t>-205.822896584668 205.423442187489 -337.303836569336</t>
  </si>
  <si>
    <t>-593.686598017007 1.29957167947764 -769.621167287708</t>
  </si>
  <si>
    <t>-558.792410190853 186.724792075318 -238.09799137633</t>
  </si>
  <si>
    <t>-538.071425715009 232.641639822763 214.803700879058</t>
  </si>
  <si>
    <t>-629.55244992635 246.747080152163 675.141744892547</t>
  </si>
  <si>
    <t>-476.917096388822 236.285226917216 761.95483381465</t>
  </si>
  <si>
    <t>-616.123927194499 6.76125958176981 219.163164062802</t>
  </si>
  <si>
    <t>-658.092411844868 6.16784719617756 687.356237416006</t>
  </si>
  <si>
    <t>-503.323559047834 -39.2560787532963 757.547187617705</t>
  </si>
  <si>
    <t>9763-20170724T164201.493415300.bin</t>
  </si>
  <si>
    <t>-579.085829999199 92.0906276851792 -237.721927463205</t>
  </si>
  <si>
    <t>-600.178915035803 95.2641499315954 -356.939483206766</t>
  </si>
  <si>
    <t>-605.800598814076 85.0282736184935 -477.580193980608</t>
  </si>
  <si>
    <t>-604.447636388718 70.4057928546763 -586.112167194944</t>
  </si>
  <si>
    <t>-596.774669069212 50.5008483121961 -693.535468381945</t>
  </si>
  <si>
    <t>-579.558842156952 17.3991589577028 -841.210545958105</t>
  </si>
  <si>
    <t>-580.679158395231 62.5680722002342 -781.953233982116</t>
  </si>
  <si>
    <t>-546.310236477809 205.541710097689 -782.674805350864</t>
  </si>
  <si>
    <t>-409.005771800537 227.042420318164 -498.295774535927</t>
  </si>
  <si>
    <t>-205.687049927824 205.339342708347 -337.570930362339</t>
  </si>
  <si>
    <t>-593.673513947588 1.52321351801577 -769.784697763198</t>
  </si>
  <si>
    <t>-558.409713195506 187.267560996397 -238.411006581132</t>
  </si>
  <si>
    <t>-539.035284641759 232.53314005332 214.61594897205</t>
  </si>
  <si>
    <t>-629.565541697612 246.952194405274 675.112445739061</t>
  </si>
  <si>
    <t>-476.958622726845 236.315580739675 761.954370714018</t>
  </si>
  <si>
    <t>-615.854427411382 7.07359155348642 218.947700157875</t>
  </si>
  <si>
    <t>-657.986438707461 6.29918552338935 687.11713053739</t>
  </si>
  <si>
    <t>-503.194771788832 -39.053750898363 757.303748374065</t>
  </si>
  <si>
    <t>9763-20170724T164201.526005200.bin</t>
  </si>
  <si>
    <t>-579.017125411184 92.3102598487247 -237.85565865229</t>
  </si>
  <si>
    <t>-600.201769698576 95.5286955929633 -357.055716700242</t>
  </si>
  <si>
    <t>-605.874093753038 85.2791226278956 -477.692857437929</t>
  </si>
  <si>
    <t>-604.548277070657 70.6222380206641 -586.220598615833</t>
  </si>
  <si>
    <t>-596.883248578449 50.6624466899347 -693.634341694104</t>
  </si>
  <si>
    <t>-579.6580854972 17.4648985626625 -841.286756759174</t>
  </si>
  <si>
    <t>-580.767710583512 62.6696334220956 -782.056473067761</t>
  </si>
  <si>
    <t>-546.373529300116 205.628750647603 -782.879860760483</t>
  </si>
  <si>
    <t>-409.081892274793 227.252047511215 -498.503985231782</t>
  </si>
  <si>
    <t>-205.829669897503 205.422606833157 -337.712153295645</t>
  </si>
  <si>
    <t>-593.791665800172 1.63793586087144 -769.85374621766</t>
  </si>
  <si>
    <t>-558.236817440809 187.463750866389 -238.529540106448</t>
  </si>
  <si>
    <t>-539.577958353687 232.481260076251 214.552117203864</t>
  </si>
  <si>
    <t>-629.605597490885 247.046553288511 675.150678031725</t>
  </si>
  <si>
    <t>-476.989047054534 236.321221800002 761.964621963477</t>
  </si>
  <si>
    <t>-615.707933016336 7.1913457927939 218.833042488128</t>
  </si>
  <si>
    <t>-657.956221285223 6.28200264876146 686.992884986409</t>
  </si>
  <si>
    <t>-503.0918035954 -38.8729135040342 757.146644211258</t>
  </si>
  <si>
    <t>9763-20170724T164201.592682900.bin</t>
  </si>
  <si>
    <t>-579.342387253249 92.4174968662113 -238.071846603163</t>
  </si>
  <si>
    <t>-600.600340397233 95.7174833844061 -357.256672153202</t>
  </si>
  <si>
    <t>-606.353627683777 85.4658360463372 -477.889833564447</t>
  </si>
  <si>
    <t>-605.099653591167 70.7775889990729 -586.414176576699</t>
  </si>
  <si>
    <t>-597.502700378656 50.7602209489499 -693.822058281538</t>
  </si>
  <si>
    <t>-580.365956757605 17.458258353061 -841.46113735099</t>
  </si>
  <si>
    <t>-581.434220867344 62.7037960466542 -782.26139666836</t>
  </si>
  <si>
    <t>-546.953076942281 205.647605580641 -783.161124595633</t>
  </si>
  <si>
    <t>-409.858495118507 227.254847772136 -498.688901474973</t>
  </si>
  <si>
    <t>-206.619589138107 205.245070002486 -337.904786464054</t>
  </si>
  <si>
    <t>-594.462658156959 1.68288478770462 -770.009537513904</t>
  </si>
  <si>
    <t>-558.369986169502 187.753097893427 -238.686692898061</t>
  </si>
  <si>
    <t>-540.262009469048 232.328490068474 214.460927921049</t>
  </si>
  <si>
    <t>-629.695534807236 247.289202428759 675.220297036642</t>
  </si>
  <si>
    <t>-477.074628937668 236.083561068284 761.965911542547</t>
  </si>
  <si>
    <t>-616.286106820081 7.07330879834277 218.576148731518</t>
  </si>
  <si>
    <t>-657.903198426707 6.29416242824395 686.777391813126</t>
  </si>
  <si>
    <t>-503.122931137609 -39.2246167569634 756.881751854832</t>
  </si>
  <si>
    <t>9763-20170724T164201.624270000.bin</t>
  </si>
  <si>
    <t>-579.532655092885 92.3062673165014 -238.112699270917</t>
  </si>
  <si>
    <t>-600.695578734187 95.5982056399878 -357.314699746393</t>
  </si>
  <si>
    <t>-606.419328365631 85.3282945569016 -477.947714331254</t>
  </si>
  <si>
    <t>-605.164819004537 70.6203666711696 -586.469396333569</t>
  </si>
  <si>
    <t>-597.592749975708 50.5807094947629 -693.874764766182</t>
  </si>
  <si>
    <t>-580.516417280701 17.2453225577435 -841.513360589429</t>
  </si>
  <si>
    <t>-581.557316044998 62.5037012378632 -782.322953553091</t>
  </si>
  <si>
    <t>-547.088967516777 205.452328086218 -783.257906696008</t>
  </si>
  <si>
    <t>-409.912956218466 227.097282681179 -498.827936631035</t>
  </si>
  <si>
    <t>-206.506860034838 205.182517436163 -338.242219189983</t>
  </si>
  <si>
    <t>-594.58703668147 1.48671866283741 -770.052940470474</t>
  </si>
  <si>
    <t>-558.39943359019 187.69140172842 -238.702668238285</t>
  </si>
  <si>
    <t>-540.503615569536 232.273998826524 214.452678767487</t>
  </si>
  <si>
    <t>-629.758421757829 247.339592573737 675.248594725943</t>
  </si>
  <si>
    <t>-477.119810343631 236.027205749627 761.949128066092</t>
  </si>
  <si>
    <t>-616.747765326894 6.87000143673987 218.483309474429</t>
  </si>
  <si>
    <t>-657.894156058824 6.24856589268624 686.716327114368</t>
  </si>
  <si>
    <t>-503.142538682439 -39.3975780723625 756.801168819592</t>
  </si>
  <si>
    <t>9763-20170724T164201.688440700.bin</t>
  </si>
  <si>
    <t>-579.424395449743 91.8382651121301 -238.15460162486</t>
  </si>
  <si>
    <t>-600.489287774326 95.1793386042644 -357.372406631411</t>
  </si>
  <si>
    <t>-606.212341740493 84.8886293468846 -478.003715983635</t>
  </si>
  <si>
    <t>-604.993547567244 70.1372879007696 -586.519913477854</t>
  </si>
  <si>
    <t>-597.491597873963 50.0317241904177 -693.918046133078</t>
  </si>
  <si>
    <t>-580.546368067234 16.5834554676658 -841.546128492933</t>
  </si>
  <si>
    <t>-581.544595652483 61.8888732933957 -782.390861010942</t>
  </si>
  <si>
    <t>-547.157624329375 204.856787036336 -783.47066976479</t>
  </si>
  <si>
    <t>-409.818504572183 226.911456297059 -499.150847188329</t>
  </si>
  <si>
    <t>-206.421500966238 204.880124118005 -338.569663787077</t>
  </si>
  <si>
    <t>-594.543631943088 0.877681213401218 -770.059626901959</t>
  </si>
  <si>
    <t>-558.160878487701 187.297255296174 -238.700465602192</t>
  </si>
  <si>
    <t>-540.287950495263 232.10322879245 214.433855851937</t>
  </si>
  <si>
    <t>-629.804121986243 247.381256885084 675.182791936519</t>
  </si>
  <si>
    <t>-477.184877841251 236.002809018379 761.908811951311</t>
  </si>
  <si>
    <t>-617.050574749727 6.56874375148334 218.388899175201</t>
  </si>
  <si>
    <t>-657.851814063164 6.22808486069279 686.629965846141</t>
  </si>
  <si>
    <t>-503.053684020727 -39.301456609866 756.687856335248</t>
  </si>
  <si>
    <t>9763-20170724T164201.725059600.bin</t>
  </si>
  <si>
    <t>-579.122098640258 91.7097617506705 -238.164287925505</t>
  </si>
  <si>
    <t>-600.227976769649 95.0665018018425 -357.37450654972</t>
  </si>
  <si>
    <t>-605.995247962393 84.7701206395315 -478.003277110633</t>
  </si>
  <si>
    <t>-604.815975779346 70.0066683187634 -586.518286680031</t>
  </si>
  <si>
    <t>-597.351762969883 49.8832602520592 -693.915642544173</t>
  </si>
  <si>
    <t>-580.45655071804 16.4052248633205 -841.542716670619</t>
  </si>
  <si>
    <t>-581.445703859432 61.7245237771426 -782.398001814043</t>
  </si>
  <si>
    <t>-547.06225207543 204.683143737298 -783.544660342147</t>
  </si>
  <si>
    <t>-409.767149410871 227.094795003962 -499.23164787419</t>
  </si>
  <si>
    <t>-206.279426521236 205.022094019631 -338.771140249922</t>
  </si>
  <si>
    <t>-594.418681596264 0.711895907427753 -770.046628045381</t>
  </si>
  <si>
    <t>-557.858644819735 187.05319922877 -238.702319372531</t>
  </si>
  <si>
    <t>-540.049979049068 231.990409130514 214.421513662326</t>
  </si>
  <si>
    <t>-629.809741984093 247.393487472823 675.129823477336</t>
  </si>
  <si>
    <t>-477.215338998653 236.012987242614 761.899360831227</t>
  </si>
  <si>
    <t>-616.782670034137 6.62090759265058 218.378020123699</t>
  </si>
  <si>
    <t>-657.790891595704 6.3843999485659 686.597797936763</t>
  </si>
  <si>
    <t>-502.66078975595 -38.053617227796 756.622365511399</t>
  </si>
  <si>
    <t>9763-20170724T164201.792255000.bin</t>
  </si>
  <si>
    <t>-578.540021798436 91.3951617093135 -238.112863034094</t>
  </si>
  <si>
    <t>-599.668063692992 94.7986298842153 -357.317766514117</t>
  </si>
  <si>
    <t>-605.457821474532 84.5436004242893 -477.948960085027</t>
  </si>
  <si>
    <t>-604.295771740233 69.8186482504482 -586.469317160418</t>
  </si>
  <si>
    <t>-596.843905452913 49.7365657470034 -693.875192229973</t>
  </si>
  <si>
    <t>-579.958898647138 16.3206623000987 -841.517721726203</t>
  </si>
  <si>
    <t>-581.014230262698 61.6277280357913 -782.364653276386</t>
  </si>
  <si>
    <t>-546.725604468548 204.624777551262 -783.546323934243</t>
  </si>
  <si>
    <t>-409.711655667669 227.370840322769 -499.12413155617</t>
  </si>
  <si>
    <t>-206.208267951447 205.101245866234 -338.710558601346</t>
  </si>
  <si>
    <t>-593.845753025086 0.584583460663069 -770.016255503427</t>
  </si>
  <si>
    <t>-557.515394188532 186.703809255342 -238.639867285032</t>
  </si>
  <si>
    <t>-539.81700027874 231.827062072719 214.46971509531</t>
  </si>
  <si>
    <t>-629.846803271101 247.369898908338 675.110022456389</t>
  </si>
  <si>
    <t>-477.267391533226 236.093233706761 761.919486527774</t>
  </si>
  <si>
    <t>-616.083290805323 6.51635905459358 218.381364749858</t>
  </si>
  <si>
    <t>-657.765074455947 6.12053848179445 686.529196207905</t>
  </si>
  <si>
    <t>-503.140898375149 -39.9441552682819 756.621538244685</t>
  </si>
  <si>
    <t>9763-20170724T164201.826373200.bin</t>
  </si>
  <si>
    <t>-578.24691416099 91.3064968416978 -238.133708367483</t>
  </si>
  <si>
    <t>-599.311717149235 94.6815604807123 -357.350574643331</t>
  </si>
  <si>
    <t>-605.05265121369 84.4056406172733 -477.982353349292</t>
  </si>
  <si>
    <t>-603.851510429694 69.6666486156039 -586.500434728382</t>
  </si>
  <si>
    <t>-596.364998119026 49.5760985448875 -693.902304276348</t>
  </si>
  <si>
    <t>-579.435768684365 16.155053703609 -841.538556095041</t>
  </si>
  <si>
    <t>-580.54575707463 61.4707896888913 -782.393197411211</t>
  </si>
  <si>
    <t>-546.390653001567 204.493409817718 -783.514989934657</t>
  </si>
  <si>
    <t>-409.642097541295 227.333288780574 -498.972552381365</t>
  </si>
  <si>
    <t>-206.154363650649 204.924616396652 -338.558702678824</t>
  </si>
  <si>
    <t>-593.307035626979 0.414896577188848 -770.034969171568</t>
  </si>
  <si>
    <t>-557.319125998862 186.561470429683 -238.662371928647</t>
  </si>
  <si>
    <t>-539.773123073042 231.828895455946 214.438813681922</t>
  </si>
  <si>
    <t>-629.859484422537 247.386927182781 675.088309259536</t>
  </si>
  <si>
    <t>-477.293507563641 236.138665878343 761.925022001595</t>
  </si>
  <si>
    <t>-615.836395552129 6.48288380629219 218.351195670374</t>
  </si>
  <si>
    <t>-657.747252859073 6.03580423719775 686.477111406721</t>
  </si>
  <si>
    <t>-503.078506862965 -39.8646085930556 756.578894792273</t>
  </si>
  <si>
    <t>9763-20170724T164201.894551300.bin</t>
  </si>
  <si>
    <t>-577.647306494997 91.0202588710781 -238.159951651568</t>
  </si>
  <si>
    <t>-598.686070868396 94.3629940110584 -357.382497813906</t>
  </si>
  <si>
    <t>-604.409259012016 84.0952573354773 -478.015707281786</t>
  </si>
  <si>
    <t>-603.193507968771 69.3823696856323 -586.537135705221</t>
  </si>
  <si>
    <t>-595.692650722536 49.3378053905521 -693.946738172966</t>
  </si>
  <si>
    <t>-578.742380867902 16.002163245774 -841.599738716425</t>
  </si>
  <si>
    <t>-579.926572743794 61.2953039888002 -782.438528738659</t>
  </si>
  <si>
    <t>-546.020682328884 204.375565331415 -783.415077739979</t>
  </si>
  <si>
    <t>-409.770025445441 227.386821161063 -498.647808296513</t>
  </si>
  <si>
    <t>-206.466130197112 204.656011739092 -338.046173494733</t>
  </si>
  <si>
    <t>-592.558102880011 0.209013867151192 -770.097165556184</t>
  </si>
  <si>
    <t>-556.90091742586 186.105906289187 -238.663970039051</t>
  </si>
  <si>
    <t>-539.600553337125 231.833994671542 214.400403358586</t>
  </si>
  <si>
    <t>-629.866228625642 247.409987650503 675.032847713847</t>
  </si>
  <si>
    <t>-477.331991328017 236.188425199752 761.928662784133</t>
  </si>
  <si>
    <t>-615.307778436669 6.47323860894605 218.32892796052</t>
  </si>
  <si>
    <t>-657.664969556075 6.16369416109856 686.380058640306</t>
  </si>
  <si>
    <t>-502.767664987637 -38.9703810290563 756.474646979826</t>
  </si>
  <si>
    <t>9763-20170724T164201.922246600.bin</t>
  </si>
  <si>
    <t>-577.440656119301 90.9063355081522 -238.157976896407</t>
  </si>
  <si>
    <t>-598.475413390074 94.2353843462941 -357.381489685031</t>
  </si>
  <si>
    <t>-604.182669742046 83.9554916525396 -478.014470369341</t>
  </si>
  <si>
    <t>-602.947328246704 69.2331185297693 -586.534519053023</t>
  </si>
  <si>
    <t>-595.421400041103 49.1808415050837 -693.940777299235</t>
  </si>
  <si>
    <t>-578.430592583252 15.8368751355182 -841.587293701316</t>
  </si>
  <si>
    <t>-579.64545116292 61.135853915195 -782.431141549057</t>
  </si>
  <si>
    <t>-545.767109294932 204.228868722549 -783.385901935583</t>
  </si>
  <si>
    <t>-409.921239811338 227.148159962256 -498.417871789772</t>
  </si>
  <si>
    <t>-206.569096584931 204.45914732466 -337.871358960823</t>
  </si>
  <si>
    <t>-592.251649744778 0.0452594232610508 -770.085426826023</t>
  </si>
  <si>
    <t>-556.772848522332 186.01659760574 -238.663271423572</t>
  </si>
  <si>
    <t>-539.355591879792 231.754689973515 214.395551427582</t>
  </si>
  <si>
    <t>-629.875684203444 247.388980675479 675.005757274311</t>
  </si>
  <si>
    <t>-477.354425220047 236.240120938179 761.933798324431</t>
  </si>
  <si>
    <t>-615.041879914028 6.39466801770241 218.326258863212</t>
  </si>
  <si>
    <t>-657.653000559358 6.12617441620328 686.347460532213</t>
  </si>
  <si>
    <t>-502.817547083758 -39.2315982771789 756.434411770451</t>
  </si>
  <si>
    <t>9763-20170724T164201.988422200.bin</t>
  </si>
  <si>
    <t>-577.064380800031 90.3964607477974 -238.133325130438</t>
  </si>
  <si>
    <t>-598.095059267299 93.7290841763557 -357.357617521419</t>
  </si>
  <si>
    <t>-603.803736654068 83.4480111798605 -477.990275375139</t>
  </si>
  <si>
    <t>-602.571183080068 68.7231313992222 -586.510043267731</t>
  </si>
  <si>
    <t>-595.049291766145 48.6675143882825 -693.915956737352</t>
  </si>
  <si>
    <t>-578.0650077731 15.3182956616844 -841.561994790623</t>
  </si>
  <si>
    <t>-579.289066671759 60.6214247192684 -782.409287908624</t>
  </si>
  <si>
    <t>-545.42048836474 203.709121755204 -783.319958639859</t>
  </si>
  <si>
    <t>-409.806620637949 226.742560038814 -498.250573967898</t>
  </si>
  <si>
    <t>-206.079782007044 204.657607291957 -338.095511488565</t>
  </si>
  <si>
    <t>-556.374437437374 185.455593606065 -238.608821480446</t>
  </si>
  <si>
    <t>-538.900052199645 231.534766717591 214.413287492271</t>
  </si>
  <si>
    <t>-629.887815991389 247.387834631424 674.942193875552</t>
  </si>
  <si>
    <t>-477.392995696606 236.291934687131 761.923320150634</t>
  </si>
  <si>
    <t>-614.831602951881 6.06727370029313 218.313097211579</t>
  </si>
  <si>
    <t>-657.632084156695 6.0638582571119 686.304830806823</t>
  </si>
  <si>
    <t>-502.822688329215 -39.4117022287837 756.372943509441</t>
  </si>
  <si>
    <t>9763-20170724T164202.023073900.bin</t>
  </si>
  <si>
    <t>-576.82522932621 90.1080359102253 -238.104584023986</t>
  </si>
  <si>
    <t>-597.839217067546 93.4374830387569 -357.331825712985</t>
  </si>
  <si>
    <t>-603.548724707842 83.1444507369562 -477.963673877928</t>
  </si>
  <si>
    <t>-602.322946649064 68.4065437364403 -586.481665182461</t>
  </si>
  <si>
    <t>-594.813300320434 48.3364539054144 -693.885575656891</t>
  </si>
  <si>
    <t>-577.850828908185 14.9661369607781 -841.52948120237</t>
  </si>
  <si>
    <t>-579.069499814929 60.2783326876182 -782.383537347824</t>
  </si>
  <si>
    <t>-545.222207201498 203.374843965406 -783.294656928531</t>
  </si>
  <si>
    <t>-409.518186031722 226.599816407482 -498.283681212451</t>
  </si>
  <si>
    <t>-205.411140616523 205.197668597282 -338.520351286906</t>
  </si>
  <si>
    <t>-556.093835178659 185.19758104071 -238.592412233999</t>
  </si>
  <si>
    <t>-538.720748104613 231.35755890036 214.425276848668</t>
  </si>
  <si>
    <t>-629.909424931296 247.384683100776 674.920956909451</t>
  </si>
  <si>
    <t>-477.42533640062 236.296758016898 761.921873571043</t>
  </si>
  <si>
    <t>-614.717191166404 5.85769782257434 218.327960970126</t>
  </si>
  <si>
    <t>-657.627951999341 6.02898058190797 686.298290990009</t>
  </si>
  <si>
    <t>-503.115695750363 -40.4101222320736 756.390209643384</t>
  </si>
  <si>
    <t>9763-20170724T164202.091759100.bin</t>
  </si>
  <si>
    <t>-576.54270129594 89.5343157460283 -238.072165540424</t>
  </si>
  <si>
    <t>-597.517505105801 92.8584751016984 -357.306450931952</t>
  </si>
  <si>
    <t>-603.162715764052 82.5011278490027 -477.935676831678</t>
  </si>
  <si>
    <t>-601.868359058921 67.6830372993556 -586.441888870863</t>
  </si>
  <si>
    <t>-594.279286120842 47.5120288286074 -693.821552648305</t>
  </si>
  <si>
    <t>-577.195549945296 13.9815544486026 -841.415080507886</t>
  </si>
  <si>
    <t>-578.46019876114 59.357462978011 -782.319057535315</t>
  </si>
  <si>
    <t>-544.576706579365 202.441768581147 -783.3314547827</t>
  </si>
  <si>
    <t>-408.468814788109 226.728242522127 -498.601812689329</t>
  </si>
  <si>
    <t>-203.616697218864 206.45797038482 -339.646495488903</t>
  </si>
  <si>
    <t>-555.859686651751 184.664042563181 -238.555374377213</t>
  </si>
  <si>
    <t>-538.480193165523 231.089430569266 214.435024077067</t>
  </si>
  <si>
    <t>-629.934186311347 247.40089026333 674.876433269068</t>
  </si>
  <si>
    <t>-477.47083689435 236.289448956544 761.910732698277</t>
  </si>
  <si>
    <t>-614.532967273632 5.45821530021034 218.363470715762</t>
  </si>
  <si>
    <t>-657.613276562705 5.94812315950736 686.294131768627</t>
  </si>
  <si>
    <t>-503.110718836949 -40.5312813857055 756.380802111154</t>
  </si>
  <si>
    <t>9763-20170724T164202.123402900.bin</t>
  </si>
  <si>
    <t>-576.400093663654 89.2964063544023 -238.03975688186</t>
  </si>
  <si>
    <t>-597.376837722128 92.6110266939934 -357.274047060764</t>
  </si>
  <si>
    <t>-602.980360545532 82.1930041133736 -477.89994952686</t>
  </si>
  <si>
    <t>-601.631294983149 67.2995609617573 -586.395237401559</t>
  </si>
  <si>
    <t>-593.971466475752 47.0331187397205 -693.751829385356</t>
  </si>
  <si>
    <t>-576.773509220217 13.3495927968918 -841.297350528489</t>
  </si>
  <si>
    <t>-578.07745694344 58.7856503185107 -782.24821810816</t>
  </si>
  <si>
    <t>-544.1765926809 201.872211003719 -783.345093705663</t>
  </si>
  <si>
    <t>-407.736178673685 227.131827792424 -498.859390564685</t>
  </si>
  <si>
    <t>-202.348682157873 207.576322412036 -340.506539536585</t>
  </si>
  <si>
    <t>-555.775023076841 184.349677290728 -238.527016328288</t>
  </si>
  <si>
    <t>-538.321826753157 231.038177648244 214.433490635065</t>
  </si>
  <si>
    <t>-629.949928678877 247.396286341951 674.85938710656</t>
  </si>
  <si>
    <t>-477.491717242455 236.298771697045 761.904499484341</t>
  </si>
  <si>
    <t>-614.409722552443 5.34773639372578 218.385197874938</t>
  </si>
  <si>
    <t>-657.60010581863 5.9723754480233 686.302579083429</t>
  </si>
  <si>
    <t>-503.013235254216 -40.2614991199004 756.365622840889</t>
  </si>
  <si>
    <t>9763-20170724T164202.190580000.bin</t>
  </si>
  <si>
    <t>-576.22890760566 89.054760971005 -238.011921055288</t>
  </si>
  <si>
    <t>-597.139061288867 92.2796222847479 -357.260214412648</t>
  </si>
  <si>
    <t>-602.630062245724 81.6707102875159 -477.874881060196</t>
  </si>
  <si>
    <t>-601.16327173742 66.5639403830668 -586.33901819453</t>
  </si>
  <si>
    <t>-593.371685296382 46.0438761678841 -693.637941502769</t>
  </si>
  <si>
    <t>-575.97834578771 11.966649364345 -841.07010473069</t>
  </si>
  <si>
    <t>-577.364712099878 57.5609019272067 -782.144990717591</t>
  </si>
  <si>
    <t>-543.554351219081 200.664145721167 -783.697412701295</t>
  </si>
  <si>
    <t>-405.946888085111 228.216633510715 -499.987668251138</t>
  </si>
  <si>
    <t>-199.944814182458 209.537604219316 -342.328792190994</t>
  </si>
  <si>
    <t>-555.718043887594 184.148341220166 -238.560380068942</t>
  </si>
  <si>
    <t>-538.290470492994 230.998311811582 214.384495719064</t>
  </si>
  <si>
    <t>-629.965973044669 247.418367119176 674.807756611041</t>
  </si>
  <si>
    <t>-477.526798706072 236.357658937703 761.890968094769</t>
  </si>
  <si>
    <t>-614.251759448892 5.18768173452085 218.426959851345</t>
  </si>
  <si>
    <t>-657.58619791463 5.93512990136141 686.32263533773</t>
  </si>
  <si>
    <t>-502.942078712466 -40.1322091614065 756.369029243939</t>
  </si>
  <si>
    <t>9763-20170724T164202.222190000.bin</t>
  </si>
  <si>
    <t>-576.144853346638 88.9550515789899 -237.995562993263</t>
  </si>
  <si>
    <t>-597.079925316205 92.1791577757977 -357.239546137418</t>
  </si>
  <si>
    <t>-602.563268294375 81.4843688725264 -477.847007958002</t>
  </si>
  <si>
    <t>-601.076921873978 66.2659707449513 -586.295174681068</t>
  </si>
  <si>
    <t>-593.253938702553 45.6008225400113 -693.564040306707</t>
  </si>
  <si>
    <t>-575.805573080797 11.2879471908819 -840.934948437843</t>
  </si>
  <si>
    <t>-577.210460927915 56.9757244944139 -782.08282417847</t>
  </si>
  <si>
    <t>-543.437160580296 200.080730720401 -783.878112155705</t>
  </si>
  <si>
    <t>-405.225497700424 228.75999736418 -500.57387826497</t>
  </si>
  <si>
    <t>-199.064125662407 210.248486781534 -343.103775556726</t>
  </si>
  <si>
    <t>-555.728873549534 184.048655296445 -238.538813292504</t>
  </si>
  <si>
    <t>-538.295191563177 230.978226794982 214.397552392154</t>
  </si>
  <si>
    <t>-629.982756722207 247.436590258768 674.805217858118</t>
  </si>
  <si>
    <t>-477.544785347858 236.383970835604 761.891549894288</t>
  </si>
  <si>
    <t>-614.158896236965 5.07412740169262 218.452084045135</t>
  </si>
  <si>
    <t>-657.59282319967 5.7674385446517 686.337979770837</t>
  </si>
  <si>
    <t>-503.193939664295 -41.0765709505819 756.41026124836</t>
  </si>
  <si>
    <t>9763-20170724T164202.291877700.bin</t>
  </si>
  <si>
    <t>-576.13260118135 89.0294328789154 -238.020715893206</t>
  </si>
  <si>
    <t>-597.09105994294 92.2055212235529 -357.261915445651</t>
  </si>
  <si>
    <t>-602.563640514253 81.3335303204147 -477.853942410728</t>
  </si>
  <si>
    <t>-601.054693547453 65.9033707149206 -586.271949063529</t>
  </si>
  <si>
    <t>-593.197862954 44.9759246228085 -693.487454755288</t>
  </si>
  <si>
    <t>-575.691880147711 10.2468342574995 -840.754058874826</t>
  </si>
  <si>
    <t>-577.126203324005 56.1018438146292 -782.032667891423</t>
  </si>
  <si>
    <t>-543.484563314673 199.227834972308 -784.26848485598</t>
  </si>
  <si>
    <t>-404.328397672026 229.373818691261 -501.579698537224</t>
  </si>
  <si>
    <t>-198.011057409712 210.971929816216 -344.301115772574</t>
  </si>
  <si>
    <t>-555.826830964715 184.065407058614 -238.560541049793</t>
  </si>
  <si>
    <t>-538.332905930242 231.043362504679 214.368506456314</t>
  </si>
  <si>
    <t>-630.016804489256 247.478979976015 674.803456028041</t>
  </si>
  <si>
    <t>-477.570902813636 236.462247882673 761.880390506331</t>
  </si>
  <si>
    <t>-614.07095538287 5.11467653957915 218.464027011649</t>
  </si>
  <si>
    <t>-657.551026280723 5.80187949051547 686.354524947197</t>
  </si>
  <si>
    <t>-502.860968335866 -40.1140636616225 756.398853623344</t>
  </si>
  <si>
    <t>9763-20170724T164202.351609600.bin</t>
  </si>
  <si>
    <t>-576.216252939155 88.9913224381297 -238.004216783579</t>
  </si>
  <si>
    <t>-597.157657792899 92.1604028303419 -357.248590238329</t>
  </si>
  <si>
    <t>-602.593906199933 81.2283728579781 -477.836755618375</t>
  </si>
  <si>
    <t>-601.045059708304 65.7227314087002 -586.24356183915</t>
  </si>
  <si>
    <t>-593.141738588091 44.6989902786206 -693.436837366855</t>
  </si>
  <si>
    <t>-575.565325239009 9.81505370865554 -840.6582593306</t>
  </si>
  <si>
    <t>-577.02304276645 55.7309278681243 -781.985309562946</t>
  </si>
  <si>
    <t>-543.432359116768 198.86634803092 -784.405413711566</t>
  </si>
  <si>
    <t>-404.030222560965 229.575854624246 -501.89854765624</t>
  </si>
  <si>
    <t>-197.474664210913 211.421321701621 -344.904103325398</t>
  </si>
  <si>
    <t>-555.944948829308 184.017939555712 -238.545541530259</t>
  </si>
  <si>
    <t>-538.4346334322 231.138412898625 214.368030141328</t>
  </si>
  <si>
    <t>-630.03102886522 247.505111036883 674.80310132912</t>
  </si>
  <si>
    <t>-477.579423152626 236.521372145546 761.874230674186</t>
  </si>
  <si>
    <t>-614.134623976744 5.05329925967719 218.477952231693</t>
  </si>
  <si>
    <t>-657.529279606168 5.80556532981819 686.368161188678</t>
  </si>
  <si>
    <t>-503.083191829101 -40.8802626363603 756.442172815669</t>
  </si>
  <si>
    <t>9763-20170724T164202.388703900.bin</t>
  </si>
  <si>
    <t>-576.394872132096 89.1439139036592 -238.068411393364</t>
  </si>
  <si>
    <t>-597.359118053642 92.2747266173581 -357.309708533392</t>
  </si>
  <si>
    <t>-602.756411794983 81.2125590757335 -477.887749822039</t>
  </si>
  <si>
    <t>-601.149210192154 65.551828747739 -586.271427350549</t>
  </si>
  <si>
    <t>-593.16613197828 44.335958775124 -693.420891362368</t>
  </si>
  <si>
    <t>-575.458498455023 9.14689979428243 -840.554045142952</t>
  </si>
  <si>
    <t>-576.95427952692 55.1818677332278 -781.975286001077</t>
  </si>
  <si>
    <t>-543.320605868776 198.312480184949 -784.671926930236</t>
  </si>
  <si>
    <t>-403.566449217169 230.094716872799 -502.457808029381</t>
  </si>
  <si>
    <t>-197.120145596902 211.763017750664 -345.340126398011</t>
  </si>
  <si>
    <t>-556.116029170184 184.255210362137 -238.655257815423</t>
  </si>
  <si>
    <t>-538.774720967919 231.157939869935 214.287373443002</t>
  </si>
  <si>
    <t>-630.034256614549 247.554189146585 674.780794669711</t>
  </si>
  <si>
    <t>-477.589586847326 236.639579921092 761.872770145975</t>
  </si>
  <si>
    <t>-614.189490502473 5.05641697400817 218.453218891731</t>
  </si>
  <si>
    <t>-657.522477111421 5.69398664102812 686.366462669902</t>
  </si>
  <si>
    <t>-503.069015820538 -41.00233063742 756.417124659457</t>
  </si>
  <si>
    <t>9763-20170724T164202.426872200.bin</t>
  </si>
  <si>
    <t>-576.492496060496 89.1154343046116 -238.090573870683</t>
  </si>
  <si>
    <t>-597.458486551831 92.2349550112818 -357.332023112952</t>
  </si>
  <si>
    <t>-602.85199256324 81.1149117362781 -477.904874082855</t>
  </si>
  <si>
    <t>-601.240505901358 65.3821827556766 -586.277902290243</t>
  </si>
  <si>
    <t>-593.253274019248 44.0743059970702 -693.40877089645</t>
  </si>
  <si>
    <t>-575.540975674799 8.73646373893774 -840.505833179987</t>
  </si>
  <si>
    <t>-577.024941393849 54.8282741085901 -781.971515769426</t>
  </si>
  <si>
    <t>-543.327157861151 197.931557472297 -784.809627120148</t>
  </si>
  <si>
    <t>-403.492338066483 230.075547370065 -502.676312519294</t>
  </si>
  <si>
    <t>-196.946238453681 211.83381019393 -345.679531009683</t>
  </si>
  <si>
    <t>-556.236017570643 184.253772633424 -238.677665517847</t>
  </si>
  <si>
    <t>-538.927791253979 231.185712800632 214.263392617892</t>
  </si>
  <si>
    <t>-630.041452629397 247.602329345845 674.774281119819</t>
  </si>
  <si>
    <t>-477.59955784354 236.677004310157 761.869695458937</t>
  </si>
  <si>
    <t>-614.219359306958 4.96922364149512 218.438430533024</t>
  </si>
  <si>
    <t>-657.519354907021 5.57162220902164 686.366141138971</t>
  </si>
  <si>
    <t>-503.257381441519 -41.7167758118688 756.441508620159</t>
  </si>
  <si>
    <t>9763-20170724T164202.489035100.bin</t>
  </si>
  <si>
    <t>-576.736430145991 89.042891895173 -238.062257567971</t>
  </si>
  <si>
    <t>-597.758543921565 92.1491331481324 -357.294151763875</t>
  </si>
  <si>
    <t>-603.15278191048 80.9803591770345 -477.862488641584</t>
  </si>
  <si>
    <t>-601.523041993279 65.1858146879023 -586.226337291212</t>
  </si>
  <si>
    <t>-593.501252352899 43.7966574576384 -693.338468565155</t>
  </si>
  <si>
    <t>-575.726526377709 8.32417735201072 -840.395449628255</t>
  </si>
  <si>
    <t>-577.19996388974 54.4634399789658 -781.898213230873</t>
  </si>
  <si>
    <t>-543.244103213658 197.513535963931 -784.83286971791</t>
  </si>
  <si>
    <t>-402.89260697535 230.357668855744 -503.036977294799</t>
  </si>
  <si>
    <t>-196.452769876866 211.981105454461 -345.916263934878</t>
  </si>
  <si>
    <t>-556.472542548119 184.200666820315 -238.650082597928</t>
  </si>
  <si>
    <t>-539.059354753659 231.23347961262 214.276414900361</t>
  </si>
  <si>
    <t>-630.096418440428 247.659656588266 674.804499934975</t>
  </si>
  <si>
    <t>-477.63083205753 236.779905322361 761.864117284666</t>
  </si>
  <si>
    <t>-614.344646607393 4.84007894136414 218.455979943882</t>
  </si>
  <si>
    <t>-657.461446121655 5.64508625812246 686.385004120611</t>
  </si>
  <si>
    <t>-502.927124524541 -40.7944040641789 756.428111566135</t>
  </si>
  <si>
    <t>9763-20170724T164202.524680000.bin</t>
  </si>
  <si>
    <t>-576.87473237838 89.0555971224077 -238.080521893967</t>
  </si>
  <si>
    <t>-597.939369936898 92.1505622812206 -357.305095686437</t>
  </si>
  <si>
    <t>-603.354803721656 80.9554170160509 -477.870093250498</t>
  </si>
  <si>
    <t>-601.738329384084 65.1280990338924 -586.229257222181</t>
  </si>
  <si>
    <t>-593.725660847136 43.6955077441048 -693.333411678371</t>
  </si>
  <si>
    <t>-575.961184492021 8.15012933446687 -840.374081971486</t>
  </si>
  <si>
    <t>-577.393432870103 54.3118602213558 -781.893617244552</t>
  </si>
  <si>
    <t>-543.359261966564 197.337374054141 -784.916303335191</t>
  </si>
  <si>
    <t>-402.786872597421 230.250508422171 -503.238677356409</t>
  </si>
  <si>
    <t>-196.503670052557 211.784932662899 -345.922525367664</t>
  </si>
  <si>
    <t>-556.599336034709 184.221417563215 -238.6633251435</t>
  </si>
  <si>
    <t>-539.202032938975 231.282768443458 214.260709285828</t>
  </si>
  <si>
    <t>-630.137502088302 247.690137264285 674.826993099458</t>
  </si>
  <si>
    <t>-477.651800507339 236.835237379312 761.854537017778</t>
  </si>
  <si>
    <t>-614.384054733452 4.81621991691712 218.464659376639</t>
  </si>
  <si>
    <t>-657.41761774903 5.76829580100512 686.403931250734</t>
  </si>
  <si>
    <t>-502.727324341076 -40.182116132333 756.425332740955</t>
  </si>
  <si>
    <t>9763-20170724T164202.585842200.bin</t>
  </si>
  <si>
    <t>-577.577144467301 88.9492611871233 -238.014589461975</t>
  </si>
  <si>
    <t>-598.767202169143 91.9798676638777 -357.218731159051</t>
  </si>
  <si>
    <t>-604.204010208568 80.7934707712135 -477.783561964229</t>
  </si>
  <si>
    <t>-602.572181167772 64.9949391250121 -586.146653190759</t>
  </si>
  <si>
    <t>-594.514228543982 43.6066288457558 -693.256281148986</t>
  </si>
  <si>
    <t>-576.660384121021 8.13417258737496 -840.303687091851</t>
  </si>
  <si>
    <t>-578.084293187152 54.2591100008088 -781.794147341257</t>
  </si>
  <si>
    <t>-543.693968590827 197.194467832828 -784.867763743681</t>
  </si>
  <si>
    <t>-402.148442462651 229.210855464228 -503.574169456794</t>
  </si>
  <si>
    <t>-196.054769123656 210.868723951534 -345.995628699617</t>
  </si>
  <si>
    <t>-557.505363522142 184.240167179765 -238.630474571423</t>
  </si>
  <si>
    <t>-539.665220960198 231.342902810628 214.272188409993</t>
  </si>
  <si>
    <t>-630.239571374669 247.671205704281 674.890020041561</t>
  </si>
  <si>
    <t>-477.694405616725 237.014342541377 761.837902286148</t>
  </si>
  <si>
    <t>-614.679334366081 4.64656158709545 218.530434999694</t>
  </si>
  <si>
    <t>-657.385871238454 5.79842598405334 686.479228533961</t>
  </si>
  <si>
    <t>-502.535095716705 -39.7020388881497 756.439650147782</t>
  </si>
  <si>
    <t>9763-20170724T164202.621450500.bin</t>
  </si>
  <si>
    <t>-577.99350684411 88.7542819230185 -238.003283720543</t>
  </si>
  <si>
    <t>-599.25228561241 91.7548444131948 -357.195921283857</t>
  </si>
  <si>
    <t>-604.704432946585 80.5961492451429 -477.762602892494</t>
  </si>
  <si>
    <t>-603.069690427349 64.8398407852764 -586.131958292983</t>
  </si>
  <si>
    <t>-594.995426957705 43.5070597797275 -693.251331378833</t>
  </si>
  <si>
    <t>-577.107883459967 8.12209470192417 -840.315734993421</t>
  </si>
  <si>
    <t>-578.527444345924 54.2090994185606 -781.776097680063</t>
  </si>
  <si>
    <t>-543.993914304999 197.108749045849 -784.873150942706</t>
  </si>
  <si>
    <t>-401.880347563454 228.698150964818 -503.81807141251</t>
  </si>
  <si>
    <t>-195.868257694425 210.536679959295 -346.111822582065</t>
  </si>
  <si>
    <t>-558.085329516815 184.075203738619 -238.582906489869</t>
  </si>
  <si>
    <t>-539.895367279328 231.38952436282 214.283735041885</t>
  </si>
  <si>
    <t>-630.305254860148 247.655119218302 674.938166919394</t>
  </si>
  <si>
    <t>-477.716516137644 237.11741726496 761.824007303084</t>
  </si>
  <si>
    <t>-614.888014429502 4.38605048298083 218.56644560115</t>
  </si>
  <si>
    <t>-657.395422510653 5.66698573160696 686.531147128228</t>
  </si>
  <si>
    <t>-502.796342126838 -40.6560095599614 756.508385622945</t>
  </si>
  <si>
    <t>9763-20170724T164202.693155500.bin</t>
  </si>
  <si>
    <t>-579.11809258358 88.4495071032914 -237.898083997347</t>
  </si>
  <si>
    <t>-600.45745357402 91.3085831978478 -357.07962566728</t>
  </si>
  <si>
    <t>-605.871223762504 80.1949029504226 -477.652290435629</t>
  </si>
  <si>
    <t>-604.164560347904 64.541893252383 -586.035477724556</t>
  </si>
  <si>
    <t>-595.988015091655 43.3661730242269 -693.17838690257</t>
  </si>
  <si>
    <t>-577.932713023528 8.24759429023625 -840.286189510074</t>
  </si>
  <si>
    <t>-579.408504451542 54.2266019479529 -781.662899705923</t>
  </si>
  <si>
    <t>-544.62929603269 197.062591520189 -784.625497715555</t>
  </si>
  <si>
    <t>-401.461425282772 227.996366285115 -504.032815583644</t>
  </si>
  <si>
    <t>-195.435723564344 210.291801126874 -346.292500711206</t>
  </si>
  <si>
    <t>-559.640469672659 183.854593513772 -238.502531840392</t>
  </si>
  <si>
    <t>-540.626527753554 231.530048850454 214.292290979591</t>
  </si>
  <si>
    <t>-630.461966409931 247.672067913101 675.061943322865</t>
  </si>
  <si>
    <t>-477.764724011863 237.354222863794 761.783377737551</t>
  </si>
  <si>
    <t>-615.399083180949 4.05029586971608 218.670818243657</t>
  </si>
  <si>
    <t>-657.317694764397 5.85604435367503 686.672685895935</t>
  </si>
  <si>
    <t>-502.299431786484 -39.1512270966753 756.581160963596</t>
  </si>
  <si>
    <t>9763-20170724T164202.724268700.bin</t>
  </si>
  <si>
    <t>-579.899691975935 88.198894451286 -237.817431951808</t>
  </si>
  <si>
    <t>-601.345110257902 90.9828132103045 -356.981764660079</t>
  </si>
  <si>
    <t>-606.756569694919 79.9131630906537 -477.558517392178</t>
  </si>
  <si>
    <t>-605.00919353806 64.341257257488 -585.95268244134</t>
  </si>
  <si>
    <t>-596.756922925418 43.2831030199511 -693.112959268591</t>
  </si>
  <si>
    <t>-578.563346024897 8.36183344143164 -840.250692365588</t>
  </si>
  <si>
    <t>-580.112580985671 54.2654669229181 -781.570336132955</t>
  </si>
  <si>
    <t>-545.327574252814 197.114216382779 -784.489585210995</t>
  </si>
  <si>
    <t>-401.571871949837 227.71681561275 -504.161296194775</t>
  </si>
  <si>
    <t>-195.580112332345 209.924456846835 -346.386495870035</t>
  </si>
  <si>
    <t>-560.791161835134 183.679146777406 -238.403364693822</t>
  </si>
  <si>
    <t>-541.004846750756 231.689592661174 214.322997269421</t>
  </si>
  <si>
    <t>-630.578888060742 247.676604835941 675.177354952105</t>
  </si>
  <si>
    <t>-477.796499180662 237.462501857904 761.761007096744</t>
  </si>
  <si>
    <t>-615.757125662645 3.76612383506873 218.757466039033</t>
  </si>
  <si>
    <t>-657.311943688213 5.76137600392039 686.777458721139</t>
  </si>
  <si>
    <t>-502.371413313124 -39.5333064802209 756.672491966474</t>
  </si>
  <si>
    <t>9763-20170724T164202.789437600.bin</t>
  </si>
  <si>
    <t>-581.682724781893 87.4160976281169 -237.507600892462</t>
  </si>
  <si>
    <t>-603.256507501494 90.1237197676537 -356.650618468373</t>
  </si>
  <si>
    <t>-608.578618784769 79.1566766900105 -477.240573342514</t>
  </si>
  <si>
    <t>-606.672345531543 63.7375353999074 -585.654038824575</t>
  </si>
  <si>
    <t>-598.189687564599 42.8837932128004 -692.836153149526</t>
  </si>
  <si>
    <t>-579.608062425984 8.29323550211802 -840.003582976466</t>
  </si>
  <si>
    <t>-581.370742079782 54.0753006025503 -781.234360400843</t>
  </si>
  <si>
    <t>-546.769193923647 196.980267379647 -784.12413513847</t>
  </si>
  <si>
    <t>-401.691586070147 227.356881659423 -504.453168296421</t>
  </si>
  <si>
    <t>-195.374963023753 209.575638773529 -347.10210791729</t>
  </si>
  <si>
    <t>-563.207122475852 183.022917296846 -238.05062093874</t>
  </si>
  <si>
    <t>-541.236874956455 231.980857280554 214.473544236626</t>
  </si>
  <si>
    <t>-630.794058591369 247.667943492256 675.346150299006</t>
  </si>
  <si>
    <t>-477.866766810656 237.653687048405 761.696944776071</t>
  </si>
  <si>
    <t>-616.527384453169 3.07634875858894 219.006361887367</t>
  </si>
  <si>
    <t>-657.303636343922 5.63290654194685 687.049989027985</t>
  </si>
  <si>
    <t>-502.386662861614 -39.771018968278 756.926494846144</t>
  </si>
  <si>
    <t>9763-20170724T164202.823578300.bin</t>
  </si>
  <si>
    <t>-582.509958632231 87.2035684800204 -237.39573867847</t>
  </si>
  <si>
    <t>-604.060205052206 89.8489577567719 -356.544473940397</t>
  </si>
  <si>
    <t>-609.272608384244 78.8907542269841 -477.140066430188</t>
  </si>
  <si>
    <t>-607.236880375236 63.5034297138811 -585.555655389844</t>
  </si>
  <si>
    <t>-598.597747507943 42.7021702307348 -692.735477148447</t>
  </si>
  <si>
    <t>-579.773388721818 8.20331255337675 -839.893467399513</t>
  </si>
  <si>
    <t>-581.651962545909 53.9521028861217 -781.102033159291</t>
  </si>
  <si>
    <t>-547.13838677435 196.859595268115 -784.010910369122</t>
  </si>
  <si>
    <t>-401.640417411659 227.070280669888 -504.54020646875</t>
  </si>
  <si>
    <t>-195.141100033395 209.354364355338 -347.421693618218</t>
  </si>
  <si>
    <t>-564.28499949228 182.867845385947 -237.969279448509</t>
  </si>
  <si>
    <t>-541.38410055854 231.995767283046 214.490298431574</t>
  </si>
  <si>
    <t>-630.853309596174 247.655793507269 675.377016039223</t>
  </si>
  <si>
    <t>-477.895556181014 237.704735460967 761.681261036075</t>
  </si>
  <si>
    <t>-616.776882299492 2.81849401321912 219.12235749152</t>
  </si>
  <si>
    <t>-657.276212543122 5.69285497840316 687.177797141616</t>
  </si>
  <si>
    <t>-502.244757036773 -39.3491835396899 757.03460506951</t>
  </si>
  <si>
    <t>9763-20170724T164202.888751100.bin</t>
  </si>
  <si>
    <t>-583.761643068285 86.6122081756245 -237.208480918039</t>
  </si>
  <si>
    <t>-605.355495628145 89.2568899341013 -356.349138509278</t>
  </si>
  <si>
    <t>-610.394306181325 78.3579257900214 -476.957618896083</t>
  </si>
  <si>
    <t>-608.118588841951 63.0430100612324 -585.378596270704</t>
  </si>
  <si>
    <t>-599.160634845617 42.3298705932988 -692.549350481614</t>
  </si>
  <si>
    <t>-579.815194695917 7.96739665944747 -839.671697252654</t>
  </si>
  <si>
    <t>-581.926160564909 53.6658937350376 -780.848922280449</t>
  </si>
  <si>
    <t>-547.387016982819 196.576495621699 -783.719670831957</t>
  </si>
  <si>
    <t>-401.298054129401 226.338610379716 -504.509260666879</t>
  </si>
  <si>
    <t>-194.547215962915 209.172928172075 -347.660752394791</t>
  </si>
  <si>
    <t>-565.950138659788 182.23435156291 -237.730258178699</t>
  </si>
  <si>
    <t>-541.637787202736 231.961155472012 214.590177517625</t>
  </si>
  <si>
    <t>-630.956430248761 247.648005820542 675.445855639504</t>
  </si>
  <si>
    <t>-477.95772586472 237.792975709357 761.688503220802</t>
  </si>
  <si>
    <t>-617.194362466301 2.48677506735272 219.303451147068</t>
  </si>
  <si>
    <t>-657.21085719113 5.81320444520465 687.409828369347</t>
  </si>
  <si>
    <t>-501.737038914373 -37.7746429096428 757.206082083127</t>
  </si>
  <si>
    <t>9763-20170724T164202.919857900.bin</t>
  </si>
  <si>
    <t>-584.138721988875 86.278675309998 -237.184963312085</t>
  </si>
  <si>
    <t>-605.68672992573 88.9498282517388 -356.333367200208</t>
  </si>
  <si>
    <t>-610.645355620055 78.0954594729449 -476.949159188411</t>
  </si>
  <si>
    <t>-608.285666573549 62.8258525218855 -585.374787735609</t>
  </si>
  <si>
    <t>-599.233405287382 42.1615828064686 -692.546975766455</t>
  </si>
  <si>
    <t>-579.747749153534 7.86967256856332 -839.667391965857</t>
  </si>
  <si>
    <t>-581.890290539907 53.5356340064182 -780.820604610357</t>
  </si>
  <si>
    <t>-547.244695052999 196.41560882822 -783.658892644942</t>
  </si>
  <si>
    <t>-401.471376852784 225.476473128683 -504.209815865856</t>
  </si>
  <si>
    <t>-194.795473091815 208.673253468768 -347.223241761619</t>
  </si>
  <si>
    <t>-566.431457176184 181.880027090038 -237.728554110191</t>
  </si>
  <si>
    <t>-541.734859938019 231.82116750005 214.547503525432</t>
  </si>
  <si>
    <t>-630.945422723685 247.707240892151 675.423880331942</t>
  </si>
  <si>
    <t>-477.97604076347 237.762010800598 761.708118421277</t>
  </si>
  <si>
    <t>-617.188722112734 2.41870645494274 219.324464749557</t>
  </si>
  <si>
    <t>-657.208716809154 5.6950534927452 687.471300133429</t>
  </si>
  <si>
    <t>-501.911872182988 -38.4676117618512 757.300133524214</t>
  </si>
  <si>
    <t>9763-20170724T164202.989042100.bin</t>
  </si>
  <si>
    <t>-584.45717674218 85.7617833854081 -237.208134806594</t>
  </si>
  <si>
    <t>-606.112465560452 88.480637307089 -356.33599389062</t>
  </si>
  <si>
    <t>-611.028229939547 77.8052662957177 -476.969504862206</t>
  </si>
  <si>
    <t>-608.569505362649 62.7470457547405 -585.422570263367</t>
  </si>
  <si>
    <t>-599.358717524424 42.3419446890185 -692.630938533949</t>
  </si>
  <si>
    <t>-579.591628960575 8.45833237440118 -839.80829920532</t>
  </si>
  <si>
    <t>-581.811963494039 53.9546105526592 -780.833080968614</t>
  </si>
  <si>
    <t>-546.811513238791 196.749391304392 -783.125886641083</t>
  </si>
  <si>
    <t>-402.572727365409 223.262234524063 -502.629110984372</t>
  </si>
  <si>
    <t>-197.352396790042 206.002363427153 -343.79350604589</t>
  </si>
  <si>
    <t>-566.934726017795 181.279635396944 -237.813116951764</t>
  </si>
  <si>
    <t>-541.778223666012 231.40423736169 214.417344620486</t>
  </si>
  <si>
    <t>-630.843482878244 247.911876521414 675.337661294793</t>
  </si>
  <si>
    <t>-477.991783270819 237.513771319094 761.777001831781</t>
  </si>
  <si>
    <t>-616.573389845282 2.64605103836082 219.351478695088</t>
  </si>
  <si>
    <t>-657.140101745161 5.49129470130664 687.490607937091</t>
  </si>
  <si>
    <t>-502.110449939036 -39.442137550094 757.421236614449</t>
  </si>
  <si>
    <t>9763-20170724T164203.020680000.bin</t>
  </si>
  <si>
    <t>-584.688407828524 85.5154319737852 -237.259407957955</t>
  </si>
  <si>
    <t>-606.494152343674 88.3063244908391 -356.358232505855</t>
  </si>
  <si>
    <t>-611.454861015023 77.7846716112459 -477.003455741584</t>
  </si>
  <si>
    <t>-608.993055517207 62.8964763977416 -585.479839751883</t>
  </si>
  <si>
    <t>-599.735464555084 42.6916169684473 -692.722100359305</t>
  </si>
  <si>
    <t>-579.857651605628 9.11690557033833 -839.955344909812</t>
  </si>
  <si>
    <t>-582.116605294045 54.4883402169995 -780.885437641643</t>
  </si>
  <si>
    <t>-546.773868188655 197.214080351435 -782.620253660992</t>
  </si>
  <si>
    <t>-403.40139205582 223.122484432228 -501.623204303846</t>
  </si>
  <si>
    <t>-200.882266388133 203.057942826376 -339.680544989814</t>
  </si>
  <si>
    <t>-567.310301023039 181.046554297057 -237.889665800957</t>
  </si>
  <si>
    <t>-541.897301363436 230.992933600137 214.346141692444</t>
  </si>
  <si>
    <t>-630.753808425957 248.037767122874 675.264102216009</t>
  </si>
  <si>
    <t>-478.000700718821 237.30866823363 761.837158788779</t>
  </si>
  <si>
    <t>-616.363267257952 2.92525534490008 219.301215965582</t>
  </si>
  <si>
    <t>-657.017373134642 5.54797305558699 687.452305845843</t>
  </si>
  <si>
    <t>-502.462194333327 -40.8067066346412 757.50543927786</t>
  </si>
  <si>
    <t>9763-20170724T164203.092885300.bin</t>
  </si>
  <si>
    <t>-585.267533963039 85.0992440956191 -237.586391681144</t>
  </si>
  <si>
    <t>-607.367257380321 87.9288974384081 -356.630072180261</t>
  </si>
  <si>
    <t>-612.505817985194 77.554871224996 -477.280504315407</t>
  </si>
  <si>
    <t>-610.153585863882 62.8445931541284 -585.783671859481</t>
  </si>
  <si>
    <t>-600.952324428712 42.8622954555149 -693.072527345559</t>
  </si>
  <si>
    <t>-581.095903767054 9.64374430025066 -840.389227009975</t>
  </si>
  <si>
    <t>-583.373067361995 54.8769688353373 -781.214265610374</t>
  </si>
  <si>
    <t>-548.026740298081 197.618186990333 -782.402579875833</t>
  </si>
  <si>
    <t>-407.622669538597 224.310892241137 -499.983802996323</t>
  </si>
  <si>
    <t>-213.720060381453 191.65962633592 -329.75529404855</t>
  </si>
  <si>
    <t>-568.034076087655 180.391487113181 -238.270153031951</t>
  </si>
  <si>
    <t>-541.717624376297 230.588993385633 213.886230178519</t>
  </si>
  <si>
    <t>-630.330459987807 248.32810657282 674.785561828008</t>
  </si>
  <si>
    <t>-477.968447026243 236.877252477609 761.953287862949</t>
  </si>
  <si>
    <t>-615.945875914269 3.48626357401193 219.062967507432</t>
  </si>
  <si>
    <t>-656.618831831537 6.05306206508786 687.261731101849</t>
  </si>
  <si>
    <t>-501.907855756877 -39.5727436655286 757.449322955203</t>
  </si>
  <si>
    <t>9763-20170724T164203.119950500.bin</t>
  </si>
  <si>
    <t>-585.534544322138 84.970035880649 -237.741417788766</t>
  </si>
  <si>
    <t>-607.69156745367 87.7411694017353 -356.775802800279</t>
  </si>
  <si>
    <t>-612.937287127768 77.367207457774 -477.421759013966</t>
  </si>
  <si>
    <t>-610.70146595968 62.6799318567062 -585.930461817612</t>
  </si>
  <si>
    <t>-601.635371201289 42.7426252757406 -693.239273541112</t>
  </si>
  <si>
    <t>-581.985389827077 9.60865365106662 -840.602751470658</t>
  </si>
  <si>
    <t>-584.150061642147 54.8026121207375 -781.393496987893</t>
  </si>
  <si>
    <t>-549.057534982785 197.654656716613 -782.611813979148</t>
  </si>
  <si>
    <t>-412.198390585214 225.480170598453 -498.566992653377</t>
  </si>
  <si>
    <t>-220.290990388551 187.34032641093 -327.222328960571</t>
  </si>
  <si>
    <t>-568.163614810236 180.150884556436 -238.451699589429</t>
  </si>
  <si>
    <t>-541.586409845152 230.51514328978 213.670791754221</t>
  </si>
  <si>
    <t>-630.137582693378 248.464089017678 674.58345671296</t>
  </si>
  <si>
    <t>-477.932977136906 236.827922664309 762.001208811556</t>
  </si>
  <si>
    <t>-615.743455650968 3.58616573744328 218.97165532364</t>
  </si>
  <si>
    <t>-656.491655028691 6.06144062790591 687.152365800425</t>
  </si>
  <si>
    <t>-502.018166060491 -40.2276982885211 757.428625122026</t>
  </si>
  <si>
    <t>9763-20170724T164203.189133900.bin</t>
  </si>
  <si>
    <t>-585.599709999412 84.3809473156111 -237.786949996954</t>
  </si>
  <si>
    <t>-607.895871717073 87.1705678684243 -356.794931862042</t>
  </si>
  <si>
    <t>-613.320322857259 76.9823762121454 -477.448707948271</t>
  </si>
  <si>
    <t>-611.254966991899 62.5346094114019 -585.992978108351</t>
  </si>
  <si>
    <t>-602.36324678157 42.9108131776146 -693.373970942032</t>
  </si>
  <si>
    <t>-582.954394791786 10.2907207642035 -840.884153550942</t>
  </si>
  <si>
    <t>-584.994504839337 55.2730563708619 -781.509385181863</t>
  </si>
  <si>
    <t>-550.319638185169 198.14310771609 -782.15811213334</t>
  </si>
  <si>
    <t>-424.560639650235 233.153270209485 -493.809092490938</t>
  </si>
  <si>
    <t>-234.66529100813 185.008643120817 -322.741973804505</t>
  </si>
  <si>
    <t>-567.864677172546 179.586849505401 -238.496270885796</t>
  </si>
  <si>
    <t>-541.089138738162 230.131703918748 213.594355021225</t>
  </si>
  <si>
    <t>-630.080564825401 248.648130165543 674.532619756218</t>
  </si>
  <si>
    <t>-477.960816570172 236.669696426048 762.051827813037</t>
  </si>
  <si>
    <t>-615.725671737343 3.14451002005569 218.896899794541</t>
  </si>
  <si>
    <t>-656.407816712678 6.16018574342041 687.004707554573</t>
  </si>
  <si>
    <t>-501.766406144925 -39.5671959568981 757.279420630895</t>
  </si>
  <si>
    <t>9763-20170724T164203.220763700.bin</t>
  </si>
  <si>
    <t>-585.763004044241 83.9387182662036 -237.721881300956</t>
  </si>
  <si>
    <t>-608.215085508355 86.8012708335618 -356.698765704853</t>
  </si>
  <si>
    <t>-613.705169647234 76.7795380174974 -477.363597807029</t>
  </si>
  <si>
    <t>-611.655092910128 62.5265847379121 -585.933838150613</t>
  </si>
  <si>
    <t>-602.730122152885 43.1459748069478 -693.35626246061</t>
  </si>
  <si>
    <t>-583.220851132729 10.9177953116286 -840.939268004958</t>
  </si>
  <si>
    <t>-585.359292087126 55.7527096113038 -781.45666537484</t>
  </si>
  <si>
    <t>-551.026715159483 198.778563410611 -781.670456568376</t>
  </si>
  <si>
    <t>-431.161977181448 234.658016226232 -490.927784975649</t>
  </si>
  <si>
    <t>-243.545935173163 181.51925827216 -318.827416765649</t>
  </si>
  <si>
    <t>-567.824228251978 179.254843618152 -238.37521771043</t>
  </si>
  <si>
    <t>-540.623772931129 229.81802670691 213.688017169316</t>
  </si>
  <si>
    <t>-630.147654447667 248.686396238146 674.580298352272</t>
  </si>
  <si>
    <t>-478.001126796874 236.543825155874 762.030374287583</t>
  </si>
  <si>
    <t>-615.900484225683 2.60149749975004 218.928971150214</t>
  </si>
  <si>
    <t>-656.477256801278 6.06614298027111 686.994057837625</t>
  </si>
  <si>
    <t>-501.720452264752 -39.3615365767477 757.209239086727</t>
  </si>
  <si>
    <t>9763-20170724T164203.289946100.bin</t>
  </si>
  <si>
    <t>-586.855601693907 82.4790103193526 -237.480069446422</t>
  </si>
  <si>
    <t>-609.55642436687 85.5524617058129 -356.40453825785</t>
  </si>
  <si>
    <t>-615.180286746316 76.0147252129269 -477.102413640411</t>
  </si>
  <si>
    <t>-613.193553870741 62.3171809575824 -585.745212112657</t>
  </si>
  <si>
    <t>-604.26736398838 43.6134397520312 -693.287568141171</t>
  </si>
  <si>
    <t>-584.682584056251 12.4557731727919 -841.090314887368</t>
  </si>
  <si>
    <t>-587.007673777898 56.8862171927763 -781.31201014558</t>
  </si>
  <si>
    <t>-553.522762021919 200.022465502523 -780.202412513186</t>
  </si>
  <si>
    <t>-442.848112499493 233.150808664536 -485.516472796621</t>
  </si>
  <si>
    <t>-260.643193162103 172.991002878473 -309.948316048856</t>
  </si>
  <si>
    <t>-568.739994879089 178.178065825755 -237.992174513008</t>
  </si>
  <si>
    <t>-539.954549676383 229.296869191513 213.910293834346</t>
  </si>
  <si>
    <t>-630.302164713436 248.572330778482 674.660049527255</t>
  </si>
  <si>
    <t>-478.053516289114 236.561689075928 761.950323611672</t>
  </si>
  <si>
    <t>-616.777943523155 1.15181480081932 219.003024571471</t>
  </si>
  <si>
    <t>-656.725942176054 5.75097799604737 687.055304787805</t>
  </si>
  <si>
    <t>-501.983543980722 -39.9346578457849 757.134701299672</t>
  </si>
  <si>
    <t>9763-20170724T164203.325059700.bin</t>
  </si>
  <si>
    <t>-587.60645537011 81.7061015222166 -237.347116095938</t>
  </si>
  <si>
    <t>-610.469130267968 84.9270655134724 -356.236785946999</t>
  </si>
  <si>
    <t>-616.151908992109 75.7039775780742 -476.9562896437</t>
  </si>
  <si>
    <t>-614.173057306714 62.3591269943093 -585.643221837785</t>
  </si>
  <si>
    <t>-605.207122460089 44.0762435698165 -693.254543684273</t>
  </si>
  <si>
    <t>-585.515832290461 13.5746637618971 -841.179905223428</t>
  </si>
  <si>
    <t>-587.962496864399 57.7531802947533 -781.220026445585</t>
  </si>
  <si>
    <t>-554.810047482839 200.97213894421 -779.343796434921</t>
  </si>
  <si>
    <t>-447.237938980412 232.772537001536 -483.365470753166</t>
  </si>
  <si>
    <t>-267.05255713021 172.83781026875 -305.649174457815</t>
  </si>
  <si>
    <t>-569.555130151712 177.706929631162 -237.755417435992</t>
  </si>
  <si>
    <t>-539.629742252487 228.999776402841 214.053364154261</t>
  </si>
  <si>
    <t>-630.369781871571 248.467422992724 674.683850257884</t>
  </si>
  <si>
    <t>-478.072935089897 236.626731337871 761.91330215881</t>
  </si>
  <si>
    <t>-617.263295614066 0.44618308165964 219.064028767757</t>
  </si>
  <si>
    <t>-656.796497466422 5.79849662822818 687.120846874187</t>
  </si>
  <si>
    <t>-501.906035914694 -39.5176772854209 757.112978335327</t>
  </si>
  <si>
    <t>9763-20170724T164203.390232500.bin</t>
  </si>
  <si>
    <t>-589.07154576931 80.2660323395716 -237.195766564082</t>
  </si>
  <si>
    <t>-612.162449959537 83.576902337454 -356.038725633734</t>
  </si>
  <si>
    <t>-617.907338699092 74.950808095413 -476.799467739132</t>
  </si>
  <si>
    <t>-615.911601235715 62.3509563764244 -585.574942471707</t>
  </si>
  <si>
    <t>-606.851974651163 45.0169361656467 -693.335371867598</t>
  </si>
  <si>
    <t>-586.946336710678 16.0448895369877 -841.539295085314</t>
  </si>
  <si>
    <t>-589.642473334903 59.6298203391167 -781.15704255231</t>
  </si>
  <si>
    <t>-557.28309543627 203.040141437362 -777.603317164815</t>
  </si>
  <si>
    <t>-454.071150525959 232.029726732301 -479.789516586232</t>
  </si>
  <si>
    <t>-277.702373126856 178.468129194006 -296.303076432408</t>
  </si>
  <si>
    <t>-570.99772119545 176.271729184725 -237.486029585745</t>
  </si>
  <si>
    <t>-539.479506964239 228.253053505143 214.13580370305</t>
  </si>
  <si>
    <t>-630.450596385026 248.298934581294 674.670138675235</t>
  </si>
  <si>
    <t>-478.097516265724 236.80952418701 761.84827213166</t>
  </si>
  <si>
    <t>-618.200898878233 -0.828426817042001 219.135115677464</t>
  </si>
  <si>
    <t>-656.906189975237 5.62323953136531 687.287984629353</t>
  </si>
  <si>
    <t>-501.954036464358 -39.6349004415694 757.181066744634</t>
  </si>
  <si>
    <t>9763-20170724T164203.425489600.bin</t>
  </si>
  <si>
    <t>-589.743176912847 79.3864884374121 -237.06994257314</t>
  </si>
  <si>
    <t>-612.866097137588 82.7329475856407 -355.905687406808</t>
  </si>
  <si>
    <t>-618.590596753374 74.366134498867 -476.685689699608</t>
  </si>
  <si>
    <t>-616.55239990308 62.0927880346097 -585.497620818079</t>
  </si>
  <si>
    <t>-607.424276515511 45.1775421505385 -693.318806243811</t>
  </si>
  <si>
    <t>-587.394225337301 16.8836892886169 -841.636857198657</t>
  </si>
  <si>
    <t>-590.216834296408 60.2047743028413 -781.070980192338</t>
  </si>
  <si>
    <t>-558.438606154642 203.704143700783 -776.687838962093</t>
  </si>
  <si>
    <t>-456.141725107299 232.088306174303 -478.500205115069</t>
  </si>
  <si>
    <t>-282.121001468406 183.624762286777 -291.390249386847</t>
  </si>
  <si>
    <t>-571.704611757286 175.545698087572 -237.326922049999</t>
  </si>
  <si>
    <t>-539.70713629427 227.838153403117 214.22524005961</t>
  </si>
  <si>
    <t>-630.525599433578 248.266121107423 674.734017281634</t>
  </si>
  <si>
    <t>-478.121967496018 236.83815240317 761.831898820427</t>
  </si>
  <si>
    <t>-618.772542737697 -1.57052870682664 219.207295218288</t>
  </si>
  <si>
    <t>-656.950144929769 5.5820766206264 687.394623749278</t>
  </si>
  <si>
    <t>-501.890057600576 -39.3791150767135 757.239895334543</t>
  </si>
  <si>
    <t>9763-20170724T164203.492173300.bin</t>
  </si>
  <si>
    <t>-591.047780074582 77.8341004345131 -236.861284692155</t>
  </si>
  <si>
    <t>-614.127109327072 81.3775878996289 -355.699758254115</t>
  </si>
  <si>
    <t>-619.742356636773 73.4902312492826 -476.517153110037</t>
  </si>
  <si>
    <t>-617.575292078377 61.7665588872099 -585.387203544359</t>
  </si>
  <si>
    <t>-608.285441072782 45.518078141854 -693.297028254638</t>
  </si>
  <si>
    <t>-587.993606727542 18.2732012626565 -841.77592533602</t>
  </si>
  <si>
    <t>-545.964272381829 1.02532343055714 -932.984618312115</t>
  </si>
  <si>
    <t>-590.972642948357 61.1734832657655 -780.9186689491</t>
  </si>
  <si>
    <t>-559.882023864078 204.799353092443 -775.261743504979</t>
  </si>
  <si>
    <t>-461.658418461989 234.63955472325 -475.849122472933</t>
  </si>
  <si>
    <t>-291.209669492378 195.931321116241 -283.258926104319</t>
  </si>
  <si>
    <t>-572.934576982199 174.295697563572 -237.031486671079</t>
  </si>
  <si>
    <t>-539.978983412286 226.997320621342 214.404204487546</t>
  </si>
  <si>
    <t>-630.716986369951 248.271116837051 674.952177717062</t>
  </si>
  <si>
    <t>-478.194702848848 236.689486037311 761.821696418044</t>
  </si>
  <si>
    <t>-620.036047239204 -2.83816981091607 219.291432518684</t>
  </si>
  <si>
    <t>-657.050734885988 5.71720079833131 687.545939844377</t>
  </si>
  <si>
    <t>-501.531309406682 -37.8523917362037 757.251668402831</t>
  </si>
  <si>
    <t>9763-20170724T164203.522413800.bin</t>
  </si>
  <si>
    <t>-591.508278007735 77.1101097882552 -236.768200591551</t>
  </si>
  <si>
    <t>-614.563320841498 80.7678052797256 -355.607928318447</t>
  </si>
  <si>
    <t>-620.090251602232 73.073255653833 -476.441790880573</t>
  </si>
  <si>
    <t>-617.815668527132 61.5575236798641 -585.331915228571</t>
  </si>
  <si>
    <t>-608.389418559594 45.5521034092924 -693.266246169991</t>
  </si>
  <si>
    <t>-587.876992654153 18.6829971554124 -841.783161997641</t>
  </si>
  <si>
    <t>-545.787209597684 1.66923213684234 -933.007990730561</t>
  </si>
  <si>
    <t>-590.92724388794 61.4258932341568 -780.818897769084</t>
  </si>
  <si>
    <t>-560.069817984907 205.070553217905 -774.576732348144</t>
  </si>
  <si>
    <t>-465.70755295383 236.171621595912 -474.052827759206</t>
  </si>
  <si>
    <t>-295.068622163261 200.842819618719 -280.982167633123</t>
  </si>
  <si>
    <t>-573.203681456859 173.52494561381 -236.860804507035</t>
  </si>
  <si>
    <t>-539.866067626051 226.511851197072 214.513398490503</t>
  </si>
  <si>
    <t>-630.782416953951 248.283410255837 675.019026837111</t>
  </si>
  <si>
    <t>-478.231274287613 236.512960196918 761.812546552189</t>
  </si>
  <si>
    <t>-620.625335127355 -3.39672168530486 219.342825634289</t>
  </si>
  <si>
    <t>-657.108593018631 5.7338788238339 687.622329272804</t>
  </si>
  <si>
    <t>-501.372301506581 -37.1288344345449 757.282223625343</t>
  </si>
  <si>
    <t>9763-20170724T164203.592107500.bin</t>
  </si>
  <si>
    <t>-592.047532260783 75.7368361465745 -236.504398576783</t>
  </si>
  <si>
    <t>-614.908575428926 79.623209752811 -355.374387209854</t>
  </si>
  <si>
    <t>-620.075759328711 72.2472514534367 -476.243992562047</t>
  </si>
  <si>
    <t>-617.401642139594 61.0684155210799 -585.160089613722</t>
  </si>
  <si>
    <t>-607.497502487928 45.4577869551168 -693.109516274944</t>
  </si>
  <si>
    <t>-586.236059087005 19.2057438284472 -841.631502879441</t>
  </si>
  <si>
    <t>-543.913323858985 2.53755351411534 -932.812305924647</t>
  </si>
  <si>
    <t>-589.571317320638 61.6910985559982 -780.502175995819</t>
  </si>
  <si>
    <t>-559.032379854652 205.354829497958 -773.364144867193</t>
  </si>
  <si>
    <t>-475.732477195598 240.996065904626 -470.086939896241</t>
  </si>
  <si>
    <t>-302.181628389687 208.660829879696 -279.098601204824</t>
  </si>
  <si>
    <t>-573.034923989747 172.300401211 -236.528849869791</t>
  </si>
  <si>
    <t>-538.791515633482 225.513819832388 214.750869775577</t>
  </si>
  <si>
    <t>-630.852908839813 248.219635371147 675.052691087626</t>
  </si>
  <si>
    <t>-478.298852329643 236.162938680315 761.80181803786</t>
  </si>
  <si>
    <t>-621.621929624179 -4.57747400969777 219.504829717994</t>
  </si>
  <si>
    <t>-657.27131624199 5.51004610995473 687.813811230131</t>
  </si>
  <si>
    <t>-501.544232658555 -37.4812757469509 757.415035921725</t>
  </si>
  <si>
    <t>9763-20170724T164203.627700600.bin</t>
  </si>
  <si>
    <t>-592.209289920506 75.0833585969295 -236.359879288756</t>
  </si>
  <si>
    <t>-615.054480553095 79.1121887008142 -355.228157011614</t>
  </si>
  <si>
    <t>-620.098303279382 71.8302794114761 -476.108645193327</t>
  </si>
  <si>
    <t>-617.26190072736 60.7289190892064 -585.028760994744</t>
  </si>
  <si>
    <t>-607.140996462718 45.1964268967796 -692.969342256189</t>
  </si>
  <si>
    <t>-585.518456809961 19.0613944080071 -841.45976320029</t>
  </si>
  <si>
    <t>-543.037431924432 2.47108393894777 -932.58116540333</t>
  </si>
  <si>
    <t>-589.038883891726 61.5048242074051 -780.311824092737</t>
  </si>
  <si>
    <t>-558.944793577396 205.24530797925 -772.926267869802</t>
  </si>
  <si>
    <t>-480.327005014433 243.446916983511 -468.712487806684</t>
  </si>
  <si>
    <t>-305.792711787251 217.056423731461 -277.706192633463</t>
  </si>
  <si>
    <t>-572.833420365308 171.787608321064 -236.323239761803</t>
  </si>
  <si>
    <t>-538.006384343991 225.084579045199 214.901974241098</t>
  </si>
  <si>
    <t>-630.862628716769 248.162921763055 675.034682971336</t>
  </si>
  <si>
    <t>-478.326479254693 235.975569472487 761.796988315479</t>
  </si>
  <si>
    <t>-622.090979398086 -5.0820682950605 219.61894236937</t>
  </si>
  <si>
    <t>-657.335832161729 5.43923380531753 687.938318337807</t>
  </si>
  <si>
    <t>-501.656302301602 -37.7403595432702 757.529420885183</t>
  </si>
  <si>
    <t>9763-20170724T164203.687860300.bin</t>
  </si>
  <si>
    <t>-592.519104430642 73.8364347213605 -235.987869042078</t>
  </si>
  <si>
    <t>-615.153584997598 78.0659170304206 -354.889423019176</t>
  </si>
  <si>
    <t>-619.949070666616 70.9065536381215 -475.787445024475</t>
  </si>
  <si>
    <t>-616.861967184282 59.904018218969 -584.71066951515</t>
  </si>
  <si>
    <t>-606.457874646119 44.4712064789506 -692.638532358897</t>
  </si>
  <si>
    <t>-584.402306077731 18.4874136577489 -841.091939710835</t>
  </si>
  <si>
    <t>-541.623217698661 2.02933347276198 -932.097839539014</t>
  </si>
  <si>
    <t>-588.203888582171 60.8858567607636 -779.929412676721</t>
  </si>
  <si>
    <t>-559.124495510367 204.820393069715 -772.263399378932</t>
  </si>
  <si>
    <t>-486.356247599249 249.024244886578 -467.407723916432</t>
  </si>
  <si>
    <t>-312.371029649881 235.177319645285 -274.588042555903</t>
  </si>
  <si>
    <t>-572.649223861989 170.746385919826 -235.905152752659</t>
  </si>
  <si>
    <t>-536.623694299385 224.214219108271 215.205773608576</t>
  </si>
  <si>
    <t>-630.892284160276 247.983401423924 675.010824033332</t>
  </si>
  <si>
    <t>-478.379857941999 235.70754090858 761.802415638272</t>
  </si>
  <si>
    <t>-622.897782713063 -6.12683068539904 219.867762342383</t>
  </si>
  <si>
    <t>-657.489856998253 5.13132237455903 688.203467783582</t>
  </si>
  <si>
    <t>-502.045116657769 -38.8910063838011 757.791252025974</t>
  </si>
  <si>
    <t>9763-20170724T164203.722687200.bin</t>
  </si>
  <si>
    <t>-592.61135922663 73.3202147019577 -235.802150459869</t>
  </si>
  <si>
    <t>-615.235703698572 77.6041310475376 -354.703738026519</t>
  </si>
  <si>
    <t>-619.961649661054 70.4833486566555 -475.606720123936</t>
  </si>
  <si>
    <t>-616.78403749642 59.5156949469211 -584.530904222795</t>
  </si>
  <si>
    <t>-606.259786578339 44.1220338005506 -692.452680783876</t>
  </si>
  <si>
    <t>-584.005086280983 18.2010850124433 -840.887334055001</t>
  </si>
  <si>
    <t>-541.099090543972 1.78770124850686 -931.841456515496</t>
  </si>
  <si>
    <t>-587.943443706233 60.5827061495875 -779.721938546889</t>
  </si>
  <si>
    <t>-559.262924451897 204.606323652851 -772.101953965988</t>
  </si>
  <si>
    <t>-487.811238665343 251.361912281664 -467.315594707703</t>
  </si>
  <si>
    <t>-314.583804102705 241.774645737491 -273.556874941039</t>
  </si>
  <si>
    <t>-572.625557278071 170.231942771042 -235.690355943446</t>
  </si>
  <si>
    <t>-536.222649194557 223.973789826043 215.357686826042</t>
  </si>
  <si>
    <t>-630.953541351152 247.903717457241 675.04447761328</t>
  </si>
  <si>
    <t>-478.412692307558 235.617104840392 761.78457703794</t>
  </si>
  <si>
    <t>-623.026197096806 -6.43145130015051 220.012802293099</t>
  </si>
  <si>
    <t>-657.51570649252 5.20862703312194 688.339655111599</t>
  </si>
  <si>
    <t>-501.95529740214 -38.4664321202106 757.8879484932</t>
  </si>
  <si>
    <t>9763-20170724T164203.787860700.bin</t>
  </si>
  <si>
    <t>-592.744480012606 72.3420962026222 -235.63512851566</t>
  </si>
  <si>
    <t>-615.428660030386 76.7063219960164 -354.522473886972</t>
  </si>
  <si>
    <t>-620.091273103785 69.5982831553763 -475.428590996469</t>
  </si>
  <si>
    <t>-616.803336303332 58.620296020164 -584.348436074492</t>
  </si>
  <si>
    <t>-606.115010685463 43.1982825910829 -692.250084351722</t>
  </si>
  <si>
    <t>-583.575877751258 17.2231379624214 -840.632262784628</t>
  </si>
  <si>
    <t>-540.516253399374 0.781256420586359 -931.508707614933</t>
  </si>
  <si>
    <t>-587.692181489833 59.6370430826525 -779.501024210045</t>
  </si>
  <si>
    <t>-559.655508443065 203.786703736947 -772.129440138693</t>
  </si>
  <si>
    <t>-490.475567531379 255.216771377853 -467.5718385094</t>
  </si>
  <si>
    <t>-318.791707039564 248.003162433297 -272.342157706809</t>
  </si>
  <si>
    <t>-572.713963649089 169.213186498521 -235.476009359721</t>
  </si>
  <si>
    <t>-535.819848795773 223.439916597709 215.474061098798</t>
  </si>
  <si>
    <t>-631.109779400408 247.786686926959 675.018613752154</t>
  </si>
  <si>
    <t>-478.478578451938 235.447619949765 761.592103927361</t>
  </si>
  <si>
    <t>-622.853968468899 -6.94285294223003 220.132347302848</t>
  </si>
  <si>
    <t>-657.56640302904 5.24608158730409 688.443999667558</t>
  </si>
  <si>
    <t>-501.904076083996 -38.1731286414019 757.924371627252</t>
  </si>
  <si>
    <t>9763-20170724T164203.822691500.bin</t>
  </si>
  <si>
    <t>-592.795694148741 72.0556766197677 -235.593052467125</t>
  </si>
  <si>
    <t>-615.450674809323 76.4389295671978 -354.485120431863</t>
  </si>
  <si>
    <t>-620.044622408927 69.3254999910842 -475.393627464611</t>
  </si>
  <si>
    <t>-616.678171637721 58.334566062952 -584.30966871648</t>
  </si>
  <si>
    <t>-605.894835674504 42.8927494850873 -692.199247350714</t>
  </si>
  <si>
    <t>-583.20684433632 16.8842237864857 -840.552823446718</t>
  </si>
  <si>
    <t>-540.104397324506 0.413417384130014 -931.403667356908</t>
  </si>
  <si>
    <t>-587.408238867096 59.3157280624373 -779.439567657882</t>
  </si>
  <si>
    <t>-559.543471901832 203.516060275947 -772.149107121264</t>
  </si>
  <si>
    <t>-492.257244639597 256.744255538043 -467.47637302485</t>
  </si>
  <si>
    <t>-320.085319190409 247.122147792216 -272.781033816857</t>
  </si>
  <si>
    <t>-572.812501771809 168.787940014306 -235.407753282386</t>
  </si>
  <si>
    <t>-535.779899754213 223.345680287132 215.490971428328</t>
  </si>
  <si>
    <t>-631.196135740053 247.712048413563 675.012281407738</t>
  </si>
  <si>
    <t>-478.504329458958 235.397905658744 761.4823681522</t>
  </si>
  <si>
    <t>-622.739620392908 -6.99809398513048 220.149615782299</t>
  </si>
  <si>
    <t>-657.538752540088 5.48580229721654 688.450789306153</t>
  </si>
  <si>
    <t>-501.351246448833 -36.1350328308193 757.853045350548</t>
  </si>
  <si>
    <t>9763-20170724T164203.893888800.bin</t>
  </si>
  <si>
    <t>-592.651003838779 71.4426364437679 -235.635375087504</t>
  </si>
  <si>
    <t>-615.176621516884 75.8043492594674 -354.552880266726</t>
  </si>
  <si>
    <t>-619.656940573417 68.6505024974902 -475.463271459288</t>
  </si>
  <si>
    <t>-616.191802934458 57.6213361424991 -584.372419787784</t>
  </si>
  <si>
    <t>-605.312403446737 42.1430411705455 -692.24699269585</t>
  </si>
  <si>
    <t>-582.492079182892 16.0887183879283 -840.572307723078</t>
  </si>
  <si>
    <t>-586.823304623491 58.5511950841693 -779.489604331244</t>
  </si>
  <si>
    <t>-559.199359613083 202.77419703094 -772.122249942063</t>
  </si>
  <si>
    <t>-495.466185747213 258.498619846549 -467.131920602502</t>
  </si>
  <si>
    <t>-319.342888457403 242.666317933073 -276.417516209259</t>
  </si>
  <si>
    <t>-572.686292769706 168.175701886214 -235.494106913415</t>
  </si>
  <si>
    <t>-535.733224166239 223.038504888964 215.374108322567</t>
  </si>
  <si>
    <t>-631.257355025192 247.581498759443 674.842995417578</t>
  </si>
  <si>
    <t>-478.528329135583 235.360392959396 761.260533870893</t>
  </si>
  <si>
    <t>-622.792259159305 -7.44204247630633 220.122522906072</t>
  </si>
  <si>
    <t>-657.596803860058 5.32010983501488 688.446026740146</t>
  </si>
  <si>
    <t>-502.054826233514 -38.5551401132493 757.909513567323</t>
  </si>
  <si>
    <t>9763-20170724T164203.924487100.bin</t>
  </si>
  <si>
    <t>-592.462452963546 71.3111029255775 -235.655552408398</t>
  </si>
  <si>
    <t>-614.951632782097 75.6844959168718 -354.579564292532</t>
  </si>
  <si>
    <t>-619.445653193403 68.5348233632336 -475.489700808594</t>
  </si>
  <si>
    <t>-616.011497186301 57.5089721359147 -584.400046752528</t>
  </si>
  <si>
    <t>-605.180258893494 42.0349213824098 -692.280004725873</t>
  </si>
  <si>
    <t>-582.443506773707 15.9888250549195 -840.61970572343</t>
  </si>
  <si>
    <t>-586.774318949533 58.4533686070892 -779.538289040194</t>
  </si>
  <si>
    <t>-559.214022983451 202.665410320452 -771.981017134367</t>
  </si>
  <si>
    <t>-496.18534376765 258.836601750331 -466.926272432208</t>
  </si>
  <si>
    <t>-316.848424709088 241.608681679645 -279.353660209469</t>
  </si>
  <si>
    <t>-572.560719606347 168.061276183215 -235.538342591596</t>
  </si>
  <si>
    <t>-535.62484184464 223.015554421398 215.320237356796</t>
  </si>
  <si>
    <t>-631.252027923247 247.512123253575 674.751446659402</t>
  </si>
  <si>
    <t>-478.528521666678 235.355567262861 761.187901433238</t>
  </si>
  <si>
    <t>-622.685740349578 -7.47373191423949 220.096604426069</t>
  </si>
  <si>
    <t>-657.597364197983 5.40745873207158 688.426472580029</t>
  </si>
  <si>
    <t>-501.835749417381 -37.7282059953991 757.860934760747</t>
  </si>
  <si>
    <t>9763-20170724T164203.989660200.bin</t>
  </si>
  <si>
    <t>-591.970640243288 71.4191268566873 -235.735304524691</t>
  </si>
  <si>
    <t>-614.546175462594 75.755625465187 -354.644340868938</t>
  </si>
  <si>
    <t>-619.122942548031 68.6210825670375 -475.552199721709</t>
  </si>
  <si>
    <t>-615.761193591981 57.6304872785386 -584.468451490922</t>
  </si>
  <si>
    <t>-604.999431660449 42.2132005806654 -692.363495436815</t>
  </si>
  <si>
    <t>-582.355563389648 16.2683385911586 -840.735166746597</t>
  </si>
  <si>
    <t>-586.690858451583 58.6979349719352 -779.629892405939</t>
  </si>
  <si>
    <t>-559.049065830077 202.909340274956 -771.847096073</t>
  </si>
  <si>
    <t>-496.280128469414 257.760211779963 -466.498739331389</t>
  </si>
  <si>
    <t>-310.57038039496 239.838513331372 -285.300555240803</t>
  </si>
  <si>
    <t>-572.209586640818 168.10246836104 -235.61283040023</t>
  </si>
  <si>
    <t>-535.072615070267 223.142279394951 215.218796338645</t>
  </si>
  <si>
    <t>-631.203774471072 247.391835073596 674.561063552555</t>
  </si>
  <si>
    <t>-478.518180571521 235.375595717096 761.084140251715</t>
  </si>
  <si>
    <t>-622.176278176165 -7.31773188525283 220.074261163258</t>
  </si>
  <si>
    <t>-657.618129203674 5.26626319732769 688.403253566712</t>
  </si>
  <si>
    <t>-502.26655384111 -39.2269394848892 757.899568959624</t>
  </si>
  <si>
    <t>9763-20170724T164204.051331500.bin</t>
  </si>
  <si>
    <t>-591.735374473551 71.4110228395473 -235.759699732136</t>
  </si>
  <si>
    <t>-614.321619533653 75.7372598533603 -354.667011709408</t>
  </si>
  <si>
    <t>-618.966780595112 68.5879809215684 -475.571387881104</t>
  </si>
  <si>
    <t>-615.689829920603 57.5817607329596 -584.488693671633</t>
  </si>
  <si>
    <t>-605.035370515911 42.1459361055538 -692.391753765435</t>
  </si>
  <si>
    <t>-582.563587528286 16.1718130351499 -840.784310603306</t>
  </si>
  <si>
    <t>-586.83299538853 58.6142364087554 -779.683362196189</t>
  </si>
  <si>
    <t>-559.146370669426 202.828605564543 -771.868849305648</t>
  </si>
  <si>
    <t>-495.721674888197 256.745115030239 -466.489562535489</t>
  </si>
  <si>
    <t>-308.281260031901 236.42000921598 -287.338736718671</t>
  </si>
  <si>
    <t>-572.056825264068 168.010664829661 -235.628695065726</t>
  </si>
  <si>
    <t>-534.813424473559 223.183978035188 215.17787087838</t>
  </si>
  <si>
    <t>-631.195868885529 247.297442693489 674.374779926824</t>
  </si>
  <si>
    <t>-478.521835727937 235.35786270044 760.928851169448</t>
  </si>
  <si>
    <t>-622.047532620044 -7.23936397596744 220.056242130791</t>
  </si>
  <si>
    <t>-657.589635608632 5.41505479359148 688.384864945748</t>
  </si>
  <si>
    <t>-502.074097801576 -38.5097772327354 757.87617082416</t>
  </si>
  <si>
    <t>9763-20170724T164204.056346500.bin</t>
  </si>
  <si>
    <t>-591.444847530904 71.4420066978751 -235.822473749866</t>
  </si>
  <si>
    <t>-613.994152811335 75.7465721238538 -354.737695041122</t>
  </si>
  <si>
    <t>-618.671931538214 68.5745031273956 -475.63951984688</t>
  </si>
  <si>
    <t>-615.453459050533 57.5458485260564 -584.556189489664</t>
  </si>
  <si>
    <t>-604.886530842935 42.0848244097725 -692.464250713669</t>
  </si>
  <si>
    <t>-582.566060813379 16.0714300771841 -840.872798574548</t>
  </si>
  <si>
    <t>-586.761732442856 58.5282323953879 -779.776732614386</t>
  </si>
  <si>
    <t>-558.918189911644 202.713298612183 -771.961122776096</t>
  </si>
  <si>
    <t>-495.128800984517 256.081599497645 -466.561402959746</t>
  </si>
  <si>
    <t>-306.629324426785 234.555377692559 -288.666464212221</t>
  </si>
  <si>
    <t>-571.720476418099 168.088711162781 -235.748773000622</t>
  </si>
  <si>
    <t>-534.629680625554 223.205566324575 215.07727153684</t>
  </si>
  <si>
    <t>-631.191674276287 247.233277961399 674.272689408855</t>
  </si>
  <si>
    <t>-478.523099793824 235.390976711694 760.849707739518</t>
  </si>
  <si>
    <t>-621.991202959784 -7.21595691719632 220.020163686782</t>
  </si>
  <si>
    <t>-657.615599323127 5.32735286099653 688.363118040991</t>
  </si>
  <si>
    <t>-502.107451063429 -38.6172952982592 757.858586956472</t>
  </si>
  <si>
    <t>9763-20170724T164204.127091300.bin</t>
  </si>
  <si>
    <t>-590.922004291594 71.4006173948377 -235.902717171715</t>
  </si>
  <si>
    <t>-613.390739830813 75.6540721595932 -354.835084143185</t>
  </si>
  <si>
    <t>-618.074264305158 68.3006174436608 -475.725682370143</t>
  </si>
  <si>
    <t>-614.894271065166 57.058563985654 -584.621747082505</t>
  </si>
  <si>
    <t>-604.397915857728 41.3368790572507 -692.498986396908</t>
  </si>
  <si>
    <t>-582.208239599527 14.9140158342828 -840.854847438735</t>
  </si>
  <si>
    <t>-586.342766209071 57.5381030628514 -779.871177257933</t>
  </si>
  <si>
    <t>-558.225748736168 201.696961307055 -772.415632168254</t>
  </si>
  <si>
    <t>-494.534239251447 255.690007930088 -467.105450840367</t>
  </si>
  <si>
    <t>-301.616769495087 238.891821042923 -293.488951131169</t>
  </si>
  <si>
    <t>-571.155863172972 167.952304500322 -235.890468777698</t>
  </si>
  <si>
    <t>-534.452669377611 223.082825456589 214.965585831352</t>
  </si>
  <si>
    <t>-631.179802989267 247.163044295315 674.136199353401</t>
  </si>
  <si>
    <t>-478.529886826498 235.324704243489 760.746611045964</t>
  </si>
  <si>
    <t>-621.751414690236 -7.20529279915354 219.997840265898</t>
  </si>
  <si>
    <t>-657.615590814074 5.46341969100052 688.321362441362</t>
  </si>
  <si>
    <t>-502.034537122294 -38.2410654203458 757.804887242335</t>
  </si>
  <si>
    <t>9763-20170724T164204.192263800.bin</t>
  </si>
  <si>
    <t>-590.65009002911 71.214730834769 -235.89124726308</t>
  </si>
  <si>
    <t>-613.096079555753 75.4128587476901 -354.829717259258</t>
  </si>
  <si>
    <t>-617.821043562281 67.7762003794301 -475.701324099511</t>
  </si>
  <si>
    <t>-614.702968777239 56.1891761556261 -584.562978404183</t>
  </si>
  <si>
    <t>-604.292367026085 40.0360237290751 -692.38465788814</t>
  </si>
  <si>
    <t>-582.246112409354 12.9258212213432 -840.637844026883</t>
  </si>
  <si>
    <t>-586.32418913976 55.8324768833361 -779.848882006333</t>
  </si>
  <si>
    <t>-558.202893847513 200.016795101148 -773.188285461484</t>
  </si>
  <si>
    <t>-494.949250236853 258.741427510081 -468.661427321572</t>
  </si>
  <si>
    <t>-297.170596532567 245.698660033315 -300.270443625445</t>
  </si>
  <si>
    <t>-570.868902754655 167.786611531528 -235.883805205077</t>
  </si>
  <si>
    <t>-534.264537048535 223.022449421905 214.967328078602</t>
  </si>
  <si>
    <t>-631.169218349664 247.095173296397 674.142213264257</t>
  </si>
  <si>
    <t>-478.532976591369 235.254340928031 760.776460128013</t>
  </si>
  <si>
    <t>-621.597391144765 -7.2890652883337 220.016801434257</t>
  </si>
  <si>
    <t>-657.62972596182 5.51491252813469 688.314222975475</t>
  </si>
  <si>
    <t>-502.197117839376 -38.7278908885637 757.789358786835</t>
  </si>
  <si>
    <t>9763-20170724T164204.223252400.bin</t>
  </si>
  <si>
    <t>-590.517988019943 71.0765394739878 -235.862799657088</t>
  </si>
  <si>
    <t>-612.962390032862 75.2841841896903 -354.801190907604</t>
  </si>
  <si>
    <t>-617.712940396025 67.4669864073544 -475.660165462227</t>
  </si>
  <si>
    <t>-614.627221220685 55.6428750642433 -584.497307275206</t>
  </si>
  <si>
    <t>-604.257663022968 39.1809674419644 -692.276415381514</t>
  </si>
  <si>
    <t>-582.277134148957 11.5693120185969 -840.446764060155</t>
  </si>
  <si>
    <t>-586.34585365945 54.6841122454984 -779.804573872961</t>
  </si>
  <si>
    <t>-558.432124470836 198.933257015062 -773.746891365824</t>
  </si>
  <si>
    <t>-494.531230154644 261.193214068309 -470.058620724623</t>
  </si>
  <si>
    <t>-294.944342776911 247.542964968372 -303.863569458713</t>
  </si>
  <si>
    <t>-570.710367873222 167.669916105649 -235.844099151817</t>
  </si>
  <si>
    <t>-534.141904834571 222.923742423669 215.007727341685</t>
  </si>
  <si>
    <t>-631.181845661057 247.057171170904 674.13887059859</t>
  </si>
  <si>
    <t>-478.540617129882 235.234374880129 760.766741306423</t>
  </si>
  <si>
    <t>-621.570772387337 -7.34434334266074 220.026262173915</t>
  </si>
  <si>
    <t>-657.639254599247 5.53240129023055 688.313960991325</t>
  </si>
  <si>
    <t>-501.978972894359 -37.963442402187 757.751018543783</t>
  </si>
  <si>
    <t>9763-20170724T164204.301968900.bin</t>
  </si>
  <si>
    <t>-590.39237353157 71.0335158582016 -235.891613408903</t>
  </si>
  <si>
    <t>-612.808107047264 75.214796945297 -354.836410780798</t>
  </si>
  <si>
    <t>-617.55975134175 67.1863638352357 -475.681515528116</t>
  </si>
  <si>
    <t>-614.486574792085 55.0985976778402 -584.490034428721</t>
  </si>
  <si>
    <t>-604.140977657229 38.3018129457654 -692.219810404647</t>
  </si>
  <si>
    <t>-582.206047685734 10.1523818425763 -840.295653157123</t>
  </si>
  <si>
    <t>-586.280323069179 53.4908392030553 -779.813410145206</t>
  </si>
  <si>
    <t>-558.554993916556 197.78249767444 -774.358277955159</t>
  </si>
  <si>
    <t>-494.069044233249 263.99902120082 -471.632166190923</t>
  </si>
  <si>
    <t>-292.843983840248 251.633734132293 -307.322521631497</t>
  </si>
  <si>
    <t>-570.633666774772 167.638304089261 -235.889076417763</t>
  </si>
  <si>
    <t>-534.152664510518 222.877025688555 214.971795244779</t>
  </si>
  <si>
    <t>-631.199797508492 246.967613014969 674.013615429255</t>
  </si>
  <si>
    <t>-478.54896178333 235.244597255059 760.638189577871</t>
  </si>
  <si>
    <t>-621.582452560185 -7.38682701755852 220.005470457402</t>
  </si>
  <si>
    <t>-657.642864866374 5.54569162972685 688.309555082839</t>
  </si>
  <si>
    <t>-502.047157434939 -38.1715827463743 757.752327369712</t>
  </si>
  <si>
    <t>9763-20170724T164204.323532100.bin</t>
  </si>
  <si>
    <t>-590.2410217304 71.1604203415336 -235.959074624694</t>
  </si>
  <si>
    <t>-612.623802335521 75.2543650898182 -354.913093507028</t>
  </si>
  <si>
    <t>-617.339036645025 66.8212788561213 -475.731997947135</t>
  </si>
  <si>
    <t>-614.231423498499 54.2423106991235 -584.48378870759</t>
  </si>
  <si>
    <t>-603.850938254982 36.8316341664312 -692.112804322198</t>
  </si>
  <si>
    <t>-581.86879701401 7.70423383058228 -839.992314215522</t>
  </si>
  <si>
    <t>-585.986039782942 51.4450317733079 -779.80331830051</t>
  </si>
  <si>
    <t>-558.439435536259 195.828085405753 -775.446979317372</t>
  </si>
  <si>
    <t>-493.073145898025 266.914307357567 -474.016812527605</t>
  </si>
  <si>
    <t>-289.187967710225 257.092607348216 -312.844655737946</t>
  </si>
  <si>
    <t>-570.696426087434 167.676084066307 -235.993553537479</t>
  </si>
  <si>
    <t>-534.301889351289 223.015625396758 214.861830245493</t>
  </si>
  <si>
    <t>-631.20489394408 246.889156042192 673.973815954261</t>
  </si>
  <si>
    <t>-478.54625512383 235.31105997184 760.603945583537</t>
  </si>
  <si>
    <t>-621.561080921013 -7.31353883394257 219.983691020588</t>
  </si>
  <si>
    <t>-657.641032827492 5.55579245523917 688.298011453126</t>
  </si>
  <si>
    <t>-502.119891565257 -38.3924438524459 757.762011214243</t>
  </si>
  <si>
    <t>9763-20170724T164204.394220600.bin</t>
  </si>
  <si>
    <t>-590.234277626202 71.7095423715303 -236.038815567545</t>
  </si>
  <si>
    <t>-612.511256771459 75.6019478455167 -355.019468701052</t>
  </si>
  <si>
    <t>-617.226501308939 66.7247649691748 -475.806516245679</t>
  </si>
  <si>
    <t>-614.161947555707 53.6493990566678 -584.501065566174</t>
  </si>
  <si>
    <t>-603.867901322689 35.649360131243 -692.041197173368</t>
  </si>
  <si>
    <t>-582.051161205621 5.60784675417119 -839.762366910131</t>
  </si>
  <si>
    <t>-586.134355767716 49.7250262363726 -779.84631633811</t>
  </si>
  <si>
    <t>-558.821494321892 194.168766423028 -776.41907679117</t>
  </si>
  <si>
    <t>-491.923976910557 268.53183849 -476.117453393473</t>
  </si>
  <si>
    <t>-286.934022197968 260.753296628262 -316.24043935709</t>
  </si>
  <si>
    <t>-570.846684816779 168.20221906335 -236.173789218615</t>
  </si>
  <si>
    <t>-534.775682720044 223.30245077152 214.736984445076</t>
  </si>
  <si>
    <t>-631.185881474663 246.839908514021 673.981929084119</t>
  </si>
  <si>
    <t>-478.524866688142 235.447879593038 760.632631336602</t>
  </si>
  <si>
    <t>-621.525856916435 -6.94717904689701 219.97388309943</t>
  </si>
  <si>
    <t>-657.630318098017 5.53541581036043 688.297874857813</t>
  </si>
  <si>
    <t>-502.172851301349 -38.5840837096515 757.795834235821</t>
  </si>
  <si>
    <t>9763-20170724T164204.424492000.bin</t>
  </si>
  <si>
    <t>-590.258022491906 71.9729315472463 -236.079603947694</t>
  </si>
  <si>
    <t>-612.636078314995 75.8199573955737 -355.042788373105</t>
  </si>
  <si>
    <t>-617.427278134099 66.7719767808414 -475.814215258914</t>
  </si>
  <si>
    <t>-614.421389690612 53.4913568713443 -584.48545387108</t>
  </si>
  <si>
    <t>-604.176915199001 35.2354288056046 -691.987183391771</t>
  </si>
  <si>
    <t>-582.420718175286 4.78616889644772 -839.633726857062</t>
  </si>
  <si>
    <t>-586.483801862073 49.0692631415973 -779.838990179877</t>
  </si>
  <si>
    <t>-559.104804509394 193.513069766971 -776.774008901582</t>
  </si>
  <si>
    <t>-491.39104298481 268.615971705767 -476.839693517699</t>
  </si>
  <si>
    <t>-285.987134097032 261.791701579018 -317.451166239711</t>
  </si>
  <si>
    <t>-571.016009024729 168.519153101123 -236.24586383656</t>
  </si>
  <si>
    <t>-535.11864158866 223.453822399786 214.698905212745</t>
  </si>
  <si>
    <t>-631.199960225011 246.829210962416 674.017755810321</t>
  </si>
  <si>
    <t>-478.519142705708 235.510507222434 760.643172108946</t>
  </si>
  <si>
    <t>-621.521194511069 -6.79752889886287 219.985156266308</t>
  </si>
  <si>
    <t>-657.613578482201 5.56940971025605 688.302431672203</t>
  </si>
  <si>
    <t>-502.227958877448 -38.7715990010684 757.820082397299</t>
  </si>
  <si>
    <t>9763-20170724T164204.489662700.bin</t>
  </si>
  <si>
    <t>-590.696714608893 72.493292308423 -236.111005564753</t>
  </si>
  <si>
    <t>-613.163400361711 76.2095646878674 -355.061608730445</t>
  </si>
  <si>
    <t>-618.024839851413 66.8702479246359 -475.808074283962</t>
  </si>
  <si>
    <t>-615.076858973637 53.2604376391356 -584.440174083143</t>
  </si>
  <si>
    <t>-604.886428731832 34.6090238794364 -691.879166579949</t>
  </si>
  <si>
    <t>-583.203624595871 3.54118316298074 -839.407733862221</t>
  </si>
  <si>
    <t>-587.287406653754 48.0819348981282 -779.8059898182</t>
  </si>
  <si>
    <t>-560.081856267445 192.569600542164 -777.297929718383</t>
  </si>
  <si>
    <t>-489.839558769314 267.984494787468 -478.024183204138</t>
  </si>
  <si>
    <t>-284.075429400045 262.496177155537 -319.048988302029</t>
  </si>
  <si>
    <t>-571.796367310103 168.978518613881 -236.309900059246</t>
  </si>
  <si>
    <t>-535.741621957281 223.935140717029 214.61973140287</t>
  </si>
  <si>
    <t>-631.261889454644 246.799769749123 674.084317788831</t>
  </si>
  <si>
    <t>-478.51319560909 235.696377737884 760.617942358398</t>
  </si>
  <si>
    <t>-621.48012516761 -6.44274877025458 219.992898685259</t>
  </si>
  <si>
    <t>-657.566965690949 5.74747049443759 688.312813051847</t>
  </si>
  <si>
    <t>-501.94853232255 -37.8167107428989 757.80076062871</t>
  </si>
  <si>
    <t>9763-20170724T164204.536325600.bin</t>
  </si>
  <si>
    <t>-590.917629528712 72.6981805966307 -236.121178137313</t>
  </si>
  <si>
    <t>-613.458529183244 76.3608081485859 -355.059386906216</t>
  </si>
  <si>
    <t>-618.323003571581 66.9156440501869 -475.797542112584</t>
  </si>
  <si>
    <t>-615.34908863285 53.189544475595 -584.41426930656</t>
  </si>
  <si>
    <t>-605.105338020792 34.4017425241993 -691.82442683301</t>
  </si>
  <si>
    <t>-583.320901191095 3.12420981133945 -839.293512499928</t>
  </si>
  <si>
    <t>-587.487803908234 47.7557587560436 -779.765611081206</t>
  </si>
  <si>
    <t>-560.317697290407 192.248002200453 -777.43456437221</t>
  </si>
  <si>
    <t>-488.770179538636 267.529379561562 -478.436409879246</t>
  </si>
  <si>
    <t>-282.871383676103 262.761492533184 -319.612531162359</t>
  </si>
  <si>
    <t>-572.145593630816 169.180559966456 -236.34184965322</t>
  </si>
  <si>
    <t>-535.997942068435 224.100150618566 214.584767458712</t>
  </si>
  <si>
    <t>-631.29235520711 246.795240544233 674.103422990687</t>
  </si>
  <si>
    <t>-478.51462165482 235.7487480082 760.593073568966</t>
  </si>
  <si>
    <t>-621.516785199759 -6.32368178895572 219.998603859495</t>
  </si>
  <si>
    <t>-657.550756306728 5.80907640347263 688.314117974159</t>
  </si>
  <si>
    <t>-501.950302502691 -37.8231931875702 757.799650104782</t>
  </si>
  <si>
    <t>9763-20170724T164204.619558700.bin</t>
  </si>
  <si>
    <t>-591.187299861037 72.8877771065447 -236.181628395484</t>
  </si>
  <si>
    <t>-613.79873200051 76.4432869561069 -355.109748177614</t>
  </si>
  <si>
    <t>-618.658181362951 66.8708601578289 -475.838007881529</t>
  </si>
  <si>
    <t>-615.650828672707 53.0211122579499 -584.438223205946</t>
  </si>
  <si>
    <t>-605.346088007487 34.1004921240462 -691.819167824617</t>
  </si>
  <si>
    <t>-583.450170745231 2.62867103609412 -839.230469466231</t>
  </si>
  <si>
    <t>-587.704808615202 47.3447749070687 -779.772187245974</t>
  </si>
  <si>
    <t>-560.541484193065 191.853063460741 -777.636174195272</t>
  </si>
  <si>
    <t>-487.644641034105 266.674216845326 -478.848530269812</t>
  </si>
  <si>
    <t>-281.317884784116 263.096277447393 -320.54968201903</t>
  </si>
  <si>
    <t>-572.585602190613 169.393177073077 -236.475838883778</t>
  </si>
  <si>
    <t>-536.312689166828 224.26059444771 214.447125131827</t>
  </si>
  <si>
    <t>-631.3492062135 246.769341323294 673.972871935949</t>
  </si>
  <si>
    <t>-478.520716949761 235.800259337514 760.382707905183</t>
  </si>
  <si>
    <t>-621.531959982671 -6.27432619343038 219.992431072899</t>
  </si>
  <si>
    <t>-657.55945434987 5.7470143868029 688.310981002824</t>
  </si>
  <si>
    <t>-502.241329558601 -38.8431796695485 757.820053874351</t>
  </si>
  <si>
    <t>9763-20170724T164204.630588900.bin</t>
  </si>
  <si>
    <t>-591.916146445258 73.129991536166 -236.259207699361</t>
  </si>
  <si>
    <t>-614.56732929764 76.5811293194993 -355.18277963488</t>
  </si>
  <si>
    <t>-619.42591000244 66.8514003140621 -475.898432554506</t>
  </si>
  <si>
    <t>-616.405893598145 52.8337663507005 -584.47678691862</t>
  </si>
  <si>
    <t>-606.079779561515 33.7166327160444 -691.820936497191</t>
  </si>
  <si>
    <t>-584.148162500396 1.93959545936553 -839.161400745173</t>
  </si>
  <si>
    <t>-588.464604915497 46.7854369872531 -779.805292102947</t>
  </si>
  <si>
    <t>-561.470791422817 191.323652034228 -778.007537729745</t>
  </si>
  <si>
    <t>-485.898749922473 265.35450253569 -479.6879908842</t>
  </si>
  <si>
    <t>-279.420921005971 262.220924133321 -321.576811666148</t>
  </si>
  <si>
    <t>-573.777857073016 169.717682415534 -236.577965883297</t>
  </si>
  <si>
    <t>-537.067321053755 224.586422711373 214.309331041841</t>
  </si>
  <si>
    <t>-631.502404656758 246.750725456948 673.992562357798</t>
  </si>
  <si>
    <t>-478.564383009915 235.822716895493 760.213448931002</t>
  </si>
  <si>
    <t>-621.802113629243 -6.15873508729378 219.950237703968</t>
  </si>
  <si>
    <t>-657.537360898113 5.84405760684766 688.299936370059</t>
  </si>
  <si>
    <t>-501.744799597003 -37.1541149406391 757.750244696686</t>
  </si>
  <si>
    <t>9763-20170724T164204.689745000.bin</t>
  </si>
  <si>
    <t>-592.426611694064 73.139017344308 -236.260712469679</t>
  </si>
  <si>
    <t>-615.079667984365 76.4891893512187 -355.18682466339</t>
  </si>
  <si>
    <t>-619.899562522225 66.6507413603749 -475.895310607666</t>
  </si>
  <si>
    <t>-616.831958693225 52.5280240807 -584.458589464332</t>
  </si>
  <si>
    <t>-606.448772608383 33.2965381551855 -691.776894552447</t>
  </si>
  <si>
    <t>-584.4303480467 1.34875519031369 -839.067473507816</t>
  </si>
  <si>
    <t>-588.819558230269 46.2686480044584 -779.772820144568</t>
  </si>
  <si>
    <t>-561.964456526476 190.831364938925 -778.14358114154</t>
  </si>
  <si>
    <t>-484.238043602682 264.507679301096 -480.290312934582</t>
  </si>
  <si>
    <t>-277.946080001446 261.857665769561 -321.927863573262</t>
  </si>
  <si>
    <t>-574.595498346012 169.793959462177 -236.534335471221</t>
  </si>
  <si>
    <t>-537.564060521154 224.792843429144 214.31095831346</t>
  </si>
  <si>
    <t>-631.674742474632 246.784831105066 674.156129001445</t>
  </si>
  <si>
    <t>-478.605664900568 235.802127667355 760.137255381754</t>
  </si>
  <si>
    <t>-622.208555992454 -6.27137251561126 219.947151825522</t>
  </si>
  <si>
    <t>-657.551016887736 5.88868563055786 688.307426213772</t>
  </si>
  <si>
    <t>-501.671836300972 -36.824091517188 757.739375125345</t>
  </si>
  <si>
    <t>9763-20170724T164204.723449200.bin</t>
  </si>
  <si>
    <t>-592.73110888453 73.1258070080314 -236.205459419603</t>
  </si>
  <si>
    <t>-615.429308083671 76.498852251715 -355.122305366137</t>
  </si>
  <si>
    <t>-620.239552359988 66.6519138541446 -475.830432520275</t>
  </si>
  <si>
    <t>-617.141965710087 52.5079019784037 -584.390085043543</t>
  </si>
  <si>
    <t>-606.708487619971 33.2410072202312 -691.697064935353</t>
  </si>
  <si>
    <t>-584.600329518765 1.22928044014449 -838.960505821047</t>
  </si>
  <si>
    <t>-589.047193002534 46.177953986485 -779.691786908209</t>
  </si>
  <si>
    <t>-562.210730781548 190.756361218437 -778.144996274832</t>
  </si>
  <si>
    <t>-483.318527625306 264.292918182703 -480.563761887846</t>
  </si>
  <si>
    <t>-276.703493763081 262.270159399854 -322.613762174257</t>
  </si>
  <si>
    <t>-575.069463981366 169.874265746645 -236.424494177404</t>
  </si>
  <si>
    <t>-537.729086405208 224.921284868891 214.389341506501</t>
  </si>
  <si>
    <t>-631.793743099019 246.772056098643 674.270195543852</t>
  </si>
  <si>
    <t>-478.634746359239 235.785318962145 760.090410794387</t>
  </si>
  <si>
    <t>-622.378030559272 -6.35010699164243 219.9560953996</t>
  </si>
  <si>
    <t>-657.568531329609 5.84815770218216 688.318259901741</t>
  </si>
  <si>
    <t>-501.697867721955 -36.8966065013861 757.749826845605</t>
  </si>
  <si>
    <t>9763-20170724T164204.788628300.bin</t>
  </si>
  <si>
    <t>-593.38510754037 72.8184571690325 -236.115601773674</t>
  </si>
  <si>
    <t>-616.079829794746 76.198174270659 -355.032976450364</t>
  </si>
  <si>
    <t>-620.849153560139 66.2867781795759 -475.737538841625</t>
  </si>
  <si>
    <t>-617.702961869747 52.0524572905397 -584.283856081541</t>
  </si>
  <si>
    <t>-607.211560023843 32.6611288382027 -691.562698054671</t>
  </si>
  <si>
    <t>-585.016157549066 0.439637288207841 -838.767252415313</t>
  </si>
  <si>
    <t>-589.503519268758 45.473400698259 -779.566395262443</t>
  </si>
  <si>
    <t>-562.717090847232 190.056452213967 -778.236918338136</t>
  </si>
  <si>
    <t>-481.018729939417 263.214376462978 -481.320334600058</t>
  </si>
  <si>
    <t>-274.977517482492 260.493784879732 -322.633028284397</t>
  </si>
  <si>
    <t>-575.978569339993 169.364794959683 -236.271365973994</t>
  </si>
  <si>
    <t>-538.097278082893 225.145841443351 214.407232694556</t>
  </si>
  <si>
    <t>-631.94747589108 246.712719843839 674.329645411714</t>
  </si>
  <si>
    <t>-478.671323907535 235.807189816108 759.950862382116</t>
  </si>
  <si>
    <t>-622.713910716391 -6.54676465593806 219.972693822749</t>
  </si>
  <si>
    <t>-657.56839716217 5.93961621682092 688.332089331893</t>
  </si>
  <si>
    <t>-501.608706815472 -36.5006966844208 757.750484328922</t>
  </si>
  <si>
    <t>9763-20170724T164204.824723600.bin</t>
  </si>
  <si>
    <t>-593.646971081955 72.7722716935791 -236.115770612266</t>
  </si>
  <si>
    <t>-616.378029022831 76.1565412909849 -355.026060980271</t>
  </si>
  <si>
    <t>-621.151034316244 66.2148280052283 -475.727921902832</t>
  </si>
  <si>
    <t>-617.996701419963 51.9364499793818 -584.26843865724</t>
  </si>
  <si>
    <t>-607.487555746568 32.4833502216942 -691.534296735109</t>
  </si>
  <si>
    <t>-585.258736545618 0.156523197769026 -838.710567432723</t>
  </si>
  <si>
    <t>-589.740900602169 45.2301027137751 -779.539576470418</t>
  </si>
  <si>
    <t>-562.790844256965 189.788363317025 -778.318821533221</t>
  </si>
  <si>
    <t>-479.847088414306 262.310229897982 -481.591506539725</t>
  </si>
  <si>
    <t>-274.02142228466 259.50427610429 -322.626274796274</t>
  </si>
  <si>
    <t>-576.305840096869 169.469625504966 -236.301892891263</t>
  </si>
  <si>
    <t>-538.356532975579 225.154652054982 214.382782250773</t>
  </si>
  <si>
    <t>-632.000364528906 246.700187563965 674.342467354839</t>
  </si>
  <si>
    <t>-478.682758980034 235.835780342647 759.894780658687</t>
  </si>
  <si>
    <t>-622.844369950703 -6.65170955625186 219.97425508553</t>
  </si>
  <si>
    <t>-657.592936551889 5.8400212600942 688.336752669633</t>
  </si>
  <si>
    <t>-501.748323056917 -37.0019344703729 757.766921462928</t>
  </si>
  <si>
    <t>9763-20170724T164204.887893200.bin</t>
  </si>
  <si>
    <t>-594.091565654333 72.8221004832585 -236.140855230451</t>
  </si>
  <si>
    <t>-616.797693031533 76.2230722980132 -355.055417910505</t>
  </si>
  <si>
    <t>-621.543937893669 66.2192305667436 -475.753153962835</t>
  </si>
  <si>
    <t>-618.368047883574 51.8491949025791 -584.280945744451</t>
  </si>
  <si>
    <t>-607.842143153137 32.2671053482419 -691.521759166569</t>
  </si>
  <si>
    <t>-590.03524203854 44.8753231369426 -779.534925694586</t>
  </si>
  <si>
    <t>-562.708386194193 189.361047038953 -778.517146342077</t>
  </si>
  <si>
    <t>-478.212500969088 260.688273496661 -481.938305765712</t>
  </si>
  <si>
    <t>-273.465176170239 257.555883614263 -321.59247373595</t>
  </si>
  <si>
    <t>-576.818769510763 169.43849872729 -236.2938397538</t>
  </si>
  <si>
    <t>-538.923766073226 225.273805885514 214.376846096466</t>
  </si>
  <si>
    <t>-632.106902628759 246.731067495789 674.421203804022</t>
  </si>
  <si>
    <t>-478.708310251404 235.781564932866 759.817304340274</t>
  </si>
  <si>
    <t>-623.100869296574 -6.68147043836195 219.947961985869</t>
  </si>
  <si>
    <t>-657.608232050252 5.87683540423434 688.333509524225</t>
  </si>
  <si>
    <t>-501.821080969564 -37.1761656940679 757.761941964064</t>
  </si>
  <si>
    <t>9763-20170724T164204.923604800.bin</t>
  </si>
  <si>
    <t>-594.228026478203 72.8001951680247 -236.154612454781</t>
  </si>
  <si>
    <t>-616.889527430387 76.2066897736326 -355.077589279979</t>
  </si>
  <si>
    <t>-621.605444867816 66.1839789816716 -475.775069144182</t>
  </si>
  <si>
    <t>-618.408922107763 51.786148402254 -584.298382647139</t>
  </si>
  <si>
    <t>-607.869874476248 32.1652327834532 -691.530887890737</t>
  </si>
  <si>
    <t>-590.032647343018 44.7306311348406 -779.54394658692</t>
  </si>
  <si>
    <t>-562.534363272271 189.180571870697 -778.56195128638</t>
  </si>
  <si>
    <t>-477.734613862671 260.140988355213 -481.981719308102</t>
  </si>
  <si>
    <t>-273.652692619471 256.436082604036 -320.802038897312</t>
  </si>
  <si>
    <t>-576.958902546638 169.40358873584 -236.31478751154</t>
  </si>
  <si>
    <t>-539.085805435416 225.260702852551 214.355031813666</t>
  </si>
  <si>
    <t>-632.142147051354 246.765545536188 674.435277936273</t>
  </si>
  <si>
    <t>-478.721123567498 235.725313181424 759.779278968184</t>
  </si>
  <si>
    <t>-623.256092202484 -6.73310716512899 219.924040045011</t>
  </si>
  <si>
    <t>-657.627783479418 5.80301912551938 688.330756200634</t>
  </si>
  <si>
    <t>-501.824219817518 -37.1902070217971 757.759404802744</t>
  </si>
  <si>
    <t>9763-20170724T164204.990789700.bin</t>
  </si>
  <si>
    <t>-594.22499914102 73.0511086989016 -236.218390916125</t>
  </si>
  <si>
    <t>-616.799074654041 76.4523668883709 -355.158101241335</t>
  </si>
  <si>
    <t>-621.392289151961 66.3797142246467 -475.856083654752</t>
  </si>
  <si>
    <t>-618.072342949238 51.9183465345763 -584.367374877423</t>
  </si>
  <si>
    <t>-607.398722914235 32.2158477796076 -691.571434594466</t>
  </si>
  <si>
    <t>-589.411815947587 44.697855688523 -779.566061665202</t>
  </si>
  <si>
    <t>-561.758859944438 189.125976075011 -778.719549961364</t>
  </si>
  <si>
    <t>-477.983558949496 260.168142292212 -481.867874553641</t>
  </si>
  <si>
    <t>-274.640049723755 254.504408485822 -319.81416411053</t>
  </si>
  <si>
    <t>-576.885626438992 169.688444839548 -236.401886962178</t>
  </si>
  <si>
    <t>-539.217056759224 225.250086728627 214.321634520474</t>
  </si>
  <si>
    <t>-632.147724935751 246.775709436377 674.406955052503</t>
  </si>
  <si>
    <t>-478.719285284441 235.672459763246 759.729574550082</t>
  </si>
  <si>
    <t>-623.389276655342 -6.55432105935145 219.886025483299</t>
  </si>
  <si>
    <t>-657.601731647872 5.95490410889047 688.317844991397</t>
  </si>
  <si>
    <t>-501.547871597422 -36.1498309642753 757.728794975982</t>
  </si>
  <si>
    <t>9763-20170724T164205.021873200.bin</t>
  </si>
  <si>
    <t>-594.043865948366 73.1346620772122 -236.248935761438</t>
  </si>
  <si>
    <t>-616.551871481141 76.5244516814971 -355.201487794608</t>
  </si>
  <si>
    <t>-621.076579524452 66.4078051024849 -475.898346381634</t>
  </si>
  <si>
    <t>-617.69440140234 51.8941467490299 -584.400761118641</t>
  </si>
  <si>
    <t>-606.958506467491 32.1272671191827 -691.586853659685</t>
  </si>
  <si>
    <t>-588.903858858454 44.5463531374439 -779.576446998567</t>
  </si>
  <si>
    <t>-561.216856917338 188.966614414417 -778.778828100284</t>
  </si>
  <si>
    <t>-478.857199231697 260.433809759003 -481.633192607861</t>
  </si>
  <si>
    <t>-275.526479479851 253.486143588621 -319.613425110903</t>
  </si>
  <si>
    <t>-576.668697892326 169.68667787619 -236.437464423743</t>
  </si>
  <si>
    <t>-539.05383804603 225.28069355859 214.286532592098</t>
  </si>
  <si>
    <t>-632.117213023569 246.783333833743 674.351278692326</t>
  </si>
  <si>
    <t>-478.710936812919 235.661444183618 759.711255119845</t>
  </si>
  <si>
    <t>-623.353157557421 -6.47414648700958 219.868877502199</t>
  </si>
  <si>
    <t>-657.580595474204 6.06872246267187 688.307386466906</t>
  </si>
  <si>
    <t>-501.536913067261 -36.04903347751 757.73344832831</t>
  </si>
  <si>
    <t>9763-20170724T164205.061980900.bin</t>
  </si>
  <si>
    <t>-593.835192740116 73.2227380580551 -236.29277144575</t>
  </si>
  <si>
    <t>-616.292708123743 76.5979719954798 -355.255223984475</t>
  </si>
  <si>
    <t>-620.761975818128 66.4142770526453 -475.948473199138</t>
  </si>
  <si>
    <t>-617.327613123862 51.8201399657843 -584.438406433955</t>
  </si>
  <si>
    <t>-606.537708694369 31.954308840316 -691.60087833726</t>
  </si>
  <si>
    <t>-588.425399444308 44.2785142727416 -779.591880808602</t>
  </si>
  <si>
    <t>-560.828017116192 188.725427227921 -778.985560323261</t>
  </si>
  <si>
    <t>-480.547452985497 260.338175128444 -481.30641882301</t>
  </si>
  <si>
    <t>-277.164407466713 251.903651857573 -319.422869335146</t>
  </si>
  <si>
    <t>-576.392099228918 169.748807673256 -236.490371057758</t>
  </si>
  <si>
    <t>-538.977207298981 225.262183611063 214.260114923056</t>
  </si>
  <si>
    <t>-632.082070130496 246.754548803137 674.303492219099</t>
  </si>
  <si>
    <t>-478.700095784972 235.675168726954 759.712696613087</t>
  </si>
  <si>
    <t>-623.304300571941 -6.41377911272629 219.85384504484</t>
  </si>
  <si>
    <t>-657.588756393171 5.98112537965388 688.303158830843</t>
  </si>
  <si>
    <t>-501.514667113521 -35.9905467758422 757.749446293739</t>
  </si>
  <si>
    <t>9763-20170724T164205.131802600.bin</t>
  </si>
  <si>
    <t>-593.55649563141 73.3373579671672 -236.332371065004</t>
  </si>
  <si>
    <t>-615.979830877724 76.7066239515198 -355.301431494271</t>
  </si>
  <si>
    <t>-620.433635660603 66.4700959742543 -475.990998902647</t>
  </si>
  <si>
    <t>-616.992778872151 51.8099385255015 -584.47172776036</t>
  </si>
  <si>
    <t>-606.203977820829 31.8604528788305 -691.618801171163</t>
  </si>
  <si>
    <t>-588.082752721117 44.1023693720659 -779.619346996471</t>
  </si>
  <si>
    <t>-560.53197402196 188.547967674071 -779.234835310945</t>
  </si>
  <si>
    <t>-483.263073373059 260.494884901643 -480.840257789535</t>
  </si>
  <si>
    <t>-279.380908931093 250.194315885597 -319.694181602529</t>
  </si>
  <si>
    <t>-576.077937373539 169.873038975267 -236.550932433312</t>
  </si>
  <si>
    <t>-538.979197630501 225.32006895831 214.233907495303</t>
  </si>
  <si>
    <t>-632.049360731152 246.709856562021 674.276797178847</t>
  </si>
  <si>
    <t>-478.684154437201 235.755456570445 759.732323005484</t>
  </si>
  <si>
    <t>-623.178514618027 -6.33865777012223 219.839246484777</t>
  </si>
  <si>
    <t>-657.592835321711 5.89088527784348 688.301235614435</t>
  </si>
  <si>
    <t>-501.614108882978 -36.3674025147432 757.787794231599</t>
  </si>
  <si>
    <t>9763-20170724T164205.188949200.bin</t>
  </si>
  <si>
    <t>-592.903038088755 73.6956140304532 -236.355825264863</t>
  </si>
  <si>
    <t>-615.313321843322 77.0243929277183 -355.328568616469</t>
  </si>
  <si>
    <t>-619.771651127075 66.6887305065761 -476.009448779152</t>
  </si>
  <si>
    <t>-616.338554116556 51.9212781101587 -584.475924336839</t>
  </si>
  <si>
    <t>-605.55878006712 31.8504467987686 -691.601026289134</t>
  </si>
  <si>
    <t>-587.487068787924 43.9905578054587 -779.626069254671</t>
  </si>
  <si>
    <t>-559.951297551393 188.438302898945 -779.240963397962</t>
  </si>
  <si>
    <t>-488.013765595651 263.005245463823 -480.157379024272</t>
  </si>
  <si>
    <t>-281.835760772745 246.263908935885 -322.511023093298</t>
  </si>
  <si>
    <t>-575.333324938541 170.18642064557 -236.656688258945</t>
  </si>
  <si>
    <t>-538.77690060675 225.467580310757 214.192875640386</t>
  </si>
  <si>
    <t>-631.963544361257 246.685831660338 674.226245666422</t>
  </si>
  <si>
    <t>-478.660512488588 235.846448204208 759.807820894162</t>
  </si>
  <si>
    <t>-622.852030110677 -6.10254170975264 219.844616616825</t>
  </si>
  <si>
    <t>-657.597723701392 5.82922573043386 688.292060457936</t>
  </si>
  <si>
    <t>-501.88412428942 -37.2547282961497 757.866203563653</t>
  </si>
  <si>
    <t>9763-20170724T164205.224060600.bin</t>
  </si>
  <si>
    <t>-593.041036229374 73.8502046478498 -236.318489361614</t>
  </si>
  <si>
    <t>-615.522398898501 77.1691553741184 -355.278001532777</t>
  </si>
  <si>
    <t>-620.065374237113 66.8297457772613 -475.955465932212</t>
  </si>
  <si>
    <t>-616.714934874788 52.0591845854497 -584.423986761772</t>
  </si>
  <si>
    <t>-606.024684487034 31.9838985133242 -691.557336813853</t>
  </si>
  <si>
    <t>-588.047111657662 44.1208183717798 -779.60198250355</t>
  </si>
  <si>
    <t>-560.640369115325 188.597243983762 -779.27244826245</t>
  </si>
  <si>
    <t>-487.945459898082 262.375060312672 -480.17627086735</t>
  </si>
  <si>
    <t>-281.483579408366 244.338257198567 -323.045073070865</t>
  </si>
  <si>
    <t>-575.602083190754 170.369290007679 -236.586944319248</t>
  </si>
  <si>
    <t>-538.719065132183 225.730163305281 214.22616936117</t>
  </si>
  <si>
    <t>-631.97318895296 246.631355255831 674.250691711392</t>
  </si>
  <si>
    <t>-478.658660060028 235.922376416096 759.828070834588</t>
  </si>
  <si>
    <t>-622.743438787811 -6.02316902281258 219.868513435521</t>
  </si>
  <si>
    <t>-657.597347649347 5.81382502857441 688.299906878838</t>
  </si>
  <si>
    <t>-501.90608029859 -37.3419004790205 757.879514770121</t>
  </si>
  <si>
    <t>9763-20170724T164205.288220000.bin</t>
  </si>
  <si>
    <t>-593.408137237484 74.1813125695613 -236.267927082769</t>
  </si>
  <si>
    <t>-616.010843511752 77.467607612315 -355.205418829261</t>
  </si>
  <si>
    <t>-620.657534158597 67.1636394754647 -475.881957080383</t>
  </si>
  <si>
    <t>-617.396515945543 52.4472540143456 -584.360649616041</t>
  </si>
  <si>
    <t>-606.792924731261 32.4443639491764 -691.51607552942</t>
  </si>
  <si>
    <t>-588.915173694319 44.6549154361651 -779.570882281194</t>
  </si>
  <si>
    <t>-561.519407112262 189.140466455919 -779.241920371127</t>
  </si>
  <si>
    <t>-485.919724796539 261.971160966308 -480.634161583754</t>
  </si>
  <si>
    <t>-279.583066635081 244.918622499194 -323.228892774061</t>
  </si>
  <si>
    <t>-576.19325298433 170.596015046033 -236.509570939366</t>
  </si>
  <si>
    <t>-538.763779119147 226.026500226846 214.250004290585</t>
  </si>
  <si>
    <t>-632.006341711969 246.562120310552 674.292287028737</t>
  </si>
  <si>
    <t>-478.652000610633 236.130683655676 759.832580844636</t>
  </si>
  <si>
    <t>-622.53384962775 -5.81296761971666 219.909573738465</t>
  </si>
  <si>
    <t>-657.576755108358 5.84171181086496 688.314558096298</t>
  </si>
  <si>
    <t>-501.716006929636 -36.7314559508322 757.873638662467</t>
  </si>
  <si>
    <t>9763-20170724T164205.323860800.bin</t>
  </si>
  <si>
    <t>-593.709434307309 74.3141215292295 -236.269254947802</t>
  </si>
  <si>
    <t>-616.391617817882 77.5916631298464 -355.191843208849</t>
  </si>
  <si>
    <t>-621.143324253046 67.3057998628317 -475.865642652503</t>
  </si>
  <si>
    <t>-617.987587670356 52.6150424262512 -584.351056516393</t>
  </si>
  <si>
    <t>-607.499547886993 32.645659527395 -691.524155738417</t>
  </si>
  <si>
    <t>-589.752206074125 44.8920821913077 -779.600450681996</t>
  </si>
  <si>
    <t>-562.509654131548 189.4034261268 -779.327000046025</t>
  </si>
  <si>
    <t>-484.739771923497 260.859185053563 -480.944535586872</t>
  </si>
  <si>
    <t>-278.93013225505 245.271744546571 -322.699516888211</t>
  </si>
  <si>
    <t>-576.688172521648 170.768922959918 -236.486662704439</t>
  </si>
  <si>
    <t>-538.999727105356 226.161343264802 214.255995621826</t>
  </si>
  <si>
    <t>-632.032528805058 246.559356754399 674.330282790011</t>
  </si>
  <si>
    <t>-478.651413204307 236.185623854593 759.8295696621</t>
  </si>
  <si>
    <t>-622.541177375765 -5.71199242873345 219.91457344935</t>
  </si>
  <si>
    <t>-657.563777044168 5.91723511976956 688.317079439446</t>
  </si>
  <si>
    <t>-501.731481917614 -36.7605316453974 757.875757830425</t>
  </si>
  <si>
    <t>9763-20170724T164205.388025800.bin</t>
  </si>
  <si>
    <t>-594.411054699245 74.4661957934813 -236.235316586083</t>
  </si>
  <si>
    <t>-617.166888317584 77.7220600576103 -355.144477830292</t>
  </si>
  <si>
    <t>-622.027683711096 67.5167102180171 -475.820829467474</t>
  </si>
  <si>
    <t>-618.987295145838 52.9349476397921 -584.324300394968</t>
  </si>
  <si>
    <t>-608.632240401715 33.1066434854866 -691.5363944348</t>
  </si>
  <si>
    <t>-586.664584658213 0.177648005662192 -838.618462825957</t>
  </si>
  <si>
    <t>-591.034724720282 45.4920292847264 -779.623186775761</t>
  </si>
  <si>
    <t>-563.836904790896 189.998388632886 -779.346096509068</t>
  </si>
  <si>
    <t>-482.458582381997 260.472672723091 -481.693526722459</t>
  </si>
  <si>
    <t>-277.459499895282 246.191555357546 -322.277425714644</t>
  </si>
  <si>
    <t>-577.66901273415 170.85706090129 -236.41422157561</t>
  </si>
  <si>
    <t>-539.339415474168 226.518812572404 214.241116839983</t>
  </si>
  <si>
    <t>-632.11686215845 246.558469999159 674.422962769994</t>
  </si>
  <si>
    <t>-478.654079751305 236.334147894896 759.793680031152</t>
  </si>
  <si>
    <t>-622.645324093377 -5.61345513720745 219.916173624594</t>
  </si>
  <si>
    <t>-657.558281906691 5.96591569587559 688.321151359686</t>
  </si>
  <si>
    <t>-501.546658633358 -36.0949828281163 757.853659219563</t>
  </si>
  <si>
    <t>9763-20170724T164205.423772700.bin</t>
  </si>
  <si>
    <t>-594.843109301608 74.4577981726896 -236.208712765809</t>
  </si>
  <si>
    <t>-617.644050411898 77.7070574873745 -355.109233365587</t>
  </si>
  <si>
    <t>-622.564005673653 67.5305678425865 -475.78568852528</t>
  </si>
  <si>
    <t>-619.583207021339 52.9874185769835 -584.295839463842</t>
  </si>
  <si>
    <t>-609.294119390542 33.2087025118563 -691.523700003825</t>
  </si>
  <si>
    <t>-587.425015085533 0.358788706708197 -838.637977321473</t>
  </si>
  <si>
    <t>-591.778491357953 45.6445856705213 -779.619737862472</t>
  </si>
  <si>
    <t>-564.662176809137 190.185456206455 -779.412973336095</t>
  </si>
  <si>
    <t>-481.423958272478 260.642824431162 -482.270941206338</t>
  </si>
  <si>
    <t>-276.989011579192 246.162862939176 -322.149846797815</t>
  </si>
  <si>
    <t>-578.268109251897 170.847828285685 -236.374551824369</t>
  </si>
  <si>
    <t>-539.518343064939 226.663578185665 214.225813244539</t>
  </si>
  <si>
    <t>-632.151780715818 246.569353863161 674.452515239315</t>
  </si>
  <si>
    <t>-478.65278042785 236.387004205046 759.762986448839</t>
  </si>
  <si>
    <t>-622.704674497961 -5.59840911668249 219.92050706319</t>
  </si>
  <si>
    <t>-657.53377884582 6.10799096840206 688.321171858645</t>
  </si>
  <si>
    <t>-501.42084703882 -35.5821419801196 757.84965458633</t>
  </si>
  <si>
    <t>9763-20170724T164205.494466100.bin</t>
  </si>
  <si>
    <t>-595.717801847588 74.4487178927989 -236.191978004004</t>
  </si>
  <si>
    <t>-618.70902284942 77.7613819823687 -355.054286509134</t>
  </si>
  <si>
    <t>-623.793028137911 67.6820556347728 -475.732024208779</t>
  </si>
  <si>
    <t>-620.950176761214 53.2369472887996 -584.258930764725</t>
  </si>
  <si>
    <t>-610.788887829543 33.5641392623644 -691.518388787834</t>
  </si>
  <si>
    <t>-589.087056830222 0.867577977668311 -838.691655414405</t>
  </si>
  <si>
    <t>-593.391114223632 46.094275619742 -779.624461021645</t>
  </si>
  <si>
    <t>-566.255643613802 190.608635182178 -779.398291859898</t>
  </si>
  <si>
    <t>-481.434697526203 260.513874224414 -482.573603975476</t>
  </si>
  <si>
    <t>-276.668154100179 244.409886594353 -323.032423764775</t>
  </si>
  <si>
    <t>-579.335053261197 170.897243447359 -236.328946359052</t>
  </si>
  <si>
    <t>-539.916967637211 226.769644570308 214.206424299145</t>
  </si>
  <si>
    <t>-632.203263878442 246.573529253603 674.499404014285</t>
  </si>
  <si>
    <t>-478.647267303675 236.483489652568 759.718224793576</t>
  </si>
  <si>
    <t>-622.895101788478 -5.61456554644603 219.904829783211</t>
  </si>
  <si>
    <t>-657.56022411935 6.06941857058726 688.318860490998</t>
  </si>
  <si>
    <t>-501.431950687545 -35.6010936827776 757.824453914225</t>
  </si>
  <si>
    <t>9763-20170724T164205.519594600.bin</t>
  </si>
  <si>
    <t>-596.17732949754 74.3932731582793 -236.210977426088</t>
  </si>
  <si>
    <t>-619.215791229637 77.7015748236123 -355.064197857084</t>
  </si>
  <si>
    <t>-624.395077467406 67.6602304494463 -475.741121783043</t>
  </si>
  <si>
    <t>-621.657076459651 53.2656636651807 -584.27745001067</t>
  </si>
  <si>
    <t>-611.618755352267 33.6587239526272 -691.560488173254</t>
  </si>
  <si>
    <t>-590.105797129392 1.06863554955485 -838.785224600993</t>
  </si>
  <si>
    <t>-594.350763883087 46.2548938360772 -779.682697782392</t>
  </si>
  <si>
    <t>-567.270586786624 190.793703320665 -779.467900245315</t>
  </si>
  <si>
    <t>-481.497982619145 260.32775033102 -482.829538434359</t>
  </si>
  <si>
    <t>-276.60008249182 243.115431013804 -323.573054764397</t>
  </si>
  <si>
    <t>-579.83372955285 170.881873611342 -236.345295795808</t>
  </si>
  <si>
    <t>-540.178108881255 226.745308957043 214.170325372835</t>
  </si>
  <si>
    <t>-632.214830528408 246.58158059067 674.509279215003</t>
  </si>
  <si>
    <t>-478.645770409688 236.506995964876 759.706499252793</t>
  </si>
  <si>
    <t>-623.030487339129 -5.72537750865862 219.88813487546</t>
  </si>
  <si>
    <t>-657.589066794042 5.89809917773475 688.322729526076</t>
  </si>
  <si>
    <t>-501.872620995425 -37.2040822283605 757.879125785608</t>
  </si>
  <si>
    <t>9763-20170724T164205.591788000.bin</t>
  </si>
  <si>
    <t>-597.304742527224 74.4520138089395 -236.211687146291</t>
  </si>
  <si>
    <t>-620.534005266339 77.7510330273692 -355.02801843769</t>
  </si>
  <si>
    <t>-625.902572566458 67.8359543521597 -475.707031171783</t>
  </si>
  <si>
    <t>-623.335363929016 53.6063732515683 -584.269398640599</t>
  </si>
  <si>
    <t>-613.467241690364 34.2117739905352 -691.606654853265</t>
  </si>
  <si>
    <t>-592.189988566619 1.96291427633517 -838.94071526182</t>
  </si>
  <si>
    <t>-596.389379094447 47.0188045400559 -779.73555460003</t>
  </si>
  <si>
    <t>-569.357756206251 191.553135276725 -779.393226709912</t>
  </si>
  <si>
    <t>-481.438813404647 259.728154040319 -483.067928585616</t>
  </si>
  <si>
    <t>-276.332587168892 240.944196411679 -324.257963338177</t>
  </si>
  <si>
    <t>-581.232827676046 170.979694298063 -236.31046415926</t>
  </si>
  <si>
    <t>-540.929540962949 226.933250443332 214.13658505027</t>
  </si>
  <si>
    <t>-632.291359579037 246.642726889492 674.604143017273</t>
  </si>
  <si>
    <t>-478.65400638447 236.569778495459 759.678342068754</t>
  </si>
  <si>
    <t>-623.341148027713 -5.70042944593183 219.885307708614</t>
  </si>
  <si>
    <t>-657.565829203588 6.02732001046324 688.323085139974</t>
  </si>
  <si>
    <t>-501.664600187101 -36.4644867207634 757.841205751212</t>
  </si>
  <si>
    <t>9763-20170724T164205.623574000.bin</t>
  </si>
  <si>
    <t>-597.968812431973 74.3925842247157 -236.220998452898</t>
  </si>
  <si>
    <t>-621.304996778642 77.6749691382385 -355.016815282955</t>
  </si>
  <si>
    <t>-626.800414586735 67.8317508049814 -475.6960821632</t>
  </si>
  <si>
    <t>-624.355896213917 53.7004807405523 -584.274034425092</t>
  </si>
  <si>
    <t>-614.618446480047 34.4353933756366 -691.646784997673</t>
  </si>
  <si>
    <t>-593.530365442556 2.39694529909068 -839.053902383894</t>
  </si>
  <si>
    <t>-597.686089058724 47.3726199289919 -779.784652927834</t>
  </si>
  <si>
    <t>-570.663806527877 191.927073919282 -779.367470683907</t>
  </si>
  <si>
    <t>-481.282304625971 258.476688334031 -483.110290351269</t>
  </si>
  <si>
    <t>-276.452968364711 239.17927205761 -324.004673789852</t>
  </si>
  <si>
    <t>-582.033673027412 170.812821493122 -236.285798864661</t>
  </si>
  <si>
    <t>-541.400006591094 227.184936328723 214.079313896743</t>
  </si>
  <si>
    <t>-632.353327376515 246.700561564267 674.663848862889</t>
  </si>
  <si>
    <t>-478.661857844372 236.600035746854 759.636891720384</t>
  </si>
  <si>
    <t>-623.573902428014 -5.76965517628778 219.877475499554</t>
  </si>
  <si>
    <t>-657.554778950991 6.0751862342142 688.328876638824</t>
  </si>
  <si>
    <t>-501.70338262735 -36.6129543805442 757.838486006804</t>
  </si>
  <si>
    <t>9763-20170724T164205.688747100.bin</t>
  </si>
  <si>
    <t>-599.589054242881 74.2531777828832 -236.170571190565</t>
  </si>
  <si>
    <t>-623.122845883395 77.4903490903592 -354.92862825595</t>
  </si>
  <si>
    <t>-628.820304350013 67.757494613105 -475.607439357124</t>
  </si>
  <si>
    <t>-626.563329748486 53.7810642809276 -584.20949820925</t>
  </si>
  <si>
    <t>-617.019680398478 34.7198629852395 -691.636046652151</t>
  </si>
  <si>
    <t>-596.208805508786 3.01024974019059 -839.153545474946</t>
  </si>
  <si>
    <t>-600.302271068873 47.860266597404 -779.784803690964</t>
  </si>
  <si>
    <t>-573.411087299522 192.421243436725 -779.244561863198</t>
  </si>
  <si>
    <t>-481.011884700472 256.150430675728 -483.293384078129</t>
  </si>
  <si>
    <t>-276.592592980373 235.123908598582 -323.879657250811</t>
  </si>
  <si>
    <t>-584.192274913854 170.570171931704 -236.156370067673</t>
  </si>
  <si>
    <t>-542.684549917736 227.747677272576 214.027561360002</t>
  </si>
  <si>
    <t>-632.5951135859 246.908402307137 674.894388941007</t>
  </si>
  <si>
    <t>-478.700964487188 236.60401909263 759.475320203414</t>
  </si>
  <si>
    <t>-624.051039950712 -5.91282142774536 219.885424755286</t>
  </si>
  <si>
    <t>-657.555911691593 6.05447488924983 688.351070803309</t>
  </si>
  <si>
    <t>-501.686023952015 -36.6009429057917 757.839342579229</t>
  </si>
  <si>
    <t>9763-20170724T164205.721364500.bin</t>
  </si>
  <si>
    <t>-600.451908545477 74.2173792510841 -236.205158283925</t>
  </si>
  <si>
    <t>-624.075442925178 77.407373635532 -354.94683188808</t>
  </si>
  <si>
    <t>-629.837069099146 67.7169076120673 -475.626023961259</t>
  </si>
  <si>
    <t>-627.629864248542 53.8108375626222 -584.238080239691</t>
  </si>
  <si>
    <t>-618.129038872819 34.8488959063147 -691.685959707108</t>
  </si>
  <si>
    <t>-597.371339104334 3.30440272486555 -839.246317730321</t>
  </si>
  <si>
    <t>-601.467634998828 48.0911519985856 -779.830114611553</t>
  </si>
  <si>
    <t>-574.607462603755 192.673113317776 -779.271096454275</t>
  </si>
  <si>
    <t>-480.935623692267 255.455079919701 -483.517449221909</t>
  </si>
  <si>
    <t>-276.678915224348 233.285131346662 -324.050456602985</t>
  </si>
  <si>
    <t>-585.244206899386 170.457230409989 -236.229873377277</t>
  </si>
  <si>
    <t>-543.554525561901 228.029556202496 213.886867701047</t>
  </si>
  <si>
    <t>-632.576883039029 246.950501467273 674.754163116585</t>
  </si>
  <si>
    <t>-478.727389946608 236.562192621645 759.406038762469</t>
  </si>
  <si>
    <t>-624.326918573966 -5.92021163873018 219.863233585839</t>
  </si>
  <si>
    <t>-657.547735975116 6.11306179815676 688.347644351594</t>
  </si>
  <si>
    <t>-501.424275540365 -35.6679282366945 757.797872182516</t>
  </si>
  <si>
    <t>9763-20170724T164205.788532100.bin</t>
  </si>
  <si>
    <t>-601.826027987367 74.170352260336 -236.600062534541</t>
  </si>
  <si>
    <t>-625.57615545456 77.2799295308093 -355.318549593956</t>
  </si>
  <si>
    <t>-631.514479084064 67.6339807191759 -475.992776364614</t>
  </si>
  <si>
    <t>-629.490867921012 53.8112009223396 -584.619022259548</t>
  </si>
  <si>
    <t>-620.198994284281 34.9697026956812 -692.106403761215</t>
  </si>
  <si>
    <t>-599.759298372807 3.62606418566884 -839.753777471412</t>
  </si>
  <si>
    <t>-603.764812793211 48.3368910023768 -780.274381395759</t>
  </si>
  <si>
    <t>-577.026616642372 192.935842954834 -779.64810384355</t>
  </si>
  <si>
    <t>-480.567657088973 253.43902886335 -484.315710129891</t>
  </si>
  <si>
    <t>-276.810534224718 229.606230669094 -324.449903671904</t>
  </si>
  <si>
    <t>-586.951449153701 170.311726842076 -236.875744394449</t>
  </si>
  <si>
    <t>-545.053902935532 228.361853646982 213.16030661715</t>
  </si>
  <si>
    <t>-631.975024562082 247.018507037732 674.098383212378</t>
  </si>
  <si>
    <t>-478.587557342077 236.538058769444 759.573293717827</t>
  </si>
  <si>
    <t>-624.838673794663 -6.02607846576049 219.613190938506</t>
  </si>
  <si>
    <t>-657.567998139914 6.01705630537325 688.25450895035</t>
  </si>
  <si>
    <t>-501.440710828485 -35.7566102030313 757.700327390294</t>
  </si>
  <si>
    <t>9763-20170724T164205.825944000.bin</t>
  </si>
  <si>
    <t>-602.251104268193 74.2384745839357 -236.907109149546</t>
  </si>
  <si>
    <t>-626.006255615691 77.308943325959 -355.625565567107</t>
  </si>
  <si>
    <t>-632.018211587926 67.6925982187345 -476.298430857586</t>
  </si>
  <si>
    <t>-630.089566665325 53.9226098296594 -584.933276912263</t>
  </si>
  <si>
    <t>-620.920503073146 35.1581394370996 -692.444516495128</t>
  </si>
  <si>
    <t>-600.680083437371 3.94500550717066 -840.147126402829</t>
  </si>
  <si>
    <t>-604.608765782588 48.6037090139869 -780.623446831881</t>
  </si>
  <si>
    <t>-577.863956817029 193.201574395466 -779.955832228174</t>
  </si>
  <si>
    <t>-480.309906327145 252.392336982082 -484.717146267163</t>
  </si>
  <si>
    <t>-276.7305580375 227.812216517715 -324.738058437136</t>
  </si>
  <si>
    <t>-587.267917422441 170.41853154304 -237.384303121211</t>
  </si>
  <si>
    <t>-545.852880971725 228.322083001505 212.715255063616</t>
  </si>
  <si>
    <t>-631.485776679255 247.13728338472 673.790032914712</t>
  </si>
  <si>
    <t>-478.450882407075 236.506113732669 759.876174877158</t>
  </si>
  <si>
    <t>-625.001015535853 -5.95902132108815 219.406586230453</t>
  </si>
  <si>
    <t>-657.536079812608 6.23223992326322 688.15292323364</t>
  </si>
  <si>
    <t>-501.147307923462 -34.6059421198541 757.567053876924</t>
  </si>
  <si>
    <t>9763-20170724T164205.893632400.bin</t>
  </si>
  <si>
    <t>-602.964013526186 74.0526125386938 -237.498035865138</t>
  </si>
  <si>
    <t>-626.860823915829 77.0546048883593 -356.189771904229</t>
  </si>
  <si>
    <t>-633.122887940774 67.4954683621649 -476.854439119027</t>
  </si>
  <si>
    <t>-631.461976478621 53.8271678958173 -585.506482017873</t>
  </si>
  <si>
    <t>-622.600144290721 35.2131770932734 -693.069673212548</t>
  </si>
  <si>
    <t>-602.825053168824 4.25822306498485 -840.889638897265</t>
  </si>
  <si>
    <t>-606.543586144183 48.8098282126635 -781.272209944823</t>
  </si>
  <si>
    <t>-579.738995169831 193.399060113058 -780.540495684523</t>
  </si>
  <si>
    <t>-480.019395944209 250.480520627671 -485.610180022354</t>
  </si>
  <si>
    <t>-276.966169976317 224.681289620556 -325.154946396905</t>
  </si>
  <si>
    <t>-588.035682813633 169.987000657694 -238.066526810261</t>
  </si>
  <si>
    <t>-548.032256064557 227.862322149355 212.164357233154</t>
  </si>
  <si>
    <t>-630.929959256521 247.250889492847 673.906902968526</t>
  </si>
  <si>
    <t>-478.329900660265 236.172946397044 760.705645552111</t>
  </si>
  <si>
    <t>-625.356236638068 -6.0778799582152 219.055234479723</t>
  </si>
  <si>
    <t>-657.550621857614 6.08983006248206 687.979172502958</t>
  </si>
  <si>
    <t>-501.247514734957 -35.020969725168 757.425217293189</t>
  </si>
  <si>
    <t>9763-20170724T164205.969331200.bin</t>
  </si>
  <si>
    <t>-603.328686018886 73.8572766616473 -237.700389720256</t>
  </si>
  <si>
    <t>-627.274855998071 76.7900552103849 -356.383885195605</t>
  </si>
  <si>
    <t>-633.679784653672 67.257110509478 -477.043222317093</t>
  </si>
  <si>
    <t>-632.185079896721 53.6501689272817 -585.705372824207</t>
  </si>
  <si>
    <t>-623.52511510255 35.1341786548218 -693.302023202554</t>
  </si>
  <si>
    <t>-604.065974416717 4.35224136174207 -841.19996624047</t>
  </si>
  <si>
    <t>-607.612922304784 48.8281436632538 -781.515575388258</t>
  </si>
  <si>
    <t>-580.57649648761 193.369922246326 -780.71028618805</t>
  </si>
  <si>
    <t>-479.871761082387 249.616236845807 -485.95418537078</t>
  </si>
  <si>
    <t>-277.053387535698 223.332610518875 -325.280986783827</t>
  </si>
  <si>
    <t>-588.242335170679 169.735892306294 -238.326311736721</t>
  </si>
  <si>
    <t>-549.48766032161 227.442890917017 212.035399113954</t>
  </si>
  <si>
    <t>-630.723271014031 247.466255252342 674.030922479273</t>
  </si>
  <si>
    <t>-478.286859316037 235.96564865455 761.061895273075</t>
  </si>
  <si>
    <t>-625.477823202495 -6.18848650710805 218.967004042678</t>
  </si>
  <si>
    <t>-657.564741985075 5.96004363571657 687.925691667431</t>
  </si>
  <si>
    <t>-501.401649439075 -35.6366482310592 757.39741365431</t>
  </si>
  <si>
    <t>9763-20170724T164206.022478300.bin</t>
  </si>
  <si>
    <t>-604.463808433188 73.6152563246442 -238.012808275131</t>
  </si>
  <si>
    <t>-628.52750893668 76.4267888423623 -356.675552769776</t>
  </si>
  <si>
    <t>-635.209386224878 66.959101216044 -477.324850790252</t>
  </si>
  <si>
    <t>-634.03294399388 53.4772994114751 -586.006670477035</t>
  </si>
  <si>
    <t>-625.759651170973 35.1463520953289 -693.665314138492</t>
  </si>
  <si>
    <t>-606.908990197135 4.67757902973428 -841.706887568403</t>
  </si>
  <si>
    <t>-610.006713247423 48.999001589203 -781.882673554698</t>
  </si>
  <si>
    <t>-581.9287656309 193.34068380166 -780.919878660788</t>
  </si>
  <si>
    <t>-478.772621395971 247.375217290575 -486.598272968448</t>
  </si>
  <si>
    <t>-277.366399680135 219.066970483517 -324.498806552385</t>
  </si>
  <si>
    <t>-589.128428838652 169.493860607765 -238.64431607628</t>
  </si>
  <si>
    <t>-552.995565859213 226.743125980048 211.993739993502</t>
  </si>
  <si>
    <t>-630.447480793576 248.310590646896 674.790391516602</t>
  </si>
  <si>
    <t>-478.144386304834 235.726408648466 761.904808836797</t>
  </si>
  <si>
    <t>-625.820765858474 -6.28429731449228 218.749487513125</t>
  </si>
  <si>
    <t>-657.561871138306 5.89009970513399 687.633621150423</t>
  </si>
  <si>
    <t>-501.444251211311 -35.8312891212685 757.132745795601</t>
  </si>
  <si>
    <t>9763-20170724T164206.088653200.bin</t>
  </si>
  <si>
    <t>-605.287091480387 73.2950907182034 -238.21624966299</t>
  </si>
  <si>
    <t>-629.358778456997 76.0865754045225 -356.877798044622</t>
  </si>
  <si>
    <t>-636.127365327426 66.7071765545381 -477.529276070166</t>
  </si>
  <si>
    <t>-635.065141383054 53.3412771443283 -586.226550757683</t>
  </si>
  <si>
    <t>-626.943473107813 35.1576245648059 -693.921612592704</t>
  </si>
  <si>
    <t>-608.343338241537 4.92116625229997 -842.042453436255</t>
  </si>
  <si>
    <t>-611.228195464406 49.1327130795574 -782.126472057555</t>
  </si>
  <si>
    <t>-582.531919895887 193.350297307311 -781.02390678721</t>
  </si>
  <si>
    <t>-478.101372522261 246.060981716631 -486.911592031892</t>
  </si>
  <si>
    <t>-277.423092412502 216.854296006506 -324.070401130081</t>
  </si>
  <si>
    <t>-589.83197576896 169.063108088782 -238.784241293768</t>
  </si>
  <si>
    <t>-554.145409880338 226.529267274717 211.861671022831</t>
  </si>
  <si>
    <t>-630.357958732569 248.523888407927 674.860954808406</t>
  </si>
  <si>
    <t>-478.052912642788 235.827685003662 761.95561742726</t>
  </si>
  <si>
    <t>-626.31820563441 -6.52088112823211 218.470307546784</t>
  </si>
  <si>
    <t>-657.582583240285 5.82249018652116 687.299607740576</t>
  </si>
  <si>
    <t>-501.221994431173 -34.9760991587168 756.800344885502</t>
  </si>
  <si>
    <t>9763-20170724T164206.123772800.bin</t>
  </si>
  <si>
    <t>-605.688069570517 73.1519248079067 -238.305652013093</t>
  </si>
  <si>
    <t>-629.819991734921 75.9836404907473 -356.953981820617</t>
  </si>
  <si>
    <t>-636.637802266942 66.6611210446576 -477.607205480859</t>
  </si>
  <si>
    <t>-635.616807205797 53.350395511443 -586.311472952286</t>
  </si>
  <si>
    <t>-627.533769925308 35.2240196031052 -694.019167833876</t>
  </si>
  <si>
    <t>-608.985299592935 5.06777501530225 -842.163009461264</t>
  </si>
  <si>
    <t>-611.795656816232 49.2390482654615 -782.213582137714</t>
  </si>
  <si>
    <t>-582.896359110422 193.413111261367 -781.029444623783</t>
  </si>
  <si>
    <t>-477.983206736548 245.403591801819 -486.960763278715</t>
  </si>
  <si>
    <t>-277.887640815378 215.664195490034 -323.500103238534</t>
  </si>
  <si>
    <t>-590.190392573069 168.995456825912 -238.815150653401</t>
  </si>
  <si>
    <t>-554.345041184493 226.405662531559 211.825357440592</t>
  </si>
  <si>
    <t>-630.355214438226 248.529071948999 674.901540881372</t>
  </si>
  <si>
    <t>-478.032010303155 235.904945842078 761.975047957607</t>
  </si>
  <si>
    <t>-626.624706874686 -6.69767466129132 218.367062018068</t>
  </si>
  <si>
    <t>-657.608113812766 5.74054063345821 687.173339653788</t>
  </si>
  <si>
    <t>-501.271381800569 -35.1235175988955 756.689259403672</t>
  </si>
  <si>
    <t>9763-20170724T164206.188943900.bin</t>
  </si>
  <si>
    <t>-606.568134355363 72.8813188543292 -238.374652978888</t>
  </si>
  <si>
    <t>-630.734581925272 75.7879522485569 -357.014136249966</t>
  </si>
  <si>
    <t>-637.561606093586 66.5913096555554 -477.676342133702</t>
  </si>
  <si>
    <t>-636.541802284038 53.4083513543878 -586.396271719213</t>
  </si>
  <si>
    <t>-628.45492755613 35.4201380481333 -694.126900348911</t>
  </si>
  <si>
    <t>-609.897691165494 5.46337104314428 -842.310006515301</t>
  </si>
  <si>
    <t>-612.599731593047 49.5372095386077 -782.284033872337</t>
  </si>
  <si>
    <t>-583.159689972137 193.599974827142 -780.830414718831</t>
  </si>
  <si>
    <t>-477.545999998282 244.106520836845 -486.753773394117</t>
  </si>
  <si>
    <t>-278.343928257314 213.785218096959 -322.311534793402</t>
  </si>
  <si>
    <t>-590.986959751085 168.82666477269 -238.831152140465</t>
  </si>
  <si>
    <t>-554.666568725955 226.190926656648 211.777139662544</t>
  </si>
  <si>
    <t>-630.378434052108 248.576260745471 674.933364439697</t>
  </si>
  <si>
    <t>-478.034918907764 235.966257957894 761.973333056453</t>
  </si>
  <si>
    <t>-627.218940732967 -6.98600048493949 218.218435097756</t>
  </si>
  <si>
    <t>-657.639532606561 5.68214200086445 686.994095760877</t>
  </si>
  <si>
    <t>-501.155509831703 -34.6255933068056 756.503492488919</t>
  </si>
  <si>
    <t>9763-20170724T164206.221603300.bin</t>
  </si>
  <si>
    <t>-606.973933426168 72.7920103864611 -238.383706817949</t>
  </si>
  <si>
    <t>-631.105364181691 75.7002188146271 -357.03031680899</t>
  </si>
  <si>
    <t>-637.907158590385 66.5460405628723 -477.697251097962</t>
  </si>
  <si>
    <t>-636.871342902959 53.4138477639826 -586.423133635477</t>
  </si>
  <si>
    <t>-628.776575169713 35.4864094172471 -694.163219130192</t>
  </si>
  <si>
    <t>-610.218032917222 5.62212156362662 -842.364756459711</t>
  </si>
  <si>
    <t>-612.862834505968 49.6497207624411 -782.302389826923</t>
  </si>
  <si>
    <t>-583.151472237227 193.666884159732 -780.720906054319</t>
  </si>
  <si>
    <t>-477.149257449379 243.387692531054 -486.650266370496</t>
  </si>
  <si>
    <t>-278.531154218354 212.558513322641 -321.597307195939</t>
  </si>
  <si>
    <t>-591.369453769509 168.760075394697 -238.828135011436</t>
  </si>
  <si>
    <t>-554.809055328862 226.176138805842 211.754133472779</t>
  </si>
  <si>
    <t>-630.391823061114 248.650208458786 674.947880063412</t>
  </si>
  <si>
    <t>-478.032845257263 236.019562574923 761.957741436839</t>
  </si>
  <si>
    <t>-627.458999233041 -7.10040601572069 218.177383782663</t>
  </si>
  <si>
    <t>-657.653474655708 5.68082090993974 686.940992925244</t>
  </si>
  <si>
    <t>-501.187073346203 -34.6892762576417 756.453871774281</t>
  </si>
  <si>
    <t>9763-20170724T164206.260708800.bin</t>
  </si>
  <si>
    <t>-607.308592083383 72.5304144096599 -238.366909782316</t>
  </si>
  <si>
    <t>-631.409454547529 75.4603681599705 -357.019334006488</t>
  </si>
  <si>
    <t>-638.162519845148 66.3623371359066 -477.693129304992</t>
  </si>
  <si>
    <t>-637.077077187458 53.2919312689747 -586.426041903086</t>
  </si>
  <si>
    <t>-628.928352332929 35.4356962356553 -694.173905182712</t>
  </si>
  <si>
    <t>-610.291306999283 5.67862758661701 -842.38727866319</t>
  </si>
  <si>
    <t>-612.921485663923 49.6556123861138 -782.28704431015</t>
  </si>
  <si>
    <t>-582.949540558668 193.602680404174 -780.548621106075</t>
  </si>
  <si>
    <t>-476.673691689494 242.696619203951 -486.471506519127</t>
  </si>
  <si>
    <t>-278.711306825056 211.062800197615 -320.7842685344</t>
  </si>
  <si>
    <t>-591.688555645033 168.374125800284 -238.771519478118</t>
  </si>
  <si>
    <t>-554.928650189824 226.092643641425 211.755952193066</t>
  </si>
  <si>
    <t>-630.396797940701 248.701933850312 674.950807872718</t>
  </si>
  <si>
    <t>-478.024789721345 236.060435170152 761.936330911216</t>
  </si>
  <si>
    <t>-627.656877207955 -7.2618787881341 218.165636521722</t>
  </si>
  <si>
    <t>-657.660747576486 5.70329359357216 686.909038258528</t>
  </si>
  <si>
    <t>-501.198125252955 -34.6767657499239 756.424539341268</t>
  </si>
  <si>
    <t>9763-20170724T164206.328705000.bin</t>
  </si>
  <si>
    <t>-607.563648613075 72.2877086960779 -238.352561217773</t>
  </si>
  <si>
    <t>-631.574353210368 75.2274437016212 -357.022914121194</t>
  </si>
  <si>
    <t>-638.242801024886 66.1805702525315 -477.70531355526</t>
  </si>
  <si>
    <t>-637.085247137132 53.170420129056 -586.44466049726</t>
  </si>
  <si>
    <t>-628.869999959954 35.3869835138259 -694.199557749507</t>
  </si>
  <si>
    <t>-610.147114954935 5.74247517590521 -842.424665403148</t>
  </si>
  <si>
    <t>-612.764746681925 49.666471081184 -782.285088830335</t>
  </si>
  <si>
    <t>-582.54727507909 193.564187348927 -780.363681899882</t>
  </si>
  <si>
    <t>-476.088007607297 242.05871811282 -486.253418584588</t>
  </si>
  <si>
    <t>-279.00456278146 209.454732888982 -319.708565420047</t>
  </si>
  <si>
    <t>-591.839038086934 168.314315016658 -238.778057791209</t>
  </si>
  <si>
    <t>-555.097643511204 225.923986439678 211.764813811906</t>
  </si>
  <si>
    <t>-630.41912376843 248.751023898006 674.98973192929</t>
  </si>
  <si>
    <t>-478.028786119677 236.064408264636 761.936499562598</t>
  </si>
  <si>
    <t>-627.882040211221 -7.49315338632201 218.156546683852</t>
  </si>
  <si>
    <t>-657.686258919438 5.58317702347442 686.892847197441</t>
  </si>
  <si>
    <t>-501.513413467052 -35.8306979617555 756.451888114973</t>
  </si>
  <si>
    <t>9763-20170724T164206.388865000.bin</t>
  </si>
  <si>
    <t>-607.819683666839 71.3244827589863 -238.289554958633</t>
  </si>
  <si>
    <t>-631.85076004574 74.3685781007356 -356.953191006422</t>
  </si>
  <si>
    <t>-638.367998492099 65.5936934078731 -477.664008372593</t>
  </si>
  <si>
    <t>-637.006730013213 52.8915534258743 -586.437297437455</t>
  </si>
  <si>
    <t>-628.522317376095 35.4752461833304 -694.231333232897</t>
  </si>
  <si>
    <t>-609.35934231222 6.39996622382776 -842.512839061681</t>
  </si>
  <si>
    <t>-612.061431172504 50.077812057059 -782.198135904873</t>
  </si>
  <si>
    <t>-581.240386306493 193.835520753243 -779.495214465847</t>
  </si>
  <si>
    <t>-474.611921586174 240.40282733059 -485.134763564844</t>
  </si>
  <si>
    <t>-278.901451097814 204.839362982818 -317.579842479375</t>
  </si>
  <si>
    <t>-591.940209219814 167.316228589243 -238.673916086368</t>
  </si>
  <si>
    <t>-554.835870781853 225.491044815557 211.766541336996</t>
  </si>
  <si>
    <t>-630.396045434273 248.788417998047 674.931557310869</t>
  </si>
  <si>
    <t>-478.021247304118 236.104404552702 761.905962034515</t>
  </si>
  <si>
    <t>-628.151521408419 -8.10354992509271 218.16889039728</t>
  </si>
  <si>
    <t>-657.722007998277 5.56055863665436 686.881850047178</t>
  </si>
  <si>
    <t>-501.133641751794 -34.3620082787814 756.378392671775</t>
  </si>
  <si>
    <t>9763-20170724T164206.422518800.bin</t>
  </si>
  <si>
    <t>-607.718366093658 70.9436513034565 -238.262905331603</t>
  </si>
  <si>
    <t>-631.719973542098 73.9815336853907 -356.932673214637</t>
  </si>
  <si>
    <t>-638.147540640095 65.299904689045 -477.654887374032</t>
  </si>
  <si>
    <t>-636.681418194233 52.7209816860346 -586.441323896078</t>
  </si>
  <si>
    <t>-628.068966393092 35.4661404153867 -694.251106307361</t>
  </si>
  <si>
    <t>-608.703861041627 6.65404737117962 -842.557829433826</t>
  </si>
  <si>
    <t>-611.473214071168 50.2223680590621 -782.166870534157</t>
  </si>
  <si>
    <t>-580.549366395545 193.952444427694 -779.099834512564</t>
  </si>
  <si>
    <t>-473.931587484388 239.664647479886 -484.601452252658</t>
  </si>
  <si>
    <t>-278.623122755251 203.015501530067 -316.811467801601</t>
  </si>
  <si>
    <t>-591.8017197511 166.890495416671 -238.633845988304</t>
  </si>
  <si>
    <t>-554.706853600604 225.328510302893 211.773392943055</t>
  </si>
  <si>
    <t>-630.398525077463 248.807550087653 674.915919527011</t>
  </si>
  <si>
    <t>-478.033423217366 236.090175862767 761.902406004532</t>
  </si>
  <si>
    <t>-628.057675790065 -8.30488273169763 218.182561020903</t>
  </si>
  <si>
    <t>-657.726187407076 5.60166002102208 686.881672343312</t>
  </si>
  <si>
    <t>-501.1849752477 -34.5177636919158 756.371090975999</t>
  </si>
  <si>
    <t>9763-20170724T164206.492706500.bin</t>
  </si>
  <si>
    <t>-607.375988883467 69.8001558754256 -238.15055265946</t>
  </si>
  <si>
    <t>-631.387535177476 72.8689747314176 -356.817429590886</t>
  </si>
  <si>
    <t>-637.653978617167 64.4603196870351 -477.567576894945</t>
  </si>
  <si>
    <t>-635.974888139403 52.2213109642317 -586.389546453051</t>
  </si>
  <si>
    <t>-627.083427403745 35.39629451946 -694.244618237813</t>
  </si>
  <si>
    <t>-607.263295733309 7.27250476557725 -842.623264265389</t>
  </si>
  <si>
    <t>-610.217919817676 50.5601085217714 -782.039616674981</t>
  </si>
  <si>
    <t>-579.07366859485 194.227652077095 -778.094408307263</t>
  </si>
  <si>
    <t>-472.33189713158 237.629275976952 -483.291648226835</t>
  </si>
  <si>
    <t>-277.109621910044 199.378650361791 -315.759022469729</t>
  </si>
  <si>
    <t>-591.451846323001 165.693360996168 -238.505906248544</t>
  </si>
  <si>
    <t>-554.00992278607 224.840794886657 211.780006923138</t>
  </si>
  <si>
    <t>-630.322909271578 248.675254174184 674.782397863867</t>
  </si>
  <si>
    <t>-478.016529914278 236.001878584163 761.87813565414</t>
  </si>
  <si>
    <t>-627.707924025518 -8.93031005173791 218.252624253707</t>
  </si>
  <si>
    <t>-657.78305179417 5.44297029867776 686.904356110455</t>
  </si>
  <si>
    <t>-501.238540934126 -34.6986475037163 756.373688213912</t>
  </si>
  <si>
    <t>9763-20170724T164206.525351100.bin</t>
  </si>
  <si>
    <t>-607.099408192018 69.275579294364 -238.072025227647</t>
  </si>
  <si>
    <t>-631.065595822986 72.3811833672677 -356.747127625943</t>
  </si>
  <si>
    <t>-637.245656299328 64.1167746994122 -477.511634331275</t>
  </si>
  <si>
    <t>-635.472235660409 52.0502489394212 -586.351496107143</t>
  </si>
  <si>
    <t>-626.470412767321 35.4387568861251 -694.230542922044</t>
  </si>
  <si>
    <t>-606.480247210778 7.65353317365597 -842.650153172795</t>
  </si>
  <si>
    <t>-609.519776982963 50.8053124555348 -781.973840912797</t>
  </si>
  <si>
    <t>-578.428985573947 194.466366972445 -777.636481674456</t>
  </si>
  <si>
    <t>-471.387711673401 237.07354945443 -482.826381238949</t>
  </si>
  <si>
    <t>-276.955614912484 196.58266065507 -314.901603502473</t>
  </si>
  <si>
    <t>-591.193418845892 165.144629634975 -238.381864156845</t>
  </si>
  <si>
    <t>-553.522748693839 224.652810830464 211.837399490779</t>
  </si>
  <si>
    <t>-630.309106003383 248.654773106767 674.784714064556</t>
  </si>
  <si>
    <t>-478.010616581415 235.984456018028 761.894624490394</t>
  </si>
  <si>
    <t>-627.507757550366 -9.18806647834671 218.27690839097</t>
  </si>
  <si>
    <t>-657.784766179577 5.50745506131504 686.909370855697</t>
  </si>
  <si>
    <t>-501.059337936109 -33.9723906032518 756.349830519553</t>
  </si>
  <si>
    <t>9763-20170724T164206.591527100.bin</t>
  </si>
  <si>
    <t>-606.513069501057 68.1801156754722 -237.903697363777</t>
  </si>
  <si>
    <t>-630.406163559467 71.3842718941295 -356.590907305744</t>
  </si>
  <si>
    <t>-636.4187366056 63.388603606289 -477.382122178122</t>
  </si>
  <si>
    <t>-634.454763500763 51.6343838124072 -586.252760863476</t>
  </si>
  <si>
    <t>-625.222557287215 35.4048095256821 -694.170440819455</t>
  </si>
  <si>
    <t>-604.869956086538 8.22294068962711 -842.652510686069</t>
  </si>
  <si>
    <t>-608.082699972253 51.1317971035664 -781.81307751893</t>
  </si>
  <si>
    <t>-577.08697479117 194.789566569136 -776.797387513646</t>
  </si>
  <si>
    <t>-470.122536723359 236.471049240776 -481.827115869721</t>
  </si>
  <si>
    <t>-277.278857836251 190.964648911615 -313.35589679962</t>
  </si>
  <si>
    <t>-590.593724745626 164.138185218387 -238.123379528973</t>
  </si>
  <si>
    <t>-552.635043494033 224.094966480293 212.012128954643</t>
  </si>
  <si>
    <t>-630.303724198761 248.589684382799 674.790322583967</t>
  </si>
  <si>
    <t>-478.006119539378 236.014394116215 761.915538198125</t>
  </si>
  <si>
    <t>-627.253238456609 -9.92783219094501 218.350646918541</t>
  </si>
  <si>
    <t>-657.868556871969 5.23751373817183 686.945317885307</t>
  </si>
  <si>
    <t>-501.551334367781 -35.8004101465159 756.40263722356</t>
  </si>
  <si>
    <t>9763-20170724T164206.625068700.bin</t>
  </si>
  <si>
    <t>-606.161671920985 67.8050041150574 -237.826057019371</t>
  </si>
  <si>
    <t>-629.951985361895 71.0753229405449 -356.53215783584</t>
  </si>
  <si>
    <t>-635.883596155187 63.2245227380433 -477.336702605603</t>
  </si>
  <si>
    <t>-633.854594203813 51.6342738346706 -586.223757487383</t>
  </si>
  <si>
    <t>-624.564414827999 35.6020954341004 -694.165876125269</t>
  </si>
  <si>
    <t>-604.137497921571 8.72967663616836 -842.694140566813</t>
  </si>
  <si>
    <t>-607.377492736449 51.5111283154832 -781.766584316684</t>
  </si>
  <si>
    <t>-576.409995745662 195.165586799521 -776.462579215443</t>
  </si>
  <si>
    <t>-469.760138798158 236.450681504668 -481.322821971202</t>
  </si>
  <si>
    <t>-277.059911541199 189.584932579701 -313.060211588632</t>
  </si>
  <si>
    <t>-590.1115349783 163.82152436544 -238.000542392869</t>
  </si>
  <si>
    <t>-552.16688265568 223.857470458243 212.125581932799</t>
  </si>
  <si>
    <t>-630.315778458965 248.567012877233 674.836817369187</t>
  </si>
  <si>
    <t>-478.019591451017 235.951559267016 761.958852518139</t>
  </si>
  <si>
    <t>-627.199441622512 -10.1421443158634 218.371043227253</t>
  </si>
  <si>
    <t>-657.878446960826 5.31153616754747 686.952019647406</t>
  </si>
  <si>
    <t>-501.459695671433 -35.387812652272 756.380103684388</t>
  </si>
  <si>
    <t>9763-20170724T164206.696770200.bin</t>
  </si>
  <si>
    <t>-605.116160809514 67.3232100573046 -237.591559693745</t>
  </si>
  <si>
    <t>-628.622500057375 70.8311609763073 -356.347350758147</t>
  </si>
  <si>
    <t>-634.390063614389 63.245791380899 -477.17681433213</t>
  </si>
  <si>
    <t>-632.257174699109 51.9136312725685 -586.089072443621</t>
  </si>
  <si>
    <t>-622.904036742738 36.1620149174882 -694.067242184943</t>
  </si>
  <si>
    <t>-602.428558298653 9.70687171571561 -842.663593437918</t>
  </si>
  <si>
    <t>-605.671799283665 52.3143425435997 -781.614382589583</t>
  </si>
  <si>
    <t>-574.809892697889 195.988733232473 -776.078329176294</t>
  </si>
  <si>
    <t>-470.214359975108 236.739853954526 -480.130074264849</t>
  </si>
  <si>
    <t>-277.902286784527 187.450354433414 -312.116312528514</t>
  </si>
  <si>
    <t>-588.805302145624 163.477662467298 -237.650354522939</t>
  </si>
  <si>
    <t>-550.633674254157 223.227290760874 212.494621710673</t>
  </si>
  <si>
    <t>-630.406183066109 248.244831519061 675.010281338735</t>
  </si>
  <si>
    <t>-478.107267435544 235.593524033754 762.122214655569</t>
  </si>
  <si>
    <t>-627.11978579782 -10.426003770334 218.420946334835</t>
  </si>
  <si>
    <t>-657.924508962214 5.17718663181724 686.970364136574</t>
  </si>
  <si>
    <t>-501.788461165563 -36.5496564508867 756.424771346174</t>
  </si>
  <si>
    <t>9763-20170724T164206.723962300.bin</t>
  </si>
  <si>
    <t>-604.429325303013 67.4390357010676 -237.446355916312</t>
  </si>
  <si>
    <t>-627.924024541661 71.1640867849617 -356.197956931573</t>
  </si>
  <si>
    <t>-633.704314726722 63.7047537022011 -477.034573337829</t>
  </si>
  <si>
    <t>-631.586372738793 52.4587899836137 -585.955988642516</t>
  </si>
  <si>
    <t>-622.247478132645 36.7720566135935 -693.944774753079</t>
  </si>
  <si>
    <t>-601.787447223333 10.3904868250383 -842.556310972347</t>
  </si>
  <si>
    <t>-605.026338779568 52.9680486909022 -781.485995525387</t>
  </si>
  <si>
    <t>-574.22307693689 196.652757377989 -775.962073456644</t>
  </si>
  <si>
    <t>-471.480944679381 236.965533379119 -479.305456774471</t>
  </si>
  <si>
    <t>-279.884666323929 185.342924271139 -311.174538866774</t>
  </si>
  <si>
    <t>-587.956844730473 163.705562141246 -237.369116060017</t>
  </si>
  <si>
    <t>-549.962175685879 222.768808501005 212.881516296092</t>
  </si>
  <si>
    <t>-630.746556616931 248.039809815773 675.398518953563</t>
  </si>
  <si>
    <t>-478.267909137481 235.364092592234 762.191896305114</t>
  </si>
  <si>
    <t>-626.833485777053 -10.1794387067564 218.48489067392</t>
  </si>
  <si>
    <t>-657.918143268075 5.21999247269007 686.996121663529</t>
  </si>
  <si>
    <t>-501.75312228896 -36.3991243578883 756.45005380759</t>
  </si>
  <si>
    <t>9763-20170724T164206.789136800.bin</t>
  </si>
  <si>
    <t>-603.009814036566 67.7509996129654 -236.696932874111</t>
  </si>
  <si>
    <t>-626.36148029478 71.6924281703212 -355.46968819082</t>
  </si>
  <si>
    <t>-632.206164654744 64.1974486367424 -476.301107216804</t>
  </si>
  <si>
    <t>-630.216019526879 52.8397644878033 -585.213496922913</t>
  </si>
  <si>
    <t>-621.065090170826 36.9764927255475 -693.192382819441</t>
  </si>
  <si>
    <t>-600.920087521475 10.2950870933248 -841.793533291461</t>
  </si>
  <si>
    <t>-604.076811908868 53.0034218510867 -780.810287532188</t>
  </si>
  <si>
    <t>-573.579439052722 196.755367306229 -775.605619116035</t>
  </si>
  <si>
    <t>-474.108470721716 236.626399861608 -477.776701213643</t>
  </si>
  <si>
    <t>-283.113515349454 181.784329966197 -309.9812645574</t>
  </si>
  <si>
    <t>-586.12824111392 163.950933379273 -236.271133447957</t>
  </si>
  <si>
    <t>-548.559511977462 222.520691013414 214.079615966868</t>
  </si>
  <si>
    <t>-631.714514408819 247.959586463967 676.447876939759</t>
  </si>
  <si>
    <t>-478.562169086656 235.047141013322 762.011535761955</t>
  </si>
  <si>
    <t>-626.295032568164 -9.78982465556486 219.012794171847</t>
  </si>
  <si>
    <t>-657.918785457285 5.23990191687764 687.352045237735</t>
  </si>
  <si>
    <t>-501.964410336047 -37.1276622488919 756.826710419873</t>
  </si>
  <si>
    <t>9763-20170724T164206.830252000.bin</t>
  </si>
  <si>
    <t>-602.363194026279 67.6701463247529 -236.137315248941</t>
  </si>
  <si>
    <t>-625.647962947872 71.6731026815433 -354.921118842088</t>
  </si>
  <si>
    <t>-631.622460503473 64.0877656356514 -475.74054225724</t>
  </si>
  <si>
    <t>-629.824178604906 52.5942062296425 -584.642055503711</t>
  </si>
  <si>
    <t>-620.935657298968 36.5456072358812 -692.615556284852</t>
  </si>
  <si>
    <t>-601.22487066663 9.55901679854188 -841.219864163251</t>
  </si>
  <si>
    <t>-604.188588677809 52.3901259843851 -780.313070632532</t>
  </si>
  <si>
    <t>-573.578596589398 196.146104525228 -775.44635697537</t>
  </si>
  <si>
    <t>-474.957569484621 235.874194869318 -477.315940660271</t>
  </si>
  <si>
    <t>-284.536049582807 179.054642601251 -309.526600366098</t>
  </si>
  <si>
    <t>-585.290311857663 163.794297398379 -235.690081670106</t>
  </si>
  <si>
    <t>-548.088919348517 222.321978248064 214.696645373794</t>
  </si>
  <si>
    <t>-632.115722322879 248.03804714823 676.852518258627</t>
  </si>
  <si>
    <t>-478.674855949558 234.791193504635 761.846250328513</t>
  </si>
  <si>
    <t>-625.899413706251 -9.6861483292291 219.475267262335</t>
  </si>
  <si>
    <t>-657.914221767449 5.36237067711966 687.677380084295</t>
  </si>
  <si>
    <t>-501.972146681238 -37.0823988146317 757.13255620284</t>
  </si>
  <si>
    <t>9763-20170724T164206.889407700.bin</t>
  </si>
  <si>
    <t>-600.816846018832 68.1639665566127 -235.430852254126</t>
  </si>
  <si>
    <t>-624.237580216862 72.2655821169003 -354.18470043042</t>
  </si>
  <si>
    <t>-630.614126492689 64.2743683661375 -474.957319044361</t>
  </si>
  <si>
    <t>-629.279970369811 52.2175119911391 -583.804549213617</t>
  </si>
  <si>
    <t>-620.952043214497 35.4155415377265 -691.708058522786</t>
  </si>
  <si>
    <t>-602.117622293134 7.18963568716912 -840.195652798355</t>
  </si>
  <si>
    <t>-604.619159874755 50.510668824265 -779.615579874224</t>
  </si>
  <si>
    <t>-573.889616038195 194.259839139204 -776.022584051313</t>
  </si>
  <si>
    <t>-476.548356909866 235.194022761836 -477.634729811936</t>
  </si>
  <si>
    <t>-286.527823137948 176.352047909696 -310.088192255999</t>
  </si>
  <si>
    <t>-583.314393431303 164.408862288722 -235.168476036981</t>
  </si>
  <si>
    <t>-547.556359210803 222.003488833125 215.455430552048</t>
  </si>
  <si>
    <t>-632.446588630888 248.028231909437 677.179225823607</t>
  </si>
  <si>
    <t>-478.731729665965 234.609774512465 761.649351299228</t>
  </si>
  <si>
    <t>-624.681988582259 -9.05738016208128 220.233364663108</t>
  </si>
  <si>
    <t>-657.911681337584 5.46286856712106 688.301512740695</t>
  </si>
  <si>
    <t>-502.167045190388 -37.7560388970137 757.722344514405</t>
  </si>
  <si>
    <t>9763-20170724T164206.924504700.bin</t>
  </si>
  <si>
    <t>-599.931713001218 68.5910292718307 -235.420768270593</t>
  </si>
  <si>
    <t>-623.401059914601 72.6500466641211 -354.166379730722</t>
  </si>
  <si>
    <t>-629.997530815417 64.3783606091136 -474.908338772532</t>
  </si>
  <si>
    <t>-628.930820397893 51.9720378049961 -583.719243124519</t>
  </si>
  <si>
    <t>-620.938566461757 34.725409497261 -691.577931129374</t>
  </si>
  <si>
    <t>-602.641127491492 5.78279379797715 -839.994810369365</t>
  </si>
  <si>
    <t>-604.850146737187 49.3837897073849 -779.604435247344</t>
  </si>
  <si>
    <t>-573.965305324333 193.106002092887 -776.674519888473</t>
  </si>
  <si>
    <t>-476.752935263538 235.492931018793 -478.447627416445</t>
  </si>
  <si>
    <t>-287.218867110149 175.734373438746 -310.674534204206</t>
  </si>
  <si>
    <t>-582.245548465685 164.747336797354 -235.305356364313</t>
  </si>
  <si>
    <t>-547.289232951629 221.975495421239 215.4281472527</t>
  </si>
  <si>
    <t>-632.38755218685 248.029219028462 677.011598648465</t>
  </si>
  <si>
    <t>-478.70392835563 234.590176303133 761.535288991752</t>
  </si>
  <si>
    <t>-624.071376225904 -8.60142772015559 220.367125015786</t>
  </si>
  <si>
    <t>-657.893144714007 5.58128124015839 688.437184468516</t>
  </si>
  <si>
    <t>-502.123714236948 -37.5867345913481 757.83395306287</t>
  </si>
  <si>
    <t>9763-20170724T164206.991683900.bin</t>
  </si>
  <si>
    <t>-597.632482862002 70.2093645980826 -235.743009295378</t>
  </si>
  <si>
    <t>-621.010078216117 74.10139708468 -354.512247634827</t>
  </si>
  <si>
    <t>-627.933402782558 65.3814341887987 -475.204473593262</t>
  </si>
  <si>
    <t>-627.331834764971 52.4562868746835 -583.958479580728</t>
  </si>
  <si>
    <t>-619.972968737926 34.577376660805 -691.759317973667</t>
  </si>
  <si>
    <t>-602.729066895349 4.63726982186797 -840.104403295226</t>
  </si>
  <si>
    <t>-604.37220126191 48.6204327561265 -779.973686980463</t>
  </si>
  <si>
    <t>-573.151351391586 192.291264257116 -778.142037127155</t>
  </si>
  <si>
    <t>-476.012240819657 236.475506872679 -480.152317576947</t>
  </si>
  <si>
    <t>-286.302960018294 178.08426840037 -312.095923382778</t>
  </si>
  <si>
    <t>-579.557571045004 166.600530736077 -235.983157148835</t>
  </si>
  <si>
    <t>-546.282271540677 221.897032520786 215.118564286876</t>
  </si>
  <si>
    <t>-632.124197457536 247.905831111975 676.537340169191</t>
  </si>
  <si>
    <t>-478.61067940408 234.686552121864 761.404097618967</t>
  </si>
  <si>
    <t>-622.682113985795 -7.39361968049391 220.329720726528</t>
  </si>
  <si>
    <t>-657.911214255859 5.57509944485561 688.462555732589</t>
  </si>
  <si>
    <t>-502.366618434134 -38.36082169203 757.881807073636</t>
  </si>
  <si>
    <t>9763-20170724T164207.025800700.bin</t>
  </si>
  <si>
    <t>-596.389147062804 71.0045754523117 -235.927193271782</t>
  </si>
  <si>
    <t>-619.727517916152 74.7734374528246 -354.708113095541</t>
  </si>
  <si>
    <t>-626.792890158836 65.8421201324254 -475.376653819707</t>
  </si>
  <si>
    <t>-626.391044901741 52.6933756194144 -584.104660389386</t>
  </si>
  <si>
    <t>-619.30124877852 34.5600419483182 -691.881088731707</t>
  </si>
  <si>
    <t>-602.501461043892 4.23550399618291 -840.199071533216</t>
  </si>
  <si>
    <t>-603.935205126698 48.3694404225612 -780.173554221026</t>
  </si>
  <si>
    <t>-572.806987976471 192.095389477174 -778.792083380041</t>
  </si>
  <si>
    <t>-475.79730793926 236.619267161485 -480.810530969173</t>
  </si>
  <si>
    <t>-285.905185793134 178.511697171171 -312.862629800998</t>
  </si>
  <si>
    <t>-578.107683785061 167.192895812596 -236.275354425338</t>
  </si>
  <si>
    <t>-545.388319668947 221.911397638798 214.937426970122</t>
  </si>
  <si>
    <t>-631.915044562161 247.834550969557 676.217606012939</t>
  </si>
  <si>
    <t>-478.538279841581 234.798151466728 761.359526852023</t>
  </si>
  <si>
    <t>-621.925817382299 -6.67809016625578 220.288880723803</t>
  </si>
  <si>
    <t>-657.882147067598 5.70617155709417 688.444999638286</t>
  </si>
  <si>
    <t>-502.327060013393 -38.1662512554623 757.880865700956</t>
  </si>
  <si>
    <t>9763-20170724T164207.089969900.bin</t>
  </si>
  <si>
    <t>-594.285871301303 71.9665919535838 -236.133218569124</t>
  </si>
  <si>
    <t>-617.7108931406 75.6219056444951 -354.900702305509</t>
  </si>
  <si>
    <t>-624.960415683294 66.4133381089947 -475.537346355091</t>
  </si>
  <si>
    <t>-624.756635289682 52.9582422064767 -584.228472001057</t>
  </si>
  <si>
    <t>-617.891889146475 34.4692758465311 -691.959153463836</t>
  </si>
  <si>
    <t>-601.428889517086 3.6051025430001 -840.203321901271</t>
  </si>
  <si>
    <t>-602.810310685515 47.9711353533056 -780.348044169845</t>
  </si>
  <si>
    <t>-572.352550922811 191.834059617326 -779.617508677985</t>
  </si>
  <si>
    <t>-475.466733816529 237.591699040405 -481.782706382473</t>
  </si>
  <si>
    <t>-285.332895058283 180.065119006613 -313.90826200046</t>
  </si>
  <si>
    <t>-575.961664075982 168.232136448656 -236.60981092981</t>
  </si>
  <si>
    <t>-543.930937206155 221.919953364899 214.776269417082</t>
  </si>
  <si>
    <t>-631.555041307023 247.710697480109 675.787158960294</t>
  </si>
  <si>
    <t>-478.422353206272 234.972342357687 761.412134830037</t>
  </si>
  <si>
    <t>-620.392872074136 -5.84331937040732 220.266864211307</t>
  </si>
  <si>
    <t>-657.905209334217 5.65469787235297 688.39595217119</t>
  </si>
  <si>
    <t>-502.735471527732 -39.5015501435778 757.870979145691</t>
  </si>
  <si>
    <t>9763-20170724T164207.141652600.bin</t>
  </si>
  <si>
    <t>-593.489062240772 72.2054424236669 -236.18143147734</t>
  </si>
  <si>
    <t>-616.949563300657 75.7998845102491 -354.943745848498</t>
  </si>
  <si>
    <t>-624.266171595506 66.4751437154585 -475.567512297075</t>
  </si>
  <si>
    <t>-624.133484779675 52.896352837224 -584.243359597281</t>
  </si>
  <si>
    <t>-617.348812678764 34.2668053087368 -691.954859975263</t>
  </si>
  <si>
    <t>-601.005241067126 3.19146358496536 -840.168196330801</t>
  </si>
  <si>
    <t>-602.431668824028 47.6579476172139 -780.388450881669</t>
  </si>
  <si>
    <t>-572.597480546964 191.675315671832 -779.85334705493</t>
  </si>
  <si>
    <t>-475.593442032355 237.836734126118 -482.119403649347</t>
  </si>
  <si>
    <t>-285.393814786546 181.207117331052 -314.01452939633</t>
  </si>
  <si>
    <t>-575.33144675208 168.448731258369 -236.655263744285</t>
  </si>
  <si>
    <t>-543.374066291325 222.050475285871 214.746171588428</t>
  </si>
  <si>
    <t>-631.467888028864 247.557264037 675.715222558594</t>
  </si>
  <si>
    <t>-478.37938890783 235.162177553437 761.469407458376</t>
  </si>
  <si>
    <t>-619.73345380614 -5.61859622286677 220.263994558294</t>
  </si>
  <si>
    <t>-657.908206734855 5.74567473464349 688.3637488515</t>
  </si>
  <si>
    <t>-502.7489017754 -39.4707776253818 757.822884282937</t>
  </si>
  <si>
    <t>9763-20170724T164207.189780300.bin</t>
  </si>
  <si>
    <t>-592.276638319707 72.1477377355683 -236.185428074732</t>
  </si>
  <si>
    <t>-615.654553185203 75.5015049204975 -354.971205027823</t>
  </si>
  <si>
    <t>-622.877129744541 66.0357064762268 -475.589559860048</t>
  </si>
  <si>
    <t>-622.657799852663 52.3693118907728 -584.254322330742</t>
  </si>
  <si>
    <t>-615.786815358356 33.6897857557452 -691.951612857806</t>
  </si>
  <si>
    <t>-599.324818366617 2.58257222229359 -840.145216989409</t>
  </si>
  <si>
    <t>-601.033397555301 47.0989227117425 -780.409978624325</t>
  </si>
  <si>
    <t>-572.501390365472 191.34674619565 -779.792235882836</t>
  </si>
  <si>
    <t>-475.133698193663 237.908181187015 -482.239355867758</t>
  </si>
  <si>
    <t>-284.663773115334 183.340539265051 -313.758932377126</t>
  </si>
  <si>
    <t>-574.827011258063 168.334486598399 -236.686290010031</t>
  </si>
  <si>
    <t>-543.185573568428 222.157413891211 214.711133263139</t>
  </si>
  <si>
    <t>-631.322289621298 247.316287941038 675.625321145945</t>
  </si>
  <si>
    <t>-478.277792229144 235.732746660132 761.571352060016</t>
  </si>
  <si>
    <t>-618.531429004434 -5.57375568688855 220.278750954944</t>
  </si>
  <si>
    <t>-657.97036723336 5.65098814767735 688.311578525715</t>
  </si>
  <si>
    <t>-502.983634453302 -40.215915793312 757.729399992328</t>
  </si>
  <si>
    <t>9763-20170724T164207.221870500.bin</t>
  </si>
  <si>
    <t>-591.618198327331 72.1895559091938 -236.156124397957</t>
  </si>
  <si>
    <t>-614.896641640098 75.3867208253982 -354.965684905669</t>
  </si>
  <si>
    <t>-622.016499832562 65.8967949137082 -475.588261779096</t>
  </si>
  <si>
    <t>-621.706655208039 52.2597850590865 -584.25653786151</t>
  </si>
  <si>
    <t>-614.74936860187 33.6580938431629 -691.961798649313</t>
  </si>
  <si>
    <t>-598.172887534152 2.70696231600067 -840.175309379107</t>
  </si>
  <si>
    <t>-600.018295699364 47.1741817388381 -780.40769934241</t>
  </si>
  <si>
    <t>-571.930870072581 191.516136222671 -779.615807178291</t>
  </si>
  <si>
    <t>-474.668674890111 238.204486022751 -482.048288274124</t>
  </si>
  <si>
    <t>-284.060391314359 184.357634067023 -313.492428337177</t>
  </si>
  <si>
    <t>-574.501417522917 168.254104375787 -236.738773613241</t>
  </si>
  <si>
    <t>-543.473502244324 222.172517648955 214.689730383689</t>
  </si>
  <si>
    <t>-631.26886416189 247.263359053875 675.641531075592</t>
  </si>
  <si>
    <t>-478.220422793324 236.042483123285 761.628646854987</t>
  </si>
  <si>
    <t>-617.864396816066 -5.41240519674414 220.302026184898</t>
  </si>
  <si>
    <t>-657.939932473004 5.87974685469771 688.278608151635</t>
  </si>
  <si>
    <t>-502.720736210148 -39.2791513387102 757.641254491884</t>
  </si>
  <si>
    <t>9763-20170724T164207.291055100.bin</t>
  </si>
  <si>
    <t>-590.529607908009 72.0127280621641 -236.190578774315</t>
  </si>
  <si>
    <t>-613.816108367719 75.0212883810581 -355.003439628699</t>
  </si>
  <si>
    <t>-620.790199928983 65.4929068728955 -475.631515156295</t>
  </si>
  <si>
    <t>-620.288644605397 51.881505331577 -584.302227994739</t>
  </si>
  <si>
    <t>-613.081313839527 33.3644307964722 -692.005706965677</t>
  </si>
  <si>
    <t>-596.098783028293 2.59169685032437 -840.21039257878</t>
  </si>
  <si>
    <t>-598.2623734452 47.0099912518228 -780.416907989272</t>
  </si>
  <si>
    <t>-571.013306910842 191.50980563266 -779.390645407202</t>
  </si>
  <si>
    <t>-474.216280419598 239.160529326326 -481.823768243294</t>
  </si>
  <si>
    <t>-283.623295588384 186.035986404966 -313.021828670932</t>
  </si>
  <si>
    <t>-573.957975022566 168.055875004324 -236.781452925434</t>
  </si>
  <si>
    <t>-543.634556457021 222.007096474927 214.691087994022</t>
  </si>
  <si>
    <t>-631.164643512915 247.218758560625 675.716486816946</t>
  </si>
  <si>
    <t>-478.119885262051 236.450236767843 761.767964334106</t>
  </si>
  <si>
    <t>-616.860560605078 -5.45413380233288 220.347080647482</t>
  </si>
  <si>
    <t>-657.986687236372 5.80330285064989 688.245552970234</t>
  </si>
  <si>
    <t>-503.144661068601 -40.6778325965609 757.577822887692</t>
  </si>
  <si>
    <t>9763-20170724T164207.327165500.bin</t>
  </si>
  <si>
    <t>-590.02083799845 71.7756401761446 -236.156933954712</t>
  </si>
  <si>
    <t>-613.248556545247 74.7151748820503 -354.9830538396</t>
  </si>
  <si>
    <t>-620.092052694544 65.1122847280593 -475.612774143716</t>
  </si>
  <si>
    <t>-619.443115241268 51.4340235091644 -584.274297846292</t>
  </si>
  <si>
    <t>-612.059368944212 32.8520502711991 -691.954621769535</t>
  </si>
  <si>
    <t>-594.801661596467 1.99272861642135 -840.109505972303</t>
  </si>
  <si>
    <t>-597.147277608663 46.4562382350537 -780.356582695158</t>
  </si>
  <si>
    <t>-570.191863740626 191.023342140211 -779.371307397391</t>
  </si>
  <si>
    <t>-473.77326044447 239.056899304189 -481.743372216335</t>
  </si>
  <si>
    <t>-283.286044138819 186.363268585898 -312.687033029237</t>
  </si>
  <si>
    <t>-573.480987094028 167.766694212918 -236.714208575796</t>
  </si>
  <si>
    <t>-543.267480108146 221.969003003533 214.735516896564</t>
  </si>
  <si>
    <t>-631.119680220311 247.158771702321 675.726238591872</t>
  </si>
  <si>
    <t>-478.084847224785 236.603086159814 761.821688038052</t>
  </si>
  <si>
    <t>-616.656287663433 -5.59746218115835 220.361524618066</t>
  </si>
  <si>
    <t>-657.997136555475 5.86412568795032 688.226205374055</t>
  </si>
  <si>
    <t>-503.023192216808 -40.2465918175984 757.51099793433</t>
  </si>
  <si>
    <t>9763-20170724T164207.392335500.bin</t>
  </si>
  <si>
    <t>-588.865850182942 70.9657538838819 -236.052285292574</t>
  </si>
  <si>
    <t>-611.878454458989 73.8546711158241 -354.921340466704</t>
  </si>
  <si>
    <t>-618.427264416686 64.0780075808963 -475.553572391519</t>
  </si>
  <si>
    <t>-617.477516143227 50.2007449453919 -584.187638012029</t>
  </si>
  <si>
    <t>-609.757928574661 31.3831731205321 -691.803447051699</t>
  </si>
  <si>
    <t>-591.996634754676 0.163280811301078 -839.823196083563</t>
  </si>
  <si>
    <t>-594.618542536938 44.7825919932723 -780.197965953791</t>
  </si>
  <si>
    <t>-568.005144396891 189.403659390974 -779.371155870698</t>
  </si>
  <si>
    <t>-472.551789254219 238.384052898637 -481.586478224701</t>
  </si>
  <si>
    <t>-282.501119427179 186.493764026848 -311.791757103203</t>
  </si>
  <si>
    <t>-572.177860882275 166.957849824413 -236.629056867138</t>
  </si>
  <si>
    <t>-541.652769153838 221.756514030113 214.727778711063</t>
  </si>
  <si>
    <t>-630.893760183119 247.060356386738 675.428481952308</t>
  </si>
  <si>
    <t>-478.008405213677 236.796254206621 761.824206571301</t>
  </si>
  <si>
    <t>-616.529348952716 -6.04537537085864 220.405777592103</t>
  </si>
  <si>
    <t>-658.00644946487 6.06103984212763 688.211773553151</t>
  </si>
  <si>
    <t>-502.713085687679 -39.0749653723022 757.423222136409</t>
  </si>
  <si>
    <t>9763-20170724T164207.424024100.bin</t>
  </si>
  <si>
    <t>-588.279179331661 70.5890386542092 -236.058579148809</t>
  </si>
  <si>
    <t>-611.233120086513 73.397732494721 -354.941043488124</t>
  </si>
  <si>
    <t>-617.688712613211 63.4895068732663 -475.567334063457</t>
  </si>
  <si>
    <t>-616.640455198476 49.47520609728 -584.183047079187</t>
  </si>
  <si>
    <t>-608.807941873554 30.5044939526395 -691.763753176686</t>
  </si>
  <si>
    <t>-593.566272203771 43.767948315751 -780.161337095414</t>
  </si>
  <si>
    <t>-567.003939389027 188.397080326437 -779.507780776728</t>
  </si>
  <si>
    <t>-471.964509659607 237.929461079007 -481.682039357143</t>
  </si>
  <si>
    <t>-282.325211113309 186.486000761105 -311.292495165014</t>
  </si>
  <si>
    <t>-571.527093668929 166.499370194314 -236.692469689216</t>
  </si>
  <si>
    <t>-540.765856555898 221.78231806196 214.589188248749</t>
  </si>
  <si>
    <t>-630.687570838086 247.006188615156 675.149814830394</t>
  </si>
  <si>
    <t>-477.955427028544 236.886228782442 761.833128243438</t>
  </si>
  <si>
    <t>-616.320038274079 -6.2210296164589 220.435496416465</t>
  </si>
  <si>
    <t>-658.021053040851 6.09389768629887 688.21663622347</t>
  </si>
  <si>
    <t>-502.882793761686 -39.5760795811392 757.425675636125</t>
  </si>
  <si>
    <t>9763-20170724T164207.491201900.bin</t>
  </si>
  <si>
    <t>-586.633233547925 69.7424354257676 -235.959865125542</t>
  </si>
  <si>
    <t>-609.460920922706 72.4137407041671 -354.869717152729</t>
  </si>
  <si>
    <t>-615.75003302861 62.2692235449884 -475.485304626878</t>
  </si>
  <si>
    <t>-614.534482401635 48.005801112035 -584.066693129499</t>
  </si>
  <si>
    <t>-606.518257390231 28.7536887741936 -691.583903491125</t>
  </si>
  <si>
    <t>-591.109481180403 41.7644496260284 -779.990076945058</t>
  </si>
  <si>
    <t>-564.520992179867 186.392890663582 -779.726686892528</t>
  </si>
  <si>
    <t>-470.534815267274 237.230884170149 -481.786540778293</t>
  </si>
  <si>
    <t>-281.808128935874 186.033195159963 -310.313262999254</t>
  </si>
  <si>
    <t>-569.578633784564 165.412767247722 -236.666644422497</t>
  </si>
  <si>
    <t>-538.608182812791 221.888421829219 214.453106412421</t>
  </si>
  <si>
    <t>-630.345557963343 246.840016705658 674.664261071247</t>
  </si>
  <si>
    <t>-477.880205717395 237.132698790599 761.862871695182</t>
  </si>
  <si>
    <t>-615.454412003182 -6.53033410622707 220.596194013674</t>
  </si>
  <si>
    <t>-658.04685367531 6.04121789407637 688.279524918551</t>
  </si>
  <si>
    <t>-503.145420215917 -40.4788612512581 757.452712370046</t>
  </si>
  <si>
    <t>9763-20170724T164207.524819300.bin</t>
  </si>
  <si>
    <t>-585.669534532893 69.3999441212456 -235.919689088094</t>
  </si>
  <si>
    <t>-608.444726633504 71.9801394035703 -354.841613712479</t>
  </si>
  <si>
    <t>-614.698691226519 61.7180852715167 -475.449084389614</t>
  </si>
  <si>
    <t>-613.459770470907 47.3375049753709 -584.014745130752</t>
  </si>
  <si>
    <t>-605.429447264382 27.9570059261757 -691.50781003143</t>
  </si>
  <si>
    <t>-590.008835197216 40.8529934194647 -779.928700550925</t>
  </si>
  <si>
    <t>-563.408918878142 185.474634716214 -779.807884850715</t>
  </si>
  <si>
    <t>-469.755679053084 236.888444724107 -481.861853721758</t>
  </si>
  <si>
    <t>-281.468303924866 185.51208545774 -309.959434521766</t>
  </si>
  <si>
    <t>-568.643243772375 165.185143670981 -236.696888093712</t>
  </si>
  <si>
    <t>-537.148286993409 221.823291241109 214.366174399789</t>
  </si>
  <si>
    <t>-630.172881515583 246.696688969961 674.357273735308</t>
  </si>
  <si>
    <t>-477.831682465466 237.411029308143 761.818414431888</t>
  </si>
  <si>
    <t>-614.831798983899 -6.65945762409871 220.677901293092</t>
  </si>
  <si>
    <t>-658.06025958804 5.93850689382468 688.311954052097</t>
  </si>
  <si>
    <t>-503.261704518131 -40.9376541445256 757.475068012879</t>
  </si>
  <si>
    <t>9763-20170724T164207.590993900.bin</t>
  </si>
  <si>
    <t>-584.092175139684 68.7842061930648 -235.842236138582</t>
  </si>
  <si>
    <t>-606.73395563283 71.1764338577839 -354.793679450273</t>
  </si>
  <si>
    <t>-612.928653865269 60.7782880858485 -475.392323511923</t>
  </si>
  <si>
    <t>-611.668732528603 46.2947490511243 -583.944230861893</t>
  </si>
  <si>
    <t>-603.650685911431 26.8299899508373 -691.422958241966</t>
  </si>
  <si>
    <t>-588.2796604822 39.6693317769623 -779.860770945801</t>
  </si>
  <si>
    <t>-561.720907767848 184.295211364959 -779.852248831072</t>
  </si>
  <si>
    <t>-468.611527530759 236.4507388467 -481.864634534081</t>
  </si>
  <si>
    <t>-280.790008396845 184.526854254939 -309.617587842247</t>
  </si>
  <si>
    <t>-567.102879749099 164.366509139023 -236.714599642502</t>
  </si>
  <si>
    <t>-534.805680023487 221.872591513222 214.181887287696</t>
  </si>
  <si>
    <t>-629.840271788429 246.405000545136 673.745906104903</t>
  </si>
  <si>
    <t>-477.754339366067 237.882244175995 761.727328847211</t>
  </si>
  <si>
    <t>-613.778430866359 -6.88297561852 220.806974429393</t>
  </si>
  <si>
    <t>-658.072593334692 5.91732958885714 688.3271284772</t>
  </si>
  <si>
    <t>-503.388501438512 -41.351643831914 757.478950434215</t>
  </si>
  <si>
    <t>9763-20170724T164207.624455900.bin</t>
  </si>
  <si>
    <t>-583.391215938295 68.362832672026 -235.769938472602</t>
  </si>
  <si>
    <t>-605.987836941064 70.6985111610847 -354.730987227921</t>
  </si>
  <si>
    <t>-612.08113841685 60.2316974313631 -475.329054384038</t>
  </si>
  <si>
    <t>-610.706393431455 45.6833166918093 -583.870806368447</t>
  </si>
  <si>
    <t>-602.550755293115 26.1526325000364 -691.327196298144</t>
  </si>
  <si>
    <t>-587.075013991329 38.9405698383451 -779.754095390823</t>
  </si>
  <si>
    <t>-560.644800611286 183.599224706791 -779.741393185443</t>
  </si>
  <si>
    <t>-467.90997944866 236.261401182719 -481.726057249594</t>
  </si>
  <si>
    <t>-280.003717033568 184.39200251558 -309.555022159951</t>
  </si>
  <si>
    <t>-566.390634085323 163.865492419315 -236.683087858885</t>
  </si>
  <si>
    <t>-533.989298986552 221.878852613581 214.140867766599</t>
  </si>
  <si>
    <t>-629.739864787028 246.283539893192 673.532591905918</t>
  </si>
  <si>
    <t>-477.747214968997 238.060441544666 761.703628406209</t>
  </si>
  <si>
    <t>-613.218748510794 -7.03891140094245 220.879561455123</t>
  </si>
  <si>
    <t>-658.075686910525 5.92402354517228 688.334419302347</t>
  </si>
  <si>
    <t>-503.461450652935 -41.5989412861012 757.468487730666</t>
  </si>
  <si>
    <t>9763-20170724T164207.687623300.bin</t>
  </si>
  <si>
    <t>-582.423759046263 67.2421350284685 -235.729711909658</t>
  </si>
  <si>
    <t>-605.155474633948 69.4466874297377 -354.667566403415</t>
  </si>
  <si>
    <t>-610.970349992318 58.830105799707 -475.266330322297</t>
  </si>
  <si>
    <t>-609.175278577618 44.1459047733597 -583.783532620338</t>
  </si>
  <si>
    <t>-600.432185263694 24.4837308518152 -691.169880206815</t>
  </si>
  <si>
    <t>-584.502433488126 37.1871909995905 -779.528353356132</t>
  </si>
  <si>
    <t>-558.343201961742 181.876302698844 -779.364829203761</t>
  </si>
  <si>
    <t>-466.845477678962 235.678440354618 -481.17098315692</t>
  </si>
  <si>
    <t>-278.467417834158 184.566991678596 -309.288951699588</t>
  </si>
  <si>
    <t>-565.644351658868 162.695061365245 -236.628848291587</t>
  </si>
  <si>
    <t>-532.718169399002 221.815281287621 214.013270630993</t>
  </si>
  <si>
    <t>-629.637296587847 246.156508374433 673.168276456093</t>
  </si>
  <si>
    <t>-477.752395284632 238.27853242574 761.556127107858</t>
  </si>
  <si>
    <t>-612.392024907749 -7.77732792690826 221.014278910725</t>
  </si>
  <si>
    <t>-658.125061603697 5.79776425354289 688.347428254636</t>
  </si>
  <si>
    <t>-503.587805234683 -42.0750118216653 757.412279467464</t>
  </si>
  <si>
    <t>9763-20170724T164207.724525400.bin</t>
  </si>
  <si>
    <t>-582.11198609192 66.4808577650413 -235.743647637095</t>
  </si>
  <si>
    <t>-604.604537065718 68.5313895472377 -354.729717825864</t>
  </si>
  <si>
    <t>-610.109898483932 57.8634238322087 -475.338409073528</t>
  </si>
  <si>
    <t>-608.007529422681 43.1779677998948 -583.849946200192</t>
  </si>
  <si>
    <t>-598.930161013653 23.5613469428159 -691.216952592966</t>
  </si>
  <si>
    <t>-582.815880160079 36.3475077590987 -779.529888479121</t>
  </si>
  <si>
    <t>-557.030746178495 181.128586425099 -779.202566736914</t>
  </si>
  <si>
    <t>-465.635724702476 234.997966097717 -480.989057257388</t>
  </si>
  <si>
    <t>-277.073336372501 184.732218821521 -309.060070348697</t>
  </si>
  <si>
    <t>-565.385038932616 161.897541214502 -236.703600362451</t>
  </si>
  <si>
    <t>-532.467223362288 221.58991707662 213.863691654248</t>
  </si>
  <si>
    <t>-629.601648275369 246.091974996975 672.967557120779</t>
  </si>
  <si>
    <t>-477.757460840169 238.382915608862 761.440335499121</t>
  </si>
  <si>
    <t>-612.363417249126 -8.22458171313428 221.008680732637</t>
  </si>
  <si>
    <t>-658.124251372411 5.90841201431572 688.339727541306</t>
  </si>
  <si>
    <t>-503.141482796523 -40.5922062949164 757.343759846016</t>
  </si>
  <si>
    <t>9763-20170724T164207.789694300.bin</t>
  </si>
  <si>
    <t>-581.183851844937 64.6482097494437 -235.718938579369</t>
  </si>
  <si>
    <t>-603.140637318529 66.3485763790869 -354.810543833261</t>
  </si>
  <si>
    <t>-607.976357984037 55.6738578308705 -475.447356383284</t>
  </si>
  <si>
    <t>-605.21800945087 41.1269790020053 -583.962961062814</t>
  </si>
  <si>
    <t>-595.435673370267 21.7947092311328 -691.319389910721</t>
  </si>
  <si>
    <t>-578.951959404403 34.9404088585396 -779.511426428497</t>
  </si>
  <si>
    <t>-553.864503163839 179.836484008909 -778.680528742737</t>
  </si>
  <si>
    <t>-463.237247916067 233.536812644791 -480.20233214255</t>
  </si>
  <si>
    <t>-273.49898728079 186.805398842878 -308.570179271038</t>
  </si>
  <si>
    <t>-564.972900530557 159.895642778027 -236.819352477439</t>
  </si>
  <si>
    <t>-532.798140365039 221.036435304398 213.60732212594</t>
  </si>
  <si>
    <t>-629.622574774541 246.0190266609 672.712366201169</t>
  </si>
  <si>
    <t>-477.773181662844 238.733062330163 761.211925977153</t>
  </si>
  <si>
    <t>-612.500742574164 -9.57687018207297 221.040321416079</t>
  </si>
  <si>
    <t>-658.204583019995 5.65765601987593 688.340676078234</t>
  </si>
  <si>
    <t>-503.369261155221 -41.3189156893849 757.353238107957</t>
  </si>
  <si>
    <t>9763-20170724T164207.821481700.bin</t>
  </si>
  <si>
    <t>-580.661621391026 63.6547888621035 -235.663879275016</t>
  </si>
  <si>
    <t>-602.432093516973 65.2618169358831 -354.791055646248</t>
  </si>
  <si>
    <t>-606.988182075319 54.699637636885 -475.448572704133</t>
  </si>
  <si>
    <t>-603.939911831263 40.3406227621426 -583.981459944689</t>
  </si>
  <si>
    <t>-593.830435896342 21.2830737479889 -691.356759496575</t>
  </si>
  <si>
    <t>-577.184447379432 34.7276985683758 -779.473182372529</t>
  </si>
  <si>
    <t>-552.454858141741 179.689332498284 -778.178943529628</t>
  </si>
  <si>
    <t>-462.673825406709 233.806339225591 -479.520437262654</t>
  </si>
  <si>
    <t>-270.9955695156 190.488689769372 -309.152969234739</t>
  </si>
  <si>
    <t>-564.699951428453 158.961560125848 -236.807675332433</t>
  </si>
  <si>
    <t>-533.160557343719 220.573746682755 213.599819474948</t>
  </si>
  <si>
    <t>-629.721211182429 246.058019335016 672.736227334698</t>
  </si>
  <si>
    <t>-477.796932464621 238.818273786181 761.11108659039</t>
  </si>
  <si>
    <t>-612.524177268061 -10.2255177097447 221.050988322685</t>
  </si>
  <si>
    <t>-658.233840283182 5.6358719667131 688.335479687285</t>
  </si>
  <si>
    <t>-503.306554644617 -41.0537392819461 757.336446489811</t>
  </si>
  <si>
    <t>9763-20170724T164207.892672200.bin</t>
  </si>
  <si>
    <t>-579.859353170277 61.724997273256 -235.534655730304</t>
  </si>
  <si>
    <t>-601.304193043137 63.2129966113394 -354.722415009779</t>
  </si>
  <si>
    <t>-605.406943168159 52.9073388893413 -475.418407368986</t>
  </si>
  <si>
    <t>-601.896813942487 38.9384922395171 -583.988198640772</t>
  </si>
  <si>
    <t>-591.272943573671 20.4310237406735 -691.410051551667</t>
  </si>
  <si>
    <t>-574.476347780096 34.4681897431122 -779.405449561477</t>
  </si>
  <si>
    <t>-551.080632130587 179.62792675378 -777.215636064066</t>
  </si>
  <si>
    <t>-461.634037875822 233.902495441327 -478.485267195467</t>
  </si>
  <si>
    <t>-267.288349646309 193.180770559049 -310.516524557791</t>
  </si>
  <si>
    <t>-564.529072723623 157.059163511259 -236.649299741346</t>
  </si>
  <si>
    <t>-533.79550903477 219.6578411478 213.677904263497</t>
  </si>
  <si>
    <t>-629.982222573031 246.050416537157 672.883208577807</t>
  </si>
  <si>
    <t>-477.857629903818 238.904527413179 760.920447714914</t>
  </si>
  <si>
    <t>-612.379006272624 -11.558847962527 221.080420119733</t>
  </si>
  <si>
    <t>-658.363602000815 5.31937031256935 688.320371807302</t>
  </si>
  <si>
    <t>-503.597582337239 -41.9331413126168 757.300132047092</t>
  </si>
  <si>
    <t>9763-20170724T164207.922477200.bin</t>
  </si>
  <si>
    <t>-579.612463185132 60.7803002878659 -235.457358334536</t>
  </si>
  <si>
    <t>-601.017007911089 62.2562239403878 -354.652400980714</t>
  </si>
  <si>
    <t>-605.077017388617 52.1382824108966 -475.365832218228</t>
  </si>
  <si>
    <t>-601.525882306469 38.421932986323 -583.966434770761</t>
  </si>
  <si>
    <t>-590.857490429283 20.2495858192044 -691.441032192455</t>
  </si>
  <si>
    <t>-574.188155335066 34.6336896615816 -779.404653836494</t>
  </si>
  <si>
    <t>-551.526676413624 179.903745449942 -776.753980139151</t>
  </si>
  <si>
    <t>-461.27239210627 233.226986400369 -478.09519868566</t>
  </si>
  <si>
    <t>-266.437188794947 192.511927676287 -310.692805782065</t>
  </si>
  <si>
    <t>-564.680774944683 156.153756842335 -236.525739343502</t>
  </si>
  <si>
    <t>-533.831558351624 219.309656765592 213.715704440836</t>
  </si>
  <si>
    <t>-630.074670091484 245.962624387608 672.90746674865</t>
  </si>
  <si>
    <t>-477.87545525844 239.056438187585 760.834769545494</t>
  </si>
  <si>
    <t>-612.263789556322 -12.1588871432212 221.08462793139</t>
  </si>
  <si>
    <t>-658.407568248706 5.27190134725657 688.304533564587</t>
  </si>
  <si>
    <t>-503.717457768136 -42.2387762206524 757.277099746692</t>
  </si>
  <si>
    <t>9763-20170724T164207.987650700.bin</t>
  </si>
  <si>
    <t>-579.214333109494 59.2357648169595 -235.211866755034</t>
  </si>
  <si>
    <t>-600.596493401892 60.6887659160533 -354.411225047526</t>
  </si>
  <si>
    <t>-604.598309442167 51.0106554122488 -475.16259627234</t>
  </si>
  <si>
    <t>-600.979421905456 37.8798531792706 -583.83337610987</t>
  </si>
  <si>
    <t>-590.226602030804 20.4788104147867 -691.427131280732</t>
  </si>
  <si>
    <t>-573.750461254438 35.6428116221436 -779.296132737598</t>
  </si>
  <si>
    <t>-552.192346714744 181.052996464186 -775.574473748005</t>
  </si>
  <si>
    <t>-459.759610828712 232.587242434014 -477.268254114113</t>
  </si>
  <si>
    <t>-265.22784327827 191.435449121378 -309.620027788091</t>
  </si>
  <si>
    <t>-564.900960316139 154.516431713077 -236.169506285563</t>
  </si>
  <si>
    <t>-533.503607416337 218.804865075424 213.873693071508</t>
  </si>
  <si>
    <t>-630.216389719155 245.761911030835 672.944198494475</t>
  </si>
  <si>
    <t>-477.904640203108 239.342048965845 760.71337293715</t>
  </si>
  <si>
    <t>-611.546150393267 -13.1674269650437 221.177763290116</t>
  </si>
  <si>
    <t>-658.543959253208 4.96564416254859 688.282733092412</t>
  </si>
  <si>
    <t>-503.895987613968 -42.7385362781446 757.216194968319</t>
  </si>
  <si>
    <t>9763-20170724T164208.024755200.bin</t>
  </si>
  <si>
    <t>-579.01044593387 58.5134338193964 -235.130003588292</t>
  </si>
  <si>
    <t>-600.536312534984 60.0192336722827 -354.302903664686</t>
  </si>
  <si>
    <t>-604.582648519605 50.6066790798694 -475.073741615849</t>
  </si>
  <si>
    <t>-600.962645341088 37.8022667150577 -583.7834401666</t>
  </si>
  <si>
    <t>-590.166646107816 20.8134685392238 -691.43874002512</t>
  </si>
  <si>
    <t>-573.732134849641 36.3806298561975 -779.245019436616</t>
  </si>
  <si>
    <t>-552.512090912228 181.834248084278 -774.962425968367</t>
  </si>
  <si>
    <t>-459.248594085021 232.50456392806 -476.766899095147</t>
  </si>
  <si>
    <t>-265.011319186351 190.852929497389 -308.90056820616</t>
  </si>
  <si>
    <t>-564.996876813327 153.785201874345 -236.004252205539</t>
  </si>
  <si>
    <t>-533.273994584934 218.559339379062 213.946438523264</t>
  </si>
  <si>
    <t>-630.250457740711 245.71411741313 672.910657311466</t>
  </si>
  <si>
    <t>-477.919484528717 239.405061010781 760.654491047491</t>
  </si>
  <si>
    <t>-611.185928530261 -13.4866174224572 221.205712939254</t>
  </si>
  <si>
    <t>-658.555898668339 5.06274825228665 688.26694274387</t>
  </si>
  <si>
    <t>-503.29353089364 -40.7258565372071 757.118373833903</t>
  </si>
  <si>
    <t>9763-20170724T164208.086920500.bin</t>
  </si>
  <si>
    <t>-578.817205942031 57.2609426139202 -235.006907607501</t>
  </si>
  <si>
    <t>-600.24975701329 58.7182924735301 -354.197219324011</t>
  </si>
  <si>
    <t>-604.160581041396 49.6867739284362 -475.001643314726</t>
  </si>
  <si>
    <t>-600.402932212856 37.3986967982863 -583.766143862414</t>
  </si>
  <si>
    <t>-589.454373429396 21.0951310557566 -691.512046195254</t>
  </si>
  <si>
    <t>-573.013407441278 37.3412253864082 -779.193883983911</t>
  </si>
  <si>
    <t>-552.129832587033 182.800490300906 -773.877137180902</t>
  </si>
  <si>
    <t>-457.547961877096 232.174279162505 -475.879298213191</t>
  </si>
  <si>
    <t>-263.490416419974 189.446132762063 -308.075830585165</t>
  </si>
  <si>
    <t>-565.097695187543 152.621622738077 -235.871646553062</t>
  </si>
  <si>
    <t>-532.999067814122 218.064546038216 213.955630861243</t>
  </si>
  <si>
    <t>-630.256782606035 245.641717237381 672.832113109561</t>
  </si>
  <si>
    <t>-477.934649797294 239.44947187193 760.599650176287</t>
  </si>
  <si>
    <t>-610.755035464154 -14.3500579925987 221.267755018081</t>
  </si>
  <si>
    <t>-658.670367440285 4.80235535748568 688.236987185342</t>
  </si>
  <si>
    <t>-503.894977395437 -42.5741625728681 757.110436856441</t>
  </si>
  <si>
    <t>9763-20170724T164208.123040400.bin</t>
  </si>
  <si>
    <t>-578.819399942287 56.5735107608398 -234.948996346239</t>
  </si>
  <si>
    <t>-600.315917038525 58.0515664957474 -354.127559552363</t>
  </si>
  <si>
    <t>-604.235060932944 49.2189621353814 -474.94632325311</t>
  </si>
  <si>
    <t>-600.463263490474 37.1806274467082 -583.738307930558</t>
  </si>
  <si>
    <t>-589.479233614962 21.1949514353745 -691.528276093505</t>
  </si>
  <si>
    <t>-573.032335254291 37.7467503685021 -779.151806271886</t>
  </si>
  <si>
    <t>-552.116145742434 183.193590213249 -773.357067820606</t>
  </si>
  <si>
    <t>-456.709098752083 231.727445075895 -475.484363103354</t>
  </si>
  <si>
    <t>-262.508288622515 188.652244633513 -307.935475750945</t>
  </si>
  <si>
    <t>-565.305926572995 151.96701942983 -235.782290114532</t>
  </si>
  <si>
    <t>-533.001839205207 217.816117837926 213.970955967854</t>
  </si>
  <si>
    <t>-630.265397540153 245.626975750317 672.812469027579</t>
  </si>
  <si>
    <t>-477.943021239886 239.448831214516 760.580554439796</t>
  </si>
  <si>
    <t>-610.684694085136 -14.6995466457807 221.285985930295</t>
  </si>
  <si>
    <t>-658.670350485063 4.86478723966071 688.233064687668</t>
  </si>
  <si>
    <t>-503.346958280033 -40.7888838580903 757.036304089064</t>
  </si>
  <si>
    <t>9763-20170724T164208.189208000.bin</t>
  </si>
  <si>
    <t>-579.180517413563 55.1964196771486 -234.843563403981</t>
  </si>
  <si>
    <t>-600.638370412883 56.6700418663328 -354.029050820736</t>
  </si>
  <si>
    <t>-604.478289018985 48.1279064529974 -474.871358127002</t>
  </si>
  <si>
    <t>-600.624022658318 36.4619300321773 -583.701094784145</t>
  </si>
  <si>
    <t>-589.549486344663 20.9517179005447 -691.551161798527</t>
  </si>
  <si>
    <t>-573.016609043182 37.9524802369458 -779.072584380318</t>
  </si>
  <si>
    <t>-552.051032090672 183.354904384814 -772.458651786998</t>
  </si>
  <si>
    <t>-454.963438383216 230.137739585039 -474.848973587708</t>
  </si>
  <si>
    <t>-260.574921959761 185.841641657149 -307.836918789998</t>
  </si>
  <si>
    <t>-565.899701714696 150.747828831843 -235.638249330177</t>
  </si>
  <si>
    <t>-533.205697641317 217.259464867722 213.989346971854</t>
  </si>
  <si>
    <t>-630.335132848053 245.624901183832 672.846028592798</t>
  </si>
  <si>
    <t>-477.969262999949 239.499815930305 760.542274220048</t>
  </si>
  <si>
    <t>-610.803955621739 -15.695152465162 221.317512687359</t>
  </si>
  <si>
    <t>-658.748777679858 4.68900170869262 688.224945977127</t>
  </si>
  <si>
    <t>-503.623512010655 -41.6423650630898 757.022288888332</t>
  </si>
  <si>
    <t>9763-20170724T164208.221300700.bin</t>
  </si>
  <si>
    <t>-579.486158054095 54.4150087018384 -234.80727090474</t>
  </si>
  <si>
    <t>-600.948129762725 55.9025063220885 -353.991914593615</t>
  </si>
  <si>
    <t>-604.766791209473 47.4848117682623 -474.84350070577</t>
  </si>
  <si>
    <t>-600.88656035345 35.9695749176636 -583.688332091851</t>
  </si>
  <si>
    <t>-589.781081684827 20.6443941588102 -691.561713600851</t>
  </si>
  <si>
    <t>-573.182285530234 37.8117867887213 -779.038069095893</t>
  </si>
  <si>
    <t>-552.069618770339 183.186385215839 -772.151734391612</t>
  </si>
  <si>
    <t>-454.214161637287 229.417359505493 -474.7072862818</t>
  </si>
  <si>
    <t>-259.802606543632 184.835483210496 -307.798167806872</t>
  </si>
  <si>
    <t>-566.27017385417 150.030774383774 -235.586539712835</t>
  </si>
  <si>
    <t>-533.48457884438 216.943443015391 213.974856189793</t>
  </si>
  <si>
    <t>-630.367372242081 245.64509640672 672.855619513401</t>
  </si>
  <si>
    <t>-477.973656029183 239.519840737878 760.50350526284</t>
  </si>
  <si>
    <t>-611.162791140986 -16.3052876759935 221.307008786392</t>
  </si>
  <si>
    <t>-658.8012347443 4.5757772345459 688.220104521636</t>
  </si>
  <si>
    <t>-503.806495778318 -42.1865630539458 757.019937077957</t>
  </si>
  <si>
    <t>9763-20170724T164208.293493000.bin</t>
  </si>
  <si>
    <t>-580.290383157278 53.0249239317111 -234.812189525665</t>
  </si>
  <si>
    <t>-601.646162983013 54.5203367552769 -354.015765332241</t>
  </si>
  <si>
    <t>-605.317122439691 46.2441916104724 -474.88171056581</t>
  </si>
  <si>
    <t>-601.29223838968 34.9022383069975 -583.739614342588</t>
  </si>
  <si>
    <t>-590.034173789076 19.7900812992512 -691.627071215542</t>
  </si>
  <si>
    <t>-573.222162322488 37.1450400843846 -779.025652733836</t>
  </si>
  <si>
    <t>-551.680004576599 182.435023905711 -771.815162062365</t>
  </si>
  <si>
    <t>-452.774750682522 228.252559610998 -474.654128301401</t>
  </si>
  <si>
    <t>-258.649592038299 182.776889959021 -307.652703283433</t>
  </si>
  <si>
    <t>-567.091460459466 148.788035141634 -235.547908170427</t>
  </si>
  <si>
    <t>-533.954167592278 216.322372671032 213.894813993023</t>
  </si>
  <si>
    <t>-630.429821467495 245.70576433874 672.859688224248</t>
  </si>
  <si>
    <t>-477.979978103105 239.585061130856 760.410141130821</t>
  </si>
  <si>
    <t>-612.041397653801 -17.4967300854593 221.254266365743</t>
  </si>
  <si>
    <t>-658.938506500029 4.25360942849785 688.213766793652</t>
  </si>
  <si>
    <t>-503.81769100868 -42.1320436373221 756.984469695936</t>
  </si>
  <si>
    <t>9763-20170724T164208.326589700.bin</t>
  </si>
  <si>
    <t>-580.745265156913 52.3096217210747 -234.789645748808</t>
  </si>
  <si>
    <t>-602.072184852307 53.8445438012347 -353.997943584056</t>
  </si>
  <si>
    <t>-605.693313860453 45.6294526697383 -474.86956410333</t>
  </si>
  <si>
    <t>-601.616807986942 34.3479711642089 -583.731725373826</t>
  </si>
  <si>
    <t>-590.301764350712 19.2997307062737 -691.622367036011</t>
  </si>
  <si>
    <t>-573.38531911802 36.7025442416626 -778.991188700969</t>
  </si>
  <si>
    <t>-551.635982034822 181.943099757476 -771.65709652541</t>
  </si>
  <si>
    <t>-452.323021846582 227.604161852865 -474.608021709903</t>
  </si>
  <si>
    <t>-258.31934637497 181.441139547506 -307.65411560435</t>
  </si>
  <si>
    <t>-567.459080663554 148.139472402709 -235.496931700642</t>
  </si>
  <si>
    <t>-534.132311583997 215.992613888472 213.883675243903</t>
  </si>
  <si>
    <t>-630.46199148187 245.764495206944 672.840371767687</t>
  </si>
  <si>
    <t>-477.990437229465 239.543241911497 760.346019306022</t>
  </si>
  <si>
    <t>-612.560408907279 -18.0906548083554 221.237600820361</t>
  </si>
  <si>
    <t>-658.985046285591 4.12920442263619 688.220560543703</t>
  </si>
  <si>
    <t>-504.036038724711 -42.7899613547457 757.016633028923</t>
  </si>
  <si>
    <t>9763-20170724T164208.392763200.bin</t>
  </si>
  <si>
    <t>-581.66207427336 51.2235886544672 -234.804345307804</t>
  </si>
  <si>
    <t>-602.944237175221 52.8213763154603 -354.019834812682</t>
  </si>
  <si>
    <t>-606.509160339851 44.7184717579969 -474.900678728074</t>
  </si>
  <si>
    <t>-602.379458382281 33.5539100863126 -583.772806862501</t>
  </si>
  <si>
    <t>-591.010099845281 18.6358467570264 -691.675733021202</t>
  </si>
  <si>
    <t>-573.975474856813 36.1441600977396 -779.000676662913</t>
  </si>
  <si>
    <t>-551.902311351672 181.337381850188 -771.504102285953</t>
  </si>
  <si>
    <t>-451.953169809817 226.203912907439 -474.547297576587</t>
  </si>
  <si>
    <t>-258.101626451351 178.846403353802 -307.751473035593</t>
  </si>
  <si>
    <t>-568.229175076661 147.25650607519 -235.510963200088</t>
  </si>
  <si>
    <t>-534.435406172927 215.452878981148 213.782817457698</t>
  </si>
  <si>
    <t>-630.482559290268 245.850309092906 672.746863321459</t>
  </si>
  <si>
    <t>-477.994447693038 239.511836171161 760.215174744935</t>
  </si>
  <si>
    <t>-613.47548540802 -18.9688464292165 221.183556126774</t>
  </si>
  <si>
    <t>-659.02700325655 4.15215993346217 688.221649501333</t>
  </si>
  <si>
    <t>-503.862454684564 -42.0964497936596 756.986003011855</t>
  </si>
  <si>
    <t>9763-20170724T164208.422650700.bin</t>
  </si>
  <si>
    <t>-582.097353575774 50.7816226378215 -234.827035396535</t>
  </si>
  <si>
    <t>-603.346817585449 52.4030260733137 -354.048092701408</t>
  </si>
  <si>
    <t>-606.919240449707 44.3465096271485 -474.931884074541</t>
  </si>
  <si>
    <t>-602.812837783443 33.232310468759 -583.810047867348</t>
  </si>
  <si>
    <t>-591.483002939092 18.3724424248817 -691.725231761464</t>
  </si>
  <si>
    <t>-574.464081780208 35.9301124233029 -779.043256345493</t>
  </si>
  <si>
    <t>-552.274511356903 181.091914645388 -771.477406886301</t>
  </si>
  <si>
    <t>-452.305172379715 225.584038563307 -474.470992770584</t>
  </si>
  <si>
    <t>-258.369072134171 177.892482090589 -307.868512417844</t>
  </si>
  <si>
    <t>-568.630387564216 146.844827127687 -235.532833965858</t>
  </si>
  <si>
    <t>-534.646759395773 215.212055226084 213.720695927197</t>
  </si>
  <si>
    <t>-630.477324368386 245.901576820854 672.697022194068</t>
  </si>
  <si>
    <t>-477.993089794893 239.499175373524 760.167468815243</t>
  </si>
  <si>
    <t>-613.862654631147 -19.2984256159746 221.150087921921</t>
  </si>
  <si>
    <t>-659.048554403102 4.10058780741207 688.217758663934</t>
  </si>
  <si>
    <t>-503.791532234509 -41.8260225717484 756.989173650872</t>
  </si>
  <si>
    <t>9763-20170724T164208.487821700.bin</t>
  </si>
  <si>
    <t>-582.812654399276 50.186140818649 -234.903881541952</t>
  </si>
  <si>
    <t>-604.065962144922 51.7799562785897 -354.124558687876</t>
  </si>
  <si>
    <t>-607.646886240744 43.7580644115353 -475.010364443177</t>
  </si>
  <si>
    <t>-603.551155634544 32.6974444696416 -583.894472742145</t>
  </si>
  <si>
    <t>-592.23550137647 17.9119917305722 -691.821240990536</t>
  </si>
  <si>
    <t>-575.160814148629 35.5348371474919 -779.115192313054</t>
  </si>
  <si>
    <t>-552.572670529135 180.628238422019 -771.423535461545</t>
  </si>
  <si>
    <t>-452.835638124968 224.407701645064 -474.233259576692</t>
  </si>
  <si>
    <t>-259.382601690076 174.571387592137 -307.697040418427</t>
  </si>
  <si>
    <t>-569.222007777508 146.31678884136 -235.665009451963</t>
  </si>
  <si>
    <t>-535.154528382 214.8146123411 213.562242458327</t>
  </si>
  <si>
    <t>-630.473768755718 246.00979501721 672.630210270989</t>
  </si>
  <si>
    <t>-477.994304026193 239.417414133784 760.094886981986</t>
  </si>
  <si>
    <t>-614.385184755905 -19.8469252254718 221.125044447278</t>
  </si>
  <si>
    <t>-659.123102836877 3.87048699403191 688.224682664631</t>
  </si>
  <si>
    <t>-503.890442508722 -42.104832069276 757.018607163371</t>
  </si>
  <si>
    <t>9763-20170724T164208.526932900.bin</t>
  </si>
  <si>
    <t>-583.069576627684 50.0043867062083 -234.937445679294</t>
  </si>
  <si>
    <t>-604.389177298336 51.6168924525382 -354.145938349309</t>
  </si>
  <si>
    <t>-608.044138242072 43.6359455185109 -475.032355890651</t>
  </si>
  <si>
    <t>-604.018234712342 32.6203552393667 -583.923676213038</t>
  </si>
  <si>
    <t>-592.775142288987 17.887501309803 -691.865076574724</t>
  </si>
  <si>
    <t>-575.73020223451 35.5541636415567 -779.156125777017</t>
  </si>
  <si>
    <t>-552.947799296766 180.620278615619 -771.419763346637</t>
  </si>
  <si>
    <t>-453.306555165713 224.047295122791 -474.145693858808</t>
  </si>
  <si>
    <t>-260.095111703136 173.370117737811 -307.582704775247</t>
  </si>
  <si>
    <t>-569.492972326273 146.162098827847 -235.701431595685</t>
  </si>
  <si>
    <t>-535.29992706443 214.683559499505 213.512791740027</t>
  </si>
  <si>
    <t>-630.46075922389 246.050711566036 672.587039593028</t>
  </si>
  <si>
    <t>-477.990205771064 239.428458627416 760.064938772247</t>
  </si>
  <si>
    <t>-614.513309584413 -19.9122711707387 221.117798938691</t>
  </si>
  <si>
    <t>-659.113410481453 3.9555795541858 688.219853614708</t>
  </si>
  <si>
    <t>-503.639092723316 -41.2385147519925 756.985771950445</t>
  </si>
  <si>
    <t>9763-20170724T164208.591101100.bin</t>
  </si>
  <si>
    <t>-583.308181119468 49.8986967870557 -235.051702720234</t>
  </si>
  <si>
    <t>-604.535844814156 51.4592492404867 -354.277351155844</t>
  </si>
  <si>
    <t>-608.280168869336 43.3726060578568 -475.154033871747</t>
  </si>
  <si>
    <t>-604.408515270603 32.2388985362351 -584.038791353009</t>
  </si>
  <si>
    <t>-593.392099750705 17.3647406103578 -691.984338526795</t>
  </si>
  <si>
    <t>-576.481241652571 34.8909231089351 -779.329707722804</t>
  </si>
  <si>
    <t>-553.386038826866 179.922578474072 -771.785483987505</t>
  </si>
  <si>
    <t>-454.816301659191 222.547734408246 -474.038371358996</t>
  </si>
  <si>
    <t>-261.90856154324 169.395948713371 -307.895283376424</t>
  </si>
  <si>
    <t>-569.550969625784 146.0002451039 -235.897052732085</t>
  </si>
  <si>
    <t>-535.422903259443 214.521063054965 213.322083712426</t>
  </si>
  <si>
    <t>-630.372559815556 246.14265108273 672.46668731586</t>
  </si>
  <si>
    <t>-477.95887552022 239.404707929442 760.034903709118</t>
  </si>
  <si>
    <t>-614.654528019056 -19.960354785794 221.092628911228</t>
  </si>
  <si>
    <t>-659.13911548476 3.86959175021646 688.211755386725</t>
  </si>
  <si>
    <t>-503.646429312237 -41.2463480799855 756.987576894175</t>
  </si>
  <si>
    <t>9763-20170724T164208.622189200.bin</t>
  </si>
  <si>
    <t>-583.222862005737 49.8876316047092 -235.071946852322</t>
  </si>
  <si>
    <t>-604.450302207702 51.4420645797052 -354.297636979091</t>
  </si>
  <si>
    <t>-608.318713781077 43.290448541242 -475.166076196801</t>
  </si>
  <si>
    <t>-604.608733167374 32.0738228153592 -584.04804745334</t>
  </si>
  <si>
    <t>-593.802406547428 17.0926924045835 -692.000014441225</t>
  </si>
  <si>
    <t>-577.026450573769 34.5091692750094 -779.393339731257</t>
  </si>
  <si>
    <t>-553.577108931466 179.488077565338 -771.994602086291</t>
  </si>
  <si>
    <t>-455.806715202101 221.731987213339 -473.929723413111</t>
  </si>
  <si>
    <t>-263.101782440085 166.319079613098 -308.290781717899</t>
  </si>
  <si>
    <t>-569.406033557053 145.927014040087 -235.967529063136</t>
  </si>
  <si>
    <t>-535.4495342116 214.436894219506 213.266299873404</t>
  </si>
  <si>
    <t>-630.314822204653 246.189190876472 672.408162707635</t>
  </si>
  <si>
    <t>-477.944534157503 239.362255102886 760.044959538505</t>
  </si>
  <si>
    <t>-614.610274124342 -19.8681682708187 221.099400764515</t>
  </si>
  <si>
    <t>-659.11800588905 3.96676727059652 688.207347321491</t>
  </si>
  <si>
    <t>-503.564364645544 -40.9327340763487 756.986776289187</t>
  </si>
  <si>
    <t>9763-20170724T164208.689371200.bin</t>
  </si>
  <si>
    <t>-582.942806758889 49.9248803190308 -235.11166002528</t>
  </si>
  <si>
    <t>-604.22628623536 51.4837099807559 -354.327374286662</t>
  </si>
  <si>
    <t>-608.417400149314 43.1948451838208 -475.175688787672</t>
  </si>
  <si>
    <t>-605.105066359685 31.7957482842461 -584.051406689482</t>
  </si>
  <si>
    <t>-594.800058309243 16.5735104783187 -692.018701828035</t>
  </si>
  <si>
    <t>-578.335126126866 33.7379777836285 -779.520975841382</t>
  </si>
  <si>
    <t>-554.198425232498 178.617651849389 -772.470423943755</t>
  </si>
  <si>
    <t>-457.926164810308 220.234428877655 -473.830346554838</t>
  </si>
  <si>
    <t>-265.248562355513 159.637251079367 -309.984822579417</t>
  </si>
  <si>
    <t>-568.791767161184 146.038858694055 -236.061183417018</t>
  </si>
  <si>
    <t>-535.093379656758 214.329839459818 213.225434379037</t>
  </si>
  <si>
    <t>-630.246691230924 246.307229272352 672.371728996738</t>
  </si>
  <si>
    <t>-477.925072065845 239.210233335523 760.071567817012</t>
  </si>
  <si>
    <t>-614.347752586211 -19.783909715544 221.148772528952</t>
  </si>
  <si>
    <t>-659.161973915568 3.75605158004697 688.22012149347</t>
  </si>
  <si>
    <t>-504.022894018762 -42.481768688239 757.049069112078</t>
  </si>
  <si>
    <t>9763-20170724T164208.720135000.bin</t>
  </si>
  <si>
    <t>-582.728892479369 49.9127095280524 -235.074424753247</t>
  </si>
  <si>
    <t>-604.067604022473 51.5089470477175 -354.279897600168</t>
  </si>
  <si>
    <t>-608.459220174426 43.179398660487 -475.11813580016</t>
  </si>
  <si>
    <t>-605.38533849313 31.7119257679904 -583.993749059363</t>
  </si>
  <si>
    <t>-595.374200992586 16.3899488341387 -691.974609729595</t>
  </si>
  <si>
    <t>-579.103013879424 33.4439723014634 -779.534739450884</t>
  </si>
  <si>
    <t>-554.633057415874 178.293702999998 -772.730055713781</t>
  </si>
  <si>
    <t>-459.080392674652 219.354289909271 -473.782090947369</t>
  </si>
  <si>
    <t>-266.219944019685 156.09789850272 -311.16118533195</t>
  </si>
  <si>
    <t>-568.408289340308 145.979456497339 -236.046375270028</t>
  </si>
  <si>
    <t>-534.658587937991 214.279770171949 213.234922763073</t>
  </si>
  <si>
    <t>-630.204123878923 246.331180975035 672.304503771054</t>
  </si>
  <si>
    <t>-477.910419198787 239.158805836244 760.04676967877</t>
  </si>
  <si>
    <t>-614.082291974446 -19.7334374163356 221.202165283207</t>
  </si>
  <si>
    <t>-659.183762958185 3.73218704334472 688.226887231537</t>
  </si>
  <si>
    <t>-504.16168627021 -42.8941974768803 757.057479098111</t>
  </si>
  <si>
    <t>9763-20170724T164208.790321600.bin</t>
  </si>
  <si>
    <t>-582.164749829065 49.9443681070617 -235.151113484501</t>
  </si>
  <si>
    <t>-603.681898146442 51.6368225407346 -354.323132334955</t>
  </si>
  <si>
    <t>-608.589321636194 43.2211819316754 -475.135624913803</t>
  </si>
  <si>
    <t>-606.113413132126 31.6027720867334 -584.010484130167</t>
  </si>
  <si>
    <t>-596.827810698759 16.0580659201308 -692.024211878846</t>
  </si>
  <si>
    <t>-581.020183822639 32.860417698371 -779.717902954223</t>
  </si>
  <si>
    <t>-555.97143554092 177.633671674424 -773.563131082784</t>
  </si>
  <si>
    <t>-462.883377758865 218.099432556691 -473.757613545703</t>
  </si>
  <si>
    <t>-268.876740687691 150.48052724229 -314.28606810907</t>
  </si>
  <si>
    <t>-567.176072833481 145.977847092776 -236.211451657399</t>
  </si>
  <si>
    <t>-533.77362492993 214.020932426193 213.134871896996</t>
  </si>
  <si>
    <t>-630.002513795496 246.374522761978 672.029190751831</t>
  </si>
  <si>
    <t>-477.866552709088 238.993241083813 760.027326157837</t>
  </si>
  <si>
    <t>-613.36247799338 -19.4215673152471 221.245701895286</t>
  </si>
  <si>
    <t>-659.1885533351 3.74948273275815 688.226662938534</t>
  </si>
  <si>
    <t>-504.226973093621 -43.0828067613444 757.053563172165</t>
  </si>
  <si>
    <t>9763-20170724T164208.826141900.bin</t>
  </si>
  <si>
    <t>-581.699445912891 49.9563304074637 -235.147015766836</t>
  </si>
  <si>
    <t>-603.287577251496 51.6945306732177 -354.305452935388</t>
  </si>
  <si>
    <t>-608.458922962289 43.2641532669889 -475.105920036812</t>
  </si>
  <si>
    <t>-606.295442574364 31.6109076348696 -583.983673561126</t>
  </si>
  <si>
    <t>-597.392758438914 16.012038433488 -692.022041289452</t>
  </si>
  <si>
    <t>-581.851837371142 32.7477337767082 -779.775895206749</t>
  </si>
  <si>
    <t>-556.474478293054 177.469589209606 -773.944623550663</t>
  </si>
  <si>
    <t>-464.684962776288 218.216617228826 -473.777062370928</t>
  </si>
  <si>
    <t>-270.07791956674 148.482508347389 -315.956561299112</t>
  </si>
  <si>
    <t>-566.346638749272 145.980517115056 -236.273549324621</t>
  </si>
  <si>
    <t>-533.260132389426 213.850754120069 213.122183253284</t>
  </si>
  <si>
    <t>-629.891918201942 246.373708470487 671.936619715985</t>
  </si>
  <si>
    <t>-477.848820479398 238.83808291893 760.082138751496</t>
  </si>
  <si>
    <t>-612.937201572854 -19.2575231243946 221.277542183505</t>
  </si>
  <si>
    <t>-659.204971821422 3.68120291661718 688.224818069578</t>
  </si>
  <si>
    <t>-504.514102322635 -44.0018980228263 757.076619547842</t>
  </si>
  <si>
    <t>9763-20170724T164208.890313900.bin</t>
  </si>
  <si>
    <t>-580.683038112498 49.9249317825984 -235.080354702856</t>
  </si>
  <si>
    <t>-602.521159402107 51.800609988549 -354.191138061751</t>
  </si>
  <si>
    <t>-608.353437463628 43.3552995640732 -474.960448587835</t>
  </si>
  <si>
    <t>-606.943696057851 31.6337278653975 -583.843307708081</t>
  </si>
  <si>
    <t>-598.943509321206 15.9162563967009 -691.934970669647</t>
  </si>
  <si>
    <t>-584.128896537722 32.512814976619 -779.840754874121</t>
  </si>
  <si>
    <t>-558.395932642405 177.213614386285 -774.654904216806</t>
  </si>
  <si>
    <t>-467.066358730111 220.022488723546 -474.634012420888</t>
  </si>
  <si>
    <t>-272.265730063519 148.87010016508 -317.687838046597</t>
  </si>
  <si>
    <t>-564.738223719891 145.98506273011 -236.21580618871</t>
  </si>
  <si>
    <t>-531.841964689344 213.631169543838 213.227661422639</t>
  </si>
  <si>
    <t>-629.735966459853 246.363091097325 671.802482628488</t>
  </si>
  <si>
    <t>-477.83594387855 238.577415272455 760.17259019095</t>
  </si>
  <si>
    <t>-612.082414570985 -19.0290603760645 221.39072990729</t>
  </si>
  <si>
    <t>-659.228011727334 3.7267567499768 688.220967817817</t>
  </si>
  <si>
    <t>-504.729667407251 -44.5851066477783 757.066847505479</t>
  </si>
  <si>
    <t>9763-20170724T164208.920939800.bin</t>
  </si>
  <si>
    <t>-580.156538150068 49.977053169403 -234.990733267801</t>
  </si>
  <si>
    <t>-602.073504513195 51.9397821680319 -354.085675132016</t>
  </si>
  <si>
    <t>-608.212671055382 43.4815182536255 -474.838814382044</t>
  </si>
  <si>
    <t>-607.169609980058 31.7079454718479 -583.720175980967</t>
  </si>
  <si>
    <t>-599.62288081502 15.8984343714301 -691.83101237414</t>
  </si>
  <si>
    <t>-585.17554837212 32.3872368238887 -779.818221987486</t>
  </si>
  <si>
    <t>-559.233008744258 177.042629664867 -774.995477116431</t>
  </si>
  <si>
    <t>-467.681242387987 220.64876791061 -475.157348861342</t>
  </si>
  <si>
    <t>-272.778508884606 149.90538786087 -318.153006742808</t>
  </si>
  <si>
    <t>-564.01560969484 146.042594957161 -236.094621399959</t>
  </si>
  <si>
    <t>-531.010809575687 213.671565123994 213.343516961555</t>
  </si>
  <si>
    <t>-629.695524483048 246.337918984309 671.763097655139</t>
  </si>
  <si>
    <t>-477.833132660086 238.490365373964 760.19237912605</t>
  </si>
  <si>
    <t>-611.642416779513 -18.9126335000649 221.451380995159</t>
  </si>
  <si>
    <t>-659.225191937991 3.84276647338245 688.221603396692</t>
  </si>
  <si>
    <t>-504.447385322941 -43.6426102064145 757.014565829952</t>
  </si>
  <si>
    <t>9763-20170724T164208.988117200.bin</t>
  </si>
  <si>
    <t>-579.171140710175 50.0396384566782 -234.863948037811</t>
  </si>
  <si>
    <t>-601.357139650651 52.159227509096 -353.906400971919</t>
  </si>
  <si>
    <t>-608.150770210648 43.7396814059588 -474.627231415801</t>
  </si>
  <si>
    <t>-607.850119806366 31.9521755339156 -583.511634686541</t>
  </si>
  <si>
    <t>-601.192334887761 16.0792238187599 -691.671599634529</t>
  </si>
  <si>
    <t>-587.455063858894 32.4704113925131 -779.790694816636</t>
  </si>
  <si>
    <t>-561.048401884324 177.064818778107 -775.609590267677</t>
  </si>
  <si>
    <t>-468.473266309138 221.502702889134 -476.207875768674</t>
  </si>
  <si>
    <t>-273.469926142828 151.195364148419 -319.132655739956</t>
  </si>
  <si>
    <t>-562.711184968996 146.100797783748 -235.967208487815</t>
  </si>
  <si>
    <t>-529.299383717195 213.752755215415 213.437514448818</t>
  </si>
  <si>
    <t>-629.558294361634 246.23649376302 671.562180670452</t>
  </si>
  <si>
    <t>-477.802702031439 238.39564683823 760.175195919603</t>
  </si>
  <si>
    <t>-610.958751134232 -18.7565143841124 221.549771767092</t>
  </si>
  <si>
    <t>-659.274299964481 3.84773595126435 688.230834359364</t>
  </si>
  <si>
    <t>-504.759134360825 -44.5020883952043 757.012086967086</t>
  </si>
  <si>
    <t>9763-20170724T164209.024077100.bin</t>
  </si>
  <si>
    <t>-578.749627584307 50.2482752373627 -234.859883618629</t>
  </si>
  <si>
    <t>-601.110359094567 52.4013236584952 -353.869007204714</t>
  </si>
  <si>
    <t>-608.253325015034 43.9664996379935 -474.568705356506</t>
  </si>
  <si>
    <t>-608.336201896579 32.1459769173779 -583.449897523528</t>
  </si>
  <si>
    <t>-602.127175549026 16.2209220871501 -691.628831043574</t>
  </si>
  <si>
    <t>-588.758988644757 32.5522985709981 -779.815797310933</t>
  </si>
  <si>
    <t>-562.195401975845 177.125029455638 -775.926894833176</t>
  </si>
  <si>
    <t>-468.947431179005 222.001125026659 -476.799474550165</t>
  </si>
  <si>
    <t>-273.844157062766 151.444468059044 -319.960402037971</t>
  </si>
  <si>
    <t>-562.082556025654 146.344082191682 -235.968600138716</t>
  </si>
  <si>
    <t>-528.441352015586 213.759981363963 213.454396034558</t>
  </si>
  <si>
    <t>-629.46468255018 246.162894980913 671.420114018059</t>
  </si>
  <si>
    <t>-477.783957986455 238.347480600603 760.163449048344</t>
  </si>
  <si>
    <t>-610.472371883852 -18.5494457523056 221.597486910273</t>
  </si>
  <si>
    <t>-659.283066948182 3.89575817067293 688.234970162381</t>
  </si>
  <si>
    <t>-504.547797135653 -43.8054142284601 756.974405857222</t>
  </si>
  <si>
    <t>9763-20170724T164209.117309400.bin</t>
  </si>
  <si>
    <t>-578.393298750697 50.3454755507136 -234.845017483667</t>
  </si>
  <si>
    <t>-600.918748033143 52.5301827644745 -353.822522790873</t>
  </si>
  <si>
    <t>-608.370997330683 44.0606525849012 -474.501036430629</t>
  </si>
  <si>
    <t>-608.788343995214 32.1836789497562 -583.375272361063</t>
  </si>
  <si>
    <t>-602.966022063685 16.1780824346472 -691.563774407768</t>
  </si>
  <si>
    <t>-589.931328369229 32.4268866976108 -779.815878673281</t>
  </si>
  <si>
    <t>-563.200775183016 176.987864614433 -776.261313002283</t>
  </si>
  <si>
    <t>-469.343408454708 222.180061916759 -477.372321770483</t>
  </si>
  <si>
    <t>-274.142311583928 151.18703965322 -320.852116301462</t>
  </si>
  <si>
    <t>-561.517957761543 146.39613314569 -235.968034305442</t>
  </si>
  <si>
    <t>-527.642558086948 213.770757809685 213.443631933274</t>
  </si>
  <si>
    <t>-629.357043829196 246.061282110576 671.233110450794</t>
  </si>
  <si>
    <t>-477.760403247159 238.366764799717 760.130579024269</t>
  </si>
  <si>
    <t>-610.080938172609 -18.4040532282819 221.638662487978</t>
  </si>
  <si>
    <t>-659.305027997554 3.83234398123508 688.249480823062</t>
  </si>
  <si>
    <t>-504.830508664521 -44.6701970068318 757.014500159528</t>
  </si>
  <si>
    <t>9763-20170724T164209.127348000.bin</t>
  </si>
  <si>
    <t>-577.750466232832 50.6264456810382 -234.842021829235</t>
  </si>
  <si>
    <t>-600.465525404831 52.8573181849729 -353.782567045115</t>
  </si>
  <si>
    <t>-608.452955035644 44.310931983784 -474.421321490631</t>
  </si>
  <si>
    <t>-609.488348160615 32.3166211661342 -583.278549937171</t>
  </si>
  <si>
    <t>-604.414209444798 16.1468446238541 -691.480519285088</t>
  </si>
  <si>
    <t>-592.043684240618 32.2280650663065 -779.858906483483</t>
  </si>
  <si>
    <t>-565.088281991502 176.748069058277 -776.947272445549</t>
  </si>
  <si>
    <t>-470.17861981837 222.432399870669 -478.46578897193</t>
  </si>
  <si>
    <t>-274.412492369529 150.528114293434 -323.071301945537</t>
  </si>
  <si>
    <t>-560.687879816288 146.751611770349 -236.005717303574</t>
  </si>
  <si>
    <t>-526.423177944142 213.929367426084 213.405887711163</t>
  </si>
  <si>
    <t>-629.169169944999 245.919903045685 670.958151604199</t>
  </si>
  <si>
    <t>-477.723375742226 238.374066898869 760.125023407706</t>
  </si>
  <si>
    <t>-609.486020403227 -18.0543700436675 221.681669294787</t>
  </si>
  <si>
    <t>-659.295455331885 3.93914297164092 688.24786785154</t>
  </si>
  <si>
    <t>-504.426490707784 -43.3461925397437 756.973471235355</t>
  </si>
  <si>
    <t>9763-20170724T164209.190500000.bin</t>
  </si>
  <si>
    <t>-577.546254654252 50.9435338191209 -234.801305881565</t>
  </si>
  <si>
    <t>-600.500259018258 53.1326769327735 -353.696806155343</t>
  </si>
  <si>
    <t>-608.860394711416 44.439676645241 -474.299897893234</t>
  </si>
  <si>
    <t>-610.284196769895 32.2711863141046 -583.133437567189</t>
  </si>
  <si>
    <t>-605.64826355629 15.8855646058282 -691.322523085141</t>
  </si>
  <si>
    <t>-593.715827916207 31.7699632855814 -779.796503052478</t>
  </si>
  <si>
    <t>-566.91476700745 176.34058420725 -777.52130743282</t>
  </si>
  <si>
    <t>-470.356772292441 223.144267036706 -479.742616756335</t>
  </si>
  <si>
    <t>-273.603899899886 152.10827353814 -325.197372596301</t>
  </si>
  <si>
    <t>-560.597615908803 147.058827643798 -235.99938798433</t>
  </si>
  <si>
    <t>-525.773671122556 214.217203415896 213.37213364332</t>
  </si>
  <si>
    <t>-629.106499750741 245.785947040219 670.828291893127</t>
  </si>
  <si>
    <t>-477.707096896815 238.476381300464 760.093641380662</t>
  </si>
  <si>
    <t>-609.144497094896 -17.8689227040028 221.741632760198</t>
  </si>
  <si>
    <t>-659.349403068927 3.76372112464695 688.263053850249</t>
  </si>
  <si>
    <t>-505.26192125657 -45.8726602413396 757.087455047434</t>
  </si>
  <si>
    <t>9763-20170724T164209.224607200.bin</t>
  </si>
  <si>
    <t>-577.604712722741 51.077037637105 -234.785294791072</t>
  </si>
  <si>
    <t>-600.605075379324 53.2389415068174 -353.672278982071</t>
  </si>
  <si>
    <t>-609.065539136214 44.4290456325944 -474.259969923847</t>
  </si>
  <si>
    <t>-610.602647092434 32.1167748823299 -583.075899375504</t>
  </si>
  <si>
    <t>-606.103461337263 15.5480012613031 -691.242784253256</t>
  </si>
  <si>
    <t>-594.306049056691 31.2576181318019 -779.766181954196</t>
  </si>
  <si>
    <t>-567.602985243538 175.855735426671 -777.861008036186</t>
  </si>
  <si>
    <t>-470.131722126451 223.596942726102 -480.529073419563</t>
  </si>
  <si>
    <t>-272.909686150198 155.617004584234 -325.209174539964</t>
  </si>
  <si>
    <t>-560.815772674272 147.201271004365 -235.976426504453</t>
  </si>
  <si>
    <t>-525.635571558376 214.44561776778 213.354462225095</t>
  </si>
  <si>
    <t>-629.095535379456 245.736607816798 670.785532757981</t>
  </si>
  <si>
    <t>-477.691713627409 238.558434226865 760.054158139302</t>
  </si>
  <si>
    <t>-609.117840700475 -17.7920132582182 221.753424438966</t>
  </si>
  <si>
    <t>-659.346806277724 3.85969959638605 688.263491322934</t>
  </si>
  <si>
    <t>-504.955226791303 -44.8692085282892 757.054637808867</t>
  </si>
  <si>
    <t>9763-20170724T164209.286773200.bin</t>
  </si>
  <si>
    <t>-577.869175784259 51.415010017153 -234.836109259026</t>
  </si>
  <si>
    <t>-600.85893681226 53.5111503233931 -353.726256985261</t>
  </si>
  <si>
    <t>-609.316667656849 44.3439693657753 -474.287360674323</t>
  </si>
  <si>
    <t>-610.854621033802 31.5919778495434 -583.052694973121</t>
  </si>
  <si>
    <t>-606.360181197646 14.4677849476094 -691.133157217195</t>
  </si>
  <si>
    <t>-594.597322109568 29.6521189001471 -779.752731634479</t>
  </si>
  <si>
    <t>-568.235070395365 174.312682538046 -778.534705586426</t>
  </si>
  <si>
    <t>-468.910242265742 223.603144883885 -482.070213913657</t>
  </si>
  <si>
    <t>-267.602521132713 171.377308760584 -325.89812391876</t>
  </si>
  <si>
    <t>-561.220654189221 147.584830691103 -236.03499340987</t>
  </si>
  <si>
    <t>-525.659512922704 214.762466616398 213.275904566601</t>
  </si>
  <si>
    <t>-629.105014032915 245.765109191985 670.731545928052</t>
  </si>
  <si>
    <t>-477.666632619043 238.64834491681 759.946299302903</t>
  </si>
  <si>
    <t>-609.523248605112 -17.7341221500876 221.706858193603</t>
  </si>
  <si>
    <t>-659.407222899776 3.86038688831928 688.26095803974</t>
  </si>
  <si>
    <t>-504.799129705225 -44.2145845487535 757.02610270354</t>
  </si>
  <si>
    <t>9763-20170724T164209.325922900.bin</t>
  </si>
  <si>
    <t>-577.930431203001 51.429451199787 -234.884537840327</t>
  </si>
  <si>
    <t>-600.811402364032 53.4764776102369 -353.79659259871</t>
  </si>
  <si>
    <t>-609.206640195094 44.1480880659203 -474.349713252205</t>
  </si>
  <si>
    <t>-610.70587785725 31.2075714981712 -583.093226525468</t>
  </si>
  <si>
    <t>-606.190023212349 13.8534601776708 -691.136201870787</t>
  </si>
  <si>
    <t>-594.456881017422 28.8280661703782 -779.795435918602</t>
  </si>
  <si>
    <t>-568.394621569966 173.523032818472 -778.797834372894</t>
  </si>
  <si>
    <t>-467.367574014997 224.077471467999 -483.122432963627</t>
  </si>
  <si>
    <t>-263.589303967526 180.272466374083 -327.566632110171</t>
  </si>
  <si>
    <t>-561.312775767125 147.639559687258 -236.123158023291</t>
  </si>
  <si>
    <t>-525.851768493542 214.805445107612 213.197390434446</t>
  </si>
  <si>
    <t>-629.087972677748 245.792403587666 670.67786842727</t>
  </si>
  <si>
    <t>-477.648502102627 238.629564043268 759.887053488094</t>
  </si>
  <si>
    <t>-609.960739816222 -17.8388790961632 221.656403301117</t>
  </si>
  <si>
    <t>-659.450779810733 3.7950945873371 688.259354708003</t>
  </si>
  <si>
    <t>-504.996818721219 -44.72124712727 757.060926751462</t>
  </si>
  <si>
    <t>9763-20170724T164209.393089700.bin</t>
  </si>
  <si>
    <t>-578.097672911802 51.5251837754812 -235.059659898258</t>
  </si>
  <si>
    <t>-600.834643086127 53.4397044666735 -354.001491136485</t>
  </si>
  <si>
    <t>-609.068605830157 43.7772909926067 -474.539508220857</t>
  </si>
  <si>
    <t>-610.413284632745 30.4590930631207 -583.239371070693</t>
  </si>
  <si>
    <t>-605.733734885805 12.6550743505343 -691.202308227349</t>
  </si>
  <si>
    <t>-593.945590048145 27.2261148796779 -779.921300642616</t>
  </si>
  <si>
    <t>-568.441290621016 172.06891594218 -779.529591472958</t>
  </si>
  <si>
    <t>-463.320406267471 227.040658832256 -486.077934182449</t>
  </si>
  <si>
    <t>-255.565943092635 195.90337164465 -332.746099275456</t>
  </si>
  <si>
    <t>-561.685758968205 147.875069718495 -236.407154268154</t>
  </si>
  <si>
    <t>-526.522728396213 214.868505844499 212.96247118858</t>
  </si>
  <si>
    <t>-629.036177227323 245.840182519684 670.605951457796</t>
  </si>
  <si>
    <t>-477.608476900144 238.672325984586 759.834759173069</t>
  </si>
  <si>
    <t>-610.532594647911 -17.8926662598479 221.57078987549</t>
  </si>
  <si>
    <t>-659.504547186038 3.71415469977634 688.254969802663</t>
  </si>
  <si>
    <t>-505.184169824862 -45.1370433586153 757.119260814709</t>
  </si>
  <si>
    <t>9763-20170724T164209.424195100.bin</t>
  </si>
  <si>
    <t>-578.215781337352 51.690479006911 -235.141796038362</t>
  </si>
  <si>
    <t>-601.019262724769 53.564519628855 -354.071517958725</t>
  </si>
  <si>
    <t>-609.213155375046 43.703747313051 -474.59619614069</t>
  </si>
  <si>
    <t>-610.47713188547 30.1456086495619 -583.267363402612</t>
  </si>
  <si>
    <t>-605.672204670223 12.043512653718 -691.175111298662</t>
  </si>
  <si>
    <t>-593.79367110493 26.3383992537397 -779.927174941153</t>
  </si>
  <si>
    <t>-568.551638664931 171.204835318444 -779.959644160457</t>
  </si>
  <si>
    <t>-461.473613800402 228.616565785654 -487.685231482519</t>
  </si>
  <si>
    <t>-252.683866343544 201.244587552623 -335.042791716469</t>
  </si>
  <si>
    <t>-561.901407131276 148.046525668494 -236.491958311024</t>
  </si>
  <si>
    <t>-526.849033695842 214.927369114576 212.903098314497</t>
  </si>
  <si>
    <t>-629.032619011419 245.887364167954 670.616038164575</t>
  </si>
  <si>
    <t>-477.591068522887 238.683311768791 759.818453504518</t>
  </si>
  <si>
    <t>-610.602188041232 -17.8169641459806 221.539728665367</t>
  </si>
  <si>
    <t>-659.507373136619 3.76816654355447 688.247923486103</t>
  </si>
  <si>
    <t>-504.920967732213 -44.2577929306548 757.095989489671</t>
  </si>
  <si>
    <t>9763-20170724T164209.489368600.bin</t>
  </si>
  <si>
    <t>-578.518879658588 51.7812560106699 -235.177284134791</t>
  </si>
  <si>
    <t>-601.169250237607 53.5281839870406 -354.138332142005</t>
  </si>
  <si>
    <t>-609.203572671805 43.3319797050199 -474.645857910609</t>
  </si>
  <si>
    <t>-610.322714673137 29.3873311988362 -583.269642723369</t>
  </si>
  <si>
    <t>-605.374190309905 10.8159249934916 -691.091167065336</t>
  </si>
  <si>
    <t>-593.444062210545 24.6787276533944 -779.904739592928</t>
  </si>
  <si>
    <t>-568.536118407889 169.582835280696 -780.578046693794</t>
  </si>
  <si>
    <t>-457.996481386945 231.853827350744 -490.596226633157</t>
  </si>
  <si>
    <t>-248.30609793372 209.666940905794 -338.347279943442</t>
  </si>
  <si>
    <t>-562.367738243392 148.164031103758 -236.555506243229</t>
  </si>
  <si>
    <t>-527.454664149095 215.073278485271 212.846229157548</t>
  </si>
  <si>
    <t>-629.075061060729 245.941119039201 670.677620224985</t>
  </si>
  <si>
    <t>-477.560572457922 238.774837189818 759.759133497614</t>
  </si>
  <si>
    <t>-611.043840660677 -17.9681630773572 221.481267166038</t>
  </si>
  <si>
    <t>-659.583689290265 3.64932816659704 688.245091313925</t>
  </si>
  <si>
    <t>-505.227009775241 -45.0569084578898 757.13059386996</t>
  </si>
  <si>
    <t>9763-20170724T164209.523466300.bin</t>
  </si>
  <si>
    <t>-578.648622709147 51.8087571615553 -235.237750334989</t>
  </si>
  <si>
    <t>-601.305684162145 53.5281380216171 -354.197830970023</t>
  </si>
  <si>
    <t>-609.282490382353 43.2154260625274 -474.699146317281</t>
  </si>
  <si>
    <t>-610.324902146106 29.1293024372423 -583.305541917336</t>
  </si>
  <si>
    <t>-605.276319050937 10.3800380663583 -691.09152120006</t>
  </si>
  <si>
    <t>-593.282015167724 24.0766509953277 -779.922339391432</t>
  </si>
  <si>
    <t>-568.534425863733 169.02579111759 -780.794452099707</t>
  </si>
  <si>
    <t>-456.488206838538 232.763077587805 -491.710765769582</t>
  </si>
  <si>
    <t>-246.529872464538 213.390750369851 -339.447156049329</t>
  </si>
  <si>
    <t>-562.643891093704 148.30478379262 -236.596088245732</t>
  </si>
  <si>
    <t>-527.755962701755 215.10813057467 212.823406271059</t>
  </si>
  <si>
    <t>-629.087826357003 245.953538534961 670.688675393543</t>
  </si>
  <si>
    <t>-477.543015888167 238.835177881302 759.722486891906</t>
  </si>
  <si>
    <t>-611.457829820813 -18.0506821814014 221.429020544805</t>
  </si>
  <si>
    <t>-659.59816273565 3.66729924038863 688.244264888697</t>
  </si>
  <si>
    <t>-505.081783423171 -44.5475546587068 757.117615099665</t>
  </si>
  <si>
    <t>9763-20170724T164209.588639100.bin</t>
  </si>
  <si>
    <t>-578.660103958416 52.052373367866 -235.377878907283</t>
  </si>
  <si>
    <t>-601.103804364939 53.6067737762929 -354.380790793057</t>
  </si>
  <si>
    <t>-608.81653318892 43.0563051130157 -474.87868734848</t>
  </si>
  <si>
    <t>-609.60202968484 28.7276191189906 -583.455638533932</t>
  </si>
  <si>
    <t>-604.279912100058 9.70904518680936 -691.181189327665</t>
  </si>
  <si>
    <t>-592.105616137923 23.1727189345788 -780.022995727589</t>
  </si>
  <si>
    <t>-567.406442102818 168.134602361059 -781.191727625195</t>
  </si>
  <si>
    <t>-453.773679218514 233.935458291531 -493.191548986353</t>
  </si>
  <si>
    <t>-243.31036054034 218.240771115346 -341.201530351937</t>
  </si>
  <si>
    <t>-562.787830341729 148.465249650979 -236.808059918451</t>
  </si>
  <si>
    <t>-528.48682413297 215.221412811564 212.66351807893</t>
  </si>
  <si>
    <t>-629.049048720455 246.019755853873 670.650271359888</t>
  </si>
  <si>
    <t>-477.495755372588 238.973595216215 759.675309647265</t>
  </si>
  <si>
    <t>-611.8738614187 -17.8648056841529 221.35111072073</t>
  </si>
  <si>
    <t>-659.596529867917 3.70636065178701 688.23940555052</t>
  </si>
  <si>
    <t>-504.829353567943 -43.695520770549 757.113772863499</t>
  </si>
  <si>
    <t>9763-20170724T164209.623747800.bin</t>
  </si>
  <si>
    <t>-578.508220404925 52.2268176969422 -235.46826750262</t>
  </si>
  <si>
    <t>-600.875468174891 53.7066017476537 -354.486385569273</t>
  </si>
  <si>
    <t>-608.503380445931 43.0430426194948 -474.979842153495</t>
  </si>
  <si>
    <t>-609.210249403015 28.5962125774687 -583.541506159473</t>
  </si>
  <si>
    <t>-603.808432365286 9.44351564101746 -691.239443393919</t>
  </si>
  <si>
    <t>-591.553964862018 22.7839592535752 -780.088862460908</t>
  </si>
  <si>
    <t>-566.821318344527 167.734948970973 -781.409513942984</t>
  </si>
  <si>
    <t>-452.740979156797 234.753600602869 -493.867553945127</t>
  </si>
  <si>
    <t>-241.493224310433 220.510713539603 -342.825833956939</t>
  </si>
  <si>
    <t>-562.690327360062 148.667368416048 -236.973403868462</t>
  </si>
  <si>
    <t>-528.848316981065 215.23709232304 212.560611021212</t>
  </si>
  <si>
    <t>-629.002591076478 246.086552316194 670.626009842648</t>
  </si>
  <si>
    <t>-477.4703932857 238.993817216032 759.683236537431</t>
  </si>
  <si>
    <t>-611.82091804178 -17.7521343410353 221.326044847756</t>
  </si>
  <si>
    <t>-659.603357926485 3.72727533086884 688.224662735342</t>
  </si>
  <si>
    <t>-504.897680156272 -43.8586383341755 757.11046720289</t>
  </si>
  <si>
    <t>9763-20170724T164209.686909300.bin</t>
  </si>
  <si>
    <t>-578.136228833853 52.5269438227449 -235.563733963643</t>
  </si>
  <si>
    <t>-600.415877328426 53.8874623511671 -354.599717699626</t>
  </si>
  <si>
    <t>-607.938705802051 43.0008850897996 -475.079916778608</t>
  </si>
  <si>
    <t>-608.544876217288 28.3112253951327 -583.609603593231</t>
  </si>
  <si>
    <t>-603.037875231711 8.87521531028517 -691.251395474726</t>
  </si>
  <si>
    <t>-590.686626348385 21.9540512255163 -780.126278112018</t>
  </si>
  <si>
    <t>-565.958056201094 166.907445994348 -781.84576735216</t>
  </si>
  <si>
    <t>-451.423455105536 235.88788895799 -494.949032180848</t>
  </si>
  <si>
    <t>-238.806573890081 223.236807944583 -345.697339895334</t>
  </si>
  <si>
    <t>-562.41501716268 148.836779679538 -237.131699902793</t>
  </si>
  <si>
    <t>-529.266937760131 215.29748928171 212.470215713554</t>
  </si>
  <si>
    <t>-628.930295964499 246.146697229023 670.653247961005</t>
  </si>
  <si>
    <t>-477.425241540044 239.035785381104 759.755313703278</t>
  </si>
  <si>
    <t>-611.537645930024 -17.4128050755015 221.306396668241</t>
  </si>
  <si>
    <t>-659.602669943765 3.76206855599814 688.206409046281</t>
  </si>
  <si>
    <t>-504.879619790994 -43.7221272985268 757.123225230482</t>
  </si>
  <si>
    <t>9763-20170724T164209.724758500.bin</t>
  </si>
  <si>
    <t>-577.95241387545 52.5917396245822 -235.596541497592</t>
  </si>
  <si>
    <t>-600.222553483722 53.9142975985638 -354.634740963408</t>
  </si>
  <si>
    <t>-607.774019697273 42.9104185376068 -475.102400910793</t>
  </si>
  <si>
    <t>-608.421705353135 28.082738041647 -583.613094673338</t>
  </si>
  <si>
    <t>-602.972173386163 8.4769337474078 -691.227107328529</t>
  </si>
  <si>
    <t>-590.674414788625 21.3939031099933 -780.133068073025</t>
  </si>
  <si>
    <t>-565.95767290473 166.358269881726 -782.080157535385</t>
  </si>
  <si>
    <t>-451.020729970944 235.892509186427 -495.478210770068</t>
  </si>
  <si>
    <t>-237.990268029387 223.99639370453 -346.755089356093</t>
  </si>
  <si>
    <t>-562.271682276139 148.889676868407 -237.204771719408</t>
  </si>
  <si>
    <t>-529.451507122401 215.23162785377 212.438686151768</t>
  </si>
  <si>
    <t>-628.88350295966 246.162482253749 670.659810776582</t>
  </si>
  <si>
    <t>-477.403483873011 239.086533869974 759.807120081767</t>
  </si>
  <si>
    <t>-611.409853597905 -17.3025210717406 221.305531341293</t>
  </si>
  <si>
    <t>-659.588199389206 3.82816654620453 688.198799295653</t>
  </si>
  <si>
    <t>-504.84172037013 -43.5688342146136 757.123099409048</t>
  </si>
  <si>
    <t>9763-20170724T164209.791936600.bin</t>
  </si>
  <si>
    <t>-577.466812436463 52.6900337685396 -235.623789877047</t>
  </si>
  <si>
    <t>-599.584661322561 53.8969166475715 -354.691550000587</t>
  </si>
  <si>
    <t>-607.007134752602 42.6847654826013 -475.14800313318</t>
  </si>
  <si>
    <t>-607.547694163079 27.6343781343686 -583.628779538959</t>
  </si>
  <si>
    <t>-602.000408666802 7.77310401807347 -691.190854536908</t>
  </si>
  <si>
    <t>-589.66778936943 20.4624812662207 -780.124733201019</t>
  </si>
  <si>
    <t>-565.099316124991 165.410069840139 -782.420313195423</t>
  </si>
  <si>
    <t>-449.138732272543 236.681903863193 -496.658841751758</t>
  </si>
  <si>
    <t>-235.448521172708 226.125124414521 -348.78357020914</t>
  </si>
  <si>
    <t>-561.830706487029 148.894084235684 -237.302149476453</t>
  </si>
  <si>
    <t>-529.773684293729 215.239202596031 212.395938103946</t>
  </si>
  <si>
    <t>-628.783868145919 246.223875650003 670.695310686233</t>
  </si>
  <si>
    <t>-477.359127813362 239.139464590657 759.935729669822</t>
  </si>
  <si>
    <t>-611.105932206543 -17.1114144255838 221.315293377388</t>
  </si>
  <si>
    <t>-659.60191400487 3.86231338380901 688.183248637036</t>
  </si>
  <si>
    <t>-504.498115991296 -42.3966085332834 757.077594886452</t>
  </si>
  <si>
    <t>9763-20170724T164209.828036500.bin</t>
  </si>
  <si>
    <t>-577.196254988348 52.6567133695951 -235.605733817168</t>
  </si>
  <si>
    <t>-599.284840416864 53.8160232167925 -354.679403083155</t>
  </si>
  <si>
    <t>-606.645968718865 42.5016795770023 -475.130129051814</t>
  </si>
  <si>
    <t>-607.117918957169 27.3383524461056 -583.595395259156</t>
  </si>
  <si>
    <t>-601.489008467258 7.34452152771856 -691.128740403842</t>
  </si>
  <si>
    <t>-589.098560772124 19.9139813406697 -780.071608960231</t>
  </si>
  <si>
    <t>-564.653293681651 164.914499154045 -782.543049162443</t>
  </si>
  <si>
    <t>-448.453605052948 236.597680381535 -496.981657908324</t>
  </si>
  <si>
    <t>-235.008626528861 225.871546971754 -348.764526985742</t>
  </si>
  <si>
    <t>-561.629729566239 148.855639058753 -237.293205294042</t>
  </si>
  <si>
    <t>-529.759432725079 215.16126171847 212.423978320228</t>
  </si>
  <si>
    <t>-628.754553575554 246.223325522591 670.72873960649</t>
  </si>
  <si>
    <t>-477.342928867764 239.201461686347 759.996449359253</t>
  </si>
  <si>
    <t>-610.88731865506 -17.1760922346698 221.352118992871</t>
  </si>
  <si>
    <t>-659.654741466479 3.63767403053184 688.191135953193</t>
  </si>
  <si>
    <t>-505.090353734256 -44.3077192040779 757.144752660454</t>
  </si>
  <si>
    <t>9763-20170724T164209.889200400.bin</t>
  </si>
  <si>
    <t>-576.681696869502 52.6090044937543 -235.611186226447</t>
  </si>
  <si>
    <t>-598.687163723336 53.6327632246459 -354.701556121904</t>
  </si>
  <si>
    <t>-605.878908510796 42.1401603979968 -475.145662932715</t>
  </si>
  <si>
    <t>-606.162250080295 26.8022651632358 -583.586989052703</t>
  </si>
  <si>
    <t>-600.309636179987 6.62304541048425 -691.073653104549</t>
  </si>
  <si>
    <t>-587.77074503759 19.0394306912194 -780.017360850073</t>
  </si>
  <si>
    <t>-563.652102802703 164.064071324766 -782.731869309845</t>
  </si>
  <si>
    <t>-447.420365100395 236.390058698096 -497.345637027864</t>
  </si>
  <si>
    <t>-234.239380110062 225.913498194462 -348.73146208572</t>
  </si>
  <si>
    <t>-561.178067795023 148.741108240306 -237.391962699373</t>
  </si>
  <si>
    <t>-529.881406515032 215.102087177515 212.357231540589</t>
  </si>
  <si>
    <t>-628.646407472867 246.276304946974 670.712067795228</t>
  </si>
  <si>
    <t>-477.298843214109 239.294411926827 760.091436607392</t>
  </si>
  <si>
    <t>-610.483126968035 -17.078744968346 221.396343108034</t>
  </si>
  <si>
    <t>-659.646279708556 3.70305237716805 688.193581679872</t>
  </si>
  <si>
    <t>-504.985357551252 -43.9317940471143 757.145925050106</t>
  </si>
  <si>
    <t>9763-20170724T164209.920294100.bin</t>
  </si>
  <si>
    <t>-576.449136178487 52.578489934661 -235.598774197923</t>
  </si>
  <si>
    <t>-598.492723513599 53.5586410011973 -354.682471169435</t>
  </si>
  <si>
    <t>-605.648962914788 41.9935000298461 -475.121649288582</t>
  </si>
  <si>
    <t>-605.87016791034 26.5800376523884 -583.552427730659</t>
  </si>
  <si>
    <t>-599.925293610537 6.31624614011322 -691.018136216537</t>
  </si>
  <si>
    <t>-587.31291773611 18.659709712251 -779.961531890517</t>
  </si>
  <si>
    <t>-563.326421186638 163.724681458666 -782.733131459958</t>
  </si>
  <si>
    <t>-446.950845651191 236.27353280039 -497.462075082688</t>
  </si>
  <si>
    <t>-234.272324608213 225.30148168052 -348.165188491354</t>
  </si>
  <si>
    <t>-561.003485445815 148.764201470855 -237.390990473613</t>
  </si>
  <si>
    <t>-529.829008585119 215.047211390228 212.378244150054</t>
  </si>
  <si>
    <t>-628.613852141133 246.296436050353 670.739983718103</t>
  </si>
  <si>
    <t>-477.282003695347 239.324841046638 760.146751590741</t>
  </si>
  <si>
    <t>-610.26783134665 -17.1540405794748 221.445334346027</t>
  </si>
  <si>
    <t>-659.691255081472 3.53693573226046 688.208020820724</t>
  </si>
  <si>
    <t>-505.395646423563 -45.2196659039093 757.194857063573</t>
  </si>
  <si>
    <t>9763-20170724T164209.992479800.bin</t>
  </si>
  <si>
    <t>-576.191709378763 52.2985996182397 -235.52836097983</t>
  </si>
  <si>
    <t>-598.16302157873 53.2052967967449 -354.625985817408</t>
  </si>
  <si>
    <t>-605.261833821993 41.5025757458505 -475.055381450563</t>
  </si>
  <si>
    <t>-605.438075655868 25.9391569298683 -583.464765626357</t>
  </si>
  <si>
    <t>-599.456154048258 5.49999395419141 -690.895231606727</t>
  </si>
  <si>
    <t>-586.844008660707 17.6840533576836 -779.860630225207</t>
  </si>
  <si>
    <t>-563.099216685444 162.775576741762 -782.882234467187</t>
  </si>
  <si>
    <t>-446.624484012303 235.553897375888 -497.710047889533</t>
  </si>
  <si>
    <t>-234.106856420593 224.56422178137 -348.185716769945</t>
  </si>
  <si>
    <t>-560.904705801389 148.387473531759 -237.329652891812</t>
  </si>
  <si>
    <t>-529.70534608168 214.972904662008 212.393208972584</t>
  </si>
  <si>
    <t>-628.567599394504 246.293230456441 670.743592669441</t>
  </si>
  <si>
    <t>-477.259084555337 239.40591699461 760.196433031556</t>
  </si>
  <si>
    <t>-610.070561014017 -17.2747639262801 221.493437528611</t>
  </si>
  <si>
    <t>-659.743172672942 3.50761104515882 688.215147896454</t>
  </si>
  <si>
    <t>-505.432044441228 -45.2380074197297 757.174931501445</t>
  </si>
  <si>
    <t>9763-20170724T164210.023571800.bin</t>
  </si>
  <si>
    <t>-576.055240488763 52.135252813091 -235.504094747626</t>
  </si>
  <si>
    <t>-598.013017057976 53.0136059476072 -354.604432960861</t>
  </si>
  <si>
    <t>-605.13445464296 41.2574937116416 -475.027213909008</t>
  </si>
  <si>
    <t>-605.345515096928 25.636225353693 -583.428226686512</t>
  </si>
  <si>
    <t>-599.412337690303 5.12977209930864 -690.848626755799</t>
  </si>
  <si>
    <t>-586.863089061883 17.2533150631099 -779.831243244012</t>
  </si>
  <si>
    <t>-563.248306615748 162.361070336694 -782.942902560598</t>
  </si>
  <si>
    <t>-446.645395162615 235.086832294308 -497.809833054685</t>
  </si>
  <si>
    <t>-234.916716708689 223.189502734523 -347.239266728937</t>
  </si>
  <si>
    <t>-560.828829040933 148.241398886597 -237.318597173347</t>
  </si>
  <si>
    <t>-529.689552031198 214.892535296524 212.398712151652</t>
  </si>
  <si>
    <t>-628.542831401255 246.280532392979 670.749497530891</t>
  </si>
  <si>
    <t>-477.246075521066 239.449111382645 760.226584186165</t>
  </si>
  <si>
    <t>-610.010813116495 -17.294614439841 221.527938916285</t>
  </si>
  <si>
    <t>-659.740320688424 3.6097534268539 688.217602329305</t>
  </si>
  <si>
    <t>-505.197526078387 -44.4408400377121 757.146315966668</t>
  </si>
  <si>
    <t>9763-20170724T164210.088745600.bin</t>
  </si>
  <si>
    <t>-575.841177229898 51.7835795258271 -235.493948121914</t>
  </si>
  <si>
    <t>-597.799524666455 52.5813488044812 -354.594742781113</t>
  </si>
  <si>
    <t>-604.966468597957 40.7554485106616 -475.007876524015</t>
  </si>
  <si>
    <t>-605.236973899849 25.0755244265846 -583.400370808013</t>
  </si>
  <si>
    <t>-599.381484269867 4.51440537781463 -690.814522500342</t>
  </si>
  <si>
    <t>-586.915770941328 16.595393428673 -779.814562901652</t>
  </si>
  <si>
    <t>-563.377899831362 161.714564474015 -783.037686269836</t>
  </si>
  <si>
    <t>-446.681615810608 233.846181332615 -497.791720316027</t>
  </si>
  <si>
    <t>-235.268726921754 221.86295370634 -346.784909205512</t>
  </si>
  <si>
    <t>-560.706384266265 147.818979727977 -237.356976364973</t>
  </si>
  <si>
    <t>-529.848996575841 214.650681797642 212.353006934282</t>
  </si>
  <si>
    <t>-628.491166845791 246.304407855261 670.725643688211</t>
  </si>
  <si>
    <t>-477.222943806559 239.514044088714 760.254031595119</t>
  </si>
  <si>
    <t>-609.876206470677 -17.4164667638435 221.56988987483</t>
  </si>
  <si>
    <t>-659.760280607194 3.63652936193711 688.231238772623</t>
  </si>
  <si>
    <t>-505.119391954768 -44.128039837423 757.138742608723</t>
  </si>
  <si>
    <t>9763-20170724T164210.124843700.bin</t>
  </si>
  <si>
    <t>-575.723771525564 51.5542979931303 -235.461052742335</t>
  </si>
  <si>
    <t>-597.594113829531 52.319445279127 -354.578299158611</t>
  </si>
  <si>
    <t>-604.738825416811 40.465794836533 -474.990066138464</t>
  </si>
  <si>
    <t>-605.016260868809 24.7624297336229 -583.379058033363</t>
  </si>
  <si>
    <t>-599.19478579751 4.17928976441053 -690.790994868826</t>
  </si>
  <si>
    <t>-586.77054123751 16.2419717632003 -779.799280393662</t>
  </si>
  <si>
    <t>-563.254368442663 161.363099162579 -783.049672813252</t>
  </si>
  <si>
    <t>-446.460183151883 233.316937191263 -497.798878001944</t>
  </si>
  <si>
    <t>-235.790268874726 220.04479098881 -345.86446595725</t>
  </si>
  <si>
    <t>-560.550376918486 147.649291630899 -237.35657465134</t>
  </si>
  <si>
    <t>-529.868954342573 214.544175293905 212.355937823355</t>
  </si>
  <si>
    <t>-628.477372815629 246.337227115721 670.737357520842</t>
  </si>
  <si>
    <t>-477.210061133578 239.535556019115 760.266389307887</t>
  </si>
  <si>
    <t>-609.776235952992 -17.5366544309268 221.59553856186</t>
  </si>
  <si>
    <t>-659.76801820309 3.65934552857176 688.233418682585</t>
  </si>
  <si>
    <t>-505.222334420856 -44.4023176233009 757.147863223957</t>
  </si>
  <si>
    <t>9763-20170724T164210.193027900.bin</t>
  </si>
  <si>
    <t>-575.698189743636 51.074268043373 -235.375453173878</t>
  </si>
  <si>
    <t>-597.708120638573 51.8294903237516 -354.467053292842</t>
  </si>
  <si>
    <t>-604.940389702136 39.9527225076148 -474.871408835455</t>
  </si>
  <si>
    <t>-605.275997554156 24.2225533786409 -583.256369704365</t>
  </si>
  <si>
    <t>-599.492082314991 3.60623064748259 -690.663862599761</t>
  </si>
  <si>
    <t>-587.100154592493 15.638634405476 -779.680787315216</t>
  </si>
  <si>
    <t>-563.59259595956 160.759727811209 -782.901554426634</t>
  </si>
  <si>
    <t>-446.814775444241 231.687465007627 -497.38737386926</t>
  </si>
  <si>
    <t>-240.121409832062 211.915712397724 -340.770137652227</t>
  </si>
  <si>
    <t>-560.64339488105 147.166071508345 -237.203646466122</t>
  </si>
  <si>
    <t>-529.501794547941 214.34871727463 212.434445262703</t>
  </si>
  <si>
    <t>-628.511731078662 246.325790962294 670.768305833712</t>
  </si>
  <si>
    <t>-477.208311140308 239.570378204255 760.239768483873</t>
  </si>
  <si>
    <t>-609.597763178528 -17.8642394886836 221.691928662319</t>
  </si>
  <si>
    <t>-659.824465322326 3.52972617373759 688.26635159289</t>
  </si>
  <si>
    <t>-505.489413783545 -45.2156030011314 757.172815388269</t>
  </si>
  <si>
    <t>9763-20170724T164210.223639600.bin</t>
  </si>
  <si>
    <t>-575.761442399498 50.8284705305483 -235.263144162367</t>
  </si>
  <si>
    <t>-597.755982853081 51.5810511610397 -354.357539015014</t>
  </si>
  <si>
    <t>-604.969734337537 39.7059367124056 -474.763192875878</t>
  </si>
  <si>
    <t>-605.288013453677 23.9784092175624 -583.148579379567</t>
  </si>
  <si>
    <t>-599.486559535899 3.36550820688696 -690.555791202337</t>
  </si>
  <si>
    <t>-587.10299771928 15.40368779967 -779.57305331781</t>
  </si>
  <si>
    <t>-563.643665680597 160.52848223913 -782.756059999851</t>
  </si>
  <si>
    <t>-446.61637544543 230.795599297937 -497.180465265602</t>
  </si>
  <si>
    <t>-242.921014764969 205.666325106708 -337.434676923749</t>
  </si>
  <si>
    <t>-560.701693465971 146.985880397273 -237.057801804194</t>
  </si>
  <si>
    <t>-529.142733906532 214.414950456565 212.514239207124</t>
  </si>
  <si>
    <t>-628.586447092873 246.310262352563 670.80471986734</t>
  </si>
  <si>
    <t>-477.223778441759 239.599059625232 760.179230280559</t>
  </si>
  <si>
    <t>-609.545899946885 -18.0294449814707 221.736363053412</t>
  </si>
  <si>
    <t>-659.838038984427 3.57189405492949 688.284803285818</t>
  </si>
  <si>
    <t>-505.406344653334 -44.921398732964 757.152694535001</t>
  </si>
  <si>
    <t>9763-20170724T164210.290816300.bin</t>
  </si>
  <si>
    <t>-576.124444658243 50.3415123405156 -234.836840589504</t>
  </si>
  <si>
    <t>-598.106756428718 51.1365005100009 -353.933186728863</t>
  </si>
  <si>
    <t>-605.311588985581 39.3435267293416 -474.347388713181</t>
  </si>
  <si>
    <t>-605.628609249017 23.6996791568076 -582.744880870843</t>
  </si>
  <si>
    <t>-599.835783318576 3.1750884667899 -690.169464067281</t>
  </si>
  <si>
    <t>-587.484864045473 15.2895906035788 -779.181095352789</t>
  </si>
  <si>
    <t>-563.98953438664 160.426773378017 -782.262663590497</t>
  </si>
  <si>
    <t>-446.831887839533 230.110425588739 -496.597718049136</t>
  </si>
  <si>
    <t>-244.94188665042 198.481657338977 -335.718585357102</t>
  </si>
  <si>
    <t>-561.348502380995 146.639244191544 -236.40092664707</t>
  </si>
  <si>
    <t>-527.586038348994 214.914009095452 212.88329820605</t>
  </si>
  <si>
    <t>-628.893238917863 246.166837607459 670.878611471995</t>
  </si>
  <si>
    <t>-477.285703276362 239.717471322903 759.856464407321</t>
  </si>
  <si>
    <t>-609.674895345676 -18.584788703559 221.93061286892</t>
  </si>
  <si>
    <t>-659.899957271594 3.54527159751541 688.365423266424</t>
  </si>
  <si>
    <t>-505.424339981801 -44.9467805416359 757.135415335017</t>
  </si>
  <si>
    <t>9763-20170724T164210.321400900.bin</t>
  </si>
  <si>
    <t>-576.219531253545 49.9491809693211 -234.709395517416</t>
  </si>
  <si>
    <t>-598.276474651744 50.8039160535373 -353.7915801033</t>
  </si>
  <si>
    <t>-605.537772785 39.0446447209277 -474.205609240811</t>
  </si>
  <si>
    <t>-605.897793816717 23.420619326848 -582.605992545246</t>
  </si>
  <si>
    <t>-600.139998461099 2.90533083619169 -690.034099476668</t>
  </si>
  <si>
    <t>-587.838703567945 15.0239343941383 -779.05191648226</t>
  </si>
  <si>
    <t>-564.423889161259 160.178840024551 -782.121573841122</t>
  </si>
  <si>
    <t>-447.144903410389 229.841803718629 -496.501416009343</t>
  </si>
  <si>
    <t>-244.460774035095 197.102122337166 -336.84753404007</t>
  </si>
  <si>
    <t>-561.480736746203 146.212698787479 -236.245445894117</t>
  </si>
  <si>
    <t>-526.689751843743 214.922665268694 212.893920917723</t>
  </si>
  <si>
    <t>-628.937502908534 246.057739382791 670.672188812189</t>
  </si>
  <si>
    <t>-477.293874531655 239.789362692799 759.601583544337</t>
  </si>
  <si>
    <t>-609.781237070557 -18.7849241363436 221.980756053812</t>
  </si>
  <si>
    <t>-659.869614649107 3.79502373210656 688.392957832234</t>
  </si>
  <si>
    <t>-504.94606851645 -43.3736701529386 757.075787183129</t>
  </si>
  <si>
    <t>9763-20170724T164210.391587900.bin</t>
  </si>
  <si>
    <t>-576.032114098579 49.4461538214643 -234.688269508895</t>
  </si>
  <si>
    <t>-598.324669512859 50.4140803178798 -353.725642145891</t>
  </si>
  <si>
    <t>-605.827894103236 38.6952126718444 -474.128905225224</t>
  </si>
  <si>
    <t>-606.403897922198 23.0819943411441 -582.529702793046</t>
  </si>
  <si>
    <t>-600.856385824834 2.55420609968692 -689.966651216217</t>
  </si>
  <si>
    <t>-588.756669085091 14.6526771139114 -779.014931442156</t>
  </si>
  <si>
    <t>-565.552775260786 159.818569316193 -782.150917796097</t>
  </si>
  <si>
    <t>-447.322169573094 229.535517713775 -496.936516169991</t>
  </si>
  <si>
    <t>-242.163639035084 198.383529057125 -340.151432915886</t>
  </si>
  <si>
    <t>-561.15518662177 145.944631697659 -236.255531103116</t>
  </si>
  <si>
    <t>-525.252539283378 214.83152801424 212.769318423618</t>
  </si>
  <si>
    <t>-628.883570683054 245.899101835578 670.169354975613</t>
  </si>
  <si>
    <t>-477.308285828447 239.752760470151 759.223650153036</t>
  </si>
  <si>
    <t>-609.495513658193 -19.0553537280068 222.001565822026</t>
  </si>
  <si>
    <t>-659.909441075899 3.66669861949535 688.423163117729</t>
  </si>
  <si>
    <t>-505.447962938231 -44.9638607554244 757.127102796916</t>
  </si>
  <si>
    <t>9763-20170724T164210.423682800.bin</t>
  </si>
  <si>
    <t>-575.87873297691 49.4238852049217 -234.724241594904</t>
  </si>
  <si>
    <t>-598.341270811116 50.4325744185807 -353.72930115311</t>
  </si>
  <si>
    <t>-605.983761446499 38.7326669400045 -474.125717168005</t>
  </si>
  <si>
    <t>-606.671118832674 23.1286823393531 -582.527125522491</t>
  </si>
  <si>
    <t>-601.219365235636 2.6030149998302 -689.969332363351</t>
  </si>
  <si>
    <t>-589.181370767458 14.6984269456158 -779.026377485842</t>
  </si>
  <si>
    <t>-565.921939007626 159.864882989899 -782.167372766497</t>
  </si>
  <si>
    <t>-447.01167406241 229.696111712291 -497.263703329864</t>
  </si>
  <si>
    <t>-239.687617261979 201.521985551899 -342.780550230798</t>
  </si>
  <si>
    <t>-561.004631775115 146.001591828222 -236.283075363221</t>
  </si>
  <si>
    <t>-524.564045999579 214.866356776601 212.701708199929</t>
  </si>
  <si>
    <t>-628.854699149106 245.803814794134 669.964125050367</t>
  </si>
  <si>
    <t>-477.324194092945 239.740107349523 759.100252861012</t>
  </si>
  <si>
    <t>-609.364040759348 -18.9866806065512 221.993340472159</t>
  </si>
  <si>
    <t>-659.890725733155 3.76494657911276 688.41595654843</t>
  </si>
  <si>
    <t>-505.100483070265 -43.8742270885316 757.074475884251</t>
  </si>
  <si>
    <t>9763-20170724T164210.491864400.bin</t>
  </si>
  <si>
    <t>-575.707332620574 49.3859897364592 -234.67322448422</t>
  </si>
  <si>
    <t>-598.232967686348 50.4452904928705 -353.665951960402</t>
  </si>
  <si>
    <t>-606.054298155126 38.7296948891201 -474.049260285109</t>
  </si>
  <si>
    <t>-606.949392724578 23.0836083200226 -582.443237253733</t>
  </si>
  <si>
    <t>-601.75087293013 2.48718559874325 -689.884398313346</t>
  </si>
  <si>
    <t>-589.93600302884 14.5030791853254 -778.982044329384</t>
  </si>
  <si>
    <t>-566.588747571006 159.644856570057 -782.271023687485</t>
  </si>
  <si>
    <t>-445.495406240175 230.60775236191 -498.568938371957</t>
  </si>
  <si>
    <t>-234.099821520875 208.411120595327 -348.698091770225</t>
  </si>
  <si>
    <t>-560.721409633322 146.049881595477 -236.195367239548</t>
  </si>
  <si>
    <t>-523.542930217395 215.11108063535 212.698846152432</t>
  </si>
  <si>
    <t>-628.924316055828 245.703117925627 669.729105528435</t>
  </si>
  <si>
    <t>-477.381508652227 239.67459323189 758.846648305694</t>
  </si>
  <si>
    <t>-609.287794782084 -19.0363348702378 221.994820766675</t>
  </si>
  <si>
    <t>-659.901439818046 3.81228659230754 688.403926948008</t>
  </si>
  <si>
    <t>-505.271796037827 -44.3587066321797 757.053380226497</t>
  </si>
  <si>
    <t>9763-20170724T164210.521481100.bin</t>
  </si>
  <si>
    <t>-575.638612638068 49.4064783688698 -234.576487168329</t>
  </si>
  <si>
    <t>-598.248620968512 50.5943099666891 -353.551993339768</t>
  </si>
  <si>
    <t>-606.167329514892 38.9122389406121 -473.932228717362</t>
  </si>
  <si>
    <t>-607.154222511689 23.2584207314006 -582.324275448933</t>
  </si>
  <si>
    <t>-602.05049593488 2.61688360405895 -689.761389399884</t>
  </si>
  <si>
    <t>-590.316102845916 14.5718928781391 -778.8778292753</t>
  </si>
  <si>
    <t>-566.899690218658 159.703810474124 -782.286767094323</t>
  </si>
  <si>
    <t>-444.597978636926 231.825577105832 -499.39646891524</t>
  </si>
  <si>
    <t>-230.945000999851 212.824668946708 -352.31344277548</t>
  </si>
  <si>
    <t>-560.661660835668 146.155847909846 -235.977855444595</t>
  </si>
  <si>
    <t>-522.821681657219 215.302429709776 212.847968084986</t>
  </si>
  <si>
    <t>-629.055885601794 245.705336942551 669.727669482892</t>
  </si>
  <si>
    <t>-477.42523779706 239.575988923931 758.688796513839</t>
  </si>
  <si>
    <t>-609.3972067807 -19.1624022883143 222.001416023967</t>
  </si>
  <si>
    <t>-659.946374948487 3.73544346885679 688.404539927375</t>
  </si>
  <si>
    <t>-505.480074041804 -44.9539361902593 757.05600067359</t>
  </si>
  <si>
    <t>9763-20170724T164210.588662800.bin</t>
  </si>
  <si>
    <t>-575.615140231459 49.4375346063601 -234.270352254874</t>
  </si>
  <si>
    <t>-598.440947478502 50.9735087525409 -353.200693417456</t>
  </si>
  <si>
    <t>-606.53007213446 39.3108065888437 -473.571414892231</t>
  </si>
  <si>
    <t>-607.646130830362 23.5465211241829 -581.946232649712</t>
  </si>
  <si>
    <t>-602.644016093009 2.67114254566536 -689.342931249933</t>
  </si>
  <si>
    <t>-591.00792436202 14.3592872576578 -778.507579711243</t>
  </si>
  <si>
    <t>-567.800655013197 159.52275305354 -782.434747784567</t>
  </si>
  <si>
    <t>-442.549193519598 234.497240926843 -501.584090505511</t>
  </si>
  <si>
    <t>-226.211585368392 219.251065175997 -358.030387268659</t>
  </si>
  <si>
    <t>-560.456448013128 146.278676436115 -235.40729755608</t>
  </si>
  <si>
    <t>-520.477120150723 215.725295809767 213.186653148327</t>
  </si>
  <si>
    <t>-629.267863868638 245.51634412175 669.541901873241</t>
  </si>
  <si>
    <t>-477.49181571895 239.489286667399 758.261758651081</t>
  </si>
  <si>
    <t>-609.680270047943 -19.3429036021672 222.030802764474</t>
  </si>
  <si>
    <t>-659.983361703004 3.71632815006161 688.426519965153</t>
  </si>
  <si>
    <t>-505.345021934612 -44.4749581367519 757.042032330484</t>
  </si>
  <si>
    <t>9763-20170724T164210.625796200.bin</t>
  </si>
  <si>
    <t>-575.495468766597 49.3703358036982 -234.253222234846</t>
  </si>
  <si>
    <t>-598.467068644664 51.0755734450405 -353.153155477582</t>
  </si>
  <si>
    <t>-606.678884152992 39.3766978285145 -473.512108973529</t>
  </si>
  <si>
    <t>-607.892631399495 23.4993679157251 -581.869390738795</t>
  </si>
  <si>
    <t>-602.973864083194 2.43344088633866 -689.232622859811</t>
  </si>
  <si>
    <t>-591.387612448604 13.9134219279214 -778.430890013819</t>
  </si>
  <si>
    <t>-568.183053162922 159.071937750188 -782.65633112233</t>
  </si>
  <si>
    <t>-441.541053509892 235.51427503151 -502.826736899551</t>
  </si>
  <si>
    <t>-224.148334400071 221.919145887656 -360.708495488513</t>
  </si>
  <si>
    <t>-560.17069754403 146.251508568789 -235.33573523089</t>
  </si>
  <si>
    <t>-519.165023329969 215.791545990601 213.151039492824</t>
  </si>
  <si>
    <t>-629.192654478822 245.38576132882 669.184402162219</t>
  </si>
  <si>
    <t>-477.48444856056 239.496825162811 758.029474625759</t>
  </si>
  <si>
    <t>-609.893398925832 -19.3732946841428 221.979795157542</t>
  </si>
  <si>
    <t>-659.976913295673 3.77100312097679 688.42325700526</t>
  </si>
  <si>
    <t>-505.195556353948 -43.978185072098 757.025402029625</t>
  </si>
  <si>
    <t>9763-20170724T164210.690984100.bin</t>
  </si>
  <si>
    <t>-574.90148660757 49.6202658655013 -234.278184979831</t>
  </si>
  <si>
    <t>-597.799234123754 51.4730372959369 -353.190104037439</t>
  </si>
  <si>
    <t>-606.130965390112 39.5816094598461 -473.521961762454</t>
  </si>
  <si>
    <t>-607.526139428972 23.397795282442 -581.831577887893</t>
  </si>
  <si>
    <t>-602.858350073205 1.89721814975597 -689.119959202892</t>
  </si>
  <si>
    <t>-591.458266593207 12.926575493283 -778.399076294546</t>
  </si>
  <si>
    <t>-567.983626620712 157.997177922867 -783.453721187948</t>
  </si>
  <si>
    <t>-439.276050220331 236.877042292805 -505.247762881469</t>
  </si>
  <si>
    <t>-222.08286544774 223.855904351088 -362.771117791278</t>
  </si>
  <si>
    <t>-558.968903834716 146.663244653101 -235.345566677373</t>
  </si>
  <si>
    <t>-517.076749784381 216.016534934045 213.08827784198</t>
  </si>
  <si>
    <t>-629.032109327884 245.118233734659 668.563161521544</t>
  </si>
  <si>
    <t>-477.511944614891 239.449440333861 757.742807459699</t>
  </si>
  <si>
    <t>-610.132612736576 -19.2376519826901 221.880011109016</t>
  </si>
  <si>
    <t>-659.975471116754 3.71387607957539 688.415338349948</t>
  </si>
  <si>
    <t>-505.10090158292 -43.7104761428537 757.032422100798</t>
  </si>
  <si>
    <t>9763-20170724T164210.721083500.bin</t>
  </si>
  <si>
    <t>-574.539240392238 49.8544977331843 -234.299187771934</t>
  </si>
  <si>
    <t>-597.53235970114 51.8197014218762 -353.190908946179</t>
  </si>
  <si>
    <t>-605.991881764656 39.8461878765551 -473.505667689945</t>
  </si>
  <si>
    <t>-607.51278103579 23.5112016786184 -581.790950127512</t>
  </si>
  <si>
    <t>-602.979703174358 1.78477382669419 -689.039542934266</t>
  </si>
  <si>
    <t>-591.634477372902 12.571152625024 -778.355285462209</t>
  </si>
  <si>
    <t>-567.84489663829 157.586983984195 -783.800925480787</t>
  </si>
  <si>
    <t>-438.733207740847 237.31449075316 -506.024303649643</t>
  </si>
  <si>
    <t>-221.306490616268 224.575365758063 -363.878541612644</t>
  </si>
  <si>
    <t>-558.441531896895 146.96882207468 -235.31488430233</t>
  </si>
  <si>
    <t>-516.335071711896 216.073603902019 213.137148545124</t>
  </si>
  <si>
    <t>-629.023244507994 245.030896333628 668.391448434093</t>
  </si>
  <si>
    <t>-477.54570965761 239.406793221041 757.646435845142</t>
  </si>
  <si>
    <t>-610.179024458811 -19.0881610025759 221.8536083038</t>
  </si>
  <si>
    <t>-659.951218213745 3.77146183503032 688.408358214493</t>
  </si>
  <si>
    <t>-505.269722803431 -44.2409904512795 757.052075880207</t>
  </si>
  <si>
    <t>9763-20170724T164210.791273000.bin</t>
  </si>
  <si>
    <t>-574.007720573976 50.3779095670309 -234.443861054176</t>
  </si>
  <si>
    <t>-596.942223533739 52.508814349743 -353.344058090789</t>
  </si>
  <si>
    <t>-605.53991812042 40.3121328183067 -473.62667029383</t>
  </si>
  <si>
    <t>-607.263888461894 23.6186314185123 -581.854196640402</t>
  </si>
  <si>
    <t>-603.011415275638 1.37886247797672 -689.009098839092</t>
  </si>
  <si>
    <t>-591.796995508171 11.6182652869679 -778.405640165873</t>
  </si>
  <si>
    <t>-567.462210389124 156.50230036342 -784.572221007111</t>
  </si>
  <si>
    <t>-437.637524897815 237.017405571804 -507.355588912503</t>
  </si>
  <si>
    <t>-220.735893962332 224.362440395156 -364.402532766533</t>
  </si>
  <si>
    <t>-557.388214990455 147.476275895802 -235.458096274662</t>
  </si>
  <si>
    <t>-515.602876675593 216.151975239645 213.089918361451</t>
  </si>
  <si>
    <t>-629.008987200932 245.15189624428 668.10742261484</t>
  </si>
  <si>
    <t>-477.584861344317 239.125252233708 757.426618169227</t>
  </si>
  <si>
    <t>-610.516309802468 -18.7443870297506 221.689979964312</t>
  </si>
  <si>
    <t>-659.89210825372 3.88193717447614 688.359740419502</t>
  </si>
  <si>
    <t>-505.144105933295 -43.8946311499196 757.018139598234</t>
  </si>
  <si>
    <t>9763-20170724T164210.823364300.bin</t>
  </si>
  <si>
    <t>-573.653272422847 50.8388327937702 -234.537202855015</t>
  </si>
  <si>
    <t>-596.472213115213 53.0034113336612 -353.459059883716</t>
  </si>
  <si>
    <t>-605.088972519689 40.7019689733627 -473.729651428389</t>
  </si>
  <si>
    <t>-606.884327222863 23.8577011939883 -581.932553533517</t>
  </si>
  <si>
    <t>-602.75738288093 1.41180652712986 -689.049324887215</t>
  </si>
  <si>
    <t>-591.609482785843 11.4339027381796 -778.478923244257</t>
  </si>
  <si>
    <t>-566.911970743429 156.248425257341 -784.957780446259</t>
  </si>
  <si>
    <t>-436.770824060467 236.640944299168 -507.854045125624</t>
  </si>
  <si>
    <t>-220.278764406289 224.483806838356 -364.238441452715</t>
  </si>
  <si>
    <t>-556.822331865904 147.933269076161 -235.595934359294</t>
  </si>
  <si>
    <t>-515.472156276863 216.3517118389 213.031663282723</t>
  </si>
  <si>
    <t>-629.002229124331 245.220930859681 668.01915728588</t>
  </si>
  <si>
    <t>-477.596233307447 238.956285721404 757.352759256581</t>
  </si>
  <si>
    <t>-610.557467767507 -18.4395685031474 221.61427248176</t>
  </si>
  <si>
    <t>-659.841673222366 4.05993242412856 688.326401711996</t>
  </si>
  <si>
    <t>-504.66206116472 -42.3369701069961 756.956830488058</t>
  </si>
  <si>
    <t>9763-20170724T164210.887535700.bin</t>
  </si>
  <si>
    <t>-572.827709632838 51.9352409249156 -234.775232276517</t>
  </si>
  <si>
    <t>-595.617969891356 54.0706525211494 -353.703121955691</t>
  </si>
  <si>
    <t>-604.354266508469 41.5281310996042 -473.940070338494</t>
  </si>
  <si>
    <t>-606.319069890098 24.3790647702746 -582.092223247186</t>
  </si>
  <si>
    <t>-602.423328571647 1.54167888399767 -689.134910934473</t>
  </si>
  <si>
    <t>-591.361430542816 11.1600763695455 -778.619459532907</t>
  </si>
  <si>
    <t>-566.104732890223 155.843240035119 -785.594332536619</t>
  </si>
  <si>
    <t>-435.881049492616 236.193981881492 -508.517141973956</t>
  </si>
  <si>
    <t>-221.170590148685 225.186304251165 -362.16042204461</t>
  </si>
  <si>
    <t>-555.731238614361 149.021726632783 -235.922526826046</t>
  </si>
  <si>
    <t>-515.144806691061 216.770643235062 212.876453830594</t>
  </si>
  <si>
    <t>-628.945947704259 245.258561797469 667.837811164092</t>
  </si>
  <si>
    <t>-477.613062769624 238.794111612784 757.281008031862</t>
  </si>
  <si>
    <t>-610.22778486125 -17.6962317885417 221.513679892106</t>
  </si>
  <si>
    <t>-659.811802740359 3.99955812591081 688.282281528054</t>
  </si>
  <si>
    <t>-504.78611689078 -42.8400504325244 756.959790949571</t>
  </si>
  <si>
    <t>9763-20170724T164210.922318100.bin</t>
  </si>
  <si>
    <t>-572.282352051408 52.4339412489172 -234.860650141104</t>
  </si>
  <si>
    <t>-594.979063575753 54.5370646247787 -353.807087240615</t>
  </si>
  <si>
    <t>-603.721654264582 41.9141618570971 -474.035133443225</t>
  </si>
  <si>
    <t>-605.734111357859 24.6715843801865 -582.171609008464</t>
  </si>
  <si>
    <t>-601.928545320684 1.71904925146755 -689.192939874871</t>
  </si>
  <si>
    <t>-590.912441402312 11.2186688692028 -778.695714379365</t>
  </si>
  <si>
    <t>-565.446520832307 155.868082787006 -785.8539925627</t>
  </si>
  <si>
    <t>-435.110643038038 236.129604828172 -508.803835797953</t>
  </si>
  <si>
    <t>-221.427629686859 225.928054493069 -360.893121638419</t>
  </si>
  <si>
    <t>-555.149646694716 149.397966000599 -236.068228204278</t>
  </si>
  <si>
    <t>-514.990140210346 216.977711086571 212.794579529969</t>
  </si>
  <si>
    <t>-628.859160069218 245.245778684865 667.712787312909</t>
  </si>
  <si>
    <t>-477.598484066105 238.803608537249 757.279621505706</t>
  </si>
  <si>
    <t>-609.806483358297 -17.3096626889069 221.485000866028</t>
  </si>
  <si>
    <t>-659.801922545618 3.92553532310684 688.25679476761</t>
  </si>
  <si>
    <t>-505.30440392624 -44.5132447912054 757.015084022907</t>
  </si>
  <si>
    <t>9763-20170724T164210.990499800.bin</t>
  </si>
  <si>
    <t>-571.03680659673 53.5896838333504 -235.047603645291</t>
  </si>
  <si>
    <t>-593.68895668221 55.6041968355347 -354.004064418044</t>
  </si>
  <si>
    <t>-602.526929613534 42.8442118573268 -474.21076951046</t>
  </si>
  <si>
    <t>-604.682129138307 25.4577536112926 -582.321517310971</t>
  </si>
  <si>
    <t>-601.075770579151 2.34139633092299 -689.314294027363</t>
  </si>
  <si>
    <t>-590.179985048994 11.6787639416477 -778.848978799875</t>
  </si>
  <si>
    <t>-564.364758897705 156.257686575559 -786.207366896873</t>
  </si>
  <si>
    <t>-434.568938665322 236.060793512782 -508.771356723612</t>
  </si>
  <si>
    <t>-223.128601993624 225.992028505818 -357.663424311033</t>
  </si>
  <si>
    <t>-553.822228762548 150.379073169644 -236.385368408173</t>
  </si>
  <si>
    <t>-514.842706335851 217.392696531254 212.666462814521</t>
  </si>
  <si>
    <t>-628.673271709927 245.264138230178 667.581257115416</t>
  </si>
  <si>
    <t>-477.576227331356 238.760744768996 757.419529900477</t>
  </si>
  <si>
    <t>-608.763651891263 -16.2842557495325 221.457068032614</t>
  </si>
  <si>
    <t>-659.739626938311 3.99345348595354 688.192732297474</t>
  </si>
  <si>
    <t>-505.151502643253 -44.1127206283197 756.981059878543</t>
  </si>
  <si>
    <t>9763-20170724T164211.021587900.bin</t>
  </si>
  <si>
    <t>-570.399386938732 54.0337956503061 -235.096601967793</t>
  </si>
  <si>
    <t>-592.972128694959 55.992074801924 -354.069126411102</t>
  </si>
  <si>
    <t>-601.828645144387 43.1903036536508 -474.26988711388</t>
  </si>
  <si>
    <t>-604.04135134861 25.771006639759 -582.374158386949</t>
  </si>
  <si>
    <t>-600.532978175084 2.62597392726158 -689.364033032149</t>
  </si>
  <si>
    <t>-589.716121620053 11.9371734312912 -778.910960197781</t>
  </si>
  <si>
    <t>-563.822162641349 156.498796693514 -786.272532367189</t>
  </si>
  <si>
    <t>-434.326852229252 235.870073926655 -508.572339214008</t>
  </si>
  <si>
    <t>-224.372378353732 224.564934090847 -355.492894993815</t>
  </si>
  <si>
    <t>-553.19750988715 150.712885780558 -236.473871511375</t>
  </si>
  <si>
    <t>-514.866036720539 217.516403442212 212.664930073757</t>
  </si>
  <si>
    <t>-628.603414949514 245.25856423995 667.585702729502</t>
  </si>
  <si>
    <t>-477.568167426791 238.784617500028 757.529941971909</t>
  </si>
  <si>
    <t>-608.191015854035 -15.9345657294567 221.469941418287</t>
  </si>
  <si>
    <t>-659.73009829456 3.94359490374805 688.168179911002</t>
  </si>
  <si>
    <t>-505.577234180805 -45.4525778267735 757.018855098274</t>
  </si>
  <si>
    <t>9763-20170724T164211.090771800.bin</t>
  </si>
  <si>
    <t>-569.146604489374 54.7714251980163 -235.179888339994</t>
  </si>
  <si>
    <t>-591.644666633202 56.6165909647452 -354.16814447745</t>
  </si>
  <si>
    <t>-600.572067993674 43.763471670119 -474.358454800482</t>
  </si>
  <si>
    <t>-602.909427612057 26.3205895123541 -582.456084072698</t>
  </si>
  <si>
    <t>-599.586498598366 3.17268712597988 -689.45138253785</t>
  </si>
  <si>
    <t>-588.923965662294 12.4879501926835 -779.016475236801</t>
  </si>
  <si>
    <t>-562.914258956057 157.032310933332 -786.368108393805</t>
  </si>
  <si>
    <t>-434.322546500151 234.882797617334 -507.818966555289</t>
  </si>
  <si>
    <t>-228.511540454479 218.334034681871 -349.673319664751</t>
  </si>
  <si>
    <t>-551.959820373486 151.267704033759 -236.725176193061</t>
  </si>
  <si>
    <t>-515.336393423783 217.63820935646 212.620294810561</t>
  </si>
  <si>
    <t>-628.438969931222 245.310819423811 667.67174481018</t>
  </si>
  <si>
    <t>-477.529874282495 238.812656965473 757.825630984811</t>
  </si>
  <si>
    <t>-607.081854613732 -15.1858199679525 221.488719448877</t>
  </si>
  <si>
    <t>-659.668906573394 3.9864594000329 688.121323175691</t>
  </si>
  <si>
    <t>-505.643106577817 -45.7478296556676 757.012990765433</t>
  </si>
  <si>
    <t>9763-20170724T164211.121864500.bin</t>
  </si>
  <si>
    <t>-568.549953042575 55.1671744993158 -235.237705422818</t>
  </si>
  <si>
    <t>-590.989323313792 56.9511230719787 -354.23818625369</t>
  </si>
  <si>
    <t>-599.949456056059 44.0821399631142 -474.424155423761</t>
  </si>
  <si>
    <t>-602.353864496974 26.6425189874455 -582.520987630499</t>
  </si>
  <si>
    <t>-599.135057283841 3.51464484677706 -689.523766516369</t>
  </si>
  <si>
    <t>-588.574481466325 12.8554419276513 -779.098138038415</t>
  </si>
  <si>
    <t>-562.699053611222 157.422909179775 -786.541677631404</t>
  </si>
  <si>
    <t>-434.90836221027 234.583059064314 -507.432333359354</t>
  </si>
  <si>
    <t>-231.689147577541 213.194400663296 -346.539412388593</t>
  </si>
  <si>
    <t>-551.404952779714 151.635492098884 -236.826240949588</t>
  </si>
  <si>
    <t>-515.711642899638 217.725199286204 212.635437500589</t>
  </si>
  <si>
    <t>-628.381229316942 245.365732887759 667.796653959131</t>
  </si>
  <si>
    <t>-477.515533906632 238.801949329233 758.018494797099</t>
  </si>
  <si>
    <t>-606.601704841394 -14.8200504168118 221.494474232588</t>
  </si>
  <si>
    <t>-659.63179157334 4.07234271675934 688.093035273244</t>
  </si>
  <si>
    <t>-505.392179822485 -45.0051917985095 756.977227563954</t>
  </si>
  <si>
    <t>9763-20170724T164211.192059900.bin</t>
  </si>
  <si>
    <t>-567.206988706739 55.6167426000586 -235.326640888638</t>
  </si>
  <si>
    <t>-589.446285410216 57.2528714040132 -354.366669802225</t>
  </si>
  <si>
    <t>-598.414460641763 44.2999345825843 -474.54309976408</t>
  </si>
  <si>
    <t>-600.907739461253 26.8127191669852 -582.630166582105</t>
  </si>
  <si>
    <t>-597.856765312514 3.66622106671645 -689.63395718234</t>
  </si>
  <si>
    <t>-587.496101977158 13.0109488241369 -779.231251426056</t>
  </si>
  <si>
    <t>-562.017214625538 157.628179417253 -786.926305409616</t>
  </si>
  <si>
    <t>-437.522675096413 234.916376070574 -506.366538910987</t>
  </si>
  <si>
    <t>-233.77048509489 211.332739333493 -346.457281479175</t>
  </si>
  <si>
    <t>-549.949548390698 151.801698230204 -237.036018463336</t>
  </si>
  <si>
    <t>-516.545396323868 217.534148466867 212.653901148153</t>
  </si>
  <si>
    <t>-628.242768607809 245.50735312573 668.020143831185</t>
  </si>
  <si>
    <t>-477.472785124246 238.822255891252 758.39289965347</t>
  </si>
  <si>
    <t>-605.743587439923 -14.3933794392592 221.529398188459</t>
  </si>
  <si>
    <t>-659.633383337099 3.85858788003161 688.068886370199</t>
  </si>
  <si>
    <t>-506.065014540785 -47.1522507026791 757.048330183365</t>
  </si>
  <si>
    <t>9763-20170724T164211.227187600.bin</t>
  </si>
  <si>
    <t>-566.474338837792 55.8410551961244 -235.370607568464</t>
  </si>
  <si>
    <t>-588.574727945451 57.4099510587731 -354.437368826401</t>
  </si>
  <si>
    <t>-597.528979445876 44.4363522265493 -474.612681282234</t>
  </si>
  <si>
    <t>-600.058285209863 26.9510958936709 -582.699147960853</t>
  </si>
  <si>
    <t>-597.090133359914 3.82762770363188 -689.71025906717</t>
  </si>
  <si>
    <t>-586.83578804601 13.2063536026054 -779.316275475452</t>
  </si>
  <si>
    <t>-561.459071341847 157.836985427157 -787.046451400897</t>
  </si>
  <si>
    <t>-438.846392894361 235.812843377004 -505.848924336368</t>
  </si>
  <si>
    <t>-232.480701061735 214.508290232387 -349.000647234878</t>
  </si>
  <si>
    <t>-549.119773946505 151.977699940528 -237.163205649616</t>
  </si>
  <si>
    <t>-517.044027154012 217.411188025352 212.667056501858</t>
  </si>
  <si>
    <t>-628.157445118111 245.606144869484 668.148691788067</t>
  </si>
  <si>
    <t>-477.446696707311 238.785091149889 758.610095251828</t>
  </si>
  <si>
    <t>-605.374503087849 -14.0814903139463 221.518723148147</t>
  </si>
  <si>
    <t>-659.572769893696 3.9848347315442 688.047986143183</t>
  </si>
  <si>
    <t>-505.73837848691 -46.2082851567431 757.034494317407</t>
  </si>
  <si>
    <t>9763-20170724T164211.286345100.bin</t>
  </si>
  <si>
    <t>-565.238508226083 56.5521328101921 -235.452958863066</t>
  </si>
  <si>
    <t>-587.259439932254 57.9692368518551 -354.536446163794</t>
  </si>
  <si>
    <t>-596.240206239475 44.9399452471591 -474.703607847496</t>
  </si>
  <si>
    <t>-598.830913849824 27.4480234328414 -582.787766274317</t>
  </si>
  <si>
    <t>-595.957557489707 4.36412830014109 -689.809726622071</t>
  </si>
  <si>
    <t>-585.820805478311 13.8090940625315 -779.422292495874</t>
  </si>
  <si>
    <t>-560.608217132994 158.47894716334 -787.093075869513</t>
  </si>
  <si>
    <t>-441.488906582824 238.198061065807 -504.884529440384</t>
  </si>
  <si>
    <t>-231.490350317748 220.238459499377 -352.502986843305</t>
  </si>
  <si>
    <t>-547.782105819555 152.517731973895 -237.424057378439</t>
  </si>
  <si>
    <t>-518.063735032037 217.138956567686 212.685446976257</t>
  </si>
  <si>
    <t>-627.990039015693 245.760522745101 668.46273138946</t>
  </si>
  <si>
    <t>-477.393148198232 238.810812534955 759.103682269031</t>
  </si>
  <si>
    <t>-604.356710222827 -13.2009575952864 221.584394170897</t>
  </si>
  <si>
    <t>-659.428331325424 4.12943114968591 688.040233906894</t>
  </si>
  <si>
    <t>-505.627938937951 -46.0749582164862 757.094368210579</t>
  </si>
  <si>
    <t>9763-20170724T164211.323135800.bin</t>
  </si>
  <si>
    <t>-564.754259083976 56.971565440943 -235.46631253312</t>
  </si>
  <si>
    <t>-586.902485914524 58.3468957548033 -354.526615769813</t>
  </si>
  <si>
    <t>-595.946490288241 45.2628312524888 -474.683144124259</t>
  </si>
  <si>
    <t>-598.566458993932 27.7179731976582 -582.758023479416</t>
  </si>
  <si>
    <t>-595.693847072854 4.57911283144082 -689.768108412349</t>
  </si>
  <si>
    <t>-585.534348727344 13.9764877417198 -779.383117468408</t>
  </si>
  <si>
    <t>-560.383311787223 158.674461618148 -787.12232419648</t>
  </si>
  <si>
    <t>-442.896102475868 238.47087713527 -504.252372297318</t>
  </si>
  <si>
    <t>-232.950155988394 220.381786392501 -351.813536731739</t>
  </si>
  <si>
    <t>-547.221066538815 152.887687364512 -237.473830249129</t>
  </si>
  <si>
    <t>-518.439507208567 217.106288609646 212.754234224716</t>
  </si>
  <si>
    <t>-627.929015965408 245.85701302095 668.637070951096</t>
  </si>
  <si>
    <t>-477.378657596974 238.78379127835 759.345777183658</t>
  </si>
  <si>
    <t>-603.815034580532 -12.7183634699997 221.647887167761</t>
  </si>
  <si>
    <t>-659.3457866275 4.2889065101057 688.043460027595</t>
  </si>
  <si>
    <t>-505.429104100009 -45.5467974615984 757.105593328101</t>
  </si>
  <si>
    <t>9763-20170724T164211.389313500.bin</t>
  </si>
  <si>
    <t>-564.261326682975 57.5443015350863 -235.35120662663</t>
  </si>
  <si>
    <t>-586.256962819776 58.8421336537821 -354.440791173553</t>
  </si>
  <si>
    <t>-595.196222286901 45.6466510186808 -474.592883641228</t>
  </si>
  <si>
    <t>-597.740262565559 27.9895734909475 -582.651304323614</t>
  </si>
  <si>
    <t>-594.809766525195 4.72835075883719 -689.63342269972</t>
  </si>
  <si>
    <t>-584.629117179414 14.0185529630963 -779.257062081635</t>
  </si>
  <si>
    <t>-559.606949742014 158.708126011818 -787.142332257282</t>
  </si>
  <si>
    <t>-446.10307281694 239.793652688832 -503.015304737284</t>
  </si>
  <si>
    <t>-236.618361863414 221.392461469079 -349.980681211705</t>
  </si>
  <si>
    <t>-546.71441453786 153.403739989857 -237.332528471044</t>
  </si>
  <si>
    <t>-518.634462951863 217.329751214485 212.981443118711</t>
  </si>
  <si>
    <t>-627.848848559001 246.002861948781 668.978810967284</t>
  </si>
  <si>
    <t>-477.349828127963 238.779182306374 759.760809899725</t>
  </si>
  <si>
    <t>-603.608748924707 -12.3550331595444 221.739634214037</t>
  </si>
  <si>
    <t>-659.327543951866 4.19653062695163 688.063992853058</t>
  </si>
  <si>
    <t>-505.705152853765 -46.4329763342724 757.203828012071</t>
  </si>
  <si>
    <t>9763-20170724T164211.421404200.bin</t>
  </si>
  <si>
    <t>-564.080194182798 57.7883302448656 -235.296660030319</t>
  </si>
  <si>
    <t>-586.103982951961 59.0169906977878 -354.381617322991</t>
  </si>
  <si>
    <t>-594.983392160207 45.7585661470655 -474.531332208218</t>
  </si>
  <si>
    <t>-597.438435757869 28.0476995382606 -582.582874682794</t>
  </si>
  <si>
    <t>-594.384987587617 4.73610650630309 -689.550709936338</t>
  </si>
  <si>
    <t>-584.093285698969 13.9880329519467 -779.165688163531</t>
  </si>
  <si>
    <t>-558.953274563647 158.666630914881 -786.871047700951</t>
  </si>
  <si>
    <t>-447.728977396659 240.959838629582 -502.19021743564</t>
  </si>
  <si>
    <t>-238.166434094404 222.369541235081 -349.28504181218</t>
  </si>
  <si>
    <t>-546.451055703146 153.602849264928 -237.27713158924</t>
  </si>
  <si>
    <t>-518.507825969012 217.453080644366 213.05605201344</t>
  </si>
  <si>
    <t>-627.831402219983 246.038552833062 669.0831465757</t>
  </si>
  <si>
    <t>-477.34593436502 238.762274848081 759.883472020917</t>
  </si>
  <si>
    <t>-603.609784015015 -12.2549143191355 221.806197525116</t>
  </si>
  <si>
    <t>-659.331886929947 4.19389112521831 688.095853963701</t>
  </si>
  <si>
    <t>-505.678324434002 -46.3323970519058 757.242022610399</t>
  </si>
  <si>
    <t>9763-20170724T164211.492593700.bin</t>
  </si>
  <si>
    <t>-564.605315898234 57.943950304515 -235.151620527323</t>
  </si>
  <si>
    <t>-587.100584995137 59.1488618229507 -354.148780473907</t>
  </si>
  <si>
    <t>-595.988142623613 45.8549377556009 -474.29392293917</t>
  </si>
  <si>
    <t>-598.269220416207 28.1037863015716 -582.342618992863</t>
  </si>
  <si>
    <t>-594.866202993204 4.74236293186368 -689.288952405729</t>
  </si>
  <si>
    <t>-584.234304044013 13.9540671263868 -778.868407207092</t>
  </si>
  <si>
    <t>-559.256876475315 158.675493832781 -786.353603651487</t>
  </si>
  <si>
    <t>-448.359897532231 242.203276321225 -501.904680892322</t>
  </si>
  <si>
    <t>-236.333836528214 227.624602235684 -351.989898297527</t>
  </si>
  <si>
    <t>-547.414490384478 154.166768362465 -237.007739376332</t>
  </si>
  <si>
    <t>-518.224362835593 217.842201055838 213.27105237477</t>
  </si>
  <si>
    <t>-627.929844976062 245.942213549418 669.274035083494</t>
  </si>
  <si>
    <t>-477.377480180569 238.868234951152 759.979386973586</t>
  </si>
  <si>
    <t>-603.682897183067 -12.5093374492072 221.923765632326</t>
  </si>
  <si>
    <t>-659.476314623875 3.91387174573384 688.169743454235</t>
  </si>
  <si>
    <t>-505.993582188128 -47.1375483539491 757.309556454637</t>
  </si>
  <si>
    <t>9763-20170724T164211.522678200.bin</t>
  </si>
  <si>
    <t>-565.449341731127 57.8241104515272 -235.041006675959</t>
  </si>
  <si>
    <t>-588.008433129269 59.0392808268518 -354.025923737136</t>
  </si>
  <si>
    <t>-596.847314965249 45.750428867504 -474.175212318593</t>
  </si>
  <si>
    <t>-599.04514639842 27.996725754396 -582.225288740871</t>
  </si>
  <si>
    <t>-595.523910304837 4.62233287354073 -689.164928813036</t>
  </si>
  <si>
    <t>-584.787693689193 13.8169264269143 -778.733682371592</t>
  </si>
  <si>
    <t>-559.934153462979 158.559959332372 -786.210800999616</t>
  </si>
  <si>
    <t>-446.679018501758 241.417944857229 -502.49613559298</t>
  </si>
  <si>
    <t>-233.143093362727 229.714754424621 -354.484243416029</t>
  </si>
  <si>
    <t>-548.516071358247 154.061751916482 -236.818050343952</t>
  </si>
  <si>
    <t>-518.225875812241 218.104180368251 213.336124636365</t>
  </si>
  <si>
    <t>-627.998261873585 245.864147858497 669.304753170813</t>
  </si>
  <si>
    <t>-477.390287343858 239.062631393056 759.938583402221</t>
  </si>
  <si>
    <t>-604.101603336677 -12.7058527695731 221.948264153657</t>
  </si>
  <si>
    <t>-659.508919561559 3.99144541761247 688.198923391044</t>
  </si>
  <si>
    <t>-505.596748932952 -45.8501057315037 757.266941151759</t>
  </si>
  <si>
    <t>9763-20170724T164211.590860600.bin</t>
  </si>
  <si>
    <t>-567.083869098701 57.4457967090559 -235.011922019116</t>
  </si>
  <si>
    <t>-589.50170742314 58.5590098775292 -354.024577312331</t>
  </si>
  <si>
    <t>-598.15537769706 45.2264827842102 -474.182448148562</t>
  </si>
  <si>
    <t>-600.181726051533 27.4457975847741 -582.231504502101</t>
  </si>
  <si>
    <t>-596.493572384629 4.04942229349749 -689.160679079336</t>
  </si>
  <si>
    <t>-585.624563595822 13.2244884495371 -778.715268844849</t>
  </si>
  <si>
    <t>-560.838572862744 157.948876000672 -786.236245154649</t>
  </si>
  <si>
    <t>-439.733817425766 240.548719096141 -505.706271742144</t>
  </si>
  <si>
    <t>-224.001802107656 233.045259905713 -360.635668382349</t>
  </si>
  <si>
    <t>-550.483960188608 153.821826057204 -236.759985858468</t>
  </si>
  <si>
    <t>-519.089455412903 218.29925461274 213.256278986852</t>
  </si>
  <si>
    <t>-628.163095308001 245.807872275964 669.359048598007</t>
  </si>
  <si>
    <t>-477.418607831065 239.416044905836 759.795583935276</t>
  </si>
  <si>
    <t>-605.636627489182 -13.4389590428369 221.869332346169</t>
  </si>
  <si>
    <t>-659.59748062904 3.92454485034591 688.252355589149</t>
  </si>
  <si>
    <t>-505.348968560404 -44.9565284546062 757.256329064388</t>
  </si>
  <si>
    <t>9763-20170724T164211.626520400.bin</t>
  </si>
  <si>
    <t>-567.867195447747 57.3964388156809 -235.053844248706</t>
  </si>
  <si>
    <t>-590.295665145759 58.4539205373448 -354.065011890133</t>
  </si>
  <si>
    <t>-598.918366384049 45.0678972743674 -474.219237829256</t>
  </si>
  <si>
    <t>-600.905126824467 27.2357599134442 -582.260479646529</t>
  </si>
  <si>
    <t>-597.168835303766 3.78211476303782 -689.175398638165</t>
  </si>
  <si>
    <t>-586.232074381925 12.9006902163287 -778.727677877158</t>
  </si>
  <si>
    <t>-561.275317791188 157.633979652612 -786.417705968774</t>
  </si>
  <si>
    <t>-435.564223538279 239.919610725416 -507.828407016436</t>
  </si>
  <si>
    <t>-219.556657316526 233.750801034211 -363.105344542931</t>
  </si>
  <si>
    <t>-551.449640649123 153.798784734979 -236.795262270318</t>
  </si>
  <si>
    <t>-519.896906314445 218.334535270022 213.201709576817</t>
  </si>
  <si>
    <t>-628.311492078502 245.907379746693 669.46225293737</t>
  </si>
  <si>
    <t>-477.446668252937 239.476374779842 759.695078735733</t>
  </si>
  <si>
    <t>-606.107477601965 -13.703311559241 221.847397958851</t>
  </si>
  <si>
    <t>-659.66900458366 3.79663116138315 688.272990478629</t>
  </si>
  <si>
    <t>-505.48438143438 -45.3120283150321 757.258172142258</t>
  </si>
  <si>
    <t>9763-20170724T164211.690690700.bin</t>
  </si>
  <si>
    <t>-569.729126198716 57.258692713804 -235.102837181122</t>
  </si>
  <si>
    <t>-592.299716054823 58.3042009645014 -354.087120428018</t>
  </si>
  <si>
    <t>-600.894140529245 44.816219163726 -474.231903619188</t>
  </si>
  <si>
    <t>-602.798530644294 26.8450022250262 -582.251735442287</t>
  </si>
  <si>
    <t>-598.931611690677 3.19970509089858 -689.119867029747</t>
  </si>
  <si>
    <t>-587.760559105681 12.1072036792411 -778.664306025058</t>
  </si>
  <si>
    <t>-561.924067115811 156.659268929157 -786.724101407474</t>
  </si>
  <si>
    <t>-429.480427813561 238.461646824216 -511.128103862257</t>
  </si>
  <si>
    <t>-214.006608146555 235.457539856225 -365.511979289316</t>
  </si>
  <si>
    <t>-553.674696861822 153.90017086065 -236.795985031456</t>
  </si>
  <si>
    <t>-521.485848524773 218.523906632195 213.143317136339</t>
  </si>
  <si>
    <t>-628.686856881238 246.08292366221 669.726953955437</t>
  </si>
  <si>
    <t>-477.522587418329 239.426388182949 759.440769670235</t>
  </si>
  <si>
    <t>-607.155153583275 -14.1046233394254 221.764474503365</t>
  </si>
  <si>
    <t>-659.730161140475 3.75745960840159 688.299710485929</t>
  </si>
  <si>
    <t>-505.307932793252 -44.7162087076274 757.202374325887</t>
  </si>
  <si>
    <t>9763-20170724T164211.726799800.bin</t>
  </si>
  <si>
    <t>-570.564112243308 57.1983481324874 -235.184349858823</t>
  </si>
  <si>
    <t>-593.073963491212 58.1795363784812 -354.180792480116</t>
  </si>
  <si>
    <t>-601.597690428969 44.5997252196753 -474.320183927913</t>
  </si>
  <si>
    <t>-603.44048796497 26.5297204347313 -582.32460585541</t>
  </si>
  <si>
    <t>-599.518443820781 2.76711297854671 -689.164675632612</t>
  </si>
  <si>
    <t>-588.273110093211 11.5574622038635 -778.711538306252</t>
  </si>
  <si>
    <t>-562.142113614615 156.04119333753 -786.962128326861</t>
  </si>
  <si>
    <t>-427.935872431447 238.20866338567 -512.328922168443</t>
  </si>
  <si>
    <t>-213.23125597813 236.53011712007 -365.559880021926</t>
  </si>
  <si>
    <t>-554.56883214577 153.901702220317 -236.888487535878</t>
  </si>
  <si>
    <t>-522.134254247362 218.525676426555 213.033119914962</t>
  </si>
  <si>
    <t>-628.827592922552 246.092694247534 669.75748205142</t>
  </si>
  <si>
    <t>-477.553647845531 239.45226358193 759.287452607205</t>
  </si>
  <si>
    <t>-607.802431169328 -14.2995574882311 221.70119233913</t>
  </si>
  <si>
    <t>-659.724642437808 3.85841991565033 688.308912193694</t>
  </si>
  <si>
    <t>-504.971630455969 -43.6085969399124 757.170307623913</t>
  </si>
  <si>
    <t>9763-20170724T164211.789968600.bin</t>
  </si>
  <si>
    <t>-571.826046629331 57.3517886424078 -235.376450219988</t>
  </si>
  <si>
    <t>-594.253709288381 57.7974448028186 -354.391587038736</t>
  </si>
  <si>
    <t>-602.612613895341 43.8743278417448 -474.503431978861</t>
  </si>
  <si>
    <t>-604.292985818771 25.556732833755 -582.468631627734</t>
  </si>
  <si>
    <t>-600.206914220503 1.59817246286275 -689.258821925662</t>
  </si>
  <si>
    <t>-588.800488587494 10.2454790634663 -778.799146701417</t>
  </si>
  <si>
    <t>-562.161723257482 154.60786760807 -787.41835382016</t>
  </si>
  <si>
    <t>-426.132799181697 237.356268894537 -513.858306253206</t>
  </si>
  <si>
    <t>-213.68132965565 236.103050183047 -363.842129540591</t>
  </si>
  <si>
    <t>-556.17834358509 154.363371242241 -237.230159853886</t>
  </si>
  <si>
    <t>-523.178593952737 218.77618436483 212.680519438488</t>
  </si>
  <si>
    <t>-629.110464784417 246.036647952836 669.63174652091</t>
  </si>
  <si>
    <t>-477.639165077667 239.597461058161 758.842135782113</t>
  </si>
  <si>
    <t>-608.701871676617 -14.7086138640426 221.678522970328</t>
  </si>
  <si>
    <t>-659.77680593545 3.70862808828501 688.366876108628</t>
  </si>
  <si>
    <t>-504.859672069789 -43.1954164638464 757.245174666737</t>
  </si>
  <si>
    <t>9763-20170724T164211.824125900.bin</t>
  </si>
  <si>
    <t>-572.373541700643 57.5327766774628 -235.46601932163</t>
  </si>
  <si>
    <t>-594.801382877409 57.5690265148267 -354.481968423571</t>
  </si>
  <si>
    <t>-603.076498572464 43.4085337092422 -474.571763845958</t>
  </si>
  <si>
    <t>-604.662778906151 24.9327927468034 -582.511465640125</t>
  </si>
  <si>
    <t>-600.473962904127 0.863192939567064 -689.272723161782</t>
  </si>
  <si>
    <t>-588.969810416453 9.43966994421977 -778.807402779821</t>
  </si>
  <si>
    <t>-562.179248936152 153.755884763874 -787.641427147791</t>
  </si>
  <si>
    <t>-425.22156718556 235.754917742279 -514.319252644316</t>
  </si>
  <si>
    <t>-213.592445283878 234.299058106023 -363.147160210718</t>
  </si>
  <si>
    <t>-557.197119374659 154.712479747173 -237.451722470036</t>
  </si>
  <si>
    <t>-523.545423508298 219.243554774444 212.393763566217</t>
  </si>
  <si>
    <t>-629.287239343195 245.939145800164 669.444416761692</t>
  </si>
  <si>
    <t>-477.701887197121 239.787048359443 758.481166229572</t>
  </si>
  <si>
    <t>-608.619463755136 -14.702418703982 221.773237122935</t>
  </si>
  <si>
    <t>-659.749574338076 3.78716770232573 688.428228715549</t>
  </si>
  <si>
    <t>-504.561198043929 -42.230172507862 757.293972608917</t>
  </si>
  <si>
    <t>9763-20170724T164211.890331900.bin</t>
  </si>
  <si>
    <t>-573.591060992172 57.7077965223279 -235.535207129854</t>
  </si>
  <si>
    <t>-596.234576516791 57.2777468723843 -354.509572031394</t>
  </si>
  <si>
    <t>-604.479400192998 42.9379713212901 -474.580165694007</t>
  </si>
  <si>
    <t>-605.97128872244 24.3835383184899 -582.507682616811</t>
  </si>
  <si>
    <t>-601.64167964549 0.296977678203767 -689.259517093981</t>
  </si>
  <si>
    <t>-589.936459230569 8.87804121559429 -778.767612491245</t>
  </si>
  <si>
    <t>-562.44195934279 153.07104958599 -787.699589694942</t>
  </si>
  <si>
    <t>-423.071655564552 231.525593684017 -514.556750593868</t>
  </si>
  <si>
    <t>-212.456909029403 231.261313827976 -361.967720982102</t>
  </si>
  <si>
    <t>-559.742824585065 154.903177681358 -237.622172294289</t>
  </si>
  <si>
    <t>-524.479525435659 220.294904859154 211.975547194646</t>
  </si>
  <si>
    <t>-629.707470593433 245.458760182924 669.065232326026</t>
  </si>
  <si>
    <t>-477.824923555289 240.716865000089 757.680809041308</t>
  </si>
  <si>
    <t>-608.138720005841 -14.6762204942371 221.91707831855</t>
  </si>
  <si>
    <t>-659.703319271537 3.60652661643545 688.552478004603</t>
  </si>
  <si>
    <t>-504.705978625459 -42.9839563485701 757.463038705714</t>
  </si>
  <si>
    <t>9763-20170724T164211.922894300.bin</t>
  </si>
  <si>
    <t>-573.998261469594 57.9747649615085 -235.727017657052</t>
  </si>
  <si>
    <t>-596.689364058327 57.2521600068148 -354.690745110861</t>
  </si>
  <si>
    <t>-604.912433119277 42.7721567108019 -474.746091005674</t>
  </si>
  <si>
    <t>-606.369345403613 24.1397900138417 -582.660709435872</t>
  </si>
  <si>
    <t>-601.997235085831 0.0152463388906696 -689.402227638919</t>
  </si>
  <si>
    <t>-590.222576294505 8.58034659799597 -778.902707374758</t>
  </si>
  <si>
    <t>-562.540933770635 152.731870954971 -787.877598524331</t>
  </si>
  <si>
    <t>-421.799399921213 228.922513227082 -514.796927841993</t>
  </si>
  <si>
    <t>-211.827097890187 229.202547690287 -361.325020072759</t>
  </si>
  <si>
    <t>-560.532522599228 155.025130280906 -238.06178273384</t>
  </si>
  <si>
    <t>-525.589966886695 220.450304126853 211.556102311479</t>
  </si>
  <si>
    <t>-629.8132769719 245.352350592694 668.789395587334</t>
  </si>
  <si>
    <t>-477.869523277105 241.115256054704 757.325527098144</t>
  </si>
  <si>
    <t>-607.952093733484 -14.4897586976266 221.880652599773</t>
  </si>
  <si>
    <t>-659.626046846001 3.65058193203487 688.565296155747</t>
  </si>
  <si>
    <t>-504.40754366709 -42.220367333006 757.4608190659</t>
  </si>
  <si>
    <t>9763-20170724T164211.990072100.bin</t>
  </si>
  <si>
    <t>-574.461740095713 58.4067191416704 -236.30496582528</t>
  </si>
  <si>
    <t>-597.167577535426 57.1217584209105 -355.261108935198</t>
  </si>
  <si>
    <t>-605.321599420985 42.3979787636536 -475.291534687869</t>
  </si>
  <si>
    <t>-606.698556181407 23.6566385203667 -583.188326047204</t>
  </si>
  <si>
    <t>-590.29502827803 8.12227890323446 -779.39873307502</t>
  </si>
  <si>
    <t>-561.956373797225 152.144153609289 -788.455973570107</t>
  </si>
  <si>
    <t>-419.357200201897 225.470550316366 -515.555150965041</t>
  </si>
  <si>
    <t>-210.499269023175 226.13780343356 -360.571333176518</t>
  </si>
  <si>
    <t>-561.517599495496 155.431194753002 -239.036960877641</t>
  </si>
  <si>
    <t>-528.695224998758 220.653804640589 210.770038811369</t>
  </si>
  <si>
    <t>-630.058330725997 245.4751908583 668.495501186738</t>
  </si>
  <si>
    <t>-477.973071651142 241.512711471592 756.801090913718</t>
  </si>
  <si>
    <t>-607.497212578532 -14.1763299814373 221.763393489517</t>
  </si>
  <si>
    <t>-659.527101261594 3.50530035409385 688.525416883998</t>
  </si>
  <si>
    <t>-504.544758655983 -43.0956633267304 757.462564462873</t>
  </si>
  <si>
    <t>9763-20170724T164212.024178600.bin</t>
  </si>
  <si>
    <t>-574.712880444725 58.4920672885775 -236.539398412766</t>
  </si>
  <si>
    <t>-597.309142844281 56.9705426752556 -355.513816281473</t>
  </si>
  <si>
    <t>-605.375169112598 42.1141860066996 -475.533817104431</t>
  </si>
  <si>
    <t>-606.689417797198 23.2872605625467 -583.416415120198</t>
  </si>
  <si>
    <t>-590.140945241493 7.65199906396424 -779.60278814323</t>
  </si>
  <si>
    <t>-561.419511696977 151.58520472129 -788.717057215007</t>
  </si>
  <si>
    <t>-418.073520778131 224.011738698567 -515.967102195653</t>
  </si>
  <si>
    <t>-209.77275966378 224.728197422708 -360.235595202731</t>
  </si>
  <si>
    <t>-562.01633953107 155.41383503843 -239.417481544495</t>
  </si>
  <si>
    <t>-530.057523945819 220.708842009321 210.441262261992</t>
  </si>
  <si>
    <t>-630.224539083285 245.608250317173 668.467606989884</t>
  </si>
  <si>
    <t>-478.038482631807 241.550433008767 756.59501306157</t>
  </si>
  <si>
    <t>-607.494865638071 -14.0468707115485 221.689408204202</t>
  </si>
  <si>
    <t>-659.412270348953 3.73384770455013 688.487311034329</t>
  </si>
  <si>
    <t>-503.950429715217 -41.3029694673119 757.384293871638</t>
  </si>
  <si>
    <t>9763-20170724T164212.091349700.bin</t>
  </si>
  <si>
    <t>-575.136802563629 58.1451843584502 -236.748567000581</t>
  </si>
  <si>
    <t>-597.296654069298 56.3766564672524 -355.801542060312</t>
  </si>
  <si>
    <t>-605.071971266063 41.420182921221 -475.828279455617</t>
  </si>
  <si>
    <t>-606.199244213018 22.5467614570644 -583.704790767702</t>
  </si>
  <si>
    <t>-589.312627889727 6.87430616344713 -779.854298556305</t>
  </si>
  <si>
    <t>-559.58936797265 150.605860914718 -788.967128442016</t>
  </si>
  <si>
    <t>-415.533498760584 220.282764657655 -515.875143406856</t>
  </si>
  <si>
    <t>-208.736204118697 221.680318864896 -358.157228591147</t>
  </si>
  <si>
    <t>-562.686115350432 155.030988643029 -239.837901710782</t>
  </si>
  <si>
    <t>-532.228933775001 220.364602519651 210.119349085573</t>
  </si>
  <si>
    <t>-630.609453808679 245.768733840869 668.555915409747</t>
  </si>
  <si>
    <t>-478.180734644599 241.560371468627 756.255885116864</t>
  </si>
  <si>
    <t>-607.790543563446 -14.4604226246024 221.613617975587</t>
  </si>
  <si>
    <t>-659.378159906021 3.47676470364124 688.440849917679</t>
  </si>
  <si>
    <t>-504.289557007888 -42.7332989592087 757.402188382919</t>
  </si>
  <si>
    <t>9763-20170724T164212.122113400.bin</t>
  </si>
  <si>
    <t>-574.994271297552 58.0200889708753 -236.875607048645</t>
  </si>
  <si>
    <t>-597.029352592606 56.2003208680779 -355.950995625277</t>
  </si>
  <si>
    <t>-604.696667144643 41.2486413079762 -475.985289367206</t>
  </si>
  <si>
    <t>-605.73800098322 22.3970768320114 -583.866681174779</t>
  </si>
  <si>
    <t>-588.630423923587 6.78445543527104 -779.99836852044</t>
  </si>
  <si>
    <t>-558.424303100433 150.418830360039 -789.004616860487</t>
  </si>
  <si>
    <t>-414.441307757264 218.703216751177 -515.522743099548</t>
  </si>
  <si>
    <t>-208.237773334187 220.240427084217 -357.030455683543</t>
  </si>
  <si>
    <t>-562.617851953366 154.778265695164 -240.010485981308</t>
  </si>
  <si>
    <t>-532.864330155006 220.13832565777 209.990011447439</t>
  </si>
  <si>
    <t>-630.712944235327 245.798640960128 668.523605712893</t>
  </si>
  <si>
    <t>-478.225651011943 241.636435187421 756.123930342403</t>
  </si>
  <si>
    <t>-607.537465002201 -14.493232740529 221.583949685599</t>
  </si>
  <si>
    <t>-659.347994733202 3.39709858951386 688.407300883197</t>
  </si>
  <si>
    <t>-504.323281737713 -42.9946182437742 757.390363293369</t>
  </si>
  <si>
    <t>9763-20170724T164212.190266900.bin</t>
  </si>
  <si>
    <t>-574.244637889193 57.8034571290519 -237.070742969329</t>
  </si>
  <si>
    <t>-595.946563644894 55.709482318403 -356.202883646941</t>
  </si>
  <si>
    <t>-603.357157321889 40.7049815563745 -476.246568906667</t>
  </si>
  <si>
    <t>-604.203949626501 21.8882602889923 -584.135731258341</t>
  </si>
  <si>
    <t>-586.682472682612 6.50659509446437 -780.238158253968</t>
  </si>
  <si>
    <t>-555.578188233954 149.957240206768 -788.952412582254</t>
  </si>
  <si>
    <t>-411.532760872555 216.273043823972 -515.019265817079</t>
  </si>
  <si>
    <t>-206.364939175931 217.837419907851 -355.1890000531</t>
  </si>
  <si>
    <t>-561.838716627359 154.453932540478 -240.420162015631</t>
  </si>
  <si>
    <t>-533.240883086037 219.728078665527 209.667655856743</t>
  </si>
  <si>
    <t>-630.762561460785 245.758823653549 668.281261903121</t>
  </si>
  <si>
    <t>-478.294000436437 241.855012537558 755.926111373198</t>
  </si>
  <si>
    <t>-606.978597546949 -14.4117705704932 221.556018289474</t>
  </si>
  <si>
    <t>-659.242586238061 3.33788729427884 688.364483710058</t>
  </si>
  <si>
    <t>-504.582346031438 -44.1676991603129 757.407515245743</t>
  </si>
  <si>
    <t>9763-20170724T164212.222310600.bin</t>
  </si>
  <si>
    <t>-573.851288477126 57.7060534150322 -237.096099475835</t>
  </si>
  <si>
    <t>-595.388246299205 55.5070056975314 -356.256058983981</t>
  </si>
  <si>
    <t>-602.657255462419 40.5070505221733 -476.309201047046</t>
  </si>
  <si>
    <t>-603.387985314169 21.7357869588037 -584.207071884923</t>
  </si>
  <si>
    <t>-585.623808774575 6.52451633813754 -780.295625801897</t>
  </si>
  <si>
    <t>-554.190759055211 149.91309306171 -788.844034089554</t>
  </si>
  <si>
    <t>-410.032418531784 215.355268479645 -514.760328135242</t>
  </si>
  <si>
    <t>-205.164543034969 216.970523122722 -354.546216132213</t>
  </si>
  <si>
    <t>-561.465450235116 154.21617678263 -240.52490129077</t>
  </si>
  <si>
    <t>-533.30940588497 219.591452781003 209.576190440478</t>
  </si>
  <si>
    <t>-630.78547643722 245.711922185693 668.18474483603</t>
  </si>
  <si>
    <t>-478.329915374179 242.025308322793 755.861612548504</t>
  </si>
  <si>
    <t>-606.492279515934 -14.2685591250302 221.610731528176</t>
  </si>
  <si>
    <t>-659.148818627447 3.46090029608042 688.35108716609</t>
  </si>
  <si>
    <t>-504.386888877588 -43.7075586886427 757.39749158279</t>
  </si>
  <si>
    <t>9763-20170724T164212.292501800.bin</t>
  </si>
  <si>
    <t>-573.215307459522 57.4479519773007 -237.214225942791</t>
  </si>
  <si>
    <t>-594.593656467488 54.9351394074873 -356.396565266141</t>
  </si>
  <si>
    <t>-601.73597552992 39.865914820752 -476.448533379089</t>
  </si>
  <si>
    <t>-602.371098749167 21.1229537988677 -584.3520242322</t>
  </si>
  <si>
    <t>-584.388341380781 6.15622270327046 -780.428649792127</t>
  </si>
  <si>
    <t>-552.497972697178 149.465612141329 -788.771911802361</t>
  </si>
  <si>
    <t>-407.607204974018 212.315193795852 -514.467846903872</t>
  </si>
  <si>
    <t>-203.856566667536 214.109756017656 -352.837082069234</t>
  </si>
  <si>
    <t>-560.925969074376 153.795378018014 -240.850722852621</t>
  </si>
  <si>
    <t>-534.011675227629 219.320713487323 209.304451722254</t>
  </si>
  <si>
    <t>-630.85360774519 245.661061974851 668.004003390221</t>
  </si>
  <si>
    <t>-478.408950655566 242.356629372722 755.715002539869</t>
  </si>
  <si>
    <t>-605.565102350818 -14.1643133521695 221.697786677996</t>
  </si>
  <si>
    <t>-659.059463985515 3.28063606810389 688.354350984754</t>
  </si>
  <si>
    <t>-504.594115072932 -44.8024406867528 757.433891324218</t>
  </si>
  <si>
    <t>9763-20170724T164212.322581500.bin</t>
  </si>
  <si>
    <t>-572.934957507513 57.2977347239923 -237.348278603808</t>
  </si>
  <si>
    <t>-594.279528000943 54.61539378559 -356.533035641698</t>
  </si>
  <si>
    <t>-601.406330407065 39.5047907667157 -476.580748190336</t>
  </si>
  <si>
    <t>-602.037023712327 20.772421661662 -584.485996400426</t>
  </si>
  <si>
    <t>-584.027502951026 5.92847707585017 -780.563866643714</t>
  </si>
  <si>
    <t>-551.980347544478 149.20518501917 -788.788772916197</t>
  </si>
  <si>
    <t>-406.539208023981 210.975467724189 -514.530740108144</t>
  </si>
  <si>
    <t>-202.942072826968 213.19114631286 -352.711723461657</t>
  </si>
  <si>
    <t>-560.703234582335 153.550675583069 -241.112655708917</t>
  </si>
  <si>
    <t>-534.792259669337 219.134106084255 209.0930200882</t>
  </si>
  <si>
    <t>-630.891062127027 245.607542487619 667.93199652508</t>
  </si>
  <si>
    <t>-478.440679622284 242.662559936876 755.645830218453</t>
  </si>
  <si>
    <t>-605.033591554063 -14.0945460945055 221.742083943275</t>
  </si>
  <si>
    <t>-658.971548943721 3.29978776799523 688.355645272159</t>
  </si>
  <si>
    <t>-504.727412749255 -45.4604372698014 757.454929130952</t>
  </si>
  <si>
    <t>9763-20170724T164212.388758200.bin</t>
  </si>
  <si>
    <t>-572.409748891357 57.0407512121069 -237.555358289766</t>
  </si>
  <si>
    <t>-593.409575386127 53.893595264052 -356.789931203489</t>
  </si>
  <si>
    <t>-600.35585423529 38.5809997110018 -476.822648333956</t>
  </si>
  <si>
    <t>-600.895178869031 19.7669187131108 -584.714188322923</t>
  </si>
  <si>
    <t>-582.834637880909 4.99670705215672 -780.783667569167</t>
  </si>
  <si>
    <t>-550.500891121713 148.216295241033 -788.952071076877</t>
  </si>
  <si>
    <t>-404.327854186013 208.249964316955 -514.697377899925</t>
  </si>
  <si>
    <t>-201.334527644108 210.768264906234 -352.126187428549</t>
  </si>
  <si>
    <t>-560.262629653141 152.957048324807 -241.685734153504</t>
  </si>
  <si>
    <t>-537.123911396008 218.761694137519 208.638596116101</t>
  </si>
  <si>
    <t>-631.01152068965 245.644435893598 667.862828660159</t>
  </si>
  <si>
    <t>-478.505716382343 243.31534422325 755.498867215123</t>
  </si>
  <si>
    <t>-604.274918141846 -13.8411889044324 221.796931806382</t>
  </si>
  <si>
    <t>-658.70800574925 3.55845251740891 688.354921035484</t>
  </si>
  <si>
    <t>-504.193917352165 -44.3766863426516 757.428318265205</t>
  </si>
  <si>
    <t>9763-20170724T164212.427649700.bin</t>
  </si>
  <si>
    <t>-572.069915293136 56.8922656152532 -237.704238570891</t>
  </si>
  <si>
    <t>-592.930963602529 53.5021969147188 -356.956668781829</t>
  </si>
  <si>
    <t>-599.818942113379 38.0628215212588 -476.976476522604</t>
  </si>
  <si>
    <t>-600.341155550321 19.1782736142579 -584.855775681027</t>
  </si>
  <si>
    <t>-582.316326658469 4.37561262518892 -780.922481811479</t>
  </si>
  <si>
    <t>-549.973651809863 147.59827814385 -789.081253558137</t>
  </si>
  <si>
    <t>-403.396192396474 207.202684229432 -514.948972734799</t>
  </si>
  <si>
    <t>-200.312559342613 209.847696933519 -352.492405807005</t>
  </si>
  <si>
    <t>-560.053623183954 152.700448466349 -241.991126455839</t>
  </si>
  <si>
    <t>-538.500566885966 218.461738371864 208.418259577099</t>
  </si>
  <si>
    <t>-631.101618115576 245.694487130917 667.88160075369</t>
  </si>
  <si>
    <t>-478.538956487849 243.650351758808 755.425691245317</t>
  </si>
  <si>
    <t>-604.018552852884 -13.7864758977584 221.809730341649</t>
  </si>
  <si>
    <t>-658.594116743311 3.65735585623203 688.3490844742</t>
  </si>
  <si>
    <t>-504.153263030758 -44.4958478290715 757.434636671157</t>
  </si>
  <si>
    <t>9763-20170724T164212.488823800.bin</t>
  </si>
  <si>
    <t>-571.794898042967 56.5986608693829 -237.967537589998</t>
  </si>
  <si>
    <t>-592.342337110217 52.8075708847164 -357.262311321452</t>
  </si>
  <si>
    <t>-599.04020052226 37.1561939273718 -477.265259555263</t>
  </si>
  <si>
    <t>-599.446824977907 18.1509689136468 -585.124025619642</t>
  </si>
  <si>
    <t>-581.345595385246 3.28516391849806 -781.173777083923</t>
  </si>
  <si>
    <t>-549.037617861779 146.512449418314 -789.364071573415</t>
  </si>
  <si>
    <t>-401.51972037149 205.066845246598 -515.509894549887</t>
  </si>
  <si>
    <t>-199.65014725374 207.492419455619 -351.544017357988</t>
  </si>
  <si>
    <t>-560.125292620444 152.252823696004 -242.495192938651</t>
  </si>
  <si>
    <t>-541.367014051876 218.00477967767 208.040545626514</t>
  </si>
  <si>
    <t>-631.330968640299 245.793308695157 668.007940271061</t>
  </si>
  <si>
    <t>-478.595627718437 244.46153629033 755.264290540234</t>
  </si>
  <si>
    <t>-603.639343627546 -13.8763801297191 221.793054258798</t>
  </si>
  <si>
    <t>-658.463704728329 3.57066370718188 688.32562874245</t>
  </si>
  <si>
    <t>-504.1812997098 -45.0434713892163 757.44225553226</t>
  </si>
  <si>
    <t>9763-20170724T164212.524917000.bin</t>
  </si>
  <si>
    <t>-571.86252896867 56.4813849966523 -238.082232242562</t>
  </si>
  <si>
    <t>-592.3393805034 52.5038714938376 -357.383046515078</t>
  </si>
  <si>
    <t>-598.986530078589 36.7465977274892 -477.375040605124</t>
  </si>
  <si>
    <t>-599.359129614809 17.673936697006 -585.221864293639</t>
  </si>
  <si>
    <t>-581.225354403441 2.74338816985532 -781.261764500816</t>
  </si>
  <si>
    <t>-548.9488915999 145.980359321257 -789.429934714354</t>
  </si>
  <si>
    <t>-400.889439251793 203.557730212029 -515.660877139797</t>
  </si>
  <si>
    <t>-200.174823515316 205.489571150144 -350.2767265804</t>
  </si>
  <si>
    <t>-560.479641271927 152.155758855074 -242.72462059778</t>
  </si>
  <si>
    <t>-542.702691153673 217.843899649515 207.860222540836</t>
  </si>
  <si>
    <t>-631.444850056849 245.8706382041 668.072473994635</t>
  </si>
  <si>
    <t>-478.630552525882 244.811731264513 755.194027116356</t>
  </si>
  <si>
    <t>-603.626066016792 -13.9858787771006 221.780174036586</t>
  </si>
  <si>
    <t>-658.451630311277 3.37096385831171 688.317336924112</t>
  </si>
  <si>
    <t>-504.411972347585 -45.9472692925236 757.476585211165</t>
  </si>
  <si>
    <t>9763-20170724T164212.586079800.bin</t>
  </si>
  <si>
    <t>-572.165795307141 56.3679392813057 -238.195323404393</t>
  </si>
  <si>
    <t>-592.504010553384 52.2784732566663 -357.516087413602</t>
  </si>
  <si>
    <t>-598.984432620185 36.4637781687502 -477.509695428222</t>
  </si>
  <si>
    <t>-599.198525494598 17.3583017327439 -585.351115599715</t>
  </si>
  <si>
    <t>-580.777747236598 2.41089184553069 -781.361534810802</t>
  </si>
  <si>
    <t>-548.656924523288 145.681598880485 -789.507862597775</t>
  </si>
  <si>
    <t>-400.362977068835 201.999318469429 -515.603841330042</t>
  </si>
  <si>
    <t>-200.86859255376 203.576913698218 -348.745849714745</t>
  </si>
  <si>
    <t>-561.117731399967 151.914209341481 -242.86968027412</t>
  </si>
  <si>
    <t>-544.398374276524 217.716862576758 207.73893688509</t>
  </si>
  <si>
    <t>-631.63438092353 246.055609157213 668.219274161305</t>
  </si>
  <si>
    <t>-478.691265814399 245.337760633755 755.118069949222</t>
  </si>
  <si>
    <t>-603.720640532468 -14.0876349432942 221.739717228399</t>
  </si>
  <si>
    <t>-658.374306002591 3.24524449711635 688.288609719603</t>
  </si>
  <si>
    <t>-504.409923513026 -46.2753080588811 757.47099975182</t>
  </si>
  <si>
    <t>9763-20170724T164212.627217500.bin</t>
  </si>
  <si>
    <t>-572.324721436924 56.441739561217 -238.25388415023</t>
  </si>
  <si>
    <t>-592.58346502831 52.2668789896349 -357.585114919463</t>
  </si>
  <si>
    <t>-598.948218373813 36.4085895506656 -477.579134647264</t>
  </si>
  <si>
    <t>-599.043446852649 17.2804256042288 -585.416823513619</t>
  </si>
  <si>
    <t>-580.393926793057 2.33619786292581 -781.404034836687</t>
  </si>
  <si>
    <t>-548.481718191124 145.658275861526 -789.513171012594</t>
  </si>
  <si>
    <t>-400.274071658807 201.280969253917 -515.420557054687</t>
  </si>
  <si>
    <t>-202.447525792497 201.455202417912 -346.581351504612</t>
  </si>
  <si>
    <t>-561.386171337077 152.033473929371 -242.998955096684</t>
  </si>
  <si>
    <t>-544.79375278146 217.676402942415 207.637729088489</t>
  </si>
  <si>
    <t>-631.66857828765 246.126006907434 668.216062552081</t>
  </si>
  <si>
    <t>-478.716521599714 245.456585016228 755.09946559132</t>
  </si>
  <si>
    <t>-603.869105418759 -14.0579033449613 221.705020084141</t>
  </si>
  <si>
    <t>-658.318868591268 3.27812846212061 688.276011336662</t>
  </si>
  <si>
    <t>-504.137046469935 -45.5838392647225 757.442381393917</t>
  </si>
  <si>
    <t>9763-20170724T164212.693397400.bin</t>
  </si>
  <si>
    <t>-572.58965309609 56.2910372148866 -238.299044945787</t>
  </si>
  <si>
    <t>-592.939957047562 52.1979683001664 -357.617649145534</t>
  </si>
  <si>
    <t>-599.166134306411 36.3853611504925 -477.624957140249</t>
  </si>
  <si>
    <t>-599.040869447815 17.2855346938429 -585.46762129848</t>
  </si>
  <si>
    <t>-579.785406472273 2.37341840971249 -781.397127564699</t>
  </si>
  <si>
    <t>-548.00308094158 145.747673367307 -789.259125465626</t>
  </si>
  <si>
    <t>-400.633016666731 200.136561492559 -514.468116938087</t>
  </si>
  <si>
    <t>-204.450341775344 197.666814262495 -343.739330241369</t>
  </si>
  <si>
    <t>-561.695044887011 151.8787165892 -242.968378589429</t>
  </si>
  <si>
    <t>-545.04668449926 217.639646795445 207.648991712703</t>
  </si>
  <si>
    <t>-631.701288391418 246.255694236483 668.213253029165</t>
  </si>
  <si>
    <t>-478.764503716937 245.656719560174 755.124046966105</t>
  </si>
  <si>
    <t>-604.149167051556 -14.2103667715673 221.652550274464</t>
  </si>
  <si>
    <t>-658.258716959367 3.09832132239853 688.263652512081</t>
  </si>
  <si>
    <t>-504.249050408361 -46.2418497352905 757.47413187643</t>
  </si>
  <si>
    <t>9763-20170724T164212.724481000.bin</t>
  </si>
  <si>
    <t>-572.652546808125 56.1089276582971 -238.3417627758</t>
  </si>
  <si>
    <t>-592.972078844371 52.0058423869142 -357.665229679414</t>
  </si>
  <si>
    <t>-599.154086403831 36.1770370096885 -477.672830370315</t>
  </si>
  <si>
    <t>-598.983609362228 17.0606224495896 -585.512393061513</t>
  </si>
  <si>
    <t>-579.610709766147 2.1106291561368 -781.426873200273</t>
  </si>
  <si>
    <t>-547.867152586246 145.488474056598 -789.184727541538</t>
  </si>
  <si>
    <t>-401.337337999419 199.09553986611 -513.791303225299</t>
  </si>
  <si>
    <t>-208.244193587226 191.973872423811 -339.704117967073</t>
  </si>
  <si>
    <t>-561.690864470127 151.737863762208 -243.055622374092</t>
  </si>
  <si>
    <t>-545.161903449124 217.455166311388 207.572544327923</t>
  </si>
  <si>
    <t>-631.675672639679 246.335357687813 668.16157890876</t>
  </si>
  <si>
    <t>-478.787638225269 245.691875011383 755.157892847247</t>
  </si>
  <si>
    <t>-604.336211621502 -14.3461868797437 221.607847856317</t>
  </si>
  <si>
    <t>-658.221634958773 3.0248132543917 688.250932795046</t>
  </si>
  <si>
    <t>-504.353605795783 -46.7210566141683 757.485837453912</t>
  </si>
  <si>
    <t>9763-20170724T164212.790657700.bin</t>
  </si>
  <si>
    <t>-572.646259247037 55.653086669535 -238.314298847583</t>
  </si>
  <si>
    <t>-592.769482671465 51.6354333683266 -357.673896151353</t>
  </si>
  <si>
    <t>-598.862070502632 35.9269453666003 -477.701731616182</t>
  </si>
  <si>
    <t>-598.651899798567 16.9354959851421 -585.563326064903</t>
  </si>
  <si>
    <t>-579.22047853119 2.24681711087992 -781.488918342846</t>
  </si>
  <si>
    <t>-547.060660447938 145.549199555552 -788.648081147399</t>
  </si>
  <si>
    <t>-402.090730934076 195.81580325905 -511.803077993084</t>
  </si>
  <si>
    <t>-214.074153578005 181.30209820787 -332.69097304556</t>
  </si>
  <si>
    <t>-561.378457646776 151.366985141072 -243.042212032587</t>
  </si>
  <si>
    <t>-545.529043875751 217.157320254626 207.599730710891</t>
  </si>
  <si>
    <t>-631.683183433423 246.571780202897 668.208439658602</t>
  </si>
  <si>
    <t>-478.835624632816 245.649956808178 755.273333682401</t>
  </si>
  <si>
    <t>-604.743532683044 -14.782008046706 221.590139885967</t>
  </si>
  <si>
    <t>-658.194424809072 2.81655784301707 688.24131296229</t>
  </si>
  <si>
    <t>-504.367004150398 -47.028235609745 757.495390988553</t>
  </si>
  <si>
    <t>9763-20170724T164212.821741900.bin</t>
  </si>
  <si>
    <t>-572.692487672477 55.4057220557713 -238.278848582241</t>
  </si>
  <si>
    <t>-592.888965053361 51.5120460176835 -357.63005463569</t>
  </si>
  <si>
    <t>-599.01044065263 35.9213839787284 -477.671853016723</t>
  </si>
  <si>
    <t>-598.805642694785 17.0352220977682 -585.552080122672</t>
  </si>
  <si>
    <t>-579.282147722812 2.53455661172757 -781.480103534634</t>
  </si>
  <si>
    <t>-546.810675578606 145.806290226777 -788.293616564117</t>
  </si>
  <si>
    <t>-402.799140477951 194.462113321063 -510.661775332704</t>
  </si>
  <si>
    <t>-215.150587277489 178.507047821093 -331.286462899885</t>
  </si>
  <si>
    <t>-561.321416847993 151.232096890811 -242.921541267424</t>
  </si>
  <si>
    <t>-545.342146549961 217.056298158223 207.710760879071</t>
  </si>
  <si>
    <t>-631.739355465682 246.692684229591 668.319200857108</t>
  </si>
  <si>
    <t>-478.871968566441 245.573966021625 755.34694198832</t>
  </si>
  <si>
    <t>-605.020896602692 -15.0332630185972 221.588310179428</t>
  </si>
  <si>
    <t>-658.183099365719 2.7851879028989 688.235215067571</t>
  </si>
  <si>
    <t>-504.314553448907 -46.9538877881568 757.473981150726</t>
  </si>
  <si>
    <t>9763-20170724T164212.897947000.bin</t>
  </si>
  <si>
    <t>-572.797402052811 54.8639457330648 -238.192741032001</t>
  </si>
  <si>
    <t>-592.967579106346 51.2086493853372 -357.556000338607</t>
  </si>
  <si>
    <t>-599.05281670954 35.8825524392592 -477.633747430315</t>
  </si>
  <si>
    <t>-598.80410131067 17.251806808535 -585.558154379997</t>
  </si>
  <si>
    <t>-579.08287993434 3.26222284867173 -781.497988238255</t>
  </si>
  <si>
    <t>-546.260203014118 146.464925867192 -787.62834342345</t>
  </si>
  <si>
    <t>-404.486560322275 192.615243068411 -508.421388959983</t>
  </si>
  <si>
    <t>-219.144680291229 169.764458908927 -327.401338385123</t>
  </si>
  <si>
    <t>-560.802253093357 150.739906147933 -242.747816007927</t>
  </si>
  <si>
    <t>-544.542609289896 216.861529502319 207.830896297605</t>
  </si>
  <si>
    <t>-631.768690787667 246.887358303744 668.364025220383</t>
  </si>
  <si>
    <t>-478.924376873813 245.263064019151 755.424316792476</t>
  </si>
  <si>
    <t>-605.664001539589 -15.5340279685371 221.559228071994</t>
  </si>
  <si>
    <t>-658.181135896376 2.69391878269754 688.23258656549</t>
  </si>
  <si>
    <t>-504.183582330383 -46.6941863033747 757.435791683509</t>
  </si>
  <si>
    <t>9763-20170724T164212.924051300.bin</t>
  </si>
  <si>
    <t>-572.745524323318 54.636655216723 -238.132557410094</t>
  </si>
  <si>
    <t>-592.932647396748 51.124747656367 -357.497381024642</t>
  </si>
  <si>
    <t>-599.023835505674 35.9474998739014 -477.593582209936</t>
  </si>
  <si>
    <t>-598.771648582728 17.4568005553843 -585.542177918565</t>
  </si>
  <si>
    <t>-578.981227137691 3.74073011507656 -781.491595591767</t>
  </si>
  <si>
    <t>-545.928255435559 146.915802889881 -787.284039377049</t>
  </si>
  <si>
    <t>-405.05336093141 191.773074105029 -507.412127749272</t>
  </si>
  <si>
    <t>-220.520172916289 165.963980318496 -325.963788557446</t>
  </si>
  <si>
    <t>-560.432635591932 150.693616227159 -242.647439016507</t>
  </si>
  <si>
    <t>-543.875953162751 216.770854819674 207.926986980723</t>
  </si>
  <si>
    <t>-631.758963953359 246.92765346509 668.350804256552</t>
  </si>
  <si>
    <t>-478.950894391209 245.147039255337 755.471614293054</t>
  </si>
  <si>
    <t>-605.838914244841 -15.7609009533939 221.558110494371</t>
  </si>
  <si>
    <t>-658.177283811646 2.69478243189596 688.23472177725</t>
  </si>
  <si>
    <t>-504.032275154302 -46.2712836080514 757.409526069154</t>
  </si>
  <si>
    <t>9763-20170724T164212.990252600.bin</t>
  </si>
  <si>
    <t>-572.548085724943 54.0440061960024 -238.001952106991</t>
  </si>
  <si>
    <t>-592.899699426372 50.7932543808709 -357.346266058689</t>
  </si>
  <si>
    <t>-599.124857136259 35.9284375307011 -477.474736620536</t>
  </si>
  <si>
    <t>-598.973790127366 17.7448663042934 -585.475558180803</t>
  </si>
  <si>
    <t>-579.220974833868 4.65048654000715 -781.464252323816</t>
  </si>
  <si>
    <t>-545.619433658631 147.722963899694 -786.549680901273</t>
  </si>
  <si>
    <t>-406.618422071555 189.711860024562 -505.299196685284</t>
  </si>
  <si>
    <t>-223.865557187066 157.056072556601 -323.153551855135</t>
  </si>
  <si>
    <t>-559.744489672115 150.237830116604 -242.378241500026</t>
  </si>
  <si>
    <t>-542.357472936794 216.668218945658 208.113036900574</t>
  </si>
  <si>
    <t>-631.718427970163 247.003282347845 668.267444174957</t>
  </si>
  <si>
    <t>-479.002409958497 244.86644340365 755.541486644435</t>
  </si>
  <si>
    <t>-606.269808674938 -16.298825592774 221.572064835827</t>
  </si>
  <si>
    <t>-658.210424844154 2.49817468247062 688.245665954505</t>
  </si>
  <si>
    <t>-504.344684568352 -47.3077127076205 757.442712329108</t>
  </si>
  <si>
    <t>9763-20170724T164213.021312200.bin</t>
  </si>
  <si>
    <t>-572.38115138282 53.7522529599093 -237.908477182102</t>
  </si>
  <si>
    <t>-592.664686664661 50.6225052684823 -357.267592979928</t>
  </si>
  <si>
    <t>-598.900983202694 35.9042643301411 -477.413425579313</t>
  </si>
  <si>
    <t>-598.787884764341 17.8670376580145 -585.438852169123</t>
  </si>
  <si>
    <t>-579.128252045258 5.07678041322859 -781.454806822694</t>
  </si>
  <si>
    <t>-545.368162638668 148.124496131438 -786.197076860196</t>
  </si>
  <si>
    <t>-406.931868361909 188.886805375617 -504.487975991122</t>
  </si>
  <si>
    <t>-224.353788455973 154.30599702577 -322.522473566599</t>
  </si>
  <si>
    <t>-559.284989485257 149.950262905684 -242.258926117918</t>
  </si>
  <si>
    <t>-541.660886873157 216.604782348961 208.190006000616</t>
  </si>
  <si>
    <t>-631.697876506169 247.029793105583 668.221482746776</t>
  </si>
  <si>
    <t>-479.027005733779 244.718589746248 755.569998476917</t>
  </si>
  <si>
    <t>-606.389160807558 -16.4620396661379 221.589933112873</t>
  </si>
  <si>
    <t>-658.201977741943 2.50482892643294 688.254562842025</t>
  </si>
  <si>
    <t>-504.089978663582 -46.5627682011935 757.430965997417</t>
  </si>
  <si>
    <t>9763-20170724T164213.088375000.bin</t>
  </si>
  <si>
    <t>-571.98849518568 53.1959101145198 -237.746115065229</t>
  </si>
  <si>
    <t>-592.371289838641 50.2832673785513 -357.093744759206</t>
  </si>
  <si>
    <t>-598.738225381713 35.8617445247846 -477.268891543648</t>
  </si>
  <si>
    <t>-598.749446505533 18.1277870137131 -585.344539496441</t>
  </si>
  <si>
    <t>-579.24634013866 5.97552357505987 -781.409941900767</t>
  </si>
  <si>
    <t>-545.150869417516 148.95773105768 -785.530166475727</t>
  </si>
  <si>
    <t>-407.842429030499 188.457069219288 -503.090067978583</t>
  </si>
  <si>
    <t>-225.024794739247 151.771205033279 -321.778346270578</t>
  </si>
  <si>
    <t>-558.498375571045 149.60092563375 -242.017516214482</t>
  </si>
  <si>
    <t>-540.194873020965 216.445564683879 208.376093801811</t>
  </si>
  <si>
    <t>-631.677296255014 247.079024532195 668.172880935026</t>
  </si>
  <si>
    <t>-479.075544709986 244.40587643281 755.631891287283</t>
  </si>
  <si>
    <t>-606.381639087671 -16.8394542618895 221.660035478269</t>
  </si>
  <si>
    <t>-658.237918696682 2.35624014603937 688.271190751889</t>
  </si>
  <si>
    <t>-504.388698587897 -47.5040444860971 757.465715180823</t>
  </si>
  <si>
    <t>9763-20170724T164213.125494700.bin</t>
  </si>
  <si>
    <t>-571.801484648193 52.9538672606752 -237.676547801067</t>
  </si>
  <si>
    <t>-592.302789665808 50.1773047562144 -357.007047283118</t>
  </si>
  <si>
    <t>-598.748464923874 35.908580616031 -477.196246244456</t>
  </si>
  <si>
    <t>-598.811684131427 18.3207334616703 -585.295758921234</t>
  </si>
  <si>
    <t>-579.331700957307 6.45654091018332 -781.378626456376</t>
  </si>
  <si>
    <t>-545.154203639885 149.412339331859 -785.171427773654</t>
  </si>
  <si>
    <t>-407.786448297176 189.546707209639 -502.849703820482</t>
  </si>
  <si>
    <t>-222.168916170909 159.7141904393 -323.132698183075</t>
  </si>
  <si>
    <t>-558.153949102117 149.356947285082 -241.855840547997</t>
  </si>
  <si>
    <t>-539.368391343311 216.467129559587 208.478460417344</t>
  </si>
  <si>
    <t>-631.676518599901 247.077029451364 668.139982280142</t>
  </si>
  <si>
    <t>-479.10154671467 244.285128892702 755.641890997</t>
  </si>
  <si>
    <t>-606.290252668513 -16.9993793074594 221.694285061585</t>
  </si>
  <si>
    <t>-658.25356125044 2.31620886939504 688.280725095494</t>
  </si>
  <si>
    <t>-504.415419142314 -47.6003165697918 757.45928949319</t>
  </si>
  <si>
    <t>9763-20170724T164213.189657200.bin</t>
  </si>
  <si>
    <t>-571.601070394423 52.5442176887754 -237.430043272279</t>
  </si>
  <si>
    <t>-592.304474186845 50.0384564268883 -356.731745749114</t>
  </si>
  <si>
    <t>-598.806086317068 36.0376300383299 -476.949355438612</t>
  </si>
  <si>
    <t>-598.8543290081 18.6947122694019 -585.088481792696</t>
  </si>
  <si>
    <t>-579.210859621192 7.30423713790836 -781.179829385131</t>
  </si>
  <si>
    <t>-545.200486032097 150.33210691211 -784.665907675157</t>
  </si>
  <si>
    <t>-405.83519414244 192.847052225358 -503.674971256334</t>
  </si>
  <si>
    <t>-213.778968887995 177.968321985286 -328.931986596721</t>
  </si>
  <si>
    <t>-557.642986078148 149.034728574897 -241.430314051855</t>
  </si>
  <si>
    <t>-537.42926154755 216.685825175253 208.761216199259</t>
  </si>
  <si>
    <t>-631.702770092571 247.019029680213 668.076490375346</t>
  </si>
  <si>
    <t>-479.153084484911 244.127633604959 755.619368177466</t>
  </si>
  <si>
    <t>-606.094144726435 -17.3682418488772 221.767791109239</t>
  </si>
  <si>
    <t>-658.281121955139 2.33273032992828 688.289257130145</t>
  </si>
  <si>
    <t>-504.463687280884 -47.7046852169307 757.426569897164</t>
  </si>
  <si>
    <t>9763-20170724T164213.224670700.bin</t>
  </si>
  <si>
    <t>-571.602113151742 52.307866952675 -237.335350199754</t>
  </si>
  <si>
    <t>-592.447953950915 49.9401404946546 -356.614979964506</t>
  </si>
  <si>
    <t>-599.032623572273 36.0248374057849 -476.838128652093</t>
  </si>
  <si>
    <t>-599.128997361298 18.7403229483501 -584.986529070395</t>
  </si>
  <si>
    <t>-579.521195755041 7.41901931654492 -781.086505108727</t>
  </si>
  <si>
    <t>-545.696207093988 150.494013534582 -784.659747138853</t>
  </si>
  <si>
    <t>-404.510819370445 194.947155452672 -504.879722008271</t>
  </si>
  <si>
    <t>-209.738643495059 185.322997591973 -332.794863414818</t>
  </si>
  <si>
    <t>-557.548274096823 148.815189105322 -241.249390863764</t>
  </si>
  <si>
    <t>-536.495726454323 216.806306731682 208.852417901218</t>
  </si>
  <si>
    <t>-631.694199315304 246.955063219556 667.976876634216</t>
  </si>
  <si>
    <t>-479.172129865791 244.134125311734 755.570017644224</t>
  </si>
  <si>
    <t>-606.163001611342 -17.5195006341334 221.775661326894</t>
  </si>
  <si>
    <t>-658.266159344502 2.45732231501412 688.292565424422</t>
  </si>
  <si>
    <t>-504.255514852157 -47.031295871876 757.394594416239</t>
  </si>
  <si>
    <t>9763-20170724T164213.289842400.bin</t>
  </si>
  <si>
    <t>-571.652269601177 51.8721957966489 -237.242139078427</t>
  </si>
  <si>
    <t>-592.42919438181 49.6025787627781 -356.535674503491</t>
  </si>
  <si>
    <t>-598.913365025897 35.6706961990001 -476.762296676341</t>
  </si>
  <si>
    <t>-598.902402617639 18.3318280584804 -584.902124489786</t>
  </si>
  <si>
    <t>-579.110619032626 6.83816192231524 -780.977930435137</t>
  </si>
  <si>
    <t>-545.707259106615 149.981703564984 -785.038444951991</t>
  </si>
  <si>
    <t>-400.878331728495 199.286923615481 -507.946707606724</t>
  </si>
  <si>
    <t>-202.945869057801 195.010800503276 -339.285653783092</t>
  </si>
  <si>
    <t>-557.218552881698 148.540353216543 -241.117604254167</t>
  </si>
  <si>
    <t>-535.402131915523 216.897743623478 208.892306933395</t>
  </si>
  <si>
    <t>-631.667913740892 246.845977208268 667.751516952109</t>
  </si>
  <si>
    <t>-479.210412069466 244.154805962177 755.461194777933</t>
  </si>
  <si>
    <t>-606.676820852342 -18.0308140510385 221.757041997821</t>
  </si>
  <si>
    <t>-658.341209475022 2.20298429294604 688.315707282434</t>
  </si>
  <si>
    <t>-504.55189291033 -47.949784131242 757.431947081935</t>
  </si>
  <si>
    <t>9763-20170724T164213.322932000.bin</t>
  </si>
  <si>
    <t>-571.546215816671 51.7556348795996 -237.245320793398</t>
  </si>
  <si>
    <t>-592.326030652886 49.5502726813301 -356.53971292925</t>
  </si>
  <si>
    <t>-598.777799975029 35.6063981177774 -476.766563627629</t>
  </si>
  <si>
    <t>-598.721329888354 18.2290348392443 -584.900199696003</t>
  </si>
  <si>
    <t>-578.826197748229 6.60763285227651 -780.960615031438</t>
  </si>
  <si>
    <t>-545.55830448747 149.777809442467 -785.231351977868</t>
  </si>
  <si>
    <t>-399.195990177178 201.724995126096 -509.43111903229</t>
  </si>
  <si>
    <t>-200.246402192952 198.097408979492 -341.955768185609</t>
  </si>
  <si>
    <t>-557.086549808549 148.417856824825 -241.088314528335</t>
  </si>
  <si>
    <t>-535.205061551475 216.787709635396 208.916575188874</t>
  </si>
  <si>
    <t>-631.66847702201 246.824665425538 667.669065349971</t>
  </si>
  <si>
    <t>-479.232116123038 244.163944976598 755.416316858341</t>
  </si>
  <si>
    <t>-606.797730043505 -18.0739302607031 221.731651955526</t>
  </si>
  <si>
    <t>-658.313085877271 2.30239957132427 688.31284744318</t>
  </si>
  <si>
    <t>-504.287326729594 -47.1454299592214 757.410374384646</t>
  </si>
  <si>
    <t>9763-20170724T164213.389110400.bin</t>
  </si>
  <si>
    <t>-571.238439864715 52.1019211737466 -237.444807160343</t>
  </si>
  <si>
    <t>-591.741585186605 49.7592249150797 -356.784306705311</t>
  </si>
  <si>
    <t>-597.973972892738 35.6245782092803 -477.000481682427</t>
  </si>
  <si>
    <t>-597.744411533096 18.0553048831671 -585.102858671809</t>
  </si>
  <si>
    <t>-577.610453680613 6.03869905232352 -781.118719241608</t>
  </si>
  <si>
    <t>-544.500185525749 149.243464700723 -785.708084117943</t>
  </si>
  <si>
    <t>-396.791837935676 203.885402005269 -511.148890564699</t>
  </si>
  <si>
    <t>-196.305747873285 201.367772368365 -345.49565127296</t>
  </si>
  <si>
    <t>-556.745735838293 148.705657972217 -241.426569732938</t>
  </si>
  <si>
    <t>-535.792120775622 216.780475142843 208.667305832399</t>
  </si>
  <si>
    <t>-631.636729479496 246.888197466096 667.543758080279</t>
  </si>
  <si>
    <t>-479.245337128553 244.174411681849 755.367572581795</t>
  </si>
  <si>
    <t>-606.675694765388 -17.7646125383627 221.638341779465</t>
  </si>
  <si>
    <t>-658.277174724767 2.29376108663827 688.289994166106</t>
  </si>
  <si>
    <t>-504.238337869146 -47.0597847548661 757.426023426388</t>
  </si>
  <si>
    <t>9763-20170724T164213.423605600.bin</t>
  </si>
  <si>
    <t>-570.951098322436 52.2811541656931 -237.520558000505</t>
  </si>
  <si>
    <t>-591.416435980697 49.9297865379117 -356.866420741529</t>
  </si>
  <si>
    <t>-597.603742411616 35.7637900273992 -477.081328572536</t>
  </si>
  <si>
    <t>-597.331172596927 18.1571656648055 -585.177454417831</t>
  </si>
  <si>
    <t>-577.127535919217 6.05183596038925 -781.181976582894</t>
  </si>
  <si>
    <t>-544.077436971327 149.257873487353 -785.797616076248</t>
  </si>
  <si>
    <t>-396.165473220067 204.099072277492 -511.387977773734</t>
  </si>
  <si>
    <t>-194.958300242527 201.914816861817 -346.606358237862</t>
  </si>
  <si>
    <t>-556.54193361786 148.879804161709 -241.51070126044</t>
  </si>
  <si>
    <t>-536.198692336557 216.722710806614 208.646084985855</t>
  </si>
  <si>
    <t>-631.642468908559 246.891920380292 667.559102208862</t>
  </si>
  <si>
    <t>-479.252555450086 244.270230674142 755.38824953203</t>
  </si>
  <si>
    <t>-606.521742155204 -17.6233496051621 221.612530572778</t>
  </si>
  <si>
    <t>-658.271158569872 2.17517643790514 688.281842918091</t>
  </si>
  <si>
    <t>-504.528843630062 -48.0105783758518 757.478688101503</t>
  </si>
  <si>
    <t>9763-20170724T164213.490783700.bin</t>
  </si>
  <si>
    <t>-570.393328442157 52.9513909763097 -237.740231375269</t>
  </si>
  <si>
    <t>-590.556893925402 50.4412718573308 -357.13436599451</t>
  </si>
  <si>
    <t>-596.533459155684 36.1363728960233 -477.34335005625</t>
  </si>
  <si>
    <t>-596.107828114805 18.414781092657 -585.420269384993</t>
  </si>
  <si>
    <t>-575.752955125829 6.13417551844947 -781.399283939459</t>
  </si>
  <si>
    <t>-542.92509232197 149.392975438247 -786.087741569701</t>
  </si>
  <si>
    <t>-394.537468919608 204.694501318735 -512.027298042079</t>
  </si>
  <si>
    <t>-190.843627439982 203.333853139183 -350.320821830344</t>
  </si>
  <si>
    <t>-555.993005337605 149.309888234522 -241.875096760952</t>
  </si>
  <si>
    <t>-537.303823271108 216.654693994124 208.428253741881</t>
  </si>
  <si>
    <t>-631.563023403503 247.022443316522 667.547565317823</t>
  </si>
  <si>
    <t>-479.227169862902 244.505917711443 755.473424178957</t>
  </si>
  <si>
    <t>-606.307124568108 -17.077449308026 221.496831001911</t>
  </si>
  <si>
    <t>-658.160344919353 2.22307940325678 688.244736479538</t>
  </si>
  <si>
    <t>-504.256084846513 -47.3939603285524 757.491690205778</t>
  </si>
  <si>
    <t>9763-20170724T164213.521899700.bin</t>
  </si>
  <si>
    <t>-570.126065785021 53.42727975859 -237.896992048076</t>
  </si>
  <si>
    <t>-590.238022721892 50.8164488946709 -357.297618999764</t>
  </si>
  <si>
    <t>-596.167863955987 36.4253022211827 -477.498677166114</t>
  </si>
  <si>
    <t>-595.701939095026 18.6327180724236 -585.563786352091</t>
  </si>
  <si>
    <t>-575.295412838579 6.24302538152816 -781.530213351313</t>
  </si>
  <si>
    <t>-542.461494086501 149.500697442969 -786.32050978212</t>
  </si>
  <si>
    <t>-394.005458313771 205.1122809503 -512.360073457089</t>
  </si>
  <si>
    <t>-188.801308461825 204.937407320881 -352.568646825601</t>
  </si>
  <si>
    <t>-555.738351082742 149.822341455897 -242.083931023208</t>
  </si>
  <si>
    <t>-537.954884193507 216.661405874065 208.331407489459</t>
  </si>
  <si>
    <t>-631.515646227102 247.094623350613 667.577365770579</t>
  </si>
  <si>
    <t>-479.214242119611 244.560698405128 755.562410007833</t>
  </si>
  <si>
    <t>-606.203150405424 -16.770406534142 221.451613752165</t>
  </si>
  <si>
    <t>-658.138671641462 2.15726442373768 688.221004528421</t>
  </si>
  <si>
    <t>-504.36302559245 -47.7770839209528 757.525525851543</t>
  </si>
  <si>
    <t>9763-20170724T164213.590678000.bin</t>
  </si>
  <si>
    <t>-569.938563533759 54.1577663671294 -237.928890772335</t>
  </si>
  <si>
    <t>-589.925243581431 51.4894756663863 -357.349292396998</t>
  </si>
  <si>
    <t>-595.742109926035 36.9793531451056 -477.5414970492</t>
  </si>
  <si>
    <t>-595.179242894656 19.0568232356375 -585.584706582421</t>
  </si>
  <si>
    <t>-574.631733094033 6.38160535522232 -781.521354473252</t>
  </si>
  <si>
    <t>-541.872476521817 149.658597553714 -786.531028110772</t>
  </si>
  <si>
    <t>-393.363485149199 206.349681569424 -512.820676159134</t>
  </si>
  <si>
    <t>-187.879083142924 206.848914900584 -353.390519408342</t>
  </si>
  <si>
    <t>-555.70418039311 150.465477500599 -242.144505165764</t>
  </si>
  <si>
    <t>-538.73633459043 216.825224775315 208.373163477322</t>
  </si>
  <si>
    <t>-631.494619027461 247.228153109934 667.7737254638</t>
  </si>
  <si>
    <t>-479.213276156239 244.670396218542 755.792888667208</t>
  </si>
  <si>
    <t>-606.07673217915 -16.346465411242 221.448087714592</t>
  </si>
  <si>
    <t>-658.085572627498 2.13140980413451 688.201812018886</t>
  </si>
  <si>
    <t>-504.408975029916 -48.029969600326 757.56196596326</t>
  </si>
  <si>
    <t>9763-20170724T164213.622769600.bin</t>
  </si>
  <si>
    <t>-569.767291748334 54.4752313155932 -237.949284325904</t>
  </si>
  <si>
    <t>-589.700005973056 51.7767465648985 -357.3779821446</t>
  </si>
  <si>
    <t>-595.460634316853 37.1993127464058 -477.564766160204</t>
  </si>
  <si>
    <t>-594.846707809704 19.2015912731011 -585.595217405576</t>
  </si>
  <si>
    <t>-574.210077881384 6.35426708958593 -781.512939430805</t>
  </si>
  <si>
    <t>-541.48677784439 149.633964189819 -786.655211059525</t>
  </si>
  <si>
    <t>-393.210556359308 206.666937904182 -512.889479405571</t>
  </si>
  <si>
    <t>-187.920404257942 207.047546659494 -353.208942310969</t>
  </si>
  <si>
    <t>-555.405937930608 150.783315865347 -242.198362530641</t>
  </si>
  <si>
    <t>-538.965656367548 216.881133531757 208.377429159889</t>
  </si>
  <si>
    <t>-631.483125427636 247.296742556118 667.842545046716</t>
  </si>
  <si>
    <t>-479.213483767492 244.694386641532 755.880681603874</t>
  </si>
  <si>
    <t>-606.020638038938 -16.1520230444109 221.434905277757</t>
  </si>
  <si>
    <t>-658.05466308876 2.13101095522202 688.198901346071</t>
  </si>
  <si>
    <t>-504.271251355318 -47.6973676370486 757.562544572532</t>
  </si>
  <si>
    <t>9763-20170724T164213.688949200.bin</t>
  </si>
  <si>
    <t>-569.124825921147 55.1005940672829 -237.92138887622</t>
  </si>
  <si>
    <t>-588.987314851406 52.4222672134971 -357.362196226406</t>
  </si>
  <si>
    <t>-594.750369307233 37.7947370499982 -477.542907440147</t>
  </si>
  <si>
    <t>-594.167536984059 19.725401812177 -585.561482521928</t>
  </si>
  <si>
    <t>-573.663368620335 6.68615261816646 -781.484430256803</t>
  </si>
  <si>
    <t>-541.032284525881 149.976794227306 -786.755213738563</t>
  </si>
  <si>
    <t>-392.900285593065 207.06408410426 -512.922845271689</t>
  </si>
  <si>
    <t>-190.927976097908 204.028558852029 -349.093717565706</t>
  </si>
  <si>
    <t>-554.727780047943 151.295380337463 -242.170720015693</t>
  </si>
  <si>
    <t>-539.068792728777 217.019180955693 208.487564910272</t>
  </si>
  <si>
    <t>-631.420045368849 247.362046809876 667.943555177625</t>
  </si>
  <si>
    <t>-479.205705784008 244.9023186397 756.081283450022</t>
  </si>
  <si>
    <t>-605.623629456375 -15.6883998722184 221.440137858086</t>
  </si>
  <si>
    <t>-657.992347512097 2.14202806039589 688.192926952572</t>
  </si>
  <si>
    <t>-504.209230509589 -47.6493053782384 757.583730063278</t>
  </si>
  <si>
    <t>9763-20170724T164213.726582900.bin</t>
  </si>
  <si>
    <t>-568.765072021934 55.5119694556847 -237.967033298293</t>
  </si>
  <si>
    <t>-588.60443780233 52.7517080723111 -357.409886226737</t>
  </si>
  <si>
    <t>-594.385027032398 38.054097958912 -477.581187418611</t>
  </si>
  <si>
    <t>-593.834102267767 19.9269169794127 -585.590148921832</t>
  </si>
  <si>
    <t>-573.421066321222 6.79461018742317 -781.516315385212</t>
  </si>
  <si>
    <t>-540.802643708171 150.088661806739 -786.863713819434</t>
  </si>
  <si>
    <t>-392.977076658644 206.956229432368 -512.820150647388</t>
  </si>
  <si>
    <t>-195.781485668538 197.870844347289 -343.487999218888</t>
  </si>
  <si>
    <t>-554.296664549879 151.679781072559 -242.281183865532</t>
  </si>
  <si>
    <t>-539.158431474921 217.072969538882 208.442894081273</t>
  </si>
  <si>
    <t>-631.334113807929 247.446334549911 667.921450594561</t>
  </si>
  <si>
    <t>-479.191095318637 244.972989161462 756.181863146057</t>
  </si>
  <si>
    <t>-605.330477415114 -15.3569117767411 221.456012768016</t>
  </si>
  <si>
    <t>-657.931962728267 2.16252403963424 688.194669310284</t>
  </si>
  <si>
    <t>-504.219858616734 -47.8059183145929 757.615488008782</t>
  </si>
  <si>
    <t>9763-20170724T164213.787745700.bin</t>
  </si>
  <si>
    <t>-568.187333808784 56.2637299964327 -237.969896138164</t>
  </si>
  <si>
    <t>-588.035647192822 53.4841869261529 -357.410743895057</t>
  </si>
  <si>
    <t>-593.897100353821 38.7351779845299 -477.571855684036</t>
  </si>
  <si>
    <t>-593.447997540846 20.5494785996375 -585.571554371974</t>
  </si>
  <si>
    <t>-573.289348456041 7.28055505024987 -781.517019550498</t>
  </si>
  <si>
    <t>-540.725528754941 150.572997144043 -786.962048376113</t>
  </si>
  <si>
    <t>-393.581902732064 207.226581869246 -512.507494396955</t>
  </si>
  <si>
    <t>-203.711742908802 187.041411477357 -335.917810499344</t>
  </si>
  <si>
    <t>-553.642671035874 152.454885680176 -242.262233997196</t>
  </si>
  <si>
    <t>-539.287771753344 217.344795859878 208.560209753862</t>
  </si>
  <si>
    <t>-631.294012287366 247.575007775137 668.069901870713</t>
  </si>
  <si>
    <t>-479.205943482282 245.00069389194 756.422070347188</t>
  </si>
  <si>
    <t>-604.982181976519 -14.9257609149568 221.493552429841</t>
  </si>
  <si>
    <t>-657.856659464328 2.05537391726433 688.218792213688</t>
  </si>
  <si>
    <t>-504.286990713792 -48.242677260409 757.716880724948</t>
  </si>
  <si>
    <t>9763-20170724T164213.823850200.bin</t>
  </si>
  <si>
    <t>-567.992200141322 56.5715254980451 -237.959425784076</t>
  </si>
  <si>
    <t>-587.804287614237 53.7844852570485 -357.406121406809</t>
  </si>
  <si>
    <t>-593.647783503884 39.0232330600223 -477.566462152051</t>
  </si>
  <si>
    <t>-593.190448288121 20.8241879026756 -585.563923439937</t>
  </si>
  <si>
    <t>-573.029934512392 7.52268987420723 -781.507558930058</t>
  </si>
  <si>
    <t>-540.410564576901 150.815091712314 -786.888183466506</t>
  </si>
  <si>
    <t>-393.983299469491 207.389063675267 -512.034368547071</t>
  </si>
  <si>
    <t>-204.680289639787 184.68518534668 -335.141865364727</t>
  </si>
  <si>
    <t>-553.363307891809 152.802580170174 -242.261973181789</t>
  </si>
  <si>
    <t>-539.296018472406 217.476825463099 208.600526911048</t>
  </si>
  <si>
    <t>-631.28910441816 247.647348841298 668.12179280942</t>
  </si>
  <si>
    <t>-479.220598151924 245.038799213047 756.506590997144</t>
  </si>
  <si>
    <t>-604.919152577513 -14.7554504064124 221.503075921859</t>
  </si>
  <si>
    <t>-657.845970966981 1.98069933428105 688.227419845495</t>
  </si>
  <si>
    <t>-504.330117182118 -48.4557905492368 757.743981126137</t>
  </si>
  <si>
    <t>9763-20170724T164213.890024800.bin</t>
  </si>
  <si>
    <t>-567.621265367763 57.1080251536682 -237.928670065639</t>
  </si>
  <si>
    <t>-587.348071232114 54.3521610132791 -357.390103020836</t>
  </si>
  <si>
    <t>-593.163725122964 39.5871859925356 -477.55144793334</t>
  </si>
  <si>
    <t>-592.702258029586 21.3738814015705 -585.546506234178</t>
  </si>
  <si>
    <t>-572.579846988191 8.02531069629708 -781.49218187532</t>
  </si>
  <si>
    <t>-539.99260498752 151.316731236163 -786.848323225087</t>
  </si>
  <si>
    <t>-394.392019801367 209.216909617371 -511.831586946228</t>
  </si>
  <si>
    <t>-203.845277348744 182.883521623363 -336.787135584114</t>
  </si>
  <si>
    <t>-552.872662765986 153.272815612805 -242.193951726318</t>
  </si>
  <si>
    <t>-539.241189773129 217.712976130366 208.71545489465</t>
  </si>
  <si>
    <t>-631.297291275153 247.778901700303 668.252144118425</t>
  </si>
  <si>
    <t>-479.246860928048 245.012692798315 756.663354252272</t>
  </si>
  <si>
    <t>-604.798284584461 -14.4225572481776 221.522370758408</t>
  </si>
  <si>
    <t>-657.775387426917 2.00174783510811 688.241514458291</t>
  </si>
  <si>
    <t>-504.085066154915 -47.8885625535325 757.766701814772</t>
  </si>
  <si>
    <t>9763-20170724T164213.921111100.bin</t>
  </si>
  <si>
    <t>-567.521101349157 57.3567474813201 -237.921075452583</t>
  </si>
  <si>
    <t>-587.284255820199 54.6252962708618 -357.377252477391</t>
  </si>
  <si>
    <t>-593.144556089726 39.8445081884631 -477.53445204219</t>
  </si>
  <si>
    <t>-592.726539973116 21.6012276528418 -585.524572293775</t>
  </si>
  <si>
    <t>-572.673030608663 8.15740662607789 -781.472112851664</t>
  </si>
  <si>
    <t>-540.037129088093 151.441162951827 -786.909062957432</t>
  </si>
  <si>
    <t>-394.792835226232 210.156481687608 -511.876684111927</t>
  </si>
  <si>
    <t>-203.551366138963 182.312786301184 -337.826411034625</t>
  </si>
  <si>
    <t>-552.791932270757 153.503656824819 -242.166975457049</t>
  </si>
  <si>
    <t>-539.083886236504 217.882405433824 208.748891034671</t>
  </si>
  <si>
    <t>-631.297916559621 247.837741635444 668.290980610341</t>
  </si>
  <si>
    <t>-479.265907893436 245.001995144161 756.731539772701</t>
  </si>
  <si>
    <t>-604.754866758352 -14.2277071240474 221.534179722097</t>
  </si>
  <si>
    <t>-657.726686708 2.08280581294161 688.248226965245</t>
  </si>
  <si>
    <t>-503.939173232411 -47.4998360796703 757.778555050119</t>
  </si>
  <si>
    <t>9763-20170724T164213.992301000.bin</t>
  </si>
  <si>
    <t>-567.458090300876 57.8962153707477 -237.846826935978</t>
  </si>
  <si>
    <t>-587.219395816453 55.2041489739374 -357.304091128639</t>
  </si>
  <si>
    <t>-593.081886705638 40.3540749159211 -477.452680579343</t>
  </si>
  <si>
    <t>-592.66658872475 22.0068956061473 -585.425141171696</t>
  </si>
  <si>
    <t>-572.602581826686 8.27287248396172 -781.355578667563</t>
  </si>
  <si>
    <t>-539.976889378355 151.53420685449 -787.142040237488</t>
  </si>
  <si>
    <t>-394.249588011873 211.793524711519 -512.699751315628</t>
  </si>
  <si>
    <t>-202.162452337981 185.617723211586 -339.32319763803</t>
  </si>
  <si>
    <t>-552.550891294032 154.073936240095 -242.093041051535</t>
  </si>
  <si>
    <t>-538.861101670931 218.245939186774 208.852824532778</t>
  </si>
  <si>
    <t>-631.304100620275 247.946003158037 668.368544271641</t>
  </si>
  <si>
    <t>-479.299496127872 244.947043175853 756.850890660867</t>
  </si>
  <si>
    <t>-604.562369259933 -13.9038328135345 221.588762522542</t>
  </si>
  <si>
    <t>-657.662950872903 2.05605053023176 688.278840131734</t>
  </si>
  <si>
    <t>-503.930737602036 -47.655330582839 757.839475669599</t>
  </si>
  <si>
    <t>9763-20170724T164214.028412900.bin</t>
  </si>
  <si>
    <t>-567.4537360819 58.0740516657139 -237.802264724145</t>
  </si>
  <si>
    <t>-587.293873772843 55.4341764868583 -357.247724120056</t>
  </si>
  <si>
    <t>-593.194644435115 40.5659903556926 -477.392212382933</t>
  </si>
  <si>
    <t>-592.798483659047 22.1732497109353 -585.357027325592</t>
  </si>
  <si>
    <t>-572.710443457252 8.27925247915854 -781.275968783762</t>
  </si>
  <si>
    <t>-540.018034585874 151.532993871499 -787.165620047953</t>
  </si>
  <si>
    <t>-394.263206885717 212.41025275071 -512.874388448609</t>
  </si>
  <si>
    <t>-201.824610873581 186.967938493972 -339.778737446165</t>
  </si>
  <si>
    <t>-552.581708275434 154.287783695821 -241.998889975617</t>
  </si>
  <si>
    <t>-538.75463010826 218.389442390119 208.952814889694</t>
  </si>
  <si>
    <t>-631.345355073686 247.981263010579 668.450062415177</t>
  </si>
  <si>
    <t>-479.326749775877 244.948689187823 756.90724439804</t>
  </si>
  <si>
    <t>-604.572689942126 -13.9172635959336 221.60380731396</t>
  </si>
  <si>
    <t>-657.683462356173 1.87737368467175 688.294708873367</t>
  </si>
  <si>
    <t>-504.42460463099 -49.1982527177185 757.911578557095</t>
  </si>
  <si>
    <t>9763-20170724T164214.088594000.bin</t>
  </si>
  <si>
    <t>-567.338799551852 58.5826908118875 -237.763838554652</t>
  </si>
  <si>
    <t>-587.088326577343 55.9644778261566 -357.224722324966</t>
  </si>
  <si>
    <t>-592.992850256657 40.9898932339648 -477.355852266143</t>
  </si>
  <si>
    <t>-592.641634621767 22.4482867630037 -585.295424860885</t>
  </si>
  <si>
    <t>-572.681935919446 8.13725909247833 -781.203733094218</t>
  </si>
  <si>
    <t>-539.801333079836 151.342012952996 -787.288023043558</t>
  </si>
  <si>
    <t>-394.647111893887 211.44688679285 -512.508299925686</t>
  </si>
  <si>
    <t>-205.036723405679 178.907852317497 -337.490765557357</t>
  </si>
  <si>
    <t>-552.372862711189 154.7987785054 -241.962580915876</t>
  </si>
  <si>
    <t>-538.751458748778 218.683613654059 209.026223360499</t>
  </si>
  <si>
    <t>-631.376152113077 248.066292695325 668.522486018075</t>
  </si>
  <si>
    <t>-479.359235687994 244.972314976346 756.980368841711</t>
  </si>
  <si>
    <t>-604.538787412382 -13.5737199306516 221.603888328353</t>
  </si>
  <si>
    <t>-657.610581362617 1.97354165796067 688.303147577411</t>
  </si>
  <si>
    <t>-503.893702832868 -47.7660816376012 757.877573971679</t>
  </si>
  <si>
    <t>9763-20170724T164214.124680800.bin</t>
  </si>
  <si>
    <t>-567.213728950285 58.8555000446163 -237.774379982019</t>
  </si>
  <si>
    <t>-586.934261233322 56.2274038610889 -357.239823245761</t>
  </si>
  <si>
    <t>-592.910148169287 41.183061959766 -477.358692691588</t>
  </si>
  <si>
    <t>-592.665262740144 22.5535497068455 -585.283240284425</t>
  </si>
  <si>
    <t>-572.960745536031 8.00997154531035 -781.203834628222</t>
  </si>
  <si>
    <t>-539.947074159847 151.174037101886 -787.429479196894</t>
  </si>
  <si>
    <t>-395.320801386926 210.751881074531 -512.25703042313</t>
  </si>
  <si>
    <t>-209.467654302656 168.92137339347 -335.195161195063</t>
  </si>
  <si>
    <t>-552.26273491611 155.022862479944 -241.981429568539</t>
  </si>
  <si>
    <t>-538.85377835567 218.807121352909 209.027944286771</t>
  </si>
  <si>
    <t>-631.385315460736 248.123034970894 668.552806289232</t>
  </si>
  <si>
    <t>-479.374765337631 244.978432359993 757.019862027269</t>
  </si>
  <si>
    <t>-604.488322212639 -13.4200203951766 221.607230938491</t>
  </si>
  <si>
    <t>-657.586529631861 1.92808583943894 688.308578981101</t>
  </si>
  <si>
    <t>-503.964678700081 -48.066674158342 757.909991867188</t>
  </si>
  <si>
    <t>9763-20170724T164214.189845500.bin</t>
  </si>
  <si>
    <t>-566.972637693412 59.5307750142669 -237.791775118495</t>
  </si>
  <si>
    <t>-586.781051035766 56.8370708138818 -357.241244206589</t>
  </si>
  <si>
    <t>-592.935908726746 41.6670734856852 -477.335275437311</t>
  </si>
  <si>
    <t>-592.894575172087 22.8950261740547 -585.23554653814</t>
  </si>
  <si>
    <t>-573.579940570709 7.99168436467933 -781.17124440899</t>
  </si>
  <si>
    <t>-540.215889396939 151.046480244688 -787.635432094169</t>
  </si>
  <si>
    <t>-397.141532378913 209.463663900208 -511.404926885826</t>
  </si>
  <si>
    <t>-215.506256023786 156.158393597848 -333.053318092531</t>
  </si>
  <si>
    <t>-551.99702570968 155.788464891888 -242.035917462085</t>
  </si>
  <si>
    <t>-538.830331532643 219.134459800359 209.04234836323</t>
  </si>
  <si>
    <t>-631.428695233941 248.212637342409 668.598960623627</t>
  </si>
  <si>
    <t>-479.414963579449 245.013811420217 757.058575039324</t>
  </si>
  <si>
    <t>-604.205438387736 -13.0338587312884 221.656035214537</t>
  </si>
  <si>
    <t>-657.518251405437 1.91951060993016 688.335710716417</t>
  </si>
  <si>
    <t>-503.890404071506 -48.0278646450687 757.957988550931</t>
  </si>
  <si>
    <t>9763-20170724T164214.220929400.bin</t>
  </si>
  <si>
    <t>-566.939102255154 59.8321421407347 -237.828955447986</t>
  </si>
  <si>
    <t>-586.78247131429 57.1703957862536 -357.27340146476</t>
  </si>
  <si>
    <t>-593.027587129178 42.0500185366987 -477.368911260969</t>
  </si>
  <si>
    <t>-593.090863683815 23.3281464375291 -585.277870398399</t>
  </si>
  <si>
    <t>-573.994987183086 8.52108951429983 -781.242119026543</t>
  </si>
  <si>
    <t>-540.498806186978 151.558287548343 -787.634253009771</t>
  </si>
  <si>
    <t>-398.149161764786 209.726340815563 -510.976964494481</t>
  </si>
  <si>
    <t>-217.454313157554 154.441091148637 -332.273527893596</t>
  </si>
  <si>
    <t>-551.9359818761 156.131207834976 -242.049227762932</t>
  </si>
  <si>
    <t>-538.787696308754 219.322962883303 209.051162908125</t>
  </si>
  <si>
    <t>-631.439183279273 248.244761846645 668.602208306676</t>
  </si>
  <si>
    <t>-479.429934471606 245.048627226906 757.06959962205</t>
  </si>
  <si>
    <t>-604.140934100943 -12.832785940642 221.649117006806</t>
  </si>
  <si>
    <t>-657.491146989194 1.88034248487673 688.344241937113</t>
  </si>
  <si>
    <t>-503.868195896508 -48.0579331120013 757.983738258885</t>
  </si>
  <si>
    <t>9763-20170724T164214.290119200.bin</t>
  </si>
  <si>
    <t>-566.971670618767 60.4872856085279 -237.781193082024</t>
  </si>
  <si>
    <t>-586.882367277726 57.8774990978242 -357.215574644825</t>
  </si>
  <si>
    <t>-593.254776914956 42.8377557499015 -477.314469626444</t>
  </si>
  <si>
    <t>-593.454920125058 24.2014879766306 -585.238085818731</t>
  </si>
  <si>
    <t>-588.256877932524 0.55231389729699 -692.048903702528</t>
  </si>
  <si>
    <t>-574.683339238689 9.58855957200231 -781.247913214632</t>
  </si>
  <si>
    <t>-541.396333861357 152.653720111099 -787.566954159285</t>
  </si>
  <si>
    <t>-399.716748917577 211.622500092278 -510.73523471279</t>
  </si>
  <si>
    <t>-216.310119187576 169.393410719939 -331.233735768764</t>
  </si>
  <si>
    <t>-551.961618669956 156.793413623334 -241.963942760172</t>
  </si>
  <si>
    <t>-538.540845729701 219.732932880421 209.163690539162</t>
  </si>
  <si>
    <t>-631.501778124367 248.295022102962 668.661792609289</t>
  </si>
  <si>
    <t>-479.4760691681 245.102721317391 757.101014867762</t>
  </si>
  <si>
    <t>-604.093313794964 -12.5794455605698 221.661489419534</t>
  </si>
  <si>
    <t>-657.457308127668 1.77655585265159 688.357475301784</t>
  </si>
  <si>
    <t>-504.107002247686 -48.9469593436368 758.030461655336</t>
  </si>
  <si>
    <t>9763-20170724T164214.322205200.bin</t>
  </si>
  <si>
    <t>-567.040580189716 60.8011983530697 -237.818643248814</t>
  </si>
  <si>
    <t>-587.137146035729 58.2518695903997 -357.223019941556</t>
  </si>
  <si>
    <t>-593.673240946992 43.319792353141 -477.326765496628</t>
  </si>
  <si>
    <t>-594.010439646277 24.7992125434261 -585.269798531661</t>
  </si>
  <si>
    <t>-588.937431599389 1.28359272912991 -692.116162114441</t>
  </si>
  <si>
    <t>-575.488271572787 10.4484166379541 -781.320928732054</t>
  </si>
  <si>
    <t>-542.241490240216 153.564811693612 -787.524353701271</t>
  </si>
  <si>
    <t>-400.328083076362 211.741605456669 -510.644816104219</t>
  </si>
  <si>
    <t>-214.774681897977 175.389302149504 -332.065559463113</t>
  </si>
  <si>
    <t>-552.09476134409 157.16212952681 -241.945871351102</t>
  </si>
  <si>
    <t>-538.495985027396 219.949970220769 209.197633141849</t>
  </si>
  <si>
    <t>-631.534071380886 248.316166339289 668.693171581339</t>
  </si>
  <si>
    <t>-479.499879707507 245.123783732471 757.117907324847</t>
  </si>
  <si>
    <t>-604.038428580324 -12.3472735818102 221.634354778487</t>
  </si>
  <si>
    <t>-657.403887572757 1.90518711290433 688.351353579289</t>
  </si>
  <si>
    <t>-503.897433220154 -48.3661522028348 758.0082421962</t>
  </si>
  <si>
    <t>9763-20170724T164214.390390100.bin</t>
  </si>
  <si>
    <t>-567.291125846582 61.2969010094264 -237.77091803356</t>
  </si>
  <si>
    <t>-587.38956513405 58.7889124511307 -357.175994106885</t>
  </si>
  <si>
    <t>-594.038424398207 43.9105425773691 -477.280042859028</t>
  </si>
  <si>
    <t>-594.520838847672 25.4443053030181 -585.231912976385</t>
  </si>
  <si>
    <t>-589.63520389017 1.98888295269666 -692.100200868052</t>
  </si>
  <si>
    <t>-576.42170079143 11.217297895746 -781.333595800911</t>
  </si>
  <si>
    <t>-543.576138727983 154.394004882698 -787.706034723948</t>
  </si>
  <si>
    <t>-399.921866676373 211.903140042072 -511.585910202216</t>
  </si>
  <si>
    <t>-208.591371028778 188.596687056086 -336.967741163142</t>
  </si>
  <si>
    <t>-552.408107718852 157.625490673549 -241.839325405887</t>
  </si>
  <si>
    <t>-538.616943557942 220.321015833553 209.311134143166</t>
  </si>
  <si>
    <t>-631.630291265971 248.354157197846 668.79720757191</t>
  </si>
  <si>
    <t>-479.549782277355 245.234158277341 757.14477568081</t>
  </si>
  <si>
    <t>-604.047696989252 -12.1626050237344 221.618868715572</t>
  </si>
  <si>
    <t>-657.375004563697 1.82655509180657 688.348644299637</t>
  </si>
  <si>
    <t>-503.98787645566 -48.8118455120286 758.002447516389</t>
  </si>
  <si>
    <t>9763-20170724T164214.422979700.bin</t>
  </si>
  <si>
    <t>-567.380440464274 61.4715260985654 -237.791853490866</t>
  </si>
  <si>
    <t>-587.495514633252 58.9721922818225 -357.194360320676</t>
  </si>
  <si>
    <t>-594.209502259404 44.1261722563989 -477.298755774983</t>
  </si>
  <si>
    <t>-594.770533930162 25.6980796434204 -585.256873963604</t>
  </si>
  <si>
    <t>-589.983046459143 2.28896852843345 -692.139723898195</t>
  </si>
  <si>
    <t>-576.869762591598 11.5621324757732 -781.383171822856</t>
  </si>
  <si>
    <t>-544.041156261162 154.75268801263 -787.90747188709</t>
  </si>
  <si>
    <t>-399.082565844894 213.071960297379 -512.640158285478</t>
  </si>
  <si>
    <t>-204.16471215846 196.409926230338 -341.259120709032</t>
  </si>
  <si>
    <t>-552.552551530031 157.820509337978 -241.863353067581</t>
  </si>
  <si>
    <t>-538.841822070538 220.402492614502 209.305334627097</t>
  </si>
  <si>
    <t>-631.674370798956 248.408356680735 668.841379363024</t>
  </si>
  <si>
    <t>-479.571186657694 245.273162946466 757.149430023036</t>
  </si>
  <si>
    <t>-604.125410754186 -12.0578114441368 221.588541785512</t>
  </si>
  <si>
    <t>-657.361958812244 1.79950284425414 688.338913998304</t>
  </si>
  <si>
    <t>-504.073263560223 -49.1202131724539 758.004364407419</t>
  </si>
  <si>
    <t>9763-20170724T164214.486657000.bin</t>
  </si>
  <si>
    <t>-567.599842261636 61.9829522952119 -237.809928745738</t>
  </si>
  <si>
    <t>-587.550833925011 59.4438138880684 -357.239128825126</t>
  </si>
  <si>
    <t>-594.274260661453 44.472020024929 -477.327417196153</t>
  </si>
  <si>
    <t>-594.916934988585 25.8953082525774 -585.2596276622</t>
  </si>
  <si>
    <t>-590.285348937468 2.30224933424502 -692.108836298275</t>
  </si>
  <si>
    <t>-577.317891452799 11.3917315007855 -781.392432341903</t>
  </si>
  <si>
    <t>-544.722091659175 154.574789626446 -788.548643813235</t>
  </si>
  <si>
    <t>-396.348459288493 215.938379544636 -515.774183799731</t>
  </si>
  <si>
    <t>-194.102836333381 210.675500110114 -352.33886207474</t>
  </si>
  <si>
    <t>-552.842341138848 158.333284429465 -241.933799977153</t>
  </si>
  <si>
    <t>-539.462347298112 220.66532716586 209.279486985265</t>
  </si>
  <si>
    <t>-631.727496493767 248.525915580631 668.921257397919</t>
  </si>
  <si>
    <t>-479.599109985171 245.344973327416 757.184148219239</t>
  </si>
  <si>
    <t>-604.250623159164 -11.7869446153175 221.569260288759</t>
  </si>
  <si>
    <t>-657.280583747407 1.83241392618817 688.338214740202</t>
  </si>
  <si>
    <t>-503.913650812496 -48.831397246934 758.01801309403</t>
  </si>
  <si>
    <t>9763-20170724T164214.525638500.bin</t>
  </si>
  <si>
    <t>-567.733932989099 62.2373233554941 -237.860264415123</t>
  </si>
  <si>
    <t>-587.746209904676 59.7061276244162 -357.279391887083</t>
  </si>
  <si>
    <t>-594.540797705843 44.7160870039262 -477.361449379248</t>
  </si>
  <si>
    <t>-595.252892789112 26.110908002305 -585.288217722135</t>
  </si>
  <si>
    <t>-590.696794695493 2.4768600271257 -692.131588727721</t>
  </si>
  <si>
    <t>-577.75612711945 11.5159569745919 -781.424381498975</t>
  </si>
  <si>
    <t>-544.950993669547 154.674005532515 -788.793661045801</t>
  </si>
  <si>
    <t>-394.768421220559 218.060450655773 -517.475540626064</t>
  </si>
  <si>
    <t>-189.928643908477 215.523949835314 -357.237289234642</t>
  </si>
  <si>
    <t>-553.06175480995 158.620305265695 -241.971077181332</t>
  </si>
  <si>
    <t>-539.662619624695 220.822188734879 209.259502330151</t>
  </si>
  <si>
    <t>-631.746818617612 248.589504186554 668.964594529554</t>
  </si>
  <si>
    <t>-479.61547200646 245.350415427462 757.220315538734</t>
  </si>
  <si>
    <t>-604.328708655227 -11.6645098353849 221.556537408232</t>
  </si>
  <si>
    <t>-657.258577948845 1.82113522074729 688.335338608542</t>
  </si>
  <si>
    <t>-503.951582832736 -49.0071002265792 758.027270355975</t>
  </si>
  <si>
    <t>9763-20170724T164214.589814100.bin</t>
  </si>
  <si>
    <t>-567.946524909153 62.8923550062158 -237.93291071204</t>
  </si>
  <si>
    <t>-587.995499555979 60.3769645578374 -357.346071198041</t>
  </si>
  <si>
    <t>-594.937065407709 45.3567478637233 -477.415902828052</t>
  </si>
  <si>
    <t>-595.827285618088 26.7051952941854 -585.333482239048</t>
  </si>
  <si>
    <t>-591.494675642443 3.00537873715101 -692.171714800283</t>
  </si>
  <si>
    <t>-578.707169663833 11.9648735245302 -781.494477714864</t>
  </si>
  <si>
    <t>-545.735001025938 155.051932119694 -789.339846680521</t>
  </si>
  <si>
    <t>-392.135253640663 223.35993752786 -521.147195940224</t>
  </si>
  <si>
    <t>-183.453027695276 221.818388526112 -365.933118488494</t>
  </si>
  <si>
    <t>-553.063972565222 159.316789681267 -242.041090122098</t>
  </si>
  <si>
    <t>-539.693862260129 221.166558317936 209.238808367139</t>
  </si>
  <si>
    <t>-631.751236163315 248.72553104887 668.980282253846</t>
  </si>
  <si>
    <t>-479.641837819864 245.288534053314 757.266446341583</t>
  </si>
  <si>
    <t>-604.456292637054 -11.2534794042482 221.506792860226</t>
  </si>
  <si>
    <t>-657.177827218018 1.87941977784972 688.332476297614</t>
  </si>
  <si>
    <t>-503.512873023674 -47.8571354627479 758.023664265519</t>
  </si>
  <si>
    <t>9763-20170724T164214.622911000.bin</t>
  </si>
  <si>
    <t>-568.025526527342 63.1406676580128 -237.954783595483</t>
  </si>
  <si>
    <t>-588.101057906904 60.65145144087 -357.363989659381</t>
  </si>
  <si>
    <t>-595.159492942272 45.5703058853241 -477.419453139101</t>
  </si>
  <si>
    <t>-596.189939050178 26.8314417778423 -585.320593293203</t>
  </si>
  <si>
    <t>-592.030932358784 3.01413905552293 -692.139506230437</t>
  </si>
  <si>
    <t>-579.416953159952 11.8573923569271 -781.498575006956</t>
  </si>
  <si>
    <t>-546.671635051611 155.014973193626 -789.667505804345</t>
  </si>
  <si>
    <t>-391.237962731099 225.669273209559 -523.144494820049</t>
  </si>
  <si>
    <t>-180.576017855187 224.471287802116 -370.625101224055</t>
  </si>
  <si>
    <t>-553.1448888225 159.635724808381 -242.058816548676</t>
  </si>
  <si>
    <t>-539.784602641652 221.321877951124 209.243807699382</t>
  </si>
  <si>
    <t>-631.756531693943 248.771373138433 669.002448061635</t>
  </si>
  <si>
    <t>-479.656772986312 245.287097320938 757.303231909827</t>
  </si>
  <si>
    <t>-604.631283232789 -11.1734306149438 221.488410873979</t>
  </si>
  <si>
    <t>-657.159745981715 1.84870482847086 688.33275467685</t>
  </si>
  <si>
    <t>-503.680888941621 -48.4105870195395 758.059040408895</t>
  </si>
  <si>
    <t>9763-20170724T164214.691096900.bin</t>
  </si>
  <si>
    <t>-568.323155105531 63.8213973122889 -237.989531128516</t>
  </si>
  <si>
    <t>-588.417879135299 61.3723908130389 -357.39642126665</t>
  </si>
  <si>
    <t>-595.526880890529 46.2296099926426 -477.441282297529</t>
  </si>
  <si>
    <t>-596.614892010315 27.3961644140721 -585.325150842236</t>
  </si>
  <si>
    <t>-592.525025394028 3.44683189704799 -692.117287374835</t>
  </si>
  <si>
    <t>-579.99159887695 12.1585061976171 -781.500752415904</t>
  </si>
  <si>
    <t>-547.418615764943 155.275113000996 -790.201724408091</t>
  </si>
  <si>
    <t>-388.673717845576 230.190739467312 -526.812587054095</t>
  </si>
  <si>
    <t>-176.562962845569 229.421682915921 -376.311753921575</t>
  </si>
  <si>
    <t>-553.571284421472 160.407712764043 -242.099600778129</t>
  </si>
  <si>
    <t>-540.209726562616 221.747286265314 209.250110144777</t>
  </si>
  <si>
    <t>-631.786724789665 248.878873377117 669.121945021115</t>
  </si>
  <si>
    <t>-479.686651460111 245.247955571549 757.41626169331</t>
  </si>
  <si>
    <t>-604.743554974038 -10.8018598376012 221.454183948664</t>
  </si>
  <si>
    <t>-657.116171144873 1.85108684542752 688.321712510269</t>
  </si>
  <si>
    <t>-503.565506784522 -48.16878042335 758.062087386043</t>
  </si>
  <si>
    <t>9763-20170724T164214.725912900.bin</t>
  </si>
  <si>
    <t>-568.405659582038 64.1449820730029 -238.013058081062</t>
  </si>
  <si>
    <t>-588.478367830982 61.6575535881852 -357.422895159266</t>
  </si>
  <si>
    <t>-595.591859799714 46.4557555185997 -477.459927310603</t>
  </si>
  <si>
    <t>-596.696855614402 27.559119222008 -585.332740518542</t>
  </si>
  <si>
    <t>-592.638184371649 3.53607845098762 -692.109402967019</t>
  </si>
  <si>
    <t>-580.115255499226 12.173585866758 -781.501442559078</t>
  </si>
  <si>
    <t>-547.490565408002 155.310937039132 -790.457154011447</t>
  </si>
  <si>
    <t>-387.331940533721 231.22350819842 -528.211693809175</t>
  </si>
  <si>
    <t>-174.573586034915 230.684824394394 -378.626759434837</t>
  </si>
  <si>
    <t>-553.664721107165 160.679360610304 -242.136139576606</t>
  </si>
  <si>
    <t>-540.367681565475 221.980009519402 209.220869080195</t>
  </si>
  <si>
    <t>-631.783296901037 248.917499032311 669.152023227621</t>
  </si>
  <si>
    <t>-479.693866268073 245.270064941475 757.46402370792</t>
  </si>
  <si>
    <t>-604.670886758029 -10.6098161787723 221.4517826875</t>
  </si>
  <si>
    <t>-657.09240436391 1.81784018806036 688.32442746772</t>
  </si>
  <si>
    <t>-503.598533755942 -48.3517151872085 758.082176193362</t>
  </si>
  <si>
    <t>9763-20170724T164214.792089300.bin</t>
  </si>
  <si>
    <t>-568.335971040683 64.6924660313169 -238.065940444359</t>
  </si>
  <si>
    <t>-588.521343054822 62.2084565183549 -357.456957044054</t>
  </si>
  <si>
    <t>-595.73740259764 46.9536171030697 -477.481046417395</t>
  </si>
  <si>
    <t>-596.933461595661 27.9836506172261 -585.339968275722</t>
  </si>
  <si>
    <t>-592.966203817444 3.86094909377479 -692.097685826037</t>
  </si>
  <si>
    <t>-580.454237810432 12.3844713433074 -781.502076726227</t>
  </si>
  <si>
    <t>-547.414539481346 155.396350435081 -790.7233633553</t>
  </si>
  <si>
    <t>-385.529550419961 232.893066942312 -530.005807732842</t>
  </si>
  <si>
    <t>-173.328915199322 231.873907191989 -379.633110050705</t>
  </si>
  <si>
    <t>-553.571405707963 161.169340354338 -242.15808169815</t>
  </si>
  <si>
    <t>-540.397555366706 222.228763433635 209.235206026729</t>
  </si>
  <si>
    <t>-631.771849140278 249.006122874709 669.182983166469</t>
  </si>
  <si>
    <t>-479.712012578751 245.322546654536 757.544485789324</t>
  </si>
  <si>
    <t>-604.46951588287 -10.247476358799 221.466323884264</t>
  </si>
  <si>
    <t>-657.029992791068 1.84332695834181 688.329993873782</t>
  </si>
  <si>
    <t>-503.39663914205 -47.9097009690752 758.07915496392</t>
  </si>
  <si>
    <t>9763-20170724T164214.826197200.bin</t>
  </si>
  <si>
    <t>-568.298940130221 64.8833148221317 -238.03945433846</t>
  </si>
  <si>
    <t>-588.37346961465 62.3765084569056 -357.448510359055</t>
  </si>
  <si>
    <t>-595.605311283767 47.0595852196985 -477.463812698992</t>
  </si>
  <si>
    <t>-596.867344406107 28.0188244516879 -585.309537426379</t>
  </si>
  <si>
    <t>-593.017532772512 3.81115847476173 -692.052279904129</t>
  </si>
  <si>
    <t>-580.608623608553 12.2486526350878 -781.479315636236</t>
  </si>
  <si>
    <t>-547.517662128212 155.245671168377 -790.916825225263</t>
  </si>
  <si>
    <t>-385.264045188553 232.028354871353 -530.217078410623</t>
  </si>
  <si>
    <t>-172.919880089197 231.285938389011 -380.045532728214</t>
  </si>
  <si>
    <t>-553.42104012794 161.361715658583 -242.17542410987</t>
  </si>
  <si>
    <t>-540.433714987122 222.280904183472 209.242160988815</t>
  </si>
  <si>
    <t>-631.764568430377 249.062876366247 669.198379917839</t>
  </si>
  <si>
    <t>-479.720218810646 245.30403403332 757.583379354369</t>
  </si>
  <si>
    <t>-604.505712948653 -10.1562348199853 221.471042716098</t>
  </si>
  <si>
    <t>-657.018213357039 1.80707897439108 688.333284967394</t>
  </si>
  <si>
    <t>-503.483063622904 -48.2252899440313 758.098935750972</t>
  </si>
  <si>
    <t>9763-20170724T164214.890368600.bin</t>
  </si>
  <si>
    <t>-568.015399173484 65.0820122599462 -237.983225351677</t>
  </si>
  <si>
    <t>-588.145130130309 62.6515956376315 -357.384642106305</t>
  </si>
  <si>
    <t>-595.479124159338 47.3707195587799 -477.398232429539</t>
  </si>
  <si>
    <t>-596.851611262663 28.3467485690641 -585.24563910528</t>
  </si>
  <si>
    <t>-593.129780507926 4.14055595514597 -691.993231350053</t>
  </si>
  <si>
    <t>-580.795342942349 12.5616274847382 -781.432047867526</t>
  </si>
  <si>
    <t>-547.545230782765 155.455269627626 -791.012003632333</t>
  </si>
  <si>
    <t>-384.017981547364 235.603721304829 -532.127225762265</t>
  </si>
  <si>
    <t>-169.408938816665 233.993946462787 -385.217725098616</t>
  </si>
  <si>
    <t>-552.979170895105 161.633630558901 -242.073854825739</t>
  </si>
  <si>
    <t>-540.332316987073 222.269161395551 209.391508826258</t>
  </si>
  <si>
    <t>-631.843178205582 249.176012056156 669.322829265784</t>
  </si>
  <si>
    <t>-479.769752808735 245.241291261417 757.650048178752</t>
  </si>
  <si>
    <t>-604.536705529907 -10.0821392051563 221.491026542722</t>
  </si>
  <si>
    <t>-656.984696577617 1.78176621141768 688.344682593046</t>
  </si>
  <si>
    <t>-503.527401642506 -48.4706244890131 758.123333279585</t>
  </si>
  <si>
    <t>9763-20170724T164214.920953200.bin</t>
  </si>
  <si>
    <t>-567.972654925362 65.1878684729863 -237.970808668874</t>
  </si>
  <si>
    <t>-588.076112521488 62.7557645687707 -357.376523362018</t>
  </si>
  <si>
    <t>-595.409042791855 47.4824974563549 -477.391191875385</t>
  </si>
  <si>
    <t>-596.790523632961 28.4692965604707 -585.240379926772</t>
  </si>
  <si>
    <t>-593.087054427367 4.27791675067597 -691.992090708458</t>
  </si>
  <si>
    <t>-580.769409783231 12.7132391373248 -781.431767964926</t>
  </si>
  <si>
    <t>-547.4724363059 155.629775300712 -791.228836732435</t>
  </si>
  <si>
    <t>-381.633576294725 238.110032026612 -534.556637218468</t>
  </si>
  <si>
    <t>-166.362763892278 236.175003058711 -388.62254198465</t>
  </si>
  <si>
    <t>-552.900246198912 161.759422072978 -242.075407158034</t>
  </si>
  <si>
    <t>-540.275708709979 222.305365588979 209.402636711225</t>
  </si>
  <si>
    <t>-631.855031589444 249.220301923277 669.332776727214</t>
  </si>
  <si>
    <t>-479.785074752438 245.19763080542 757.662008084869</t>
  </si>
  <si>
    <t>-604.459135459494 -9.96884086971765 221.500517381869</t>
  </si>
  <si>
    <t>-656.944430761913 1.87984876901483 688.349334602976</t>
  </si>
  <si>
    <t>-503.142175032319 -47.3664959729918 758.085753278918</t>
  </si>
  <si>
    <t>9763-20170724T164214.992658500.bin</t>
  </si>
  <si>
    <t>-567.956605717701 65.1873979647956 -237.981621199175</t>
  </si>
  <si>
    <t>-588.071052574596 62.746351192818 -357.385389592432</t>
  </si>
  <si>
    <t>-595.395884284299 47.4090579159145 -477.392424649395</t>
  </si>
  <si>
    <t>-596.76349043767 28.3155229289503 -585.227673906162</t>
  </si>
  <si>
    <t>-593.040661327563 4.02167600618732 -691.955200570532</t>
  </si>
  <si>
    <t>-580.681618954515 12.3522008674482 -781.399264179616</t>
  </si>
  <si>
    <t>-547.350180398666 155.206072509718 -791.726518055295</t>
  </si>
  <si>
    <t>-376.698016845479 242.470411174519 -539.835563939548</t>
  </si>
  <si>
    <t>-160.669924573832 239.767661312715 -395.037042458719</t>
  </si>
  <si>
    <t>-552.923120740788 161.716906075776 -242.080717553361</t>
  </si>
  <si>
    <t>-540.367720582248 222.344363540846 209.388344261014</t>
  </si>
  <si>
    <t>-631.827418054002 249.261731928243 669.308097657434</t>
  </si>
  <si>
    <t>-479.800980575594 245.186320371101 757.709906459724</t>
  </si>
  <si>
    <t>-604.353723907702 -9.86336309638467 221.507821204499</t>
  </si>
  <si>
    <t>-656.864441806189 2.00206476086344 688.351551258227</t>
  </si>
  <si>
    <t>-503.061531534637 -47.2188372341207 758.104540129114</t>
  </si>
  <si>
    <t>9763-20170724T164215.023244500.bin</t>
  </si>
  <si>
    <t>-567.903931176872 65.0462275235073 -237.988507086825</t>
  </si>
  <si>
    <t>-587.985197402613 62.6355199063563 -357.398512970412</t>
  </si>
  <si>
    <t>-595.281787377273 47.2886993346577 -477.405935737832</t>
  </si>
  <si>
    <t>-596.624757681441 28.1723956244644 -585.237335838061</t>
  </si>
  <si>
    <t>-592.8775398581 3.84263489892521 -691.956040925919</t>
  </si>
  <si>
    <t>-580.497817280266 12.1352437716864 -781.400756807802</t>
  </si>
  <si>
    <t>-547.122049196252 154.966449399621 -791.931216157692</t>
  </si>
  <si>
    <t>-374.810637951866 243.953370534295 -541.778741648176</t>
  </si>
  <si>
    <t>-158.795979103445 240.454271066819 -396.977171119507</t>
  </si>
  <si>
    <t>-552.827084534217 161.558797362357 -242.079480426991</t>
  </si>
  <si>
    <t>-540.375478513542 222.232703949205 209.386209590645</t>
  </si>
  <si>
    <t>-631.814295287799 249.28224852159 669.309558974366</t>
  </si>
  <si>
    <t>-479.812968824844 245.178708098279 757.75312950674</t>
  </si>
  <si>
    <t>-604.410090670246 -9.97823899192208 221.500987962817</t>
  </si>
  <si>
    <t>-656.884576755528 1.83275877937162 688.355074508309</t>
  </si>
  <si>
    <t>-503.491008854812 -48.5791679379794 758.158817135498</t>
  </si>
  <si>
    <t>9763-20170724T164215.092935100.bin</t>
  </si>
  <si>
    <t>-567.745860488864 64.8110281798708 -237.983157124912</t>
  </si>
  <si>
    <t>-587.653256227135 62.4439829697328 -357.423030065497</t>
  </si>
  <si>
    <t>-594.878651364091 47.093022734524 -477.434305672586</t>
  </si>
  <si>
    <t>-596.194526573898 27.9590618826519 -585.262922601493</t>
  </si>
  <si>
    <t>-592.454519395445 3.60131459585077 -691.975438728013</t>
  </si>
  <si>
    <t>-580.109696091818 11.8669792089624 -781.427440960861</t>
  </si>
  <si>
    <t>-546.687489235553 154.693784601726 -791.946220011936</t>
  </si>
  <si>
    <t>-374.144439690351 243.565263251834 -541.912283247363</t>
  </si>
  <si>
    <t>-159.155863211849 239.945610372794 -395.594623490173</t>
  </si>
  <si>
    <t>-552.501611777352 161.392243560412 -242.07334737856</t>
  </si>
  <si>
    <t>-540.545257272071 221.985292811424 209.41663128793</t>
  </si>
  <si>
    <t>-631.797076705085 249.356651213417 669.36771229011</t>
  </si>
  <si>
    <t>-479.839003125972 245.071918149158 757.877004174946</t>
  </si>
  <si>
    <t>-604.710788891526 -10.2087275264783 221.464522848606</t>
  </si>
  <si>
    <t>-656.899913710602 1.59828907912348 688.352124937314</t>
  </si>
  <si>
    <t>-503.838803551132 -49.708525352244 758.233623224428</t>
  </si>
  <si>
    <t>9763-20170724T164215.125523600.bin</t>
  </si>
  <si>
    <t>-567.711990417696 64.8064941794914 -238.018013034638</t>
  </si>
  <si>
    <t>-587.543805812 62.4688961823552 -357.471081394488</t>
  </si>
  <si>
    <t>-594.732633061208 47.146698995612 -477.488124559599</t>
  </si>
  <si>
    <t>-596.029027453053 28.0409340838045 -585.322020318752</t>
  </si>
  <si>
    <t>-592.281117917146 3.71496867501163 -692.04157531577</t>
  </si>
  <si>
    <t>-579.931080617814 12.0097821908859 -781.489950624691</t>
  </si>
  <si>
    <t>-546.412595911288 154.825520603115 -791.726897230418</t>
  </si>
  <si>
    <t>-375.292280614803 242.548794941944 -540.313742699794</t>
  </si>
  <si>
    <t>-160.756559723443 238.746526795259 -393.337404449023</t>
  </si>
  <si>
    <t>-552.374989659003 161.398976505234 -242.114773854655</t>
  </si>
  <si>
    <t>-540.73785298016 221.918535417095 209.393345834407</t>
  </si>
  <si>
    <t>-631.769875837758 249.402083445515 669.393739117289</t>
  </si>
  <si>
    <t>-479.844129124682 245.00172759476 757.952816397481</t>
  </si>
  <si>
    <t>-604.885139347329 -10.1935104470776 221.439392860536</t>
  </si>
  <si>
    <t>-656.844799285623 1.66054244827618 688.352757156812</t>
  </si>
  <si>
    <t>-503.577956061449 -49.0027372011235 758.252850384068</t>
  </si>
  <si>
    <t>9763-20170724T164215.191824400.bin</t>
  </si>
  <si>
    <t>-567.431356013985 65.0932901794664 -238.129083183406</t>
  </si>
  <si>
    <t>-587.166120171764 62.7968084177136 -357.599070060797</t>
  </si>
  <si>
    <t>-594.300981870719 47.539711253035 -477.627774288785</t>
  </si>
  <si>
    <t>-595.559399145474 28.5080800558459 -585.475070047402</t>
  </si>
  <si>
    <t>-591.780229632343 4.27542206143704 -692.214734004101</t>
  </si>
  <si>
    <t>-579.39561999705 12.6611928432346 -781.650043367187</t>
  </si>
  <si>
    <t>-545.551241996145 155.457986845046 -791.183155237685</t>
  </si>
  <si>
    <t>-379.908889966344 241.178700605729 -535.447505471018</t>
  </si>
  <si>
    <t>-166.271400528131 235.060373286631 -387.246100627065</t>
  </si>
  <si>
    <t>-551.742260923291 161.6261093308 -242.282997201553</t>
  </si>
  <si>
    <t>-540.944467127857 221.838362177325 209.287183636418</t>
  </si>
  <si>
    <t>-631.616940127911 249.539097652991 669.35087780259</t>
  </si>
  <si>
    <t>-479.83166098223 244.855172991452 758.136017206601</t>
  </si>
  <si>
    <t>-604.881895688419 -9.76826275598285 221.383019259611</t>
  </si>
  <si>
    <t>-656.680952742656 1.80535670545717 688.348926142282</t>
  </si>
  <si>
    <t>-503.52445767961 -49.0212247833025 758.372128234905</t>
  </si>
  <si>
    <t>9763-20170724T164215.225928800.bin</t>
  </si>
  <si>
    <t>-567.283440986333 65.3237127052746 -238.195469250567</t>
  </si>
  <si>
    <t>-586.986970656608 63.0328494082432 -357.670594494568</t>
  </si>
  <si>
    <t>-594.088549851131 47.8095029775985 -477.705561966187</t>
  </si>
  <si>
    <t>-595.31147341462 28.823531617107 -585.561443859492</t>
  </si>
  <si>
    <t>-591.488527779313 4.65407559806944 -692.313832673599</t>
  </si>
  <si>
    <t>-579.084110932811 13.1101835180571 -781.73957748087</t>
  </si>
  <si>
    <t>-545.284054845782 155.89629205317 -790.863527794134</t>
  </si>
  <si>
    <t>-382.599467438138 242.13853221136 -533.410293698426</t>
  </si>
  <si>
    <t>-168.521313464882 234.492117915067 -385.917381759445</t>
  </si>
  <si>
    <t>-551.483222110682 161.831663131138 -242.387053104963</t>
  </si>
  <si>
    <t>-540.975419264093 221.896334558921 209.209509273437</t>
  </si>
  <si>
    <t>-631.47214370668 249.634822068189 669.289347522884</t>
  </si>
  <si>
    <t>-479.805512451416 244.767823484607 758.267225204914</t>
  </si>
  <si>
    <t>-604.84063229835 -9.50480741765313 221.354863816102</t>
  </si>
  <si>
    <t>-656.591186244803 1.86062633137209 688.348976200396</t>
  </si>
  <si>
    <t>-503.457603393042 -48.9237853324394 758.452898279969</t>
  </si>
  <si>
    <t>9763-20170724T164215.293119300.bin</t>
  </si>
  <si>
    <t>-567.072471262045 65.8782300681949 -238.178318616727</t>
  </si>
  <si>
    <t>-586.862157108011 63.594132438218 -357.639541120392</t>
  </si>
  <si>
    <t>-593.928857010346 48.4691683771536 -477.68900321475</t>
  </si>
  <si>
    <t>-595.064892321401 29.613988881603 -585.568708203787</t>
  </si>
  <si>
    <t>-591.095517970298 5.61965610377584 -692.355169338893</t>
  </si>
  <si>
    <t>-578.629796761656 14.2725785301255 -781.753650224299</t>
  </si>
  <si>
    <t>-545.144237199345 157.219717795899 -790.157981845985</t>
  </si>
  <si>
    <t>-386.896019267737 243.705553322256 -530.035079396994</t>
  </si>
  <si>
    <t>-172.591364016781 235.107204480195 -382.924054099441</t>
  </si>
  <si>
    <t>-551.152044027287 162.455651342878 -242.363336307583</t>
  </si>
  <si>
    <t>-540.761137126717 222.197160183447 209.278738544689</t>
  </si>
  <si>
    <t>-631.356348710251 249.661427063497 669.393752010701</t>
  </si>
  <si>
    <t>-479.798686026059 244.766919249835 758.555558644697</t>
  </si>
  <si>
    <t>-604.63681937215 -9.15387672929873 221.390369000642</t>
  </si>
  <si>
    <t>-656.497690743892 1.96397587847574 688.350784386253</t>
  </si>
  <si>
    <t>-503.268155832014 -48.4530219520518 758.510219642086</t>
  </si>
  <si>
    <t>9763-20170724T164215.319192500.bin</t>
  </si>
  <si>
    <t>-567.158517213056 66.056792265431 -238.100680935841</t>
  </si>
  <si>
    <t>-587.028434502488 63.714437996282 -357.547231291854</t>
  </si>
  <si>
    <t>-594.080059646734 48.5800584789455 -477.596379377768</t>
  </si>
  <si>
    <t>-595.164546974665 29.7348035226138 -585.478372223307</t>
  </si>
  <si>
    <t>-591.106723772057 5.76781146983379 -692.267858340959</t>
  </si>
  <si>
    <t>-578.587669181049 14.4625759641511 -781.654806907359</t>
  </si>
  <si>
    <t>-545.359642924643 157.466102221758 -789.806542984251</t>
  </si>
  <si>
    <t>-388.18360215056 244.312708678014 -529.154529195335</t>
  </si>
  <si>
    <t>-174.541934909294 235.695856503883 -381.08336716314</t>
  </si>
  <si>
    <t>-551.30734740981 162.623071215094 -242.277447348924</t>
  </si>
  <si>
    <t>-540.633274662927 222.357019304036 209.359132811482</t>
  </si>
  <si>
    <t>-631.389696209105 249.610002219285 669.489099056548</t>
  </si>
  <si>
    <t>-479.811885603516 244.877825736493 758.62538400977</t>
  </si>
  <si>
    <t>-604.506356528475 -9.16043136861899 221.444617275037</t>
  </si>
  <si>
    <t>-656.518840470681 1.96225591813552 688.361652980087</t>
  </si>
  <si>
    <t>-503.130965284151 -48.0202735355184 758.485938478045</t>
  </si>
  <si>
    <t>9763-20170724T164215.391389400.bin</t>
  </si>
  <si>
    <t>-568.305105969756 66.0734406273234 -237.966759942065</t>
  </si>
  <si>
    <t>-588.647537908454 63.6392252255835 -357.331939088285</t>
  </si>
  <si>
    <t>-595.793348075292 48.5557455554594 -477.381971041452</t>
  </si>
  <si>
    <t>-596.818388386547 29.8022877133688 -585.280500199052</t>
  </si>
  <si>
    <t>-592.563265059218 5.96523774101712 -692.091293311522</t>
  </si>
  <si>
    <t>-579.897635721405 14.8089595977189 -781.443014723457</t>
  </si>
  <si>
    <t>-546.941384482997 157.876567046543 -789.345510881988</t>
  </si>
  <si>
    <t>-388.455519640115 241.243013024232 -528.350320474167</t>
  </si>
  <si>
    <t>-175.359711382234 233.555947906473 -379.443887092165</t>
  </si>
  <si>
    <t>-553.013872210365 162.892254367639 -242.046492730069</t>
  </si>
  <si>
    <t>-541.007201464158 222.657455443967 209.55253469184</t>
  </si>
  <si>
    <t>-631.642584605523 249.392771566539 669.730526184258</t>
  </si>
  <si>
    <t>-479.889350000237 245.252257380156 758.59729922216</t>
  </si>
  <si>
    <t>-604.457808344153 -9.6377178178744 221.564718811087</t>
  </si>
  <si>
    <t>-656.701659274971 1.75076406659206 688.39820542452</t>
  </si>
  <si>
    <t>-503.313325275273 -48.3972806859097 758.403263330832</t>
  </si>
  <si>
    <t>9763-20170724T164215.426486400.bin</t>
  </si>
  <si>
    <t>-569.3455231394 65.8756690725154 -237.878903944895</t>
  </si>
  <si>
    <t>-589.907017813449 63.4226283873085 -357.206156726731</t>
  </si>
  <si>
    <t>-597.051528716442 48.4457084237194 -477.269465197738</t>
  </si>
  <si>
    <t>-597.992909496916 29.8296305368885 -585.192720729464</t>
  </si>
  <si>
    <t>-593.576200981418 6.16478204468507 -692.035234274353</t>
  </si>
  <si>
    <t>-580.761089155555 15.1789199162796 -781.34856637263</t>
  </si>
  <si>
    <t>-547.855876034113 158.272062031686 -789.134196932888</t>
  </si>
  <si>
    <t>-387.757826270977 237.852711782494 -527.941397132144</t>
  </si>
  <si>
    <t>-174.844058562217 231.373066671895 -378.717437517082</t>
  </si>
  <si>
    <t>-554.34783747309 162.790262492345 -241.86005920833</t>
  </si>
  <si>
    <t>-541.31588444687 222.821551563163 209.675203721281</t>
  </si>
  <si>
    <t>-631.853700760002 249.300124879827 669.852495118937</t>
  </si>
  <si>
    <t>-479.950742853494 245.487128260322 758.47793834895</t>
  </si>
  <si>
    <t>-604.993769214567 -9.99521619037291 221.597610997749</t>
  </si>
  <si>
    <t>-656.755248767176 1.82184248496091 688.426299369629</t>
  </si>
  <si>
    <t>-503.145134564818 -47.8374241352324 758.293516847412</t>
  </si>
  <si>
    <t>9763-20170724T164215.487648200.bin</t>
  </si>
  <si>
    <t>-571.386063090306 65.3088240313664 -237.873121146459</t>
  </si>
  <si>
    <t>-592.177738166338 62.8706036168241 -357.160864458162</t>
  </si>
  <si>
    <t>-599.289085284786 48.1929337723795 -477.263182399303</t>
  </si>
  <si>
    <t>-600.10403704669 29.945106382124 -585.250184118771</t>
  </si>
  <si>
    <t>-595.471478089028 6.73499442419165 -692.183305837673</t>
  </si>
  <si>
    <t>-582.44426862861 16.1856558938352 -781.420870526932</t>
  </si>
  <si>
    <t>-549.456281864934 159.291210001598 -788.687005409576</t>
  </si>
  <si>
    <t>-384.455785138837 229.976437426972 -527.986682559532</t>
  </si>
  <si>
    <t>-171.290393682545 227.194146810707 -379.007415823099</t>
  </si>
  <si>
    <t>-556.857669753929 162.44540442745 -241.706515557156</t>
  </si>
  <si>
    <t>-542.806702954631 222.724387059167 209.765223331973</t>
  </si>
  <si>
    <t>-632.375434852477 249.286106880892 670.09853878414</t>
  </si>
  <si>
    <t>-480.095841223343 245.710385391077 758.085160091033</t>
  </si>
  <si>
    <t>-607.073450638393 -10.7349508175166 221.417951870458</t>
  </si>
  <si>
    <t>-656.791629394137 1.87306223606078 688.470450519127</t>
  </si>
  <si>
    <t>-502.528507198447 -45.994450738515 758.148945642767</t>
  </si>
  <si>
    <t>9763-20170724T164215.519737400.bin</t>
  </si>
  <si>
    <t>-572.366752482501 65.2009230894743 -237.882892531214</t>
  </si>
  <si>
    <t>-592.896060111938 62.7149398374037 -357.215169782051</t>
  </si>
  <si>
    <t>-599.80055376494 48.1622829028825 -477.344628536797</t>
  </si>
  <si>
    <t>-600.454875583888 30.0922547037487 -585.36259869441</t>
  </si>
  <si>
    <t>-595.689472502483 7.12080526832878 -692.341498949852</t>
  </si>
  <si>
    <t>-582.563656758599 16.8078414423579 -781.539162789143</t>
  </si>
  <si>
    <t>-549.360235063161 159.890701480448 -788.670785707887</t>
  </si>
  <si>
    <t>-382.261246273776 226.470589808199 -528.226418370427</t>
  </si>
  <si>
    <t>-170.048427454584 225.977807863861 -377.868462630793</t>
  </si>
  <si>
    <t>-558.015207320081 162.455709609353 -241.713909459351</t>
  </si>
  <si>
    <t>-543.829362779551 222.602709735682 209.771183462143</t>
  </si>
  <si>
    <t>-632.653880884481 249.343664821976 670.249906854115</t>
  </si>
  <si>
    <t>-480.176347950131 245.640796625823 757.887763827568</t>
  </si>
  <si>
    <t>-608.16700237867 -11.0709586676938 221.345056069726</t>
  </si>
  <si>
    <t>-656.791537075603 2.01264395777692 688.483618251539</t>
  </si>
  <si>
    <t>-502.111125534463 -44.6267860621395 758.069825021865</t>
  </si>
  <si>
    <t>9763-20170724T164215.590641600.bin</t>
  </si>
  <si>
    <t>-573.798392821991 64.7460820318822 -238.054641084847</t>
  </si>
  <si>
    <t>-594.262242868488 62.2229741400447 -357.397340697269</t>
  </si>
  <si>
    <t>-600.98782989694 47.8024650975801 -477.553015733231</t>
  </si>
  <si>
    <t>-601.437931714984 29.9140554647879 -585.602348901434</t>
  </si>
  <si>
    <t>-596.42795818132 7.1824305763503 -692.621063381948</t>
  </si>
  <si>
    <t>-583.040396632384 17.1001023818612 -781.754452383113</t>
  </si>
  <si>
    <t>-549.522654104518 160.101418797452 -788.83959754489</t>
  </si>
  <si>
    <t>-380.757266436851 221.876064740699 -528.285690928371</t>
  </si>
  <si>
    <t>-171.265579574207 225.148241468557 -374.193028265844</t>
  </si>
  <si>
    <t>-559.719342568179 162.227489657516 -241.899751498174</t>
  </si>
  <si>
    <t>-545.717084903578 222.266399329301 209.605452525106</t>
  </si>
  <si>
    <t>-633.126841497542 249.518416516397 670.432839002151</t>
  </si>
  <si>
    <t>-480.335438225419 245.187928026973 757.493360938967</t>
  </si>
  <si>
    <t>-609.603704477358 -11.6268405350918 221.198554529978</t>
  </si>
  <si>
    <t>-656.815716805454 1.94427135345953 688.491126432205</t>
  </si>
  <si>
    <t>-502.042121094125 -44.4091081011427 758.061422112842</t>
  </si>
  <si>
    <t>9763-20170724T164215.626741200.bin</t>
  </si>
  <si>
    <t>-574.432368131048 64.5756374328076 -238.060094588936</t>
  </si>
  <si>
    <t>-594.903962850451 62.0487327074983 -357.40133126378</t>
  </si>
  <si>
    <t>-601.469425886225 47.7596577486146 -477.581571394337</t>
  </si>
  <si>
    <t>-601.708203210176 30.0406389636408 -585.659407149491</t>
  </si>
  <si>
    <t>-596.421642089342 7.52627390430095 -692.710806345565</t>
  </si>
  <si>
    <t>-582.774300263635 17.6578096466729 -781.780908568019</t>
  </si>
  <si>
    <t>-549.156902348984 160.644510522525 -788.676743813104</t>
  </si>
  <si>
    <t>-380.511269109989 221.054097924234 -527.725505076566</t>
  </si>
  <si>
    <t>-172.437520941577 224.836435352738 -371.734931219326</t>
  </si>
  <si>
    <t>-560.52149870734 162.279029029573 -241.903281291773</t>
  </si>
  <si>
    <t>-546.221454841674 222.170664976465 209.612156891792</t>
  </si>
  <si>
    <t>-633.363880669192 249.482773887305 670.549152366211</t>
  </si>
  <si>
    <t>-480.416573455827 245.058179496149 757.330801180557</t>
  </si>
  <si>
    <t>-610.013597676703 -11.9023831822588 221.186370542905</t>
  </si>
  <si>
    <t>-656.848149412835 1.80972893537396 688.506769579101</t>
  </si>
  <si>
    <t>-502.432372322097 -45.6676918114863 758.114114490616</t>
  </si>
  <si>
    <t>9763-20170724T164215.686906100.bin</t>
  </si>
  <si>
    <t>-575.400164855353 63.9604550476705 -238.046447587396</t>
  </si>
  <si>
    <t>-596.139248885967 61.4570869679441 -357.342013394196</t>
  </si>
  <si>
    <t>-602.587644692999 47.4297224087369 -477.559490745881</t>
  </si>
  <si>
    <t>-602.568020539435 30.0332017365174 -585.689905477882</t>
  </si>
  <si>
    <t>-596.87328963224 7.9208993223169 -692.804235982598</t>
  </si>
  <si>
    <t>-582.873580329185 18.4516745147124 -781.773116324381</t>
  </si>
  <si>
    <t>-549.613473181106 161.55822263517 -788.035169139179</t>
  </si>
  <si>
    <t>-381.815100844472 217.693434426658 -525.587413784173</t>
  </si>
  <si>
    <t>-174.670759528035 222.307947619949 -368.387059674397</t>
  </si>
  <si>
    <t>-561.903865822363 161.715875817306 -241.782522099544</t>
  </si>
  <si>
    <t>-546.333101010047 222.094656366276 209.625977579966</t>
  </si>
  <si>
    <t>-633.703855015829 249.231365633766 670.510538375408</t>
  </si>
  <si>
    <t>-480.551738987234 245.072811533283 756.943425567152</t>
  </si>
  <si>
    <t>-610.356810619099 -12.4034859850955 221.169665590378</t>
  </si>
  <si>
    <t>-656.90043461754 1.72439620425458 688.511351710329</t>
  </si>
  <si>
    <t>-502.301746842386 -45.1946827019621 758.091204680711</t>
  </si>
  <si>
    <t>9763-20170724T164215.724512300.bin</t>
  </si>
  <si>
    <t>-575.839382930273 63.7507566175046 -238.044858007056</t>
  </si>
  <si>
    <t>-596.658878941354 61.2258552678208 -357.325908769297</t>
  </si>
  <si>
    <t>-602.982637922013 47.3212840116833 -477.56405664234</t>
  </si>
  <si>
    <t>-602.770134365518 30.0873696892318 -585.720453283303</t>
  </si>
  <si>
    <t>-596.804818248603 8.18498000864223 -692.86316960974</t>
  </si>
  <si>
    <t>-582.568687742482 18.9259682578729 -781.769446177912</t>
  </si>
  <si>
    <t>-549.354304849958 162.049284614567 -787.645562154039</t>
  </si>
  <si>
    <t>-382.373230451059 216.505390142487 -524.324305669554</t>
  </si>
  <si>
    <t>-175.045667685057 220.784911064304 -367.356152790332</t>
  </si>
  <si>
    <t>-562.584160953988 161.487513786529 -241.740285968362</t>
  </si>
  <si>
    <t>-546.318645876774 222.122916344897 209.609265586177</t>
  </si>
  <si>
    <t>-633.827684028507 249.053805020274 670.431893839913</t>
  </si>
  <si>
    <t>-480.608763479156 245.224997919358 756.761504820187</t>
  </si>
  <si>
    <t>-610.2734530937 -12.594853591144 221.163910436003</t>
  </si>
  <si>
    <t>-656.903869718177 1.70969637458855 688.509127338388</t>
  </si>
  <si>
    <t>-502.376740138456 -45.421967767779 758.104167363611</t>
  </si>
  <si>
    <t>9763-20170724T164215.789189700.bin</t>
  </si>
  <si>
    <t>-576.502866767683 63.2359264883716 -238.018758409736</t>
  </si>
  <si>
    <t>-597.312740090234 60.6070547666434 -357.299195621483</t>
  </si>
  <si>
    <t>-603.378518047039 46.8680434419947 -477.569704297163</t>
  </si>
  <si>
    <t>-602.834730745887 29.8852778908601 -585.764700886963</t>
  </si>
  <si>
    <t>-596.442044366358 8.32998660264997 -692.953183179146</t>
  </si>
  <si>
    <t>-581.890273781285 19.4369270010214 -781.763228411092</t>
  </si>
  <si>
    <t>-548.913588942817 162.643420846131 -786.906702184194</t>
  </si>
  <si>
    <t>-382.341985295255 215.318108684728 -522.964516479551</t>
  </si>
  <si>
    <t>-174.03749021858 218.192197478832 -367.262720231363</t>
  </si>
  <si>
    <t>-563.731490201549 160.846500428922 -241.729753919512</t>
  </si>
  <si>
    <t>-546.788619429051 222.13681373773 209.506343912066</t>
  </si>
  <si>
    <t>-634.077653996231 248.819526191022 670.315254925956</t>
  </si>
  <si>
    <t>-480.719156062459 245.579250162524 756.420815217001</t>
  </si>
  <si>
    <t>-610.420041405601 -13.0266578932385 221.15440457179</t>
  </si>
  <si>
    <t>-656.917331404715 1.60711247943055 688.502518437612</t>
  </si>
  <si>
    <t>-502.014870567776 -44.2960722533117 758.084536858212</t>
  </si>
  <si>
    <t>9763-20170724T164215.821277200.bin</t>
  </si>
  <si>
    <t>-576.896928741091 62.9292602139298 -237.984001489384</t>
  </si>
  <si>
    <t>-597.638324336577 60.2531198617578 -357.27539095322</t>
  </si>
  <si>
    <t>-603.594582423999 46.6060026978381 -477.561866537636</t>
  </si>
  <si>
    <t>-602.937954663549 29.7567195055012 -585.777015854446</t>
  </si>
  <si>
    <t>-596.42040814497 8.38147479681109 -692.994049751293</t>
  </si>
  <si>
    <t>-581.766255205381 19.6675394328338 -781.764639004586</t>
  </si>
  <si>
    <t>-548.879441241882 162.899292064371 -786.681142300307</t>
  </si>
  <si>
    <t>-381.537831378065 214.70149641622 -523.053681606713</t>
  </si>
  <si>
    <t>-173.39218400488 217.270117712909 -367.134346430518</t>
  </si>
  <si>
    <t>-564.406695499965 160.594785382408 -241.719014823568</t>
  </si>
  <si>
    <t>-547.322353979285 222.012441399542 209.494552485673</t>
  </si>
  <si>
    <t>-634.256392547864 248.75052664277 670.367674139629</t>
  </si>
  <si>
    <t>-480.782088886969 245.700458331308 756.273649804293</t>
  </si>
  <si>
    <t>-610.484123052286 -13.335381574827 221.163141829627</t>
  </si>
  <si>
    <t>-656.960559284329 1.47658469125233 688.498700898612</t>
  </si>
  <si>
    <t>-502.250109278689 -45.0185688429368 758.114722303159</t>
  </si>
  <si>
    <t>9763-20170724T164215.891986000.bin</t>
  </si>
  <si>
    <t>-577.826147948426 62.5079847575883 -238.109980184521</t>
  </si>
  <si>
    <t>-598.616192274371 59.7694348347127 -357.39154840326</t>
  </si>
  <si>
    <t>-604.407847159685 46.3037452703141 -477.706531853299</t>
  </si>
  <si>
    <t>-603.52511543891 29.6993243245142 -585.957918582572</t>
  </si>
  <si>
    <t>-596.710177975082 8.63914520256921 -693.218693545512</t>
  </si>
  <si>
    <t>-581.656584758546 20.2071652886324 -781.886231691448</t>
  </si>
  <si>
    <t>-548.327746910738 163.34716906981 -786.411276606968</t>
  </si>
  <si>
    <t>-380.300330614694 212.647805910361 -522.740235306847</t>
  </si>
  <si>
    <t>-172.263894218835 215.8872021767 -366.687574821442</t>
  </si>
  <si>
    <t>-565.708268220324 160.135915034558 -241.933269329322</t>
  </si>
  <si>
    <t>-548.737662831202 221.658134136747 209.270234557723</t>
  </si>
  <si>
    <t>-634.463890870666 248.661601446535 670.319662724489</t>
  </si>
  <si>
    <t>-480.87674940679 245.806396681237 756.030474786428</t>
  </si>
  <si>
    <t>-610.735934091345 -13.4776122107872 221.093368246794</t>
  </si>
  <si>
    <t>-656.91123965939 1.58934776164772 688.478196112582</t>
  </si>
  <si>
    <t>-501.618872487529 -42.9807069991267 758.057736814704</t>
  </si>
  <si>
    <t>9763-20170724T164215.922576300.bin</t>
  </si>
  <si>
    <t>-578.194458304893 62.3095916861479 -238.156901128372</t>
  </si>
  <si>
    <t>-598.942267422466 59.5950297992799 -357.446395446476</t>
  </si>
  <si>
    <t>-604.607400188882 46.2767593850525 -477.783693915193</t>
  </si>
  <si>
    <t>-603.578673598681 29.8490631794744 -586.060868583113</t>
  </si>
  <si>
    <t>-596.587743843867 9.0053446072252 -693.352504236699</t>
  </si>
  <si>
    <t>-581.293430808492 20.7630370837696 -781.953910660202</t>
  </si>
  <si>
    <t>-547.656286003123 163.856089117106 -786.102612108106</t>
  </si>
  <si>
    <t>-379.370484748058 211.517786489298 -522.295024769493</t>
  </si>
  <si>
    <t>-171.431127002568 214.910502159231 -366.116379661973</t>
  </si>
  <si>
    <t>-566.130227662939 159.91193751128 -241.985877205876</t>
  </si>
  <si>
    <t>-549.166424578019 221.559054723952 209.200886680008</t>
  </si>
  <si>
    <t>-634.508464752863 248.664790168799 670.287298221635</t>
  </si>
  <si>
    <t>-480.901873702097 245.793268005303 755.962782108682</t>
  </si>
  <si>
    <t>-610.8835404704 -13.6125768195976 221.059362810621</t>
  </si>
  <si>
    <t>-656.93025479005 1.42007278692814 688.465177383702</t>
  </si>
  <si>
    <t>-501.863398715294 -43.857541164396 758.090741152442</t>
  </si>
  <si>
    <t>9763-20170724T164215.992518600.bin</t>
  </si>
  <si>
    <t>-578.710428011547 62.04439442337 -238.27180652015</t>
  </si>
  <si>
    <t>-599.352948695057 59.452633509668 -357.582272915347</t>
  </si>
  <si>
    <t>-604.733818944141 46.4480669580374 -477.966974627061</t>
  </si>
  <si>
    <t>-603.378206744542 30.3723301350913 -586.293242709138</t>
  </si>
  <si>
    <t>-595.992054109267 9.94475785959929 -693.63853750047</t>
  </si>
  <si>
    <t>-580.171642361145 22.0578835797137 -782.099493657573</t>
  </si>
  <si>
    <t>-546.141164718031 165.07363481357 -785.467462868598</t>
  </si>
  <si>
    <t>-378.325709498235 209.321249437794 -520.767017279567</t>
  </si>
  <si>
    <t>-170.646347432737 213.101781424323 -364.251779094092</t>
  </si>
  <si>
    <t>-566.465132361909 159.562803379342 -242.080563051266</t>
  </si>
  <si>
    <t>-549.232896386329 221.330309990052 209.079648048318</t>
  </si>
  <si>
    <t>-634.512579760097 248.783710377422 670.184434354766</t>
  </si>
  <si>
    <t>-480.933173362188 245.646532136157 755.899301855853</t>
  </si>
  <si>
    <t>-611.24552908394 -13.7397549757515 220.942061007211</t>
  </si>
  <si>
    <t>-656.903953265656 1.33517446279982 688.421772957236</t>
  </si>
  <si>
    <t>-502.228510723918 -45.1534447511488 758.119976836295</t>
  </si>
  <si>
    <t>9763-20170724T164216.024098200.bin</t>
  </si>
  <si>
    <t>-578.958698320409 61.7976695998231 -238.260651496614</t>
  </si>
  <si>
    <t>-599.600263960726 59.3623547254638 -357.57460391286</t>
  </si>
  <si>
    <t>-604.873849282983 46.5646339630465 -477.986186799369</t>
  </si>
  <si>
    <t>-603.378514270875 30.6928408527199 -586.340765213745</t>
  </si>
  <si>
    <t>-595.810453157755 10.4848891948428 -693.715005305323</t>
  </si>
  <si>
    <t>-579.725106660648 22.7731092627992 -782.10396656722</t>
  </si>
  <si>
    <t>-545.386167262 165.733557232623 -785.004857601948</t>
  </si>
  <si>
    <t>-377.959647922109 208.482452025332 -519.812427501245</t>
  </si>
  <si>
    <t>-170.963037008235 212.761711620871 -362.407880074892</t>
  </si>
  <si>
    <t>-566.633508608955 159.298115779833 -242.011770264234</t>
  </si>
  <si>
    <t>-549.234172945334 221.183414166152 209.125797748887</t>
  </si>
  <si>
    <t>-634.492584178968 248.851062564903 670.172744585466</t>
  </si>
  <si>
    <t>-480.938007368064 245.535596879727 755.925336090119</t>
  </si>
  <si>
    <t>-611.527320022618 -13.8389283589345 220.885235076694</t>
  </si>
  <si>
    <t>-656.868997616578 1.41991276383241 688.392198649539</t>
  </si>
  <si>
    <t>-502.05106340002 -44.61828341774 758.072846977699</t>
  </si>
  <si>
    <t>9763-20170724T164216.088772800.bin</t>
  </si>
  <si>
    <t>-579.74984535517 61.3068579282619 -238.336791710848</t>
  </si>
  <si>
    <t>-600.388733073676 59.059743381238 -357.654760089118</t>
  </si>
  <si>
    <t>-605.443371147473 46.6070895709478 -478.112107402295</t>
  </si>
  <si>
    <t>-603.661142837639 31.1066774410697 -586.516077735977</t>
  </si>
  <si>
    <t>-595.716728868998 11.3282038203803 -693.943032151261</t>
  </si>
  <si>
    <t>-579.14141850714 23.984778126802 -782.189374124014</t>
  </si>
  <si>
    <t>-544.286035407799 166.841041132101 -784.118421651411</t>
  </si>
  <si>
    <t>-379.255487457915 206.632711043829 -516.970960423566</t>
  </si>
  <si>
    <t>-172.549003058328 210.996427753586 -359.18800594948</t>
  </si>
  <si>
    <t>-567.283685598968 158.721018652376 -242.042957069742</t>
  </si>
  <si>
    <t>-549.358429526773 220.826447142808 209.043796992681</t>
  </si>
  <si>
    <t>-634.379527637547 248.941047468513 670.159289419127</t>
  </si>
  <si>
    <t>-480.920177392619 245.428696526647 756.074396401026</t>
  </si>
  <si>
    <t>-612.027078708153 -13.8870917128466 220.777965973217</t>
  </si>
  <si>
    <t>-656.774412480402 1.59400076166467 688.338283624888</t>
  </si>
  <si>
    <t>-502.112806740455 -44.9770796514191 758.012024019528</t>
  </si>
  <si>
    <t>9763-20170724T164216.121864100.bin</t>
  </si>
  <si>
    <t>-580.037483571411 60.9724783133576 -238.312957641308</t>
  </si>
  <si>
    <t>-600.610770196672 58.8642442234987 -357.644794800351</t>
  </si>
  <si>
    <t>-605.57513015688 46.6070677520412 -478.125830057144</t>
  </si>
  <si>
    <t>-603.698345642111 31.3086180974538 -586.556850667018</t>
  </si>
  <si>
    <t>-595.64417433643 11.7592426217894 -694.017547117437</t>
  </si>
  <si>
    <t>-578.942775621186 24.618647555286 -782.210934081763</t>
  </si>
  <si>
    <t>-543.929332146962 167.441248142339 -783.538664308177</t>
  </si>
  <si>
    <t>-380.507563952859 206.66872027038 -515.321040048798</t>
  </si>
  <si>
    <t>-174.479922560513 209.412819475874 -356.616504039777</t>
  </si>
  <si>
    <t>-567.33286910719 158.355371551379 -242.017283941141</t>
  </si>
  <si>
    <t>-549.528976048979 220.581880360073 209.057559442934</t>
  </si>
  <si>
    <t>-634.274764582966 249.074134935282 670.136710046056</t>
  </si>
  <si>
    <t>-480.897179022885 245.271985198652 756.185399867591</t>
  </si>
  <si>
    <t>-612.258470497245 -13.8314775211649 220.736432152928</t>
  </si>
  <si>
    <t>-656.669332525129 1.79650914180618 688.316816263856</t>
  </si>
  <si>
    <t>-501.868815063656 -44.3672685938468 757.953232430593</t>
  </si>
  <si>
    <t>9763-20170724T164216.192051500.bin</t>
  </si>
  <si>
    <t>-580.306490121908 60.726355632275 -238.426511701373</t>
  </si>
  <si>
    <t>-600.929971245825 58.8810688664087 -357.754033749304</t>
  </si>
  <si>
    <t>-605.980010809224 46.8396167142015 -478.253347186766</t>
  </si>
  <si>
    <t>-604.187140621775 31.7267476609439 -586.711868459643</t>
  </si>
  <si>
    <t>-596.218005940158 12.3602121423848 -694.211933205641</t>
  </si>
  <si>
    <t>-579.534073321744 25.3627515421198 -782.38755547348</t>
  </si>
  <si>
    <t>-544.092704580283 168.113680203663 -782.738210506304</t>
  </si>
  <si>
    <t>-386.464206606022 206.949437347974 -511.01923123941</t>
  </si>
  <si>
    <t>-187.543764302108 199.718301553576 -343.626189358694</t>
  </si>
  <si>
    <t>-567.37583473979 157.847813386837 -242.040290710948</t>
  </si>
  <si>
    <t>-549.666272135446 220.133656064934 209.030169103224</t>
  </si>
  <si>
    <t>-634.004334347655 249.338639297061 670.190293942554</t>
  </si>
  <si>
    <t>-480.832355752952 244.884452782614 756.573275521796</t>
  </si>
  <si>
    <t>-612.371100924159 -13.6854636456331 220.602098490644</t>
  </si>
  <si>
    <t>-656.504333206791 2.03095934420722 688.244129844099</t>
  </si>
  <si>
    <t>-502.0491587311 -45.2321152880719 757.909800919637</t>
  </si>
  <si>
    <t>9763-20170724T164216.223143500.bin</t>
  </si>
  <si>
    <t>-580.269306451669 60.6940315420728 -238.467586033384</t>
  </si>
  <si>
    <t>-600.951907258563 58.9472869982217 -357.786406520337</t>
  </si>
  <si>
    <t>-606.140320192174 46.952608896283 -478.284470330227</t>
  </si>
  <si>
    <t>-604.500416260467 31.8662623023947 -586.749045996744</t>
  </si>
  <si>
    <t>-596.709408287515 12.514527850766 -694.264873945894</t>
  </si>
  <si>
    <t>-580.11853260977 25.5101810787889 -782.458946894398</t>
  </si>
  <si>
    <t>-544.349549571484 168.172414165466 -782.401513489139</t>
  </si>
  <si>
    <t>-392.018411652077 206.689058254899 -507.632801220861</t>
  </si>
  <si>
    <t>-196.673385653451 193.210439204482 -336.458399308378</t>
  </si>
  <si>
    <t>-566.936494156005 157.735083520306 -242.071950635883</t>
  </si>
  <si>
    <t>-549.693478703161 219.897636234004 209.033521551007</t>
  </si>
  <si>
    <t>-633.869918428686 249.494082474369 670.258539810465</t>
  </si>
  <si>
    <t>-480.806085357738 244.578433207222 756.80791176954</t>
  </si>
  <si>
    <t>-612.485177778015 -13.6727101606667 220.561726970149</t>
  </si>
  <si>
    <t>-656.484249010904 2.00748162996327 688.212646455403</t>
  </si>
  <si>
    <t>-502.467708908281 -46.5913335403604 757.930345945146</t>
  </si>
  <si>
    <t>9763-20170724T164216.296348500.bin</t>
  </si>
  <si>
    <t>-579.414846263536 60.5014310397022 -238.291142274676</t>
  </si>
  <si>
    <t>-599.778812094552 58.8922952278908 -357.666730671115</t>
  </si>
  <si>
    <t>-604.997208174367 47.0126006027461 -478.174862114703</t>
  </si>
  <si>
    <t>-603.515343517541 32.0377301584517 -586.657041129543</t>
  </si>
  <si>
    <t>-596.004450389786 12.8153880848145 -694.216089838</t>
  </si>
  <si>
    <t>-579.633271052569 25.9174049295334 -782.435627912127</t>
  </si>
  <si>
    <t>-543.535868870417 168.466139265255 -781.098132666343</t>
  </si>
  <si>
    <t>-402.253076268453 210.246646829168 -500.955822733209</t>
  </si>
  <si>
    <t>-212.210778806023 189.549893803085 -324.610502809957</t>
  </si>
  <si>
    <t>-565.127563876595 157.540115257046 -241.877179085831</t>
  </si>
  <si>
    <t>-548.840818972045 219.508236885373 209.290584834675</t>
  </si>
  <si>
    <t>-633.726817065925 249.667305047312 670.475895708289</t>
  </si>
  <si>
    <t>-480.786328628482 244.063667517197 757.201388382126</t>
  </si>
  <si>
    <t>-612.650332656887 -13.7568489844294 220.617630191287</t>
  </si>
  <si>
    <t>-656.478054806529 2.17922484781522 688.184877873402</t>
  </si>
  <si>
    <t>-502.289453408707 -45.9215664953927 757.867689435869</t>
  </si>
  <si>
    <t>9763-20170724T164216.321910800.bin</t>
  </si>
  <si>
    <t>-578.563242290034 60.3533874458532 -238.229681466471</t>
  </si>
  <si>
    <t>-599.090140832503 58.8678104050694 -357.5788897875</t>
  </si>
  <si>
    <t>-604.486405322694 47.1220618678733 -478.092262125145</t>
  </si>
  <si>
    <t>-603.16366677787 32.2800944284656 -586.594973211513</t>
  </si>
  <si>
    <t>-595.805436605313 13.2076046112368 -694.191199330655</t>
  </si>
  <si>
    <t>-579.563711171884 26.448659888124 -782.413884539961</t>
  </si>
  <si>
    <t>-543.575399038309 169.007397199574 -780.452263505967</t>
  </si>
  <si>
    <t>-408.18576055203 212.137127534331 -497.617227625801</t>
  </si>
  <si>
    <t>-219.556466147378 190.762970246376 -319.841477758234</t>
  </si>
  <si>
    <t>-563.870961376997 157.510838724036 -241.726532778153</t>
  </si>
  <si>
    <t>-547.756008853897 219.378894824604 209.461222933738</t>
  </si>
  <si>
    <t>-633.679388033943 249.665807234162 670.535739744553</t>
  </si>
  <si>
    <t>-480.78511332387 243.823009025911 757.326992820261</t>
  </si>
  <si>
    <t>-612.540346173509 -13.8139801113305 220.679387886829</t>
  </si>
  <si>
    <t>-656.495844561758 2.22865140683722 688.196602631959</t>
  </si>
  <si>
    <t>-502.213260976677 -45.5735451562698 757.876944913757</t>
  </si>
  <si>
    <t>9763-20170724T164216.391599200.bin</t>
  </si>
  <si>
    <t>-576.992231514845 60.0995806976046 -237.981297005997</t>
  </si>
  <si>
    <t>-597.632107528788 58.8667509679623 -357.313850744551</t>
  </si>
  <si>
    <t>-603.304063496693 47.4756679803126 -477.848729240407</t>
  </si>
  <si>
    <t>-602.282242840682 33.0101611268888 -586.405341627176</t>
  </si>
  <si>
    <t>-595.266757442574 14.3784178803667 -694.101639171297</t>
  </si>
  <si>
    <t>-579.424328978259 28.0474172257878 -782.331693136803</t>
  </si>
  <si>
    <t>-544.03468108472 170.738602630851 -779.291731999928</t>
  </si>
  <si>
    <t>-418.064141504116 220.075425072047 -493.13892030513</t>
  </si>
  <si>
    <t>-231.391356219164 204.834180472951 -312.686527787473</t>
  </si>
  <si>
    <t>-561.735863679969 157.238014247514 -241.34723400374</t>
  </si>
  <si>
    <t>-544.868679144502 219.298497638658 209.786508134157</t>
  </si>
  <si>
    <t>-633.472384454954 249.401132559004 670.388312246832</t>
  </si>
  <si>
    <t>-480.761872708771 243.641759856924 757.508020106732</t>
  </si>
  <si>
    <t>-611.413863379366 -13.7530611202632 220.824681614774</t>
  </si>
  <si>
    <t>-656.566481226231 1.99689831033249 688.247476589415</t>
  </si>
  <si>
    <t>-502.643814390546 -46.8289298638858 758.01409073385</t>
  </si>
  <si>
    <t>9763-20170724T164216.425713500.bin</t>
  </si>
  <si>
    <t>-576.118664710402 60.181844974218 -237.833734819414</t>
  </si>
  <si>
    <t>-596.878140796984 59.0076320008391 -357.146190674773</t>
  </si>
  <si>
    <t>-602.718169208098 47.8113080026211 -477.691313647272</t>
  </si>
  <si>
    <t>-601.861501750036 33.5818933787862 -586.28054107358</t>
  </si>
  <si>
    <t>-595.019767140626 15.2486595990493 -694.039267369757</t>
  </si>
  <si>
    <t>-579.398991179951 29.2192202551021 -782.261607154757</t>
  </si>
  <si>
    <t>-544.31768749577 171.967650333444 -778.761298518117</t>
  </si>
  <si>
    <t>-422.673765140344 222.753936889878 -490.994503340026</t>
  </si>
  <si>
    <t>-237.910892388394 211.079995126582 -308.324100645058</t>
  </si>
  <si>
    <t>-560.692125921458 157.182838602426 -241.164142278771</t>
  </si>
  <si>
    <t>-543.298897000837 219.478484052735 209.917192801606</t>
  </si>
  <si>
    <t>-633.337740941666 249.207804290974 670.238021303829</t>
  </si>
  <si>
    <t>-480.739636972359 243.750767804263 757.573952272587</t>
  </si>
  <si>
    <t>-610.542951097657 -13.514571508399 220.947446501967</t>
  </si>
  <si>
    <t>-656.553333335934 1.9556850837898 688.284570714488</t>
  </si>
  <si>
    <t>-502.849624669057 -47.4608373265586 758.117808163584</t>
  </si>
  <si>
    <t>9763-20170724T164216.487887300.bin</t>
  </si>
  <si>
    <t>-574.664178395309 60.5569196319506 -237.557716388856</t>
  </si>
  <si>
    <t>-595.759825029698 59.4898609384921 -356.812291202047</t>
  </si>
  <si>
    <t>-601.996618198471 48.6120823666747 -477.366599272017</t>
  </si>
  <si>
    <t>-601.512605075109 34.7637526888064 -586.007456421501</t>
  </si>
  <si>
    <t>-595.050496272508 16.9082723174734 -693.869778643613</t>
  </si>
  <si>
    <t>-579.944406749267 31.3740554508096 -782.101862670382</t>
  </si>
  <si>
    <t>-545.780851806953 174.341266843127 -777.909916685706</t>
  </si>
  <si>
    <t>-429.440494755551 226.622565860163 -488.224259894108</t>
  </si>
  <si>
    <t>-250.108201339782 217.514964953018 -300.078024744812</t>
  </si>
  <si>
    <t>-559.223029154093 157.355892174861 -240.788401289291</t>
  </si>
  <si>
    <t>-540.895965669873 219.962087919516 210.213013202558</t>
  </si>
  <si>
    <t>-633.177630998773 248.919136402745 670.060692104759</t>
  </si>
  <si>
    <t>-480.715766923398 244.062799568074 757.669566703245</t>
  </si>
  <si>
    <t>-608.738477955919 -12.9763247375421 221.181960634235</t>
  </si>
  <si>
    <t>-656.481824409917 2.14715921919831 688.339847554196</t>
  </si>
  <si>
    <t>-502.495960952853 -46.3953415307184 758.164635714194</t>
  </si>
  <si>
    <t>9763-20170724T164216.524987900.bin</t>
  </si>
  <si>
    <t>-574.268773673767 60.7796656214526 -237.419112473456</t>
  </si>
  <si>
    <t>-595.466389045836 59.7774949000506 -356.65619129759</t>
  </si>
  <si>
    <t>-601.872602012865 49.0513206696363 -477.215122561238</t>
  </si>
  <si>
    <t>-601.565045622039 35.3777999786915 -585.878884123426</t>
  </si>
  <si>
    <t>-595.300217611621 17.7358336898208 -693.787908954431</t>
  </si>
  <si>
    <t>-580.467839580369 32.4211396168353 -782.030083054566</t>
  </si>
  <si>
    <t>-546.757671493304 175.483936713785 -777.676911046243</t>
  </si>
  <si>
    <t>-433.094636948356 227.939757407171 -486.961778411816</t>
  </si>
  <si>
    <t>-256.142903837683 217.617894485042 -296.636756554405</t>
  </si>
  <si>
    <t>-558.89483387664 157.512764416011 -240.611446789581</t>
  </si>
  <si>
    <t>-540.284819363681 220.135167833612 210.37608068281</t>
  </si>
  <si>
    <t>-633.162923656449 248.856909903211 670.06186527899</t>
  </si>
  <si>
    <t>-480.715678075492 244.1540454484 757.704587975358</t>
  </si>
  <si>
    <t>-608.148011047957 -12.7647065003542 221.242788630715</t>
  </si>
  <si>
    <t>-656.465385866395 2.16240283221115 688.357327466554</t>
  </si>
  <si>
    <t>-502.62603000548 -46.8204617641953 758.19750412972</t>
  </si>
  <si>
    <t>9763-20170724T164216.587690900.bin</t>
  </si>
  <si>
    <t>-573.958786795269 61.4313765665731 -237.426182718568</t>
  </si>
  <si>
    <t>-595.121827277285 60.352490787849 -356.668583768052</t>
  </si>
  <si>
    <t>-601.726467912411 49.794117422484 -477.231764373701</t>
  </si>
  <si>
    <t>-601.686440013438 36.3769747242936 -585.927869115816</t>
  </si>
  <si>
    <t>-595.772192889234 19.0978318910546 -693.915362479218</t>
  </si>
  <si>
    <t>-581.471822698385 34.1849360893235 -782.17759044257</t>
  </si>
  <si>
    <t>-548.666708504767 177.445945664299 -777.436342724978</t>
  </si>
  <si>
    <t>-438.933570513909 230.759475653835 -485.370432092315</t>
  </si>
  <si>
    <t>-263.800834710535 215.58860004745 -293.692490636619</t>
  </si>
  <si>
    <t>-558.863813764614 158.123244304426 -240.680888127045</t>
  </si>
  <si>
    <t>-540.622281954158 220.524127893116 210.3524135927</t>
  </si>
  <si>
    <t>-633.113416121451 248.813492697807 670.083615515446</t>
  </si>
  <si>
    <t>-480.693126835684 244.359741149869 757.78608456768</t>
  </si>
  <si>
    <t>-607.667974598743 -12.3508582247029 221.254887807761</t>
  </si>
  <si>
    <t>-656.460524594806 2.09611370678197 688.353399894473</t>
  </si>
  <si>
    <t>-503.210026703303 -48.5910924663894 758.27193127414</t>
  </si>
  <si>
    <t>9763-20170724T164216.626309900.bin</t>
  </si>
  <si>
    <t>-574.038823728301 61.9605409101416 -237.456586171142</t>
  </si>
  <si>
    <t>-595.149290046537 60.8380749472693 -356.708068722582</t>
  </si>
  <si>
    <t>-601.818416774124 50.3429450149217 -477.273105740393</t>
  </si>
  <si>
    <t>-601.882854736237 37.0272731658972 -585.981599422332</t>
  </si>
  <si>
    <t>-596.117682758308 19.8937523854222 -694.000427599124</t>
  </si>
  <si>
    <t>-582.036540694141 35.1406238782357 -782.270502670605</t>
  </si>
  <si>
    <t>-549.440462010095 178.424286043914 -777.36831111136</t>
  </si>
  <si>
    <t>-441.917524660821 231.628493358331 -484.461679706078</t>
  </si>
  <si>
    <t>-267.244336948765 216.345229055038 -292.373834955325</t>
  </si>
  <si>
    <t>-559.08648899776 158.65653318185 -240.76346673409</t>
  </si>
  <si>
    <t>-541.226792259901 220.774006871017 210.324306634814</t>
  </si>
  <si>
    <t>-633.112692274365 248.851922134586 670.17043160148</t>
  </si>
  <si>
    <t>-480.67978573801 244.471219238486 757.854722310322</t>
  </si>
  <si>
    <t>-607.498320259487 -12.0027007461637 221.243881445013</t>
  </si>
  <si>
    <t>-656.431121570753 2.19780340821066 688.340306425339</t>
  </si>
  <si>
    <t>-502.990091175415 -47.9205386425233 758.251148647739</t>
  </si>
  <si>
    <t>9763-20170724T164216.688462900.bin</t>
  </si>
  <si>
    <t>-574.392972437399 63.2333155840035 -237.54950762918</t>
  </si>
  <si>
    <t>-595.57331692015 62.0572063807845 -356.788014237026</t>
  </si>
  <si>
    <t>-602.405199405356 51.5895517103717 -477.346324360819</t>
  </si>
  <si>
    <t>-602.650251992825 38.3364514473877 -586.062130365294</t>
  </si>
  <si>
    <t>-597.096207127504 21.3048052183954 -694.108079683694</t>
  </si>
  <si>
    <t>-583.37592857289 36.6913051999292 -782.410862066731</t>
  </si>
  <si>
    <t>-551.531650390571 180.150775830589 -777.217283151689</t>
  </si>
  <si>
    <t>-445.706030520275 229.689847051978 -483.052342105143</t>
  </si>
  <si>
    <t>-267.853549376758 219.124788055881 -293.582223370638</t>
  </si>
  <si>
    <t>-559.669131541793 159.812588842675 -240.851969193475</t>
  </si>
  <si>
    <t>-542.18135358021 221.353014406064 210.329414598042</t>
  </si>
  <si>
    <t>-633.141142555055 249.007525961876 670.390699343034</t>
  </si>
  <si>
    <t>-480.658955370748 244.548828098504 757.985338396002</t>
  </si>
  <si>
    <t>-607.389590644252 -11.2372353713359 221.194698881086</t>
  </si>
  <si>
    <t>-656.365489899311 2.44501225040115 688.320164788075</t>
  </si>
  <si>
    <t>-502.313754505957 -45.8514649276933 758.170262241661</t>
  </si>
  <si>
    <t>9763-20170724T164216.725571600.bin</t>
  </si>
  <si>
    <t>-574.776684226045 63.8500323192561 -237.570459827419</t>
  </si>
  <si>
    <t>-596.049552077595 62.6419104102635 -356.792122916988</t>
  </si>
  <si>
    <t>-602.910489005769 52.1211873235905 -477.344212492335</t>
  </si>
  <si>
    <t>-603.153710403037 38.8153097330117 -586.053662463462</t>
  </si>
  <si>
    <t>-597.568811913021 21.7279059193021 -694.089187682138</t>
  </si>
  <si>
    <t>-583.918620978388 37.0876938971559 -782.407440467245</t>
  </si>
  <si>
    <t>-552.603934091608 180.659402631839 -777.304271726625</t>
  </si>
  <si>
    <t>-445.362042673792 231.3573069281 -483.850617698986</t>
  </si>
  <si>
    <t>-264.769575791307 226.442543005061 -296.75637928436</t>
  </si>
  <si>
    <t>-560.15824371224 160.496445827827 -240.867212047994</t>
  </si>
  <si>
    <t>-542.581930026132 221.635656317518 210.365285482207</t>
  </si>
  <si>
    <t>-633.191228558474 249.070822060967 670.518889038702</t>
  </si>
  <si>
    <t>-480.661656655464 244.590586400056 758.029933491349</t>
  </si>
  <si>
    <t>-607.555137584306 -11.0263310000716 221.175785875066</t>
  </si>
  <si>
    <t>-656.378587668869 2.40120458912154 688.321485717553</t>
  </si>
  <si>
    <t>-502.458214054872 -46.3023739040027 758.178475196039</t>
  </si>
  <si>
    <t>9763-20170724T164216.792753300.bin</t>
  </si>
  <si>
    <t>-576.133800328725 64.8103817182016 -237.665243161184</t>
  </si>
  <si>
    <t>-597.644419501856 63.5415255649273 -356.843638335893</t>
  </si>
  <si>
    <t>-604.586083023876 52.8532514793282 -477.376476537411</t>
  </si>
  <si>
    <t>-604.83801425685 39.3546981626904 -586.061980446128</t>
  </si>
  <si>
    <t>-599.197958545764 22.0340388332226 -694.057573090049</t>
  </si>
  <si>
    <t>-585.633281280168 37.2062580544486 -782.421407652622</t>
  </si>
  <si>
    <t>-555.038200762009 180.965579445723 -777.800449589852</t>
  </si>
  <si>
    <t>-443.288670077368 233.407462773992 -486.341963612673</t>
  </si>
  <si>
    <t>-253.117083093517 238.877422189494 -309.009196633508</t>
  </si>
  <si>
    <t>-561.652585873706 161.694471314608 -240.883706988643</t>
  </si>
  <si>
    <t>-543.602947928173 222.230029861066 210.411499546382</t>
  </si>
  <si>
    <t>-633.36209483666 249.128096157242 670.735438017336</t>
  </si>
  <si>
    <t>-480.685313707723 244.793597802819 757.996669692025</t>
  </si>
  <si>
    <t>-608.771445641693 -10.8423715845197 221.063329740731</t>
  </si>
  <si>
    <t>-656.426719897759 2.36442441524595 688.334397406359</t>
  </si>
  <si>
    <t>-502.064996008231 -45.0428927161166 758.109084512099</t>
  </si>
  <si>
    <t>9763-20170724T164216.826846700.bin</t>
  </si>
  <si>
    <t>-577.002775771214 65.0932937622913 -237.760484508557</t>
  </si>
  <si>
    <t>-598.698535332575 63.7768060503252 -356.904795406908</t>
  </si>
  <si>
    <t>-605.717430872208 53.0049258584736 -477.425563051286</t>
  </si>
  <si>
    <t>-605.996060890261 39.4147178136751 -586.099710406523</t>
  </si>
  <si>
    <t>-600.340752204175 21.9853115767803 -694.077053362301</t>
  </si>
  <si>
    <t>-586.782774018486 37.0645031379027 -782.457687455123</t>
  </si>
  <si>
    <t>-556.450298592536 180.848854314028 -777.94081538039</t>
  </si>
  <si>
    <t>-440.661538963209 234.127599142787 -488.215882499769</t>
  </si>
  <si>
    <t>-245.372996244817 241.612014732368 -316.610465919004</t>
  </si>
  <si>
    <t>-562.545012247598 162.130626000209 -240.954379132532</t>
  </si>
  <si>
    <t>-544.401450127183 222.394053077962 210.373451176094</t>
  </si>
  <si>
    <t>-633.476422492258 249.207994246763 670.813127830378</t>
  </si>
  <si>
    <t>-480.709700476694 244.836312601688 757.915072048398</t>
  </si>
  <si>
    <t>-609.632620333153 -10.8426764742909 220.992812577457</t>
  </si>
  <si>
    <t>-656.432209962564 2.33348384895339 688.354824828839</t>
  </si>
  <si>
    <t>-502.112400317179 -45.218061594736 758.124249508724</t>
  </si>
  <si>
    <t>9763-20170724T164216.891038200.bin</t>
  </si>
  <si>
    <t>-579.155126590396 65.5731029093575 -238.008917735027</t>
  </si>
  <si>
    <t>-601.348430090846 64.1299991156361 -357.060054447573</t>
  </si>
  <si>
    <t>-608.640196541767 53.1771610293694 -477.548420369612</t>
  </si>
  <si>
    <t>-609.077833418838 39.3935864306213 -586.197751569033</t>
  </si>
  <si>
    <t>-603.497512018847 21.7364163656783 -694.14174474694</t>
  </si>
  <si>
    <t>-589.950478354043 36.6040071686677 -782.56008290003</t>
  </si>
  <si>
    <t>-559.485607682643 180.424175770054 -778.65411906821</t>
  </si>
  <si>
    <t>-435.041877826014 232.702546295155 -492.355555057924</t>
  </si>
  <si>
    <t>-231.873563827972 241.142554098825 -330.202984300275</t>
  </si>
  <si>
    <t>-564.894641671962 162.983913072539 -241.253542295766</t>
  </si>
  <si>
    <t>-546.490243028166 222.459059003138 210.16829478568</t>
  </si>
  <si>
    <t>-633.784531875325 249.422949347801 670.96427871276</t>
  </si>
  <si>
    <t>-480.793503421733 244.761906217606 757.656352176534</t>
  </si>
  <si>
    <t>-610.963745986559 -10.8433459486818 220.886370939242</t>
  </si>
  <si>
    <t>-656.437663462042 2.26594246361001 688.409011212126</t>
  </si>
  <si>
    <t>-502.422561382336 -46.3033370932239 758.150659423997</t>
  </si>
  <si>
    <t>9763-20170724T164216.925633500.bin</t>
  </si>
  <si>
    <t>-580.144478509502 65.648582180925 -238.069475257316</t>
  </si>
  <si>
    <t>-602.494386668618 64.0977781452049 -357.090090371789</t>
  </si>
  <si>
    <t>-609.858239552196 53.0332531249471 -477.563802941526</t>
  </si>
  <si>
    <t>-610.329693896383 39.142016402144 -586.199183168682</t>
  </si>
  <si>
    <t>-604.754234575322 21.3676158484725 -694.124383229149</t>
  </si>
  <si>
    <t>-591.168282599358 36.1265811647594 -782.554869424206</t>
  </si>
  <si>
    <t>-560.38045348128 179.873997435133 -778.925991254119</t>
  </si>
  <si>
    <t>-431.290342054279 231.251824921655 -494.527940865059</t>
  </si>
  <si>
    <t>-225.767052629826 238.664885374724 -335.319607339654</t>
  </si>
  <si>
    <t>-566.021368194112 163.074418386287 -241.396048507159</t>
  </si>
  <si>
    <t>-547.673978643485 222.357259863584 210.053307076835</t>
  </si>
  <si>
    <t>-633.942902175396 249.526933071614 671.026699952639</t>
  </si>
  <si>
    <t>-480.839822516959 244.683808009054 757.510772307322</t>
  </si>
  <si>
    <t>-611.42253693922 -10.7709211744156 220.846630111444</t>
  </si>
  <si>
    <t>-656.426539440577 2.29795459036742 688.41800496977</t>
  </si>
  <si>
    <t>-502.3399197811 -46.1335055356222 758.097374462748</t>
  </si>
  <si>
    <t>9763-20170724T164216.990311900.bin</t>
  </si>
  <si>
    <t>-581.712526361739 65.6046694049848 -238.382293418426</t>
  </si>
  <si>
    <t>-604.802786501708 63.878134353371 -357.258937068456</t>
  </si>
  <si>
    <t>-612.493542305592 52.5916422597397 -477.691616264548</t>
  </si>
  <si>
    <t>-613.098501377889 38.4672725638403 -586.296358143059</t>
  </si>
  <si>
    <t>-607.500248245239 20.4196133784396 -694.174997503844</t>
  </si>
  <si>
    <t>-593.709531508002 34.9089375496228 -782.618396449009</t>
  </si>
  <si>
    <t>-561.851843413226 178.420841385175 -779.371201445405</t>
  </si>
  <si>
    <t>-425.588934610651 229.814353019156 -498.342110253488</t>
  </si>
  <si>
    <t>-218.248454473118 235.977731251478 -341.453631127332</t>
  </si>
  <si>
    <t>-567.991271894389 163.863193304164 -241.828781050348</t>
  </si>
  <si>
    <t>-549.625033989596 221.487010258929 209.83470779717</t>
  </si>
  <si>
    <t>-634.325250463436 249.673617412227 671.196147126862</t>
  </si>
  <si>
    <t>-480.970514435706 244.3704621924 757.206180360715</t>
  </si>
  <si>
    <t>-611.994976124676 -10.286715109972 220.722062187924</t>
  </si>
  <si>
    <t>-656.34303949255 2.70863419449289 688.409826744714</t>
  </si>
  <si>
    <t>-501.48374743017 -43.4415515366957 757.924471105486</t>
  </si>
  <si>
    <t>9763-20170724T164217.022915200.bin</t>
  </si>
  <si>
    <t>-582.355798705498 65.4569112559297 -238.265550366117</t>
  </si>
  <si>
    <t>-605.447895034591 63.616170036212 -357.140197098751</t>
  </si>
  <si>
    <t>-613.047579659209 52.2223701001773 -477.568551680041</t>
  </si>
  <si>
    <t>-613.536801158178 37.9981741891797 -586.160849904801</t>
  </si>
  <si>
    <t>-607.792307484013 19.84458482204 -694.014033797731</t>
  </si>
  <si>
    <t>-593.846595367753 34.2380251042267 -782.44865635591</t>
  </si>
  <si>
    <t>-561.557984662299 177.679011425918 -779.325361552211</t>
  </si>
  <si>
    <t>-423.114608509679 229.023110369971 -499.354935531478</t>
  </si>
  <si>
    <t>-216.269951768463 234.935670183876 -341.803756252513</t>
  </si>
  <si>
    <t>-568.857685300841 163.820079348912 -241.830381734158</t>
  </si>
  <si>
    <t>-550.154112529078 221.132887594049 209.858724408536</t>
  </si>
  <si>
    <t>-634.545601811853 249.637850317694 671.305389541425</t>
  </si>
  <si>
    <t>-481.045824681088 244.242140536581 757.050497373152</t>
  </si>
  <si>
    <t>-611.421132225918 -10.1611800805407 220.837804959998</t>
  </si>
  <si>
    <t>-656.422908810584 2.62030596084056 688.400005216091</t>
  </si>
  <si>
    <t>-501.675693366323 -43.9815059200528 757.862925907458</t>
  </si>
  <si>
    <t>9763-20170724T164217.094451300.bin</t>
  </si>
  <si>
    <t>-582.674930032246 64.7829600328093 -237.974340640072</t>
  </si>
  <si>
    <t>-606.383655935776 62.5929101343999 -356.721596118566</t>
  </si>
  <si>
    <t>-614.239589761919 51.1105938110861 -477.125151547572</t>
  </si>
  <si>
    <t>-614.822255592321 36.8899927473687 -585.717449064081</t>
  </si>
  <si>
    <t>-609.039544706107 18.8093882226868 -693.580714408192</t>
  </si>
  <si>
    <t>-594.992526365362 33.3002952613933 -781.983502257368</t>
  </si>
  <si>
    <t>-562.563934447593 176.700899825454 -778.816584465545</t>
  </si>
  <si>
    <t>-420.584627152008 228.495759132004 -500.706281205034</t>
  </si>
  <si>
    <t>-214.646667826147 233.802401389376 -341.950350500211</t>
  </si>
  <si>
    <t>-570.262465326844 163.329807722672 -241.56992697505</t>
  </si>
  <si>
    <t>-550.089636683591 221.192748380329 209.98580505949</t>
  </si>
  <si>
    <t>-634.994119623429 249.214189223273 671.373656139343</t>
  </si>
  <si>
    <t>-481.198696479336 244.351807746061 756.61948748682</t>
  </si>
  <si>
    <t>-609.664671926189 -10.1059079823168 221.176934401761</t>
  </si>
  <si>
    <t>-656.355879072948 2.38503089433683 688.458769951979</t>
  </si>
  <si>
    <t>-501.437579302193 -43.2073918551116 758.209564944464</t>
  </si>
  <si>
    <t>9763-20170724T164217.121020300.bin</t>
  </si>
  <si>
    <t>-582.636637592988 63.9423354859374 -237.870791082898</t>
  </si>
  <si>
    <t>-606.733552790251 61.6309218135986 -356.537679852367</t>
  </si>
  <si>
    <t>-614.78375866242 50.1981726347231 -476.932968992443</t>
  </si>
  <si>
    <t>-615.466703149958 36.0779873919857 -585.537898185653</t>
  </si>
  <si>
    <t>-609.712194291658 18.1449113837803 -693.427238360072</t>
  </si>
  <si>
    <t>-595.655280203203 32.7839270120029 -781.804053264666</t>
  </si>
  <si>
    <t>-563.360538159538 176.212061725183 -778.456212180036</t>
  </si>
  <si>
    <t>-420.111863170804 227.072865075496 -500.824907665345</t>
  </si>
  <si>
    <t>-213.878893312275 231.954121373379 -342.438743118103</t>
  </si>
  <si>
    <t>-570.824970312211 162.607915547963 -241.506318636457</t>
  </si>
  <si>
    <t>-549.910758994714 221.154948481209 209.927572966811</t>
  </si>
  <si>
    <t>-635.112269694745 248.913627948892 671.221353388515</t>
  </si>
  <si>
    <t>-481.251721887987 244.59586154795 756.378853074176</t>
  </si>
  <si>
    <t>-609.362499785814 -10.78441399366 221.290031372638</t>
  </si>
  <si>
    <t>-656.397321338575 1.96983584312409 688.541325855296</t>
  </si>
  <si>
    <t>-501.31227933519 -42.6371097731432 758.558249283805</t>
  </si>
  <si>
    <t>9763-20170724T164217.189717500.bin</t>
  </si>
  <si>
    <t>-582.220005546071 61.8505132208631 -237.37030029196</t>
  </si>
  <si>
    <t>-606.095953156663 59.5552516473869 -356.082019963186</t>
  </si>
  <si>
    <t>-614.064812246217 48.4378171545296 -476.512285320336</t>
  </si>
  <si>
    <t>-614.733946405859 34.7145450923125 -585.168195114068</t>
  </si>
  <si>
    <t>-609.026201722259 17.2829043397528 -693.142306336585</t>
  </si>
  <si>
    <t>-595.141323497713 32.4122556948152 -781.463622935574</t>
  </si>
  <si>
    <t>-563.212620932102 175.911263090474 -777.630536605068</t>
  </si>
  <si>
    <t>-416.733227803458 224.729464332859 -501.321455989739</t>
  </si>
  <si>
    <t>-209.976242825758 228.253570701063 -343.583670136468</t>
  </si>
  <si>
    <t>-570.97025985725 160.438033113401 -240.956307806074</t>
  </si>
  <si>
    <t>-549.126561433849 220.946779960913 210.174723559309</t>
  </si>
  <si>
    <t>-635.443779411582 248.323073041029 671.220061691369</t>
  </si>
  <si>
    <t>-481.360206053635 245.035075355914 756.019608411849</t>
  </si>
  <si>
    <t>-608.310837563418 -12.2467317849702 221.575741271397</t>
  </si>
  <si>
    <t>-656.547512419095 1.49900663100707 688.648359760089</t>
  </si>
  <si>
    <t>-501.512514717995 -42.9373271559391 758.884251473091</t>
  </si>
  <si>
    <t>9763-20170724T164217.223817700.bin</t>
  </si>
  <si>
    <t>-581.557182250208 60.8935431597295 -237.174426104309</t>
  </si>
  <si>
    <t>-605.302099142611 58.649394644713 -355.913414889488</t>
  </si>
  <si>
    <t>-613.240696717579 47.7134534624011 -476.36236387622</t>
  </si>
  <si>
    <t>-613.922904870101 34.2060608264056 -585.045079533884</t>
  </si>
  <si>
    <t>-608.267628817556 17.040992716668 -693.064551324606</t>
  </si>
  <si>
    <t>-594.485318719623 32.4263066913318 -781.357865080364</t>
  </si>
  <si>
    <t>-562.762283080269 175.94636227379 -777.271788853979</t>
  </si>
  <si>
    <t>-414.85716641944 223.364175910529 -501.478671847472</t>
  </si>
  <si>
    <t>-207.577730563312 226.902947084406 -344.428563749353</t>
  </si>
  <si>
    <t>-570.480662545693 159.383621272693 -240.741983049369</t>
  </si>
  <si>
    <t>-548.659699969405 220.370684352496 210.325750291251</t>
  </si>
  <si>
    <t>-635.556739729703 248.059128955271 671.191713198553</t>
  </si>
  <si>
    <t>-481.412232821692 245.164135109161 755.894788752704</t>
  </si>
  <si>
    <t>-607.5951674894 -12.7792489217012 221.706074953511</t>
  </si>
  <si>
    <t>-656.62684250626 1.46998376122262 688.651366810235</t>
  </si>
  <si>
    <t>-501.541714276727 -42.9083422895876 758.813183669564</t>
  </si>
  <si>
    <t>9763-20170724T164217.286003500.bin</t>
  </si>
  <si>
    <t>-579.851947155526 59.4420768081398 -237.151660184118</t>
  </si>
  <si>
    <t>-603.597256450856 57.2155092603257 -355.890942266801</t>
  </si>
  <si>
    <t>-611.57620337351 46.6433737726552 -476.369721798993</t>
  </si>
  <si>
    <t>-612.306480299532 33.6046137368625 -585.10936009753</t>
  </si>
  <si>
    <t>-606.707330281306 17.0466659512669 -693.22648557627</t>
  </si>
  <si>
    <t>-593.061438100467 33.0302464777381 -781.434702797751</t>
  </si>
  <si>
    <t>-561.54971071965 176.586851868546 -776.802216657206</t>
  </si>
  <si>
    <t>-410.206714263826 221.535226507193 -502.464740797299</t>
  </si>
  <si>
    <t>-202.761599296323 225.149770868271 -345.635233488644</t>
  </si>
  <si>
    <t>-569.116803602827 157.948694971487 -240.660591542705</t>
  </si>
  <si>
    <t>-547.667761383267 219.374042399022 210.365514002508</t>
  </si>
  <si>
    <t>-635.630574821095 247.648531817049 671.0064825563</t>
  </si>
  <si>
    <t>-481.50534870144 245.115285494486 755.756183751034</t>
  </si>
  <si>
    <t>-605.920183598293 -13.3588452165316 221.774347117753</t>
  </si>
  <si>
    <t>-656.666594807897 1.65402011338022 688.603338635949</t>
  </si>
  <si>
    <t>-501.697741788234 -43.4689614875173 758.5467116954</t>
  </si>
  <si>
    <t>9763-20170724T164217.323614300.bin</t>
  </si>
  <si>
    <t>-579.02488414289 58.7069776188839 -236.991988434254</t>
  </si>
  <si>
    <t>-602.40163747623 56.5320186197542 -355.805338512672</t>
  </si>
  <si>
    <t>-610.249621381109 46.126301950259 -476.307174244524</t>
  </si>
  <si>
    <t>-610.957448204514 33.2868099239053 -585.070666569678</t>
  </si>
  <si>
    <t>-605.430097106728 16.9777678774391 -693.229357894813</t>
  </si>
  <si>
    <t>-591.908612611098 33.1980298725738 -781.413470058004</t>
  </si>
  <si>
    <t>-560.328389754083 176.746810899998 -776.619097012732</t>
  </si>
  <si>
    <t>-407.619515165743 220.429788386802 -502.834588109404</t>
  </si>
  <si>
    <t>-200.424556463803 223.981567746693 -345.673226678369</t>
  </si>
  <si>
    <t>-568.217704825367 157.096011175063 -240.486454477481</t>
  </si>
  <si>
    <t>-546.948664844432 218.933766319271 210.491765611533</t>
  </si>
  <si>
    <t>-635.641658355141 247.467761769452 670.924694578026</t>
  </si>
  <si>
    <t>-481.543136972848 245.120406870792 755.728321026858</t>
  </si>
  <si>
    <t>-605.46815742341 -13.7465220337278 221.790069948424</t>
  </si>
  <si>
    <t>-656.702725095554 1.69462493071515 688.561755181319</t>
  </si>
  <si>
    <t>-502.059962980302 -44.6688391044031 758.415590649588</t>
  </si>
  <si>
    <t>9763-20170724T164217.389297300.bin</t>
  </si>
  <si>
    <t>-576.72361605145 57.2384590718583 -236.862809059508</t>
  </si>
  <si>
    <t>-599.783630738493 55.1137652125639 -355.738914672835</t>
  </si>
  <si>
    <t>-607.620418090093 44.94653481835 -476.261869717494</t>
  </si>
  <si>
    <t>-608.441479655071 32.3988067188388 -585.058584506336</t>
  </si>
  <si>
    <t>-603.148894317599 16.4570526317505 -693.283894487971</t>
  </si>
  <si>
    <t>-589.883498597359 33.0226660724133 -781.442564108882</t>
  </si>
  <si>
    <t>-558.366215752087 176.557421243792 -776.341296114606</t>
  </si>
  <si>
    <t>-404.087181970625 218.077716486192 -503.10097442262</t>
  </si>
  <si>
    <t>-196.703915417031 221.96469286518 -346.19605016571</t>
  </si>
  <si>
    <t>-565.922034965279 155.157940005514 -240.145667204676</t>
  </si>
  <si>
    <t>-545.037471988775 218.31361417203 210.667929849252</t>
  </si>
  <si>
    <t>-635.648349488651 247.149111727518 670.724693910208</t>
  </si>
  <si>
    <t>-481.597736890837 245.218448729282 755.625756925131</t>
  </si>
  <si>
    <t>-604.383518510707 -14.3702578216423 221.813642311857</t>
  </si>
  <si>
    <t>-656.618391672582 2.01665867731871 688.498721999201</t>
  </si>
  <si>
    <t>-502.203898155219 -45.3824249955887 758.162367158217</t>
  </si>
  <si>
    <t>9763-20170724T164217.421883700.bin</t>
  </si>
  <si>
    <t>-575.567485536616 56.6025500568237 -236.747174850391</t>
  </si>
  <si>
    <t>-598.25679944792 54.518301479342 -355.695257076627</t>
  </si>
  <si>
    <t>-605.954059079345 44.4337869356386 -476.234148247787</t>
  </si>
  <si>
    <t>-606.743223286006 31.9804838460254 -585.041980145196</t>
  </si>
  <si>
    <t>-601.512054296413 16.1539804468424 -693.287140052916</t>
  </si>
  <si>
    <t>-588.351464113691 32.8268911826564 -781.441345799822</t>
  </si>
  <si>
    <t>-556.890920253038 176.38887091428 -776.265206758693</t>
  </si>
  <si>
    <t>-402.137407517888 217.368602837824 -503.211784294906</t>
  </si>
  <si>
    <t>-194.938181828291 221.047917707989 -346.059061357145</t>
  </si>
  <si>
    <t>-564.708595496641 154.481016632018 -240.039586942597</t>
  </si>
  <si>
    <t>-543.815316595043 218.00027081552 210.72249399344</t>
  </si>
  <si>
    <t>-635.59557011281 246.95761113974 670.545375420807</t>
  </si>
  <si>
    <t>-481.612676418442 245.308344645721 755.575192837234</t>
  </si>
  <si>
    <t>-603.725990514944 -14.5443179098131 221.830348380881</t>
  </si>
  <si>
    <t>-656.540030935186 2.25867861120523 688.461225614173</t>
  </si>
  <si>
    <t>-501.996723992137 -44.8514652554575 758.034868114391</t>
  </si>
  <si>
    <t>9763-20170724T164217.492183900.bin</t>
  </si>
  <si>
    <t>-573.090468091076 55.7069311290917 -236.542026855714</t>
  </si>
  <si>
    <t>-595.420124962192 53.532682127383 -355.556621523948</t>
  </si>
  <si>
    <t>-603.048500199859 43.4482416653269 -476.099876393591</t>
  </si>
  <si>
    <t>-603.893579863922 31.033911682534 -584.911715313367</t>
  </si>
  <si>
    <t>-598.835247079484 15.2858238535551 -693.17645333761</t>
  </si>
  <si>
    <t>-585.8920837918 32.0482068263707 -781.346016661632</t>
  </si>
  <si>
    <t>-554.49403676366 175.615266607232 -776.234040029634</t>
  </si>
  <si>
    <t>-398.789876879999 215.787662247839 -503.601234295206</t>
  </si>
  <si>
    <t>-192.540293056278 220.280232849989 -345.225221866581</t>
  </si>
  <si>
    <t>-562.285670600594 153.015814061782 -239.841247541329</t>
  </si>
  <si>
    <t>-542.073417099309 217.765260778593 210.776900230323</t>
  </si>
  <si>
    <t>-635.500533476291 246.619394368792 670.230975491163</t>
  </si>
  <si>
    <t>-481.65662298157 245.488239872653 755.520451806943</t>
  </si>
  <si>
    <t>-601.992536658852 -14.5444952149229 221.988974534453</t>
  </si>
  <si>
    <t>-656.303742877599 2.81178341183087 688.42521723779</t>
  </si>
  <si>
    <t>-501.456262182889 -43.5782789846645 757.8062938992</t>
  </si>
  <si>
    <t>9763-20170724T164217.525275600.bin</t>
  </si>
  <si>
    <t>-571.780271853192 55.1375225262601 -236.506280567874</t>
  </si>
  <si>
    <t>-594.113592504857 52.9800582171249 -355.520362788376</t>
  </si>
  <si>
    <t>-601.838940342764 42.9147539163819 -476.059230177032</t>
  </si>
  <si>
    <t>-602.809459977257 30.5187326441598 -584.872142296879</t>
  </si>
  <si>
    <t>-597.913993310407 14.7898118796794 -693.147052111676</t>
  </si>
  <si>
    <t>-585.130997010618 31.5689038612302 -781.336840389002</t>
  </si>
  <si>
    <t>-553.855862662149 175.168302151862 -776.274873685326</t>
  </si>
  <si>
    <t>-397.662169082549 214.89307585337 -503.856687089641</t>
  </si>
  <si>
    <t>-192.069883199639 219.813477006334 -344.640862702295</t>
  </si>
  <si>
    <t>-561.094489998452 152.255369536752 -239.717872096391</t>
  </si>
  <si>
    <t>-541.118862595568 217.80158907309 210.795441137018</t>
  </si>
  <si>
    <t>-635.492020009375 246.49165884603 670.084521484499</t>
  </si>
  <si>
    <t>-481.707064799891 245.582988524847 755.482798363846</t>
  </si>
  <si>
    <t>-601.019141562802 -14.6579653172513 222.044297103935</t>
  </si>
  <si>
    <t>-656.25715090507 2.83756040579485 688.396309160213</t>
  </si>
  <si>
    <t>-501.83500478207 -44.9551909101029 757.773288538268</t>
  </si>
  <si>
    <t>9763-20170724T164217.589447700.bin</t>
  </si>
  <si>
    <t>-569.533848177144 54.3796787235053 -236.212133450455</t>
  </si>
  <si>
    <t>-591.458795047025 52.1308337645794 -355.300505760244</t>
  </si>
  <si>
    <t>-599.146445239859 41.982153738801 -475.834623034425</t>
  </si>
  <si>
    <t>-600.233547626536 29.5182395752738 -584.638627338583</t>
  </si>
  <si>
    <t>-595.604481327372 13.730673691352 -692.916847640817</t>
  </si>
  <si>
    <t>-583.157856528513 30.4725239019063 -781.161661472492</t>
  </si>
  <si>
    <t>-552.064962882838 174.122266266901 -776.355779154717</t>
  </si>
  <si>
    <t>-395.006555383566 213.543958700074 -504.391097509396</t>
  </si>
  <si>
    <t>-190.410411487103 219.856296901923 -343.946158515438</t>
  </si>
  <si>
    <t>-558.868132943509 151.196426609676 -239.538465372362</t>
  </si>
  <si>
    <t>-539.389591455003 217.766242203509 210.846514051975</t>
  </si>
  <si>
    <t>-635.461538477515 246.317559773616 669.785697610733</t>
  </si>
  <si>
    <t>-481.782764356776 245.789440020204 755.378176109114</t>
  </si>
  <si>
    <t>-599.437741105743 -14.8023508695406 222.24615081781</t>
  </si>
  <si>
    <t>-656.155339873124 2.88747032312835 688.370739513252</t>
  </si>
  <si>
    <t>-502.190600917384 -46.4124766148811 757.709720927637</t>
  </si>
  <si>
    <t>9763-20170724T164217.622041100.bin</t>
  </si>
  <si>
    <t>-568.534903822478 53.9829612067426 -236.199539223559</t>
  </si>
  <si>
    <t>-590.467264499332 51.8091882232877 -355.288080065765</t>
  </si>
  <si>
    <t>-598.230083729042 41.6575079531695 -475.817053881735</t>
  </si>
  <si>
    <t>-599.411521963638 29.1627376311558 -584.616642047186</t>
  </si>
  <si>
    <t>-594.902110394056 13.3182562583175 -692.891491144829</t>
  </si>
  <si>
    <t>-582.576181854958 29.9997388877166 -781.164702387564</t>
  </si>
  <si>
    <t>-551.542435981917 173.660266914357 -776.483596282474</t>
  </si>
  <si>
    <t>-394.337083654647 213.205026168226 -504.6217439844</t>
  </si>
  <si>
    <t>-190.068740310158 219.873589466634 -343.773903771665</t>
  </si>
  <si>
    <t>-557.928094827877 150.666666618237 -239.487637132838</t>
  </si>
  <si>
    <t>-538.474680178316 217.730193084136 210.825199315672</t>
  </si>
  <si>
    <t>-635.395563829887 246.294789028908 669.588007779819</t>
  </si>
  <si>
    <t>-481.813635515411 245.925213390271 755.354957591453</t>
  </si>
  <si>
    <t>-599.084201082349 -14.913256389636 222.244018842854</t>
  </si>
  <si>
    <t>-656.110217720853 2.94192306762696 688.344252558126</t>
  </si>
  <si>
    <t>-502.032206356331 -46.0223717034904 757.669379044043</t>
  </si>
  <si>
    <t>9763-20170724T164217.689722100.bin</t>
  </si>
  <si>
    <t>-566.798915245452 53.3689263247164 -236.205866687715</t>
  </si>
  <si>
    <t>-588.407713892773 51.0496826392738 -355.350668248503</t>
  </si>
  <si>
    <t>-596.136665980341 40.7312309226543 -475.867712801677</t>
  </si>
  <si>
    <t>-597.402112965413 28.0865016551388 -584.648975273241</t>
  </si>
  <si>
    <t>-593.088339762862 12.0981510067103 -692.910788129566</t>
  </si>
  <si>
    <t>-580.998501527198 28.6693628304453 -781.237447309096</t>
  </si>
  <si>
    <t>-549.980255508134 172.336236535687 -776.719555084525</t>
  </si>
  <si>
    <t>-392.50570067769 212.6275840916 -505.123221973036</t>
  </si>
  <si>
    <t>-188.305685449327 219.581128065975 -344.200655641412</t>
  </si>
  <si>
    <t>-555.687043233887 149.881161660476 -239.660275417578</t>
  </si>
  <si>
    <t>-537.029850349297 217.622172459259 210.584976167545</t>
  </si>
  <si>
    <t>-635.073533612936 246.187556377975 669.063554723735</t>
  </si>
  <si>
    <t>-481.784907925199 246.010994911512 755.354190649502</t>
  </si>
  <si>
    <t>-598.375193077865 -15.2483260185735 222.286987449761</t>
  </si>
  <si>
    <t>-656.068855985798 2.90508504712706 688.300530806898</t>
  </si>
  <si>
    <t>-502.349481730244 -47.1608840767636 757.634961789735</t>
  </si>
  <si>
    <t>9763-20170724T164217.722314800.bin</t>
  </si>
  <si>
    <t>-566.101329350308 52.7536100043663 -236.26482638953</t>
  </si>
  <si>
    <t>-587.768688797365 50.4792198018568 -355.399879619861</t>
  </si>
  <si>
    <t>-595.538515848566 40.1422729113949 -475.912722950485</t>
  </si>
  <si>
    <t>-596.831509512063 27.4592536375378 -584.689155781493</t>
  </si>
  <si>
    <t>-592.534635630097 11.4136394324868 -692.943115508299</t>
  </si>
  <si>
    <t>-580.463088784061 27.9296564727139 -781.282572035145</t>
  </si>
  <si>
    <t>-549.409896686819 171.595968027447 -776.863754298132</t>
  </si>
  <si>
    <t>-391.630781862863 212.130901221858 -505.480477034021</t>
  </si>
  <si>
    <t>-187.649367659686 219.175466207474 -344.284795345239</t>
  </si>
  <si>
    <t>-555.005883481334 149.264634144772 -239.695966976326</t>
  </si>
  <si>
    <t>-536.454947293225 217.511713172018 210.477231217757</t>
  </si>
  <si>
    <t>-634.910611112282 246.143429589511 668.834644977503</t>
  </si>
  <si>
    <t>-481.767765612107 246.06722064563 755.383951798262</t>
  </si>
  <si>
    <t>-598.211348350596 -15.4976474240493 222.26999906987</t>
  </si>
  <si>
    <t>-656.043325109534 2.98464377836713 688.2688770098</t>
  </si>
  <si>
    <t>-502.095014603799 -46.4132078875689 757.574601558954</t>
  </si>
  <si>
    <t>9763-20170724T164217.790893900.bin</t>
  </si>
  <si>
    <t>-565.379699688752 51.972522234603 -236.329193165057</t>
  </si>
  <si>
    <t>-586.750522364252 49.4332136180166 -355.512431552331</t>
  </si>
  <si>
    <t>-594.334249889936 38.8170758671854 -476.012866062063</t>
  </si>
  <si>
    <t>-595.506588896296 25.8758165260284 -584.760208619963</t>
  </si>
  <si>
    <t>-591.138222706349 9.56594515348675 -692.971850480866</t>
  </si>
  <si>
    <t>-579.002716776466 25.8550314936477 -781.344656365288</t>
  </si>
  <si>
    <t>-547.776330726472 169.495139376181 -777.254786473656</t>
  </si>
  <si>
    <t>-389.17368767386 210.439676227265 -506.413671030604</t>
  </si>
  <si>
    <t>-185.590987786604 217.958435417911 -344.736316715573</t>
  </si>
  <si>
    <t>-554.198443217735 148.38470277205 -240.009680036158</t>
  </si>
  <si>
    <t>-536.209716357125 217.036508466407 210.124715863749</t>
  </si>
  <si>
    <t>-634.667103792496 246.007527615105 668.515455953089</t>
  </si>
  <si>
    <t>-481.769700294991 246.167414916752 755.497383994632</t>
  </si>
  <si>
    <t>-598.016059776381 -15.9987017838536 222.278889208389</t>
  </si>
  <si>
    <t>-656.042017622425 3.02101016928486 688.223935412946</t>
  </si>
  <si>
    <t>-501.895175765918 -45.8481445302366 757.463099013801</t>
  </si>
  <si>
    <t>9763-20170724T164217.823494400.bin</t>
  </si>
  <si>
    <t>-565.180312185811 51.3078017762934 -236.415845175541</t>
  </si>
  <si>
    <t>-586.691891522431 48.6577085122017 -355.571422968511</t>
  </si>
  <si>
    <t>-594.324558699539 37.9547254571049 -476.060940812847</t>
  </si>
  <si>
    <t>-595.507540650986 24.9373069316938 -584.799210121267</t>
  </si>
  <si>
    <t>-591.118971553031 8.54919644510773 -692.998162903533</t>
  </si>
  <si>
    <t>-578.912388047991 24.764461030392 -781.374826972832</t>
  </si>
  <si>
    <t>-547.557725727497 168.377975573817 -777.414636763647</t>
  </si>
  <si>
    <t>-388.507238801448 209.429621927744 -506.852397286752</t>
  </si>
  <si>
    <t>-185.187247879742 217.469166396831 -344.869580635936</t>
  </si>
  <si>
    <t>-554.251339934712 147.8264620267 -240.093964721931</t>
  </si>
  <si>
    <t>-536.708970581753 216.742682325081 210.017744879855</t>
  </si>
  <si>
    <t>-634.65357909954 245.939492423455 668.485022244718</t>
  </si>
  <si>
    <t>-481.794628533133 246.326890626473 755.533845500311</t>
  </si>
  <si>
    <t>-597.924233804645 -16.3630959166803 222.27437411924</t>
  </si>
  <si>
    <t>-656.060008221668 2.94491522604316 688.211332321378</t>
  </si>
  <si>
    <t>-501.980633246476 -46.1338856951394 757.452459793324</t>
  </si>
  <si>
    <t>9763-20170724T164217.892182100.bin</t>
  </si>
  <si>
    <t>-565.514817358086 50.2863577649285 -236.309455592334</t>
  </si>
  <si>
    <t>-586.729924688216 47.49963576697 -355.515065211136</t>
  </si>
  <si>
    <t>-594.144102540654 36.6925903586725 -476.009066316581</t>
  </si>
  <si>
    <t>-595.166802971735 23.5881184725907 -584.738348615778</t>
  </si>
  <si>
    <t>-590.658512562808 7.11561976237689 -692.919631306918</t>
  </si>
  <si>
    <t>-578.381503155601 23.2611047947336 -781.29925201982</t>
  </si>
  <si>
    <t>-546.97142876733 166.857807395895 -777.405221462097</t>
  </si>
  <si>
    <t>-387.474662092853 207.708245378932 -507.075545150104</t>
  </si>
  <si>
    <t>-184.359575496786 216.407165025146 -344.869887778501</t>
  </si>
  <si>
    <t>-555.098643431632 146.61791147413 -239.941324775474</t>
  </si>
  <si>
    <t>-537.614141942607 216.311353143149 210.052878090837</t>
  </si>
  <si>
    <t>-634.848045347116 245.848661898575 668.703751073864</t>
  </si>
  <si>
    <t>-481.88265694742 246.638608569661 755.562787437084</t>
  </si>
  <si>
    <t>-598.099134380863 -17.2540686960748 222.333636747786</t>
  </si>
  <si>
    <t>-656.109375820673 2.8311534355193 688.20358586273</t>
  </si>
  <si>
    <t>-501.918746173434 -45.9589850777434 757.400956111613</t>
  </si>
  <si>
    <t>9763-20170724T164217.923265600.bin</t>
  </si>
  <si>
    <t>-565.758469968494 49.6474510989981 -236.243436507551</t>
  </si>
  <si>
    <t>-586.958182221415 46.8050410174744 -355.450423860396</t>
  </si>
  <si>
    <t>-594.311765952484 35.9772379803671 -475.946279897426</t>
  </si>
  <si>
    <t>-595.262171593411 22.8667198832871 -584.675497131241</t>
  </si>
  <si>
    <t>-590.664384655539 6.3996621518757 -692.853930821261</t>
  </si>
  <si>
    <t>-578.327372784031 22.5601334188116 -781.222329726224</t>
  </si>
  <si>
    <t>-547.082569100402 166.201098375834 -777.324948734969</t>
  </si>
  <si>
    <t>-387.441274714609 207.173539185011 -507.098968784992</t>
  </si>
  <si>
    <t>-184.239288075736 215.869019411882 -345.002072836087</t>
  </si>
  <si>
    <t>-555.410123282591 146.027409271062 -239.888840128175</t>
  </si>
  <si>
    <t>-538.121321836803 216.023846265458 210.065950589813</t>
  </si>
  <si>
    <t>-634.9787663776 245.889276802391 668.807691476996</t>
  </si>
  <si>
    <t>-481.919275910197 246.657810008173 755.50075894762</t>
  </si>
  <si>
    <t>-598.641791537581 -17.740676225149 222.315055418259</t>
  </si>
  <si>
    <t>-656.139963094758 2.74406249734909 688.212538526938</t>
  </si>
  <si>
    <t>-501.787925117173 -45.5480874758928 757.399415912273</t>
  </si>
  <si>
    <t>9763-20170724T164217.991459600.bin</t>
  </si>
  <si>
    <t>-566.615020973171 48.4155045528317 -236.170236394438</t>
  </si>
  <si>
    <t>-587.72257592827 45.6942876215787 -355.39635374668</t>
  </si>
  <si>
    <t>-594.955301083391 34.9739794605663 -475.909075923992</t>
  </si>
  <si>
    <t>-595.781861412436 21.9606802515855 -584.651103005422</t>
  </si>
  <si>
    <t>-591.043908536599 5.59427814451396 -692.838602202774</t>
  </si>
  <si>
    <t>-578.648786639824 21.8523866686265 -781.181114229466</t>
  </si>
  <si>
    <t>-547.798790979893 165.577602978192 -777.255255609965</t>
  </si>
  <si>
    <t>-388.103253208071 206.51450465155 -507.055961513003</t>
  </si>
  <si>
    <t>-184.796612890351 215.323795119159 -345.096478984445</t>
  </si>
  <si>
    <t>-556.349217698212 145.050086610668 -239.74816769287</t>
  </si>
  <si>
    <t>-538.691508635657 215.497941293377 210.121866159899</t>
  </si>
  <si>
    <t>-635.191006075735 245.969838682813 668.941286091602</t>
  </si>
  <si>
    <t>-481.976489275749 246.571696926353 755.361560926082</t>
  </si>
  <si>
    <t>-600.054036972405 -19.047328526931 222.293119050421</t>
  </si>
  <si>
    <t>-656.260304838099 2.54330591276056 688.238406204562</t>
  </si>
  <si>
    <t>-501.81447202414 -45.5257101305198 757.371302309469</t>
  </si>
  <si>
    <t>9763-20170724T164218.021543200.bin</t>
  </si>
  <si>
    <t>-566.963106248619 47.7824698711352 -236.147629086632</t>
  </si>
  <si>
    <t>-588.166389641338 45.1278335919466 -355.358342540804</t>
  </si>
  <si>
    <t>-595.429498025018 34.4379564413769 -475.871967752494</t>
  </si>
  <si>
    <t>-596.255183447926 21.4402243527681 -584.615749425812</t>
  </si>
  <si>
    <t>-591.486815869373 5.07933931430321 -692.802857717007</t>
  </si>
  <si>
    <t>-579.054055970508 21.3378338825489 -781.139974369222</t>
  </si>
  <si>
    <t>-548.341890091619 165.107506470155 -777.193768273775</t>
  </si>
  <si>
    <t>-388.640309692202 206.003622920857 -506.991856946554</t>
  </si>
  <si>
    <t>-185.3196040475 214.8279151661 -345.050948389913</t>
  </si>
  <si>
    <t>-556.461498001693 144.497278133271 -239.692445272997</t>
  </si>
  <si>
    <t>-538.519480572852 215.257751969152 210.117259012001</t>
  </si>
  <si>
    <t>-635.2662852091 246.001872489777 668.890146073832</t>
  </si>
  <si>
    <t>-482.012704202025 246.510307681955 755.241762037187</t>
  </si>
  <si>
    <t>-600.647808318113 -19.5685767871692 222.264645865217</t>
  </si>
  <si>
    <t>-656.290974470775 2.55076995319675 688.244992360383</t>
  </si>
  <si>
    <t>-501.660588932867 -44.9848959646184 757.334153158934</t>
  </si>
  <si>
    <t>9763-20170724T164218.090572900.bin</t>
  </si>
  <si>
    <t>-567.279833952753 46.4414740171316 -236.041146234009</t>
  </si>
  <si>
    <t>-588.358686887423 44.0082490883709 -355.278473736223</t>
  </si>
  <si>
    <t>-595.517429507831 33.4132682984446 -475.80673723814</t>
  </si>
  <si>
    <t>-596.255174774932 20.4551076651725 -584.556023958884</t>
  </si>
  <si>
    <t>-591.404258123368 4.09154104455955 -692.738986929886</t>
  </si>
  <si>
    <t>-578.841862295719 20.3133545369763 -781.064465271898</t>
  </si>
  <si>
    <t>-548.025820037368 164.037256512614 -777.14814009259</t>
  </si>
  <si>
    <t>-388.516746341839 205.349202653223 -506.895771533007</t>
  </si>
  <si>
    <t>-185.309694250393 213.990348658641 -344.802369049399</t>
  </si>
  <si>
    <t>-556.220314040321 143.181341119724 -239.538808250293</t>
  </si>
  <si>
    <t>-537.617998112309 214.77567400047 210.112006034615</t>
  </si>
  <si>
    <t>-635.251318637988 246.032008592762 668.625480109963</t>
  </si>
  <si>
    <t>-482.022068656282 246.344188563283 755.021041075885</t>
  </si>
  <si>
    <t>-601.289520796121 -20.7485265499778 222.249590787667</t>
  </si>
  <si>
    <t>-656.366168129666 2.39897248871218 688.264040001021</t>
  </si>
  <si>
    <t>-501.866865334161 -45.6076482527102 757.321003280327</t>
  </si>
  <si>
    <t>9763-20170724T164218.122664600.bin</t>
  </si>
  <si>
    <t>-567.264059245147 45.8009337748545 -235.954095738389</t>
  </si>
  <si>
    <t>-588.482859397498 43.5328450513243 -355.170038042336</t>
  </si>
  <si>
    <t>-595.709034702802 33.0252821209422 -475.701989139003</t>
  </si>
  <si>
    <t>-596.476599757542 20.116518974289 -584.456815755076</t>
  </si>
  <si>
    <t>-591.623693282197 3.77464224723951 -692.643065739101</t>
  </si>
  <si>
    <t>-578.993251151178 19.9905790102677 -780.959904200526</t>
  </si>
  <si>
    <t>-547.959140986336 163.668011157941 -777.015975879977</t>
  </si>
  <si>
    <t>-388.713426751384 205.274092546035 -506.653332871577</t>
  </si>
  <si>
    <t>-185.474329995228 213.915670350448 -344.600036438842</t>
  </si>
  <si>
    <t>-555.926550833115 142.609006412049 -239.37663214886</t>
  </si>
  <si>
    <t>-536.546458860229 214.721829780779 210.158411626463</t>
  </si>
  <si>
    <t>-635.22159842403 245.953473763635 668.443766714749</t>
  </si>
  <si>
    <t>-482.04711637527 246.395669871703 754.935945990038</t>
  </si>
  <si>
    <t>-601.433280082916 -21.256055916075 222.261811305658</t>
  </si>
  <si>
    <t>-656.39228805979 2.36312560669321 688.264407441614</t>
  </si>
  <si>
    <t>-502.110970144097 -46.3506033476196 757.313375356205</t>
  </si>
  <si>
    <t>9763-20170724T164218.188864500.bin</t>
  </si>
  <si>
    <t>-566.638229691841 44.7580308427148 -235.66069050377</t>
  </si>
  <si>
    <t>-588.262383179083 43.3971007576004 -354.817537044914</t>
  </si>
  <si>
    <t>-595.707599923625 33.3327588829011 -475.373913816213</t>
  </si>
  <si>
    <t>-596.591158944115 20.64673420034 -584.154072360076</t>
  </si>
  <si>
    <t>-591.769108606556 4.35815596655604 -692.349708874893</t>
  </si>
  <si>
    <t>-579.031121929983 20.5051471316488 -780.663857029938</t>
  </si>
  <si>
    <t>-547.875072597568 164.152822537743 -776.77233560199</t>
  </si>
  <si>
    <t>-389.075206089037 206.310800698912 -506.232989710654</t>
  </si>
  <si>
    <t>-185.911001226962 214.895723094885 -344.082835605227</t>
  </si>
  <si>
    <t>-553.939648714568 141.885164896201 -238.758652842314</t>
  </si>
  <si>
    <t>-530.325933434916 215.195024513854 210.38022561897</t>
  </si>
  <si>
    <t>-634.503480410715 245.344446031263 667.218831792543</t>
  </si>
  <si>
    <t>-482.005954352006 246.307005598586 754.894874766594</t>
  </si>
  <si>
    <t>-601.601163762756 -22.1417056349096 222.163573828408</t>
  </si>
  <si>
    <t>-656.398027493732 2.48635599788322 688.215415187879</t>
  </si>
  <si>
    <t>-501.456453473121 -44.3056994482475 757.11485607547</t>
  </si>
  <si>
    <t>9763-20170724T164218.222442100.bin</t>
  </si>
  <si>
    <t>-565.796838486769 43.8021056496225 -235.387814969153</t>
  </si>
  <si>
    <t>-587.765958818228 43.4891614265851 -354.488914443482</t>
  </si>
  <si>
    <t>-595.400971245776 33.944487436737 -475.07565957334</t>
  </si>
  <si>
    <t>-596.38259704316 21.5293760689569 -583.886251411076</t>
  </si>
  <si>
    <t>-591.580089014404 5.32490954883957 -692.09535435641</t>
  </si>
  <si>
    <t>-578.781898290073 21.4281909041265 -780.408828600986</t>
  </si>
  <si>
    <t>-547.591470165506 165.05657594331 -776.534776351604</t>
  </si>
  <si>
    <t>-389.328982666485 207.393319217902 -505.708553172175</t>
  </si>
  <si>
    <t>-186.25259750619 215.886215598489 -343.443609552253</t>
  </si>
  <si>
    <t>-552.043437923115 140.552121328171 -238.054027869253</t>
  </si>
  <si>
    <t>-523.482272092248 216.060827948852 210.432677634574</t>
  </si>
  <si>
    <t>-633.191976080994 244.805470751774 665.598738721522</t>
  </si>
  <si>
    <t>-481.769546114572 245.567811264073 755.120719639128</t>
  </si>
  <si>
    <t>-601.94468026549 -22.8903323857702 221.957920958991</t>
  </si>
  <si>
    <t>-656.406434221907 2.54384017690839 688.112635627292</t>
  </si>
  <si>
    <t>-501.457815189733 -44.293384032236 756.965351088784</t>
  </si>
  <si>
    <t>9763-20170724T164218.288123000.bin</t>
  </si>
  <si>
    <t>-565.188497935104 42.9282657444062 -234.407052463707</t>
  </si>
  <si>
    <t>-588.058009866264 45.4046017146819 -353.313065938908</t>
  </si>
  <si>
    <t>-596.022753919319 37.2203951120116 -473.978560039978</t>
  </si>
  <si>
    <t>-597.043639862469 25.4887611236789 -582.864578351741</t>
  </si>
  <si>
    <t>-592.009514982318 9.44806964755759 -691.087605391415</t>
  </si>
  <si>
    <t>-578.916330589981 25.3925513527882 -779.386495636754</t>
  </si>
  <si>
    <t>-548.132422533387 169.109071734578 -775.544375364029</t>
  </si>
  <si>
    <t>-391.432880698917 212.677250159517 -504.005721113255</t>
  </si>
  <si>
    <t>-189.008907991131 220.003550705571 -340.871132004813</t>
  </si>
  <si>
    <t>-549.671386029671 139.931446237241 -235.547587446064</t>
  </si>
  <si>
    <t>-500.261506059584 219.822091136097 210.360297667194</t>
  </si>
  <si>
    <t>-628.775906686466 242.081323050788 660.779711749432</t>
  </si>
  <si>
    <t>-480.916216086991 241.839314368385 756.073853104142</t>
  </si>
  <si>
    <t>-603.989707307742 -24.696459844273 221.343621675076</t>
  </si>
  <si>
    <t>-656.579046035265 2.29346780792497 687.821372890788</t>
  </si>
  <si>
    <t>-501.884224295472 -45.5174970623355 756.575570160407</t>
  </si>
  <si>
    <t>9763-20170724T164218.323726400.bin</t>
  </si>
  <si>
    <t>-565.466997388527 44.5923605664146 -233.889596186953</t>
  </si>
  <si>
    <t>-588.747751486064 48.3037048622922 -352.683709808271</t>
  </si>
  <si>
    <t>-596.753079349837 40.6676692820032 -473.382427396022</t>
  </si>
  <si>
    <t>-597.647167346724 29.1669767058425 -582.294153319974</t>
  </si>
  <si>
    <t>-592.317603843847 13.1043246690915 -690.499721213174</t>
  </si>
  <si>
    <t>-578.956838878663 28.8955053410882 -778.786136158972</t>
  </si>
  <si>
    <t>-548.627129595084 172.726424114068 -775.062404699535</t>
  </si>
  <si>
    <t>-393.282192602586 217.028558009263 -502.864979520783</t>
  </si>
  <si>
    <t>-191.050263257163 223.697870303908 -339.464256540116</t>
  </si>
  <si>
    <t>-549.290109981652 142.12534853359 -234.257829672819</t>
  </si>
  <si>
    <t>-487.641972481309 222.33068778041 210.066662747463</t>
  </si>
  <si>
    <t>-626.473679543376 238.223877386165 658.477254391924</t>
  </si>
  <si>
    <t>-480.403455080838 239.33211583903 756.486308764456</t>
  </si>
  <si>
    <t>-605.376853599899 -24.5684450192049 221.043805106177</t>
  </si>
  <si>
    <t>-656.617157567476 2.42249549558944 687.705979728126</t>
  </si>
  <si>
    <t>-501.443690301808 -43.9915105355444 756.338657743891</t>
  </si>
  <si>
    <t>9763-20170724T164218.391405300.bin</t>
  </si>
  <si>
    <t>-567.434673092158 46.8300506754846 -232.886899916206</t>
  </si>
  <si>
    <t>-590.84205021836 52.0325409607162 -351.600095787381</t>
  </si>
  <si>
    <t>-598.481339842256 44.8452806485353 -472.350172194673</t>
  </si>
  <si>
    <t>-598.822005879008 33.356724500489 -581.266381866804</t>
  </si>
  <si>
    <t>-592.70775088125 16.9353267201902 -689.376493848173</t>
  </si>
  <si>
    <t>-578.797952294651 32.2547432654179 -777.661168637129</t>
  </si>
  <si>
    <t>-549.66141969599 176.381877393974 -774.409783344693</t>
  </si>
  <si>
    <t>-397.399252851779 222.585292623677 -500.790199260007</t>
  </si>
  <si>
    <t>-195.446880740975 227.040439937653 -336.968886220834</t>
  </si>
  <si>
    <t>-551.731650849403 143.34903233748 -231.497114874266</t>
  </si>
  <si>
    <t>-464.073153111833 221.133331467408 208.869997337738</t>
  </si>
  <si>
    <t>-617.649134165093 219.929421930602 652.794892145863</t>
  </si>
  <si>
    <t>-474.544366733725 226.448808611959 754.88316507119</t>
  </si>
  <si>
    <t>-608.549572952832 -23.7278057566201 220.825210864446</t>
  </si>
  <si>
    <t>-656.47248028125 2.68331276117726 687.759420143091</t>
  </si>
  <si>
    <t>-501.428827098731 -44.1567919083476 756.395994070181</t>
  </si>
  <si>
    <t>9763-20170724T164218.424997700.bin</t>
  </si>
  <si>
    <t>-567.915473417162 47.8881329435216 -232.780651760123</t>
  </si>
  <si>
    <t>-591.129803909069 53.3443070861439 -351.520287159816</t>
  </si>
  <si>
    <t>-598.474708003421 46.0932117274595 -472.284834287284</t>
  </si>
  <si>
    <t>-598.500668341568 34.431308509157 -581.183250359154</t>
  </si>
  <si>
    <t>-592.019642550394 17.7302768368034 -689.229097574475</t>
  </si>
  <si>
    <t>-577.868152452542 32.7733626770999 -777.522802691275</t>
  </si>
  <si>
    <t>-549.237955247708 176.982722097501 -774.587331751389</t>
  </si>
  <si>
    <t>-398.737177408364 224.448427886571 -500.210282133281</t>
  </si>
  <si>
    <t>-197.365330550943 227.016732722343 -335.635475277711</t>
  </si>
  <si>
    <t>-551.96263498568 144.176564636397 -231.11136266099</t>
  </si>
  <si>
    <t>-453.733347753784 219.072996224447 207.522044744669</t>
  </si>
  <si>
    <t>-608.5730193476 212.158353276707 650.700067562444</t>
  </si>
  <si>
    <t>-466.128219340707 219.763180208115 753.632806273789</t>
  </si>
  <si>
    <t>-609.481229783715 -23.1360774930617 220.774715150115</t>
  </si>
  <si>
    <t>-656.366720702331 2.83910417212608 687.800671711676</t>
  </si>
  <si>
    <t>-501.360366877586 -44.0492442450857 756.48861635238</t>
  </si>
  <si>
    <t>9763-20170724T164218.489669800.bin</t>
  </si>
  <si>
    <t>-567.105875303477 52.2739780914807 -232.989379066201</t>
  </si>
  <si>
    <t>-590.062497841693 57.7602022034134 -351.77778988683</t>
  </si>
  <si>
    <t>-596.924810721412 50.1219855500834 -472.546817114775</t>
  </si>
  <si>
    <t>-596.405590260692 37.9707174895667 -581.390390831998</t>
  </si>
  <si>
    <t>-589.261755630669 20.661842849571 -689.298797320479</t>
  </si>
  <si>
    <t>-574.567739188245 35.153796427411 -777.596172580628</t>
  </si>
  <si>
    <t>-546.186320720862 179.404650974655 -775.381099208775</t>
  </si>
  <si>
    <t>-398.719910329184 229.761939397383 -499.874234542077</t>
  </si>
  <si>
    <t>-197.67703820163 230.058993568614 -334.878160893941</t>
  </si>
  <si>
    <t>-550.116489709135 148.739257996396 -231.469306889816</t>
  </si>
  <si>
    <t>-439.356095320337 209.900831805625 206.308039545512</t>
  </si>
  <si>
    <t>-578.63550954633 197.471320676407 654.645148096945</t>
  </si>
  <si>
    <t>-434.570482161566 196.141401402387 755.575860314443</t>
  </si>
  <si>
    <t>-609.620027097757 -20.2695687144806 220.791326464611</t>
  </si>
  <si>
    <t>-656.093500847867 2.94020006747778 687.945262459445</t>
  </si>
  <si>
    <t>-501.911384098299 -46.2698597718356 756.863734210489</t>
  </si>
  <si>
    <t>9763-20170724T164218.525275600.bin</t>
  </si>
  <si>
    <t>-566.010972054252 55.6094892593815 -233.336871656165</t>
  </si>
  <si>
    <t>-589.043736007776 60.8796541225313 -352.120340862523</t>
  </si>
  <si>
    <t>-595.851382783273 52.9616135238415 -472.874428284786</t>
  </si>
  <si>
    <t>-595.223274055946 40.5421849663753 -581.687036590892</t>
  </si>
  <si>
    <t>-587.907867689708 22.9575974695064 -689.539481578149</t>
  </si>
  <si>
    <t>-572.999914434783 37.2163284360024 -777.838883204624</t>
  </si>
  <si>
    <t>-544.340921919279 181.464213758505 -775.919340384548</t>
  </si>
  <si>
    <t>-398.513015872867 233.189629428673 -499.794454343482</t>
  </si>
  <si>
    <t>-198.211776591539 231.71905895989 -333.905202671624</t>
  </si>
  <si>
    <t>-548.489983113196 151.746473040254 -231.959316237277</t>
  </si>
  <si>
    <t>-435.382427229617 205.018933562557 206.248903125525</t>
  </si>
  <si>
    <t>-558.324745191357 190.061830094483 659.525487749423</t>
  </si>
  <si>
    <t>-412.811575980282 180.450687599703 757.897435672198</t>
  </si>
  <si>
    <t>-608.972933505226 -17.9098913026419 220.811848845037</t>
  </si>
  <si>
    <t>-655.850942378858 3.37599788766957 688.002526576167</t>
  </si>
  <si>
    <t>-501.1453880078 -44.1580034566597 756.924363860081</t>
  </si>
  <si>
    <t>9763-20170724T164218.590947700.bin</t>
  </si>
  <si>
    <t>-562.85388748461 62.9852471571354 -234.029466912531</t>
  </si>
  <si>
    <t>-586.214608267217 67.4522370065978 -352.781747039365</t>
  </si>
  <si>
    <t>-593.194756317992 58.7949154599819 -473.475227194177</t>
  </si>
  <si>
    <t>-592.652409341741 45.7461108592652 -582.214614974124</t>
  </si>
  <si>
    <t>-585.348832809686 27.5803748518786 -689.971453372086</t>
  </si>
  <si>
    <t>-570.213977188199 41.3639864405722 -778.307748962223</t>
  </si>
  <si>
    <t>-540.468697144823 185.367309672491 -776.901098462086</t>
  </si>
  <si>
    <t>-397.944723644391 239.098841278275 -499.437466136889</t>
  </si>
  <si>
    <t>-198.439915776503 234.283942109979 -332.654095333491</t>
  </si>
  <si>
    <t>-544.175238582301 159.434698390757 -233.464783986084</t>
  </si>
  <si>
    <t>-430.808674281625 196.181559382018 206.370802487185</t>
  </si>
  <si>
    <t>-517.747532790521 176.022145766108 667.960558642952</t>
  </si>
  <si>
    <t>-368.630568391699 155.165231457993 758.914546682607</t>
  </si>
  <si>
    <t>-606.584338615261 -13.2915406276829 220.975037170289</t>
  </si>
  <si>
    <t>-655.60725690241 3.36592413676297 688.120218662688</t>
  </si>
  <si>
    <t>-502.161596211865 -47.8513235033993 757.219568777718</t>
  </si>
  <si>
    <t>9763-20170724T164218.622533700.bin</t>
  </si>
  <si>
    <t>-560.384835411709 67.1004098966348 -234.028531651977</t>
  </si>
  <si>
    <t>-584.241932723672 71.5628732534791 -352.682472723755</t>
  </si>
  <si>
    <t>-591.63712359241 62.7922215626071 -473.342922245515</t>
  </si>
  <si>
    <t>-591.431466248852 49.5988571430415 -582.066038781877</t>
  </si>
  <si>
    <t>-584.423774689301 31.2492657961991 -689.81134880243</t>
  </si>
  <si>
    <t>-567.610009695493 0.46386472976743 -838.032675963969</t>
  </si>
  <si>
    <t>-569.363669097607 44.8352968125913 -778.191036425735</t>
  </si>
  <si>
    <t>-538.93191252935 188.711610531129 -776.898008033981</t>
  </si>
  <si>
    <t>-398.355975214308 243.171869785631 -498.584054117198</t>
  </si>
  <si>
    <t>-199.568700286775 235.48063308799 -331.053434525944</t>
  </si>
  <si>
    <t>-540.935855382623 163.256397701981 -233.894985876771</t>
  </si>
  <si>
    <t>-430.277681116996 191.714474570903 207.242831448043</t>
  </si>
  <si>
    <t>-502.125913088192 169.902680845889 670.617290425473</t>
  </si>
  <si>
    <t>-351.886847885285 147.861731647475 759.420038801039</t>
  </si>
  <si>
    <t>-603.870676298485 -10.3444252256304 221.211650591072</t>
  </si>
  <si>
    <t>-655.435231265796 3.70928333662282 688.151796166102</t>
  </si>
  <si>
    <t>-501.858617657127 -47.2249150409958 757.169417892785</t>
  </si>
  <si>
    <t>9763-20170724T164218.694232100.bin</t>
  </si>
  <si>
    <t>-553.800747092807 75.6541841186374 -233.529672120102</t>
  </si>
  <si>
    <t>-578.65470164547 80.5768449013969 -351.960493131097</t>
  </si>
  <si>
    <t>-587.131327485565 72.052618030989 -472.567422161905</t>
  </si>
  <si>
    <t>-587.921530846864 58.9980298155835 -581.304824443806</t>
  </si>
  <si>
    <t>-581.918546327979 40.7077841005224 -689.12069679663</t>
  </si>
  <si>
    <t>-566.503280621477 9.92599828315397 -837.494721914286</t>
  </si>
  <si>
    <t>-567.374937600621 54.2442748967213 -777.594511468826</t>
  </si>
  <si>
    <t>-535.711334555127 197.86696626398 -776.253052915989</t>
  </si>
  <si>
    <t>-399.658872042901 252.734885519385 -495.779398857679</t>
  </si>
  <si>
    <t>-201.443911843128 238.875322151941 -327.967624760829</t>
  </si>
  <si>
    <t>-533.183136490359 171.195383935198 -233.582132361797</t>
  </si>
  <si>
    <t>-435.62616097457 186.936897951416 211.268967325531</t>
  </si>
  <si>
    <t>-494.541922960316 167.309997909472 677.349116531551</t>
  </si>
  <si>
    <t>-347.020761031384 155.353947719451 772.417886391773</t>
  </si>
  <si>
    <t>-595.181851617152 -3.68874114923786 222.057420694435</t>
  </si>
  <si>
    <t>-655.101769103787 4.2238405524952 688.175607526699</t>
  </si>
  <si>
    <t>-502.145147087427 -48.7794216609027 757.011883531385</t>
  </si>
  <si>
    <t>9763-20170724T164218.719797100.bin</t>
  </si>
  <si>
    <t>-549.747767072381 80.5214190058651 -233.486065414042</t>
  </si>
  <si>
    <t>-575.143512835632 85.3847317384796 -351.8043203961</t>
  </si>
  <si>
    <t>-584.300765047297 76.9582661170032 -472.368471519542</t>
  </si>
  <si>
    <t>-585.750928434251 64.0612767007855 -581.117816692373</t>
  </si>
  <si>
    <t>-580.444645396427 46.0017227243241 -689.009177936526</t>
  </si>
  <si>
    <t>-566.028284015114 15.6189489177948 -837.565747594972</t>
  </si>
  <si>
    <t>-566.323671768601 59.7465886737353 -777.519251703813</t>
  </si>
  <si>
    <t>-534.009534177331 203.218927457275 -775.736231032856</t>
  </si>
  <si>
    <t>-400.509581213124 257.484628040662 -493.922088968799</t>
  </si>
  <si>
    <t>-202.898242659439 240.090033961389 -325.728139510973</t>
  </si>
  <si>
    <t>-528.211106997754 176.011270957797 -233.802568749273</t>
  </si>
  <si>
    <t>-441.733874444934 186.878449152259 213.479519885936</t>
  </si>
  <si>
    <t>-496.912514560007 172.340454265779 680.879631075225</t>
  </si>
  <si>
    <t>-348.359881424872 161.525763193059 774.467373422542</t>
  </si>
  <si>
    <t>-589.123392413365 0.552762149641644 222.72714207463</t>
  </si>
  <si>
    <t>-654.848306068644 4.62643318932082 688.161252520472</t>
  </si>
  <si>
    <t>-502.233737213678 -49.4267155211163 756.940315358269</t>
  </si>
  <si>
    <t>9763-20170724T164218.792230700.bin</t>
  </si>
  <si>
    <t>-542.063093848117 90.9277855730071 -237.735887741977</t>
  </si>
  <si>
    <t>-568.873895610001 94.7442301735994 -355.780107691859</t>
  </si>
  <si>
    <t>-579.622823779941 86.2491921438551 -476.20791649887</t>
  </si>
  <si>
    <t>-582.561487247946 73.7025110473647 -584.968172204344</t>
  </si>
  <si>
    <t>-578.776436661916 56.4146027734552 -693.049784360393</t>
  </si>
  <si>
    <t>-566.491983052946 27.5474198031329 -842.099491566563</t>
  </si>
  <si>
    <t>-535.417673826366 11.7476111800932 -937.847741372887</t>
  </si>
  <si>
    <t>-565.572495861789 70.9978457540259 -781.567341621519</t>
  </si>
  <si>
    <t>-531.35495884879 213.93808133405 -778.615784679045</t>
  </si>
  <si>
    <t>-404.592974461101 266.586935092023 -493.404024435342</t>
  </si>
  <si>
    <t>-208.411756371481 242.164289474333 -324.411471168008</t>
  </si>
  <si>
    <t>-578.282507038306 9.64274746667463 -770.731842468644</t>
  </si>
  <si>
    <t>-519.248063701583 185.515064355368 -240.895884200649</t>
  </si>
  <si>
    <t>-455.37232462051 190.739605060156 210.269512458801</t>
  </si>
  <si>
    <t>-498.963312431042 178.980429045622 676.791808898681</t>
  </si>
  <si>
    <t>-348.642949581579 168.609678020305 767.564845998749</t>
  </si>
  <si>
    <t>-573.616886261826 10.3556067366472 221.669562383778</t>
  </si>
  <si>
    <t>-654.264045684106 5.13205058688501 685.935937608701</t>
  </si>
  <si>
    <t>-503.251844014941 -53.0419818334169 754.889652801246</t>
  </si>
  <si>
    <t>9763-20170724T164218.825840400.bin</t>
  </si>
  <si>
    <t>-538.287899867967 95.1910272438475 -239.741243963517</t>
  </si>
  <si>
    <t>-566.052487041517 98.4793760789038 -357.580714250855</t>
  </si>
  <si>
    <t>-577.618585221025 89.9757923125716 -477.932109840167</t>
  </si>
  <si>
    <t>-581.234418354107 77.6345171601552 -586.695466217751</t>
  </si>
  <si>
    <t>-578.06093102584 60.7667311691976 -694.863221152116</t>
  </si>
  <si>
    <t>-566.554162163923 32.7073403754359 -844.128943454557</t>
  </si>
  <si>
    <t>-535.914269781816 17.2906200596975 -940.079562385193</t>
  </si>
  <si>
    <t>-565.158213235261 75.7989510145125 -783.35005725494</t>
  </si>
  <si>
    <t>-530.113124906309 218.570040648618 -779.960587731886</t>
  </si>
  <si>
    <t>-406.719891694124 271.103964487562 -493.25438214778</t>
  </si>
  <si>
    <t>-211.094776834486 242.879771183222 -324.209217495404</t>
  </si>
  <si>
    <t>-578.132845030614 14.4465997320827 -772.817062798701</t>
  </si>
  <si>
    <t>-514.380790502599 188.787429103199 -243.929986500666</t>
  </si>
  <si>
    <t>-462.162688811793 190.847737434149 208.75823719263</t>
  </si>
  <si>
    <t>-499.827002810425 178.813416099614 675.819193513743</t>
  </si>
  <si>
    <t>-348.534775002394 169.755294609213 765.105948883149</t>
  </si>
  <si>
    <t>-562.28054434108 1.23204614993097 -234.78607042112</t>
  </si>
  <si>
    <t>-565.322225337976 14.8640606212292 220.694497262423</t>
  </si>
  <si>
    <t>-653.940136947034 5.06771369550771 683.768455500602</t>
  </si>
  <si>
    <t>-504.709269383428 -57.2366681048501 752.991444197966</t>
  </si>
  <si>
    <t>9763-20170724T164218.889142500.bin</t>
  </si>
  <si>
    <t>-531.972978040583 102.927030521244 -241.416369424217</t>
  </si>
  <si>
    <t>-563.355350040599 105.518341255886 -358.361789155622</t>
  </si>
  <si>
    <t>-577.409463980414 97.1271916929434 -478.456105734946</t>
  </si>
  <si>
    <t>-582.811100148835 85.1889743924954 -587.190482223505</t>
  </si>
  <si>
    <t>-580.962619955714 69.0110192943156 -695.494211707739</t>
  </si>
  <si>
    <t>-570.823388191247 42.1959719954457 -845.087443456146</t>
  </si>
  <si>
    <t>-540.951195789048 27.2983506765108 -941.361618121776</t>
  </si>
  <si>
    <t>-568.581136415733 84.7230096389789 -783.937276791677</t>
  </si>
  <si>
    <t>-532.554941899389 227.268181001302 -780.083573410693</t>
  </si>
  <si>
    <t>-416.558231564118 278.034831648086 -489.990942047313</t>
  </si>
  <si>
    <t>-222.326175486766 241.96639629788 -320.831329627803</t>
  </si>
  <si>
    <t>-582.038261828549 23.3985785204898 -773.8567913311</t>
  </si>
  <si>
    <t>-508.281222177102 195.24528232004 -246.321097532375</t>
  </si>
  <si>
    <t>-475.390266350976 193.225436266224 208.180548868374</t>
  </si>
  <si>
    <t>-501.24929421623 179.788949187981 675.970572308608</t>
  </si>
  <si>
    <t>-348.39271987069 171.3855306302 762.617996695095</t>
  </si>
  <si>
    <t>-556.147689833396 10.1461826852027 -235.129827589256</t>
  </si>
  <si>
    <t>-547.476247041851 23.8096493858893 220.277417974715</t>
  </si>
  <si>
    <t>-653.191633360972 5.44575079984359 679.571879753647</t>
  </si>
  <si>
    <t>-505.336904562939 -59.6640704773554 749.165028112123</t>
  </si>
  <si>
    <t>9763-20170724T164218.923236400.bin</t>
  </si>
  <si>
    <t>-529.819161660298 107.514695350218 -241.71829114344</t>
  </si>
  <si>
    <t>-562.932204061815 109.899672094214 -358.189931551186</t>
  </si>
  <si>
    <t>-578.212207288674 101.576205614015 -478.139088647649</t>
  </si>
  <si>
    <t>-584.513629003447 89.7922195569361 -586.841879726973</t>
  </si>
  <si>
    <t>-583.357658713281 73.8515208071368 -695.190370808899</t>
  </si>
  <si>
    <t>-573.968116241453 47.4438935505559 -844.905050743521</t>
  </si>
  <si>
    <t>-544.458036098838 32.6521602386314 -941.306977616462</t>
  </si>
  <si>
    <t>-571.270075621749 89.7737257742934 -783.636606404247</t>
  </si>
  <si>
    <t>-534.807536126285 232.180637108494 -779.529763832249</t>
  </si>
  <si>
    <t>-423.24242864173 281.332817982657 -487.427867397061</t>
  </si>
  <si>
    <t>-229.838847650015 240.818016708744 -318.325394989769</t>
  </si>
  <si>
    <t>-584.975294457795 28.4831247636187 -773.685365072473</t>
  </si>
  <si>
    <t>-505.758831219928 200.091521962497 -247.199662080084</t>
  </si>
  <si>
    <t>-481.181586867865 196.232729863837 207.81545777344</t>
  </si>
  <si>
    <t>-501.839252725691 181.003055729813 675.657446633742</t>
  </si>
  <si>
    <t>-348.487862238603 172.336784634112 761.399869325306</t>
  </si>
  <si>
    <t>-553.871853633921 15.168113810698 -234.680599605734</t>
  </si>
  <si>
    <t>-536.825578192806 28.3564562001855 220.504132156766</t>
  </si>
  <si>
    <t>-652.645268992924 5.50272476412584 677.331671363339</t>
  </si>
  <si>
    <t>-505.998358667569 -61.8098311675978 747.383133368183</t>
  </si>
  <si>
    <t>9763-20170724T164218.987407700.bin</t>
  </si>
  <si>
    <t>-525.335756921609 118.974402681193 -241.019279643581</t>
  </si>
  <si>
    <t>-561.175148056036 120.673174702402 -356.693222234486</t>
  </si>
  <si>
    <t>-578.42629442924 112.340877578756 -476.374254020682</t>
  </si>
  <si>
    <t>-586.1933722937 100.798652254081 -585.008030209597</t>
  </si>
  <si>
    <t>-586.184982119156 85.3352095414897 -693.431804674752</t>
  </si>
  <si>
    <t>-578.061099824619 59.8234431982477 -843.375700253406</t>
  </si>
  <si>
    <t>-549.220157087153 45.1967597698196 -940.005080979823</t>
  </si>
  <si>
    <t>-574.58580976578 101.73134389536 -781.856782280763</t>
  </si>
  <si>
    <t>-536.951252141288 243.808422902766 -777.162038523663</t>
  </si>
  <si>
    <t>-434.409952955214 290.495505978326 -481.371951623955</t>
  </si>
  <si>
    <t>-243.051577530759 240.533630964162 -312.470044042279</t>
  </si>
  <si>
    <t>-588.725590833696 40.4918380926242 -772.20353211309</t>
  </si>
  <si>
    <t>-501.028718829303 211.052797073154 -248.382236428216</t>
  </si>
  <si>
    <t>-488.990464391777 204.626218090345 207.108176290228</t>
  </si>
  <si>
    <t>-501.546095909981 183.705659135868 674.360002904224</t>
  </si>
  <si>
    <t>-347.978826573343 173.718527343169 759.57066378882</t>
  </si>
  <si>
    <t>-548.966889282059 27.1803667782002 -232.571185245586</t>
  </si>
  <si>
    <t>-513.387984728827 36.1877317610002 221.643152425743</t>
  </si>
  <si>
    <t>-651.913392258085 4.15767478222233 671.947086506028</t>
  </si>
  <si>
    <t>-507.697467121778 -66.462885592604 743.766524926514</t>
  </si>
  <si>
    <t>9763-20170724T164219.021004400.bin</t>
  </si>
  <si>
    <t>-522.54233338003 124.9357267128 -240.012932234211</t>
  </si>
  <si>
    <t>-559.488961360463 125.63205965876 -355.348378234573</t>
  </si>
  <si>
    <t>-577.542816778347 116.887396765988 -474.881453757277</t>
  </si>
  <si>
    <t>-585.905902088299 105.21052772993 -583.456661932036</t>
  </si>
  <si>
    <t>-586.360980708444 89.8491173640869 -691.893978881949</t>
  </si>
  <si>
    <t>-578.741712782228 64.7238552193503 -841.929499410913</t>
  </si>
  <si>
    <t>-550.210593653558 50.1737937652412 -938.662453491372</t>
  </si>
  <si>
    <t>-574.950046921981 106.449278244014 -780.305385949916</t>
  </si>
  <si>
    <t>-536.88293126023 248.423757173234 -775.460506844746</t>
  </si>
  <si>
    <t>-438.610552481337 293.191958685658 -477.929794942374</t>
  </si>
  <si>
    <t>-248.373825962081 238.547338613679 -309.211109304765</t>
  </si>
  <si>
    <t>-589.275912959213 45.2327574926692 -770.781571352132</t>
  </si>
  <si>
    <t>-498.640687256345 216.320007930079 -248.628597312418</t>
  </si>
  <si>
    <t>-492.263210186793 210.32227250887 206.982131614019</t>
  </si>
  <si>
    <t>-501.399577899625 185.29788331346 673.979832038267</t>
  </si>
  <si>
    <t>-347.657280667549 174.830285116275 758.81647412581</t>
  </si>
  <si>
    <t>-545.578814605454 33.2901151189609 -230.4817286703</t>
  </si>
  <si>
    <t>-500.389768540604 38.1655715585622 222.940651937764</t>
  </si>
  <si>
    <t>-651.810632519471 2.47994870171878 668.747446286547</t>
  </si>
  <si>
    <t>-509.404584513306 -70.1533284306043 742.153464656137</t>
  </si>
  <si>
    <t>9763-20170724T164219.091193800.bin</t>
  </si>
  <si>
    <t>-516.511264111445 131.709775651221 -239.477815137232</t>
  </si>
  <si>
    <t>-554.897378711139 130.250272161459 -354.334992663888</t>
  </si>
  <si>
    <t>-574.102915811239 120.611505078064 -473.619550069972</t>
  </si>
  <si>
    <t>-583.380408188526 108.648680175533 -582.08911486919</t>
  </si>
  <si>
    <t>-584.616742315654 93.5290633890017 -690.554518899455</t>
  </si>
  <si>
    <t>-577.93851553853 69.2916856431461 -840.780797790998</t>
  </si>
  <si>
    <t>-549.998933146393 55.0088089465035 -937.72600636867</t>
  </si>
  <si>
    <t>-573.544301863939 110.603666850889 -778.918640615261</t>
  </si>
  <si>
    <t>-534.841902008555 252.341145241168 -773.445057689135</t>
  </si>
  <si>
    <t>-442.0896559956 292.412071163415 -473.482546177731</t>
  </si>
  <si>
    <t>-254.691612635935 228.317622156686 -304.912195799921</t>
  </si>
  <si>
    <t>-588.242576096787 49.4283446896813 -769.702078268912</t>
  </si>
  <si>
    <t>-493.093050184613 224.345862973797 -249.920315643564</t>
  </si>
  <si>
    <t>-498.259983005696 217.624763771347 205.695618907678</t>
  </si>
  <si>
    <t>-500.848961148634 188.103973040118 672.840453139737</t>
  </si>
  <si>
    <t>-346.720315029144 177.01184547213 756.893056164566</t>
  </si>
  <si>
    <t>-539.135331866907 37.803173020945 -228.954768401835</t>
  </si>
  <si>
    <t>-477.236938228771 32.6094119283315 222.486649048737</t>
  </si>
  <si>
    <t>-652.999557313793 -9.79782390446621 656.222407929443</t>
  </si>
  <si>
    <t>-516.864564882465 -85.7298138482764 737.739932321163</t>
  </si>
  <si>
    <t>9763-20170724T164219.121777000.bin</t>
  </si>
  <si>
    <t>-514.935353517308 133.010671845799 -240.621994854591</t>
  </si>
  <si>
    <t>-553.401833629653 130.589182039784 -355.436141184097</t>
  </si>
  <si>
    <t>-572.818738829765 120.655972598293 -474.66213966017</t>
  </si>
  <si>
    <t>-582.345360684354 108.69616489723 -583.110610436333</t>
  </si>
  <si>
    <t>-583.889281554994 93.8464904445087 -691.609243945962</t>
  </si>
  <si>
    <t>-577.698424841117 70.258718204852 -841.95983127329</t>
  </si>
  <si>
    <t>-550.009976358934 56.1864488877281 -939.007703608755</t>
  </si>
  <si>
    <t>-573.004504285263 111.280156875001 -779.926579119524</t>
  </si>
  <si>
    <t>-533.92871994846 252.917251993705 -774.043289408728</t>
  </si>
  <si>
    <t>-442.220823260397 290.320727768134 -473.415912258191</t>
  </si>
  <si>
    <t>-257.176139542867 221.174136832771 -304.243517871276</t>
  </si>
  <si>
    <t>-587.870797867879 50.1109432078795 -770.942059417781</t>
  </si>
  <si>
    <t>-491.641110175497 227.292493162635 -251.235960605244</t>
  </si>
  <si>
    <t>-500.658213804973 219.193037624454 204.297502527749</t>
  </si>
  <si>
    <t>-500.625034600034 189.240374221876 672.101107783196</t>
  </si>
  <si>
    <t>-346.438071359002 177.541898280609 755.964366727927</t>
  </si>
  <si>
    <t>-537.767070606349 38.1206570947567 -230.378025221201</t>
  </si>
  <si>
    <t>-469.794665437599 28.4128322850443 220.114145310061</t>
  </si>
  <si>
    <t>-655.369608032812 -14.9757634026559 649.308329281684</t>
  </si>
  <si>
    <t>-520.613476213098 -88.4678831223255 735.233943838268</t>
  </si>
  <si>
    <t>9763-20170724T164219.186952300.bin</t>
  </si>
  <si>
    <t>-513.484121209356 136.077603207016 -243.210930504507</t>
  </si>
  <si>
    <t>-552.285165013967 132.257373311894 -357.874225312022</t>
  </si>
  <si>
    <t>-572.229312329502 122.233899372168 -477.005677485162</t>
  </si>
  <si>
    <t>-582.323426495619 110.694932961199 -585.448379953692</t>
  </si>
  <si>
    <t>-584.529868789211 96.7478685991925 -694.05537234473</t>
  </si>
  <si>
    <t>-579.360633991303 74.8961846497775 -844.706611283788</t>
  </si>
  <si>
    <t>-552.146213909245 61.4122226458761 -941.971963495236</t>
  </si>
  <si>
    <t>-574.147497098639 115.176912114811 -782.230879283424</t>
  </si>
  <si>
    <t>-534.733714412668 256.674058041344 -775.39698368763</t>
  </si>
  <si>
    <t>-443.223942371599 288.498958669929 -474.067641623907</t>
  </si>
  <si>
    <t>-260.299786132529 213.020606794043 -305.296178010505</t>
  </si>
  <si>
    <t>-589.148214665067 53.9528111862995 -773.865279183359</t>
  </si>
  <si>
    <t>-490.789817908362 231.455116642129 -253.7086832378</t>
  </si>
  <si>
    <t>-501.81652433482 222.451836544192 201.763544122767</t>
  </si>
  <si>
    <t>-500.174795716967 190.81275106949 670.69212326166</t>
  </si>
  <si>
    <t>-346.059709405583 178.179182544374 754.551833229533</t>
  </si>
  <si>
    <t>-536.146509150305 41.0345460563194 -232.722457788728</t>
  </si>
  <si>
    <t>-460.604357382259 25.3881881765462 216.394768320214</t>
  </si>
  <si>
    <t>-654.329083688893 -23.4425000490927 641.843164791132</t>
  </si>
  <si>
    <t>-518.11429242104 -89.7476590352484 731.244888809385</t>
  </si>
  <si>
    <t>9763-20170724T164219.224057800.bin</t>
  </si>
  <si>
    <t>-512.827055144868 137.331732974427 -244.215991870833</t>
  </si>
  <si>
    <t>-552.209490545801 133.371750901687 -358.676258905337</t>
  </si>
  <si>
    <t>-572.535030768201 123.623127486568 -477.766150161242</t>
  </si>
  <si>
    <t>-582.891624471398 112.482727497156 -586.225660923962</t>
  </si>
  <si>
    <t>-585.278812856294 99.0720343792178 -694.896368024005</t>
  </si>
  <si>
    <t>-580.277075488756 78.0990251628233 -845.677932684604</t>
  </si>
  <si>
    <t>-553.193666218704 64.9791269232149 -943.029700392021</t>
  </si>
  <si>
    <t>-575.045381674223 118.026885227341 -782.977852004909</t>
  </si>
  <si>
    <t>-535.984856378138 259.589300268325 -775.612225621748</t>
  </si>
  <si>
    <t>-443.747342191674 289.582906999874 -474.316999914721</t>
  </si>
  <si>
    <t>-261.951112095153 209.807861067817 -306.304761656073</t>
  </si>
  <si>
    <t>-589.935010712213 56.730975850826 -774.945858094921</t>
  </si>
  <si>
    <t>-490.910318048377 233.027993528854 -254.412300628749</t>
  </si>
  <si>
    <t>-500.948270922894 223.161883925284 201.064951249427</t>
  </si>
  <si>
    <t>-499.984712024945 190.98623814902 670.256086176202</t>
  </si>
  <si>
    <t>-345.9079139563 178.934113252325 754.2716909798</t>
  </si>
  <si>
    <t>-534.785404582914 42.1184222058695 -233.758104775044</t>
  </si>
  <si>
    <t>-458.088414276635 25.2367162073017 215.118553410846</t>
  </si>
  <si>
    <t>-648.249531704113 -30.1352745230376 641.271470386643</t>
  </si>
  <si>
    <t>-509.667796346973 -92.7977827577894 729.657023291809</t>
  </si>
  <si>
    <t>9763-20170724T164219.321319500.bin</t>
  </si>
  <si>
    <t>-512.226428875236 138.236275891994 -245.102966394185</t>
  </si>
  <si>
    <t>-552.303010207964 134.38787203465 -359.325685830825</t>
  </si>
  <si>
    <t>-573.009655400856 125.051820262098 -478.383008640329</t>
  </si>
  <si>
    <t>-583.57869955766 114.389722881263 -586.870231062015</t>
  </si>
  <si>
    <t>-586.046011990868 101.551790744386 -695.608201940275</t>
  </si>
  <si>
    <t>-581.018412447336 81.4637656555657 -846.5095309068</t>
  </si>
  <si>
    <t>-553.989278204944 68.7865339479439 -943.934842409908</t>
  </si>
  <si>
    <t>-575.922736961395 121.052164355591 -783.583326467624</t>
  </si>
  <si>
    <t>-537.508013217723 262.765713092076 -775.627993310008</t>
  </si>
  <si>
    <t>-444.171084967666 291.387546894067 -474.538072952412</t>
  </si>
  <si>
    <t>-263.222672893006 207.397906735439 -307.668527043929</t>
  </si>
  <si>
    <t>-590.563216551433 59.6520063279347 -775.897401501459</t>
  </si>
  <si>
    <t>-491.300386352106 233.997591111441 -254.756261798823</t>
  </si>
  <si>
    <t>-499.820816618845 223.456719538212 200.736730042639</t>
  </si>
  <si>
    <t>-499.943338138568 190.881700499581 670.113171423611</t>
  </si>
  <si>
    <t>-345.91479812639 178.893238078573 754.226097726525</t>
  </si>
  <si>
    <t>-533.105337536167 43.0088596366419 -234.723383976659</t>
  </si>
  <si>
    <t>-455.520113198568 24.2857049137307 213.92759368379</t>
  </si>
  <si>
    <t>-640.41568523882 -39.1346904503767 641.176867826822</t>
  </si>
  <si>
    <t>-499.184194286875 -98.1164497117567 727.885093840427</t>
  </si>
  <si>
    <t>9763-20170724T164219.323324100.bin</t>
  </si>
  <si>
    <t>-512.160220611481 139.011652890076 -245.583120971038</t>
  </si>
  <si>
    <t>-552.606446043 135.243409975372 -359.678320206553</t>
  </si>
  <si>
    <t>-573.509641444489 126.305031672448 -478.731885368738</t>
  </si>
  <si>
    <t>-584.183310801583 116.120480973306 -587.254722836537</t>
  </si>
  <si>
    <t>-586.681642367762 103.870668060575 -696.059849008194</t>
  </si>
  <si>
    <t>-581.620639101911 84.7088052708657 -847.080256152432</t>
  </si>
  <si>
    <t>-554.612235772469 72.5404881849314 -944.576280494441</t>
  </si>
  <si>
    <t>-576.716221169035 123.950774961068 -783.922284409162</t>
  </si>
  <si>
    <t>-539.240453105938 265.876485999723 -775.347719991194</t>
  </si>
  <si>
    <t>-444.766535027942 293.176113916079 -474.489575521405</t>
  </si>
  <si>
    <t>-264.543841935413 204.987875419622 -309.006487429123</t>
  </si>
  <si>
    <t>-591.003765794807 62.4238650733552 -776.594546962772</t>
  </si>
  <si>
    <t>-492.082431159606 234.77340046307 -254.824115475942</t>
  </si>
  <si>
    <t>-498.992360087959 223.849164626777 200.687204963505</t>
  </si>
  <si>
    <t>-500.091281666861 191.202169706314 670.081621732757</t>
  </si>
  <si>
    <t>-346.138640188329 178.549412080277 754.236304997391</t>
  </si>
  <si>
    <t>-531.817804964926 43.7198350500582 -235.413130285199</t>
  </si>
  <si>
    <t>-453.012841936244 22.4691163192899 212.9125014087</t>
  </si>
  <si>
    <t>-632.321486553332 -50.4793522182765 640.982168976166</t>
  </si>
  <si>
    <t>-489.903446310709 -108.27503168498 726.540905741971</t>
  </si>
  <si>
    <t>9763-20170724T164219.402197800.bin</t>
  </si>
  <si>
    <t>-512.362755180319 138.700578347585 -245.747689655566</t>
  </si>
  <si>
    <t>-553.92215657288 134.86696776387 -359.440006677659</t>
  </si>
  <si>
    <t>-575.315633965283 126.703531425598 -478.462002758491</t>
  </si>
  <si>
    <t>-586.163350426402 117.55428696307 -587.059869487934</t>
  </si>
  <si>
    <t>-588.561167914294 106.668014254648 -696.011880119249</t>
  </si>
  <si>
    <t>-583.072566500399 89.7389000840876 -847.284273573382</t>
  </si>
  <si>
    <t>-555.833415753403 78.9501027836641 -944.878241256435</t>
  </si>
  <si>
    <t>-578.797050910555 128.141630759864 -783.567134626652</t>
  </si>
  <si>
    <t>-543.33056017718 270.469104022378 -773.302394502058</t>
  </si>
  <si>
    <t>-446.519964098419 295.048813340486 -472.953112021717</t>
  </si>
  <si>
    <t>-267.522050960345 199.032448508971 -310.525730772366</t>
  </si>
  <si>
    <t>-592.205136972451 66.3173120200255 -777.134751986158</t>
  </si>
  <si>
    <t>-493.743554949563 234.289219190111 -254.84271091981</t>
  </si>
  <si>
    <t>-498.528625713483 222.869583405621 200.683796188292</t>
  </si>
  <si>
    <t>-499.705529309608 190.278724545873 669.649298849893</t>
  </si>
  <si>
    <t>-345.867389633795 178.782648827472 754.178577691364</t>
  </si>
  <si>
    <t>-530.550033838469 42.8130931424312 -235.624124761281</t>
  </si>
  <si>
    <t>-448.403152173578 16.8531216947879 211.852857647893</t>
  </si>
  <si>
    <t>-615.090678291884 -80.7753483998536 640.228667830316</t>
  </si>
  <si>
    <t>-468.678778371932 -127.549790265816 725.781146709827</t>
  </si>
  <si>
    <t>9763-20170724T164219.426771700.bin</t>
  </si>
  <si>
    <t>-512.900781522955 136.992305500818 -246.232603666447</t>
  </si>
  <si>
    <t>-555.29762183087 132.385607941333 -359.586483305112</t>
  </si>
  <si>
    <t>-577.020382992941 124.787000751636 -478.586203707544</t>
  </si>
  <si>
    <t>-587.943205978579 116.702082951994 -587.260943938302</t>
  </si>
  <si>
    <t>-590.187462398625 107.436465750544 -696.366136656931</t>
  </si>
  <si>
    <t>-584.24301907756 93.3426519029697 -847.911711096413</t>
  </si>
  <si>
    <t>-556.602369661111 84.3023530117575 -945.570578979178</t>
  </si>
  <si>
    <t>-580.684815310811 130.651945073497 -783.50453990079</t>
  </si>
  <si>
    <t>-547.408437895149 273.335209497458 -771.025112292285</t>
  </si>
  <si>
    <t>-448.805160662491 294.139712971379 -470.973877118606</t>
  </si>
  <si>
    <t>-269.752106753523 193.328308956268 -311.540142547842</t>
  </si>
  <si>
    <t>-593.061719134408 68.5054688241341 -778.210340576858</t>
  </si>
  <si>
    <t>-495.612836973938 232.903345943823 -256.220365017816</t>
  </si>
  <si>
    <t>-498.053031309217 221.224271023228 199.318143668872</t>
  </si>
  <si>
    <t>-498.007088116879 190.135296831083 667.743515200925</t>
  </si>
  <si>
    <t>-345.476308489675 176.812032161116 754.348180445048</t>
  </si>
  <si>
    <t>-529.748382019306 40.8305981760938 -235.669717212868</t>
  </si>
  <si>
    <t>-445.691088232693 11.9389787551303 211.272404477355</t>
  </si>
  <si>
    <t>-591.40206794121 -106.308669385155 642.11990500563</t>
  </si>
  <si>
    <t>-439.777974149676 -131.986781851267 727.526461634962</t>
  </si>
  <si>
    <t>9763-20170724T164219.490101400.bin</t>
  </si>
  <si>
    <t>-514.993439616596 134.001615414504 -247.010649949702</t>
  </si>
  <si>
    <t>-557.277574720992 128.68184073943 -360.375374052654</t>
  </si>
  <si>
    <t>-578.731268515381 121.780043998501 -479.466263030276</t>
  </si>
  <si>
    <t>-589.343302945985 114.938240756201 -588.257107202577</t>
  </si>
  <si>
    <t>-591.206964195161 107.550292871705 -697.512706235765</t>
  </si>
  <si>
    <t>-584.65887113803 96.7466952173607 -849.30338017174</t>
  </si>
  <si>
    <t>-556.603990339137 89.70535052906 -947.008660207629</t>
  </si>
  <si>
    <t>-582.027126453168 132.773336620214 -784.126072379395</t>
  </si>
  <si>
    <t>-551.756101993679 275.779464913135 -768.777954699999</t>
  </si>
  <si>
    <t>-451.361372354265 292.160098288935 -469.046764731349</t>
  </si>
  <si>
    <t>-270.954512928144 186.528097335251 -314.329956244363</t>
  </si>
  <si>
    <t>-593.085325656711 70.2805859060162 -780.155333056276</t>
  </si>
  <si>
    <t>-498.693556077392 229.654742229312 -257.648890757184</t>
  </si>
  <si>
    <t>-498.202419873633 217.728769664832 197.889434954202</t>
  </si>
  <si>
    <t>-496.172489414923 187.780376010859 666.726009860243</t>
  </si>
  <si>
    <t>-345.755118570796 172.557981175207 756.650435174912</t>
  </si>
  <si>
    <t>-530.990863232666 38.5599740361416 -235.78328284029</t>
  </si>
  <si>
    <t>-443.23560335249 5.4871798086602 210.157177526755</t>
  </si>
  <si>
    <t>-577.893967378775 -115.719682732984 643.420820672915</t>
  </si>
  <si>
    <t>-423.879121656967 -122.985691426234 728.09744058654</t>
  </si>
  <si>
    <t>9763-20170724T164219.522723000.bin</t>
  </si>
  <si>
    <t>-517.506193342638 131.854193016523 -247.229393033711</t>
  </si>
  <si>
    <t>-559.110612547301 126.524546847273 -360.84500624666</t>
  </si>
  <si>
    <t>-580.043803758015 120.161308823273 -480.058499606686</t>
  </si>
  <si>
    <t>-590.257780373028 114.0693731649 -588.931897465083</t>
  </si>
  <si>
    <t>-591.798774852721 107.717936707722 -698.257674624161</t>
  </si>
  <si>
    <t>-584.881864168056 98.6749720010981 -850.147102483239</t>
  </si>
  <si>
    <t>-556.612094031133 92.7256061680455 -947.863090115501</t>
  </si>
  <si>
    <t>-582.79086920255 134.007514407291 -784.571443569186</t>
  </si>
  <si>
    <t>-554.268838783755 277.236425270964 -767.621569932075</t>
  </si>
  <si>
    <t>-452.766297609288 291.397101273781 -468.150536281814</t>
  </si>
  <si>
    <t>-271.574666161359 183.122495249288 -316.202528169752</t>
  </si>
  <si>
    <t>-593.093925334959 71.3448892039475 -781.309968462215</t>
  </si>
  <si>
    <t>-501.207881073696 227.511218165025 -257.818801640467</t>
  </si>
  <si>
    <t>-498.732567599076 214.958011804437 197.696293812168</t>
  </si>
  <si>
    <t>-495.97826867858 186.23917382027 666.906374281387</t>
  </si>
  <si>
    <t>-346.368194006918 170.76025661392 758.12448128062</t>
  </si>
  <si>
    <t>-533.790066972162 36.0670475581876 -236.453979595999</t>
  </si>
  <si>
    <t>-445.833634798471 3.09048759628709 209.453948692179</t>
  </si>
  <si>
    <t>-581.587275960532 -113.228558023911 643.608828259682</t>
  </si>
  <si>
    <t>-427.101707092418 -121.86876749708 727.293201022224</t>
  </si>
  <si>
    <t>9763-20170724T164219.592442500.bin</t>
  </si>
  <si>
    <t>-522.295924444682 127.181833185058 -248.499055159715</t>
  </si>
  <si>
    <t>-562.454929990085 121.730477085958 -362.627713715939</t>
  </si>
  <si>
    <t>-582.303396263588 116.404526860484 -482.077441058224</t>
  </si>
  <si>
    <t>-591.705612709656 111.780286996821 -591.096161810526</t>
  </si>
  <si>
    <t>-592.614298102868 107.460516877061 -700.528085960319</t>
  </si>
  <si>
    <t>-585.012465261523 101.859937714049 -852.550652241062</t>
  </si>
  <si>
    <t>-556.234001555877 98.0922885930913 -950.226612731849</t>
  </si>
  <si>
    <t>-583.905897621206 135.802137377949 -786.220972998951</t>
  </si>
  <si>
    <t>-558.602885658871 279.252592604308 -766.154583139697</t>
  </si>
  <si>
    <t>-455.807922078751 289.33327341047 -466.959241739439</t>
  </si>
  <si>
    <t>-272.649983637819 179.519170216898 -318.513769832685</t>
  </si>
  <si>
    <t>-592.84617941699 72.8738308821429 -784.349755095376</t>
  </si>
  <si>
    <t>-505.417323646283 222.133407168461 -258.255188833752</t>
  </si>
  <si>
    <t>-499.087665631266 209.970753879589 197.23323028076</t>
  </si>
  <si>
    <t>-496.17821031784 183.707917031151 666.953986414353</t>
  </si>
  <si>
    <t>-347.333645922375 169.263421352723 759.583178486426</t>
  </si>
  <si>
    <t>-538.405055499398 31.8019102637004 -238.114540656762</t>
  </si>
  <si>
    <t>-451.189574186018 -0.351387317618887 207.999069016012</t>
  </si>
  <si>
    <t>-584.451197822502 -113.111064784398 644.305193649176</t>
  </si>
  <si>
    <t>-429.553806441842 -126.011533633925 726.669475339376</t>
  </si>
  <si>
    <t>9763-20170724T164219.622528800.bin</t>
  </si>
  <si>
    <t>-523.99253023561 123.655346700857 -249.231065136068</t>
  </si>
  <si>
    <t>-563.932971489759 118.421645220489 -363.446716082043</t>
  </si>
  <si>
    <t>-583.517323526916 113.667664901814 -482.964109219415</t>
  </si>
  <si>
    <t>-592.666677814116 109.724273643444 -592.031012314261</t>
  </si>
  <si>
    <t>-593.31202563273 106.260592946542 -701.495236423834</t>
  </si>
  <si>
    <t>-585.336575331449 102.043006180997 -853.543360198347</t>
  </si>
  <si>
    <t>-556.27593494137 99.2338535871643 -951.167908113429</t>
  </si>
  <si>
    <t>-584.67223488855 135.418459686079 -786.920848158086</t>
  </si>
  <si>
    <t>-560.483692332651 278.983948515319 -765.746306711134</t>
  </si>
  <si>
    <t>-458.01365387067 286.836872888895 -466.37282050663</t>
  </si>
  <si>
    <t>-274.077947556427 176.681284549472 -319.146863580148</t>
  </si>
  <si>
    <t>-593.058642982265 72.3998087841097 -785.612683886272</t>
  </si>
  <si>
    <t>-506.983301790494 219.049294247298 -258.585069558318</t>
  </si>
  <si>
    <t>-498.762579910405 207.65523183352 196.893038606014</t>
  </si>
  <si>
    <t>-496.342028899329 183.438043988731 666.67465241154</t>
  </si>
  <si>
    <t>-347.669026464951 168.683230499794 759.530281132071</t>
  </si>
  <si>
    <t>-540.948364300784 28.2082822228836 -238.983141479723</t>
  </si>
  <si>
    <t>-454.513306355089 -2.94563885520852 207.353206130119</t>
  </si>
  <si>
    <t>-584.677583469232 -113.532751761669 644.950844503218</t>
  </si>
  <si>
    <t>-429.352067261109 -124.138075411373 726.834994191797</t>
  </si>
  <si>
    <t>9763-20170724T164219.692727400.bin</t>
  </si>
  <si>
    <t>-525.951576220369 117.860754834819 -250.24418584429</t>
  </si>
  <si>
    <t>-565.456785833856 113.121501154662 -364.632511003203</t>
  </si>
  <si>
    <t>-584.422655622305 109.252165952465 -484.281448559997</t>
  </si>
  <si>
    <t>-592.943878234694 106.267994554614 -593.429760247121</t>
  </si>
  <si>
    <t>-592.896749177332 103.921531970014 -702.925539444863</t>
  </si>
  <si>
    <t>-583.896803516944 101.421243075574 -854.954250634507</t>
  </si>
  <si>
    <t>-554.264795332537 100.04327569121 -952.437723365728</t>
  </si>
  <si>
    <t>-584.075261361086 134.091672109754 -787.980235939068</t>
  </si>
  <si>
    <t>-561.529276351187 277.655620567505 -765.354419195467</t>
  </si>
  <si>
    <t>-460.192493065922 282.409465214164 -465.530413773372</t>
  </si>
  <si>
    <t>-274.774354777341 170.520226605997 -321.506039424987</t>
  </si>
  <si>
    <t>-591.682812635674 70.963407119528 -787.392432633297</t>
  </si>
  <si>
    <t>-509.687496318373 213.806968520103 -258.876006793318</t>
  </si>
  <si>
    <t>-497.351544823029 203.512178629463 196.535445547859</t>
  </si>
  <si>
    <t>-496.69830425345 182.603931368102 666.422560530914</t>
  </si>
  <si>
    <t>-348.006276096488 168.733381425354 759.383944340055</t>
  </si>
  <si>
    <t>-541.932515998232 22.3055815134456 -240.721555036796</t>
  </si>
  <si>
    <t>-458.646978597441 -8.04422908458024 206.268347477552</t>
  </si>
  <si>
    <t>-585.230302600349 -113.232561030205 646.149284978052</t>
  </si>
  <si>
    <t>-429.476049235845 -123.116919975093 727.306077664875</t>
  </si>
  <si>
    <t>9763-20170724T164219.727320600.bin</t>
  </si>
  <si>
    <t>-526.900668341227 115.531645793893 -250.520584819136</t>
  </si>
  <si>
    <t>-566.180775705344 110.973589380019 -364.993652460794</t>
  </si>
  <si>
    <t>-584.86673181919 107.377590952022 -484.695331452985</t>
  </si>
  <si>
    <t>-593.114969039863 104.677063374727 -593.871957870084</t>
  </si>
  <si>
    <t>-592.776759952185 102.649228607603 -703.373590598709</t>
  </si>
  <si>
    <t>-583.355139706933 100.627321035329 -855.38399618268</t>
  </si>
  <si>
    <t>-553.492293792585 99.7249178729143 -952.802595166097</t>
  </si>
  <si>
    <t>-583.874210458662 133.105021674411 -788.317988927705</t>
  </si>
  <si>
    <t>-562.056726253567 276.711164419524 -765.190995733909</t>
  </si>
  <si>
    <t>-460.681178715978 280.177251337084 -465.36244368604</t>
  </si>
  <si>
    <t>-274.714052870286 167.683354426785 -322.521906007687</t>
  </si>
  <si>
    <t>-591.17362823611 69.9388945100912 -787.930264335282</t>
  </si>
  <si>
    <t>-511.007755430439 211.568187484461 -258.869421757345</t>
  </si>
  <si>
    <t>-496.993172404302 201.928404140311 196.507704665444</t>
  </si>
  <si>
    <t>-496.929260099028 182.366157794221 666.404668176724</t>
  </si>
  <si>
    <t>-348.207731832146 168.549248910049 759.326850199408</t>
  </si>
  <si>
    <t>-542.677498139378 19.6395693340522 -241.307323896227</t>
  </si>
  <si>
    <t>-460.31064130885 -10.2307387199127 205.885268168352</t>
  </si>
  <si>
    <t>-585.309779488704 -113.855964641685 646.757736478147</t>
  </si>
  <si>
    <t>-429.392315751168 -123.346036180273 727.647675576301</t>
  </si>
  <si>
    <t>9763-20170724T164219.789989100.bin</t>
  </si>
  <si>
    <t>-528.16886394756 111.751496680575 -250.556875482313</t>
  </si>
  <si>
    <t>-567.126456672082 107.307161948412 -365.144666056901</t>
  </si>
  <si>
    <t>-585.407327532154 104.027959680928 -484.917838975512</t>
  </si>
  <si>
    <t>-593.259576610643 101.693782355852 -594.132029537807</t>
  </si>
  <si>
    <t>-592.498418342647 100.109710120549 -703.638992309027</t>
  </si>
  <si>
    <t>-582.463606217395 98.7830229131033 -855.617664214613</t>
  </si>
  <si>
    <t>-552.142166998577 98.6241235287868 -952.898651442651</t>
  </si>
  <si>
    <t>-583.43909767123 130.974530946709 -788.419003215516</t>
  </si>
  <si>
    <t>-562.656828333114 274.574041779697 -764.554110934334</t>
  </si>
  <si>
    <t>-461.390807421755 276.600474505163 -464.675345953271</t>
  </si>
  <si>
    <t>-274.355342839692 163.745474630503 -323.524620576272</t>
  </si>
  <si>
    <t>-590.368285637177 67.7655534851806 -788.32479687136</t>
  </si>
  <si>
    <t>-512.640249111031 207.692532746463 -258.678422766855</t>
  </si>
  <si>
    <t>-497.159240957503 199.454744427323 196.678787527873</t>
  </si>
  <si>
    <t>-497.265519850267 181.691879828385 666.496328741575</t>
  </si>
  <si>
    <t>-348.244759909895 169.236196455079 759.130926893545</t>
  </si>
  <si>
    <t>-543.548211635621 15.9382385831051 -241.542088532177</t>
  </si>
  <si>
    <t>-462.688781899286 -12.8496915423716 205.996318359296</t>
  </si>
  <si>
    <t>-585.728943871439 -113.988283072101 647.995332542371</t>
  </si>
  <si>
    <t>-429.586638577044 -122.914488619468 728.515036514765</t>
  </si>
  <si>
    <t>9763-20170724T164219.823081100.bin</t>
  </si>
  <si>
    <t>-528.569345941972 110.487781940606 -250.277199396746</t>
  </si>
  <si>
    <t>-567.415770164539 105.977873622657 -364.900140410181</t>
  </si>
  <si>
    <t>-585.524196908316 102.735286212789 -484.700514875439</t>
  </si>
  <si>
    <t>-593.19721793197 100.477025488544 -593.929052640983</t>
  </si>
  <si>
    <t>-592.23463267263 99.0123514750048 -703.436071870622</t>
  </si>
  <si>
    <t>-581.898232177577 97.89740272873 -855.396362480915</t>
  </si>
  <si>
    <t>-551.35640507801 97.9823338834544 -952.608408585644</t>
  </si>
  <si>
    <t>-583.024711618238 129.997163558442 -788.155975111196</t>
  </si>
  <si>
    <t>-562.393823099443 273.585423598008 -764.057406328575</t>
  </si>
  <si>
    <t>-461.451478230831 275.48470259558 -464.068681535075</t>
  </si>
  <si>
    <t>-273.981868603721 162.231838091795 -323.815335968884</t>
  </si>
  <si>
    <t>-589.91870153775 66.7842527969712 -788.161258486435</t>
  </si>
  <si>
    <t>-513.173314854548 206.440669462528 -258.543219848269</t>
  </si>
  <si>
    <t>-497.413301967183 198.802238862723 196.814840094737</t>
  </si>
  <si>
    <t>-497.476805550009 181.703255649099 666.579170924597</t>
  </si>
  <si>
    <t>-348.372439275744 169.262168910426 759.081183571148</t>
  </si>
  <si>
    <t>-543.923227977261 14.4835752626289 -241.225407528307</t>
  </si>
  <si>
    <t>-462.551872045517 -13.6568963787667 206.261405963411</t>
  </si>
  <si>
    <t>-585.698265147761 -114.272571125608 648.299918311233</t>
  </si>
  <si>
    <t>-429.442912122217 -122.260892424529 728.698635709222</t>
  </si>
  <si>
    <t>9763-20170724T164219.891780500.bin</t>
  </si>
  <si>
    <t>-529.017519413988 109.151060206145 -249.611036657688</t>
  </si>
  <si>
    <t>-568.103549544892 104.448730538732 -364.144788955187</t>
  </si>
  <si>
    <t>-586.131212449889 101.171613906567 -483.956428342729</t>
  </si>
  <si>
    <t>-593.597749793364 98.9534764768485 -593.200002802847</t>
  </si>
  <si>
    <t>-592.295964200641 97.6044091014572 -702.705080108276</t>
  </si>
  <si>
    <t>-581.352464487692 96.7323822867413 -854.624337443456</t>
  </si>
  <si>
    <t>-550.48347175142 97.0904576103266 -951.732424600344</t>
  </si>
  <si>
    <t>-582.693642361821 128.71866253781 -787.333968790432</t>
  </si>
  <si>
    <t>-562.104176947245 272.235284286494 -762.779644720461</t>
  </si>
  <si>
    <t>-462.074233159966 274.364744985934 -462.48693984073</t>
  </si>
  <si>
    <t>-273.839361509096 162.764499849499 -321.934379396339</t>
  </si>
  <si>
    <t>-589.695580366765 65.5177960430593 -787.475549464972</t>
  </si>
  <si>
    <t>-513.491476536241 204.935023115052 -258.291548168568</t>
  </si>
  <si>
    <t>-497.905444206825 198.015506755695 197.08399773842</t>
  </si>
  <si>
    <t>-497.577589516202 181.186865491228 666.69741932901</t>
  </si>
  <si>
    <t>-348.20188211132 170.22084192951 758.94786348237</t>
  </si>
  <si>
    <t>-544.627029578629 13.4699322003185 -240.306995109195</t>
  </si>
  <si>
    <t>-461.044225481423 -13.773346088007 206.827666344112</t>
  </si>
  <si>
    <t>-585.650862820259 -113.864265599169 648.449405448484</t>
  </si>
  <si>
    <t>-429.431816624189 -122.426415207097 728.859608477914</t>
  </si>
  <si>
    <t>9763-20170724T164219.923868300.bin</t>
  </si>
  <si>
    <t>-528.924856679586 109.37234955853 -249.3475792436</t>
  </si>
  <si>
    <t>-568.077437684354 104.558676011785 -363.854050967973</t>
  </si>
  <si>
    <t>-586.038553945604 101.221570722762 -483.673882074262</t>
  </si>
  <si>
    <t>-593.389548430259 98.9714082730359 -592.924866246248</t>
  </si>
  <si>
    <t>-591.917233835396 97.6136426719138 -702.427503777127</t>
  </si>
  <si>
    <t>-580.680504680134 96.7543915653608 -854.325552057667</t>
  </si>
  <si>
    <t>-549.671763679409 97.1301941694767 -951.388860852131</t>
  </si>
  <si>
    <t>-582.087058454611 128.727745602293 -787.030262009232</t>
  </si>
  <si>
    <t>-561.315944583382 272.184168635895 -762.311594697972</t>
  </si>
  <si>
    <t>-461.940930650592 274.006294698647 -461.79961015773</t>
  </si>
  <si>
    <t>-272.992208073675 165.044673837483 -320.138666172384</t>
  </si>
  <si>
    <t>-589.217711043304 65.5413425027798 -787.200442711186</t>
  </si>
  <si>
    <t>-513.275641888428 205.033895371147 -258.210845236051</t>
  </si>
  <si>
    <t>-498.090019807608 198.271221646469 197.180605637163</t>
  </si>
  <si>
    <t>-497.658321775453 181.291935269043 666.74336344629</t>
  </si>
  <si>
    <t>-348.261638265557 169.953561045318 758.914899514491</t>
  </si>
  <si>
    <t>-544.490446541623 13.9466496376864 -239.895160421257</t>
  </si>
  <si>
    <t>-460.099769973156 -13.3254580240363 207.085884798231</t>
  </si>
  <si>
    <t>-585.649365016782 -113.554203199857 648.458140806986</t>
  </si>
  <si>
    <t>-429.537380189389 -123.437317747732 728.924725293358</t>
  </si>
  <si>
    <t>9763-20170724T164219.992094700.bin</t>
  </si>
  <si>
    <t>-528.222682371468 110.749273899455 -248.624624565867</t>
  </si>
  <si>
    <t>-567.368146861338 105.583044744262 -363.118095414706</t>
  </si>
  <si>
    <t>-585.247159031881 101.93733828612 -482.941325762571</t>
  </si>
  <si>
    <t>-592.494472822091 99.437976122709 -592.193759077311</t>
  </si>
  <si>
    <t>-590.890134823656 97.8689066508216 -701.691819461242</t>
  </si>
  <si>
    <t>-579.442084406522 96.762443221615 -853.572278752618</t>
  </si>
  <si>
    <t>-548.293091945461 97.0101734994752 -950.591299455771</t>
  </si>
  <si>
    <t>-580.796733992033 128.828503992954 -786.32028569311</t>
  </si>
  <si>
    <t>-559.759778944686 272.24574658929 -761.539085978319</t>
  </si>
  <si>
    <t>-461.142195955589 273.668700170855 -460.775362678434</t>
  </si>
  <si>
    <t>-271.231725368369 168.110996970347 -317.829092892731</t>
  </si>
  <si>
    <t>-588.218232661852 65.6754374793722 -786.41941584649</t>
  </si>
  <si>
    <t>-512.026743635666 205.915487215021 -258.096522315583</t>
  </si>
  <si>
    <t>-498.192439809469 199.377062266138 197.341193262149</t>
  </si>
  <si>
    <t>-497.693337381007 181.427303230287 666.801555840737</t>
  </si>
  <si>
    <t>-348.211062421642 169.861739105543 758.805989253651</t>
  </si>
  <si>
    <t>-544.338772256608 15.537578077349 -238.483387679683</t>
  </si>
  <si>
    <t>-456.80889329641 -12.5314709964976 207.844165983219</t>
  </si>
  <si>
    <t>-585.508444098323 -113.369834137809 648.172097681463</t>
  </si>
  <si>
    <t>-429.497779863557 -123.283316781042 728.831321441806</t>
  </si>
  <si>
    <t>9763-20170724T164220.026668100.bin</t>
  </si>
  <si>
    <t>-527.595628579915 111.793360866209 -248.204070006899</t>
  </si>
  <si>
    <t>-566.834443605364 106.354896001285 -362.653055814439</t>
  </si>
  <si>
    <t>-584.732203819413 102.457900340602 -482.465586738319</t>
  </si>
  <si>
    <t>-591.964902821032 99.7442432423646 -591.713788042522</t>
  </si>
  <si>
    <t>-590.314638610263 97.977150810612 -701.2081303002</t>
  </si>
  <si>
    <t>-578.770436557936 96.6145010640456 -853.079464055739</t>
  </si>
  <si>
    <t>-547.607867719329 96.7824014739955 -950.09407798017</t>
  </si>
  <si>
    <t>-580.044815456804 128.779315977521 -785.872884260725</t>
  </si>
  <si>
    <t>-558.673647035978 272.143867196249 -761.155714005533</t>
  </si>
  <si>
    <t>-460.601627520305 273.816267546759 -460.215171977536</t>
  </si>
  <si>
    <t>-270.310337325256 170.764119664217 -315.953197879092</t>
  </si>
  <si>
    <t>-587.711959048686 65.6555803670564 -785.889249953336</t>
  </si>
  <si>
    <t>-511.187520632086 206.962504265683 -258.083107575428</t>
  </si>
  <si>
    <t>-498.284076348099 200.420994866284 197.381894959605</t>
  </si>
  <si>
    <t>-497.717843916456 181.943037650617 666.764492263368</t>
  </si>
  <si>
    <t>-348.346558480593 169.101019429428 758.779814161509</t>
  </si>
  <si>
    <t>-543.901118569676 16.5123342472029 -237.704351292428</t>
  </si>
  <si>
    <t>-454.810129460813 -11.6021851185464 208.311411282342</t>
  </si>
  <si>
    <t>-585.356796908769 -113.500994683516 647.920277654858</t>
  </si>
  <si>
    <t>-429.472693612825 -124.122704555653 728.73376444193</t>
  </si>
  <si>
    <t>9763-20170724T164220.087834500.bin</t>
  </si>
  <si>
    <t>-525.799170635345 114.215321325158 -247.37955284054</t>
  </si>
  <si>
    <t>-565.238190556912 108.293253769433 -361.7355732208</t>
  </si>
  <si>
    <t>-583.21758378614 103.891396310777 -481.518509517808</t>
  </si>
  <si>
    <t>-590.473781564437 100.723939594057 -590.752856568173</t>
  </si>
  <si>
    <t>-588.79629073773 98.5136416853715 -700.238674560608</t>
  </si>
  <si>
    <t>-577.161953598991 96.5523409878667 -852.096588570542</t>
  </si>
  <si>
    <t>-546.084635007089 96.5926155116111 -949.138707829343</t>
  </si>
  <si>
    <t>-578.222861200057 128.950030527005 -784.998332097908</t>
  </si>
  <si>
    <t>-555.889535245875 272.265436769302 -760.712137214734</t>
  </si>
  <si>
    <t>-459.655158221868 275.22448831996 -459.188733820305</t>
  </si>
  <si>
    <t>-268.688362785521 178.834832916344 -311.260637747155</t>
  </si>
  <si>
    <t>-586.396790404917 65.890218703165 -784.81002443758</t>
  </si>
  <si>
    <t>-508.870479021219 209.241051207128 -258.025671428997</t>
  </si>
  <si>
    <t>-498.891905668037 202.464722945915 197.509389632611</t>
  </si>
  <si>
    <t>-497.694839443191 182.459054790787 666.793052905072</t>
  </si>
  <si>
    <t>-348.387262842879 168.873581293289 758.804929777938</t>
  </si>
  <si>
    <t>-542.560681359953 19.2956032407368 -236.128392349527</t>
  </si>
  <si>
    <t>-450.741293264982 -8.83334950790523 209.332801123901</t>
  </si>
  <si>
    <t>-585.246133828224 -112.696412601144 647.182513406456</t>
  </si>
  <si>
    <t>-429.542094300154 -124.771237211047 728.139095984798</t>
  </si>
  <si>
    <t>9763-20170724T164220.126437200.bin</t>
  </si>
  <si>
    <t>-524.913059435039 115.853393693839 -246.963124079248</t>
  </si>
  <si>
    <t>-564.487212629676 109.621058245534 -361.255898701024</t>
  </si>
  <si>
    <t>-582.530438056278 104.885745145079 -481.016490401435</t>
  </si>
  <si>
    <t>-589.813723157803 101.413512706762 -590.239762720378</t>
  </si>
  <si>
    <t>-588.1320807188 98.8997579489746 -699.719050816257</t>
  </si>
  <si>
    <t>-576.459916485255 96.521402380169 -851.568105369178</t>
  </si>
  <si>
    <t>-545.482592981772 96.4252862066044 -948.642132381334</t>
  </si>
  <si>
    <t>-577.403496614013 129.085705492894 -784.548636723972</t>
  </si>
  <si>
    <t>-554.577909153405 272.355987432497 -760.522781230808</t>
  </si>
  <si>
    <t>-459.368447303865 276.466298416954 -458.687682819096</t>
  </si>
  <si>
    <t>-267.17465758542 186.694822107193 -308.206274380591</t>
  </si>
  <si>
    <t>-585.845508951673 66.0617851048427 -784.210596343953</t>
  </si>
  <si>
    <t>-507.589865365013 210.298869929797 -258.023178599644</t>
  </si>
  <si>
    <t>-499.509690340265 203.5340159767 197.549591062555</t>
  </si>
  <si>
    <t>-497.529499415237 182.033406163941 666.807945026696</t>
  </si>
  <si>
    <t>-348.118760877364 169.36125329196 758.782795827227</t>
  </si>
  <si>
    <t>-542.24800899656 21.5721114498072 -235.145478510226</t>
  </si>
  <si>
    <t>-448.472523856659 -7.14677599664298 209.870236167997</t>
  </si>
  <si>
    <t>-585.195164527458 -111.92055177808 646.611350544814</t>
  </si>
  <si>
    <t>-429.670661696995 -125.965107559345 727.595286209297</t>
  </si>
  <si>
    <t>9763-20170724T164220.191113500.bin</t>
  </si>
  <si>
    <t>-523.402684698271 119.560649008949 -246.254066831835</t>
  </si>
  <si>
    <t>-563.156493280772 112.71384120728 -360.449322180208</t>
  </si>
  <si>
    <t>-581.287197636752 107.303418342999 -480.16813926042</t>
  </si>
  <si>
    <t>-588.608909582779 103.197924852652 -589.367034319029</t>
  </si>
  <si>
    <t>-586.923885469514 100.030138715397 -698.829130237433</t>
  </si>
  <si>
    <t>-575.202652582454 96.7223009528204 -850.656964297557</t>
  </si>
  <si>
    <t>-544.440899625321 96.2978862200609 -947.798649617707</t>
  </si>
  <si>
    <t>-575.858759904146 129.653558444432 -783.813745982176</t>
  </si>
  <si>
    <t>-551.941733932487 272.795047685497 -760.322238338324</t>
  </si>
  <si>
    <t>-458.183968135024 280.203760687326 -458.095776883497</t>
  </si>
  <si>
    <t>-260.628651235042 207.666695769444 -305.281298637192</t>
  </si>
  <si>
    <t>-584.919133158603 66.7182368724741 -783.142011490929</t>
  </si>
  <si>
    <t>-505.58357390298 213.509733096063 -258.083941576914</t>
  </si>
  <si>
    <t>-500.57175714754 206.389704782209 197.527557315733</t>
  </si>
  <si>
    <t>-497.564040559658 182.839107910747 666.779784893331</t>
  </si>
  <si>
    <t>-348.267498659071 168.887784639519 758.754964930654</t>
  </si>
  <si>
    <t>-541.123344920309 25.7261499057257 -233.812864798174</t>
  </si>
  <si>
    <t>-445.066790319001 -3.19046337971141 210.703207784478</t>
  </si>
  <si>
    <t>-585.241033701072 -110.577369496714 645.624233169904</t>
  </si>
  <si>
    <t>-429.523442110314 -126.101972614028 725.964243233478</t>
  </si>
  <si>
    <t>9763-20170724T164220.223728100.bin</t>
  </si>
  <si>
    <t>-522.794021051294 121.138655682657 -246.11445802089</t>
  </si>
  <si>
    <t>-562.542208825866 114.02624915836 -360.295484148145</t>
  </si>
  <si>
    <t>-580.725699572218 108.352855104642 -479.994063280609</t>
  </si>
  <si>
    <t>-588.119033864376 104.006394247724 -589.178830617456</t>
  </si>
  <si>
    <t>-586.528843684865 100.592600403062 -698.63502828478</t>
  </si>
  <si>
    <t>-574.96271840012 96.9352557724345 -850.466748716377</t>
  </si>
  <si>
    <t>-544.283724035721 96.335382924224 -947.633636933634</t>
  </si>
  <si>
    <t>-575.409437721293 129.9998210743 -783.687494440877</t>
  </si>
  <si>
    <t>-550.792786753189 273.106564869276 -760.440488750741</t>
  </si>
  <si>
    <t>-457.506689901234 281.635562459708 -458.097704045732</t>
  </si>
  <si>
    <t>-258.766536037404 210.675346866955 -306.081057800053</t>
  </si>
  <si>
    <t>-584.751282991114 67.1071895445387 -782.884296894338</t>
  </si>
  <si>
    <t>-504.700857636002 214.939447638549 -258.170703516391</t>
  </si>
  <si>
    <t>-500.773737526754 207.536973098046 197.446922164099</t>
  </si>
  <si>
    <t>-497.561318803465 183.123519824602 666.728929448052</t>
  </si>
  <si>
    <t>-348.28191958191 169.060940345748 758.714773508336</t>
  </si>
  <si>
    <t>-540.796671347645 27.2224590141797 -233.428775210725</t>
  </si>
  <si>
    <t>-444.200207006956 -1.15510282297568 211.005116786728</t>
  </si>
  <si>
    <t>-585.304958057626 -109.962568348644 645.248015063133</t>
  </si>
  <si>
    <t>-429.45828583241 -126.466264348592 725.141429060922</t>
  </si>
  <si>
    <t>9763-20170724T164220.296416200.bin</t>
  </si>
  <si>
    <t>-521.764753786081 123.985929003987 -245.943068886986</t>
  </si>
  <si>
    <t>-561.335589740223 116.653763639729 -360.171722712188</t>
  </si>
  <si>
    <t>-579.560234117186 110.556852726731 -479.843130027936</t>
  </si>
  <si>
    <t>-587.081662577913 105.742081714233 -588.999526474831</t>
  </si>
  <si>
    <t>-585.709530996291 101.774158910613 -698.439953094963</t>
  </si>
  <si>
    <t>-574.537837245303 97.2563961727774 -850.27793927647</t>
  </si>
  <si>
    <t>-543.952670440891 96.0751026199026 -947.469263301701</t>
  </si>
  <si>
    <t>-574.617354082917 130.669714304739 -783.67116788539</t>
  </si>
  <si>
    <t>-548.563410821395 273.485680222401 -760.516647408963</t>
  </si>
  <si>
    <t>-453.687033375617 286.420115384033 -458.825824315996</t>
  </si>
  <si>
    <t>-250.981384079282 224.914606119386 -307.929966675541</t>
  </si>
  <si>
    <t>-584.344584315839 67.8410052344315 -782.517500529926</t>
  </si>
  <si>
    <t>-503.130742309281 217.657352651525 -258.284830787342</t>
  </si>
  <si>
    <t>-500.248295308547 209.513554919683 197.328015651968</t>
  </si>
  <si>
    <t>-497.564776215188 183.644614265124 666.623899146989</t>
  </si>
  <si>
    <t>-348.48477788527 168.616715669209 758.780407627189</t>
  </si>
  <si>
    <t>-540.218962023856 30.4627138527381 -232.991138472171</t>
  </si>
  <si>
    <t>-443.282323908872 0.883903689507235 211.290360321257</t>
  </si>
  <si>
    <t>-585.222371674072 -109.598551041086 644.763814101005</t>
  </si>
  <si>
    <t>-429.338604128901 -126.318090320327 724.539932488581</t>
  </si>
  <si>
    <t>9763-20170724T164220.323495100.bin</t>
  </si>
  <si>
    <t>-521.16043703473 125.037897235942 -245.948691026722</t>
  </si>
  <si>
    <t>-560.684916601599 117.718075319299 -360.194172091164</t>
  </si>
  <si>
    <t>-578.881230947955 111.515258359948 -479.864472652804</t>
  </si>
  <si>
    <t>-586.384290625338 106.556632035224 -589.01555550181</t>
  </si>
  <si>
    <t>-585.000566312443 102.396630312355 -698.448887963892</t>
  </si>
  <si>
    <t>-573.819489285396 97.5620253929709 -850.276412674721</t>
  </si>
  <si>
    <t>-543.263059769543 96.1573857921673 -947.473620475174</t>
  </si>
  <si>
    <t>-573.870652226543 131.109342016035 -783.736948715846</t>
  </si>
  <si>
    <t>-547.58105920382 273.953813271321 -760.710729296575</t>
  </si>
  <si>
    <t>-450.353034471185 289.809546557501 -459.90941322143</t>
  </si>
  <si>
    <t>-246.500315750242 231.446577618655 -309.310814943346</t>
  </si>
  <si>
    <t>-583.662956034386 68.2931312742569 -782.45778748848</t>
  </si>
  <si>
    <t>-502.432705830304 218.694159057325 -258.292135781426</t>
  </si>
  <si>
    <t>-499.805569467757 210.041426957824 197.312793667443</t>
  </si>
  <si>
    <t>-497.456468558378 183.429675607042 666.568700223382</t>
  </si>
  <si>
    <t>-348.387032843009 168.797835304319 758.806072144361</t>
  </si>
  <si>
    <t>-539.684897526387 31.4263061042478 -233.004916302505</t>
  </si>
  <si>
    <t>-443.156972107817 1.30324733158077 211.329075191127</t>
  </si>
  <si>
    <t>-585.196394118671 -109.801600205666 644.70258797472</t>
  </si>
  <si>
    <t>-429.321320185591 -126.566392800318 724.486151384794</t>
  </si>
  <si>
    <t>9763-20170724T164220.388671800.bin</t>
  </si>
  <si>
    <t>-520.090750882645 126.912124970158 -245.840364669617</t>
  </si>
  <si>
    <t>-559.483826844854 119.459355357192 -360.122746472372</t>
  </si>
  <si>
    <t>-577.625865240906 112.835068750978 -479.778789870737</t>
  </si>
  <si>
    <t>-585.111510144235 107.37868457942 -588.907211382521</t>
  </si>
  <si>
    <t>-583.74081828642 102.604694629643 -698.315691701968</t>
  </si>
  <si>
    <t>-572.608223798889 96.7961693501288 -850.11261515951</t>
  </si>
  <si>
    <t>-542.083843511534 94.7103934684029 -947.307714229585</t>
  </si>
  <si>
    <t>-572.587092233527 130.761720993188 -783.785653584224</t>
  </si>
  <si>
    <t>-546.026647504398 273.695870336875 -761.664598450148</t>
  </si>
  <si>
    <t>-442.957224097516 298.68362840249 -463.439128235101</t>
  </si>
  <si>
    <t>-234.256611873946 249.609333442099 -316.205197831928</t>
  </si>
  <si>
    <t>-582.481051398378 67.970817235671 -782.108668560365</t>
  </si>
  <si>
    <t>-501.233937660094 220.479489355656 -258.294157831932</t>
  </si>
  <si>
    <t>-499.305230475843 211.24404523256 197.302789637293</t>
  </si>
  <si>
    <t>-497.329326445284 183.569829913606 666.437265117405</t>
  </si>
  <si>
    <t>-348.380628924988 168.681410718887 758.82854213127</t>
  </si>
  <si>
    <t>-538.723460264689 33.3871292237103 -232.66729794617</t>
  </si>
  <si>
    <t>-442.487920243343 2.13871056067125 211.65227247115</t>
  </si>
  <si>
    <t>-585.288350640525 -109.522837443564 644.548010582352</t>
  </si>
  <si>
    <t>-429.487065382684 -126.879172856773 724.349181213628</t>
  </si>
  <si>
    <t>9763-20170724T164220.423767100.bin</t>
  </si>
  <si>
    <t>-519.576167762166 127.702138342909 -245.762048072096</t>
  </si>
  <si>
    <t>-558.958927708297 120.141534253333 -360.040813871809</t>
  </si>
  <si>
    <t>-577.117422640949 113.256896020377 -479.679663263087</t>
  </si>
  <si>
    <t>-584.627787377678 107.501703017392 -588.791129376415</t>
  </si>
  <si>
    <t>-583.291074079349 102.365105912669 -698.183339121088</t>
  </si>
  <si>
    <t>-572.214393307735 95.9854059557942 -849.961555014241</t>
  </si>
  <si>
    <t>-541.712104213887 93.503281327298 -947.154392553632</t>
  </si>
  <si>
    <t>-572.136952730381 130.195310574784 -783.760431028967</t>
  </si>
  <si>
    <t>-545.52258950338 273.20803544388 -762.193604263775</t>
  </si>
  <si>
    <t>-439.023396313549 303.44067909219 -465.663620304101</t>
  </si>
  <si>
    <t>-228.778979676861 256.629648341882 -319.896318201405</t>
  </si>
  <si>
    <t>-582.094044526168 67.4211229772898 -781.848526421603</t>
  </si>
  <si>
    <t>-500.73898436129 221.148381013238 -258.304689608838</t>
  </si>
  <si>
    <t>-499.195122794153 211.726233174993 197.290042187824</t>
  </si>
  <si>
    <t>-497.252572410357 183.445922723629 666.412041581542</t>
  </si>
  <si>
    <t>-348.255395811354 169.026668629953 758.799610710189</t>
  </si>
  <si>
    <t>-538.185984622415 34.3279938149894 -232.495841135138</t>
  </si>
  <si>
    <t>-442.111953672248 2.67804388537074 211.830378029994</t>
  </si>
  <si>
    <t>-585.346987241667 -109.287454582181 644.460313728837</t>
  </si>
  <si>
    <t>-429.589959922992 -127.115296488924 724.243866248662</t>
  </si>
  <si>
    <t>9763-20170724T164220.486938400.bin</t>
  </si>
  <si>
    <t>-518.699043926054 128.890273633908 -245.657001754125</t>
  </si>
  <si>
    <t>-558.00103866531 121.151483795861 -359.951589507696</t>
  </si>
  <si>
    <t>-576.118610594529 113.729823798378 -479.564463768567</t>
  </si>
  <si>
    <t>-583.606924436908 107.340769485938 -588.642166181099</t>
  </si>
  <si>
    <t>-582.261602104834 101.420182568278 -697.994767028864</t>
  </si>
  <si>
    <t>-571.185205333735 93.7932669408407 -849.715401495095</t>
  </si>
  <si>
    <t>-540.689166240816 90.4238738213029 -946.883428114913</t>
  </si>
  <si>
    <t>-571.042624269175 128.535979598261 -783.792372372393</t>
  </si>
  <si>
    <t>-544.062634580834 271.623508984691 -763.309110604779</t>
  </si>
  <si>
    <t>-430.958052125713 313.92197840117 -470.726783003846</t>
  </si>
  <si>
    <t>-218.683054577254 268.961289927028 -327.339622242911</t>
  </si>
  <si>
    <t>-581.129742666904 65.7999859674229 -781.37518087368</t>
  </si>
  <si>
    <t>-499.936898657968 222.546670358896 -258.356344219197</t>
  </si>
  <si>
    <t>-499.053091068977 212.6886435991 197.230917214846</t>
  </si>
  <si>
    <t>-497.204674487684 183.859029062392 666.308723566365</t>
  </si>
  <si>
    <t>-348.319965565152 168.711176411887 758.760826152363</t>
  </si>
  <si>
    <t>-537.306098734011 35.2333021885952 -232.281537999362</t>
  </si>
  <si>
    <t>-441.558747114844 3.42846291426122 212.104106921382</t>
  </si>
  <si>
    <t>-585.24014645686 -110.049898743868 644.251922595691</t>
  </si>
  <si>
    <t>-429.346532070223 -127.248236461394 723.906960150877</t>
  </si>
  <si>
    <t>9763-20170724T164220.526542900.bin</t>
  </si>
  <si>
    <t>-518.425779199248 129.45635082778 -245.631619211634</t>
  </si>
  <si>
    <t>-557.662239823869 121.622353582822 -359.942300579737</t>
  </si>
  <si>
    <t>-575.707783217029 113.941501129919 -479.549653700318</t>
  </si>
  <si>
    <t>-583.127883822099 107.246385884027 -588.613837529881</t>
  </si>
  <si>
    <t>-581.710633980928 100.944967944605 -697.944137770517</t>
  </si>
  <si>
    <t>-570.529708002778 92.7079284987921 -849.625184249059</t>
  </si>
  <si>
    <t>-540.043987201204 88.8940171701239 -946.780043753541</t>
  </si>
  <si>
    <t>-570.39497733024 127.709506599858 -783.839300674296</t>
  </si>
  <si>
    <t>-543.255061154101 270.830253725129 -763.885129050755</t>
  </si>
  <si>
    <t>-426.402041797948 319.834161212622 -473.833146507556</t>
  </si>
  <si>
    <t>-212.647332657133 275.56698473139 -332.442150658102</t>
  </si>
  <si>
    <t>-580.558842919937 64.9955967044885 -781.182812921685</t>
  </si>
  <si>
    <t>-499.709598005984 223.111536321184 -258.3706232409</t>
  </si>
  <si>
    <t>-498.902043400996 213.060380907629 197.212471238365</t>
  </si>
  <si>
    <t>-497.162600408515 183.89255798155 666.283533547899</t>
  </si>
  <si>
    <t>-348.244814726452 169.117646348422 758.742714307061</t>
  </si>
  <si>
    <t>-536.98269796109 35.8967288914899 -232.230532738655</t>
  </si>
  <si>
    <t>-441.399308827239 4.00256405712054 212.183915049852</t>
  </si>
  <si>
    <t>-585.325538661347 -109.715712994781 644.172385691725</t>
  </si>
  <si>
    <t>-429.389152404299 -127.081223677856 723.707229142386</t>
  </si>
  <si>
    <t>9763-20170724T164220.589212500.bin</t>
  </si>
  <si>
    <t>-517.875332415288 130.26765572669 -245.511456878784</t>
  </si>
  <si>
    <t>-557.064699291452 122.191613365438 -359.821540398689</t>
  </si>
  <si>
    <t>-575.080432286448 113.947338320689 -479.395898707669</t>
  </si>
  <si>
    <t>-582.478894742886 106.606431042562 -588.419781919708</t>
  </si>
  <si>
    <t>-581.044317845363 99.518781534668 -697.701803941952</t>
  </si>
  <si>
    <t>-569.842323102245 90.0394604470993 -849.308785838079</t>
  </si>
  <si>
    <t>-539.458484177596 85.277770510722 -946.453686789375</t>
  </si>
  <si>
    <t>-569.698715346281 125.575968769343 -783.81020143574</t>
  </si>
  <si>
    <t>-542.07666119049 268.846861976141 -765.213692908652</t>
  </si>
  <si>
    <t>-417.145222235172 334.728603597949 -481.950778284124</t>
  </si>
  <si>
    <t>-201.6174102947 289.142213628839 -343.705764588205</t>
  </si>
  <si>
    <t>-579.89894692207 62.8915615484773 -780.644645207314</t>
  </si>
  <si>
    <t>-499.316781355962 223.784717006043 -258.316600235308</t>
  </si>
  <si>
    <t>-498.904733253022 213.492718961363 197.261696398946</t>
  </si>
  <si>
    <t>-497.086083413032 183.677557226248 666.311079271535</t>
  </si>
  <si>
    <t>-348.046301045026 169.784784151584 758.710493944599</t>
  </si>
  <si>
    <t>-536.219671332941 36.7882905862232 -232.018469537102</t>
  </si>
  <si>
    <t>-441.045471994825 4.78947489928231 212.476304227261</t>
  </si>
  <si>
    <t>-585.418175471528 -109.902244642142 644.042432316422</t>
  </si>
  <si>
    <t>-429.186649854899 -126.890843799961 723.077868395697</t>
  </si>
  <si>
    <t>9763-20170724T164220.622302400.bin</t>
  </si>
  <si>
    <t>-517.612371327468 130.794464783216 -245.414990237997</t>
  </si>
  <si>
    <t>-556.777372099516 122.559194670609 -359.721915888133</t>
  </si>
  <si>
    <t>-574.791711426526 113.862318959218 -479.264380936409</t>
  </si>
  <si>
    <t>-582.197044998401 105.991694249288 -588.250900614076</t>
  </si>
  <si>
    <t>-580.776426222219 98.2530211097621 -697.488929039998</t>
  </si>
  <si>
    <t>-569.600148216519 87.741603019826 -849.029863325911</t>
  </si>
  <si>
    <t>-539.280365678344 82.3258634206563 -946.160346809088</t>
  </si>
  <si>
    <t>-569.433113754243 123.721290984813 -783.773594531589</t>
  </si>
  <si>
    <t>-541.953781537791 267.189423563799 -766.407766989554</t>
  </si>
  <si>
    <t>-412.235731779631 340.340789644671 -487.108215364313</t>
  </si>
  <si>
    <t>-196.68232191096 293.760724351352 -349.23485000352</t>
  </si>
  <si>
    <t>-579.657484290493 61.0638753850157 -780.181563689538</t>
  </si>
  <si>
    <t>-499.205795996377 224.322484394169 -258.294264093956</t>
  </si>
  <si>
    <t>-499.011023039918 213.950238059713 197.28234304358</t>
  </si>
  <si>
    <t>-497.167009581478 183.943026934168 666.349578831051</t>
  </si>
  <si>
    <t>-348.175068282581 169.277893978662 758.706694264464</t>
  </si>
  <si>
    <t>-535.845608686352 37.3001021639004 -231.849827710629</t>
  </si>
  <si>
    <t>-440.870514572198 5.52950082156096 212.70394048456</t>
  </si>
  <si>
    <t>-585.519127142167 -109.875871545637 644.034334960869</t>
  </si>
  <si>
    <t>-429.132237013704 -127.102500123336 722.71021498438</t>
  </si>
  <si>
    <t>9763-20170724T164220.690490100.bin</t>
  </si>
  <si>
    <t>-517.142391947644 132.017577684586 -245.283375599111</t>
  </si>
  <si>
    <t>-556.322858877365 123.427850008151 -359.55887076135</t>
  </si>
  <si>
    <t>-574.360226731991 113.797537414109 -479.026305614358</t>
  </si>
  <si>
    <t>-581.786688883648 104.837476283585 -587.927333229034</t>
  </si>
  <si>
    <t>-580.385352862164 95.7574016986812 -697.062298038624</t>
  </si>
  <si>
    <t>-569.232027163899 83.1136105191907 -848.441633151309</t>
  </si>
  <si>
    <t>-539.057800778891 76.3647110776284 -945.534118625479</t>
  </si>
  <si>
    <t>-568.932827198461 119.988960455943 -783.688109789388</t>
  </si>
  <si>
    <t>-541.102366050701 263.610646147781 -768.907036818208</t>
  </si>
  <si>
    <t>-403.611684855562 349.771008810336 -497.137159237985</t>
  </si>
  <si>
    <t>-189.267375490947 299.692841602927 -358.606371019</t>
  </si>
  <si>
    <t>-579.401231676456 57.4272115950106 -779.234008214374</t>
  </si>
  <si>
    <t>-498.627540369397 225.478947529115 -258.464271848225</t>
  </si>
  <si>
    <t>-498.915965851791 214.95208300489 197.108741051397</t>
  </si>
  <si>
    <t>-496.973361646637 184.694111186058 665.818089219196</t>
  </si>
  <si>
    <t>-348.060867684654 170.044134397249 758.30563178052</t>
  </si>
  <si>
    <t>-535.496428938242 38.6375928284916 -231.487572392575</t>
  </si>
  <si>
    <t>-440.663439531905 7.37069067443383 213.132234670865</t>
  </si>
  <si>
    <t>-585.814634880171 -109.159205894695 643.964043502844</t>
  </si>
  <si>
    <t>-429.131042536915 -127.662834098122 721.75458528284</t>
  </si>
  <si>
    <t>9763-20170724T164220.724584600.bin</t>
  </si>
  <si>
    <t>-516.706893465834 132.711774336879 -245.372720649524</t>
  </si>
  <si>
    <t>-555.929482570111 123.951963907691 -359.620843617089</t>
  </si>
  <si>
    <t>-574.015337162208 113.833556619444 -479.04070239288</t>
  </si>
  <si>
    <t>-581.486588691956 104.294312602716 -587.889371476031</t>
  </si>
  <si>
    <t>-580.130132309469 94.491804472815 -696.962368477608</t>
  </si>
  <si>
    <t>-569.038359142396 80.6900835504732 -848.245307346983</t>
  </si>
  <si>
    <t>-538.962882450334 73.1875559522853 -945.313012188469</t>
  </si>
  <si>
    <t>-568.602400611812 118.041863187903 -783.765995613662</t>
  </si>
  <si>
    <t>-540.396380225989 261.713186793202 -770.163766009867</t>
  </si>
  <si>
    <t>-399.519662115906 352.537387371152 -501.666293301592</t>
  </si>
  <si>
    <t>-185.282574614548 301.255612212712 -363.410394461326</t>
  </si>
  <si>
    <t>-579.289842108673 55.5519254097011 -778.848547150226</t>
  </si>
  <si>
    <t>-498.083732174384 226.216803575609 -258.658900243231</t>
  </si>
  <si>
    <t>-498.68286758917 215.679228609234 196.913562796344</t>
  </si>
  <si>
    <t>-496.939183236938 184.871431595778 665.870609845289</t>
  </si>
  <si>
    <t>-348.055874973895 169.973237026025 758.365483769526</t>
  </si>
  <si>
    <t>-535.157291025035 39.2418796985285 -231.42944205366</t>
  </si>
  <si>
    <t>-440.50771750384 8.06577529665798 213.235793583095</t>
  </si>
  <si>
    <t>-585.873685589369 -109.115986224911 643.909764819072</t>
  </si>
  <si>
    <t>-429.036533581457 -127.781342799387 721.351524137097</t>
  </si>
  <si>
    <t>9763-20170724T164220.789540900.bin</t>
  </si>
  <si>
    <t>-515.733834034335 133.707864301445 -245.302748294306</t>
  </si>
  <si>
    <t>-554.770624976331 124.639371935607 -359.590514229029</t>
  </si>
  <si>
    <t>-572.831937063666 113.620320715232 -478.934140172822</t>
  </si>
  <si>
    <t>-580.34884350888 103.00594334638 -587.680192713866</t>
  </si>
  <si>
    <t>-579.105503855536 91.8554696415716 -696.624938816309</t>
  </si>
  <si>
    <t>-568.240189275733 75.8849557819311 -847.710665467915</t>
  </si>
  <si>
    <t>-538.370456735426 66.837534370725 -944.710252412509</t>
  </si>
  <si>
    <t>-567.482723483592 114.120312292453 -783.754471046662</t>
  </si>
  <si>
    <t>-538.320715408698 257.779757813669 -772.158215225206</t>
  </si>
  <si>
    <t>-391.333847130564 357.93189626486 -510.336499846009</t>
  </si>
  <si>
    <t>-177.880278117797 304.084805886575 -371.844224895686</t>
  </si>
  <si>
    <t>-578.61280755321 51.7824803628072 -777.965357797388</t>
  </si>
  <si>
    <t>-497.146590664035 227.11586093091 -258.691357292733</t>
  </si>
  <si>
    <t>-498.329102453123 216.405496841295 196.875957414696</t>
  </si>
  <si>
    <t>-497.050869235413 185.268221183922 665.989588157612</t>
  </si>
  <si>
    <t>-348.098184575868 170.288011369509 758.359566106916</t>
  </si>
  <si>
    <t>-534.201235463049 40.3133960736973 -231.293700500499</t>
  </si>
  <si>
    <t>-440.410391188328 8.63111443309522 213.517691062001</t>
  </si>
  <si>
    <t>-585.955415784843 -108.934820619737 643.994916100136</t>
  </si>
  <si>
    <t>-428.865096958334 -127.348072072925 720.98252888754</t>
  </si>
  <si>
    <t>9763-20170724T164220.823656300.bin</t>
  </si>
  <si>
    <t>-515.209962985678 133.769211041209 -245.223095792999</t>
  </si>
  <si>
    <t>-554.212110337051 124.642823232825 -359.518111955862</t>
  </si>
  <si>
    <t>-572.265604951378 113.224328090595 -478.825502080398</t>
  </si>
  <si>
    <t>-579.786738754941 102.100705119485 -587.520243671103</t>
  </si>
  <si>
    <t>-578.558964102207 90.2873236881607 -696.395358412006</t>
  </si>
  <si>
    <t>-567.727004409144 73.2304078950361 -847.364694571945</t>
  </si>
  <si>
    <t>-537.864332831649 63.4007830761201 -944.29032450018</t>
  </si>
  <si>
    <t>-566.849513773461 111.906699289241 -783.675640221488</t>
  </si>
  <si>
    <t>-537.1633865475 255.531719622356 -773.158123573912</t>
  </si>
  <si>
    <t>-386.214397574367 360.29212035593 -515.425917830417</t>
  </si>
  <si>
    <t>-172.221784864304 305.386409624999 -378.186811617954</t>
  </si>
  <si>
    <t>-578.190175760769 49.6484096527674 -777.455187140661</t>
  </si>
  <si>
    <t>-496.580174765735 227.070869429798 -258.606196941147</t>
  </si>
  <si>
    <t>-497.97912480548 216.214548178703 196.957032237202</t>
  </si>
  <si>
    <t>-496.96941162818 184.54946739382 666.048861406606</t>
  </si>
  <si>
    <t>-347.79259057043 171.304108581723 758.3220495496</t>
  </si>
  <si>
    <t>-533.720478719412 40.5148918597679 -231.191893137607</t>
  </si>
  <si>
    <t>-440.29538511695 8.54169382931471 213.675668374929</t>
  </si>
  <si>
    <t>-585.934368362733 -109.1022260695 644.08901744318</t>
  </si>
  <si>
    <t>-428.747359533117 -127.232040609721 720.946430605219</t>
  </si>
  <si>
    <t>9763-20170724T164220.891665500.bin</t>
  </si>
  <si>
    <t>-514.147998313034 134.160485522088 -245.03834422889</t>
  </si>
  <si>
    <t>-553.24641556787 124.837741633253 -359.284516671703</t>
  </si>
  <si>
    <t>-571.492936631233 112.523515083822 -478.473492042199</t>
  </si>
  <si>
    <t>-579.228665626475 100.282565315849 -587.033025820395</t>
  </si>
  <si>
    <t>-578.255778627791 87.0307490559873 -695.744869976379</t>
  </si>
  <si>
    <t>-567.820167891022 67.6275140604699 -846.458584343608</t>
  </si>
  <si>
    <t>-537.908303215524 56.1493159011875 -943.187707650007</t>
  </si>
  <si>
    <t>-566.497917514414 107.240683251233 -783.355802571307</t>
  </si>
  <si>
    <t>-535.540289369798 250.806116625158 -775.490439317149</t>
  </si>
  <si>
    <t>-375.381491703525 365.570379511553 -527.771799393268</t>
  </si>
  <si>
    <t>-162.717245244065 307.982848667101 -389.570304579146</t>
  </si>
  <si>
    <t>-578.377231827216 45.1849617792375 -776.189108355134</t>
  </si>
  <si>
    <t>-495.523912350544 227.551965127271 -258.535601163983</t>
  </si>
  <si>
    <t>-497.205882126147 216.716463009413 197.027173601115</t>
  </si>
  <si>
    <t>-497.069786214415 184.914035400874 666.050585886617</t>
  </si>
  <si>
    <t>-347.965759278938 170.937564945819 758.3335569238</t>
  </si>
  <si>
    <t>-532.59632545196 40.8197647011482 -230.850630187323</t>
  </si>
  <si>
    <t>-439.838440701064 8.73790369267311 214.148767933346</t>
  </si>
  <si>
    <t>-585.884327645155 -109.356168820358 644.294135480158</t>
  </si>
  <si>
    <t>-428.58505493122 -127.070874939276 721.018564065941</t>
  </si>
  <si>
    <t>9763-20170724T164220.924248000.bin</t>
  </si>
  <si>
    <t>-513.622823898404 134.419481976075 -244.943280263589</t>
  </si>
  <si>
    <t>-552.736289815473 124.955848381563 -359.17278059979</t>
  </si>
  <si>
    <t>-571.1428251176 112.090992861982 -478.278821862192</t>
  </si>
  <si>
    <t>-579.084050316771 99.1754606977735 -586.745430332133</t>
  </si>
  <si>
    <t>-578.377849886682 85.0659657240156 -695.351387831565</t>
  </si>
  <si>
    <t>-568.37639401929 64.2746467167875 -845.909259225797</t>
  </si>
  <si>
    <t>-538.437625443238 51.9377017103548 -942.524401404949</t>
  </si>
  <si>
    <t>-566.695286573464 104.435187049045 -783.162024112811</t>
  </si>
  <si>
    <t>-535.061404564081 247.893244390011 -776.902114828</t>
  </si>
  <si>
    <t>-370.545252758079 367.158127201515 -534.216042887751</t>
  </si>
  <si>
    <t>-157.701766572503 308.105657684726 -396.911670678539</t>
  </si>
  <si>
    <t>-578.908113716304 42.5131561706089 -775.422218497475</t>
  </si>
  <si>
    <t>-494.858396325096 227.733374120222 -258.539825754547</t>
  </si>
  <si>
    <t>-496.865402769845 216.971446558165 197.023407983793</t>
  </si>
  <si>
    <t>-497.137435519075 185.06173850221 666.05103922602</t>
  </si>
  <si>
    <t>-348.018378271289 171.142438160579 758.318368855917</t>
  </si>
  <si>
    <t>-532.234796861 41.1227072924508 -230.629717143852</t>
  </si>
  <si>
    <t>-439.600575944593 9.16823846479923 214.404553082805</t>
  </si>
  <si>
    <t>-585.89572276915 -109.078722032734 644.412324257419</t>
  </si>
  <si>
    <t>-428.735771864873 -128.004475124514 721.133076353679</t>
  </si>
  <si>
    <t>9763-20170724T164220.989927900.bin</t>
  </si>
  <si>
    <t>-512.435884601838 134.62527092558 -244.676506135078</t>
  </si>
  <si>
    <t>-551.54302618796 124.969556452715 -358.892130391855</t>
  </si>
  <si>
    <t>-570.142526714632 111.084829989248 -477.853636280562</t>
  </si>
  <si>
    <t>-578.342788252725 96.8976770133342 -586.141719056453</t>
  </si>
  <si>
    <t>-577.981641404257 81.1599141448538 -694.525671562779</t>
  </si>
  <si>
    <t>-568.550680380754 57.7274839699016 -844.732045089735</t>
  </si>
  <si>
    <t>-538.553053656861 43.9738116867862 -941.137251437456</t>
  </si>
  <si>
    <t>-566.270986610283 98.9149162757371 -782.672978936327</t>
  </si>
  <si>
    <t>-532.989102552026 242.09571102717 -779.212473687559</t>
  </si>
  <si>
    <t>-361.002973087247 368.542128846199 -545.50711119982</t>
  </si>
  <si>
    <t>-150.682464418284 308.12576371353 -404.946848750939</t>
  </si>
  <si>
    <t>-579.176186154672 37.2763095402034 -773.867584778177</t>
  </si>
  <si>
    <t>-493.273964647314 228.019804519481 -258.607558093191</t>
  </si>
  <si>
    <t>-495.880424560282 217.389792068785 196.955746518683</t>
  </si>
  <si>
    <t>-497.203433277041 185.348297084771 665.991727209719</t>
  </si>
  <si>
    <t>-348.178365078272 170.682680721733 758.295323190782</t>
  </si>
  <si>
    <t>-531.45643134837 41.229337621635 -230.169632888792</t>
  </si>
  <si>
    <t>-439.101311979528 9.12300163221843 214.911697068824</t>
  </si>
  <si>
    <t>-585.823497906926 -109.302387578732 644.764653007755</t>
  </si>
  <si>
    <t>-428.547820746237 -127.741333299842 721.36677258138</t>
  </si>
  <si>
    <t>9763-20170724T164221.023056200.bin</t>
  </si>
  <si>
    <t>-511.96417193477 134.912986394432 -244.627070562198</t>
  </si>
  <si>
    <t>-551.189666569417 125.243370882271 -358.800954661619</t>
  </si>
  <si>
    <t>-569.957445322555 110.959979847166 -477.688812159859</t>
  </si>
  <si>
    <t>-578.331224014157 96.2465546415432 -585.89347269832</t>
  </si>
  <si>
    <t>-578.166103330266 79.8118207879971 -694.174265393161</t>
  </si>
  <si>
    <t>-569.03180800629 55.228027830783 -844.214852612203</t>
  </si>
  <si>
    <t>-539.023866291428 40.8792392442041 -940.530016789741</t>
  </si>
  <si>
    <t>-566.43927440754 96.8523721060979 -782.460477588036</t>
  </si>
  <si>
    <t>-532.248164954013 239.841818484693 -780.138920238457</t>
  </si>
  <si>
    <t>-358.241681532193 366.769186606177 -548.196252462044</t>
  </si>
  <si>
    <t>-148.205574576347 306.712299197053 -407.057766343035</t>
  </si>
  <si>
    <t>-579.707577843028 35.3588086031754 -773.192644405627</t>
  </si>
  <si>
    <t>-492.670622008105 228.405971111635 -258.677165529629</t>
  </si>
  <si>
    <t>-495.125035566937 217.674905556211 196.88463712776</t>
  </si>
  <si>
    <t>-497.151504802711 185.426233154326 665.883369582427</t>
  </si>
  <si>
    <t>-348.240938539472 170.383288323651 758.310960003833</t>
  </si>
  <si>
    <t>-531.156567683809 41.5039701146001 -230.059869029296</t>
  </si>
  <si>
    <t>-439.093766601356 9.20754782730609 215.068327143253</t>
  </si>
  <si>
    <t>-585.870875492719 -109.053195980158 645.000983155059</t>
  </si>
  <si>
    <t>-428.601152028367 -127.787139338566 721.543816668564</t>
  </si>
  <si>
    <t>9763-20170724T164221.090448800.bin</t>
  </si>
  <si>
    <t>-511.182154640377 134.830970327092 -244.763701027294</t>
  </si>
  <si>
    <t>-550.384972111274 125.16553191766 -358.94568818369</t>
  </si>
  <si>
    <t>-569.285476148644 110.308773548988 -477.742335161642</t>
  </si>
  <si>
    <t>-577.848197460824 94.8246303827463 -585.824444629633</t>
  </si>
  <si>
    <t>-577.944012995619 77.357124441921 -693.943594553657</t>
  </si>
  <si>
    <t>-569.250601158266 51.0559300943144 -843.71889832183</t>
  </si>
  <si>
    <t>-539.2817553711 35.7953139777186 -939.906093959468</t>
  </si>
  <si>
    <t>-566.178759155095 93.3236219645334 -782.42522201738</t>
  </si>
  <si>
    <t>-531.043036000228 236.119566855979 -781.713827478276</t>
  </si>
  <si>
    <t>-358.001692256849 358.376845444526 -546.562667928899</t>
  </si>
  <si>
    <t>-149.883084877659 301.405605851409 -401.362897050712</t>
  </si>
  <si>
    <t>-580.015612274064 32.0631503004512 -772.470849668286</t>
  </si>
  <si>
    <t>-491.546707065809 228.562183728069 -258.860759730616</t>
  </si>
  <si>
    <t>-493.436063930904 217.717350677419 196.700936760912</t>
  </si>
  <si>
    <t>-496.97862168263 185.692540556421 665.626747692611</t>
  </si>
  <si>
    <t>-348.291503945775 170.582015296572 758.402410328746</t>
  </si>
  <si>
    <t>-530.630446316237 41.2132826659799 -230.006461768279</t>
  </si>
  <si>
    <t>-439.338208365232 8.53596713768556 215.252587541752</t>
  </si>
  <si>
    <t>-585.8008045445 -109.82655426116 645.458060433889</t>
  </si>
  <si>
    <t>-428.314667851154 -127.242025368183 721.866966351945</t>
  </si>
  <si>
    <t>9763-20170724T164221.124038000.bin</t>
  </si>
  <si>
    <t>-510.710959130435 134.854560265096 -244.744331663299</t>
  </si>
  <si>
    <t>-549.856161325713 125.141616342242 -358.942078427228</t>
  </si>
  <si>
    <t>-568.766676681923 110.081600995016 -477.711421025035</t>
  </si>
  <si>
    <t>-577.368335008458 94.346351825581 -585.754272784424</t>
  </si>
  <si>
    <t>-577.534168501491 76.557963287857 -693.820867974383</t>
  </si>
  <si>
    <t>-568.971250491347 49.7359468491307 -843.511453548869</t>
  </si>
  <si>
    <t>-538.86380148344 34.1414099448841 -939.601749815734</t>
  </si>
  <si>
    <t>-565.785066043752 92.203693182159 -782.36203314769</t>
  </si>
  <si>
    <t>-530.401166805716 234.933141517961 -781.985377036672</t>
  </si>
  <si>
    <t>-360.051301495322 353.111850728127 -542.818288307885</t>
  </si>
  <si>
    <t>-153.513767621823 298.201379460347 -394.598392063564</t>
  </si>
  <si>
    <t>-579.735111445255 31.0039986775594 -772.194060241601</t>
  </si>
  <si>
    <t>-491.082842400035 228.624617373516 -258.887656041631</t>
  </si>
  <si>
    <t>-492.920762937556 217.697266353238 196.672241593686</t>
  </si>
  <si>
    <t>-496.910980222099 185.552172724096 665.580633620788</t>
  </si>
  <si>
    <t>-348.199603804447 171.238961677711 758.443759636284</t>
  </si>
  <si>
    <t>-530.088176198977 41.2496776827962 -229.94620876312</t>
  </si>
  <si>
    <t>-439.345886239237 8.36889682592556 215.410210644464</t>
  </si>
  <si>
    <t>-585.806772062546 -109.999042144938 645.656717260943</t>
  </si>
  <si>
    <t>-428.245916481631 -127.036514336444 721.99690919898</t>
  </si>
  <si>
    <t>9763-20170724T164221.186706200.bin</t>
  </si>
  <si>
    <t>-509.766934032467 135.40893416935 -244.495295506436</t>
  </si>
  <si>
    <t>-548.76535365058 125.341094744949 -358.712477493167</t>
  </si>
  <si>
    <t>-567.447898293748 110.007476053983 -477.482862329171</t>
  </si>
  <si>
    <t>-575.812733998065 94.0555509568057 -585.512571807551</t>
  </si>
  <si>
    <t>-575.713035126219 76.0786778631464 -693.548167134213</t>
  </si>
  <si>
    <t>-566.75303467336 49.0220505381608 -843.173225145248</t>
  </si>
  <si>
    <t>-535.958757024592 33.1934690328601 -939.007144116758</t>
  </si>
  <si>
    <t>-563.81759844311 91.6043194023777 -782.090903060568</t>
  </si>
  <si>
    <t>-528.372866422633 234.28962437457 -781.021061615764</t>
  </si>
  <si>
    <t>-364.979124776052 344.573821501554 -533.38025432711</t>
  </si>
  <si>
    <t>-158.558019816723 292.977243584304 -383.813412170207</t>
  </si>
  <si>
    <t>-577.617528729506 30.383251782911 -771.846647675391</t>
  </si>
  <si>
    <t>-490.601164928266 229.064872687002 -258.833984179037</t>
  </si>
  <si>
    <t>-492.49033527958 218.251950322419 196.728515140059</t>
  </si>
  <si>
    <t>-496.936794778184 185.807958068388 665.581598963155</t>
  </si>
  <si>
    <t>-348.259979234223 171.566279930437 758.511003211886</t>
  </si>
  <si>
    <t>-528.71625532007 41.9683268015339 -229.504883441934</t>
  </si>
  <si>
    <t>-438.685485738015 8.66550032179825 215.964591804634</t>
  </si>
  <si>
    <t>-586.000194597915 -109.65255699216 646.006425742516</t>
  </si>
  <si>
    <t>-428.595090805598 -128.284732100878 722.295268948585</t>
  </si>
  <si>
    <t>9763-20170724T164221.224312800.bin</t>
  </si>
  <si>
    <t>-509.452614306335 135.717348130091 -244.308176791355</t>
  </si>
  <si>
    <t>-548.477119123176 125.438163919892 -358.497661838999</t>
  </si>
  <si>
    <t>-567.020873162371 110.042274234456 -477.281883770009</t>
  </si>
  <si>
    <t>-575.19219110531 94.0947583087813 -585.32701555732</t>
  </si>
  <si>
    <t>-574.831477816191 76.1823955302716 -693.372573126779</t>
  </si>
  <si>
    <t>-565.439567959724 49.2776898899961 -842.998593417101</t>
  </si>
  <si>
    <t>-534.324675291559 33.5531333968157 -938.746066401712</t>
  </si>
  <si>
    <t>-562.85501329799 91.8338737378627 -781.882236527492</t>
  </si>
  <si>
    <t>-527.851916915716 234.677930748095 -780.203739402662</t>
  </si>
  <si>
    <t>-367.403253603476 339.75527661696 -528.407843321103</t>
  </si>
  <si>
    <t>-160.462511877892 290.661321270637 -378.716821468963</t>
  </si>
  <si>
    <t>-576.335401188563 30.5305020052437 -771.705295752271</t>
  </si>
  <si>
    <t>-490.965928358917 229.366778203221 -258.709115446963</t>
  </si>
  <si>
    <t>-492.273655372448 218.604259598119 196.856578018568</t>
  </si>
  <si>
    <t>-497.030216377715 185.883650300221 665.705708323561</t>
  </si>
  <si>
    <t>-348.360848165207 171.435476601884 758.6152387667</t>
  </si>
  <si>
    <t>-527.69701421671 42.3512636475842 -229.248181303978</t>
  </si>
  <si>
    <t>-438.121634064888 8.7729720865423 216.29237591778</t>
  </si>
  <si>
    <t>-586.130836597573 -109.525219451697 646.113752081714</t>
  </si>
  <si>
    <t>-428.812765250205 -128.864224254734 722.40625596084</t>
  </si>
  <si>
    <t>9763-20170724T164221.288012000.bin</t>
  </si>
  <si>
    <t>-508.972582029061 135.737469953889 -244.072465437376</t>
  </si>
  <si>
    <t>-547.90574296235 124.899419463606 -358.241419162297</t>
  </si>
  <si>
    <t>-566.250414722709 109.27729158947 -477.02683018594</t>
  </si>
  <si>
    <t>-574.199087313787 93.2585119040567 -585.078002048068</t>
  </si>
  <si>
    <t>-573.57450027356 75.4035959672932 -693.13210534482</t>
  </si>
  <si>
    <t>-563.773830221849 48.7098269963699 -842.769616383554</t>
  </si>
  <si>
    <t>-532.119478724612 33.1956440920268 -938.374419979272</t>
  </si>
  <si>
    <t>-561.764815530032 91.2602541788495 -781.627632197067</t>
  </si>
  <si>
    <t>-528.634019533928 234.502402336798 -779.240372244988</t>
  </si>
  <si>
    <t>-373.772719694839 329.284532566852 -519.971150278473</t>
  </si>
  <si>
    <t>-167.081593655205 283.337931781308 -368.942301507803</t>
  </si>
  <si>
    <t>-574.45574352439 29.7817577290483 -771.491718194603</t>
  </si>
  <si>
    <t>-491.963697799734 229.037884221961 -258.405609470143</t>
  </si>
  <si>
    <t>-492.43994071349 218.638592124693 197.170118824695</t>
  </si>
  <si>
    <t>-497.167033996918 185.710103579387 665.939577242638</t>
  </si>
  <si>
    <t>-348.360389736575 171.962516763133 758.735487225815</t>
  </si>
  <si>
    <t>-525.739802631016 42.4620751976706 -228.96311820368</t>
  </si>
  <si>
    <t>-437.310091894215 8.80052230713588 216.800026801961</t>
  </si>
  <si>
    <t>-586.206591872425 -109.585911145623 646.034965587925</t>
  </si>
  <si>
    <t>-428.95084075162 -129.135140394852 722.402364404423</t>
  </si>
  <si>
    <t>9763-20170724T164221.320095200.bin</t>
  </si>
  <si>
    <t>-508.791775257786 135.41205515753 -244.040904797076</t>
  </si>
  <si>
    <t>-547.511929697233 124.289865732579 -358.254961161602</t>
  </si>
  <si>
    <t>-565.704402270277 108.568976310496 -477.050732465501</t>
  </si>
  <si>
    <t>-573.542423073341 92.5373564190082 -585.108267484243</t>
  </si>
  <si>
    <t>-572.834719230715 74.7451655500812 -693.171937954026</t>
  </si>
  <si>
    <t>-562.947291721431 48.2164583398419 -842.833248853839</t>
  </si>
  <si>
    <t>-531.090125431397 32.8734892231789 -938.398247282909</t>
  </si>
  <si>
    <t>-561.176285651935 90.7372311396977 -781.663286047666</t>
  </si>
  <si>
    <t>-529.108548218694 234.194124511084 -779.131960295184</t>
  </si>
  <si>
    <t>-376.666807843709 325.797028212819 -517.298743768754</t>
  </si>
  <si>
    <t>-169.667444581741 280.783606633365 -366.410965953514</t>
  </si>
  <si>
    <t>-573.468065729361 29.1719901535366 -771.562293876222</t>
  </si>
  <si>
    <t>-492.325402760364 228.655878437966 -258.368861078211</t>
  </si>
  <si>
    <t>-492.98149083683 218.554509532753 197.213392631265</t>
  </si>
  <si>
    <t>-497.245418486489 185.805569158394 665.99773153583</t>
  </si>
  <si>
    <t>-348.369316304995 172.024999244912 758.677279159995</t>
  </si>
  <si>
    <t>-525.065366379349 42.1297639741943 -229.013638220406</t>
  </si>
  <si>
    <t>-437.29811287135 9.01436956786546 216.921211784796</t>
  </si>
  <si>
    <t>-586.204878827465 -109.511396206176 645.98036548575</t>
  </si>
  <si>
    <t>-428.948828277877 -128.912317620967 722.384827280297</t>
  </si>
  <si>
    <t>9763-20170724T164221.388281800.bin</t>
  </si>
  <si>
    <t>-508.346131683923 134.282452474024 -243.905619805195</t>
  </si>
  <si>
    <t>-546.516273883573 122.899124917759 -358.279015212239</t>
  </si>
  <si>
    <t>-564.439271550867 107.044512039182 -477.098043514894</t>
  </si>
  <si>
    <t>-572.152738615869 90.9532834187444 -585.155421040395</t>
  </si>
  <si>
    <t>-571.440417289431 73.1665370710169 -693.220241037392</t>
  </si>
  <si>
    <t>-561.669838798457 46.7166103740171 -842.902973112701</t>
  </si>
  <si>
    <t>-529.68736976946 31.5772541680848 -938.4587490342</t>
  </si>
  <si>
    <t>-560.120896238651 89.2535340640833 -781.738229795362</t>
  </si>
  <si>
    <t>-529.402353030584 233.019107752934 -779.197229804229</t>
  </si>
  <si>
    <t>-386.105936345101 322.369702097491 -511.487040669141</t>
  </si>
  <si>
    <t>-180.553986234003 278.841423599634 -358.203753663499</t>
  </si>
  <si>
    <t>-571.865090831861 27.5862576941801 -771.607818412154</t>
  </si>
  <si>
    <t>-492.288832578148 227.532095911705 -258.183258507998</t>
  </si>
  <si>
    <t>-493.508114590562 217.908651947075 197.408107021733</t>
  </si>
  <si>
    <t>-497.60604960377 185.533851162298 666.476512364311</t>
  </si>
  <si>
    <t>-348.221810536909 172.644580315145 758.464078415774</t>
  </si>
  <si>
    <t>-524.195813546119 41.0610677202484 -229.113295712904</t>
  </si>
  <si>
    <t>-437.342058928418 9.27103820642778 217.096820911845</t>
  </si>
  <si>
    <t>-585.904763862092 -110.065458607433 645.806226657453</t>
  </si>
  <si>
    <t>-428.66792718875 -128.904585961774 722.390687613049</t>
  </si>
  <si>
    <t>9763-20170724T164221.423908100.bin</t>
  </si>
  <si>
    <t>-508.147830463958 133.691855016223 -243.664154235089</t>
  </si>
  <si>
    <t>-546.089781827374 122.271182369876 -358.109734077185</t>
  </si>
  <si>
    <t>-563.87173539208 106.415481981321 -476.949792174815</t>
  </si>
  <si>
    <t>-571.49411840821 90.3470017938105 -585.017138981266</t>
  </si>
  <si>
    <t>-570.726499759709 72.6120004931278 -693.089919479697</t>
  </si>
  <si>
    <t>-560.915744457909 46.2689926539084 -842.788883673433</t>
  </si>
  <si>
    <t>-528.875798280516 31.2473518682275 -938.344043529894</t>
  </si>
  <si>
    <t>-559.444407200807 88.7728151291271 -781.599361039145</t>
  </si>
  <si>
    <t>-528.953759695728 232.570539611294 -778.539243623168</t>
  </si>
  <si>
    <t>-390.519675887629 322.722100781989 -508.548721749846</t>
  </si>
  <si>
    <t>-183.926934954463 279.991822274144 -356.444739251681</t>
  </si>
  <si>
    <t>-571.068981184645 27.0770712374979 -771.504323823977</t>
  </si>
  <si>
    <t>-492.197762816283 226.688101690879 -257.704969618838</t>
  </si>
  <si>
    <t>-494.025520005755 217.339935579767 197.89012436939</t>
  </si>
  <si>
    <t>-498.394712880004 185.103500531099 667.389576391851</t>
  </si>
  <si>
    <t>-348.165841414236 173.808827814825 758.203735879574</t>
  </si>
  <si>
    <t>-524.05702237027 40.6343221256147 -228.981575572575</t>
  </si>
  <si>
    <t>-437.354896664671 9.26093768235944 217.287507772391</t>
  </si>
  <si>
    <t>-585.666413553158 -110.122664649391 645.833474811822</t>
  </si>
  <si>
    <t>-428.496949372201 -128.661512681088 722.629109373224</t>
  </si>
  <si>
    <t>9763-20170724T164221.494603900.bin</t>
  </si>
  <si>
    <t>-508.203307850889 132.237790752627 -242.544743548285</t>
  </si>
  <si>
    <t>-545.514536524266 120.755389834031 -357.191255962241</t>
  </si>
  <si>
    <t>-562.769226964319 104.839296361464 -476.101045872479</t>
  </si>
  <si>
    <t>-569.960076565741 88.7362133349046 -584.19276783052</t>
  </si>
  <si>
    <t>-568.806620463846 70.9981473477869 -692.261728086675</t>
  </si>
  <si>
    <t>-558.506692085751 44.6941016088039 -841.93462895252</t>
  </si>
  <si>
    <t>-526.141476400119 29.8645516927337 -937.410176046199</t>
  </si>
  <si>
    <t>-557.374291652724 87.2056412518413 -780.743103730216</t>
  </si>
  <si>
    <t>-527.603807536617 231.206775700541 -777.34902649042</t>
  </si>
  <si>
    <t>-398.378173732714 324.730418672407 -503.9625082661</t>
  </si>
  <si>
    <t>-191.438307882721 283.134479238371 -352.015885166967</t>
  </si>
  <si>
    <t>-568.753807754042 25.4599761657891 -770.674837562607</t>
  </si>
  <si>
    <t>-492.491536056349 225.012577456102 -256.171865934092</t>
  </si>
  <si>
    <t>-494.535999328299 216.281777159127 199.434667119913</t>
  </si>
  <si>
    <t>-500.522153931042 185.194008107417 669.337957023545</t>
  </si>
  <si>
    <t>-348.557856638086 174.810932188031 757.329724124192</t>
  </si>
  <si>
    <t>-523.707138093328 39.555030469175 -228.200400190242</t>
  </si>
  <si>
    <t>-437.960697342176 8.88230073871237 218.301966366675</t>
  </si>
  <si>
    <t>-585.385724805536 -109.629702513229 646.845544797643</t>
  </si>
  <si>
    <t>-428.597542639788 -129.645041200153 724.048926939895</t>
  </si>
  <si>
    <t>9763-20170724T164221.520665900.bin</t>
  </si>
  <si>
    <t>-508.202151192603 130.860213043984 -241.777089851001</t>
  </si>
  <si>
    <t>-545.405865015153 119.475077895303 -356.468220637396</t>
  </si>
  <si>
    <t>-562.493012874813 103.55349347297 -475.401569303643</t>
  </si>
  <si>
    <t>-569.507677925334 87.4093277451896 -583.498689029503</t>
  </si>
  <si>
    <t>-568.153764662122 69.5975703374987 -691.55318361896</t>
  </si>
  <si>
    <t>-557.55038567902 43.1604820220604 -841.181512945685</t>
  </si>
  <si>
    <t>-524.90664527203 28.3958778653227 -936.572221280606</t>
  </si>
  <si>
    <t>-556.588552966675 85.734228015967 -780.030386744066</t>
  </si>
  <si>
    <t>-527.171765733454 229.766106378898 -776.607473441929</t>
  </si>
  <si>
    <t>-402.958955723944 326.200927683498 -501.91179024505</t>
  </si>
  <si>
    <t>-194.78322667811 285.491152742484 -351.420528269061</t>
  </si>
  <si>
    <t>-567.895566887969 23.981922450929 -769.920873199836</t>
  </si>
  <si>
    <t>-492.524286010978 223.613713828237 -255.331398384969</t>
  </si>
  <si>
    <t>-494.070482278586 215.347780370347 200.285717893096</t>
  </si>
  <si>
    <t>-501.306322545171 185.041218269131 670.139111600685</t>
  </si>
  <si>
    <t>-348.615584485655 175.507850459462 756.961754233959</t>
  </si>
  <si>
    <t>-523.658627209758 38.1424858738752 -227.56250976137</t>
  </si>
  <si>
    <t>-438.028048070405 7.71669673799421 218.97899088272</t>
  </si>
  <si>
    <t>-585.206833756087 -110.265221197815 647.673483169556</t>
  </si>
  <si>
    <t>-428.384560521736 -129.550445347672 724.993337829629</t>
  </si>
  <si>
    <t>9763-20170724T164221.588885300.bin</t>
  </si>
  <si>
    <t>-508.407936294298 128.324030473175 -240.644764952912</t>
  </si>
  <si>
    <t>-545.776754722109 116.99248746643 -355.287571841553</t>
  </si>
  <si>
    <t>-562.571144285434 100.928223811758 -474.243184100619</t>
  </si>
  <si>
    <t>-569.127977785429 84.5983289609173 -582.341259958264</t>
  </si>
  <si>
    <t>-567.122008923114 66.5580439505204 -690.347715384625</t>
  </si>
  <si>
    <t>-555.411471839852 39.7723192576701 -839.831501519013</t>
  </si>
  <si>
    <t>-521.894142621219 25.1689947363644 -934.943522093476</t>
  </si>
  <si>
    <t>-555.16339602977 82.5309311586081 -778.802288917014</t>
  </si>
  <si>
    <t>-527.175314810207 226.838419448645 -775.338869317645</t>
  </si>
  <si>
    <t>-410.785999691682 330.594419826949 -499.885707164242</t>
  </si>
  <si>
    <t>-200.259799790456 292.833200026242 -351.916794604783</t>
  </si>
  <si>
    <t>-566.022608919825 20.7174202267992 -768.576683377204</t>
  </si>
  <si>
    <t>-492.699643652748 220.895494035371 -254.306633259882</t>
  </si>
  <si>
    <t>-493.355980062675 213.752671940615 201.331572508321</t>
  </si>
  <si>
    <t>-501.819082368859 185.042661266752 670.71330719862</t>
  </si>
  <si>
    <t>-348.522954101406 176.81133408944 756.597269456155</t>
  </si>
  <si>
    <t>-523.846919242846 35.7420455220698 -226.367032425219</t>
  </si>
  <si>
    <t>-438.205813327402 5.94058341381019 220.214512705072</t>
  </si>
  <si>
    <t>-585.205944214703 -110.264066044849 649.387396457171</t>
  </si>
  <si>
    <t>-428.403411874952 -129.598115467163 726.735054342141</t>
  </si>
  <si>
    <t>9763-20170724T164221.622945600.bin</t>
  </si>
  <si>
    <t>-508.878894312395 127.00822700566 -240.295010290355</t>
  </si>
  <si>
    <t>-546.204051479497 115.64229034175 -354.948644222802</t>
  </si>
  <si>
    <t>-562.784408737603 99.4892863299743 -473.922397974881</t>
  </si>
  <si>
    <t>-569.076317536617 83.0683157477316 -582.022375989976</t>
  </si>
  <si>
    <t>-566.734237163842 64.9324852176184 -690.005987682666</t>
  </si>
  <si>
    <t>-554.483260977731 38.0156282200619 -839.42286240646</t>
  </si>
  <si>
    <t>-520.355575575015 23.5710288090743 -934.341991800115</t>
  </si>
  <si>
    <t>-554.618277601524 80.8530142371972 -778.448653205774</t>
  </si>
  <si>
    <t>-527.488950253051 225.302228171369 -774.902971844943</t>
  </si>
  <si>
    <t>-413.464652972473 332.907178821928 -499.937882356106</t>
  </si>
  <si>
    <t>-201.138326474646 297.465645667953 -353.980718958312</t>
  </si>
  <si>
    <t>-565.189622305344 18.9979803599479 -768.172468421589</t>
  </si>
  <si>
    <t>-493.317542411119 219.668665724939 -254.133766869503</t>
  </si>
  <si>
    <t>-493.302002980597 213.016209228651 201.512426387606</t>
  </si>
  <si>
    <t>-501.779662118615 185.169166333369 670.787648337137</t>
  </si>
  <si>
    <t>-348.431271457541 177.56551380653 756.636300410375</t>
  </si>
  <si>
    <t>-524.145305659815 34.3955084335792 -225.979855251573</t>
  </si>
  <si>
    <t>-438.334932293997 4.95925987136175 220.593457368724</t>
  </si>
  <si>
    <t>-585.219127187826 -110.572243562253 650.108414366902</t>
  </si>
  <si>
    <t>-428.257405851495 -129.038759821131 727.345202031189</t>
  </si>
  <si>
    <t>9763-20170724T164221.692976700.bin</t>
  </si>
  <si>
    <t>-510.952878908456 124.72512855219 -239.985243456256</t>
  </si>
  <si>
    <t>-548.727877001209 113.100784585278 -354.465590264769</t>
  </si>
  <si>
    <t>-565.223048210727 96.6248849247755 -473.406825091479</t>
  </si>
  <si>
    <t>-571.210638831535 79.9082874516809 -581.478819275528</t>
  </si>
  <si>
    <t>-568.335876325003 61.4857850632522 -689.400981576662</t>
  </si>
  <si>
    <t>-555.108129158488 34.1923224664536 -838.666119370051</t>
  </si>
  <si>
    <t>-519.724373843086 20.1523869562332 -933.18511469261</t>
  </si>
  <si>
    <t>-556.005712685241 77.2367168503469 -777.844303693042</t>
  </si>
  <si>
    <t>-530.93471512062 222.090224124278 -774.449652821649</t>
  </si>
  <si>
    <t>-419.068509055352 334.674589675165 -500.594055405935</t>
  </si>
  <si>
    <t>-204.142828431667 303.485439081512 -357.49886680371</t>
  </si>
  <si>
    <t>-565.916261239875 15.3009358748831 -767.397413129711</t>
  </si>
  <si>
    <t>-495.997329350637 217.716113499822 -254.208845197389</t>
  </si>
  <si>
    <t>-493.807405799778 212.04756547327 201.445297367113</t>
  </si>
  <si>
    <t>-501.314891427547 185.168233192436 670.634496343439</t>
  </si>
  <si>
    <t>-348.179167262196 177.914699453728 756.891976854479</t>
  </si>
  <si>
    <t>-525.810135571814 31.8645365791795 -225.325963697278</t>
  </si>
  <si>
    <t>-438.618081166092 3.77225261200009 221.066316234441</t>
  </si>
  <si>
    <t>-585.397022472939 -110.422186811095 651.152989266738</t>
  </si>
  <si>
    <t>-428.262471492646 -128.72759479895 728.076058647327</t>
  </si>
  <si>
    <t>9763-20170724T164221.721046800.bin</t>
  </si>
  <si>
    <t>-512.259731079605 123.750870504787 -240.014945024724</t>
  </si>
  <si>
    <t>-550.194914665343 111.825089217194 -354.411165280034</t>
  </si>
  <si>
    <t>-566.679356217022 95.0801532778622 -473.316272874565</t>
  </si>
  <si>
    <t>-572.584800910297 78.1420354086063 -581.358361059754</t>
  </si>
  <si>
    <t>-569.554927848251 59.5245113050896 -689.242695332767</t>
  </si>
  <si>
    <t>-556.036299704555 31.9918199886127 -838.437993164149</t>
  </si>
  <si>
    <t>-520.095059048429 18.1554895342559 -932.776541051241</t>
  </si>
  <si>
    <t>-557.224571935692 75.1573709153053 -777.707089272474</t>
  </si>
  <si>
    <t>-533.082615221543 220.144938791914 -774.408483814175</t>
  </si>
  <si>
    <t>-421.826981661685 334.548889403454 -501.058709326276</t>
  </si>
  <si>
    <t>-204.755116281061 305.077691620067 -360.868382441283</t>
  </si>
  <si>
    <t>-566.811172431623 13.1909476101252 -767.140402913743</t>
  </si>
  <si>
    <t>-497.698457706201 216.890910172843 -254.489937304044</t>
  </si>
  <si>
    <t>-494.297761544616 211.837735042653 201.164117127637</t>
  </si>
  <si>
    <t>-500.926579033358 185.489093803606 670.205529029697</t>
  </si>
  <si>
    <t>-348.119511959144 177.97280958094 757.021544308668</t>
  </si>
  <si>
    <t>-526.685819810865 30.6681057566695 -225.174155191186</t>
  </si>
  <si>
    <t>-438.631742696684 3.2691478002981 221.091904522202</t>
  </si>
  <si>
    <t>-585.442322842303 -110.752147176676 651.465972506708</t>
  </si>
  <si>
    <t>-428.07515992404 -128.210455440631 728.109869809347</t>
  </si>
  <si>
    <t>9763-20170724T164221.791859700.bin</t>
  </si>
  <si>
    <t>-514.666324782601 121.718111587369 -240.384614921429</t>
  </si>
  <si>
    <t>-552.845235513419 109.215635344151 -354.63825845206</t>
  </si>
  <si>
    <t>-569.317936098584 91.8984587852005 -473.462973555197</t>
  </si>
  <si>
    <t>-575.103591898651 74.462167769327 -581.432207760296</t>
  </si>
  <si>
    <t>-571.843976606725 55.3746532306378 -689.227813843931</t>
  </si>
  <si>
    <t>-557.892314462625 27.2272806036549 -838.268311520182</t>
  </si>
  <si>
    <t>-520.840900875427 13.6866074729057 -932.219492677724</t>
  </si>
  <si>
    <t>-559.506155438092 70.6754239197541 -777.749117629252</t>
  </si>
  <si>
    <t>-536.793087370403 215.943439252845 -774.911060338488</t>
  </si>
  <si>
    <t>-426.958203468054 332.664140559513 -501.966386728676</t>
  </si>
  <si>
    <t>-208.03362421918 305.679345173305 -364.176998729796</t>
  </si>
  <si>
    <t>-568.624859998764 8.6878387400012 -766.895987918889</t>
  </si>
  <si>
    <t>-500.649503772956 214.98741729273 -255.246325273614</t>
  </si>
  <si>
    <t>-495.764746842484 211.069708615186 200.405371648094</t>
  </si>
  <si>
    <t>-500.250681395527 185.932612181671 669.738486563164</t>
  </si>
  <si>
    <t>-347.814478556971 177.681271720723 757.137833848621</t>
  </si>
  <si>
    <t>-528.54083147557 28.5232573231271 -225.100289225018</t>
  </si>
  <si>
    <t>-438.769800733082 2.18684004563915 220.887584857658</t>
  </si>
  <si>
    <t>-585.563599722504 -110.80742315778 651.720473196165</t>
  </si>
  <si>
    <t>-427.849296513788 -127.491201834228 727.821435524625</t>
  </si>
  <si>
    <t>9763-20170724T164221.824450000.bin</t>
  </si>
  <si>
    <t>-515.983506430049 120.421594671705 -240.571705063436</t>
  </si>
  <si>
    <t>-554.289588071973 107.69674244038 -354.758173275263</t>
  </si>
  <si>
    <t>-570.794740361013 90.1006986991065 -473.537559237683</t>
  </si>
  <si>
    <t>-576.568537546797 72.3974120609253 -581.463913331166</t>
  </si>
  <si>
    <t>-573.255322991625 53.0324277177018 -689.208311996618</t>
  </si>
  <si>
    <t>-559.185783178405 24.4927257128507 -838.16307796374</t>
  </si>
  <si>
    <t>-521.605705987227 11.0003526319817 -931.911174795886</t>
  </si>
  <si>
    <t>-560.963329978946 68.1144465592274 -777.773623760685</t>
  </si>
  <si>
    <t>-538.880160313462 213.487992859412 -775.166848240446</t>
  </si>
  <si>
    <t>-429.728691770885 330.611593238575 -502.120770530708</t>
  </si>
  <si>
    <t>-210.440796221569 304.784569756939 -364.687813222505</t>
  </si>
  <si>
    <t>-569.8589331379 6.12688027758568 -766.736954532687</t>
  </si>
  <si>
    <t>-502.317209255492 213.718863568024 -255.419772807553</t>
  </si>
  <si>
    <t>-496.652936756865 210.387617583146 200.227573223024</t>
  </si>
  <si>
    <t>-500.276523107436 186.107865015585 669.786534223598</t>
  </si>
  <si>
    <t>-347.740477774122 178.530784927956 757.072442995188</t>
  </si>
  <si>
    <t>-529.651737600248 27.2435313212713 -225.148501838711</t>
  </si>
  <si>
    <t>-439.180144645056 1.79068424401378 220.749154477205</t>
  </si>
  <si>
    <t>-585.62580959749 -110.449893578994 651.850425777453</t>
  </si>
  <si>
    <t>-427.908608628071 -127.937764428759 727.76454108287</t>
  </si>
  <si>
    <t>9763-20170724T164221.894143000.bin</t>
  </si>
  <si>
    <t>-518.578036160839 117.479454616357 -240.892692480908</t>
  </si>
  <si>
    <t>-557.013982384356 104.52714436824 -355.009812288332</t>
  </si>
  <si>
    <t>-573.544957180824 86.515990671888 -473.723302858218</t>
  </si>
  <si>
    <t>-579.29586004507 68.3751608489762 -581.578318418704</t>
  </si>
  <si>
    <t>-575.912585138662 48.5177407362385 -689.230793621866</t>
  </si>
  <si>
    <t>-561.696469089019 19.243827304153 -838.029194743559</t>
  </si>
  <si>
    <t>-523.22150607172 5.66927267894158 -931.401524329704</t>
  </si>
  <si>
    <t>-563.792822591272 63.1934038737081 -777.888053150774</t>
  </si>
  <si>
    <t>-542.948891696346 208.745965498251 -775.755628764214</t>
  </si>
  <si>
    <t>-435.843471832383 325.372263922244 -501.688176410006</t>
  </si>
  <si>
    <t>-216.953813403248 303.470176549982 -362.944987933969</t>
  </si>
  <si>
    <t>-572.18049389496 1.19981557812485 -766.493156065133</t>
  </si>
  <si>
    <t>-505.645934307598 211.031017925723 -255.635542334886</t>
  </si>
  <si>
    <t>-497.770843523351 208.821678219384 199.985787593961</t>
  </si>
  <si>
    <t>-500.309051661202 186.425665373251 669.777453748245</t>
  </si>
  <si>
    <t>-347.791217464151 177.994756452857 757.017091345767</t>
  </si>
  <si>
    <t>-531.37721995607 24.1354687727113 -225.521585615777</t>
  </si>
  <si>
    <t>-440.631226629248 -0.116158563271583 220.387313412966</t>
  </si>
  <si>
    <t>-585.688304060214 -110.581510096318 652.424056563342</t>
  </si>
  <si>
    <t>-427.920989044222 -128.700343112763 728.08567519242</t>
  </si>
  <si>
    <t>9763-20170724T164221.924217300.bin</t>
  </si>
  <si>
    <t>-519.735552905402 115.763133949485 -241.029417621217</t>
  </si>
  <si>
    <t>-558.327953065628 102.76646100694 -355.0887936435</t>
  </si>
  <si>
    <t>-574.954373092056 84.6089128484333 -473.76666273637</t>
  </si>
  <si>
    <t>-580.764307001099 66.2977280978971 -581.589554460555</t>
  </si>
  <si>
    <t>-577.41214705754 46.233452101182 -689.204736425804</t>
  </si>
  <si>
    <t>-563.210197730882 16.6359588447465 -837.940494795166</t>
  </si>
  <si>
    <t>-524.385066359806 2.93426040078199 -931.149192111618</t>
  </si>
  <si>
    <t>-565.428992590319 60.7305076631234 -777.909920926104</t>
  </si>
  <si>
    <t>-545.293054334596 206.395150028202 -776.000589064985</t>
  </si>
  <si>
    <t>-438.889074668255 322.395044968502 -501.394835632413</t>
  </si>
  <si>
    <t>-220.76970880471 302.661705694465 -361.121575910257</t>
  </si>
  <si>
    <t>-507.23725774076 209.413094058312 -255.655657292184</t>
  </si>
  <si>
    <t>-497.863307571534 207.747391720354 199.939552992393</t>
  </si>
  <si>
    <t>-500.306310980557 186.381116770104 669.792274891678</t>
  </si>
  <si>
    <t>-347.767241865678 178.167661973846 757.015363919388</t>
  </si>
  <si>
    <t>-532.058262614327 22.2622168670214 -225.703445820367</t>
  </si>
  <si>
    <t>-441.413449582706 -1.51700639010733 220.251338164032</t>
  </si>
  <si>
    <t>-585.824742032874 -110.362382059829 652.866610436301</t>
  </si>
  <si>
    <t>-427.98975816718 -128.508156392262 728.380584486986</t>
  </si>
  <si>
    <t>9763-20170724T164221.993422000.bin</t>
  </si>
  <si>
    <t>-521.819350536789 111.74377745703 -241.116224363279</t>
  </si>
  <si>
    <t>-560.729357528826 98.6423182623491 -355.055463472098</t>
  </si>
  <si>
    <t>-577.611064524427 80.2907448609585 -473.667382085319</t>
  </si>
  <si>
    <t>-583.622671408009 61.7682393281923 -581.443368600321</t>
  </si>
  <si>
    <t>-580.44204723291 41.4554500584467 -689.017044264147</t>
  </si>
  <si>
    <t>-566.446734337523 11.4734988150007 -837.695388269781</t>
  </si>
  <si>
    <t>-568.815151052652 55.7476508127951 -777.802890729792</t>
  </si>
  <si>
    <t>-549.877850806497 201.558387094995 -776.294971951708</t>
  </si>
  <si>
    <t>-444.023870595373 315.182301218584 -500.485731318646</t>
  </si>
  <si>
    <t>-226.127651282811 299.075277570991 -359.404577098312</t>
  </si>
  <si>
    <t>-510.183436624186 205.495671760219 -255.594531383533</t>
  </si>
  <si>
    <t>-497.858396856258 205.444130234936 199.933357793351</t>
  </si>
  <si>
    <t>-500.266623317693 186.404876008612 669.810574890687</t>
  </si>
  <si>
    <t>-347.786525092477 177.900461194273 757.108954217468</t>
  </si>
  <si>
    <t>-533.195737783142 18.1640060664813 -225.821516588204</t>
  </si>
  <si>
    <t>-442.52010696805 -5.25349656565496 220.146208024747</t>
  </si>
  <si>
    <t>-585.984769834512 -111.096537448968 653.843381958984</t>
  </si>
  <si>
    <t>-427.835371554321 -127.473956189282 729.103391935029</t>
  </si>
  <si>
    <t>9763-20170724T164222.023503700.bin</t>
  </si>
  <si>
    <t>-522.670666430343 109.845442406318 -241.159322450142</t>
  </si>
  <si>
    <t>-561.641557619235 96.7066908577028 -355.073592207568</t>
  </si>
  <si>
    <t>-578.606772666074 78.2704729081571 -473.660366591133</t>
  </si>
  <si>
    <t>-584.703041277032 59.650114948618 -581.41463374665</t>
  </si>
  <si>
    <t>-581.616233025201 39.2164706126483 -688.96827443986</t>
  </si>
  <si>
    <t>-567.760350811065 9.04100629344038 -837.620405673225</t>
  </si>
  <si>
    <t>-570.151414676976 53.4009314818155 -777.792378357632</t>
  </si>
  <si>
    <t>-551.566643897977 199.251783961675 -776.411674085367</t>
  </si>
  <si>
    <t>-445.222474273194 312.572639831048 -500.666289818175</t>
  </si>
  <si>
    <t>-226.950317914145 297.340622244031 -360.070114531241</t>
  </si>
  <si>
    <t>-511.385815768956 203.681473022028 -255.622834609852</t>
  </si>
  <si>
    <t>-497.867949939707 204.413727149903 199.870814489188</t>
  </si>
  <si>
    <t>-500.211876315782 186.675960988553 669.710652605477</t>
  </si>
  <si>
    <t>-347.883404360739 177.427763315525 757.197909345064</t>
  </si>
  <si>
    <t>-533.684563457948 16.1031518310994 -225.924385254327</t>
  </si>
  <si>
    <t>-443.082912685807 -6.72878246888369 220.088810172274</t>
  </si>
  <si>
    <t>-586.03038543377 -111.385021457369 654.243441027439</t>
  </si>
  <si>
    <t>-427.886198773388 -127.520960694437 729.566296965812</t>
  </si>
  <si>
    <t>9763-20170724T164222.086682100.bin</t>
  </si>
  <si>
    <t>-524.185746138209 106.110520830549 -241.023695725542</t>
  </si>
  <si>
    <t>-563.262555155191 92.8411838427684 -354.886419359303</t>
  </si>
  <si>
    <t>-580.359908676068 74.1549672107468 -473.415189369229</t>
  </si>
  <si>
    <t>-586.585783510795 55.2582060914419 -581.11382839048</t>
  </si>
  <si>
    <t>-583.638481216865 34.4959094876778 -688.608386794802</t>
  </si>
  <si>
    <t>-569.986904663327 3.80814352806473 -837.174650480673</t>
  </si>
  <si>
    <t>-572.354192023885 48.3797433056575 -777.503148606607</t>
  </si>
  <si>
    <t>-553.779943195969 194.243292991078 -776.392406999345</t>
  </si>
  <si>
    <t>-445.758747259959 306.512376832915 -500.868838184107</t>
  </si>
  <si>
    <t>-226.341848322178 293.76414105814 -361.815646214716</t>
  </si>
  <si>
    <t>-513.392241953515 200.01974105797 -255.564500150527</t>
  </si>
  <si>
    <t>-497.698138136564 202.389124354336 199.853765100308</t>
  </si>
  <si>
    <t>-500.350450866161 187.139535202332 669.832658999427</t>
  </si>
  <si>
    <t>-348.059722952107 177.316548376186 757.32292809263</t>
  </si>
  <si>
    <t>-534.804756089444 12.2013874058696 -225.83458839332</t>
  </si>
  <si>
    <t>-443.658102531368 -9.23556260180415 220.136749307814</t>
  </si>
  <si>
    <t>-586.05635717281 -111.733575729143 654.910314339323</t>
  </si>
  <si>
    <t>-427.957001941225 -127.325754893763 730.441720682107</t>
  </si>
  <si>
    <t>9763-20170724T164222.125789800.bin</t>
  </si>
  <si>
    <t>-524.759501918155 104.113490342778 -240.866436197725</t>
  </si>
  <si>
    <t>-564.03925406673 90.7456749320129 -354.647821898479</t>
  </si>
  <si>
    <t>-581.283319901591 71.9355400180843 -473.135695747309</t>
  </si>
  <si>
    <t>-587.617968367094 52.9104424812969 -580.805530545795</t>
  </si>
  <si>
    <t>-584.755633707447 31.999978718687 -688.273709535428</t>
  </si>
  <si>
    <t>-571.197899382156 1.08247410674289 -836.800784786524</t>
  </si>
  <si>
    <t>-573.465288879051 45.7402571097748 -777.189859035585</t>
  </si>
  <si>
    <t>-554.558855696698 191.540679838266 -776.048619559913</t>
  </si>
  <si>
    <t>-445.506580644525 304.304377772378 -501.133843163959</t>
  </si>
  <si>
    <t>-225.541485253107 293.45856124897 -362.787211147895</t>
  </si>
  <si>
    <t>-514.116601776158 198.047438649416 -255.447422296493</t>
  </si>
  <si>
    <t>-497.50374396943 201.277033756822 199.933012389752</t>
  </si>
  <si>
    <t>-500.383338123155 187.06394139564 669.913673879586</t>
  </si>
  <si>
    <t>-348.010332867458 177.772122320581 757.318734578053</t>
  </si>
  <si>
    <t>-535.258984774701 10.2310650742279 -225.601578969122</t>
  </si>
  <si>
    <t>-443.527760563609 -10.2530959313303 220.294672145278</t>
  </si>
  <si>
    <t>-586.147236078952 -111.57198164033 655.242885752219</t>
  </si>
  <si>
    <t>-428.035491803271 -127.43335185864 730.692185396526</t>
  </si>
  <si>
    <t>9763-20170724T164222.191977800.bin</t>
  </si>
  <si>
    <t>-525.409911311131 100.383219020719 -240.258116888555</t>
  </si>
  <si>
    <t>-564.947221590436 86.7595978317561 -353.919854286199</t>
  </si>
  <si>
    <t>-582.523441418136 67.7058438647127 -472.320042587544</t>
  </si>
  <si>
    <t>-589.188631339914 48.4536414510367 -579.929409005848</t>
  </si>
  <si>
    <t>-586.686794099998 27.302909332739 -687.35945467497</t>
  </si>
  <si>
    <t>-575.461938080191 40.8051263448233 -776.320530853386</t>
  </si>
  <si>
    <t>-554.890185925981 186.420904458533 -774.83942865464</t>
  </si>
  <si>
    <t>-443.472142403295 304.497223317927 -503.122263125528</t>
  </si>
  <si>
    <t>-222.558145966029 296.916035484735 -366.076207898132</t>
  </si>
  <si>
    <t>-514.63200423107 194.028036066038 -255.228902562024</t>
  </si>
  <si>
    <t>-497.19243306891 199.160154846559 200.103079765651</t>
  </si>
  <si>
    <t>-500.344963307452 186.694659223786 670.07240205495</t>
  </si>
  <si>
    <t>-347.846015970732 177.911834296749 757.310265711739</t>
  </si>
  <si>
    <t>-536.054007526493 6.7851683613455 -224.656951274398</t>
  </si>
  <si>
    <t>-442.510558047209 -12.34187772587 220.922981033114</t>
  </si>
  <si>
    <t>-586.327775047889 -111.594232600892 655.853281806145</t>
  </si>
  <si>
    <t>-428.040715958525 -127.428020816905 730.939975371361</t>
  </si>
  <si>
    <t>9763-20170724T164222.224061700.bin</t>
  </si>
  <si>
    <t>-525.633069232603 98.5218846960412 -239.945916954242</t>
  </si>
  <si>
    <t>-565.365174739028 84.8068268234279 -353.528911201527</t>
  </si>
  <si>
    <t>-583.132892074467 65.568321294209 -471.870613803624</t>
  </si>
  <si>
    <t>-589.967624359918 46.1120503464873 -579.432542061916</t>
  </si>
  <si>
    <t>-587.630538993672 24.7213957829134 -686.818962392432</t>
  </si>
  <si>
    <t>-576.415231076326 37.9887144386448 -775.816367411555</t>
  </si>
  <si>
    <t>-555.259331912072 183.52369655676 -774.552859637682</t>
  </si>
  <si>
    <t>-442.153152788544 305.511283248242 -505.27189756984</t>
  </si>
  <si>
    <t>-220.882832057695 299.339417891592 -368.731121575428</t>
  </si>
  <si>
    <t>-514.648735377733 192.118721636061 -255.128925096327</t>
  </si>
  <si>
    <t>-496.956914349647 198.138721524819 200.182403442569</t>
  </si>
  <si>
    <t>-500.353815761414 186.673082623849 670.149456248246</t>
  </si>
  <si>
    <t>-347.825628297325 177.808979018753 757.327972608852</t>
  </si>
  <si>
    <t>-536.534717439029 4.893423900603 -224.081972276525</t>
  </si>
  <si>
    <t>-441.725811895636 -13.3676403701547 221.266679319378</t>
  </si>
  <si>
    <t>-586.396555767575 -111.771170030371 656.133369678426</t>
  </si>
  <si>
    <t>-428.068560656625 -127.928735093541 731.064631636465</t>
  </si>
  <si>
    <t>9763-20170724T164222.292253600.bin</t>
  </si>
  <si>
    <t>-525.788409211952 94.8934983011522 -239.407111564901</t>
  </si>
  <si>
    <t>-565.964819754853 81.0963978970682 -352.823577930525</t>
  </si>
  <si>
    <t>-584.171595625752 61.4951739970922 -471.038940534736</t>
  </si>
  <si>
    <t>-591.395843496891 41.5984131295274 -578.494887808215</t>
  </si>
  <si>
    <t>-589.438320573563 19.6573796235603 -685.777635191972</t>
  </si>
  <si>
    <t>-578.280929035848 32.3694301029915 -774.863559495524</t>
  </si>
  <si>
    <t>-556.21350321121 177.735553163757 -774.511150279336</t>
  </si>
  <si>
    <t>-438.236004386064 308.737901333454 -511.631176523859</t>
  </si>
  <si>
    <t>-216.313997465348 304.833134056079 -376.067770255339</t>
  </si>
  <si>
    <t>-514.344889989513 188.374629848543 -255.011730681651</t>
  </si>
  <si>
    <t>-495.91147082274 196.180984043621 200.243088024282</t>
  </si>
  <si>
    <t>-500.219335572204 186.591733054819 670.180686552795</t>
  </si>
  <si>
    <t>-347.775152340786 177.424622568697 757.47459581995</t>
  </si>
  <si>
    <t>-537.031999722743 1.58400890840085 -223.182358568261</t>
  </si>
  <si>
    <t>-440.319534831793 -15.5979185093351 221.799809129536</t>
  </si>
  <si>
    <t>-586.667640061423 -111.671557045833 656.638176304325</t>
  </si>
  <si>
    <t>-428.284242893361 -128.640522180819 731.2723655968</t>
  </si>
  <si>
    <t>9763-20170724T164222.325342500.bin</t>
  </si>
  <si>
    <t>-525.693069613875 93.3988593838058 -239.304251182336</t>
  </si>
  <si>
    <t>-566.016021782509 79.6079309192224 -352.669502122365</t>
  </si>
  <si>
    <t>-584.41095146555 59.8802323956029 -470.834760677871</t>
  </si>
  <si>
    <t>-591.821932051879 39.8084545382926 -578.24533322868</t>
  </si>
  <si>
    <t>-590.068009980767 17.6284491143545 -685.482632274068</t>
  </si>
  <si>
    <t>-578.929372966092 30.0795974643825 -774.607594348478</t>
  </si>
  <si>
    <t>-556.205044072222 175.341525331383 -774.612204411949</t>
  </si>
  <si>
    <t>-435.745395054028 311.736277629273 -515.629356131267</t>
  </si>
  <si>
    <t>-213.382579307651 308.545093436383 -380.771502414043</t>
  </si>
  <si>
    <t>-514.154185263721 186.947103420318 -254.992586713853</t>
  </si>
  <si>
    <t>-495.13719316465 195.546254835354 200.22389166171</t>
  </si>
  <si>
    <t>-500.352396113727 187.291347618822 670.212578098401</t>
  </si>
  <si>
    <t>-348.034068837132 176.831661215068 757.580888597648</t>
  </si>
  <si>
    <t>-537.030932255975 0.104909045166337 -223.000953288989</t>
  </si>
  <si>
    <t>-439.989297001008 -16.5353039689815 221.930096806485</t>
  </si>
  <si>
    <t>-586.839199599889 -111.426816160005 656.877747789603</t>
  </si>
  <si>
    <t>-428.505864964255 -129.316892392816 731.40289219137</t>
  </si>
  <si>
    <t>9763-20170724T164222.390521300.bin</t>
  </si>
  <si>
    <t>-525.432019804963 89.6243017962005 -239.043820589248</t>
  </si>
  <si>
    <t>-565.946450803262 75.8330378512775 -352.340793290482</t>
  </si>
  <si>
    <t>-584.622817940333 55.8735939529217 -470.422749764769</t>
  </si>
  <si>
    <t>-592.326782374002 35.4833034681734 -577.752874565701</t>
  </si>
  <si>
    <t>-590.905008808572 12.8678514579163 -684.903914380016</t>
  </si>
  <si>
    <t>-579.755431121625 24.8374616279566 -774.093622201372</t>
  </si>
  <si>
    <t>-555.685329187963 169.930391942352 -775.021446557325</t>
  </si>
  <si>
    <t>-429.987039153054 319.579221273513 -526.040763766265</t>
  </si>
  <si>
    <t>-206.24234833444 316.164966859325 -393.493799406102</t>
  </si>
  <si>
    <t>-513.544938057199 182.975767608464 -254.838852492477</t>
  </si>
  <si>
    <t>-493.2113430665 193.307979092899 200.284669811373</t>
  </si>
  <si>
    <t>-500.227184349291 186.617808341588 670.366467248888</t>
  </si>
  <si>
    <t>-347.882703362675 176.199278485034 757.694081905258</t>
  </si>
  <si>
    <t>-439.457888601768 -19.0460339847999 222.217793762144</t>
  </si>
  <si>
    <t>-587.044558105308 -111.386290257393 657.363037067549</t>
  </si>
  <si>
    <t>-428.68721167445 -129.337055937329 731.822506358793</t>
  </si>
  <si>
    <t>9763-20170724T164222.424614700.bin</t>
  </si>
  <si>
    <t>-525.258749217696 87.629747941504 -238.914435010455</t>
  </si>
  <si>
    <t>-565.962532887457 73.9159250827889 -352.152922057872</t>
  </si>
  <si>
    <t>-584.811804284726 53.8383212211356 -470.187343037181</t>
  </si>
  <si>
    <t>-592.664249067998 33.2566810764337 -577.470098683577</t>
  </si>
  <si>
    <t>-591.383244210518 10.3635984558812 -684.564112904716</t>
  </si>
  <si>
    <t>-580.207598876124 22.0267751808358 -773.790991732775</t>
  </si>
  <si>
    <t>-555.565731049315 167.001130564493 -775.346806125163</t>
  </si>
  <si>
    <t>-426.683430320818 322.482181054441 -531.623076402326</t>
  </si>
  <si>
    <t>-202.102656756058 318.661916657085 -400.509051255024</t>
  </si>
  <si>
    <t>-513.263349655498 181.072471628591 -254.666607149048</t>
  </si>
  <si>
    <t>-492.266009480844 192.163598218667 200.408964221981</t>
  </si>
  <si>
    <t>-500.364043379359 186.676661329529 670.535375818008</t>
  </si>
  <si>
    <t>-347.898971087749 176.648455866138 757.698165305519</t>
  </si>
  <si>
    <t>-439.296210582674 -20.5752292190929 222.358094410916</t>
  </si>
  <si>
    <t>-587.128105812183 -111.567675098834 657.707283708747</t>
  </si>
  <si>
    <t>-428.727367508335 -129.21798077974 732.146260315445</t>
  </si>
  <si>
    <t>9763-20170724T164222.454708100.bin</t>
  </si>
  <si>
    <t>-525.127653413493 85.7534804792234 -238.768808194534</t>
  </si>
  <si>
    <t>-565.858963421362 72.1294536473404 -352.00809788853</t>
  </si>
  <si>
    <t>-584.764124082457 51.9387879990501 -470.014469269452</t>
  </si>
  <si>
    <t>-592.678935073973 31.1714926199671 -577.256791432257</t>
  </si>
  <si>
    <t>-591.472238214183 8.00944924712813 -684.293748208179</t>
  </si>
  <si>
    <t>-580.264602032436 19.3809409877234 -773.554333078442</t>
  </si>
  <si>
    <t>-555.282638745997 164.255323437122 -775.817856012551</t>
  </si>
  <si>
    <t>-422.567531145083 325.852581368008 -538.206382908162</t>
  </si>
  <si>
    <t>-197.042822376568 321.621728501154 -408.735195631231</t>
  </si>
  <si>
    <t>-512.863030883076 179.072008306986 -254.510189303145</t>
  </si>
  <si>
    <t>-491.3203364032 190.982222361094 200.519182707085</t>
  </si>
  <si>
    <t>-500.341975015137 186.244664092871 670.629707698535</t>
  </si>
  <si>
    <t>-347.779537404906 176.8207967442 757.689435413853</t>
  </si>
  <si>
    <t>-439.254733479362 -21.7644166219205 222.483359622625</t>
  </si>
  <si>
    <t>-587.29411266417 -111.141460589372 658.074889191219</t>
  </si>
  <si>
    <t>-429.098146588752 -130.157871089066 732.613017635723</t>
  </si>
  <si>
    <t>9763-20170724T164222.522898600.bin</t>
  </si>
  <si>
    <t>-524.837805944498 82.7346968416645 -238.293734871943</t>
  </si>
  <si>
    <t>-565.776902220103 69.1576966724207 -351.46362218301</t>
  </si>
  <si>
    <t>-584.962387835968 48.5982340354645 -469.361147653027</t>
  </si>
  <si>
    <t>-593.158194097751 27.3297607251638 -576.484037902057</t>
  </si>
  <si>
    <t>-592.259434556742 3.50092743685997 -683.377640308734</t>
  </si>
  <si>
    <t>-581.129389069371 14.1814951332359 -772.733130733617</t>
  </si>
  <si>
    <t>-555.502712196251 158.914210575405 -776.615929792759</t>
  </si>
  <si>
    <t>-414.921841226465 331.761459786823 -551.789164316615</t>
  </si>
  <si>
    <t>-187.672808751846 325.633997707397 -425.446815234635</t>
  </si>
  <si>
    <t>-512.189191709042 176.143021080362 -254.254035179384</t>
  </si>
  <si>
    <t>-489.661563059105 189.564311715741 200.685643812556</t>
  </si>
  <si>
    <t>-500.424166672179 186.755384465335 670.658690568699</t>
  </si>
  <si>
    <t>-347.944228589936 176.275609982556 757.742261434161</t>
  </si>
  <si>
    <t>-438.728327547521 -24.1921234480387 223.027006843038</t>
  </si>
  <si>
    <t>-587.514211289801 -111.385122016401 658.801073541946</t>
  </si>
  <si>
    <t>-429.318902920408 -130.087319283033 733.420005852883</t>
  </si>
  <si>
    <t>9763-20170724T164222.591633200.bin</t>
  </si>
  <si>
    <t>-524.017462137876 80.3790524689869 -237.776901693073</t>
  </si>
  <si>
    <t>-565.043882089621 66.6618478845792 -350.89852904304</t>
  </si>
  <si>
    <t>-584.352064119872 45.4611999925258 -468.662119428382</t>
  </si>
  <si>
    <t>-592.673448767353 23.41196732404 -575.617510012654</t>
  </si>
  <si>
    <t>-580.678072265038 8.30312980322111 -771.743286738098</t>
  </si>
  <si>
    <t>-553.936594605808 152.785910096173 -777.720989650693</t>
  </si>
  <si>
    <t>-407.647642539472 337.080950234098 -566.011074862114</t>
  </si>
  <si>
    <t>-180.815882375318 326.99498197122 -439.173738362551</t>
  </si>
  <si>
    <t>-511.023155584513 173.707557401362 -254.111554816316</t>
  </si>
  <si>
    <t>-487.950428340959 188.410436992984 200.761051847313</t>
  </si>
  <si>
    <t>-500.349151545799 186.759348868584 670.72558528974</t>
  </si>
  <si>
    <t>-347.854283987858 176.128376495816 757.764714995073</t>
  </si>
  <si>
    <t>-437.90697842426 -26.6010098145993 223.771750698009</t>
  </si>
  <si>
    <t>-587.79077723558 -112.243901727513 659.565247281785</t>
  </si>
  <si>
    <t>-429.364777248556 -130.298682625937 733.853513085806</t>
  </si>
  <si>
    <t>9763-20170724T164222.623726300.bin</t>
  </si>
  <si>
    <t>-523.506429867158 79.6469689272375 -237.434657226706</t>
  </si>
  <si>
    <t>-564.532954067137 65.867127930598 -350.548520601873</t>
  </si>
  <si>
    <t>-583.862529059214 44.2605902589486 -468.234988248708</t>
  </si>
  <si>
    <t>-592.212729397921 21.7062756663278 -575.08259574144</t>
  </si>
  <si>
    <t>-580.151565751211 5.30693181084612 -771.112211851093</t>
  </si>
  <si>
    <t>-552.842490190977 149.622551157207 -778.322591616649</t>
  </si>
  <si>
    <t>-405.283437667686 339.165878337374 -572.201592507526</t>
  </si>
  <si>
    <t>-179.158643173176 326.987133244435 -444.290365688717</t>
  </si>
  <si>
    <t>-510.337762175641 172.883164127342 -253.930030084129</t>
  </si>
  <si>
    <t>-487.139505679201 188.121821953555 200.918635146199</t>
  </si>
  <si>
    <t>-500.50269489628 187.039215534823 670.910528579153</t>
  </si>
  <si>
    <t>-347.915790593005 176.079806423383 757.747477638277</t>
  </si>
  <si>
    <t>-437.488820198588 -27.4214754724446 224.262716515556</t>
  </si>
  <si>
    <t>-587.973465576036 -112.261178133973 659.895756328336</t>
  </si>
  <si>
    <t>-429.565090247597 -131.312759445487 733.972337719124</t>
  </si>
  <si>
    <t>9763-20170724T164222.691920700.bin</t>
  </si>
  <si>
    <t>-522.750186575763 78.3099052044485 -236.721623562025</t>
  </si>
  <si>
    <t>-563.959263308597 64.5260607575901 -349.768652873683</t>
  </si>
  <si>
    <t>-583.396653727468 42.2271652846856 -467.307993701478</t>
  </si>
  <si>
    <t>-591.811687829772 18.7746390098924 -573.957055899347</t>
  </si>
  <si>
    <t>-579.593361806543 0.0298645990378859 -769.789510938789</t>
  </si>
  <si>
    <t>-551.422205458643 144.068974143668 -779.055991670666</t>
  </si>
  <si>
    <t>-403.642569988091 342.916122303758 -582.060583463803</t>
  </si>
  <si>
    <t>-179.113371306328 328.608873796492 -451.584578002526</t>
  </si>
  <si>
    <t>-509.163952039999 171.183255172028 -253.366047886743</t>
  </si>
  <si>
    <t>-485.549047626472 187.093831253738 201.438215698335</t>
  </si>
  <si>
    <t>-500.667684305566 186.35574778742 671.434318513927</t>
  </si>
  <si>
    <t>-347.647948800862 176.886012966647 757.682796676091</t>
  </si>
  <si>
    <t>-436.884564893308 -27.8252035712542 225.122609894357</t>
  </si>
  <si>
    <t>-588.362088267217 -111.52983329497 660.504419083884</t>
  </si>
  <si>
    <t>-429.901274558909 -131.826016480465 734.136954902357</t>
  </si>
  <si>
    <t>9763-20170724T164222.724005600.bin</t>
  </si>
  <si>
    <t>-522.629523294142 78.0443119192227 -236.325260789977</t>
  </si>
  <si>
    <t>-563.957617705954 64.2151070337477 -349.323222035101</t>
  </si>
  <si>
    <t>-583.456267713238 41.5446504273884 -466.781341870024</t>
  </si>
  <si>
    <t>-591.901624074141 17.6278239930973 -573.324785717586</t>
  </si>
  <si>
    <t>-551.273866393699 141.63615634136 -779.291964808216</t>
  </si>
  <si>
    <t>-403.422396438086 343.467957031991 -585.410451870532</t>
  </si>
  <si>
    <t>-179.470196327224 328.962275647084 -453.968156816381</t>
  </si>
  <si>
    <t>-508.966085947141 170.861728172321 -253.084829056449</t>
  </si>
  <si>
    <t>-484.780960131359 186.984191188563 201.681996655021</t>
  </si>
  <si>
    <t>-500.730162471067 186.342357102318 671.588233916933</t>
  </si>
  <si>
    <t>-347.674556485714 176.386134919291 757.718086329984</t>
  </si>
  <si>
    <t>-436.508853759102 -27.624259413471 225.563549649518</t>
  </si>
  <si>
    <t>-588.511295785824 -111.276110774044 660.752276040743</t>
  </si>
  <si>
    <t>-430.134994035745 -132.686779194054 734.250813936337</t>
  </si>
  <si>
    <t>9763-20170724T164222.787680500.bin</t>
  </si>
  <si>
    <t>-522.218988032849 77.4403433189889 -235.619937507071</t>
  </si>
  <si>
    <t>-563.81631843956 63.2948134187382 -348.479870531039</t>
  </si>
  <si>
    <t>-583.364401729989 39.9703477280234 -465.801659334667</t>
  </si>
  <si>
    <t>-591.762011293164 15.3313394015041 -572.184234666011</t>
  </si>
  <si>
    <t>-550.806891322553 137.571664386723 -779.42507514843</t>
  </si>
  <si>
    <t>-401.821690081712 344.408049889096 -591.786306827756</t>
  </si>
  <si>
    <t>-178.643443327058 328.912421457224 -459.146253138374</t>
  </si>
  <si>
    <t>-508.631811971695 170.055005059395 -252.677894042824</t>
  </si>
  <si>
    <t>-483.709287889457 186.751950190815 202.028247791675</t>
  </si>
  <si>
    <t>-500.75930846145 186.182720943426 671.833052126455</t>
  </si>
  <si>
    <t>-347.530257662345 176.97376218973 757.737443684395</t>
  </si>
  <si>
    <t>-435.635210304107 -27.456716785438 226.450911322125</t>
  </si>
  <si>
    <t>-588.62185288355 -111.570213632324 661.122775848921</t>
  </si>
  <si>
    <t>-430.023128687465 -132.001704003299 734.420130589467</t>
  </si>
  <si>
    <t>9763-20170724T164222.827292100.bin</t>
  </si>
  <si>
    <t>-522.012227586896 77.0983295076383 -235.385385813703</t>
  </si>
  <si>
    <t>-563.765945409993 62.7627257979878 -348.163677084187</t>
  </si>
  <si>
    <t>-583.343421194063 39.1104581736475 -465.414857168784</t>
  </si>
  <si>
    <t>-591.714068782311 14.1225895160289 -571.718137827768</t>
  </si>
  <si>
    <t>-550.719638519341 135.575638548501 -779.570610097292</t>
  </si>
  <si>
    <t>-400.71145392941 344.33693016274 -594.902085884064</t>
  </si>
  <si>
    <t>-177.808303739627 327.898916896675 -461.913331287963</t>
  </si>
  <si>
    <t>-508.617957169587 169.713057297038 -252.570208457857</t>
  </si>
  <si>
    <t>-483.372228643943 186.600623300757 202.111189292891</t>
  </si>
  <si>
    <t>-500.66164614601 185.923563898937 671.894849840563</t>
  </si>
  <si>
    <t>-347.402988041586 176.700865370321 757.74497155314</t>
  </si>
  <si>
    <t>-435.158869990953 -27.3447365626295 226.838824020055</t>
  </si>
  <si>
    <t>-588.666225623199 -111.569592447148 661.268179492568</t>
  </si>
  <si>
    <t>-430.025851123197 -131.750580700788 734.544825266213</t>
  </si>
  <si>
    <t>9763-20170724T164222.889765200.bin</t>
  </si>
  <si>
    <t>-521.698702466064 76.7222989179172 -235.04224401055</t>
  </si>
  <si>
    <t>-563.269899875621 61.9690345345713 -347.833944521626</t>
  </si>
  <si>
    <t>-582.662415433089 37.7519798939409 -465.000703566638</t>
  </si>
  <si>
    <t>-590.869463094495 12.1958737991666 -571.181589499521</t>
  </si>
  <si>
    <t>-550.205626815461 132.437410952776 -780.269483066842</t>
  </si>
  <si>
    <t>-398.82668526159 345.153775396864 -601.32151228379</t>
  </si>
  <si>
    <t>-177.118108271682 326.47412990159 -466.642562114336</t>
  </si>
  <si>
    <t>-508.722685635537 169.144573868762 -252.419004863222</t>
  </si>
  <si>
    <t>-483.493547879022 186.607972873071 202.241523296135</t>
  </si>
  <si>
    <t>-500.709899642431 186.21160155625 672.057617941052</t>
  </si>
  <si>
    <t>-347.354774700282 177.052119097716 757.741976032843</t>
  </si>
  <si>
    <t>-434.753545499809 -26.6846434079144 227.419330261184</t>
  </si>
  <si>
    <t>-588.761152969141 -111.45656438066 661.53009799647</t>
  </si>
  <si>
    <t>-430.357157772113 -133.202534118068 734.870393642913</t>
  </si>
  <si>
    <t>9763-20170724T164222.922856600.bin</t>
  </si>
  <si>
    <t>-521.515228544998 76.1630631086926 -235.00109759266</t>
  </si>
  <si>
    <t>-563.026683682135 61.2760215769086 -347.797301275378</t>
  </si>
  <si>
    <t>-582.320798172203 36.8404174300763 -464.934917023542</t>
  </si>
  <si>
    <t>-590.423836231928 11.0562433049229 -571.068662637126</t>
  </si>
  <si>
    <t>-549.957377917437 130.8193430083 -780.694881337996</t>
  </si>
  <si>
    <t>-398.851339145007 345.415794764987 -603.772625364113</t>
  </si>
  <si>
    <t>-177.043353967221 324.474235973091 -469.590768235574</t>
  </si>
  <si>
    <t>-508.761140234424 168.637320014223 -252.391593688806</t>
  </si>
  <si>
    <t>-483.593635001886 186.269142359064 202.265937938545</t>
  </si>
  <si>
    <t>-500.603503565704 186.005031739572 672.068480790087</t>
  </si>
  <si>
    <t>-347.223550737433 177.070323957514 757.732225165218</t>
  </si>
  <si>
    <t>-434.828706430961 -26.9714820630294 227.590054792815</t>
  </si>
  <si>
    <t>-588.751897953863 -111.986470342732 661.712687677888</t>
  </si>
  <si>
    <t>-430.07535762377 -131.961195352778 734.96750210716</t>
  </si>
  <si>
    <t>9763-20170724T164222.989891200.bin</t>
  </si>
  <si>
    <t>-521.418678950206 75.5702109011608 -235.014679038644</t>
  </si>
  <si>
    <t>-562.858597743276 60.5171222863155 -347.815193498542</t>
  </si>
  <si>
    <t>-581.971076986276 35.7706637409388 -464.917356666272</t>
  </si>
  <si>
    <t>-589.862244412875 9.66098202726582 -570.987391547387</t>
  </si>
  <si>
    <t>-550.03809415524 128.84977066705 -781.486296216466</t>
  </si>
  <si>
    <t>-400.60909176553 346.282892031301 -606.614870789898</t>
  </si>
  <si>
    <t>-179.178899923718 322.692164939985 -472.249087337487</t>
  </si>
  <si>
    <t>-508.880052870862 168.047996531776 -252.414837856638</t>
  </si>
  <si>
    <t>-483.494128229461 186.152475140704 202.211854772436</t>
  </si>
  <si>
    <t>-500.500427730419 186.36019424715 672.036491780092</t>
  </si>
  <si>
    <t>-347.225191084084 176.551570072015 757.791986155936</t>
  </si>
  <si>
    <t>-435.133036440148 -26.9978888747748 227.810629811387</t>
  </si>
  <si>
    <t>-588.88710767737 -112.048553089828 662.024586895601</t>
  </si>
  <si>
    <t>-430.252206778891 -132.418571195303 735.260732265146</t>
  </si>
  <si>
    <t>9763-20170724T164223.024987900.bin</t>
  </si>
  <si>
    <t>-521.381865597447 75.1815513279963 -235.118884017063</t>
  </si>
  <si>
    <t>-562.761805986438 60.1553172519863 -347.944997726309</t>
  </si>
  <si>
    <t>-581.770847864535 35.3725627597768 -465.056242608062</t>
  </si>
  <si>
    <t>-589.54996211633 9.20972924547087 -571.121442301416</t>
  </si>
  <si>
    <t>-549.97874571658 128.305113930363 -781.883525339844</t>
  </si>
  <si>
    <t>-402.368023190923 346.411736431252 -606.30816044643</t>
  </si>
  <si>
    <t>-180.494873534665 321.464731890312 -472.921377026775</t>
  </si>
  <si>
    <t>-508.968730960724 167.766003670523 -252.452872352021</t>
  </si>
  <si>
    <t>-483.337636117453 185.956723704817 202.156672477692</t>
  </si>
  <si>
    <t>-500.487245637045 186.653594512821 672.001889490176</t>
  </si>
  <si>
    <t>-347.233393911589 176.908056470779 757.802817514327</t>
  </si>
  <si>
    <t>-435.672156185121 -27.1856467898203 227.780963862799</t>
  </si>
  <si>
    <t>-588.957162182557 -112.130498553007 662.242256638162</t>
  </si>
  <si>
    <t>-430.274686055748 -132.242529680816 735.44679188948</t>
  </si>
  <si>
    <t>9763-20170724T164223.088201500.bin</t>
  </si>
  <si>
    <t>-521.327436014711 74.1329055271566 -235.095797070001</t>
  </si>
  <si>
    <t>-562.428296471542 59.1912632924466 -348.035015777977</t>
  </si>
  <si>
    <t>-581.13867996098 34.4972856723635 -465.213112197898</t>
  </si>
  <si>
    <t>-588.63648006903 8.43338690750642 -571.32293492726</t>
  </si>
  <si>
    <t>-550.003338361797 128.032250090898 -782.190865650176</t>
  </si>
  <si>
    <t>-408.23646742129 348.282829436968 -604.488826743192</t>
  </si>
  <si>
    <t>-185.981733911072 319.77065424348 -472.45859577503</t>
  </si>
  <si>
    <t>-508.897447549958 166.840944632779 -252.300824787561</t>
  </si>
  <si>
    <t>-482.942459535357 185.360163107847 202.277042743319</t>
  </si>
  <si>
    <t>-500.428182849808 186.581160181201 672.128005653403</t>
  </si>
  <si>
    <t>-347.095447166036 177.394708122124 757.849574912177</t>
  </si>
  <si>
    <t>-436.468663915162 -27.8845429767828 227.863244849341</t>
  </si>
  <si>
    <t>-589.126038484197 -112.266555493931 662.682694536272</t>
  </si>
  <si>
    <t>-430.408018479291 -132.099637071255 735.886127075903</t>
  </si>
  <si>
    <t>9763-20170724T164223.126303900.bin</t>
  </si>
  <si>
    <t>-521.184960612951 73.6666542553473 -235.01327442951</t>
  </si>
  <si>
    <t>-562.239120693361 58.8087767637738 -347.98060607834</t>
  </si>
  <si>
    <t>-580.866522737575 34.2536339450692 -465.201034781287</t>
  </si>
  <si>
    <t>-588.270364056132 8.34919267719869 -571.356520437964</t>
  </si>
  <si>
    <t>-550.423584559468 128.539372038004 -782.088250440463</t>
  </si>
  <si>
    <t>-411.845273909035 349.522317686524 -602.7874021333</t>
  </si>
  <si>
    <t>-189.358762640316 319.147328127689 -471.56553262849</t>
  </si>
  <si>
    <t>-508.821521136559 166.547988571183 -252.154229453035</t>
  </si>
  <si>
    <t>-482.864079084461 185.196014339034 202.418269687238</t>
  </si>
  <si>
    <t>-500.518533501852 186.782787725806 672.251193699927</t>
  </si>
  <si>
    <t>-347.168381466467 177.016886845238 757.877566417112</t>
  </si>
  <si>
    <t>-436.600313255813 -28.3719502596877 227.961605067103</t>
  </si>
  <si>
    <t>-589.16680185432 -112.778415306902 662.920435147213</t>
  </si>
  <si>
    <t>-430.393540776623 -132.288847148646 736.090865505626</t>
  </si>
  <si>
    <t>9763-20170724T164223.190482300.bin</t>
  </si>
  <si>
    <t>-520.913586235328 73.2486407229144 -234.834412160624</t>
  </si>
  <si>
    <t>-561.97206668273 58.4044240059556 -347.801926334767</t>
  </si>
  <si>
    <t>-580.54841242511 34.1901363024777 -465.101370270392</t>
  </si>
  <si>
    <t>-587.875648720626 8.74466176387679 -571.373124897995</t>
  </si>
  <si>
    <t>-551.675621992443 130.550461041642 -781.461308771134</t>
  </si>
  <si>
    <t>-418.273920951033 350.673647379756 -597.244228255303</t>
  </si>
  <si>
    <t>-195.289521325 317.725098502969 -467.496863560481</t>
  </si>
  <si>
    <t>-508.583496992272 166.158257605834 -251.961574537871</t>
  </si>
  <si>
    <t>-482.765832345319 185.002939927476 202.610702498154</t>
  </si>
  <si>
    <t>-500.432969856036 186.892894469018 672.304643990179</t>
  </si>
  <si>
    <t>-347.12456495118 176.963620367073 757.986924574958</t>
  </si>
  <si>
    <t>-436.561269794369 -28.5531432166765 228.228086690267</t>
  </si>
  <si>
    <t>-589.353358316969 -112.846998285008 663.20203140627</t>
  </si>
  <si>
    <t>-430.627079573948 -132.882654448023 736.332512712758</t>
  </si>
  <si>
    <t>9763-20170724T164223.223571200.bin</t>
  </si>
  <si>
    <t>-520.787682059666 73.134941616798 -234.712266404554</t>
  </si>
  <si>
    <t>-561.716328516102 58.2531737455447 -347.722009839834</t>
  </si>
  <si>
    <t>-580.199618135868 34.2814425678089 -465.085852610744</t>
  </si>
  <si>
    <t>-587.456816706783 9.17411520537978 -571.442962136684</t>
  </si>
  <si>
    <t>-551.868663041324 132.073290315955 -781.028428105799</t>
  </si>
  <si>
    <t>-419.984191299381 351.440074729009 -594.827242536223</t>
  </si>
  <si>
    <t>-197.596580306326 317.818947431023 -464.23095600563</t>
  </si>
  <si>
    <t>-508.538610344913 166.048698548781 -251.878973577289</t>
  </si>
  <si>
    <t>-482.674161087733 184.982244147588 202.68699462611</t>
  </si>
  <si>
    <t>-500.375460767493 186.824611307097 672.370599974081</t>
  </si>
  <si>
    <t>-347.060047454828 176.896303320563 758.040468420963</t>
  </si>
  <si>
    <t>-436.413345534522 -28.6073501717223 228.324002077638</t>
  </si>
  <si>
    <t>-589.428651179015 -112.779618875723 663.238602707994</t>
  </si>
  <si>
    <t>-430.63345868658 -132.263819624604 736.36828785456</t>
  </si>
  <si>
    <t>9763-20170724T164223.286751400.bin</t>
  </si>
  <si>
    <t>-520.429468156417 72.9109915561159 -234.58021292166</t>
  </si>
  <si>
    <t>-561.345955498454 58.0099275483323 -347.591681792077</t>
  </si>
  <si>
    <t>-579.772110004074 34.5564943850466 -465.06926272331</t>
  </si>
  <si>
    <t>-586.956800944244 10.1421231566216 -571.592317643075</t>
  </si>
  <si>
    <t>-552.135082887054 135.15274588963 -779.98904427636</t>
  </si>
  <si>
    <t>-422.345726710812 353.738109650272 -591.411885932625</t>
  </si>
  <si>
    <t>-201.065755179803 316.476998141663 -459.925014351839</t>
  </si>
  <si>
    <t>-508.475387566917 165.930843306302 -251.67010893655</t>
  </si>
  <si>
    <t>-482.666980710582 184.880479554948 202.898402168244</t>
  </si>
  <si>
    <t>-500.31186106142 186.835987004671 672.505446832142</t>
  </si>
  <si>
    <t>-346.877104020043 178.151606218381 758.096645889793</t>
  </si>
  <si>
    <t>-435.90291373051 -28.6144652918586 228.482219799408</t>
  </si>
  <si>
    <t>-589.48584642411 -113.387844643821 663.202827486506</t>
  </si>
  <si>
    <t>-430.593432610007 -132.084504495652 736.327014321532</t>
  </si>
  <si>
    <t>9763-20170724T164223.328364400.bin</t>
  </si>
  <si>
    <t>-520.369552935883 73.3345054426646 -234.483476550719</t>
  </si>
  <si>
    <t>-561.362462839104 58.4211900707743 -347.465768086022</t>
  </si>
  <si>
    <t>-579.85705043756 35.1937205122805 -464.977263717521</t>
  </si>
  <si>
    <t>-587.09897259906 11.0812502212349 -571.565313310026</t>
  </si>
  <si>
    <t>-552.654479030606 137.004933357185 -779.594219728131</t>
  </si>
  <si>
    <t>-423.463656226618 355.824302473167 -590.877723674421</t>
  </si>
  <si>
    <t>-203.417886282334 316.322362268733 -457.981041174763</t>
  </si>
  <si>
    <t>-508.562775587659 166.37747748063 -251.558098991101</t>
  </si>
  <si>
    <t>-482.935837712983 185.292574587565 203.022116969195</t>
  </si>
  <si>
    <t>-500.345776951859 187.008929889445 672.607218545473</t>
  </si>
  <si>
    <t>-346.920375332471 177.626562651941 758.141560748857</t>
  </si>
  <si>
    <t>-435.527563844535 -28.1359408882102 228.572883502963</t>
  </si>
  <si>
    <t>-589.537070327133 -113.318668920482 663.057189430973</t>
  </si>
  <si>
    <t>-430.647497334633 -132.041585570193 736.180753434153</t>
  </si>
  <si>
    <t>9763-20170724T164223.393046400.bin</t>
  </si>
  <si>
    <t>-520.456200379568 74.2301498552542 -234.528949022895</t>
  </si>
  <si>
    <t>-561.307126292097 59.2898460673828 -347.55903947654</t>
  </si>
  <si>
    <t>-579.865450909993 36.29801068796 -465.106927060501</t>
  </si>
  <si>
    <t>-587.250696321475 12.5044300264252 -571.75664470139</t>
  </si>
  <si>
    <t>-553.761406943298 139.352029392744 -779.574718193902</t>
  </si>
  <si>
    <t>-424.933245888795 359.101497518046 -591.692611887864</t>
  </si>
  <si>
    <t>-207.160400798231 314.943888395511 -456.536647032745</t>
  </si>
  <si>
    <t>-508.618070947338 167.401154746407 -251.559897532887</t>
  </si>
  <si>
    <t>-483.742916479036 185.915750663235 203.078601691377</t>
  </si>
  <si>
    <t>-500.441017311029 187.485299224927 672.741670664863</t>
  </si>
  <si>
    <t>-346.903286834477 178.218451445848 758.086933354927</t>
  </si>
  <si>
    <t>-435.588627568987 -27.3638576830067 228.384443347646</t>
  </si>
  <si>
    <t>-589.591972628725 -113.292203559044 662.77861346738</t>
  </si>
  <si>
    <t>-430.664573843075 -131.696519703594 735.900973959811</t>
  </si>
  <si>
    <t>9763-20170724T164223.426133800.bin</t>
  </si>
  <si>
    <t>-520.476527113891 74.8432792273341 -234.538074988319</t>
  </si>
  <si>
    <t>-561.132547193607 59.9447103573455 -347.643805319448</t>
  </si>
  <si>
    <t>-579.652437628366 37.0473958933941 -465.216358512428</t>
  </si>
  <si>
    <t>-587.068614173533 13.3613080531705 -571.887901552133</t>
  </si>
  <si>
    <t>-554.018324880614 140.488236296192 -779.692567081376</t>
  </si>
  <si>
    <t>-425.779212025751 360.962412291257 -592.257074172914</t>
  </si>
  <si>
    <t>-208.55877129003 315.224620987201 -456.738022672482</t>
  </si>
  <si>
    <t>-508.534646691573 167.900588618492 -251.520145525382</t>
  </si>
  <si>
    <t>-484.032748341987 186.150473885057 203.14934339264</t>
  </si>
  <si>
    <t>-500.368357298471 187.122823451863 672.84507641695</t>
  </si>
  <si>
    <t>-346.69377712077 178.716228093808 758.03287392679</t>
  </si>
  <si>
    <t>-435.813591166473 -27.189758235226 228.322442699354</t>
  </si>
  <si>
    <t>-589.640283091326 -113.362557391341 662.7312222301</t>
  </si>
  <si>
    <t>-430.796072932823 -132.330085478517 735.890371949438</t>
  </si>
  <si>
    <t>9763-20170724T164223.488870400.bin</t>
  </si>
  <si>
    <t>-520.590758352239 76.3220076866915 -234.565967239615</t>
  </si>
  <si>
    <t>-561.339182440954 61.6991056577162 -347.674526385007</t>
  </si>
  <si>
    <t>-580.010434126132 39.027424572119 -465.266847834716</t>
  </si>
  <si>
    <t>-587.582366092015 15.5341661275487 -571.970155973212</t>
  </si>
  <si>
    <t>-555.505778140618 143.124174926492 -779.744405369275</t>
  </si>
  <si>
    <t>-428.902928325847 363.906491311199 -591.560750075873</t>
  </si>
  <si>
    <t>-211.403478508133 317.05762081978 -456.871283743954</t>
  </si>
  <si>
    <t>-508.495034315837 169.444793814271 -251.36361509995</t>
  </si>
  <si>
    <t>-484.321281732232 186.819981777356 203.357570324292</t>
  </si>
  <si>
    <t>-500.400521510554 186.841087114903 673.115622521341</t>
  </si>
  <si>
    <t>-346.514770288307 178.798700019053 757.956709210936</t>
  </si>
  <si>
    <t>-436.405613886582 -26.6778724160771 228.224457751265</t>
  </si>
  <si>
    <t>-589.729361668862 -113.53519842118 662.671830855667</t>
  </si>
  <si>
    <t>-430.904876140107 -132.469186230814 735.882491640745</t>
  </si>
  <si>
    <t>9763-20170724T164223.522959600.bin</t>
  </si>
  <si>
    <t>-520.906769515246 77.4303391675317 -234.555651803114</t>
  </si>
  <si>
    <t>-561.57991873303 62.8764916218371 -347.700110840921</t>
  </si>
  <si>
    <t>-580.250597548642 40.2804353285295 -465.307005316654</t>
  </si>
  <si>
    <t>-587.852401209208 16.8602592821461 -572.024249331833</t>
  </si>
  <si>
    <t>-556.162222431175 144.617118414789 -779.76023506491</t>
  </si>
  <si>
    <t>-430.508704009648 365.206923450528 -590.716551134564</t>
  </si>
  <si>
    <t>-212.868465162684 318.341803721474 -456.260452951216</t>
  </si>
  <si>
    <t>-508.678773467283 170.828561782543 -251.33220648995</t>
  </si>
  <si>
    <t>-484.53388318809 187.68604039964 203.410140023251</t>
  </si>
  <si>
    <t>-500.564860103072 187.576074512641 673.125285046385</t>
  </si>
  <si>
    <t>-346.748569487339 178.145956379062 757.949414997884</t>
  </si>
  <si>
    <t>-436.814965274391 -26.2259565796694 228.169082284491</t>
  </si>
  <si>
    <t>-589.725569592364 -113.812812619402 662.64669315216</t>
  </si>
  <si>
    <t>-430.885993688957 -132.529288795093 735.880572910178</t>
  </si>
  <si>
    <t>9763-20170724T164223.591752400.bin</t>
  </si>
  <si>
    <t>-521.170739313634 79.7718256866452 -234.549279370379</t>
  </si>
  <si>
    <t>-561.796989843672 65.3793554659562 -347.731267114145</t>
  </si>
  <si>
    <t>-580.592397894986 42.9811803227823 -465.356105862392</t>
  </si>
  <si>
    <t>-588.375418164231 19.7585602389587 -572.103485417163</t>
  </si>
  <si>
    <t>-576.548950899774 2.64862148707079 -768.11830540649</t>
  </si>
  <si>
    <t>-557.527966079899 147.997080079791 -779.765090533639</t>
  </si>
  <si>
    <t>-433.518921401509 368.475026851968 -589.508923398073</t>
  </si>
  <si>
    <t>-215.947652472923 319.966173506003 -455.525037293677</t>
  </si>
  <si>
    <t>-508.610221275757 173.178857504132 -251.315614552552</t>
  </si>
  <si>
    <t>-485.028874129243 188.957988952265 203.494985358629</t>
  </si>
  <si>
    <t>-500.406021285223 187.427765257729 673.160918450562</t>
  </si>
  <si>
    <t>-346.493656245561 178.829162080646 757.899045454604</t>
  </si>
  <si>
    <t>-437.278329390617 -25.1531642082584 228.049732009443</t>
  </si>
  <si>
    <t>-589.748689768587 -113.923224157958 662.493880897434</t>
  </si>
  <si>
    <t>-431.010991842572 -133.143224628147 735.818208079007</t>
  </si>
  <si>
    <t>9763-20170724T164223.625833900.bin</t>
  </si>
  <si>
    <t>-521.302022596172 81.2172081420702 -234.605879387148</t>
  </si>
  <si>
    <t>-562.014103522595 66.9100199770825 -347.767767485304</t>
  </si>
  <si>
    <t>-580.915628422758 44.5970791740081 -465.391956455395</t>
  </si>
  <si>
    <t>-588.800415977537 21.4541805758081 -572.149089034103</t>
  </si>
  <si>
    <t>-577.171239799264 4.50379198901335 -768.188889640811</t>
  </si>
  <si>
    <t>-558.112704230976 149.85727775796 -779.747550819137</t>
  </si>
  <si>
    <t>-435.132059016347 370.40727258069 -588.90824776224</t>
  </si>
  <si>
    <t>-217.897734620248 320.573923558749 -454.863759662958</t>
  </si>
  <si>
    <t>-508.634560904069 174.761645091143 -251.332021699529</t>
  </si>
  <si>
    <t>-485.442668216711 189.907580719222 203.520045810159</t>
  </si>
  <si>
    <t>-500.491814774998 187.851626170032 673.216095115881</t>
  </si>
  <si>
    <t>-346.617849813475 178.105373240458 757.899745210233</t>
  </si>
  <si>
    <t>-437.541253448521 -24.4275288584633 227.970095433476</t>
  </si>
  <si>
    <t>-589.769995687805 -113.90184011287 662.413219420124</t>
  </si>
  <si>
    <t>-431.096214615707 -133.466974835986 735.784470398726</t>
  </si>
  <si>
    <t>9763-20170724T164223.690013700.bin</t>
  </si>
  <si>
    <t>-521.721518572608 83.8231653512592 -234.69552464835</t>
  </si>
  <si>
    <t>-562.391486774358 69.7375796193733 -347.900459696786</t>
  </si>
  <si>
    <t>-581.398156751793 47.6616883974244 -465.552419583881</t>
  </si>
  <si>
    <t>-589.435934098676 24.7444170562615 -572.346735270329</t>
  </si>
  <si>
    <t>-578.207461801875 8.24687013293351 -768.447612081589</t>
  </si>
  <si>
    <t>-558.982709832284 153.599474558932 -779.77221814241</t>
  </si>
  <si>
    <t>-438.160186734204 374.758096822805 -588.259868738765</t>
  </si>
  <si>
    <t>-222.132841047973 322.132553285982 -453.334812158138</t>
  </si>
  <si>
    <t>-508.651073902055 177.39032908479 -251.334648271471</t>
  </si>
  <si>
    <t>-485.930664022539 191.14397748749 203.585415815012</t>
  </si>
  <si>
    <t>-500.419081846491 187.688073289574 673.327417740891</t>
  </si>
  <si>
    <t>-346.389412844195 178.978985728913 757.840868407811</t>
  </si>
  <si>
    <t>-438.228383962334 -23.0535236626553 227.762996044658</t>
  </si>
  <si>
    <t>-589.806508683143 -113.578147553216 662.220274594151</t>
  </si>
  <si>
    <t>-431.327583864213 -134.000372145791 735.778986744027</t>
  </si>
  <si>
    <t>9763-20170724T164223.723103300.bin</t>
  </si>
  <si>
    <t>-521.956486141511 84.916649484025 -234.748463745939</t>
  </si>
  <si>
    <t>-562.67821513043 71.0019993805542 -347.956007422288</t>
  </si>
  <si>
    <t>-581.768434507324 49.037779196253 -465.615227073372</t>
  </si>
  <si>
    <t>-589.892662281616 26.1990891072048 -572.419925338285</t>
  </si>
  <si>
    <t>-588.917031093716 0.579401397938604 -678.897765509209</t>
  </si>
  <si>
    <t>-578.827791573161 9.79365420878133 -768.539571133233</t>
  </si>
  <si>
    <t>-559.496237972061 155.144180326964 -779.823262248669</t>
  </si>
  <si>
    <t>-439.840615733822 376.685857622461 -588.02132086643</t>
  </si>
  <si>
    <t>-224.63403236522 322.886311274996 -452.250123255589</t>
  </si>
  <si>
    <t>-508.672020052274 178.755181982149 -251.320440047372</t>
  </si>
  <si>
    <t>-486.070016929915 191.794782957313 203.626507818023</t>
  </si>
  <si>
    <t>-500.460151232553 187.961481498352 673.349615615999</t>
  </si>
  <si>
    <t>-346.414751867878 179.255285284582 757.834605918403</t>
  </si>
  <si>
    <t>-438.606176706647 -22.8837537997191 227.607902215565</t>
  </si>
  <si>
    <t>-589.756600244374 -114.022231624069 662.149877624919</t>
  </si>
  <si>
    <t>-431.123945573147 -133.126114599207 735.731395756197</t>
  </si>
  <si>
    <t>9763-20170724T164223.790295900.bin</t>
  </si>
  <si>
    <t>-522.458948100264 87.397242073454 -234.830744459835</t>
  </si>
  <si>
    <t>-563.215684027855 73.858695126909 -348.071232461755</t>
  </si>
  <si>
    <t>-582.407441543181 52.1765121812944 -465.766167276935</t>
  </si>
  <si>
    <t>-590.647870146987 29.5564098698775 -572.608429210944</t>
  </si>
  <si>
    <t>-589.810571573271 4.12091417312109 -679.131750165447</t>
  </si>
  <si>
    <t>-579.782255151599 13.4629417518664 -768.767093198671</t>
  </si>
  <si>
    <t>-560.166997857983 158.762142786737 -779.946549274894</t>
  </si>
  <si>
    <t>-443.682306940275 382.262605087689 -588.465396976803</t>
  </si>
  <si>
    <t>-229.7985215328 325.643321803299 -451.753929980125</t>
  </si>
  <si>
    <t>-508.756434970463 181.544882507823 -251.255836734209</t>
  </si>
  <si>
    <t>-486.336726917952 193.20818695859 203.737677189671</t>
  </si>
  <si>
    <t>-500.428087409992 188.110494487865 673.422648707396</t>
  </si>
  <si>
    <t>-346.378942232117 178.975348256013 757.855585256511</t>
  </si>
  <si>
    <t>-439.313551326322 -22.09411263261 227.292617212854</t>
  </si>
  <si>
    <t>-589.707216362677 -114.557568723879 661.957903704496</t>
  </si>
  <si>
    <t>-431.088283516085 -133.347121629588 735.649869185161</t>
  </si>
  <si>
    <t>9763-20170724T164223.824387600.bin</t>
  </si>
  <si>
    <t>-522.739419086276 88.6436070918529 -234.879777747569</t>
  </si>
  <si>
    <t>-563.58493564887 75.2998903281179 -348.111228917228</t>
  </si>
  <si>
    <t>-582.869564335464 53.7395664727252 -465.813468664585</t>
  </si>
  <si>
    <t>-591.192468205401 31.2028990939657 -572.66710365505</t>
  </si>
  <si>
    <t>-590.434654553784 5.82656691447666 -679.204975072013</t>
  </si>
  <si>
    <t>-580.434512148839 15.2007495509699 -768.840240792321</t>
  </si>
  <si>
    <t>-560.726646395858 160.501616385075 -780.057917314928</t>
  </si>
  <si>
    <t>-445.611213677898 385.040103069994 -588.963444908173</t>
  </si>
  <si>
    <t>-232.63085917043 327.434478418281 -451.257124459296</t>
  </si>
  <si>
    <t>-508.776536049237 182.808518256238 -251.233444590633</t>
  </si>
  <si>
    <t>-486.556501454497 193.722436234982 203.788334034108</t>
  </si>
  <si>
    <t>-500.316499859691 187.81541533976 673.445967895894</t>
  </si>
  <si>
    <t>-346.225848201692 179.124355469161 757.850005885749</t>
  </si>
  <si>
    <t>-439.550977925458 -21.5448500676793 227.114007530062</t>
  </si>
  <si>
    <t>-589.733319880085 -114.422670191606 661.821619741449</t>
  </si>
  <si>
    <t>-431.197530973031 -133.630969013445 735.584363405233</t>
  </si>
  <si>
    <t>9763-20170724T164223.890187700.bin</t>
  </si>
  <si>
    <t>-523.359636043079 91.3332710569118 -235.007399464184</t>
  </si>
  <si>
    <t>-564.157918249058 78.3075489154863 -348.293043464329</t>
  </si>
  <si>
    <t>-583.519160741873 56.9715728795501 -466.02361882283</t>
  </si>
  <si>
    <t>-591.960938440863 34.5986172174874 -572.902265949992</t>
  </si>
  <si>
    <t>-591.370277107644 9.3472018019861 -679.470823782008</t>
  </si>
  <si>
    <t>-581.405516791566 18.7872621344311 -769.103162493036</t>
  </si>
  <si>
    <t>-561.217274433682 163.991631225787 -780.362026515823</t>
  </si>
  <si>
    <t>-449.37295083277 390.678018972402 -589.862045638448</t>
  </si>
  <si>
    <t>-237.714262191701 330.949581919876 -451.026877936823</t>
  </si>
  <si>
    <t>-508.882452588389 185.764292286983 -251.277219974858</t>
  </si>
  <si>
    <t>-487.513293916333 195.316495611268 203.816024412746</t>
  </si>
  <si>
    <t>-500.364032005856 188.367836363363 673.473783120777</t>
  </si>
  <si>
    <t>-346.325171267984 178.66750592454 757.862334470183</t>
  </si>
  <si>
    <t>-440.302669782226 -20.4493192901404 226.732018514678</t>
  </si>
  <si>
    <t>-589.848859044829 -113.92034698913 661.580341224339</t>
  </si>
  <si>
    <t>-431.39302993164 -133.420473905242 735.438354224908</t>
  </si>
  <si>
    <t>9763-20170724T164223.922276200.bin</t>
  </si>
  <si>
    <t>-523.581860404187 92.8201188270266 -235.041063237064</t>
  </si>
  <si>
    <t>-564.364340706749 79.9956274273999 -348.355386301411</t>
  </si>
  <si>
    <t>-583.801052871273 58.812314043748 -466.100980046782</t>
  </si>
  <si>
    <t>-592.347455019913 36.5571468258803 -572.995829993232</t>
  </si>
  <si>
    <t>-591.896589921396 11.4034217948202 -679.588278966459</t>
  </si>
  <si>
    <t>-582.007869353803 20.9061267907519 -769.222300121305</t>
  </si>
  <si>
    <t>-561.574574362993 166.09622383725 -780.454312485717</t>
  </si>
  <si>
    <t>-451.121736871333 393.746921819316 -590.292617341846</t>
  </si>
  <si>
    <t>-240.391013401633 333.200654197662 -450.40402895368</t>
  </si>
  <si>
    <t>-508.894771293974 187.371121206192 -251.264333137207</t>
  </si>
  <si>
    <t>-487.997221525365 196.196727322023 203.86544971713</t>
  </si>
  <si>
    <t>-500.400685486264 188.607928992951 673.530621634811</t>
  </si>
  <si>
    <t>-346.374940351964 178.321940598567 757.873939438648</t>
  </si>
  <si>
    <t>-440.569514966641 -20.0446901723219 226.589979075324</t>
  </si>
  <si>
    <t>-589.880614959035 -114.093222179648 661.469996107236</t>
  </si>
  <si>
    <t>-431.47447517176 -133.762431283331 735.389690744037</t>
  </si>
  <si>
    <t>9763-20170724T164223.991286200.bin</t>
  </si>
  <si>
    <t>-523.922044327916 95.1649885971051 -234.992645772181</t>
  </si>
  <si>
    <t>-564.787193189791 82.6379875957092 -348.31030404923</t>
  </si>
  <si>
    <t>-584.365779046847 61.6861604393056 -466.07394119021</t>
  </si>
  <si>
    <t>-593.061835661366 39.6140546760468 -572.994666265315</t>
  </si>
  <si>
    <t>-592.780068532562 14.6184286275112 -679.624897139137</t>
  </si>
  <si>
    <t>-582.928583768654 24.2259039728238 -769.251866539267</t>
  </si>
  <si>
    <t>-562.159111863503 169.369851793295 -780.34837048775</t>
  </si>
  <si>
    <t>-454.230889371303 398.520965356558 -590.539384947996</t>
  </si>
  <si>
    <t>-244.770835782038 335.767393859349 -449.718502456979</t>
  </si>
  <si>
    <t>-508.826990744717 189.836646633395 -251.150827422341</t>
  </si>
  <si>
    <t>-488.84090259419 197.36319987572 204.043066721574</t>
  </si>
  <si>
    <t>-500.360817430176 188.509499491832 673.65505730688</t>
  </si>
  <si>
    <t>-346.219342415219 178.7782916621 757.852566314411</t>
  </si>
  <si>
    <t>-538.841283568995 0.468621197947499 -218.16922973825</t>
  </si>
  <si>
    <t>-440.780849528681 -19.5011027335814 226.401432627519</t>
  </si>
  <si>
    <t>-589.893583896693 -114.570871511015 661.17709975732</t>
  </si>
  <si>
    <t>-431.449659417818 -133.43226894128 735.226238826356</t>
  </si>
  <si>
    <t>9763-20170724T164224.023372900.bin</t>
  </si>
  <si>
    <t>-524.153596298271 96.5355543919881 -235.084540948102</t>
  </si>
  <si>
    <t>-565.032851472497 84.1716245864708 -348.415034101931</t>
  </si>
  <si>
    <t>-584.642412825846 63.3469502882634 -466.196087790102</t>
  </si>
  <si>
    <t>-593.371947117735 41.375871057982 -573.134970352662</t>
  </si>
  <si>
    <t>-593.128408944543 16.4686366361981 -679.785938775541</t>
  </si>
  <si>
    <t>-583.262544227847 26.1372623484906 -769.404762426028</t>
  </si>
  <si>
    <t>-562.328060055814 171.267444361286 -780.381216208125</t>
  </si>
  <si>
    <t>-455.438981754705 400.733656677625 -590.364861615054</t>
  </si>
  <si>
    <t>-246.487359781693 337.594732139664 -448.962225664996</t>
  </si>
  <si>
    <t>-508.854256865316 191.412114127275 -251.231343081563</t>
  </si>
  <si>
    <t>-489.229445694511 198.207162355239 203.989855916437</t>
  </si>
  <si>
    <t>-500.315525185078 189.020194851587 673.514336166696</t>
  </si>
  <si>
    <t>-346.316444388006 178.627641359938 757.893240641089</t>
  </si>
  <si>
    <t>-539.313465173895 1.88317460151052 -218.308100078072</t>
  </si>
  <si>
    <t>-441.017195132112 -18.904726268311 226.172945825978</t>
  </si>
  <si>
    <t>-589.891530965477 -114.339644045331 660.926440571894</t>
  </si>
  <si>
    <t>-431.666811875132 -133.949224230858 735.249424856215</t>
  </si>
  <si>
    <t>9763-20170724T164224.089554900.bin</t>
  </si>
  <si>
    <t>-524.65424365354 98.6829978880094 -235.445328072712</t>
  </si>
  <si>
    <t>-565.478433579274 86.5529197514433 -348.821085974883</t>
  </si>
  <si>
    <t>-585.088343360744 65.9332150054268 -466.638043080267</t>
  </si>
  <si>
    <t>-593.8411699427 44.1329289859054 -573.609971213162</t>
  </si>
  <si>
    <t>-593.643737791961 19.3807578670113 -680.297080376833</t>
  </si>
  <si>
    <t>-583.761882883512 29.1612013818338 -769.902087121236</t>
  </si>
  <si>
    <t>-562.654339740581 174.292301521238 -780.622165296787</t>
  </si>
  <si>
    <t>-456.943998297123 402.394688069193 -588.3181392078</t>
  </si>
  <si>
    <t>-248.356784417625 339.512852397037 -446.264296066448</t>
  </si>
  <si>
    <t>-508.938135296228 193.784870779494 -251.513959884733</t>
  </si>
  <si>
    <t>-489.660616433463 199.273801965348 203.739774536683</t>
  </si>
  <si>
    <t>-499.92564673537 188.870763016194 673.250979993466</t>
  </si>
  <si>
    <t>-346.066602717348 179.291971892618 757.980876990764</t>
  </si>
  <si>
    <t>-540.140797852219 3.67848681862094 -218.808810843537</t>
  </si>
  <si>
    <t>-441.583595340368 -18.3244353033284 225.555996975054</t>
  </si>
  <si>
    <t>-589.81490040019 -114.841694049839 660.494150896884</t>
  </si>
  <si>
    <t>-431.719254263184 -133.759611598543 735.269751244905</t>
  </si>
  <si>
    <t>9763-20170724T164224.120637400.bin</t>
  </si>
  <si>
    <t>-524.913409780353 99.7516734347299 -235.649236976174</t>
  </si>
  <si>
    <t>-565.720351895679 87.7267888820375 -349.042277490891</t>
  </si>
  <si>
    <t>-585.29019144973 67.2255240147663 -466.886618367098</t>
  </si>
  <si>
    <t>-593.997957218038 45.5359621961967 -573.884694485961</t>
  </si>
  <si>
    <t>-593.746929655555 20.897112376456 -680.597946713031</t>
  </si>
  <si>
    <t>-583.810970327328 30.7740732476935 -770.18630722337</t>
  </si>
  <si>
    <t>-562.758433473958 175.90610136225 -780.768009642221</t>
  </si>
  <si>
    <t>-456.842456553996 402.847848608558 -587.208194589569</t>
  </si>
  <si>
    <t>-248.304163748629 339.720318312641 -445.191484562186</t>
  </si>
  <si>
    <t>-509.166616233184 195.056626015644 -251.617662110309</t>
  </si>
  <si>
    <t>-489.977535238123 199.917037409586 203.646869781633</t>
  </si>
  <si>
    <t>-499.833903054914 189.058098112293 673.151458201204</t>
  </si>
  <si>
    <t>-346.062449567484 179.309167196573 758.020782693928</t>
  </si>
  <si>
    <t>-540.475924251141 4.58015978902542 -219.081007837111</t>
  </si>
  <si>
    <t>-441.954298513343 -17.9841406105452 225.263498339979</t>
  </si>
  <si>
    <t>-589.822121252681 -115.186068484342 660.304876673545</t>
  </si>
  <si>
    <t>-431.719100507411 -133.889606720994 735.118787808014</t>
  </si>
  <si>
    <t>9763-20170724T164224.190828600.bin</t>
  </si>
  <si>
    <t>-525.651179755514 102.311933912205 -236.121229449801</t>
  </si>
  <si>
    <t>-566.412923729128 90.4360421539125 -349.546427487954</t>
  </si>
  <si>
    <t>-585.877329796179 70.0490672926991 -467.427910013579</t>
  </si>
  <si>
    <t>-594.467601201714 48.4421145972187 -574.452268238839</t>
  </si>
  <si>
    <t>-594.078554251687 23.861223482504 -681.178355887813</t>
  </si>
  <si>
    <t>-584.002078008788 33.7680437599954 -770.747796928444</t>
  </si>
  <si>
    <t>-562.766089747619 178.925808045234 -780.877258894408</t>
  </si>
  <si>
    <t>-456.372538485061 403.305095096554 -584.610837068417</t>
  </si>
  <si>
    <t>-248.157564940249 340.075573513739 -442.165534597839</t>
  </si>
  <si>
    <t>-509.885571556296 197.82049426502 -251.912927149678</t>
  </si>
  <si>
    <t>-490.92855320477 201.400514582886 203.373315579504</t>
  </si>
  <si>
    <t>-499.543350692791 189.354889167463 672.816748151077</t>
  </si>
  <si>
    <t>-346.032193992893 178.921787479442 758.075152943696</t>
  </si>
  <si>
    <t>-541.281797776167 7.0690369736058 -219.654931226218</t>
  </si>
  <si>
    <t>-442.852068038671 -16.480128968785 224.658853805539</t>
  </si>
  <si>
    <t>-590.055907514635 -114.356642605179 659.831136120436</t>
  </si>
  <si>
    <t>-432.065676001009 -134.140149067877 734.605472810484</t>
  </si>
  <si>
    <t>9763-20170724T164224.222912900.bin</t>
  </si>
  <si>
    <t>-526.016953669556 103.378482347136 -236.276581890715</t>
  </si>
  <si>
    <t>-566.680271167015 91.5043792260708 -349.73727432211</t>
  </si>
  <si>
    <t>-586.077261026882 71.1638431030204 -467.638007578649</t>
  </si>
  <si>
    <t>-594.622196599971 49.6117052110982 -574.676895310634</t>
  </si>
  <si>
    <t>-594.204949574764 25.0949014552342 -681.417750969831</t>
  </si>
  <si>
    <t>-584.1005808242 35.0578628029259 -770.977807779926</t>
  </si>
  <si>
    <t>-562.878809030196 180.206990142199 -780.919747148372</t>
  </si>
  <si>
    <t>-456.938527819419 403.737592500759 -583.443340827331</t>
  </si>
  <si>
    <t>-248.640189961848 340.32773006397 -441.200469148632</t>
  </si>
  <si>
    <t>-510.217778360226 198.83152555327 -252.037185379376</t>
  </si>
  <si>
    <t>-491.544517796789 201.891464435182 203.264460197001</t>
  </si>
  <si>
    <t>-499.330465970733 189.005073327953 672.722715902749</t>
  </si>
  <si>
    <t>-345.809034696828 179.43282802129 758.06346853145</t>
  </si>
  <si>
    <t>-541.602347128928 8.08627490249054 -219.853973367998</t>
  </si>
  <si>
    <t>-443.087278162257 -16.0676606046834 224.40842579965</t>
  </si>
  <si>
    <t>-590.007212172784 -114.820986517237 659.527390843738</t>
  </si>
  <si>
    <t>-431.978663087072 -134.15636287643 734.337973789325</t>
  </si>
  <si>
    <t>9763-20170724T164224.293112200.bin</t>
  </si>
  <si>
    <t>-526.704254463294 105.492944619757 -236.531502632473</t>
  </si>
  <si>
    <t>-567.413480382384 93.6467189202453 -349.978503528086</t>
  </si>
  <si>
    <t>-586.763697562397 73.3848431734245 -467.9006298605</t>
  </si>
  <si>
    <t>-595.228682305386 51.9222886002483 -574.96392500335</t>
  </si>
  <si>
    <t>-594.694866787065 27.5126811479871 -681.728698296266</t>
  </si>
  <si>
    <t>-584.447787104342 37.5739220820222 -771.261563733563</t>
  </si>
  <si>
    <t>-563.15660831204 182.766986637148 -780.767881873694</t>
  </si>
  <si>
    <t>-457.866676846161 404.707745930822 -581.162145210345</t>
  </si>
  <si>
    <t>-249.610279271728 341.348489524129 -438.835227164011</t>
  </si>
  <si>
    <t>-510.982517130873 201.175023034637 -252.247157577284</t>
  </si>
  <si>
    <t>-493.028735623454 203.250551815387 203.088998263655</t>
  </si>
  <si>
    <t>-499.273241329213 189.412914825634 672.586662145396</t>
  </si>
  <si>
    <t>-345.884451752534 178.68531322487 758.028410486469</t>
  </si>
  <si>
    <t>-542.249262048351 9.87544834554069 -220.165593024111</t>
  </si>
  <si>
    <t>-443.310118915131 -14.9082686939019 223.967850269187</t>
  </si>
  <si>
    <t>-589.94861419796 -114.919619656346 658.9010534283</t>
  </si>
  <si>
    <t>-432.006303755892 -134.09415498131 733.934914253529</t>
  </si>
  <si>
    <t>9763-20170724T164224.324208100.bin</t>
  </si>
  <si>
    <t>-527.092504823209 106.300855193005 -236.594900955004</t>
  </si>
  <si>
    <t>-567.787094219743 94.4397141037626 -350.045531332453</t>
  </si>
  <si>
    <t>-587.087575170793 74.1954532221581 -467.978744814296</t>
  </si>
  <si>
    <t>-595.493508864416 52.7629145036108 -575.052777875724</t>
  </si>
  <si>
    <t>-594.886452510535 28.3979850017717 -681.827432311395</t>
  </si>
  <si>
    <t>-584.568395655481 38.5064957399615 -771.346826464953</t>
  </si>
  <si>
    <t>-563.308210795499 183.700634101106 -780.656842322264</t>
  </si>
  <si>
    <t>-458.342839632573 405.208062674758 -580.399586646691</t>
  </si>
  <si>
    <t>-250.151283958466 342.033477060943 -437.8957935061</t>
  </si>
  <si>
    <t>-511.360984856341 202.063432222023 -252.31341269328</t>
  </si>
  <si>
    <t>-493.652633598694 203.679099164485 203.034175921437</t>
  </si>
  <si>
    <t>-499.235661779697 189.44638609085 672.539798338558</t>
  </si>
  <si>
    <t>-345.817028456921 179.118699362894 757.977329298074</t>
  </si>
  <si>
    <t>-542.621570753191 10.596923171488 -220.215892180787</t>
  </si>
  <si>
    <t>-443.339566832085 -14.5910238298296 223.818243740018</t>
  </si>
  <si>
    <t>-589.890483163313 -115.318352866487 658.647044100721</t>
  </si>
  <si>
    <t>-431.866518227674 -133.747436677158 733.695595406743</t>
  </si>
  <si>
    <t>9763-20170724T164224.391149300.bin</t>
  </si>
  <si>
    <t>-527.96786079071 107.801191632534 -236.871693818526</t>
  </si>
  <si>
    <t>-568.750814432485 95.9619080158552 -350.293012445559</t>
  </si>
  <si>
    <t>-588.002195811074 75.7621876843085 -468.241857942928</t>
  </si>
  <si>
    <t>-596.306156860698 54.380819966054 -575.334021124597</t>
  </si>
  <si>
    <t>-595.53989307965 30.0793444067756 -682.122141133343</t>
  </si>
  <si>
    <t>-585.054980110029 40.2502909977554 -771.614923487805</t>
  </si>
  <si>
    <t>-563.937266420934 185.490623110748 -780.637384089634</t>
  </si>
  <si>
    <t>-459.644671136863 406.309743385308 -579.2715869608</t>
  </si>
  <si>
    <t>-251.05256973267 343.271504261741 -437.294247288653</t>
  </si>
  <si>
    <t>-512.1442790033 203.527069977798 -252.543654065575</t>
  </si>
  <si>
    <t>-494.538266048165 204.40353406065 202.810039068417</t>
  </si>
  <si>
    <t>-498.958923552815 189.188696370558 672.306191708535</t>
  </si>
  <si>
    <t>-345.629331031779 179.001033056369 757.92024810343</t>
  </si>
  <si>
    <t>-543.617985487109 12.0917645651707 -220.54043106907</t>
  </si>
  <si>
    <t>-443.815548625515 -13.3724376515683 223.361243196255</t>
  </si>
  <si>
    <t>-589.911325453116 -114.805686923211 658.158338194064</t>
  </si>
  <si>
    <t>-432.125999914195 -134.180198659424 733.470482880666</t>
  </si>
  <si>
    <t>9763-20170724T164224.423233900.bin</t>
  </si>
  <si>
    <t>-528.474920207849 108.373337490959 -237.063860736732</t>
  </si>
  <si>
    <t>-569.198808727963 96.5823075247793 -350.511452372024</t>
  </si>
  <si>
    <t>-588.355923750739 76.4061957728231 -468.479562933033</t>
  </si>
  <si>
    <t>-596.56070695269 55.0363335636095 -575.581703748469</t>
  </si>
  <si>
    <t>-595.681763988868 30.736778031232 -682.36928721634</t>
  </si>
  <si>
    <t>-585.102682803352 40.9046823872461 -771.851601484186</t>
  </si>
  <si>
    <t>-564.051001854012 186.159990879621 -780.814328656713</t>
  </si>
  <si>
    <t>-460.013884287129 406.855946493188 -579.181605703469</t>
  </si>
  <si>
    <t>-251.349982185049 343.901085759256 -437.272833303372</t>
  </si>
  <si>
    <t>-512.576177445151 204.162040878227 -252.680295496269</t>
  </si>
  <si>
    <t>-494.773966334848 204.647114808084 202.666322192269</t>
  </si>
  <si>
    <t>-498.851016499101 189.23107181868 672.178655716314</t>
  </si>
  <si>
    <t>-345.57580148064 179.184868261137 757.906696409611</t>
  </si>
  <si>
    <t>-544.114839812032 12.6861027808582 -220.818473338931</t>
  </si>
  <si>
    <t>-444.275151270137 -13.0174746924007 223.061107445799</t>
  </si>
  <si>
    <t>-589.918280884982 -114.589005190102 657.973074345539</t>
  </si>
  <si>
    <t>-432.276399346155 -134.45111752885 733.458560974298</t>
  </si>
  <si>
    <t>9763-20170724T164224.455260000.bin</t>
  </si>
  <si>
    <t>-528.926226290094 108.80012283081 -237.289859779799</t>
  </si>
  <si>
    <t>-569.689142752755 97.0769096541468 -350.730351279375</t>
  </si>
  <si>
    <t>-588.82868824472 76.9210358784632 -468.704945787976</t>
  </si>
  <si>
    <t>-596.993852113669 55.5501639037079 -575.809912524403</t>
  </si>
  <si>
    <t>-596.051553491213 31.2305164988327 -682.592377164177</t>
  </si>
  <si>
    <t>-585.406936717908 41.3700233433294 -772.070056922877</t>
  </si>
  <si>
    <t>-564.414810375762 186.643550161205 -781.030536953548</t>
  </si>
  <si>
    <t>-460.562243296488 407.304037013093 -579.263675435176</t>
  </si>
  <si>
    <t>-251.853907561915 344.320178384353 -437.433210608507</t>
  </si>
  <si>
    <t>-513.027811616192 204.671788118439 -252.804515463589</t>
  </si>
  <si>
    <t>-494.947792950455 204.847880743571 202.531385174591</t>
  </si>
  <si>
    <t>-498.780757919068 189.345792067698 672.065170535186</t>
  </si>
  <si>
    <t>-345.551308017653 179.408920883096 757.887675542487</t>
  </si>
  <si>
    <t>-544.617233032248 13.0659363608803 -221.080700136185</t>
  </si>
  <si>
    <t>-444.679219217237 -13.0235960733783 222.754161750889</t>
  </si>
  <si>
    <t>-589.79142492934 -114.888039942203 657.7704330727</t>
  </si>
  <si>
    <t>-432.285305922079 -134.557166967281 733.588972404876</t>
  </si>
  <si>
    <t>9763-20170724T164224.526450500.bin</t>
  </si>
  <si>
    <t>-529.726199847568 109.040849712582 -237.975212305519</t>
  </si>
  <si>
    <t>-570.440737328491 97.4800127982768 -351.449826459429</t>
  </si>
  <si>
    <t>-589.461210933523 77.3552806451839 -469.448890856009</t>
  </si>
  <si>
    <t>-597.490579061069 55.9560354066183 -576.558398702873</t>
  </si>
  <si>
    <t>-596.385758496625 31.5501022112533 -683.319877422655</t>
  </si>
  <si>
    <t>-585.547291726945 41.5745666027554 -772.787104963848</t>
  </si>
  <si>
    <t>-564.43202642509 186.820069595238 -781.816692752753</t>
  </si>
  <si>
    <t>-460.620825052979 407.679737361583 -580.246783215337</t>
  </si>
  <si>
    <t>-251.986785990157 344.228871219174 -438.514972623702</t>
  </si>
  <si>
    <t>-513.68178073981 205.20494291288 -253.379438672978</t>
  </si>
  <si>
    <t>-495.14713126101 204.854871148687 201.938026045293</t>
  </si>
  <si>
    <t>-498.173862280999 189.273483586106 671.340385112771</t>
  </si>
  <si>
    <t>-345.443811010775 178.465273700578 757.944251638879</t>
  </si>
  <si>
    <t>-545.540497886242 12.8911684860543 -222.002744787017</t>
  </si>
  <si>
    <t>-445.598505958677 -13.4942440329323 221.813726408906</t>
  </si>
  <si>
    <t>-589.277301867611 -115.465258738731 657.295413701401</t>
  </si>
  <si>
    <t>-432.405665278953 -134.075321298837 734.680556849165</t>
  </si>
  <si>
    <t>9763-20170724T164224.593636400.bin</t>
  </si>
  <si>
    <t>-530.421918945585 108.915497549257 -238.641342291235</t>
  </si>
  <si>
    <t>-571.159976206594 97.5575426333573 -352.127906997061</t>
  </si>
  <si>
    <t>-590.167761482064 77.4369394936822 -470.12971481451</t>
  </si>
  <si>
    <t>-598.171087656616 55.9556482862056 -577.224811962331</t>
  </si>
  <si>
    <t>-597.026501049568 31.3799948145748 -683.946760431001</t>
  </si>
  <si>
    <t>-586.036496349325 41.190572727256 -773.419315432103</t>
  </si>
  <si>
    <t>-564.500025704431 186.365796969623 -782.644444171745</t>
  </si>
  <si>
    <t>-460.2302662234 406.989157013378 -581.052410991221</t>
  </si>
  <si>
    <t>-252.004695679893 343.365266988395 -438.798472865342</t>
  </si>
  <si>
    <t>-514.086401776959 205.28331420722 -253.920205352656</t>
  </si>
  <si>
    <t>-495.188361996895 204.546517856827 201.381906473405</t>
  </si>
  <si>
    <t>-497.715666222485 188.925647200323 670.922459547533</t>
  </si>
  <si>
    <t>-345.215466863672 178.454777519601 757.971791591296</t>
  </si>
  <si>
    <t>-546.594807743279 12.6103276823423 -222.733921553995</t>
  </si>
  <si>
    <t>-446.366597390582 -14.282500299303 220.987496117363</t>
  </si>
  <si>
    <t>-588.786917933512 -116.412656867971 657.06865144194</t>
  </si>
  <si>
    <t>-432.602239117415 -133.824147108691 736.104754047912</t>
  </si>
  <si>
    <t>9763-20170724T164224.624713600.bin</t>
  </si>
  <si>
    <t>-530.736393291414 108.762881560386 -238.89719826169</t>
  </si>
  <si>
    <t>-571.536050383692 97.4942896401683 -352.370657590019</t>
  </si>
  <si>
    <t>-590.58843672265 77.3768566011111 -470.365852716243</t>
  </si>
  <si>
    <t>-598.625082657897 55.859716503532 -577.45121302554</t>
  </si>
  <si>
    <t>-597.507199396055 31.207928998008 -684.155830255509</t>
  </si>
  <si>
    <t>-586.454871755709 40.917281751434 -773.631757279922</t>
  </si>
  <si>
    <t>-564.619904545975 186.036794608966 -782.901266546468</t>
  </si>
  <si>
    <t>-460.105957012772 406.491619142645 -581.25133918703</t>
  </si>
  <si>
    <t>-252.219246357344 342.731443953509 -438.563518603631</t>
  </si>
  <si>
    <t>-514.253714904323 205.23649466184 -254.131431598786</t>
  </si>
  <si>
    <t>-495.243160855793 204.344561782169 201.165770859598</t>
  </si>
  <si>
    <t>-497.489727869813 188.83931841048 670.667369159235</t>
  </si>
  <si>
    <t>-345.068446157392 179.137045561872 757.943624235249</t>
  </si>
  <si>
    <t>-547.096043539407 12.3582011798037 -222.973919109856</t>
  </si>
  <si>
    <t>-446.66494902907 -14.6831223934341 220.692718304427</t>
  </si>
  <si>
    <t>-588.708912271221 -116.574002186773 657.052621709883</t>
  </si>
  <si>
    <t>-432.699460599038 -133.268935359248 736.587785330015</t>
  </si>
  <si>
    <t>9763-20170724T164224.662837200.bin</t>
  </si>
  <si>
    <t>-531.034127498284 108.610442409236 -239.046918248755</t>
  </si>
  <si>
    <t>-571.843088594778 97.408016941635 -352.523622639736</t>
  </si>
  <si>
    <t>-590.923105695737 77.2886645566479 -470.51401780726</t>
  </si>
  <si>
    <t>-598.992897765513 55.7385816330161 -577.590207013031</t>
  </si>
  <si>
    <t>-597.916605855349 31.0209440939602 -684.280156183404</t>
  </si>
  <si>
    <t>-586.824151364568 40.6420279260592 -773.760584290161</t>
  </si>
  <si>
    <t>-564.644458027699 185.711410335712 -783.067795202111</t>
  </si>
  <si>
    <t>-459.87919504765 406.045657838104 -581.416497187541</t>
  </si>
  <si>
    <t>-252.25720124662 342.078802349115 -438.436052539037</t>
  </si>
  <si>
    <t>-514.317031879911 205.159713756472 -254.32173497932</t>
  </si>
  <si>
    <t>-495.197585514118 204.119230266296 200.970523894534</t>
  </si>
  <si>
    <t>-497.235801956002 188.555431935197 670.471150974569</t>
  </si>
  <si>
    <t>-344.925696119356 179.026562503933 757.960334409596</t>
  </si>
  <si>
    <t>-547.573281495515 12.1458250102865 -223.101425128859</t>
  </si>
  <si>
    <t>-446.870631875631 -15.0763932254061 220.492451152592</t>
  </si>
  <si>
    <t>-588.683483206834 -116.883743932437 657.050360137424</t>
  </si>
  <si>
    <t>-432.72055851967 -133.03319292692 736.789181164358</t>
  </si>
  <si>
    <t>9763-20170724T164224.721993200.bin</t>
  </si>
  <si>
    <t>-531.460802049265 109.114275737718 -239.275047984152</t>
  </si>
  <si>
    <t>-572.39418552245 98.0222735758103 -352.717661327715</t>
  </si>
  <si>
    <t>-591.651160250369 77.8887798971294 -470.676969524054</t>
  </si>
  <si>
    <t>-599.901848419788 56.2695150507874 -577.725477721823</t>
  </si>
  <si>
    <t>-599.027329441788 31.4238902235226 -684.387413544608</t>
  </si>
  <si>
    <t>-587.97002982456 40.877669698175 -773.890019745267</t>
  </si>
  <si>
    <t>-565.255932164379 185.85064564643 -783.278550950909</t>
  </si>
  <si>
    <t>-459.824172260491 405.849453683006 -581.608508992335</t>
  </si>
  <si>
    <t>-252.58255037256 341.377972462774 -438.303232520889</t>
  </si>
  <si>
    <t>-514.38632652769 205.659003677522 -254.606532209792</t>
  </si>
  <si>
    <t>-495.041144337024 204.385121456146 200.675472716301</t>
  </si>
  <si>
    <t>-496.901511663965 188.595035746734 670.088813585186</t>
  </si>
  <si>
    <t>-344.895920629779 178.570289097352 758.050852641246</t>
  </si>
  <si>
    <t>-548.373476807238 12.8340860492686 -223.231568802061</t>
  </si>
  <si>
    <t>-447.156896848202 -14.7984205443199 220.220027339285</t>
  </si>
  <si>
    <t>-588.891345688804 -116.253752170416 656.892235961117</t>
  </si>
  <si>
    <t>-433.121580809511 -133.645025678384 736.747261173929</t>
  </si>
  <si>
    <t>9763-20170724T164224.793967300.bin</t>
  </si>
  <si>
    <t>-531.522656617492 109.426061848594 -239.570250637444</t>
  </si>
  <si>
    <t>-572.463319754339 98.4177904407715 -353.018380189287</t>
  </si>
  <si>
    <t>-591.843769983981 78.301349788456 -470.960350220081</t>
  </si>
  <si>
    <t>-600.254747100214 56.6653933524416 -577.992953372383</t>
  </si>
  <si>
    <t>-599.588939395462 31.768003773173 -684.64437771567</t>
  </si>
  <si>
    <t>-588.624279728346 41.1380388845937 -774.167238324436</t>
  </si>
  <si>
    <t>-565.522398823863 186.047414622034 -783.598678849486</t>
  </si>
  <si>
    <t>-459.541957945406 405.663314039523 -581.798808455251</t>
  </si>
  <si>
    <t>-252.250450280509 340.892991537435 -438.70057495809</t>
  </si>
  <si>
    <t>-514.111484542997 205.899789908187 -254.903030658551</t>
  </si>
  <si>
    <t>-494.613685696644 204.435207391511 200.372004548563</t>
  </si>
  <si>
    <t>-496.610366318329 188.435240945496 669.819973878284</t>
  </si>
  <si>
    <t>-344.844487203159 177.931937333201 758.139258283854</t>
  </si>
  <si>
    <t>-548.742672481663 13.0213507640377 -223.531686070717</t>
  </si>
  <si>
    <t>-447.354197294993 -14.9675443572824 219.858336565923</t>
  </si>
  <si>
    <t>-588.940257684295 -116.478371784446 656.642970275157</t>
  </si>
  <si>
    <t>-433.093236828114 -133.497723031062 736.427420665202</t>
  </si>
  <si>
    <t>9763-20170724T164224.827056200.bin</t>
  </si>
  <si>
    <t>-531.587484507873 109.675949733747 -239.711906052111</t>
  </si>
  <si>
    <t>-572.556293339261 98.7085861257302 -353.153819534161</t>
  </si>
  <si>
    <t>-592.017243494367 78.6337008760332 -471.089592635377</t>
  </si>
  <si>
    <t>-600.522164483524 57.0340847379625 -578.122121744787</t>
  </si>
  <si>
    <t>-599.971040985109 32.1710992870364 -684.782230190755</t>
  </si>
  <si>
    <t>-589.082763147993 41.56359582587 -774.31201156783</t>
  </si>
  <si>
    <t>-565.882309005827 186.464344020396 -783.72090564422</t>
  </si>
  <si>
    <t>-459.63324182585 405.856409170003 -581.818904184502</t>
  </si>
  <si>
    <t>-252.183321193666 340.870548523022 -439.048511954538</t>
  </si>
  <si>
    <t>-514.066644331682 206.262606845174 -255.027083126309</t>
  </si>
  <si>
    <t>-494.465044603804 204.6752705904 200.243045369728</t>
  </si>
  <si>
    <t>-496.62368291804 188.888258933454 669.681273079663</t>
  </si>
  <si>
    <t>-345.003457738587 177.711170806017 758.167986546719</t>
  </si>
  <si>
    <t>-548.930667986435 13.2146638668319 -223.690626646309</t>
  </si>
  <si>
    <t>-447.534479653624 -14.807987691354 219.69536874952</t>
  </si>
  <si>
    <t>-588.984032786515 -116.32742144109 656.526422744779</t>
  </si>
  <si>
    <t>-433.202360196001 -133.665518691823 736.369863776154</t>
  </si>
  <si>
    <t>9763-20170724T164224.890240900.bin</t>
  </si>
  <si>
    <t>-531.598835789933 109.966284689797 -239.981164437514</t>
  </si>
  <si>
    <t>-572.595113431622 98.9712812396746 -353.410447037429</t>
  </si>
  <si>
    <t>-592.1904382446 78.8835803552728 -471.321785092873</t>
  </si>
  <si>
    <t>-600.862667700585 57.271242854595 -578.338382980551</t>
  </si>
  <si>
    <t>-600.525216067955 32.3900843667067 -684.995102260915</t>
  </si>
  <si>
    <t>-589.779024713877 41.7511972155322 -774.545299407027</t>
  </si>
  <si>
    <t>-566.43591347861 186.629389445816 -783.941766635035</t>
  </si>
  <si>
    <t>-459.81484803727 405.561724290057 -581.736943056358</t>
  </si>
  <si>
    <t>-252.136673268553 340.344011652088 -439.404564585829</t>
  </si>
  <si>
    <t>-513.921551745684 206.620251867288 -255.264231083382</t>
  </si>
  <si>
    <t>-494.237697237766 204.909839918788 200.001995797731</t>
  </si>
  <si>
    <t>-496.50901164494 189.024098193198 669.438064045202</t>
  </si>
  <si>
    <t>-345.079197660824 177.285715023239 758.177799737112</t>
  </si>
  <si>
    <t>-549.093990221232 13.4839889706704 -223.945448121429</t>
  </si>
  <si>
    <t>-447.806123034084 -14.7626109237118 219.451204439955</t>
  </si>
  <si>
    <t>-589.043254286145 -116.207526629894 656.400405869228</t>
  </si>
  <si>
    <t>-433.30265708807 -133.341589625157 736.36795383429</t>
  </si>
  <si>
    <t>9763-20170724T164224.922320300.bin</t>
  </si>
  <si>
    <t>-531.542814333405 109.932825414832 -240.083165698039</t>
  </si>
  <si>
    <t>-572.433824487355 98.9211474066666 -353.548891726777</t>
  </si>
  <si>
    <t>-592.035602460954 78.8429658563908 -471.460847586537</t>
  </si>
  <si>
    <t>-600.762391221918 57.2451001225713 -578.475770143473</t>
  </si>
  <si>
    <t>-600.528903050114 32.3807964233861 -685.136843377279</t>
  </si>
  <si>
    <t>-589.860088552567 41.7496510620711 -774.695522082725</t>
  </si>
  <si>
    <t>-566.42139758811 186.602490831459 -784.102041063395</t>
  </si>
  <si>
    <t>-459.654566330214 405.261332014559 -581.678396219414</t>
  </si>
  <si>
    <t>-251.845472717209 339.934591998212 -439.58728366931</t>
  </si>
  <si>
    <t>-513.741516748889 206.595414530693 -255.417266095874</t>
  </si>
  <si>
    <t>-494.163580229782 204.808541282319 199.853245509117</t>
  </si>
  <si>
    <t>-496.310596185158 188.792122219761 669.247710982765</t>
  </si>
  <si>
    <t>-344.9601052431 177.352666981998 758.161595600384</t>
  </si>
  <si>
    <t>-549.118170087446 13.3031380839081 -224.074037707477</t>
  </si>
  <si>
    <t>-447.863418852857 -15.0519802433704 219.323183380998</t>
  </si>
  <si>
    <t>-588.975930164341 -116.708638807308 656.339238307368</t>
  </si>
  <si>
    <t>-433.194196490757 -133.226123438634 736.356312831386</t>
  </si>
  <si>
    <t>9763-20170724T164224.985492300.bin</t>
  </si>
  <si>
    <t>-531.343712773609 110.317548443761 -240.228721313434</t>
  </si>
  <si>
    <t>-572.137814363841 99.3109808893972 -353.729786516924</t>
  </si>
  <si>
    <t>-591.83494025836 79.2703991031952 -471.632119888825</t>
  </si>
  <si>
    <t>-600.728943902859 57.7149414054593 -578.642112635856</t>
  </si>
  <si>
    <t>-600.743764036603 32.8984214017301 -685.31436958479</t>
  </si>
  <si>
    <t>-590.246600353353 42.2957137497978 -774.890348126985</t>
  </si>
  <si>
    <t>-566.610619856614 187.135537181166 -784.265811338402</t>
  </si>
  <si>
    <t>-459.580071529072 405.012387734379 -581.139524134864</t>
  </si>
  <si>
    <t>-251.662875616023 339.96357577394 -439.079133675243</t>
  </si>
  <si>
    <t>-513.274726378757 206.923447057939 -255.63402023129</t>
  </si>
  <si>
    <t>-494.138072749351 205.062360435161 199.654822234173</t>
  </si>
  <si>
    <t>-496.230479509212 189.004304787365 669.074283101133</t>
  </si>
  <si>
    <t>-344.962554397101 177.648892437689 758.13932592645</t>
  </si>
  <si>
    <t>-549.239651665148 13.9058864077062 -224.128920107628</t>
  </si>
  <si>
    <t>-447.765651052941 -15.2003374178147 219.169562778568</t>
  </si>
  <si>
    <t>-589.105854940777 -116.432190990479 656.266744788316</t>
  </si>
  <si>
    <t>-433.427425614957 -133.517430856281 736.365644287365</t>
  </si>
  <si>
    <t>9763-20170724T164225.025605000.bin</t>
  </si>
  <si>
    <t>-531.269360309542 110.675114109343 -240.210724861369</t>
  </si>
  <si>
    <t>-572.128222200198 99.6722251589367 -353.688846185277</t>
  </si>
  <si>
    <t>-591.952005759761 79.6314817318345 -471.570011059664</t>
  </si>
  <si>
    <t>-600.984644843754 58.0749807639318 -578.568047565098</t>
  </si>
  <si>
    <t>-601.161119750641 33.2570449255994 -685.239875121796</t>
  </si>
  <si>
    <t>-590.778150590978 42.6475097644083 -774.829901742433</t>
  </si>
  <si>
    <t>-567.082826033048 187.470794608389 -784.185042230416</t>
  </si>
  <si>
    <t>-459.963540232186 404.973022139563 -580.704127513264</t>
  </si>
  <si>
    <t>-251.897192811952 339.94568104788 -438.852538014393</t>
  </si>
  <si>
    <t>-513.067292056356 207.169231259673 -255.664251816298</t>
  </si>
  <si>
    <t>-494.123000361711 205.2336607111 199.632336391333</t>
  </si>
  <si>
    <t>-496.184544124824 188.927249332607 669.02964225004</t>
  </si>
  <si>
    <t>-344.936319953249 177.56663171569 758.12746428373</t>
  </si>
  <si>
    <t>-549.35119046694 14.3210536755349 -224.031914735043</t>
  </si>
  <si>
    <t>-447.57752316408 -15.1073209435022 219.176479756035</t>
  </si>
  <si>
    <t>-589.203256801836 -116.165783418944 656.194597026767</t>
  </si>
  <si>
    <t>-433.576049315085 -133.666792716257 736.303362931318</t>
  </si>
  <si>
    <t>9763-20170724T164225.092820500.bin</t>
  </si>
  <si>
    <t>-531.115755210737 111.392999491238 -240.14766292478</t>
  </si>
  <si>
    <t>-572.089201670841 100.35157030382 -353.580825198082</t>
  </si>
  <si>
    <t>-592.061374234863 80.2692564531037 -471.429643399122</t>
  </si>
  <si>
    <t>-601.239717758322 58.6763076066306 -578.408014567399</t>
  </si>
  <si>
    <t>-601.571842625405 33.824842360615 -685.071752084528</t>
  </si>
  <si>
    <t>-591.265834988332 43.1805414654039 -774.67424650238</t>
  </si>
  <si>
    <t>-567.351660334444 187.975173705085 -784.028515087667</t>
  </si>
  <si>
    <t>-460.090242198763 404.696055582592 -579.790386646793</t>
  </si>
  <si>
    <t>-251.95169150159 339.831540911442 -437.970097836764</t>
  </si>
  <si>
    <t>-512.664173973434 207.784558530986 -255.734167764443</t>
  </si>
  <si>
    <t>-494.036560624125 205.689567603008 199.574873058833</t>
  </si>
  <si>
    <t>-496.135698993737 188.935756521703 668.939238096487</t>
  </si>
  <si>
    <t>-344.978008763453 177.162645306015 758.137064066473</t>
  </si>
  <si>
    <t>-549.372427528744 15.0884435485895 -223.869750220326</t>
  </si>
  <si>
    <t>-447.045209263002 -14.8433983754078 219.177522134346</t>
  </si>
  <si>
    <t>-589.246359431197 -116.00958124525 655.97269981191</t>
  </si>
  <si>
    <t>-433.720542015761 -134.183617235603 736.128291730996</t>
  </si>
  <si>
    <t>9763-20170724T164225.126893500.bin</t>
  </si>
  <si>
    <t>-530.969278404015 111.484633440927 -240.176888601752</t>
  </si>
  <si>
    <t>-572.002414021917 100.409991628863 -353.585283967058</t>
  </si>
  <si>
    <t>-592.056244855712 80.2910280173549 -471.414104030116</t>
  </si>
  <si>
    <t>-601.317110748823 58.6628000901904 -578.378100661257</t>
  </si>
  <si>
    <t>-601.740143224705 33.7734394549745 -685.032604922501</t>
  </si>
  <si>
    <t>-591.482121542594 43.0898862235486 -774.64480465309</t>
  </si>
  <si>
    <t>-567.443857075791 187.858827330586 -784.020987059445</t>
  </si>
  <si>
    <t>-460.214564107567 404.173219331391 -579.3355038524</t>
  </si>
  <si>
    <t>-252.311486895753 339.484488890206 -437.090242022332</t>
  </si>
  <si>
    <t>-512.426712974689 207.871926936936 -255.845519733082</t>
  </si>
  <si>
    <t>-493.870740225737 205.700771096339 199.466112117064</t>
  </si>
  <si>
    <t>-495.995583492808 188.888744135118 668.773355391776</t>
  </si>
  <si>
    <t>-344.889664839284 177.610344280049 758.122704156691</t>
  </si>
  <si>
    <t>-549.342644841977 15.1195409556277 -223.852123253254</t>
  </si>
  <si>
    <t>-446.82897009973 -14.827103201719 219.151057955331</t>
  </si>
  <si>
    <t>-589.199098461782 -116.251967075959 655.844780828026</t>
  </si>
  <si>
    <t>-433.589166565723 -133.66850098631 736.005305685019</t>
  </si>
  <si>
    <t>9763-20170724T164225.191051800.bin</t>
  </si>
  <si>
    <t>-530.902725780154 112.173514231141 -240.313325127759</t>
  </si>
  <si>
    <t>-571.920939858283 101.059926211062 -353.723123843176</t>
  </si>
  <si>
    <t>-592.023979091506 80.9309863861443 -471.542039126091</t>
  </si>
  <si>
    <t>-601.358615079628 59.2982429804528 -578.498704930446</t>
  </si>
  <si>
    <t>-601.885760539928 34.4041769540032 -685.151655617858</t>
  </si>
  <si>
    <t>-591.65391857044 43.7012197924765 -774.768820291928</t>
  </si>
  <si>
    <t>-567.247636782098 188.41198246535 -784.131761277574</t>
  </si>
  <si>
    <t>-459.948662804557 404.020127922127 -578.738949052668</t>
  </si>
  <si>
    <t>-252.503688740256 339.54465120678 -435.730005655773</t>
  </si>
  <si>
    <t>-512.275408563767 208.755273255411 -256.033161521711</t>
  </si>
  <si>
    <t>-493.826939356309 206.269775250952 199.281164601429</t>
  </si>
  <si>
    <t>-495.980025473975 189.31313603819 668.621859081124</t>
  </si>
  <si>
    <t>-345.114167814854 176.533537162325 758.174672624444</t>
  </si>
  <si>
    <t>-549.373138198162 15.809564308953 -223.995215499716</t>
  </si>
  <si>
    <t>-446.773278524623 -14.4587914163849 218.966195770722</t>
  </si>
  <si>
    <t>-589.18762034789 -116.165481951126 655.603282114707</t>
  </si>
  <si>
    <t>-433.550784600769 -133.232517030935 735.78676630837</t>
  </si>
  <si>
    <t>9763-20170724T164225.228148900.bin</t>
  </si>
  <si>
    <t>-530.801923262423 112.235082007736 -240.379624274017</t>
  </si>
  <si>
    <t>-571.82220229011 101.109760836517 -353.787659319548</t>
  </si>
  <si>
    <t>-591.96608482405 80.9681860397424 -471.597263756917</t>
  </si>
  <si>
    <t>-601.355013147945 59.3193780401669 -578.545897765854</t>
  </si>
  <si>
    <t>-601.954398440673 34.4023097884534 -685.193196875079</t>
  </si>
  <si>
    <t>-591.752394295949 43.6672693063673 -774.817088398094</t>
  </si>
  <si>
    <t>-567.193328587299 188.352187436433 -784.173129900176</t>
  </si>
  <si>
    <t>-459.780369396806 403.625687276041 -578.489005439846</t>
  </si>
  <si>
    <t>-252.581199717529 339.169971056827 -435.115308622893</t>
  </si>
  <si>
    <t>-512.11383546656 208.669486359945 -256.087296038605</t>
  </si>
  <si>
    <t>-493.757861640017 206.066581158329 199.230195923263</t>
  </si>
  <si>
    <t>-495.773123813333 188.62241579704 668.549950778223</t>
  </si>
  <si>
    <t>-344.805595106181 177.394099587285 758.13921284905</t>
  </si>
  <si>
    <t>-549.283506131698 15.8427866116465 -224.037095745815</t>
  </si>
  <si>
    <t>-446.713283655714 -14.5476865363267 218.922834125293</t>
  </si>
  <si>
    <t>-589.12782717303 -116.512902017732 655.516846947738</t>
  </si>
  <si>
    <t>-433.425185009708 -132.99473375764 735.695005355028</t>
  </si>
  <si>
    <t>9763-20170724T164225.287313400.bin</t>
  </si>
  <si>
    <t>-530.622755268253 113.065714851836 -240.683269296413</t>
  </si>
  <si>
    <t>-571.695328032459 101.945838686741 -354.07287117502</t>
  </si>
  <si>
    <t>-591.966970532021 81.8244164610311 -471.863963773351</t>
  </si>
  <si>
    <t>-601.503252792628 60.1951595931734 -578.803649816227</t>
  </si>
  <si>
    <t>-602.282066419486 35.2958151392384 -685.453908975205</t>
  </si>
  <si>
    <t>-592.187499424364 44.5626201100788 -775.089730617858</t>
  </si>
  <si>
    <t>-567.426679307294 189.212382125203 -784.416164601112</t>
  </si>
  <si>
    <t>-459.87062391185 404.114033366673 -578.418233394327</t>
  </si>
  <si>
    <t>-252.850799958954 339.531805608686 -434.8425016798</t>
  </si>
  <si>
    <t>-511.740637840531 209.388735253189 -256.449983330789</t>
  </si>
  <si>
    <t>-493.468864710513 206.502673830295 198.869116051895</t>
  </si>
  <si>
    <t>-495.389050435041 188.591369195624 668.160366979517</t>
  </si>
  <si>
    <t>-344.891532381202 176.158903628838 758.37913922577</t>
  </si>
  <si>
    <t>-549.327737654473 16.7900644011669 -224.255509174431</t>
  </si>
  <si>
    <t>-446.677142376896 -13.9937637935416 218.658493766166</t>
  </si>
  <si>
    <t>-589.158992577606 -116.353501144213 655.243275896392</t>
  </si>
  <si>
    <t>-433.595127399916 -134.009661030389 735.440870077634</t>
  </si>
  <si>
    <t>9763-20170724T164225.325414400.bin</t>
  </si>
  <si>
    <t>-530.490634786429 113.284670278971 -240.794152735788</t>
  </si>
  <si>
    <t>-571.592674537478 102.207931701497 -354.177302447097</t>
  </si>
  <si>
    <t>-591.946947158254 82.1110305997992 -471.958408945919</t>
  </si>
  <si>
    <t>-601.579095561246 60.4960472404006 -578.892283469357</t>
  </si>
  <si>
    <t>-602.474411131354 35.6032536345257 -685.543152385229</t>
  </si>
  <si>
    <t>-592.472339959074 44.867538271385 -775.189609119795</t>
  </si>
  <si>
    <t>-567.622113504903 189.502329460717 -784.537006703852</t>
  </si>
  <si>
    <t>-460.094859109358 404.389990992982 -578.509381570212</t>
  </si>
  <si>
    <t>-253.185908607788 339.741829473606 -434.803663472976</t>
  </si>
  <si>
    <t>-511.509563362985 209.551997997308 -256.534496676737</t>
  </si>
  <si>
    <t>-493.381849453464 206.526822387309 198.789489322743</t>
  </si>
  <si>
    <t>-495.364693466797 188.426746141784 668.112088794358</t>
  </si>
  <si>
    <t>-344.842220558162 176.719282310044 758.386243174451</t>
  </si>
  <si>
    <t>-549.279966410045 17.0217764915815 -224.396623392444</t>
  </si>
  <si>
    <t>-446.692959750571 -13.9081134027762 218.522067549948</t>
  </si>
  <si>
    <t>-589.186978093742 -116.162667915462 655.105730387321</t>
  </si>
  <si>
    <t>-433.590155173739 -133.619158693934 735.283056838622</t>
  </si>
  <si>
    <t>9763-20170724T164225.388589300.bin</t>
  </si>
  <si>
    <t>-530.007573722065 113.959566230958 -240.918532749069</t>
  </si>
  <si>
    <t>-571.156234247143 102.983478307288 -354.294690925316</t>
  </si>
  <si>
    <t>-591.642586708174 82.9678950262464 -472.066569591981</t>
  </si>
  <si>
    <t>-601.427748563571 61.4186691042933 -579.000001621563</t>
  </si>
  <si>
    <t>-602.508563004116 36.5840670290127 -685.662670330727</t>
  </si>
  <si>
    <t>-592.659489885974 45.888883289314 -775.321753581522</t>
  </si>
  <si>
    <t>-567.530077117266 190.483622691074 -784.626368425789</t>
  </si>
  <si>
    <t>-460.472129467825 405.736014062648 -578.735055635362</t>
  </si>
  <si>
    <t>-253.867685894212 340.934452827302 -434.660749306127</t>
  </si>
  <si>
    <t>-510.957170388867 210.178676535889 -256.588646247369</t>
  </si>
  <si>
    <t>-493.192408259199 206.88334535329 198.747652954298</t>
  </si>
  <si>
    <t>-495.459452919793 188.520306553628 668.089305855098</t>
  </si>
  <si>
    <t>-344.89440815016 177.27141078567 758.350815237862</t>
  </si>
  <si>
    <t>-548.857802461591 17.9886980341617 -224.532907733939</t>
  </si>
  <si>
    <t>-446.544874952247 -13.6078343781032 218.402043206785</t>
  </si>
  <si>
    <t>-589.284285159588 -115.769797239478 654.881782326954</t>
  </si>
  <si>
    <t>-433.612637432699 -133.023303011677 734.957837407833</t>
  </si>
  <si>
    <t>9763-20170724T164225.420674600.bin</t>
  </si>
  <si>
    <t>-529.638900122115 114.377078398758 -240.954497623724</t>
  </si>
  <si>
    <t>-570.741966380618 103.399104428628 -354.346803582586</t>
  </si>
  <si>
    <t>-591.23151115681 83.424153619587 -472.125305144597</t>
  </si>
  <si>
    <t>-601.041695949075 61.9248044585345 -579.066289100889</t>
  </si>
  <si>
    <t>-602.170346915673 37.1503010846572 -685.742437714957</t>
  </si>
  <si>
    <t>-592.362737600477 46.5086858403924 -775.400646755908</t>
  </si>
  <si>
    <t>-567.126842714447 191.086566487506 -784.640515884342</t>
  </si>
  <si>
    <t>-460.338183575131 406.615922439283 -578.899281251034</t>
  </si>
  <si>
    <t>-253.936879631038 341.711296732289 -434.580284138761</t>
  </si>
  <si>
    <t>-510.709648565793 210.47139520601 -256.586358370302</t>
  </si>
  <si>
    <t>-492.993665071187 207.029746811777 198.750940863126</t>
  </si>
  <si>
    <t>-495.437473140873 188.152089454905 668.110546748587</t>
  </si>
  <si>
    <t>-344.860288737582 176.837390067357 758.343562650468</t>
  </si>
  <si>
    <t>-548.355303409532 18.6212807624804 -224.661760155329</t>
  </si>
  <si>
    <t>-446.679541303371 -13.6115670250872 218.374095354406</t>
  </si>
  <si>
    <t>-589.228952176059 -116.039360838273 654.765347968984</t>
  </si>
  <si>
    <t>-433.478501996744 -132.868344544631 734.77842842755</t>
  </si>
  <si>
    <t>9763-20170724T164225.490855600.bin</t>
  </si>
  <si>
    <t>-528.882473181721 115.551647310489 -241.094213326644</t>
  </si>
  <si>
    <t>-569.579400253035 104.6851057569 -354.643756167448</t>
  </si>
  <si>
    <t>-589.963690324916 84.888012361972 -472.470475082828</t>
  </si>
  <si>
    <t>-599.811284395345 63.5614091164209 -579.442592822826</t>
  </si>
  <si>
    <t>-601.113395548764 38.9614130293189 -686.157138017192</t>
  </si>
  <si>
    <t>-593.999828457222 1.48613157678557 -833.619132325857</t>
  </si>
  <si>
    <t>-591.484556330434 48.4535892541524 -775.820552670452</t>
  </si>
  <si>
    <t>-566.011441385878 192.988368354364 -784.803380805035</t>
  </si>
  <si>
    <t>-459.458057013554 408.031344143589 -578.432245311245</t>
  </si>
  <si>
    <t>-253.260071161129 342.880687273326 -433.933604677851</t>
  </si>
  <si>
    <t>-510.0681265562 211.345860129714 -256.507085930145</t>
  </si>
  <si>
    <t>-492.575245100352 207.601618494666 198.836354604246</t>
  </si>
  <si>
    <t>-495.514663045133 187.903986474402 668.174114218665</t>
  </si>
  <si>
    <t>-344.915456105085 176.628818821869 758.3753704764</t>
  </si>
  <si>
    <t>-547.499847117753 19.8058573905894 -225.065243096457</t>
  </si>
  <si>
    <t>-447.125471537195 -13.0128910118601 218.224229619073</t>
  </si>
  <si>
    <t>-589.321771860719 -115.565175706543 654.592727572828</t>
  </si>
  <si>
    <t>-433.600272239358 -133.025422858515 734.52682577463</t>
  </si>
  <si>
    <t>9763-20170724T164225.523945500.bin</t>
  </si>
  <si>
    <t>-528.355386152332 115.918754526124 -241.078646273427</t>
  </si>
  <si>
    <t>-568.999177414665 105.12085357672 -354.653775178852</t>
  </si>
  <si>
    <t>-589.399076166594 85.4629560181347 -472.500940852592</t>
  </si>
  <si>
    <t>-599.29025512543 64.2880058343047 -579.499307502671</t>
  </si>
  <si>
    <t>-600.665652657599 39.8636661613484 -686.253334028019</t>
  </si>
  <si>
    <t>-593.684224115683 2.65548362570346 -833.789074083519</t>
  </si>
  <si>
    <t>-591.102832772404 49.5158083967061 -775.906739715268</t>
  </si>
  <si>
    <t>-565.653256803435 194.068945517848 -784.639699572943</t>
  </si>
  <si>
    <t>-459.442480008326 409.000465735689 -577.975909508317</t>
  </si>
  <si>
    <t>-252.948302807291 343.345434203467 -434.130074467301</t>
  </si>
  <si>
    <t>-509.567450393992 211.765610611801 -256.413135397104</t>
  </si>
  <si>
    <t>-492.387988599073 207.916139995207 198.94138204543</t>
  </si>
  <si>
    <t>-495.655489261826 188.075732323778 668.243813604859</t>
  </si>
  <si>
    <t>-345.066655327526 176.301407913089 758.398577611866</t>
  </si>
  <si>
    <t>-547.051102796615 19.9303699974613 -225.096119987949</t>
  </si>
  <si>
    <t>-446.901668527038 -12.6202079510384 218.264003909803</t>
  </si>
  <si>
    <t>-589.282919166107 -115.590162808551 654.461429385343</t>
  </si>
  <si>
    <t>-433.539494069933 -132.780169779406 734.411451262988</t>
  </si>
  <si>
    <t>9763-20170724T164225.590127200.bin</t>
  </si>
  <si>
    <t>-527.37467469175 116.600048522881 -241.06405755073</t>
  </si>
  <si>
    <t>-568.055106077385 105.944525547726 -354.639304840181</t>
  </si>
  <si>
    <t>-588.508869223982 86.5668492302887 -472.523685003115</t>
  </si>
  <si>
    <t>-598.451661368073 65.7091151108826 -579.579552553584</t>
  </si>
  <si>
    <t>-599.878718849112 41.6708957837315 -686.420373392722</t>
  </si>
  <si>
    <t>-592.966082027387 5.07526734964742 -834.112592897204</t>
  </si>
  <si>
    <t>-590.373563561104 51.6976127479263 -776.039000193978</t>
  </si>
  <si>
    <t>-565.106647028744 196.32666931768 -784.095801008771</t>
  </si>
  <si>
    <t>-459.393500826163 410.986046464012 -576.894695836462</t>
  </si>
  <si>
    <t>-252.594585155154 344.479494742214 -433.880061086971</t>
  </si>
  <si>
    <t>-508.241571301198 212.643338415412 -256.372150939256</t>
  </si>
  <si>
    <t>-491.849942220603 208.432190088302 199.008217102032</t>
  </si>
  <si>
    <t>-495.752639741537 188.206811734779 668.235654209066</t>
  </si>
  <si>
    <t>-345.227760504697 175.812358670826 758.414022899284</t>
  </si>
  <si>
    <t>-546.348174894357 20.5364396891455 -225.072737504097</t>
  </si>
  <si>
    <t>-446.146378259714 -11.6196680470811 218.304395044768</t>
  </si>
  <si>
    <t>-589.234899591374 -115.24408925907 654.170561285635</t>
  </si>
  <si>
    <t>-433.637139451867 -133.24793224743 734.224973616402</t>
  </si>
  <si>
    <t>9763-20170724T164225.624217100.bin</t>
  </si>
  <si>
    <t>-526.711821240502 116.923423816659 -241.006104623172</t>
  </si>
  <si>
    <t>-567.310141789606 106.303984799498 -354.614119983023</t>
  </si>
  <si>
    <t>-587.771630587496 87.0581203053746 -472.518675553356</t>
  </si>
  <si>
    <t>-597.757423769984 66.3623273662425 -579.601918838855</t>
  </si>
  <si>
    <t>-599.262134979289 42.5309789622831 -686.48808420782</t>
  </si>
  <si>
    <t>-592.491837623079 6.27142780697307 -834.269794304591</t>
  </si>
  <si>
    <t>-589.854306642764 52.763380571059 -776.093669641028</t>
  </si>
  <si>
    <t>-564.669315350872 197.423825585771 -783.831680482093</t>
  </si>
  <si>
    <t>-459.490855273075 411.633168298249 -575.893965532452</t>
  </si>
  <si>
    <t>-252.4193632445 345.13036269154 -433.272839928772</t>
  </si>
  <si>
    <t>-507.432999742926 213.035850575567 -256.352439195365</t>
  </si>
  <si>
    <t>-491.462972654311 208.603648385636 199.040665116768</t>
  </si>
  <si>
    <t>-495.821968276748 188.179642695467 668.285886630803</t>
  </si>
  <si>
    <t>-345.265834145435 175.99213128613 758.440416981611</t>
  </si>
  <si>
    <t>-545.730045719164 20.886022739713 -225.041657802306</t>
  </si>
  <si>
    <t>-445.702579586066 -11.6095904965872 218.350098726894</t>
  </si>
  <si>
    <t>-589.127342500075 -115.665868933372 654.068572132189</t>
  </si>
  <si>
    <t>-433.48644831123 -133.15067536756 734.154192907436</t>
  </si>
  <si>
    <t>9763-20170724T164225.687393800.bin</t>
  </si>
  <si>
    <t>-525.328942539963 117.986584382922 -241.028697296925</t>
  </si>
  <si>
    <t>-566.017247466764 107.486974414548 -354.615722874012</t>
  </si>
  <si>
    <t>-586.607573291471 88.5313722357139 -472.544977292535</t>
  </si>
  <si>
    <t>-596.722313731212 68.1728820680366 -579.680821609617</t>
  </si>
  <si>
    <t>-598.365796585057 44.7571124308088 -686.656710328701</t>
  </si>
  <si>
    <t>-591.795933026197 9.1595516393061 -834.608245641009</t>
  </si>
  <si>
    <t>-589.09839365093 55.3937123560658 -776.229868888273</t>
  </si>
  <si>
    <t>-564.045181736908 200.125867108316 -783.300482300694</t>
  </si>
  <si>
    <t>-459.93793112225 413.351079141808 -573.818032567059</t>
  </si>
  <si>
    <t>-252.91980546691 346.938335971281 -431.077381115866</t>
  </si>
  <si>
    <t>-505.86021450441 214.127509439853 -256.349618829953</t>
  </si>
  <si>
    <t>-490.688016070759 209.262466374377 199.066474276786</t>
  </si>
  <si>
    <t>-495.932782594281 188.418929389672 668.257022114005</t>
  </si>
  <si>
    <t>-345.415391354834 176.248860847564 758.478543198521</t>
  </si>
  <si>
    <t>-544.651752841059 22.0152693293621 -225.02992929825</t>
  </si>
  <si>
    <t>-445.061622565594 -10.9925913486581 218.422358470419</t>
  </si>
  <si>
    <t>-589.099338521334 -115.228651033022 653.820973059733</t>
  </si>
  <si>
    <t>-433.580827631475 -133.347844185669 734.003094394196</t>
  </si>
  <si>
    <t>9763-20170724T164225.725497900.bin</t>
  </si>
  <si>
    <t>-524.649698776977 118.563293488992 -241.075185361281</t>
  </si>
  <si>
    <t>-565.370129792007 108.079134445731 -354.65230197747</t>
  </si>
  <si>
    <t>-586.030002312217 89.2294854803504 -472.586233516646</t>
  </si>
  <si>
    <t>-596.223257506025 69.0023006892656 -579.739522968631</t>
  </si>
  <si>
    <t>-597.960305818831 45.7523922389007 -686.750035497182</t>
  </si>
  <si>
    <t>-591.535742737963 10.4204500246397 -834.771643797437</t>
  </si>
  <si>
    <t>-588.768765478467 56.5477689471689 -776.31195684304</t>
  </si>
  <si>
    <t>-563.796762417253 201.298235506701 -783.115290895909</t>
  </si>
  <si>
    <t>-460.473567361515 414.113152871071 -572.828985709793</t>
  </si>
  <si>
    <t>-253.431487536009 347.724480980642 -430.111873699492</t>
  </si>
  <si>
    <t>-505.13318790745 214.58227826519 -256.384658677501</t>
  </si>
  <si>
    <t>-490.31162672906 209.451324699741 199.040036989693</t>
  </si>
  <si>
    <t>-495.823697723791 187.969800004576 668.209002227786</t>
  </si>
  <si>
    <t>-345.290978121276 176.430665154825 758.487768868579</t>
  </si>
  <si>
    <t>-544.042106141093 22.719041107245 -225.061142707618</t>
  </si>
  <si>
    <t>-444.798161603823 -10.6159788698119 218.444339423036</t>
  </si>
  <si>
    <t>-589.103685924987 -115.015331543063 653.724846588102</t>
  </si>
  <si>
    <t>-433.617594054303 -133.314356073121 733.929111259862</t>
  </si>
  <si>
    <t>9763-20170724T164225.788715800.bin</t>
  </si>
  <si>
    <t>-523.506724599749 119.61024639582 -241.085456258072</t>
  </si>
  <si>
    <t>-564.192292685353 109.174495368648 -354.679512375798</t>
  </si>
  <si>
    <t>-584.925903600575 90.5172666357917 -472.63108172225</t>
  </si>
  <si>
    <t>-595.231816116817 70.5188210586562 -579.816441785577</t>
  </si>
  <si>
    <t>-597.127605302355 47.5500780016939 -686.885085621034</t>
  </si>
  <si>
    <t>-590.970970397351 12.6610109571667 -835.02299369609</t>
  </si>
  <si>
    <t>-588.039526864535 58.6035980175832 -776.42611263554</t>
  </si>
  <si>
    <t>-562.962431132815 203.365702846659 -782.654508671566</t>
  </si>
  <si>
    <t>-461.332694201338 415.47209435825 -570.832645782316</t>
  </si>
  <si>
    <t>-253.97463795859 349.36752137074 -428.442750765391</t>
  </si>
  <si>
    <t>-503.757496047962 215.657695866842 -256.454217011522</t>
  </si>
  <si>
    <t>-489.666703408182 210.092449162272 198.98853276165</t>
  </si>
  <si>
    <t>-495.777973011222 187.904193937303 668.122677456725</t>
  </si>
  <si>
    <t>-345.356046640988 175.889443330141 758.523985648962</t>
  </si>
  <si>
    <t>-543.083292832484 23.5764773301664 -225.057114246179</t>
  </si>
  <si>
    <t>-444.270405654124 -10.3204683616138 218.502011809124</t>
  </si>
  <si>
    <t>-589.011334258251 -115.461094098578 653.545060468884</t>
  </si>
  <si>
    <t>-433.390591226136 -132.662146620262 733.731229376775</t>
  </si>
  <si>
    <t>9763-20170724T164225.822799400.bin</t>
  </si>
  <si>
    <t>-522.888156424302 120.168169862766 -241.101630445047</t>
  </si>
  <si>
    <t>-563.572890803315 109.771145599132 -354.699471266935</t>
  </si>
  <si>
    <t>-584.343533126566 91.1870950571854 -472.656053788167</t>
  </si>
  <si>
    <t>-594.69880107365 71.2670375403037 -579.851255187452</t>
  </si>
  <si>
    <t>-596.659945316943 48.3881214155788 -686.938013221476</t>
  </si>
  <si>
    <t>-590.610393379456 13.6346072755289 -835.112265226526</t>
  </si>
  <si>
    <t>-587.600220251862 59.5174566074157 -776.472447263869</t>
  </si>
  <si>
    <t>-562.48169260449 204.279540393205 -782.486396412157</t>
  </si>
  <si>
    <t>-461.744308796755 416.262927498525 -570.115967005089</t>
  </si>
  <si>
    <t>-254.095697492164 350.624902786275 -427.933818261001</t>
  </si>
  <si>
    <t>-503.049090950434 216.217718963864 -256.440226123421</t>
  </si>
  <si>
    <t>-489.339474866601 210.37665094477 199.010785828264</t>
  </si>
  <si>
    <t>-495.802249103138 187.754577257595 668.150682797209</t>
  </si>
  <si>
    <t>-345.36447802591 175.778226110544 758.530652164036</t>
  </si>
  <si>
    <t>-542.509149272959 24.1798900598647 -225.105407899083</t>
  </si>
  <si>
    <t>-444.102410840923 -9.9256445392575 218.527983636937</t>
  </si>
  <si>
    <t>-588.990869990243 -115.35281356572 653.438520041237</t>
  </si>
  <si>
    <t>-433.461108183768 -133.20655714844 733.658574153067</t>
  </si>
  <si>
    <t>9763-20170724T164225.889986700.bin</t>
  </si>
  <si>
    <t>-521.723262234973 121.537506118955 -241.040081076983</t>
  </si>
  <si>
    <t>-562.279930444656 111.273600122648 -354.695801924547</t>
  </si>
  <si>
    <t>-583.066430127142 92.8358793658376 -472.672630126625</t>
  </si>
  <si>
    <t>-593.495354940293 73.054509841284 -579.88635972035</t>
  </si>
  <si>
    <t>-595.588623503971 50.3212381628204 -687.001624345855</t>
  </si>
  <si>
    <t>-589.782257984137 15.7777313894602 -835.234695767762</t>
  </si>
  <si>
    <t>-586.643819169398 61.5720327630078 -776.532442060869</t>
  </si>
  <si>
    <t>-561.555599643914 206.339481952463 -782.371721541592</t>
  </si>
  <si>
    <t>-462.126425314889 418.045995405403 -569.110536024906</t>
  </si>
  <si>
    <t>-254.031116546629 353.832161746783 -426.931235171953</t>
  </si>
  <si>
    <t>-598.05895823078 0.552301399587719 -762.75974776807</t>
  </si>
  <si>
    <t>-501.756046534047 217.528395412564 -256.297967442141</t>
  </si>
  <si>
    <t>-488.804622798555 211.211811656513 199.168909046549</t>
  </si>
  <si>
    <t>-496.006033096796 187.736189915239 668.297027278188</t>
  </si>
  <si>
    <t>-345.578790027383 174.793690803463 758.56133734893</t>
  </si>
  <si>
    <t>-541.513544120559 25.6777502924741 -225.123797350896</t>
  </si>
  <si>
    <t>-443.883172700689 -9.32057231184246 218.61166610159</t>
  </si>
  <si>
    <t>-588.967679536511 -115.126925049437 653.273558310064</t>
  </si>
  <si>
    <t>-433.417644224634 -132.807656342778 733.492609291602</t>
  </si>
  <si>
    <t>9763-20170724T164225.927080600.bin</t>
  </si>
  <si>
    <t>-521.13624213243 122.369821363604 -240.99294123108</t>
  </si>
  <si>
    <t>-561.71535101649 112.192605050603 -354.648405877209</t>
  </si>
  <si>
    <t>-582.571317282795 93.8484443557984 -472.627534375372</t>
  </si>
  <si>
    <t>-593.081831500256 74.1538327464762 -579.849328028645</t>
  </si>
  <si>
    <t>-595.274876626561 51.509156189688 -686.981351827652</t>
  </si>
  <si>
    <t>-589.625751629211 17.0904209009902 -835.249484438983</t>
  </si>
  <si>
    <t>-555.159732219875 0.832633043731825 -929.752156748841</t>
  </si>
  <si>
    <t>-586.397333292769 62.8305837814188 -776.509955228675</t>
  </si>
  <si>
    <t>-561.2429418596 207.596102275972 -782.251311237005</t>
  </si>
  <si>
    <t>-462.342623446915 419.195526942859 -568.638043150795</t>
  </si>
  <si>
    <t>-254.470510251553 355.624791092974 -425.844374085105</t>
  </si>
  <si>
    <t>-597.853256909673 1.80867653853959 -762.780867552056</t>
  </si>
  <si>
    <t>-501.156809051299 218.284481892867 -256.187447741897</t>
  </si>
  <si>
    <t>-488.535886209196 211.668892369993 199.284470186565</t>
  </si>
  <si>
    <t>-496.171394787752 187.833989674183 668.409296602898</t>
  </si>
  <si>
    <t>-345.67115211626 174.906642396708 758.553981035705</t>
  </si>
  <si>
    <t>-540.944723549528 26.5875293077556 -225.119942948461</t>
  </si>
  <si>
    <t>-443.753731487401 -8.77077697962942 218.683402358506</t>
  </si>
  <si>
    <t>-588.98485904707 -114.780353582745 653.20253037151</t>
  </si>
  <si>
    <t>-433.600638641211 -133.696925222292 733.460977452951</t>
  </si>
  <si>
    <t>9763-20170724T164225.988160900.bin</t>
  </si>
  <si>
    <t>-520.023220255822 123.669020562408 -240.689858217939</t>
  </si>
  <si>
    <t>-560.539333542405 113.570084588535 -354.374909853783</t>
  </si>
  <si>
    <t>-581.466465592144 95.271799693739 -472.348517413172</t>
  </si>
  <si>
    <t>-592.097291840408 75.6027272070694 -579.563065097461</t>
  </si>
  <si>
    <t>-594.466478012818 52.9663109601153 -686.693045541237</t>
  </si>
  <si>
    <t>-589.119681508999 18.5394116513729 -834.97045245403</t>
  </si>
  <si>
    <t>-554.875599528527 2.21544643518733 -929.542438851101</t>
  </si>
  <si>
    <t>-585.679145523694 64.2669632957153 -776.23314004564</t>
  </si>
  <si>
    <t>-560.205811910365 208.994972331635 -781.838351967178</t>
  </si>
  <si>
    <t>-463.586562090938 418.76894265737 -565.3993888992</t>
  </si>
  <si>
    <t>-261.948852756127 356.595240957892 -413.351005394779</t>
  </si>
  <si>
    <t>-597.29176556615 3.27753609079545 -762.4914281416</t>
  </si>
  <si>
    <t>-499.956232144972 219.432749994815 -255.960408234689</t>
  </si>
  <si>
    <t>-487.853701307789 212.398149401686 199.519203963951</t>
  </si>
  <si>
    <t>-496.315920102496 187.816685493742 668.521135443987</t>
  </si>
  <si>
    <t>-345.745019111062 175.077730752781 758.574670185315</t>
  </si>
  <si>
    <t>-539.834198719999 27.9051572429592 -224.835549742258</t>
  </si>
  <si>
    <t>-442.947284949934 -8.21675630074812 218.972687010354</t>
  </si>
  <si>
    <t>-588.899214688135 -114.843291292484 653.018230089334</t>
  </si>
  <si>
    <t>-433.548325280024 -133.824360603975 733.325925390685</t>
  </si>
  <si>
    <t>9763-20170724T164226.025256600.bin</t>
  </si>
  <si>
    <t>-519.475486004448 124.164826440143 -240.5480926044</t>
  </si>
  <si>
    <t>-560.167121580148 114.085218078824 -354.172012639945</t>
  </si>
  <si>
    <t>-581.232978332139 95.8122357364469 -472.125018230245</t>
  </si>
  <si>
    <t>-591.972632712075 76.1674553758669 -579.333179504146</t>
  </si>
  <si>
    <t>-594.433432041097 53.5564103600623 -686.466320639366</t>
  </si>
  <si>
    <t>-589.195751597398 19.1657088122138 -834.756193259806</t>
  </si>
  <si>
    <t>-555.056331750618 2.83495526879727 -929.364676566935</t>
  </si>
  <si>
    <t>-585.657833733908 64.8694915646367 -776.006186357322</t>
  </si>
  <si>
    <t>-560.024823660684 209.555642984701 -781.344102854734</t>
  </si>
  <si>
    <t>-465.375895028728 417.991660090476 -562.752818738683</t>
  </si>
  <si>
    <t>-268.974118593866 355.050955940095 -404.301327636912</t>
  </si>
  <si>
    <t>-597.368675393965 3.89557948766409 -762.278893010756</t>
  </si>
  <si>
    <t>-499.467832957457 219.969054137168 -255.841749828413</t>
  </si>
  <si>
    <t>-487.565309759873 212.741045859843 199.640164691863</t>
  </si>
  <si>
    <t>-496.392961544516 187.788133741747 668.610830190311</t>
  </si>
  <si>
    <t>-345.79410922817 174.933963614249 758.60137520915</t>
  </si>
  <si>
    <t>-539.315470177399 28.3709703747224 -224.598020006468</t>
  </si>
  <si>
    <t>-442.309267843199 -7.89997472120939 219.172054900075</t>
  </si>
  <si>
    <t>-588.833739001868 -114.864759861058 652.880173218903</t>
  </si>
  <si>
    <t>-433.428762485456 -133.224175030308 733.227765780812</t>
  </si>
  <si>
    <t>9763-20170724T164226.085427800.bin</t>
  </si>
  <si>
    <t>-518.639782413414 124.629371733976 -240.068876084418</t>
  </si>
  <si>
    <t>-559.697598860759 114.472532349958 -353.554223777951</t>
  </si>
  <si>
    <t>-580.940562829387 96.4928371275452 -471.520418704656</t>
  </si>
  <si>
    <t>-591.755872344453 77.2769703498035 -578.798719518456</t>
  </si>
  <si>
    <t>-594.204244975819 55.2670793811452 -686.057422137445</t>
  </si>
  <si>
    <t>-588.85434477345 21.8986136061555 -834.576548125373</t>
  </si>
  <si>
    <t>-554.742992030492 6.0275034346455 -929.273345367604</t>
  </si>
  <si>
    <t>-585.422046292459 67.2072900335982 -775.514960993903</t>
  </si>
  <si>
    <t>-559.530396575817 211.901336408106 -779.280106088801</t>
  </si>
  <si>
    <t>-463.499134007262 419.786521102115 -560.76705142359</t>
  </si>
  <si>
    <t>-255.779906493527 359.249840912152 -416.440801876203</t>
  </si>
  <si>
    <t>-597.020955738072 6.11895640518453 -762.207744747833</t>
  </si>
  <si>
    <t>-498.623341249723 220.697636146021 -255.784457683776</t>
  </si>
  <si>
    <t>-487.278945694874 213.538435408712 199.712774742012</t>
  </si>
  <si>
    <t>-496.391062148453 188.307047887635 668.494723084862</t>
  </si>
  <si>
    <t>-345.749415631743 175.156769498842 758.370609073762</t>
  </si>
  <si>
    <t>-538.272822138001 28.6122635489182 -223.868280468453</t>
  </si>
  <si>
    <t>-440.026549022157 -6.04965532395593 219.75760410773</t>
  </si>
  <si>
    <t>-588.809082676617 -114.292797630305 652.449993956143</t>
  </si>
  <si>
    <t>-433.640828842572 -133.966284780801 732.943956473769</t>
  </si>
  <si>
    <t>9763-20170724T164226.124534500.bin</t>
  </si>
  <si>
    <t>-518.483185694321 124.227391694949 -239.690965848897</t>
  </si>
  <si>
    <t>-560.091576294795 113.89960552921 -352.960038969517</t>
  </si>
  <si>
    <t>-581.538697577304 96.0784650468679 -470.913440674275</t>
  </si>
  <si>
    <t>-592.38838309889 77.1538877074307 -578.240048185152</t>
  </si>
  <si>
    <t>-594.717287119349 55.5920429651001 -685.592303434342</t>
  </si>
  <si>
    <t>-589.039868072854 23.0177913727036 -834.275439725942</t>
  </si>
  <si>
    <t>-554.901526085078 7.4815607166657 -929.018131715856</t>
  </si>
  <si>
    <t>-585.854947483544 68.0302618306838 -774.974019492332</t>
  </si>
  <si>
    <t>-560.221675118639 212.799847454311 -778.224806331154</t>
  </si>
  <si>
    <t>-459.315108626066 422.738746384137 -563.912538177982</t>
  </si>
  <si>
    <t>-246.918089126674 359.711361505772 -427.688261336882</t>
  </si>
  <si>
    <t>-597.248979049975 6.83151615402882 -762.001522458071</t>
  </si>
  <si>
    <t>-498.615320861405 220.378816287253 -255.685563333046</t>
  </si>
  <si>
    <t>-487.516513341103 213.651053501792 199.824196662491</t>
  </si>
  <si>
    <t>-496.384972070065 188.331402143238 668.579709823865</t>
  </si>
  <si>
    <t>-345.802921351045 174.574684479406 758.464653618612</t>
  </si>
  <si>
    <t>-538.242614143124 28.1665850847703 -223.000438827515</t>
  </si>
  <si>
    <t>-437.783551868007 -5.42316372756554 220.212161046265</t>
  </si>
  <si>
    <t>-588.71030746946 -114.069400223582 651.989598954505</t>
  </si>
  <si>
    <t>-433.643755565147 -133.881184960542 732.64548195707</t>
  </si>
  <si>
    <t>9763-20170724T164226.188737200.bin</t>
  </si>
  <si>
    <t>-518.780721351955 123.319140036573 -239.247929185505</t>
  </si>
  <si>
    <t>-560.799802829145 112.194586220384 -352.289727027779</t>
  </si>
  <si>
    <t>-582.297002787731 94.4123803592175 -470.239885716295</t>
  </si>
  <si>
    <t>-593.04188740113 75.8775406286364 -577.645036505495</t>
  </si>
  <si>
    <t>-595.115231312236 55.0683754925872 -685.150809365125</t>
  </si>
  <si>
    <t>-588.925640277854 23.9252815319472 -834.12014594395</t>
  </si>
  <si>
    <t>-554.595454060795 9.27831632168397 -928.935113414073</t>
  </si>
  <si>
    <t>-586.079436731995 68.3879808643469 -774.388194067153</t>
  </si>
  <si>
    <t>-560.482672432795 213.149364516866 -777.170650787165</t>
  </si>
  <si>
    <t>-445.618465942738 428.761510462774 -575.915060391754</t>
  </si>
  <si>
    <t>-231.516514355645 358.109110693117 -446.2591312726</t>
  </si>
  <si>
    <t>-597.249284506422 7.02230591790097 -762.023396927107</t>
  </si>
  <si>
    <t>-499.103190882949 218.778442957126 -255.797812938847</t>
  </si>
  <si>
    <t>-489.24459871674 213.397626562227 199.758383673412</t>
  </si>
  <si>
    <t>-496.130171162956 187.896649059356 668.533746169582</t>
  </si>
  <si>
    <t>-345.581065050844 174.425582584109 758.517196146496</t>
  </si>
  <si>
    <t>-538.32772860755 27.8882663812487 -221.841006728608</t>
  </si>
  <si>
    <t>-434.311339807502 -5.39635263272811 220.573222045134</t>
  </si>
  <si>
    <t>-588.473344364739 -114.221457250957 651.027542999152</t>
  </si>
  <si>
    <t>-433.523325713157 -133.877506325627 731.945079791888</t>
  </si>
  <si>
    <t>9763-20170724T164226.226816700.bin</t>
  </si>
  <si>
    <t>-519.139704760888 122.563987698127 -239.571947838282</t>
  </si>
  <si>
    <t>-561.020880856411 111.262683878471 -352.647299582366</t>
  </si>
  <si>
    <t>-582.354574978587 93.550546487237 -470.637748827725</t>
  </si>
  <si>
    <t>-592.945308288352 75.1753619068496 -578.085661217502</t>
  </si>
  <si>
    <t>-594.860381892091 54.6193872004549 -685.643098609846</t>
  </si>
  <si>
    <t>-588.448126905105 23.9225794891983 -834.695499921675</t>
  </si>
  <si>
    <t>-553.927886392916 9.74024210168221 -929.512200855919</t>
  </si>
  <si>
    <t>-585.704016745192 68.208278531596 -774.827613826822</t>
  </si>
  <si>
    <t>-559.984529482435 212.947261033751 -777.679423212193</t>
  </si>
  <si>
    <t>-439.102964402164 430.921200839972 -582.586625213195</t>
  </si>
  <si>
    <t>-224.696969129776 357.195713662798 -455.163427260108</t>
  </si>
  <si>
    <t>-596.866663188622 6.80163793834805 -762.661345727547</t>
  </si>
  <si>
    <t>-499.667590838671 218.071168996417 -256.12529168501</t>
  </si>
  <si>
    <t>-490.135091628266 213.083355856121 199.442479839602</t>
  </si>
  <si>
    <t>-496.075354756616 188.25590574096 668.397542268504</t>
  </si>
  <si>
    <t>-345.655172119539 174.056291975196 758.484496795908</t>
  </si>
  <si>
    <t>-538.310439487113 27.1437662373799 -222.320041282904</t>
  </si>
  <si>
    <t>-434.435581988026 -5.91089565617678 220.144713090255</t>
  </si>
  <si>
    <t>-588.537015231263 -114.209471471026 650.887775618624</t>
  </si>
  <si>
    <t>-433.594892573279 -133.927623654207 731.805229673671</t>
  </si>
  <si>
    <t>9763-20170724T164226.293946900.bin</t>
  </si>
  <si>
    <t>-520.386541440196 120.427819116013 -240.26430016205</t>
  </si>
  <si>
    <t>-561.889532603947 109.417413725004 -353.507807299654</t>
  </si>
  <si>
    <t>-582.750016544537 92.1137479009029 -471.643156916653</t>
  </si>
  <si>
    <t>-592.878082922968 74.1548643566117 -579.205980202605</t>
  </si>
  <si>
    <t>-594.298159980702 54.0613346122618 -686.858592034407</t>
  </si>
  <si>
    <t>-587.166600436451 24.0551220207729 -836.018842225249</t>
  </si>
  <si>
    <t>-552.197207465259 10.6951874014967 -930.790308217072</t>
  </si>
  <si>
    <t>-584.815022742665 68.0801117316306 -775.942227873842</t>
  </si>
  <si>
    <t>-558.914985517388 212.787174874278 -779.074230145694</t>
  </si>
  <si>
    <t>-427.972300580831 437.780278921689 -599.023377373011</t>
  </si>
  <si>
    <t>-215.684003195229 356.586283898319 -472.598415194649</t>
  </si>
  <si>
    <t>-595.829113042022 6.58377550172003 -764.097853850889</t>
  </si>
  <si>
    <t>-500.825211499049 215.649605352932 -256.480728475282</t>
  </si>
  <si>
    <t>-490.527765874289 211.493544808015 199.07861825622</t>
  </si>
  <si>
    <t>-495.989881017077 188.180002159295 668.321526800296</t>
  </si>
  <si>
    <t>-345.519245850177 174.750850390414 758.442367193129</t>
  </si>
  <si>
    <t>-539.63536364658 25.2804012843483 -223.34529754543</t>
  </si>
  <si>
    <t>-436.424593844621 -8.08880764548462 219.251262122108</t>
  </si>
  <si>
    <t>-588.957024811664 -114.200137767411 651.058386731799</t>
  </si>
  <si>
    <t>-433.924357814624 -134.093640744481 731.759261363007</t>
  </si>
  <si>
    <t>9763-20170724T164226.321018000.bin</t>
  </si>
  <si>
    <t>-521.085666166735 118.947701175574 -240.520553812342</t>
  </si>
  <si>
    <t>-562.505499977043 108.139700133466 -353.813938129322</t>
  </si>
  <si>
    <t>-583.115862948091 91.1205272556256 -472.034615953926</t>
  </si>
  <si>
    <t>-592.949867453959 73.4534020069951 -579.672873004646</t>
  </si>
  <si>
    <t>-594.008923968409 53.6867704958723 -687.390309675562</t>
  </si>
  <si>
    <t>-586.307536838507 24.1726464957166 -836.620360181886</t>
  </si>
  <si>
    <t>-551.116115582076 11.2024455975804 -931.36376944222</t>
  </si>
  <si>
    <t>-584.251383168173 68.0099154187286 -776.395785022274</t>
  </si>
  <si>
    <t>-558.286937629979 212.654366566519 -779.241017116308</t>
  </si>
  <si>
    <t>-419.957236765021 442.162409884744 -610.785731311011</t>
  </si>
  <si>
    <t>-211.498213563551 354.552516438015 -482.289181632685</t>
  </si>
  <si>
    <t>-595.178968325209 6.45355591206169 -764.78535696709</t>
  </si>
  <si>
    <t>-501.703009147389 214.269830439381 -256.514728533326</t>
  </si>
  <si>
    <t>-490.182530462878 210.485480046923 199.018588351568</t>
  </si>
  <si>
    <t>-496.01605793685 188.259875168689 668.326295215436</t>
  </si>
  <si>
    <t>-345.60566560603 174.43003352326 758.487030487708</t>
  </si>
  <si>
    <t>-540.157454877739 23.6939602361709 -223.784686816258</t>
  </si>
  <si>
    <t>-437.288165887868 -9.5156890066464 218.903359564786</t>
  </si>
  <si>
    <t>-589.147386609194 -114.709279311353 651.244107541235</t>
  </si>
  <si>
    <t>-433.884254571552 -133.595064792613 731.743714728077</t>
  </si>
  <si>
    <t>9763-20170724T164226.391864400.bin</t>
  </si>
  <si>
    <t>-523.019441290224 116.12145512939 -240.319170911123</t>
  </si>
  <si>
    <t>-564.825051449236 105.26913511834 -353.466587486121</t>
  </si>
  <si>
    <t>-585.13634699074 88.5512500990196 -471.78180033703</t>
  </si>
  <si>
    <t>-594.419807325349 71.2816267295458 -579.533548025347</t>
  </si>
  <si>
    <t>-594.652073038124 52.0288875181148 -687.348867756158</t>
  </si>
  <si>
    <t>-585.520508168615 23.3428623686955 -836.659615516751</t>
  </si>
  <si>
    <t>-549.806241194076 10.8686535174271 -931.27407833111</t>
  </si>
  <si>
    <t>-583.978045667129 66.8347761012492 -776.170040029072</t>
  </si>
  <si>
    <t>-556.558048170823 211.316669905485 -779.467072693356</t>
  </si>
  <si>
    <t>-396.955908892573 444.738471741076 -637.243307987613</t>
  </si>
  <si>
    <t>-197.683610947292 347.200949697729 -501.526355600438</t>
  </si>
  <si>
    <t>-595.143789978508 5.23631216124389 -765.018460441722</t>
  </si>
  <si>
    <t>-504.210183535245 211.183452200904 -256.348721815843</t>
  </si>
  <si>
    <t>-489.700454049323 208.707246954139 199.108138387009</t>
  </si>
  <si>
    <t>-495.931361181828 188.000299103159 668.336499397557</t>
  </si>
  <si>
    <t>-345.62984548511 173.859107306028 758.630311267745</t>
  </si>
  <si>
    <t>-541.773177956672 21.0957920297252 -223.635601132799</t>
  </si>
  <si>
    <t>-437.73690297162 -11.0702948000883 218.856680176143</t>
  </si>
  <si>
    <t>-589.565228786871 -114.352505594126 651.293311569855</t>
  </si>
  <si>
    <t>-434.256340045087 -133.938354784812 731.536912013938</t>
  </si>
  <si>
    <t>9763-20170724T164226.427957200.bin</t>
  </si>
  <si>
    <t>-524.248732549936 114.503232017147 -240.325293371957</t>
  </si>
  <si>
    <t>-566.346890264799 103.435620485964 -353.343236848053</t>
  </si>
  <si>
    <t>-586.494206109818 86.4747505438347 -471.652138700016</t>
  </si>
  <si>
    <t>-595.446792509953 68.9372312207703 -579.388503758886</t>
  </si>
  <si>
    <t>-595.171663225465 49.347173300197 -687.1428199059</t>
  </si>
  <si>
    <t>-585.159030961414 20.1008764274544 -836.288382587023</t>
  </si>
  <si>
    <t>-549.056002606388 7.5302460205354 -930.74228911518</t>
  </si>
  <si>
    <t>-583.671939071549 63.7686132571164 -775.924200969669</t>
  </si>
  <si>
    <t>-554.844444787666 207.986244886327 -780.427006289351</t>
  </si>
  <si>
    <t>-386.265001994715 440.957170080768 -648.170820140016</t>
  </si>
  <si>
    <t>-188.624263744983 341.5324649008 -511.441514524949</t>
  </si>
  <si>
    <t>-595.506721523227 2.31430564877822 -764.667968981306</t>
  </si>
  <si>
    <t>-505.836983282866 209.309995753032 -256.349385275202</t>
  </si>
  <si>
    <t>-489.912442209296 207.567538815504 199.063645362441</t>
  </si>
  <si>
    <t>-495.844816739755 187.6516913598 668.329064946766</t>
  </si>
  <si>
    <t>-345.366330232958 175.248112479799 758.583680093806</t>
  </si>
  <si>
    <t>-542.547812457738 19.8285283773843 -223.700022303294</t>
  </si>
  <si>
    <t>-437.961276897666 -11.758660416525 218.704345471767</t>
  </si>
  <si>
    <t>-589.628498017926 -114.304071092775 651.213150580455</t>
  </si>
  <si>
    <t>-434.300770901872 -134.058663388809 731.378934958688</t>
  </si>
  <si>
    <t>9763-20170724T164226.490134900.bin</t>
  </si>
  <si>
    <t>-527.026467562385 111.80101780771 -240.794491823024</t>
  </si>
  <si>
    <t>-569.017155741014 100.446676033893 -353.824035844114</t>
  </si>
  <si>
    <t>-588.640506463272 82.6791052461328 -472.102351691815</t>
  </si>
  <si>
    <t>-596.973346099732 64.1068261056294 -579.715129570639</t>
  </si>
  <si>
    <t>-595.950999521487 43.1221804001286 -687.202119777016</t>
  </si>
  <si>
    <t>-584.787588658767 11.5139676184021 -835.7831067069</t>
  </si>
  <si>
    <t>-582.913038740912 55.9752415100181 -776.01179207502</t>
  </si>
  <si>
    <t>-550.93692081399 199.294368920025 -783.234954526439</t>
  </si>
  <si>
    <t>-372.593109720478 430.262004920135 -660.623289526947</t>
  </si>
  <si>
    <t>-173.478127481257 330.168870744565 -526.546055886437</t>
  </si>
  <si>
    <t>-509.190178491098 206.424659680206 -256.589412961486</t>
  </si>
  <si>
    <t>-491.356086436654 205.995746938619 198.755982916146</t>
  </si>
  <si>
    <t>-495.901095878077 187.890178115757 668.241889577439</t>
  </si>
  <si>
    <t>-345.419126349035 175.028617543976 758.42644080019</t>
  </si>
  <si>
    <t>-544.836858429088 17.1021444618534 -224.352056372686</t>
  </si>
  <si>
    <t>-439.820533181561 -12.9305766322012 218.058725542929</t>
  </si>
  <si>
    <t>-589.759363508562 -114.039176406121 651.304664177371</t>
  </si>
  <si>
    <t>-434.324511451489 -133.682491408082 731.290063940682</t>
  </si>
  <si>
    <t>9763-20170724T164226.525229100.bin</t>
  </si>
  <si>
    <t>-528.352244148142 110.192395379484 -241.168297038687</t>
  </si>
  <si>
    <t>-570.184731607581 98.8743731413726 -354.259970233461</t>
  </si>
  <si>
    <t>-589.536093542232 80.8049799347244 -472.537733906924</t>
  </si>
  <si>
    <t>-597.58860570916 61.7877169278446 -580.093851657148</t>
  </si>
  <si>
    <t>-596.26088055588 40.1666362075254 -687.451350982951</t>
  </si>
  <si>
    <t>-584.656765742946 7.4573500115215 -835.760000795695</t>
  </si>
  <si>
    <t>-582.588282634469 52.2844418970191 -776.269037484653</t>
  </si>
  <si>
    <t>-549.331506086305 195.273121605732 -784.432900759924</t>
  </si>
  <si>
    <t>-368.611987213314 425.162158608171 -663.281412869998</t>
  </si>
  <si>
    <t>-168.763651426109 325.700358847849 -529.827043364721</t>
  </si>
  <si>
    <t>-510.513023585237 204.882795891542 -256.780090242925</t>
  </si>
  <si>
    <t>-491.973563384876 204.908917284512 198.537308440019</t>
  </si>
  <si>
    <t>-495.885356365255 187.72420324207 668.192036427826</t>
  </si>
  <si>
    <t>-345.281641746435 175.575481726335 758.272295138262</t>
  </si>
  <si>
    <t>-546.059717248898 15.3523997554526 -224.888635806578</t>
  </si>
  <si>
    <t>-441.363806376083 -14.2007142607821 217.630436236635</t>
  </si>
  <si>
    <t>-589.81272851273 -114.515116433638 651.655245446413</t>
  </si>
  <si>
    <t>-434.081604006365 -132.5209500693 731.4494394891</t>
  </si>
  <si>
    <t>9763-20170724T164226.589419800.bin</t>
  </si>
  <si>
    <t>-530.656206962062 107.66738572414 -241.561058925577</t>
  </si>
  <si>
    <t>-572.212903490338 96.7645821797315 -354.795175226899</t>
  </si>
  <si>
    <t>-591.150790062213 78.2943641499411 -473.077723917287</t>
  </si>
  <si>
    <t>-598.789338207266 58.5514557228799 -580.533457969533</t>
  </si>
  <si>
    <t>-597.020495787863 35.826672209406 -687.656324409652</t>
  </si>
  <si>
    <t>-584.788965776446 1.17696730720995 -835.473040098304</t>
  </si>
  <si>
    <t>-582.454791027296 46.6666606664693 -776.497116179265</t>
  </si>
  <si>
    <t>-547.427283519819 189.145700843639 -786.189536867726</t>
  </si>
  <si>
    <t>-365.211237232834 417.363981706828 -664.12415441373</t>
  </si>
  <si>
    <t>-166.80699455499 318.501642890798 -528.094545672862</t>
  </si>
  <si>
    <t>-512.315756430617 202.721133090482 -256.970146772447</t>
  </si>
  <si>
    <t>-492.669312702138 203.404697742783 198.300341116296</t>
  </si>
  <si>
    <t>-496.028678679628 188.190148827563 668.100150530123</t>
  </si>
  <si>
    <t>-345.496382100574 174.794041643415 758.12283046102</t>
  </si>
  <si>
    <t>-548.870539292969 12.7155149240895 -225.475566861576</t>
  </si>
  <si>
    <t>-444.422802103227 -16.7904695838106 217.105274884503</t>
  </si>
  <si>
    <t>-590.154262805981 -114.809014979899 652.657439090421</t>
  </si>
  <si>
    <t>-434.260834109534 -132.801107441085 732.137267852034</t>
  </si>
  <si>
    <t>9763-20170724T164226.622504500.bin</t>
  </si>
  <si>
    <t>-531.586034536066 106.445187940291 -241.530682274543</t>
  </si>
  <si>
    <t>-573.139082532595 95.7507641573544 -354.786079896684</t>
  </si>
  <si>
    <t>-591.946826272445 77.1624984197902 -473.07102738216</t>
  </si>
  <si>
    <t>-599.419164617506 57.175075990041 -580.493122452988</t>
  </si>
  <si>
    <t>-597.439173141634 34.0667408823365 -687.530187348872</t>
  </si>
  <si>
    <t>-582.4856826166 44.4559242497968 -776.360450783446</t>
  </si>
  <si>
    <t>-546.873550430503 186.772144648358 -786.63783384968</t>
  </si>
  <si>
    <t>-365.549670165931 414.561481058157 -662.461178772055</t>
  </si>
  <si>
    <t>-168.814399025393 315.654359899086 -524.060857809829</t>
  </si>
  <si>
    <t>-512.861043432671 201.474272728102 -256.937515480976</t>
  </si>
  <si>
    <t>-492.649572943867 202.470801569955 198.307665905799</t>
  </si>
  <si>
    <t>-496.030428432636 188.069812102527 668.111541674112</t>
  </si>
  <si>
    <t>-345.411822933198 175.418170890639 758.097562420529</t>
  </si>
  <si>
    <t>-550.189800380545 11.4795263079859 -225.447373686737</t>
  </si>
  <si>
    <t>-445.431329947241 -17.8353029941187 217.072675630022</t>
  </si>
  <si>
    <t>-590.290113295648 -115.111926016071 653.141474950968</t>
  </si>
  <si>
    <t>-434.3325355719 -133.10676138764 732.494660909565</t>
  </si>
  <si>
    <t>9763-20170724T164226.690689700.bin</t>
  </si>
  <si>
    <t>-533.111690154592 104.427312540776 -241.324684944901</t>
  </si>
  <si>
    <t>-574.77523335664 94.0643820552257 -354.570324330692</t>
  </si>
  <si>
    <t>-593.489030422315 75.4281850343493 -472.862516046114</t>
  </si>
  <si>
    <t>-600.794069538981 55.2385721967906 -580.258274654279</t>
  </si>
  <si>
    <t>-598.568041495883 31.7696193699434 -687.212050015458</t>
  </si>
  <si>
    <t>-583.126289153671 41.702092043272 -776.011082140152</t>
  </si>
  <si>
    <t>-546.773298278536 183.792183337187 -786.403889276501</t>
  </si>
  <si>
    <t>-368.203622636041 410.423166891517 -656.259892313103</t>
  </si>
  <si>
    <t>-174.560513504834 309.293885462646 -515.1313491933</t>
  </si>
  <si>
    <t>-513.784179916251 199.690193047437 -256.796216382324</t>
  </si>
  <si>
    <t>-492.487359045419 201.069805059809 198.39851155671</t>
  </si>
  <si>
    <t>-495.998599964093 187.831994031505 668.139335047654</t>
  </si>
  <si>
    <t>-345.412400776682 175.094152564833 758.167428916129</t>
  </si>
  <si>
    <t>-552.340605484796 9.38400779090624 -225.261560771528</t>
  </si>
  <si>
    <t>-446.580968061533 -19.0728132783176 217.076285187734</t>
  </si>
  <si>
    <t>-590.475734880491 -115.063677100455 653.779681570021</t>
  </si>
  <si>
    <t>-434.359690126241 -132.556382094064 732.933266623065</t>
  </si>
  <si>
    <t>9763-20170724T164226.722774600.bin</t>
  </si>
  <si>
    <t>-533.673040336311 103.631977966343 -241.231588943935</t>
  </si>
  <si>
    <t>-575.498642720914 93.3738583818644 -354.426901227621</t>
  </si>
  <si>
    <t>-594.309861132534 74.817410459991 -472.716169477295</t>
  </si>
  <si>
    <t>-601.673787537787 54.689641800535 -580.119688489276</t>
  </si>
  <si>
    <t>-599.476720678604 31.2727071992405 -687.085328964651</t>
  </si>
  <si>
    <t>-584.013603875972 41.2365059064167 -775.877197491851</t>
  </si>
  <si>
    <t>-547.629190082703 183.3487390275 -786.026547748857</t>
  </si>
  <si>
    <t>-370.9096920868 409.431210474618 -652.448194166337</t>
  </si>
  <si>
    <t>-178.070846554569 308.124738049536 -510.34899334048</t>
  </si>
  <si>
    <t>-514.222214855061 199.029413079882 -256.693669824692</t>
  </si>
  <si>
    <t>-492.500476231154 200.577072702325 198.480458576391</t>
  </si>
  <si>
    <t>-496.018711753506 187.850256704612 668.180201933985</t>
  </si>
  <si>
    <t>-345.433656909816 175.159055932007 758.216832316262</t>
  </si>
  <si>
    <t>-553.05533207392 8.52560085506944 -225.148431208686</t>
  </si>
  <si>
    <t>-446.824809284741 -19.3338984218712 217.114576960677</t>
  </si>
  <si>
    <t>-590.488507572676 -115.167834846155 653.957527110979</t>
  </si>
  <si>
    <t>-434.310170718813 -132.234474692327 733.081165518125</t>
  </si>
  <si>
    <t>9763-20170724T164226.792965500.bin</t>
  </si>
  <si>
    <t>-534.563988924918 102.890295858541 -241.054305041081</t>
  </si>
  <si>
    <t>-576.466004169827 92.6443923903584 -354.222564898287</t>
  </si>
  <si>
    <t>-595.347063448074 74.2070995791996 -472.51938808132</t>
  </si>
  <si>
    <t>-602.768725036014 54.2327429809476 -579.947360505339</t>
  </si>
  <si>
    <t>-600.62218104377 31.0157555659385 -686.957658332478</t>
  </si>
  <si>
    <t>-585.253647150169 41.1904299086088 -775.741961888649</t>
  </si>
  <si>
    <t>-549.368805084856 183.475356685943 -785.404130988929</t>
  </si>
  <si>
    <t>-377.361274336126 408.76018482386 -644.527048474729</t>
  </si>
  <si>
    <t>-184.152513199753 307.898546956744 -502.613889388852</t>
  </si>
  <si>
    <t>-515.028409954113 198.391093472947 -256.555959268832</t>
  </si>
  <si>
    <t>-492.892905474251 200.24846771676 198.597005578709</t>
  </si>
  <si>
    <t>-496.052879639186 188.034439852944 668.194287433804</t>
  </si>
  <si>
    <t>-345.568251075332 174.735934994018 758.31117362123</t>
  </si>
  <si>
    <t>-553.983810154131 7.63695694905121 -224.967714444587</t>
  </si>
  <si>
    <t>-446.951673939782 -19.1525486066467 217.168220305864</t>
  </si>
  <si>
    <t>-590.573030525529 -114.999397807697 654.19379716985</t>
  </si>
  <si>
    <t>-434.414830481222 -132.292661877174 733.30808205202</t>
  </si>
  <si>
    <t>9763-20170724T164226.825049800.bin</t>
  </si>
  <si>
    <t>-534.77690062121 102.728503295456 -240.952135064246</t>
  </si>
  <si>
    <t>-576.738421559061 92.4207076398241 -354.092612850757</t>
  </si>
  <si>
    <t>-595.674720689298 73.9480994401009 -472.37515866097</t>
  </si>
  <si>
    <t>-603.142718683805 53.9557362595504 -579.796673873983</t>
  </si>
  <si>
    <t>-601.037780633991 30.7364224850141 -686.807293812192</t>
  </si>
  <si>
    <t>-585.738003644655 40.9288847980131 -775.601358466574</t>
  </si>
  <si>
    <t>-550.212272682063 183.332051954577 -785.071815916578</t>
  </si>
  <si>
    <t>-381.788846106879 408.530297911929 -639.794584948355</t>
  </si>
  <si>
    <t>-187.580453295499 309.618322265076 -497.873659150137</t>
  </si>
  <si>
    <t>-515.26411175152 198.187660464279 -256.539580305201</t>
  </si>
  <si>
    <t>-492.929834172592 200.134802424521 198.603331130931</t>
  </si>
  <si>
    <t>-496.000926895785 188.0016735927 668.179496047215</t>
  </si>
  <si>
    <t>-345.566168580181 174.609010644467 758.365660533944</t>
  </si>
  <si>
    <t>-554.126669677878 7.42929808283689 -224.78940971187</t>
  </si>
  <si>
    <t>-446.748662510956 -19.2459326714713 217.269520630963</t>
  </si>
  <si>
    <t>-590.557610347968 -115.319544477427 654.258376800643</t>
  </si>
  <si>
    <t>-434.351005246176 -132.277038883033 733.349787845613</t>
  </si>
  <si>
    <t>9763-20170724T164226.887224300.bin</t>
  </si>
  <si>
    <t>-534.664395797018 103.06691837119 -240.87831218431</t>
  </si>
  <si>
    <t>-576.774925687642 92.6571139580236 -353.954034368669</t>
  </si>
  <si>
    <t>-595.889891267809 74.1713277832194 -472.205823557397</t>
  </si>
  <si>
    <t>-603.523081976654 54.2218950602921 -579.623714185161</t>
  </si>
  <si>
    <t>-601.581252917979 31.1109865177135 -686.660971123449</t>
  </si>
  <si>
    <t>-586.567067429607 41.4771878149965 -775.483630760517</t>
  </si>
  <si>
    <t>-552.369829263979 184.218194880749 -784.534953943532</t>
  </si>
  <si>
    <t>-393.864215775899 409.712744243229 -628.925328616858</t>
  </si>
  <si>
    <t>-199.843857906486 318.917614715779 -481.431597634248</t>
  </si>
  <si>
    <t>-515.036180434894 198.461873756927 -256.584051144502</t>
  </si>
  <si>
    <t>-492.748555445397 200.414799410428 198.561082342972</t>
  </si>
  <si>
    <t>-495.951353536738 188.044478105444 668.151259379607</t>
  </si>
  <si>
    <t>-345.650217554347 173.773460698754 758.425501424796</t>
  </si>
  <si>
    <t>-554.072882447974 7.79748924933 -224.52726372997</t>
  </si>
  <si>
    <t>-446.327235964533 -18.971391681478 217.436496138818</t>
  </si>
  <si>
    <t>-590.710519835859 -115.039879303921 654.301839987125</t>
  </si>
  <si>
    <t>-434.550802208556 -132.771562872091 733.315990680622</t>
  </si>
  <si>
    <t>9763-20170724T164226.927329900.bin</t>
  </si>
  <si>
    <t>-534.37629784136 103.370198937426 -240.83457002796</t>
  </si>
  <si>
    <t>-576.514334255915 92.9539009604003 -353.899398051267</t>
  </si>
  <si>
    <t>-595.730769443712 74.4459525142211 -472.131339240981</t>
  </si>
  <si>
    <t>-603.481669625952 54.4832155516504 -579.538316420746</t>
  </si>
  <si>
    <t>-601.679913409588 31.3731049663714 -686.578029216197</t>
  </si>
  <si>
    <t>-586.895328074496 41.776157335623 -775.435107264864</t>
  </si>
  <si>
    <t>-553.682438306208 184.767532147562 -784.406097730543</t>
  </si>
  <si>
    <t>-402.976635181403 409.840383049672 -620.649687176067</t>
  </si>
  <si>
    <t>-209.569557246059 324.103735676818 -469.371921440131</t>
  </si>
  <si>
    <t>-514.659915618888 198.522531835416 -256.588538531038</t>
  </si>
  <si>
    <t>-492.549119360567 200.409542720833 198.565543636472</t>
  </si>
  <si>
    <t>-495.826894893031 187.652296181747 668.141647137581</t>
  </si>
  <si>
    <t>-345.388215843631 174.747825972382 758.392274622279</t>
  </si>
  <si>
    <t>-553.945183754103 8.35123370999591 -224.412433042941</t>
  </si>
  <si>
    <t>-446.160203779793 -18.7366986533863 217.522308629416</t>
  </si>
  <si>
    <t>-590.823498701213 -114.730777774304 654.315026535164</t>
  </si>
  <si>
    <t>-434.724008884317 -133.21845288968 733.275023380368</t>
  </si>
  <si>
    <t>9763-20170724T164226.987496600.bin</t>
  </si>
  <si>
    <t>-533.793816748691 104.180542365105 -240.863831508569</t>
  </si>
  <si>
    <t>-575.808219002465 93.7884714816305 -353.977067545253</t>
  </si>
  <si>
    <t>-594.952871823227 75.4321202117532 -472.244052563794</t>
  </si>
  <si>
    <t>-602.655196614136 55.6762388859562 -579.692842883169</t>
  </si>
  <si>
    <t>-600.817316571448 32.8528463025149 -686.793599614246</t>
  </si>
  <si>
    <t>-586.204183630795 43.5957717081164 -775.638444184004</t>
  </si>
  <si>
    <t>-554.753612164924 187.056307264624 -783.361932771598</t>
  </si>
  <si>
    <t>-424.169552687083 410.227220340315 -600.800300820119</t>
  </si>
  <si>
    <t>-224.930688388544 329.610725435458 -454.352460265777</t>
  </si>
  <si>
    <t>-514.048642027207 199.547604695614 -256.62355938744</t>
  </si>
  <si>
    <t>-492.27432856419 201.019003711501 198.548272166083</t>
  </si>
  <si>
    <t>-495.808791826509 187.836593013606 668.094874613103</t>
  </si>
  <si>
    <t>-345.525215202412 173.850743403704 758.442794446256</t>
  </si>
  <si>
    <t>-553.372696615556 8.9339148188436 -224.525651812981</t>
  </si>
  <si>
    <t>-445.934355611752 -18.1790449378231 217.491884152657</t>
  </si>
  <si>
    <t>-590.893993309389 -114.286203678351 654.169030226794</t>
  </si>
  <si>
    <t>-434.805899944562 -132.951435101559 733.10970923595</t>
  </si>
  <si>
    <t>9763-20170724T164227.024594000.bin</t>
  </si>
  <si>
    <t>-533.498117992951 104.394383226148 -240.948111185029</t>
  </si>
  <si>
    <t>-575.458637136291 94.0246148584523 -354.083384560758</t>
  </si>
  <si>
    <t>-594.59088570391 75.8335104904283 -472.377929295106</t>
  </si>
  <si>
    <t>-602.295930818926 56.2951212728983 -579.866144746281</t>
  </si>
  <si>
    <t>-600.471790667058 33.7622468075001 -687.028739443523</t>
  </si>
  <si>
    <t>-586.035506886294 44.831883067862 -775.862306814029</t>
  </si>
  <si>
    <t>-555.783057815638 188.547610217091 -782.717006502623</t>
  </si>
  <si>
    <t>-437.173900792387 408.488938127656 -588.439059924729</t>
  </si>
  <si>
    <t>-236.959333165195 331.66509114387 -441.285235167312</t>
  </si>
  <si>
    <t>-513.787590572733 199.875170667517 -256.65240717152</t>
  </si>
  <si>
    <t>-492.124413133403 201.118271932626 198.525398838819</t>
  </si>
  <si>
    <t>-495.737300828209 187.734513635583 668.054877102663</t>
  </si>
  <si>
    <t>-345.451065226491 174.031967318327 758.441773899885</t>
  </si>
  <si>
    <t>-553.036667228312 9.06569505923919 -224.637133674541</t>
  </si>
  <si>
    <t>-445.894318260933 -17.9725447855525 217.45679254235</t>
  </si>
  <si>
    <t>-590.921699823291 -114.274768898943 654.137448114263</t>
  </si>
  <si>
    <t>-434.773421280341 -132.643251844976 733.028670035574</t>
  </si>
  <si>
    <t>9763-20170724T164227.091804900.bin</t>
  </si>
  <si>
    <t>-532.982873560632 105.251088539444 -241.174821610422</t>
  </si>
  <si>
    <t>-574.955772826193 94.8656082189189 -354.304147221892</t>
  </si>
  <si>
    <t>-594.162629242555 77.2535650818536 -472.674121881312</t>
  </si>
  <si>
    <t>-601.952675849224 58.4991860315205 -580.295922681196</t>
  </si>
  <si>
    <t>-600.224165112089 37.0191038355633 -687.676000142323</t>
  </si>
  <si>
    <t>-587.915240518789 4.40581203130297 -835.94894225595</t>
  </si>
  <si>
    <t>-586.291798456894 49.2283543124065 -776.440728686792</t>
  </si>
  <si>
    <t>-558.470876476519 193.588900327152 -780.612384710344</t>
  </si>
  <si>
    <t>-461.428587971244 404.430754936695 -565.403828837129</t>
  </si>
  <si>
    <t>-256.062627397505 335.534893299126 -421.458637740557</t>
  </si>
  <si>
    <t>-513.606232031165 200.839961392926 -256.685595849735</t>
  </si>
  <si>
    <t>-492.14851756389 201.683402017184 198.502853814308</t>
  </si>
  <si>
    <t>-495.718834209567 187.795538088086 668.006473614105</t>
  </si>
  <si>
    <t>-345.448036375405 174.206995952683 758.436358598462</t>
  </si>
  <si>
    <t>-552.214564691518 9.92097926869775 -225.008564521705</t>
  </si>
  <si>
    <t>-445.902939740771 -16.893043063886 217.299640396208</t>
  </si>
  <si>
    <t>-590.898972372852 -113.824898021964 653.836422999125</t>
  </si>
  <si>
    <t>-434.886200417741 -133.033715203695 732.795604220353</t>
  </si>
  <si>
    <t>9763-20170724T164227.124891700.bin</t>
  </si>
  <si>
    <t>-532.714631073221 105.365360010986 -241.268845662951</t>
  </si>
  <si>
    <t>-574.517233100459 94.9276095126976 -354.456239018103</t>
  </si>
  <si>
    <t>-593.616113256624 77.6736677126139 -472.896520367473</t>
  </si>
  <si>
    <t>-601.332099475825 59.4218649253687 -580.610029965117</t>
  </si>
  <si>
    <t>-599.550376252168 38.6282239382548 -688.124185541844</t>
  </si>
  <si>
    <t>-587.18537415544 7.16487510650884 -836.640732453055</t>
  </si>
  <si>
    <t>-585.876170810833 51.584108510289 -776.823223228624</t>
  </si>
  <si>
    <t>-559.573429985285 196.219726725084 -779.603208618086</t>
  </si>
  <si>
    <t>-472.427054268537 400.406918161379 -553.994501208282</t>
  </si>
  <si>
    <t>-266.088082094116 334.606624546766 -409.992468454563</t>
  </si>
  <si>
    <t>-513.62042816295 201.047517315122 -256.715946924184</t>
  </si>
  <si>
    <t>-492.129348247656 201.658743844998 198.471324302843</t>
  </si>
  <si>
    <t>-495.623535626076 187.477006598879 667.974143172919</t>
  </si>
  <si>
    <t>-345.315213322126 174.419979461858 758.419889706601</t>
  </si>
  <si>
    <t>-551.534606772677 9.79171631174299 -225.266505243912</t>
  </si>
  <si>
    <t>-445.782277563471 -16.9130871182885 217.182407183613</t>
  </si>
  <si>
    <t>-590.749979787093 -114.464796999072 653.706681112653</t>
  </si>
  <si>
    <t>-434.548329993769 -132.235531670562 732.629249134581</t>
  </si>
  <si>
    <t>9763-20170724T164227.192687200.bin</t>
  </si>
  <si>
    <t>-532.118300271973 105.587623467182 -241.569161219901</t>
  </si>
  <si>
    <t>-574.146383655225 95.1584546284381 -354.673865963287</t>
  </si>
  <si>
    <t>-593.356185510863 78.6361648582366 -473.200586100937</t>
  </si>
  <si>
    <t>-601.113451866141 61.3709456055479 -581.073458665712</t>
  </si>
  <si>
    <t>-599.306583014169 41.9043644119621 -688.835561646406</t>
  </si>
  <si>
    <t>-586.830425854834 12.6544233062278 -837.794530863681</t>
  </si>
  <si>
    <t>-551.542294784945 0.592234034658652 -932.622010746653</t>
  </si>
  <si>
    <t>-586.231384643049 56.304314654829 -777.402059617238</t>
  </si>
  <si>
    <t>-562.941656117645 201.490901063727 -777.511213335624</t>
  </si>
  <si>
    <t>-488.854271861034 389.730338131019 -534.071003454645</t>
  </si>
  <si>
    <t>-279.601119545155 330.333948580045 -391.497261762413</t>
  </si>
  <si>
    <t>-513.879429057657 201.619945385294 -256.679207247816</t>
  </si>
  <si>
    <t>-492.480743855069 201.954116940557 198.512618941026</t>
  </si>
  <si>
    <t>-495.657765537395 187.478009118221 667.994145948269</t>
  </si>
  <si>
    <t>-345.332185690622 174.459541392631 758.416717302503</t>
  </si>
  <si>
    <t>-550.185979404025 9.86550824615507 -225.717651425781</t>
  </si>
  <si>
    <t>-445.412877121724 -16.4629448284962 216.986662650264</t>
  </si>
  <si>
    <t>-590.628858407562 -114.299297035245 653.339226550253</t>
  </si>
  <si>
    <t>-434.485534266721 -132.124478613805 732.364716519717</t>
  </si>
  <si>
    <t>9763-20170724T164227.224772900.bin</t>
  </si>
  <si>
    <t>-531.938474845952 105.771946810463 -241.670297472443</t>
  </si>
  <si>
    <t>-573.847765121439 95.261231757552 -354.811678595851</t>
  </si>
  <si>
    <t>-593.001207485184 79.1453290675835 -473.403315501954</t>
  </si>
  <si>
    <t>-600.73293649595 62.4547975210641 -581.368450473151</t>
  </si>
  <si>
    <t>-598.924501285182 43.7733741029341 -689.269268793152</t>
  </si>
  <si>
    <t>-586.468469173115 15.8367063582811 -838.481964400573</t>
  </si>
  <si>
    <t>-551.290293062396 4.24888857378166 -933.409185051929</t>
  </si>
  <si>
    <t>-586.156017706845 59.0042563747139 -777.74160246893</t>
  </si>
  <si>
    <t>-564.051994176462 204.342670508619 -776.454621040741</t>
  </si>
  <si>
    <t>-495.742326992071 384.669200569985 -525.45196074359</t>
  </si>
  <si>
    <t>-287.028967380621 325.653028227883 -381.932365076338</t>
  </si>
  <si>
    <t>-514.079803815963 201.617969040425 -256.679488279744</t>
  </si>
  <si>
    <t>-492.876252798457 201.868300262007 198.521630742708</t>
  </si>
  <si>
    <t>-495.550409560271 186.970660009359 668.003788169907</t>
  </si>
  <si>
    <t>-345.071103146991 175.332687800589 758.358932376145</t>
  </si>
  <si>
    <t>-549.582709214656 10.105800838963 -225.915711966743</t>
  </si>
  <si>
    <t>-445.178915423525 -16.3312918061808 216.869403533742</t>
  </si>
  <si>
    <t>-590.547523790688 -114.462804319073 653.150934203729</t>
  </si>
  <si>
    <t>-434.346061879227 -131.685211192144 732.195293442908</t>
  </si>
  <si>
    <t>9763-20170724T164227.286953400.bin</t>
  </si>
  <si>
    <t>-532.036648977115 106.325102178208 -241.840366995434</t>
  </si>
  <si>
    <t>-573.803793062658 95.5539931710512 -355.009620655715</t>
  </si>
  <si>
    <t>-592.915819888881 80.1749018466511 -473.70585218201</t>
  </si>
  <si>
    <t>-600.651613985855 64.5719190782356 -581.833382203794</t>
  </si>
  <si>
    <t>-598.886704161595 47.4056206346176 -689.986294376802</t>
  </si>
  <si>
    <t>-586.528654786173 22.0251345436889 -839.662876618547</t>
  </si>
  <si>
    <t>-551.498851906329 11.4604022632178 -934.764325500527</t>
  </si>
  <si>
    <t>-586.68008942268 64.2296642224738 -778.248920053268</t>
  </si>
  <si>
    <t>-566.427712464796 209.81297529124 -774.305277996602</t>
  </si>
  <si>
    <t>-503.014915720873 376.996353335995 -513.125843829987</t>
  </si>
  <si>
    <t>-292.495603063555 319.149701887452 -371.784146511998</t>
  </si>
  <si>
    <t>-597.313296155276 2.28076872107026 -768.622318030963</t>
  </si>
  <si>
    <t>-514.949816601666 202.231702643395 -256.747886742963</t>
  </si>
  <si>
    <t>-493.857663324411 202.40662545056 198.458293682003</t>
  </si>
  <si>
    <t>-495.569242487744 187.285855684904 667.915501146594</t>
  </si>
  <si>
    <t>-345.124895735218 175.226933981835 758.273666917919</t>
  </si>
  <si>
    <t>-548.961044165958 10.5629755691026 -226.176585170594</t>
  </si>
  <si>
    <t>-444.945053104368 -15.4856769943798 216.722744753868</t>
  </si>
  <si>
    <t>-590.473830939473 -114.371663796747 652.79967430284</t>
  </si>
  <si>
    <t>-434.351060672781 -132.139984466384 731.878651174082</t>
  </si>
  <si>
    <t>9763-20170724T164227.327059700.bin</t>
  </si>
  <si>
    <t>-532.150837003747 106.325228928412 -241.951902362805</t>
  </si>
  <si>
    <t>-573.836688656197 95.4593555207102 -355.142148518224</t>
  </si>
  <si>
    <t>-592.902413626252 80.4345120764571 -473.891042780529</t>
  </si>
  <si>
    <t>-600.611718570311 65.3387539652564 -582.092482726652</t>
  </si>
  <si>
    <t>-598.835818058054 48.8677199738218 -690.353165938228</t>
  </si>
  <si>
    <t>-586.477712164527 24.650257863817 -840.222475794706</t>
  </si>
  <si>
    <t>-551.487972450462 14.5406579600887 -935.388250533792</t>
  </si>
  <si>
    <t>-586.848176654836 66.4098777049777 -778.506177720637</t>
  </si>
  <si>
    <t>-567.450331001143 212.092170925757 -773.467962352834</t>
  </si>
  <si>
    <t>-504.797479394898 373.363066698333 -508.416158874037</t>
  </si>
  <si>
    <t>-291.478269150756 317.79755970082 -370.396386499056</t>
  </si>
  <si>
    <t>-597.04336699992 4.32153712200196 -769.313979362045</t>
  </si>
  <si>
    <t>-515.369279488495 202.229918715789 -256.775949526108</t>
  </si>
  <si>
    <t>-494.369808956865 202.372795237611 198.434618327695</t>
  </si>
  <si>
    <t>-495.516471133056 186.99464426019 667.931892419765</t>
  </si>
  <si>
    <t>-344.979156266906 175.50414529111 758.209275863525</t>
  </si>
  <si>
    <t>-548.772754768798 10.4428221252706 -226.413475090575</t>
  </si>
  <si>
    <t>-445.114176123824 -15.4502410048476 216.578667156165</t>
  </si>
  <si>
    <t>-590.341365876198 -114.944289056224 652.655763699813</t>
  </si>
  <si>
    <t>-434.09417653096 -131.703329652959 731.70932810587</t>
  </si>
  <si>
    <t>9763-20170724T164227.390928900.bin</t>
  </si>
  <si>
    <t>-532.571661166004 106.68897131336 -242.167408647065</t>
  </si>
  <si>
    <t>-573.945350283633 95.7775136841502 -355.467699364623</t>
  </si>
  <si>
    <t>-592.75784279687 81.3992625463609 -474.337016969819</t>
  </si>
  <si>
    <t>-600.26656313664 67.1796736015449 -582.671075589961</t>
  </si>
  <si>
    <t>-598.3197253045 51.8799818654227 -691.100726098488</t>
  </si>
  <si>
    <t>-585.754972046109 29.6011801369323 -841.253184651149</t>
  </si>
  <si>
    <t>-550.837031914825 20.3898951864286 -936.536369674078</t>
  </si>
  <si>
    <t>-586.647531130507 70.6220837763295 -779.048783680096</t>
  </si>
  <si>
    <t>-568.302693150329 216.363830438341 -772.135421112746</t>
  </si>
  <si>
    <t>-501.81029270873 369.981239379755 -503.496852466392</t>
  </si>
  <si>
    <t>-279.270915310455 321.190556780209 -378.046650075292</t>
  </si>
  <si>
    <t>-595.981424820657 8.2955848272323 -770.582187042484</t>
  </si>
  <si>
    <t>-516.460660615471 202.778366430473 -256.752668957156</t>
  </si>
  <si>
    <t>-495.333156182847 202.764438102001 198.452060327886</t>
  </si>
  <si>
    <t>-495.665796422809 187.389094687781 667.955475568402</t>
  </si>
  <si>
    <t>-345.089740024054 175.314045150549 758.091721241683</t>
  </si>
  <si>
    <t>-548.478425452555 10.7273897543625 -226.927434111621</t>
  </si>
  <si>
    <t>-445.642088533775 -15.1581240472703 216.256733393795</t>
  </si>
  <si>
    <t>-590.388714454448 -114.848396894963 652.534133162582</t>
  </si>
  <si>
    <t>-434.060073195088 -131.215449312777 731.508617045844</t>
  </si>
  <si>
    <t>9763-20170724T164227.423014900.bin</t>
  </si>
  <si>
    <t>-532.756551045102 106.822695852933 -242.220660342899</t>
  </si>
  <si>
    <t>-574.065173134143 95.8830541012929 -355.542085612525</t>
  </si>
  <si>
    <t>-592.85448808699 81.7236847869051 -474.441259632135</t>
  </si>
  <si>
    <t>-600.360716381604 67.8036015067856 -582.814361844679</t>
  </si>
  <si>
    <t>-598.430318163936 52.9045282497787 -691.300013277071</t>
  </si>
  <si>
    <t>-585.90804098454 31.2876989141628 -841.552918990295</t>
  </si>
  <si>
    <t>-551.075945472475 22.3947466796655 -936.897689832236</t>
  </si>
  <si>
    <t>-586.940444416483 72.0551088903663 -779.184105817136</t>
  </si>
  <si>
    <t>-569.033430341633 217.82215884056 -771.64442342486</t>
  </si>
  <si>
    <t>-498.627354530467 369.342757106757 -502.812358754387</t>
  </si>
  <si>
    <t>-272.984077022358 320.351200696569 -383.116955697421</t>
  </si>
  <si>
    <t>-595.957058595734 9.64984123416066 -770.957350822155</t>
  </si>
  <si>
    <t>-516.945757657674 202.92300428483 -256.685611864554</t>
  </si>
  <si>
    <t>-495.777690343313 202.84844434538 198.517164215126</t>
  </si>
  <si>
    <t>-495.662093968825 187.345800186611 667.966162329838</t>
  </si>
  <si>
    <t>-345.036385217973 175.499447732418 758.049846725221</t>
  </si>
  <si>
    <t>-548.412930531277 10.8103415978965 -227.068590602004</t>
  </si>
  <si>
    <t>-445.768276029599 -15.1727052385616 216.154345780303</t>
  </si>
  <si>
    <t>-590.367032268003 -114.933235114469 652.424093767619</t>
  </si>
  <si>
    <t>-433.976206809236 -130.872719506238 731.363115207194</t>
  </si>
  <si>
    <t>9763-20170724T164227.492209700.bin</t>
  </si>
  <si>
    <t>-532.95991518078 107.271952411342 -242.366129602863</t>
  </si>
  <si>
    <t>-573.928924372093 96.2277223114195 -355.800478179311</t>
  </si>
  <si>
    <t>-592.612333465286 82.1446633661377 -474.725497788977</t>
  </si>
  <si>
    <t>-600.124950219876 68.3579122903024 -583.115315995943</t>
  </si>
  <si>
    <t>-598.304621299776 53.6497567985625 -691.62890627539</t>
  </si>
  <si>
    <t>-586.043118922921 32.3521713236324 -841.94879258546</t>
  </si>
  <si>
    <t>-551.394712996676 23.6442705966958 -937.377555728279</t>
  </si>
  <si>
    <t>-587.043199398779 72.9968446999058 -779.499427918971</t>
  </si>
  <si>
    <t>-569.321094488419 218.784291003767 -771.904176711664</t>
  </si>
  <si>
    <t>-488.692558655661 369.037422660641 -505.240860350716</t>
  </si>
  <si>
    <t>-257.033145492381 318.929400343835 -398.165607300108</t>
  </si>
  <si>
    <t>-595.893624977652 10.5544826815313 -771.374464069399</t>
  </si>
  <si>
    <t>-517.475789642156 203.3029414743 -256.726582794655</t>
  </si>
  <si>
    <t>-496.547399269354 203.076978801931 198.48722572625</t>
  </si>
  <si>
    <t>-495.69474724235 187.54030901278 667.928000567586</t>
  </si>
  <si>
    <t>-344.906729499245 176.53075634748 757.846182380522</t>
  </si>
  <si>
    <t>-548.247638763091 11.2021819967143 -227.391645243393</t>
  </si>
  <si>
    <t>-446.199913418328 -14.8377942860926 215.965823581541</t>
  </si>
  <si>
    <t>-590.393027442535 -115.138105854887 652.31394662183</t>
  </si>
  <si>
    <t>-433.91820934693 -130.928373741506 731.116309511936</t>
  </si>
  <si>
    <t>9763-20170724T164227.525310200.bin</t>
  </si>
  <si>
    <t>-532.939851267439 107.625686478916 -242.341194299589</t>
  </si>
  <si>
    <t>-573.817501009028 96.5727963549705 -355.807786178913</t>
  </si>
  <si>
    <t>-592.502663419542 82.4392036844588 -474.726501456096</t>
  </si>
  <si>
    <t>-600.057011660634 68.5824381840303 -583.104477392651</t>
  </si>
  <si>
    <t>-598.318968014749 53.7755975913385 -691.605941154758</t>
  </si>
  <si>
    <t>-586.21415096964 32.3070152716637 -841.914223182251</t>
  </si>
  <si>
    <t>-551.691875235495 23.5194885192623 -937.381475661941</t>
  </si>
  <si>
    <t>-587.064325058077 73.0116731502431 -779.501739716759</t>
  </si>
  <si>
    <t>-568.90460297013 218.741428417861 -772.236087687471</t>
  </si>
  <si>
    <t>-483.71495588232 369.313777438746 -507.175935819227</t>
  </si>
  <si>
    <t>-251.371229833979 316.926095645262 -402.705978793305</t>
  </si>
  <si>
    <t>-596.07591121963 10.600630736473 -771.313384322513</t>
  </si>
  <si>
    <t>-517.389809340576 203.688097214627 -256.713698160887</t>
  </si>
  <si>
    <t>-496.805976012237 203.381744934385 198.515761970429</t>
  </si>
  <si>
    <t>-495.703872896967 187.598393322563 667.936973783726</t>
  </si>
  <si>
    <t>-344.898999530595 176.257690330561 757.785611690551</t>
  </si>
  <si>
    <t>-548.414822064697 11.5677782939017 -227.345733811892</t>
  </si>
  <si>
    <t>-446.198460282573 -14.7396975914433 215.957085718968</t>
  </si>
  <si>
    <t>-590.378701217241 -115.06793919985 652.193141017776</t>
  </si>
  <si>
    <t>-433.903853060887 -130.900991771642 730.986791924127</t>
  </si>
  <si>
    <t>9763-20170724T164227.590489700.bin</t>
  </si>
  <si>
    <t>-532.141188254226 108.674727045246 -242.347243578926</t>
  </si>
  <si>
    <t>-572.929013934377 97.7152258335141 -355.855114133097</t>
  </si>
  <si>
    <t>-591.586477905958 83.2789697359169 -474.741872718217</t>
  </si>
  <si>
    <t>-599.142961578808 68.9762921542257 -583.061726412529</t>
  </si>
  <si>
    <t>-597.434951339522 53.5461086090857 -691.476913752299</t>
  </si>
  <si>
    <t>-585.401283866621 31.0214178671512 -841.636090534781</t>
  </si>
  <si>
    <t>-551.124890310271 21.634915490781 -937.134866124623</t>
  </si>
  <si>
    <t>-585.88756205364 72.1183680226476 -779.477310328904</t>
  </si>
  <si>
    <t>-566.112046833197 217.719840449622 -773.242435720656</t>
  </si>
  <si>
    <t>-473.667957371936 369.209535985593 -511.152505417613</t>
  </si>
  <si>
    <t>-248.338496166568 307.906563739865 -396.650826680383</t>
  </si>
  <si>
    <t>-595.564119374921 9.85746384881138 -770.91334850276</t>
  </si>
  <si>
    <t>-516.013293868437 204.65343415601 -256.796725875192</t>
  </si>
  <si>
    <t>-496.620253979135 203.909468472121 198.484537914129</t>
  </si>
  <si>
    <t>-495.60227939456 187.26444111037 667.926036449027</t>
  </si>
  <si>
    <t>-344.751232893377 176.190110817928 757.730518583128</t>
  </si>
  <si>
    <t>-548.08018719229 12.6607195844265 -227.30035270725</t>
  </si>
  <si>
    <t>-445.886082215206 -14.5242033643542 215.95471623657</t>
  </si>
  <si>
    <t>-590.389602294213 -114.794517937076 652.085849111707</t>
  </si>
  <si>
    <t>-433.963747035824 -131.05281384056 730.890241450108</t>
  </si>
  <si>
    <t>9763-20170724T164227.621574600.bin</t>
  </si>
  <si>
    <t>-531.513079808795 109.328579643076 -242.280138522977</t>
  </si>
  <si>
    <t>-572.291371350463 98.4595347678944 -355.80014168328</t>
  </si>
  <si>
    <t>-590.966174210994 83.8106203997187 -474.658255070403</t>
  </si>
  <si>
    <t>-598.54987516263 69.185633657983 -582.933001643703</t>
  </si>
  <si>
    <t>-596.880886316797 53.3004411231498 -691.283057626555</t>
  </si>
  <si>
    <t>-584.914130506723 30.002507873036 -841.329750468528</t>
  </si>
  <si>
    <t>-550.81599156264 20.1292106463792 -936.843158214826</t>
  </si>
  <si>
    <t>-585.120554431852 71.3825411937926 -779.357369378489</t>
  </si>
  <si>
    <t>-564.249725718783 216.838573597307 -773.736722463349</t>
  </si>
  <si>
    <t>-470.278178831696 367.266438431098 -511.578331468785</t>
  </si>
  <si>
    <t>-251.649071844914 299.235475164891 -388.22859823695</t>
  </si>
  <si>
    <t>-595.297565278298 9.23973715214589 -770.52002385597</t>
  </si>
  <si>
    <t>-514.976046375698 205.346331761697 -256.860392612131</t>
  </si>
  <si>
    <t>-496.076210683114 204.340873453749 198.441067493567</t>
  </si>
  <si>
    <t>-495.588601396711 187.44618426414 667.862680978977</t>
  </si>
  <si>
    <t>-344.819539396299 176.044441220438 757.763644896647</t>
  </si>
  <si>
    <t>-547.844959760469 13.3187070671783 -227.141241143161</t>
  </si>
  <si>
    <t>-445.514491734601 -14.3678895384539 216.051361184963</t>
  </si>
  <si>
    <t>-590.364168498814 -114.942678372007 652.061056008877</t>
  </si>
  <si>
    <t>-434.022329804557 -131.89197484007 730.886474754019</t>
  </si>
  <si>
    <t>9763-20170724T164227.686760100.bin</t>
  </si>
  <si>
    <t>-529.971801260856 110.779525222481 -242.246989876604</t>
  </si>
  <si>
    <t>-570.90964299839 100.195969199071 -355.736742450143</t>
  </si>
  <si>
    <t>-589.733763144909 85.2069822100469 -474.528676318823</t>
  </si>
  <si>
    <t>-597.446981854588 70.0108882888919 -582.715678517391</t>
  </si>
  <si>
    <t>-595.901503311124 53.2887715663081 -690.94153211506</t>
  </si>
  <si>
    <t>-584.100692888644 28.5480727076978 -840.770287004429</t>
  </si>
  <si>
    <t>-550.342787180074 17.5011459501986 -936.276022004041</t>
  </si>
  <si>
    <t>-583.723746162449 70.4418818902097 -779.144960492627</t>
  </si>
  <si>
    <t>-560.599974421039 215.592107959677 -774.468555964024</t>
  </si>
  <si>
    <t>-464.861040415627 362.585756736856 -511.00481635335</t>
  </si>
  <si>
    <t>-248.06619940532 292.323650033645 -385.684011457041</t>
  </si>
  <si>
    <t>-594.920613733129 8.54822096079042 -769.806563689174</t>
  </si>
  <si>
    <t>-512.455507654396 206.846678755981 -256.9663995447</t>
  </si>
  <si>
    <t>-494.744525987334 205.258293707242 198.381180283299</t>
  </si>
  <si>
    <t>-495.578064223738 187.669562153439 667.793501069742</t>
  </si>
  <si>
    <t>-345.064804885422 175.352166660667 758.001830518546</t>
  </si>
  <si>
    <t>-547.309962532608 14.8571524678346 -226.852391434972</t>
  </si>
  <si>
    <t>-444.646762103026 -14.0400377118596 216.185862224</t>
  </si>
  <si>
    <t>-590.299774797359 -114.722325443267 651.825696224634</t>
  </si>
  <si>
    <t>-434.104487141495 -132.498732511172 730.759418972883</t>
  </si>
  <si>
    <t>9763-20170724T164227.720851500.bin</t>
  </si>
  <si>
    <t>-529.113897601766 111.628118835978 -242.184482355106</t>
  </si>
  <si>
    <t>-569.946756707805 101.133329608844 -355.720084604856</t>
  </si>
  <si>
    <t>-588.702854395233 85.9368503015009 -474.496500979925</t>
  </si>
  <si>
    <t>-596.371220008422 70.4288739412878 -582.642512907022</t>
  </si>
  <si>
    <t>-594.79858511513 53.2697412101017 -690.799511209079</t>
  </si>
  <si>
    <t>-582.979234732465 27.7903857095007 -840.502995729111</t>
  </si>
  <si>
    <t>-549.35386706702 16.1221404799936 -935.981600896903</t>
  </si>
  <si>
    <t>-582.377177358955 69.9484986285044 -779.059986472064</t>
  </si>
  <si>
    <t>-558.193207040212 214.941567940257 -774.796896951682</t>
  </si>
  <si>
    <t>-462.084708068803 359.622013533011 -510.189725671295</t>
  </si>
  <si>
    <t>-247.004470656493 287.704607274551 -382.869537008537</t>
  </si>
  <si>
    <t>-594.040667767502 8.17997471035744 -769.467887059881</t>
  </si>
  <si>
    <t>-511.163667764669 207.574244619255 -257.023558605487</t>
  </si>
  <si>
    <t>-494.063394979828 205.743557792699 198.346449869605</t>
  </si>
  <si>
    <t>-495.576132136604 187.645772798967 667.77188424604</t>
  </si>
  <si>
    <t>-345.163645331182 175.047852135828 758.109589533052</t>
  </si>
  <si>
    <t>-546.821777347229 15.884482087857 -226.771553881189</t>
  </si>
  <si>
    <t>-444.198557965712 -13.7452510161825 216.227577209539</t>
  </si>
  <si>
    <t>-590.331872564262 -114.148288358377 651.686682787244</t>
  </si>
  <si>
    <t>-434.232018027621 -132.462746669791 730.686240229404</t>
  </si>
  <si>
    <t>9763-20170724T164227.788034500.bin</t>
  </si>
  <si>
    <t>-527.07909174392 112.758189226071 -242.151581917951</t>
  </si>
  <si>
    <t>-568.03181952588 102.462868257516 -355.662329257092</t>
  </si>
  <si>
    <t>-586.934399509256 86.8514730512713 -474.36155231769</t>
  </si>
  <si>
    <t>-594.74661224605 70.707079357316 -582.404040511762</t>
  </si>
  <si>
    <t>-593.32999428649 52.6459138186707 -690.416394853284</t>
  </si>
  <si>
    <t>-581.741529863244 25.6320525613339 -839.868597903269</t>
  </si>
  <si>
    <t>-548.419720491789 12.7140762869136 -935.292769553806</t>
  </si>
  <si>
    <t>-580.612398486935 68.3412937246869 -778.814717883199</t>
  </si>
  <si>
    <t>-554.380665350715 212.988093577871 -775.552591645524</t>
  </si>
  <si>
    <t>-457.48906343167 356.1590836671 -510.410555800762</t>
  </si>
  <si>
    <t>-243.616553616967 283.130438867859 -381.696105870711</t>
  </si>
  <si>
    <t>-593.12576159204 6.82844832749637 -768.666453636419</t>
  </si>
  <si>
    <t>-508.437521997536 208.558653355026 -257.060620564089</t>
  </si>
  <si>
    <t>-492.638688299031 206.281161909051 198.35446914744</t>
  </si>
  <si>
    <t>-495.628373109082 187.371219410784 667.812003594889</t>
  </si>
  <si>
    <t>-345.303622428371 174.805542149024 758.299981304832</t>
  </si>
  <si>
    <t>-545.508185935656 17.1039573532005 -226.653689146459</t>
  </si>
  <si>
    <t>-443.009823683954 -13.0470145183787 216.339253839258</t>
  </si>
  <si>
    <t>-589.992385786668 -113.950815768218 651.154639407877</t>
  </si>
  <si>
    <t>-434.10434169157 -132.701490145502 730.469605423876</t>
  </si>
  <si>
    <t>9763-20170724T164227.827140800.bin</t>
  </si>
  <si>
    <t>-526.145231082337 113.215355532234 -242.247484026331</t>
  </si>
  <si>
    <t>-567.085246604437 102.993906563195 -355.769581438153</t>
  </si>
  <si>
    <t>-586.003689135457 87.1850470810993 -474.440215263232</t>
  </si>
  <si>
    <t>-593.843999395585 70.7427794006224 -582.435840652837</t>
  </si>
  <si>
    <t>-592.470738679476 52.2600465231415 -690.377252915144</t>
  </si>
  <si>
    <t>-580.959999203788 24.5274099528681 -839.70362865045</t>
  </si>
  <si>
    <t>-547.708406896694 11.0530423047185 -935.0753540165</t>
  </si>
  <si>
    <t>-579.593181625296 67.4911615771044 -778.833610223477</t>
  </si>
  <si>
    <t>-552.387545378284 211.976999716591 -776.090309779471</t>
  </si>
  <si>
    <t>-454.983309954803 355.093589910436 -511.10683310511</t>
  </si>
  <si>
    <t>-239.83075273614 283.623135833415 -383.65725278958</t>
  </si>
  <si>
    <t>-592.513090932779 6.10531059106847 -768.429022872536</t>
  </si>
  <si>
    <t>-507.348270592244 208.930225583317 -257.0991999245</t>
  </si>
  <si>
    <t>-492.068727980829 206.403814365142 198.332353281818</t>
  </si>
  <si>
    <t>-495.680881379589 186.997276972804 667.857628391377</t>
  </si>
  <si>
    <t>-345.319412939914 174.842935690253 758.340950846239</t>
  </si>
  <si>
    <t>-544.749828822091 17.6328460892632 -226.790172295126</t>
  </si>
  <si>
    <t>-442.559649010188 -12.4719082788955 216.276983820127</t>
  </si>
  <si>
    <t>-589.826109952348 -113.480422430865 650.936648152841</t>
  </si>
  <si>
    <t>-434.20457415297 -133.542147894918 730.453779956084</t>
  </si>
  <si>
    <t>9763-20170724T164227.895323200.bin</t>
  </si>
  <si>
    <t>-524.764483881112 113.756472606745 -242.144790230118</t>
  </si>
  <si>
    <t>-565.625040675442 103.536447013854 -355.695540189688</t>
  </si>
  <si>
    <t>-584.552806383702 87.27548948578 -474.303617623594</t>
  </si>
  <si>
    <t>-592.443125939825 70.2251279117981 -582.201155818006</t>
  </si>
  <si>
    <t>-591.164585228043 50.9274214378401 -690.00109166338</t>
  </si>
  <si>
    <t>-579.835111582019 21.8395562223329 -839.083395959172</t>
  </si>
  <si>
    <t>-546.694300353388 7.29033913921867 -934.335574305542</t>
  </si>
  <si>
    <t>-578.065464391882 65.2899779684606 -778.570200666918</t>
  </si>
  <si>
    <t>-549.475861869661 209.51582214772 -776.913072592782</t>
  </si>
  <si>
    <t>-451.37786074699 353.678024104892 -512.753747686576</t>
  </si>
  <si>
    <t>-234.919588484762 283.920095220495 -386.572479709816</t>
  </si>
  <si>
    <t>-591.630674934514 4.13011741412498 -767.667921137214</t>
  </si>
  <si>
    <t>-505.698116715676 209.384280528266 -257.09830161302</t>
  </si>
  <si>
    <t>-491.071075528638 206.682007788516 198.353563723625</t>
  </si>
  <si>
    <t>-495.730435237832 186.64042023917 667.815747504801</t>
  </si>
  <si>
    <t>-345.410489983111 174.175484179608 758.325598001051</t>
  </si>
  <si>
    <t>-543.608371552937 18.1903824651616 -226.537054715671</t>
  </si>
  <si>
    <t>-441.761291850093 -12.1450871068321 216.593357097703</t>
  </si>
  <si>
    <t>-589.629283033997 -113.780178961185 650.958393590269</t>
  </si>
  <si>
    <t>-433.923079578496 -132.764911800062 730.574156803505</t>
  </si>
  <si>
    <t>9763-20170724T164227.921383700.bin</t>
  </si>
  <si>
    <t>-524.088304301064 113.876296842273 -242.085877073759</t>
  </si>
  <si>
    <t>-565.119417085991 103.677590898635 -355.577000499989</t>
  </si>
  <si>
    <t>-584.18475886371 87.2167470884122 -474.135437780973</t>
  </si>
  <si>
    <t>-592.185519353596 69.8907258357321 -581.980968021681</t>
  </si>
  <si>
    <t>-591.003863012709 50.2203280681726 -689.714538379265</t>
  </si>
  <si>
    <t>-579.795906150211 20.5114795036266 -838.683601873927</t>
  </si>
  <si>
    <t>-546.686273419381 5.48449738450913 -933.87256664916</t>
  </si>
  <si>
    <t>-577.851038793309 64.1880975882653 -778.338931768274</t>
  </si>
  <si>
    <t>-548.816377947889 208.332413768909 -777.208403543074</t>
  </si>
  <si>
    <t>-450.666927475292 353.357194089188 -513.540742952259</t>
  </si>
  <si>
    <t>-234.308187947672 283.321927974952 -387.342506677722</t>
  </si>
  <si>
    <t>-591.659160429722 3.12535318711181 -767.199979295542</t>
  </si>
  <si>
    <t>-504.950727526183 209.538907215082 -257.103755790405</t>
  </si>
  <si>
    <t>-490.630029748022 206.786099550421 198.357481808859</t>
  </si>
  <si>
    <t>-495.76573078133 186.738920818849 667.774271692315</t>
  </si>
  <si>
    <t>-345.456583644808 174.394864767932 758.318704035239</t>
  </si>
  <si>
    <t>-543.131811204023 18.2717233780272 -226.329107667258</t>
  </si>
  <si>
    <t>-441.199872125597 -12.1412164398841 216.776527023988</t>
  </si>
  <si>
    <t>-589.539917992943 -113.934107873055 650.942870240296</t>
  </si>
  <si>
    <t>-433.817070488521 -132.599857710137 730.601401423617</t>
  </si>
  <si>
    <t>9763-20170724T164227.990572800.bin</t>
  </si>
  <si>
    <t>-523.103145868032 113.961118977113 -242.055905096025</t>
  </si>
  <si>
    <t>-563.993093304463 103.616959436545 -355.584698150424</t>
  </si>
  <si>
    <t>-582.997063302841 86.6701413144289 -474.084665926024</t>
  </si>
  <si>
    <t>-590.980475503144 68.7577070502709 -581.835602796474</t>
  </si>
  <si>
    <t>-589.822992125677 48.3489863436654 -689.432033037225</t>
  </si>
  <si>
    <t>-578.694980018795 17.4515928612457 -838.165001162794</t>
  </si>
  <si>
    <t>-545.539227459725 1.66191448886748 -933.214410678616</t>
  </si>
  <si>
    <t>-576.563031496283 61.5766608012426 -778.153776264026</t>
  </si>
  <si>
    <t>-547.111615333752 205.634006607673 -778.014480628059</t>
  </si>
  <si>
    <t>-448.699064269824 351.748388733494 -515.04715633125</t>
  </si>
  <si>
    <t>-235.222171326039 279.080731672438 -385.474504041406</t>
  </si>
  <si>
    <t>-590.674511755893 0.668780279797353 -766.556911419291</t>
  </si>
  <si>
    <t>-503.851397876767 209.488316339023 -257.220107449065</t>
  </si>
  <si>
    <t>-489.890123234444 206.747279785789 198.252546658459</t>
  </si>
  <si>
    <t>-495.674225586883 186.530970627886 667.66966991693</t>
  </si>
  <si>
    <t>-345.413383735708 174.328282650524 758.313403878031</t>
  </si>
  <si>
    <t>-542.106900509437 18.5416600674089 -226.237416515244</t>
  </si>
  <si>
    <t>-440.753138050126 -11.4905474412699 217.026843605611</t>
  </si>
  <si>
    <t>-589.592454311288 -113.360374094247 651.031224430749</t>
  </si>
  <si>
    <t>-434.085566167834 -133.45458520789 730.764104942675</t>
  </si>
  <si>
    <t>9763-20170724T164228.023660600.bin</t>
  </si>
  <si>
    <t>-522.717622820198 113.834556835047 -242.042094696246</t>
  </si>
  <si>
    <t>-563.621735235066 103.443627280732 -355.561675800123</t>
  </si>
  <si>
    <t>-582.642589917028 86.297760066591 -474.030169768727</t>
  </si>
  <si>
    <t>-590.643796571342 68.1393209502881 -581.738558074981</t>
  </si>
  <si>
    <t>-589.508171622228 47.4162250175047 -689.275111667355</t>
  </si>
  <si>
    <t>-578.416259056278 16.0086721143112 -837.904072392133</t>
  </si>
  <si>
    <t>-576.243786306278 60.3340016450385 -778.041982112328</t>
  </si>
  <si>
    <t>-546.745154232608 204.398024453916 -778.268599171313</t>
  </si>
  <si>
    <t>-447.736682715524 350.55601900614 -515.549564175135</t>
  </si>
  <si>
    <t>-237.420176589716 275.246315035598 -382.36734738459</t>
  </si>
  <si>
    <t>-503.579840961905 209.368849072958 -257.234743817677</t>
  </si>
  <si>
    <t>-489.545050911526 206.626528210023 198.235556103858</t>
  </si>
  <si>
    <t>-495.656119193513 186.474636572656 667.638775189393</t>
  </si>
  <si>
    <t>-345.376033026318 174.761315225058 758.315160215857</t>
  </si>
  <si>
    <t>-541.650386501564 18.4764181910583 -226.209500866995</t>
  </si>
  <si>
    <t>-440.607057886412 -11.3372764040989 217.140239768016</t>
  </si>
  <si>
    <t>-589.585509616617 -113.208524752018 651.045052147098</t>
  </si>
  <si>
    <t>-434.134036037541 -133.654271667258 730.79663688332</t>
  </si>
  <si>
    <t>9763-20170724T164228.091850100.bin</t>
  </si>
  <si>
    <t>-522.171813032162 113.524471827742 -242.074489762073</t>
  </si>
  <si>
    <t>-562.94642710243 102.891269726094 -355.618217313932</t>
  </si>
  <si>
    <t>-581.894675982541 85.3766637523748 -474.04444750305</t>
  </si>
  <si>
    <t>-589.857636106697 66.8298468138823 -581.689465194593</t>
  </si>
  <si>
    <t>-588.713478019926 45.6603097273337 -689.138932937009</t>
  </si>
  <si>
    <t>-577.642507957803 13.5692538773665 -837.623285477563</t>
  </si>
  <si>
    <t>-575.523903865705 58.1824592921266 -777.973559824302</t>
  </si>
  <si>
    <t>-546.571747347961 202.302629648296 -778.691214704275</t>
  </si>
  <si>
    <t>-445.801235712905 348.261249433456 -516.531658048041</t>
  </si>
  <si>
    <t>-246.992195168608 263.566329975002 -371.812093466087</t>
  </si>
  <si>
    <t>-503.442814114775 209.11997289604 -257.2647346355</t>
  </si>
  <si>
    <t>-489.264118716322 206.609129335733 198.202400146178</t>
  </si>
  <si>
    <t>-495.695445785833 186.704396893754 667.589302827596</t>
  </si>
  <si>
    <t>-345.494513677527 174.475137840963 758.328627932094</t>
  </si>
  <si>
    <t>-540.702388271329 18.0874757348806 -226.193055911186</t>
  </si>
  <si>
    <t>-440.325224413157 -11.2133240410738 217.342221425321</t>
  </si>
  <si>
    <t>-589.554148706536 -113.26465072928 651.132395826484</t>
  </si>
  <si>
    <t>-433.964203572062 -132.904842200605 730.816354325095</t>
  </si>
  <si>
    <t>9763-20170724T164228.123929700.bin</t>
  </si>
  <si>
    <t>-521.853385083018 113.41459900285 -242.124170326916</t>
  </si>
  <si>
    <t>-562.507137997076 102.613284212527 -355.695324554544</t>
  </si>
  <si>
    <t>-581.376320483271 84.9380779863886 -474.110378057936</t>
  </si>
  <si>
    <t>-589.286953404137 66.2494107727318 -581.73470105271</t>
  </si>
  <si>
    <t>-588.110485564779 44.9405446541483 -689.156238405542</t>
  </si>
  <si>
    <t>-577.015965489595 12.658140560806 -837.597278094835</t>
  </si>
  <si>
    <t>-574.992213205897 57.3657420100678 -778.014963948756</t>
  </si>
  <si>
    <t>-546.769502106406 201.694092463821 -779.071424940656</t>
  </si>
  <si>
    <t>-444.138450539178 346.471868050861 -516.978964982184</t>
  </si>
  <si>
    <t>-251.884042217031 255.638482801877 -367.213680266616</t>
  </si>
  <si>
    <t>-503.448847913851 208.882671777779 -257.309680299085</t>
  </si>
  <si>
    <t>-489.240365645994 206.437182250706 198.156956389707</t>
  </si>
  <si>
    <t>-495.589785133196 186.374895288137 667.547867254303</t>
  </si>
  <si>
    <t>-345.37143599132 174.569710879258 758.314538778376</t>
  </si>
  <si>
    <t>-540.05501719802 18.1302301096283 -226.238224273529</t>
  </si>
  <si>
    <t>-440.31248558799 -11.1749532734552 217.43998959459</t>
  </si>
  <si>
    <t>-589.609587409068 -113.105324648573 651.194451145677</t>
  </si>
  <si>
    <t>-434.02787603162 -133.294377188006 730.757299898061</t>
  </si>
  <si>
    <t>9763-20170724T164228.190115300.bin</t>
  </si>
  <si>
    <t>-521.311116110792 113.111581409332 -242.222103300216</t>
  </si>
  <si>
    <t>-561.685328182515 102.020048279387 -355.864972862587</t>
  </si>
  <si>
    <t>-580.389356229626 84.1539610150088 -474.277472009396</t>
  </si>
  <si>
    <t>-588.200089023693 65.3395637449044 -581.8871881316</t>
  </si>
  <si>
    <t>-586.973377522154 43.9536492933653 -689.292961014389</t>
  </si>
  <si>
    <t>-575.860008031172 11.6165698866562 -837.7207399446</t>
  </si>
  <si>
    <t>-574.113903961744 56.3999805815306 -778.186655904661</t>
  </si>
  <si>
    <t>-547.455892876364 200.995261803705 -779.932199882028</t>
  </si>
  <si>
    <t>-440.601204218217 341.676149131854 -517.297175193427</t>
  </si>
  <si>
    <t>-261.934603195277 235.444231493051 -360.979969430285</t>
  </si>
  <si>
    <t>-503.615619722984 208.581198799353 -257.408289018699</t>
  </si>
  <si>
    <t>-489.28436736712 206.485830212459 198.05620140581</t>
  </si>
  <si>
    <t>-495.62566988356 186.628003888535 667.509708941878</t>
  </si>
  <si>
    <t>-345.497144662759 173.915386017305 758.302503948192</t>
  </si>
  <si>
    <t>-538.808209378484 17.7434969173443 -226.334234575487</t>
  </si>
  <si>
    <t>-440.278357920882 -11.3897888888468 217.626152718028</t>
  </si>
  <si>
    <t>-589.699520820364 -113.371435413297 651.32776787092</t>
  </si>
  <si>
    <t>-433.742987599706 -133.284436250984 730.22364406163</t>
  </si>
  <si>
    <t>9763-20170724T164228.222204500.bin</t>
  </si>
  <si>
    <t>-521.12601061379 112.957318562102 -242.249547133322</t>
  </si>
  <si>
    <t>-561.451004444277 101.744176406889 -355.897948812763</t>
  </si>
  <si>
    <t>-580.151364363811 83.8341317953753 -474.304493609708</t>
  </si>
  <si>
    <t>-587.977820764007 65.0122402997908 -581.911766823342</t>
  </si>
  <si>
    <t>-586.786017122614 43.6505235714705 -689.322653173256</t>
  </si>
  <si>
    <t>-575.740570396976 11.3797227672367 -837.769958792989</t>
  </si>
  <si>
    <t>-574.084429853786 56.1592184917799 -778.230192008234</t>
  </si>
  <si>
    <t>-547.826586442822 200.842613733991 -780.075699953313</t>
  </si>
  <si>
    <t>-438.452100198965 337.858685658217 -516.541958577429</t>
  </si>
  <si>
    <t>-266.131662263152 223.43964345059 -358.884089697944</t>
  </si>
  <si>
    <t>-503.774796251239 208.393196014878 -257.397404346625</t>
  </si>
  <si>
    <t>-489.339583938365 206.476910926187 198.064640878799</t>
  </si>
  <si>
    <t>-495.69339149411 186.833492175687 667.525882415183</t>
  </si>
  <si>
    <t>-345.564927050749 173.878295117037 758.284466836691</t>
  </si>
  <si>
    <t>-538.330088174525 17.5858368882715 -226.399386022251</t>
  </si>
  <si>
    <t>-440.357160848929 -11.150000956204 217.710106610961</t>
  </si>
  <si>
    <t>-589.785549323223 -113.000640822221 651.368013392654</t>
  </si>
  <si>
    <t>-433.730265945878 -133.387487718788 729.946852026551</t>
  </si>
  <si>
    <t>9763-20170724T164228.288075100.bin</t>
  </si>
  <si>
    <t>-520.633092443601 112.306841652498 -242.176055379645</t>
  </si>
  <si>
    <t>-560.783005814201 100.823458562491 -355.859471253562</t>
  </si>
  <si>
    <t>-579.290314934791 82.9076232052353 -474.295468235729</t>
  </si>
  <si>
    <t>-586.937826884376 64.1847995871062 -581.932794380221</t>
  </si>
  <si>
    <t>-585.563942516438 43.0229394540992 -689.381190971554</t>
  </si>
  <si>
    <t>-574.263052783583 11.1318072141595 -837.891287073296</t>
  </si>
  <si>
    <t>-572.854323837293 55.7862837911923 -778.25148614305</t>
  </si>
  <si>
    <t>-546.325585348338 200.431526151293 -779.852491257367</t>
  </si>
  <si>
    <t>-437.276795448419 333.320988801768 -514.08006653676</t>
  </si>
  <si>
    <t>-272.765561739578 202.252189072105 -361.112484968516</t>
  </si>
  <si>
    <t>-503.743548785564 207.506802286756 -257.326518746694</t>
  </si>
  <si>
    <t>-489.40338827251 206.063565190025 198.140189791406</t>
  </si>
  <si>
    <t>-495.73769971581 186.610334090346 667.616709983104</t>
  </si>
  <si>
    <t>-345.457637289509 174.441115651653 758.233138767331</t>
  </si>
  <si>
    <t>-537.404342383297 17.1217360538124 -226.385215975611</t>
  </si>
  <si>
    <t>-440.3041114629 -11.0101041738895 217.954514943147</t>
  </si>
  <si>
    <t>-589.881367270052 -112.550463950379 651.533991125484</t>
  </si>
  <si>
    <t>-433.701466233665 -132.570413423155 729.959483653217</t>
  </si>
  <si>
    <t>9763-20170724T164228.324173200.bin</t>
  </si>
  <si>
    <t>-520.270670313645 111.842418350783 -242.119528931003</t>
  </si>
  <si>
    <t>-560.350992860697 100.289066946259 -355.820468309213</t>
  </si>
  <si>
    <t>-578.73845463734 82.3702811482209 -474.27463186112</t>
  </si>
  <si>
    <t>-586.257103235986 63.6744846579712 -581.925795464572</t>
  </si>
  <si>
    <t>-584.734110257987 42.5706496629561 -689.383506787418</t>
  </si>
  <si>
    <t>-573.205142852304 10.7935286917607 -837.900568138981</t>
  </si>
  <si>
    <t>-571.945155915286 55.412818160057 -778.231007654502</t>
  </si>
  <si>
    <t>-545.212170637411 200.015542069156 -779.617819059082</t>
  </si>
  <si>
    <t>-438.662151258533 330.48060701127 -511.639899316587</t>
  </si>
  <si>
    <t>-274.213783833436 195.969731291437 -361.621194545403</t>
  </si>
  <si>
    <t>-503.444115381807 206.989546059742 -257.295641753994</t>
  </si>
  <si>
    <t>-489.36518177133 205.769681792725 198.179995465801</t>
  </si>
  <si>
    <t>-495.69768109536 186.338055318876 667.644195529725</t>
  </si>
  <si>
    <t>-345.342419683557 174.721691115887 758.208340387695</t>
  </si>
  <si>
    <t>-536.957794490849 16.685337387584 -226.304578109708</t>
  </si>
  <si>
    <t>-440.108627184715 -11.33129213153 218.097316379528</t>
  </si>
  <si>
    <t>-589.857464607373 -112.786851000138 651.64979076567</t>
  </si>
  <si>
    <t>-433.643917775443 -132.619075802176 730.055890198868</t>
  </si>
  <si>
    <t>9763-20170724T164228.393390900.bin</t>
  </si>
  <si>
    <t>-519.45965250456 111.243449613886 -241.966407382541</t>
  </si>
  <si>
    <t>-559.473624275027 99.6196440515418 -355.683645558836</t>
  </si>
  <si>
    <t>-577.526004981011 81.7386150169593 -474.194913341569</t>
  </si>
  <si>
    <t>-584.630379598197 63.1280560834383 -581.88914685297</t>
  </si>
  <si>
    <t>-582.582482957863 42.1650922403578 -689.365706238488</t>
  </si>
  <si>
    <t>-570.210622519032 10.6460645205152 -837.869892886058</t>
  </si>
  <si>
    <t>-569.36407492438 55.1752870103305 -778.125895384461</t>
  </si>
  <si>
    <t>-542.788986590092 199.791544983605 -778.946219630698</t>
  </si>
  <si>
    <t>-444.468434844972 321.401731782791 -503.754996439964</t>
  </si>
  <si>
    <t>-276.985103902635 183.499047900711 -360.317735183387</t>
  </si>
  <si>
    <t>-502.708708235374 206.451341328643 -257.228904365393</t>
  </si>
  <si>
    <t>-488.896815153175 205.654944121248 198.255745002212</t>
  </si>
  <si>
    <t>-495.808565963845 186.676696003715 667.708736238279</t>
  </si>
  <si>
    <t>-345.506187887383 174.327008148315 758.263604403056</t>
  </si>
  <si>
    <t>-535.989752789385 16.1133627448237 -226.086554006684</t>
  </si>
  <si>
    <t>-439.493500931422 -11.5925154677565 218.411477604943</t>
  </si>
  <si>
    <t>-589.928255551256 -112.578147199781 651.825721947662</t>
  </si>
  <si>
    <t>-433.801373750495 -132.830259088958 730.297095761387</t>
  </si>
  <si>
    <t>9763-20170724T164228.421464500.bin</t>
  </si>
  <si>
    <t>-518.964067580446 110.863348611494 -241.912927030541</t>
  </si>
  <si>
    <t>-559.034838073225 99.2119122338999 -355.607162826587</t>
  </si>
  <si>
    <t>-576.979108339839 81.3709376026209 -474.141024521568</t>
  </si>
  <si>
    <t>-583.916775969631 62.8266623455292 -581.85736305812</t>
  </si>
  <si>
    <t>-581.633272605951 41.9618099307126 -689.348337858817</t>
  </si>
  <si>
    <t>-568.863054917237 10.6140332154575 -837.855107703625</t>
  </si>
  <si>
    <t>-568.192430072072 55.0772412722432 -778.059488431148</t>
  </si>
  <si>
    <t>-541.765637388886 199.757249954753 -778.623149975086</t>
  </si>
  <si>
    <t>-448.153317739536 317.312918370804 -500.048900397648</t>
  </si>
  <si>
    <t>-277.774993244481 176.515608251774 -362.974660465265</t>
  </si>
  <si>
    <t>-502.264767405358 206.066991142055 -257.203144639831</t>
  </si>
  <si>
    <t>-488.526709372412 205.466762382384 198.283999777441</t>
  </si>
  <si>
    <t>-495.827746294877 186.723379282295 667.728808512112</t>
  </si>
  <si>
    <t>-345.507383464375 174.62711039192 758.28814439541</t>
  </si>
  <si>
    <t>-535.502180737762 15.7316204103103 -225.936841386755</t>
  </si>
  <si>
    <t>-439.069712083451 -11.8001332495831 218.585864786857</t>
  </si>
  <si>
    <t>-589.95422471826 -112.730100162484 651.886694941318</t>
  </si>
  <si>
    <t>-433.752886025286 -132.823696142668 730.250488596476</t>
  </si>
  <si>
    <t>9763-20170724T164228.491662000.bin</t>
  </si>
  <si>
    <t>-518.072035229553 110.170011140835 -241.719646256057</t>
  </si>
  <si>
    <t>-558.10261122398 98.406268159583 -355.41651578321</t>
  </si>
  <si>
    <t>-575.879450433388 80.5474903154554 -473.972776499687</t>
  </si>
  <si>
    <t>-582.612423141231 62.0323563465257 -581.707242204616</t>
  </si>
  <si>
    <t>-580.070779433253 41.2459241242747 -689.207685304718</t>
  </si>
  <si>
    <t>-566.88684515401 10.0623720116421 -837.712760626181</t>
  </si>
  <si>
    <t>-566.447161184614 54.4710716361658 -777.874629941982</t>
  </si>
  <si>
    <t>-540.673518986896 199.257718732378 -778.407197944954</t>
  </si>
  <si>
    <t>-455.000174373407 310.306066210235 -494.656420420605</t>
  </si>
  <si>
    <t>-277.066272069608 171.405350624405 -365.473587709166</t>
  </si>
  <si>
    <t>-501.385419144425 205.201578766349 -257.129294890669</t>
  </si>
  <si>
    <t>-488.044574829962 205.149192954356 198.370084494721</t>
  </si>
  <si>
    <t>-495.817152417615 186.687194279242 667.783325763786</t>
  </si>
  <si>
    <t>-345.511159469482 174.551513238779 758.361143448461</t>
  </si>
  <si>
    <t>-534.631318585065 15.301339165671 -225.619119721605</t>
  </si>
  <si>
    <t>-438.306679011132 -11.7694929379096 218.955237836236</t>
  </si>
  <si>
    <t>-590.24252505809 -112.118960362718 651.937579480118</t>
  </si>
  <si>
    <t>-433.820112918577 -133.423309559211 729.53693531693</t>
  </si>
  <si>
    <t>9763-20170724T164228.519728600.bin</t>
  </si>
  <si>
    <t>-517.702511665347 109.572920536477 -241.730749957465</t>
  </si>
  <si>
    <t>-557.572355315177 97.7538484948917 -355.478252916497</t>
  </si>
  <si>
    <t>-575.264705441875 79.8422348609454 -474.039352762867</t>
  </si>
  <si>
    <t>-581.954575382404 61.2804708191655 -581.768443727896</t>
  </si>
  <si>
    <t>-579.403991709365 40.4483114745599 -689.259652412634</t>
  </si>
  <si>
    <t>-566.242884624089 9.20154281081494 -837.753589796448</t>
  </si>
  <si>
    <t>-565.8292036863 53.6420412364875 -777.938907744439</t>
  </si>
  <si>
    <t>-540.718953296111 198.531456216981 -778.545494382433</t>
  </si>
  <si>
    <t>-456.969929290426 307.421670096458 -493.387368652911</t>
  </si>
  <si>
    <t>-277.367398361327 169.425318929244 -365.55157156647</t>
  </si>
  <si>
    <t>-501.130782653333 204.691425927987 -257.141499934055</t>
  </si>
  <si>
    <t>-487.842855242657 204.856782646751 198.35948344167</t>
  </si>
  <si>
    <t>-495.845926505504 186.80603797452 667.793991715356</t>
  </si>
  <si>
    <t>-345.568136566185 174.402904995677 758.3823651403</t>
  </si>
  <si>
    <t>-534.077308071487 14.5890708141201 -225.703806824855</t>
  </si>
  <si>
    <t>-438.18849530536 -12.0972188287677 218.988065651295</t>
  </si>
  <si>
    <t>-590.302318971484 -112.377798495496 651.969950417278</t>
  </si>
  <si>
    <t>-433.487467472107 -132.332075823589 729.135007854519</t>
  </si>
  <si>
    <t>9763-20170724T164228.588514700.bin</t>
  </si>
  <si>
    <t>-516.841809472273 108.425346751884 -241.550821381339</t>
  </si>
  <si>
    <t>-556.485136492127 96.4349806053532 -355.359666142279</t>
  </si>
  <si>
    <t>-573.897922722648 78.421621180012 -473.946744522153</t>
  </si>
  <si>
    <t>-580.317333443127 59.7924153667658 -581.680585071248</t>
  </si>
  <si>
    <t>-577.481050362614 38.9145406898628 -689.155735832833</t>
  </si>
  <si>
    <t>-563.909500817306 7.62454019854812 -837.603579665925</t>
  </si>
  <si>
    <t>-563.68489175537 52.0866997127302 -777.804079290585</t>
  </si>
  <si>
    <t>-538.85654713641 197.04895194599 -778.889729840958</t>
  </si>
  <si>
    <t>-459.044428132991 304.961110224178 -492.23460015009</t>
  </si>
  <si>
    <t>-278.54439423726 166.070587373441 -366.650970510614</t>
  </si>
  <si>
    <t>-500.49746711654 203.335330635966 -257.008709655366</t>
  </si>
  <si>
    <t>-487.582858871328 204.194006181465 198.50213835556</t>
  </si>
  <si>
    <t>-495.839882272098 186.368084533554 667.946209705198</t>
  </si>
  <si>
    <t>-345.423490024559 174.748032060326 758.408390123649</t>
  </si>
  <si>
    <t>-533.007361278517 13.6396365483575 -225.506947680582</t>
  </si>
  <si>
    <t>-437.428631197766 -12.6237942455531 219.27688953322</t>
  </si>
  <si>
    <t>-590.412084035012 -112.31183567958 651.963958899849</t>
  </si>
  <si>
    <t>-433.539298659764 -132.890815744032 728.846590678309</t>
  </si>
  <si>
    <t>9763-20170724T164228.621602800.bin</t>
  </si>
  <si>
    <t>-516.309982307557 108.024343121062 -241.514163966177</t>
  </si>
  <si>
    <t>-556.015329428173 95.9774860932883 -355.29527065458</t>
  </si>
  <si>
    <t>-573.442811101842 77.8776472387547 -473.867017545074</t>
  </si>
  <si>
    <t>-579.85574210311 59.1577758844142 -581.58567560058</t>
  </si>
  <si>
    <t>-576.993190895528 38.1767399634015 -689.040043400127</t>
  </si>
  <si>
    <t>-563.365304680366 6.73040215350001 -837.449751433049</t>
  </si>
  <si>
    <t>-563.150534364415 51.2532221746659 -777.695251160394</t>
  </si>
  <si>
    <t>-538.442813693862 196.177874785264 -778.944134558333</t>
  </si>
  <si>
    <t>-460.525436571916 305.32776972415 -492.236274953784</t>
  </si>
  <si>
    <t>-281.37211544081 166.710033916572 -364.442554145668</t>
  </si>
  <si>
    <t>-500.03803562772 202.869759171395 -256.962325979287</t>
  </si>
  <si>
    <t>-487.448334742146 204.068486157536 198.556949665197</t>
  </si>
  <si>
    <t>-496.009851118826 186.681063196785 668.0550899235</t>
  </si>
  <si>
    <t>-345.507350934216 175.199285007182 758.391628534925</t>
  </si>
  <si>
    <t>-532.503440647308 13.3115521557665 -225.365347468384</t>
  </si>
  <si>
    <t>-436.916268370344 -12.7079221139694 219.430932954539</t>
  </si>
  <si>
    <t>-590.49081249617 -112.010031403055 651.964290496153</t>
  </si>
  <si>
    <t>-433.625211826118 -133.16278721217 728.705838568625</t>
  </si>
  <si>
    <t>9763-20170724T164228.690582100.bin</t>
  </si>
  <si>
    <t>-515.395330645329 106.99882532361 -241.057900236826</t>
  </si>
  <si>
    <t>-554.972467699594 94.7763146648371 -354.864979034607</t>
  </si>
  <si>
    <t>-572.255330827147 76.3969181511876 -473.414916926282</t>
  </si>
  <si>
    <t>-578.531617223828 57.388926352697 -581.091118425992</t>
  </si>
  <si>
    <t>-575.527401721412 36.0884864747074 -688.478738225766</t>
  </si>
  <si>
    <t>-561.697883732081 4.16936192056535 -836.768733172304</t>
  </si>
  <si>
    <t>-561.599673953548 48.888743614473 -777.160842793416</t>
  </si>
  <si>
    <t>-537.412793082266 193.932552581037 -779.096977291314</t>
  </si>
  <si>
    <t>-462.831440398788 308.490100294627 -493.61415493213</t>
  </si>
  <si>
    <t>-286.202369726475 170.26454240881 -361.940626449328</t>
  </si>
  <si>
    <t>-499.189780746758 201.594380813798 -256.441072657769</t>
  </si>
  <si>
    <t>-486.921256423815 203.435594479871 199.084798569486</t>
  </si>
  <si>
    <t>-496.710848259055 186.041593495932 668.976029887133</t>
  </si>
  <si>
    <t>-345.539690921572 175.065464130018 758.252678301421</t>
  </si>
  <si>
    <t>-531.401593726269 12.4962027465034 -224.945069529955</t>
  </si>
  <si>
    <t>-436.371881029695 -12.8258281298237 220.010849841466</t>
  </si>
  <si>
    <t>-590.576040924221 -112.129100931391 652.240760787636</t>
  </si>
  <si>
    <t>-433.506118916404 -133.625135338313 728.467154703948</t>
  </si>
  <si>
    <t>9763-20170724T164228.722666700.bin</t>
  </si>
  <si>
    <t>-515.173636059015 106.375889047189 -240.70430032311</t>
  </si>
  <si>
    <t>-554.81958413537 94.1677830595162 -354.489044270652</t>
  </si>
  <si>
    <t>-572.13607232765 75.6791450302146 -473.017057581314</t>
  </si>
  <si>
    <t>-578.428188298493 56.5210376931141 -580.665704703652</t>
  </si>
  <si>
    <t>-575.425782491645 35.0184573797411 -688.01313840044</t>
  </si>
  <si>
    <t>-561.585093493621 2.76407694251104 -836.229483709339</t>
  </si>
  <si>
    <t>-561.492418394557 47.6182881901053 -776.723169435985</t>
  </si>
  <si>
    <t>-537.449983994816 192.660232688928 -779.083433511746</t>
  </si>
  <si>
    <t>-465.339804484724 310.590560412992 -494.34007159002</t>
  </si>
  <si>
    <t>-289.270517870899 173.303959939143 -360.945806552881</t>
  </si>
  <si>
    <t>-499.165070258695 201.06680133696 -255.974298450995</t>
  </si>
  <si>
    <t>-486.854006954316 203.195986030287 199.549104318129</t>
  </si>
  <si>
    <t>-497.205870165802 186.028600187758 669.416994454145</t>
  </si>
  <si>
    <t>-345.71394841552 174.847383184258 758.122639708531</t>
  </si>
  <si>
    <t>-531.086190584975 11.8274350048562 -224.669560768507</t>
  </si>
  <si>
    <t>-436.296887574119 -12.9502446478727 220.368402193515</t>
  </si>
  <si>
    <t>-590.527190693454 -112.352012890834 652.435984033535</t>
  </si>
  <si>
    <t>-433.316753552089 -133.402767848943 728.496853284401</t>
  </si>
  <si>
    <t>9763-20170724T164228.789404800.bin</t>
  </si>
  <si>
    <t>-514.862799332977 105.462179304107 -240.169431973283</t>
  </si>
  <si>
    <t>-554.445151263048 93.0993495764941 -353.959585306032</t>
  </si>
  <si>
    <t>-571.736987771801 74.1894094154813 -472.424659745545</t>
  </si>
  <si>
    <t>-578.025111731912 54.5421089411232 -579.985385212942</t>
  </si>
  <si>
    <t>-575.038736691224 32.4417103538832 -687.21173362734</t>
  </si>
  <si>
    <t>-561.199075794374 44.4876508544632 -776.013221263273</t>
  </si>
  <si>
    <t>-537.985379801962 189.642887830678 -779.450466568469</t>
  </si>
  <si>
    <t>-470.848738546004 313.158158013129 -495.861290502856</t>
  </si>
  <si>
    <t>-293.828641456829 177.230951944478 -362.333302218241</t>
  </si>
  <si>
    <t>-499.035296840957 199.874253174459 -255.518054289833</t>
  </si>
  <si>
    <t>-486.389610119995 202.674821034689 199.992538608425</t>
  </si>
  <si>
    <t>-497.459780849451 186.056765390813 669.595255321232</t>
  </si>
  <si>
    <t>-345.744580088133 175.465035087377 757.991133625351</t>
  </si>
  <si>
    <t>-530.497194741308 11.1103311214579 -224.212501410737</t>
  </si>
  <si>
    <t>-436.058626533446 -12.8213441782272 220.946209746973</t>
  </si>
  <si>
    <t>-590.489716494221 -111.882824721951 652.834222819898</t>
  </si>
  <si>
    <t>-433.264890940285 -133.059387712466 728.83041510023</t>
  </si>
  <si>
    <t>9763-20170724T164228.823504600.bin</t>
  </si>
  <si>
    <t>-514.665429421966 104.936943104011 -240.05336007801</t>
  </si>
  <si>
    <t>-554.310178784281 92.5131099616719 -353.815102177213</t>
  </si>
  <si>
    <t>-571.611617947476 73.3997473467086 -472.246162512966</t>
  </si>
  <si>
    <t>-577.886272869135 53.5138697859921 -579.763658269683</t>
  </si>
  <si>
    <t>-574.864579626207 31.1219769303701 -686.928654525297</t>
  </si>
  <si>
    <t>-561.042814636017 42.9031740055269 -775.768505253967</t>
  </si>
  <si>
    <t>-538.342243688408 188.115827050535 -779.746734979492</t>
  </si>
  <si>
    <t>-473.207314044268 314.580239500845 -496.991785091344</t>
  </si>
  <si>
    <t>-295.915210185341 179.168486545754 -363.300902470405</t>
  </si>
  <si>
    <t>-498.990786000411 199.376587865534 -255.491454769026</t>
  </si>
  <si>
    <t>-486.083541171402 202.468585937379 200.009909602944</t>
  </si>
  <si>
    <t>-497.424305226746 186.161701171883 669.540145550709</t>
  </si>
  <si>
    <t>-345.781339767836 175.312328952053 758.028661454231</t>
  </si>
  <si>
    <t>-530.127585205046 10.5663219234355 -224.093314842275</t>
  </si>
  <si>
    <t>-435.905047325931 -12.8394554951537 221.139096742349</t>
  </si>
  <si>
    <t>-590.457263045672 -111.933262551155 653.036025935414</t>
  </si>
  <si>
    <t>-433.25475914789 -133.187626249915 729.056664813753</t>
  </si>
  <si>
    <t>9763-20170724T164228.891188400.bin</t>
  </si>
  <si>
    <t>-514.378210265421 103.647427619347 -239.931483396811</t>
  </si>
  <si>
    <t>-554.112063050411 91.0447487915207 -353.642493853598</t>
  </si>
  <si>
    <t>-571.497025698545 71.4695388867779 -471.985807902891</t>
  </si>
  <si>
    <t>-577.844371458607 51.0556885712817 -579.400148609753</t>
  </si>
  <si>
    <t>-574.893213182248 28.027919908637 -686.432184597027</t>
  </si>
  <si>
    <t>-561.205931353069 39.2247365025742 -775.368409148055</t>
  </si>
  <si>
    <t>-539.145346841845 184.524007393966 -780.580335928228</t>
  </si>
  <si>
    <t>-476.688234525319 316.212625227987 -499.611673025711</t>
  </si>
  <si>
    <t>-298.916416020472 181.222507295765 -366.131606327543</t>
  </si>
  <si>
    <t>-498.976820204873 197.983800271506 -255.527096286746</t>
  </si>
  <si>
    <t>-485.50199726882 201.710716015268 199.953108772859</t>
  </si>
  <si>
    <t>-497.255858079365 185.98717226593 669.50845602409</t>
  </si>
  <si>
    <t>-345.63823509727 175.84291939017 758.123897528529</t>
  </si>
  <si>
    <t>-529.677084302712 9.35950801097391 -223.766017526011</t>
  </si>
  <si>
    <t>-435.465612526172 -13.2836159846611 221.508214722766</t>
  </si>
  <si>
    <t>-590.388938385377 -112.175243308398 653.336384912195</t>
  </si>
  <si>
    <t>-433.197210188144 -133.139304150726 729.459799159958</t>
  </si>
  <si>
    <t>9763-20170724T164228.924267400.bin</t>
  </si>
  <si>
    <t>-514.419744995652 102.851496213646 -239.982749603261</t>
  </si>
  <si>
    <t>-554.20087455063 90.1628194885004 -353.667832813794</t>
  </si>
  <si>
    <t>-571.674844217274 70.3476874867036 -471.957950130056</t>
  </si>
  <si>
    <t>-578.119756146641 49.6551479692349 -579.31320575135</t>
  </si>
  <si>
    <t>-575.283496669919 26.2873433338053 -686.274645448746</t>
  </si>
  <si>
    <t>-561.725052222547 37.1649045827751 -775.270172534209</t>
  </si>
  <si>
    <t>-539.853679616282 182.455927203044 -781.073974101777</t>
  </si>
  <si>
    <t>-478.108776913092 315.565427069953 -500.617887164218</t>
  </si>
  <si>
    <t>-300.041801742632 181.240386910946 -366.860627625999</t>
  </si>
  <si>
    <t>-499.137417268184 197.142997619692 -255.566936605558</t>
  </si>
  <si>
    <t>-485.340490065139 201.115365654002 199.901458362324</t>
  </si>
  <si>
    <t>-497.091392977801 185.518962872103 669.481402315756</t>
  </si>
  <si>
    <t>-345.430608655596 176.310651442962 758.125076704061</t>
  </si>
  <si>
    <t>-529.588642254003 8.56394681870495 -223.802285495551</t>
  </si>
  <si>
    <t>-435.582429492641 -13.6679438375677 221.536035174013</t>
  </si>
  <si>
    <t>-590.332026103084 -112.587078270117 653.504904462924</t>
  </si>
  <si>
    <t>-433.063957326551 -133.080688229612 729.598699066658</t>
  </si>
  <si>
    <t>9763-20170724T164228.988987800.bin</t>
  </si>
  <si>
    <t>-515.052257878916 101.821643423166 -240.286900070052</t>
  </si>
  <si>
    <t>-554.716629494056 89.0205782057261 -354.000077115154</t>
  </si>
  <si>
    <t>-572.267875101708 68.8447875022522 -472.217965707978</t>
  </si>
  <si>
    <t>-578.865773227297 47.7231485804709 -579.480181856882</t>
  </si>
  <si>
    <t>-576.267080312593 23.8211721600259 -686.32949947703</t>
  </si>
  <si>
    <t>-563.003462348761 34.1903003757064 -775.430114114723</t>
  </si>
  <si>
    <t>-540.795970587379 179.407935844711 -781.717198786085</t>
  </si>
  <si>
    <t>-479.072134825671 313.439618791672 -501.696104920284</t>
  </si>
  <si>
    <t>-300.530330121021 181.483135231611 -366.225137533528</t>
  </si>
  <si>
    <t>-499.931732926559 196.281518283451 -255.842908157182</t>
  </si>
  <si>
    <t>-485.401307508895 200.640332178736 199.599280703191</t>
  </si>
  <si>
    <t>-496.936928875932 185.958110090888 669.200128380949</t>
  </si>
  <si>
    <t>-345.519168953109 176.069812047565 758.185511818176</t>
  </si>
  <si>
    <t>-530.092973712968 7.45205861987411 -224.126261998272</t>
  </si>
  <si>
    <t>-436.636956967925 -14.2179323917946 221.355631383412</t>
  </si>
  <si>
    <t>-590.351501483902 -112.425481333357 653.840005490313</t>
  </si>
  <si>
    <t>-433.047570430587 -132.741855856441 729.907346381846</t>
  </si>
  <si>
    <t>9763-20170724T164229.055295000.bin</t>
  </si>
  <si>
    <t>-516.25395955185 100.627627339836 -240.965220297526</t>
  </si>
  <si>
    <t>-555.832870789537 87.7410927851702 -354.698479486904</t>
  </si>
  <si>
    <t>-573.342773789651 67.4029112613939 -472.89454375162</t>
  </si>
  <si>
    <t>-579.924632038986 46.098524012451 -580.121825069364</t>
  </si>
  <si>
    <t>-577.33320762235 21.9739706281056 -686.92134771709</t>
  </si>
  <si>
    <t>-564.207090176062 32.1479416124466 -776.064809244554</t>
  </si>
  <si>
    <t>-541.764002448493 177.334335844768 -782.03766056389</t>
  </si>
  <si>
    <t>-475.377792059155 308.238383815703 -501.603652575674</t>
  </si>
  <si>
    <t>-296.249774213607 181.742023240064 -361.768447681161</t>
  </si>
  <si>
    <t>-501.474998343864 195.29069307321 -256.384619428717</t>
  </si>
  <si>
    <t>-485.528301940012 199.970080770412 199.006914372724</t>
  </si>
  <si>
    <t>-496.515138542025 185.953404093993 668.669740011581</t>
  </si>
  <si>
    <t>-345.4199135885 175.813647116513 758.17348076622</t>
  </si>
  <si>
    <t>-530.882249302714 5.97781639928451 -225.006603791503</t>
  </si>
  <si>
    <t>-438.019967631024 -15.5027372214445 220.608461130812</t>
  </si>
  <si>
    <t>-589.709349349348 -113.257943447795 653.902141356838</t>
  </si>
  <si>
    <t>-432.954363037754 -131.589950099283 731.589441314932</t>
  </si>
  <si>
    <t>9763-20170724T164229.094404100.bin</t>
  </si>
  <si>
    <t>-517.064327919813 100.031603864455 -241.258474138649</t>
  </si>
  <si>
    <t>-556.677042941619 87.1092125980806 -354.975870327635</t>
  </si>
  <si>
    <t>-574.181695616663 66.7292013624246 -473.165476562864</t>
  </si>
  <si>
    <t>-580.742406266077 45.3853524091892 -580.38618006264</t>
  </si>
  <si>
    <t>-578.113759530306 21.2197493642615 -687.175493658009</t>
  </si>
  <si>
    <t>-565.044639050432 31.373997876909 -776.329555485166</t>
  </si>
  <si>
    <t>-542.916134686134 176.626627091702 -782.356321264488</t>
  </si>
  <si>
    <t>-472.392579333573 304.301091571566 -501.443724042646</t>
  </si>
  <si>
    <t>-292.76645851504 184.300600031394 -356.611474505696</t>
  </si>
  <si>
    <t>-502.570770650301 194.772819460771 -256.602364359701</t>
  </si>
  <si>
    <t>-485.781591695969 199.593288719612 198.75738653167</t>
  </si>
  <si>
    <t>-496.354366013846 185.945118807271 668.475485865649</t>
  </si>
  <si>
    <t>-345.339026007879 176.096670184122 758.146485138451</t>
  </si>
  <si>
    <t>-531.409729973543 5.2438437398837 -225.356469061139</t>
  </si>
  <si>
    <t>-438.661750086531 -16.257805780511 220.281432020112</t>
  </si>
  <si>
    <t>-589.452850098188 -113.776056927153 654.194709007974</t>
  </si>
  <si>
    <t>-433.26965061827 -131.988922490551 733.052813893191</t>
  </si>
  <si>
    <t>9763-20170724T164229.122478400.bin</t>
  </si>
  <si>
    <t>-517.816778795455 99.2795665612612 -241.306741521919</t>
  </si>
  <si>
    <t>-557.418762427481 86.2980879899614 -355.021176432833</t>
  </si>
  <si>
    <t>-574.93897948501 65.843831485796 -473.195719478639</t>
  </si>
  <si>
    <t>-581.524856587298 44.427028878547 -580.400200531902</t>
  </si>
  <si>
    <t>-578.932541591723 20.1823146530033 -687.172506856819</t>
  </si>
  <si>
    <t>-565.967932493098 30.2764467343696 -776.348695621027</t>
  </si>
  <si>
    <t>-543.918973531908 175.533961024875 -782.403102069709</t>
  </si>
  <si>
    <t>-468.695630932484 301.52234713916 -501.948831269982</t>
  </si>
  <si>
    <t>-287.604930417155 192.675662363704 -350.289394479771</t>
  </si>
  <si>
    <t>-503.573538063564 194.250303396105 -256.662821917972</t>
  </si>
  <si>
    <t>-486.285778366261 199.249091002553 198.676437084466</t>
  </si>
  <si>
    <t>-496.324097388278 186.147936884774 668.407103486514</t>
  </si>
  <si>
    <t>-345.347602784794 176.130400339123 758.124841246028</t>
  </si>
  <si>
    <t>-531.860369391697 4.2652803587136 -225.330579092465</t>
  </si>
  <si>
    <t>-438.950432174124 -17.141708061099 220.278214571467</t>
  </si>
  <si>
    <t>-589.388047949392 -114.317426344365 654.592547321834</t>
  </si>
  <si>
    <t>-433.324110748444 -131.574610003623 733.900500692477</t>
  </si>
  <si>
    <t>9763-20170724T164229.192681600.bin</t>
  </si>
  <si>
    <t>-519.123763001319 98.5056105410316 -241.145899527407</t>
  </si>
  <si>
    <t>-558.691307128097 85.2701910070922 -354.843120464989</t>
  </si>
  <si>
    <t>-576.211444441203 64.4877236595505 -472.960292758312</t>
  </si>
  <si>
    <t>-582.813467012486 42.7430188687767 -580.097680058067</t>
  </si>
  <si>
    <t>-580.254835869583 18.1379653417924 -686.788414549272</t>
  </si>
  <si>
    <t>-567.37778818614 27.9149796974261 -776.012571294801</t>
  </si>
  <si>
    <t>-545.074639294291 173.127885025784 -782.64608986567</t>
  </si>
  <si>
    <t>-461.514846722527 296.039310704811 -503.188126596892</t>
  </si>
  <si>
    <t>-275.185636886657 206.363414299133 -345.448777495787</t>
  </si>
  <si>
    <t>-505.21522643488 193.539344116234 -256.647969940909</t>
  </si>
  <si>
    <t>-487.93015097852 198.950623852815 198.686627893093</t>
  </si>
  <si>
    <t>-496.372922824045 186.560196248469 668.396752327557</t>
  </si>
  <si>
    <t>-345.34304044663 176.308640756115 757.998157062221</t>
  </si>
  <si>
    <t>-532.854598846327 3.62788482375619 -224.963095731448</t>
  </si>
  <si>
    <t>-439.253147398622 -17.5898022090182 220.509943842296</t>
  </si>
  <si>
    <t>-589.680143446781 -113.430834893705 654.99620542411</t>
  </si>
  <si>
    <t>-433.828815246957 -132.462781762649 734.31617088351</t>
  </si>
  <si>
    <t>9763-20170724T164229.225783200.bin</t>
  </si>
  <si>
    <t>-519.537726532451 98.0933466752283 -240.96436755597</t>
  </si>
  <si>
    <t>-559.023873784508 84.7337422271756 -354.675329726497</t>
  </si>
  <si>
    <t>-576.569398397123 63.7786117649849 -472.758320721293</t>
  </si>
  <si>
    <t>-583.240451386326 41.8562601368135 -579.855237176092</t>
  </si>
  <si>
    <t>-580.797479687032 17.0505656358785 -686.502088339426</t>
  </si>
  <si>
    <t>-568.034116034507 26.6408743372018 -775.762921815058</t>
  </si>
  <si>
    <t>-545.512044515473 171.775353236396 -782.664742833513</t>
  </si>
  <si>
    <t>-458.388734313543 293.950481020374 -503.973223486141</t>
  </si>
  <si>
    <t>-268.522435116603 212.099838656184 -346.197229935943</t>
  </si>
  <si>
    <t>-505.754470564494 193.242147502917 -256.598169044743</t>
  </si>
  <si>
    <t>-488.611697409439 198.885317577204 198.738978030357</t>
  </si>
  <si>
    <t>-496.38520257988 186.69058492686 668.435455931867</t>
  </si>
  <si>
    <t>-345.373301892611 175.673394356311 757.976233264012</t>
  </si>
  <si>
    <t>-533.065678883412 3.14391321247012 -224.698137855898</t>
  </si>
  <si>
    <t>-439.027987864886 -17.9036257569187 220.691115265709</t>
  </si>
  <si>
    <t>-589.726570109199 -113.574613125141 655.132743467011</t>
  </si>
  <si>
    <t>-433.765504812614 -132.182576052217 734.337598601474</t>
  </si>
  <si>
    <t>9763-20170724T164229.289955200.bin</t>
  </si>
  <si>
    <t>-519.417660388714 97.3203055279203 -240.7385011916</t>
  </si>
  <si>
    <t>-558.999795911737 83.8164801423988 -354.399030959634</t>
  </si>
  <si>
    <t>-576.740294197604 62.6433067575177 -472.414049392664</t>
  </si>
  <si>
    <t>-583.627512470661 40.494698030596 -579.450727134427</t>
  </si>
  <si>
    <t>-581.439698748304 15.4339271844738 -686.043581860814</t>
  </si>
  <si>
    <t>-568.887244951673 24.7866421960075 -775.359422523928</t>
  </si>
  <si>
    <t>-546.209692031969 169.899950911229 -782.653840454289</t>
  </si>
  <si>
    <t>-455.19249237376 291.365580409361 -504.898332609025</t>
  </si>
  <si>
    <t>-262.764210692478 212.702557652561 -348.611555861776</t>
  </si>
  <si>
    <t>-505.755407732242 192.4315644054 -256.480358886703</t>
  </si>
  <si>
    <t>-488.943005843542 198.452742255854 198.864357965353</t>
  </si>
  <si>
    <t>-496.458459675108 186.726972093197 668.607432688249</t>
  </si>
  <si>
    <t>-345.308684514718 176.054542916554 757.957114554437</t>
  </si>
  <si>
    <t>-532.819404335099 2.45988095289037 -224.348059498647</t>
  </si>
  <si>
    <t>-438.557307420145 -18.4522847615197 221.000113181028</t>
  </si>
  <si>
    <t>-589.874270189584 -113.695627419634 655.28956844285</t>
  </si>
  <si>
    <t>-433.604693324538 -132.236864316755 733.899657085622</t>
  </si>
  <si>
    <t>9763-20170724T164229.323043400.bin</t>
  </si>
  <si>
    <t>-519.199600878901 97.2508031304764 -240.637515510398</t>
  </si>
  <si>
    <t>-558.794455283191 83.7062329982888 -354.288664404715</t>
  </si>
  <si>
    <t>-576.55997793037 62.4316297070017 -472.281760760605</t>
  </si>
  <si>
    <t>-583.474456078441 40.168375269762 -579.292938973778</t>
  </si>
  <si>
    <t>-581.318823657405 14.9711768983567 -685.854092310435</t>
  </si>
  <si>
    <t>-568.776118655203 24.1923238283178 -775.18507417671</t>
  </si>
  <si>
    <t>-545.840442920637 169.27961714105 -782.659785355219</t>
  </si>
  <si>
    <t>-454.733297657562 290.291870962235 -504.735928670177</t>
  </si>
  <si>
    <t>-261.541600627015 212.935097184718 -348.739127081583</t>
  </si>
  <si>
    <t>-505.534947166415 192.207848000977 -256.417967081226</t>
  </si>
  <si>
    <t>-488.715611707588 198.391202620972 198.924258938215</t>
  </si>
  <si>
    <t>-496.491947859823 186.790177687095 668.676351850201</t>
  </si>
  <si>
    <t>-345.272612015107 176.608712724979 757.965463641314</t>
  </si>
  <si>
    <t>-532.659563099201 2.53035423875593 -224.160302935717</t>
  </si>
  <si>
    <t>-438.356968876621 -18.1930903881886 221.188139899271</t>
  </si>
  <si>
    <t>-590.097728562772 -113.1561790383 655.358570015048</t>
  </si>
  <si>
    <t>-433.649355823431 -132.860469049647 733.32741354035</t>
  </si>
  <si>
    <t>9763-20170724T164229.369026800.bin</t>
  </si>
  <si>
    <t>-519.02346694668 97.0175277452284 -240.482499775003</t>
  </si>
  <si>
    <t>-558.703614281043 83.4573512680289 -354.102124580505</t>
  </si>
  <si>
    <t>-576.526133148213 62.1022623876417 -472.071959893309</t>
  </si>
  <si>
    <t>-583.479943183993 39.7403908140119 -579.059929486718</t>
  </si>
  <si>
    <t>-581.351198042276 14.4195009995081 -685.592443140094</t>
  </si>
  <si>
    <t>-568.787489972758 23.5150417891634 -774.933310698509</t>
  </si>
  <si>
    <t>-545.600560141533 168.52298078089 -782.479864480391</t>
  </si>
  <si>
    <t>-455.154985463453 289.093072973537 -504.147978029996</t>
  </si>
  <si>
    <t>-262.626642562115 210.907468457917 -347.744885575236</t>
  </si>
  <si>
    <t>-505.339503095101 191.999191518557 -256.337841239938</t>
  </si>
  <si>
    <t>-488.39317289668 198.342657384366 198.997504773735</t>
  </si>
  <si>
    <t>-496.571486103423 187.013022052604 668.726335797849</t>
  </si>
  <si>
    <t>-345.360281643714 176.658585494679 758.00938948586</t>
  </si>
  <si>
    <t>-532.564367242031 2.17993101650811 -223.972963693594</t>
  </si>
  <si>
    <t>-438.201807038315 -18.2014481041949 221.378534225828</t>
  </si>
  <si>
    <t>-590.222155244837 -113.131862156106 655.427461993322</t>
  </si>
  <si>
    <t>-433.442270114235 -132.466066674351 732.821095315821</t>
  </si>
  <si>
    <t>9763-20170724T164229.423176800.bin</t>
  </si>
  <si>
    <t>-518.938566858581 96.2432397345278 -240.367658667869</t>
  </si>
  <si>
    <t>-558.740880673648 82.7099930781424 -353.947689738783</t>
  </si>
  <si>
    <t>-576.629951881046 61.3487781100729 -471.906375134275</t>
  </si>
  <si>
    <t>-583.619429618102 38.9691195845961 -578.888265669346</t>
  </si>
  <si>
    <t>-581.501136740662 13.6193845048971 -685.414089584834</t>
  </si>
  <si>
    <t>-568.888768080246 22.6777690846018 -774.751962783916</t>
  </si>
  <si>
    <t>-545.664544468779 167.697237255868 -782.290937568695</t>
  </si>
  <si>
    <t>-457.809256088834 287.061771581202 -502.612899657026</t>
  </si>
  <si>
    <t>-266.841126907661 205.321536884138 -346.114453219299</t>
  </si>
  <si>
    <t>-505.044340978094 191.163500093218 -256.235751451883</t>
  </si>
  <si>
    <t>-487.696376017644 197.836184172708 199.079722765771</t>
  </si>
  <si>
    <t>-496.523724273946 186.833124562075 668.776892499486</t>
  </si>
  <si>
    <t>-345.299974429023 176.858031050925 758.081934139957</t>
  </si>
  <si>
    <t>-532.683849687684 1.42300160733853 -223.824463770396</t>
  </si>
  <si>
    <t>-438.253080530957 -18.5935015394215 221.529183259177</t>
  </si>
  <si>
    <t>-590.400211720205 -113.2509429791 655.605842203879</t>
  </si>
  <si>
    <t>-433.273336408785 -132.505962416976 732.312337015027</t>
  </si>
  <si>
    <t>9763-20170724T164229.492897600.bin</t>
  </si>
  <si>
    <t>-519.007891961552 95.8481359338911 -240.273118639274</t>
  </si>
  <si>
    <t>-558.882425770588 82.4029996032398 -353.838359755279</t>
  </si>
  <si>
    <t>-576.898292475653 61.096600165814 -471.787599349594</t>
  </si>
  <si>
    <t>-584.022160446444 38.7570746693176 -578.769194765045</t>
  </si>
  <si>
    <t>-582.05618126372 13.4406993202367 -685.305905673186</t>
  </si>
  <si>
    <t>-569.579042611793 22.5238513279607 -774.660062481713</t>
  </si>
  <si>
    <t>-546.686435756984 167.578118851774 -782.17461499429</t>
  </si>
  <si>
    <t>-461.864256976063 283.824450903912 -500.255962353659</t>
  </si>
  <si>
    <t>-270.831424250883 199.105715733084 -345.429490558413</t>
  </si>
  <si>
    <t>-504.974904569244 190.787046968811 -256.167652739069</t>
  </si>
  <si>
    <t>-487.510969045261 197.771733865065 199.138718306953</t>
  </si>
  <si>
    <t>-496.585894074445 187.143186351863 668.803743763732</t>
  </si>
  <si>
    <t>-345.469239884389 176.112799296982 758.165899713558</t>
  </si>
  <si>
    <t>-532.921479927746 1.06922653957393 -223.706113589086</t>
  </si>
  <si>
    <t>-438.337897780452 -18.747048114281 221.624049100887</t>
  </si>
  <si>
    <t>-590.580559120165 -113.124355363288 655.75919907774</t>
  </si>
  <si>
    <t>-433.36568249501 -133.426609572737 732.014159500853</t>
  </si>
  <si>
    <t>9763-20170724T164229.519968700.bin</t>
  </si>
  <si>
    <t>-519.062634213016 95.42692165101 -240.280472024893</t>
  </si>
  <si>
    <t>-558.893561854226 81.9955968311991 -353.862724481634</t>
  </si>
  <si>
    <t>-576.891929170654 60.7427410109811 -471.824268064284</t>
  </si>
  <si>
    <t>-584.010428940581 38.4694408437331 -578.820008061416</t>
  </si>
  <si>
    <t>-582.048987595238 13.2379660818688 -685.376838009584</t>
  </si>
  <si>
    <t>-569.593278712244 22.407002632777 -774.725378313978</t>
  </si>
  <si>
    <t>-546.699775069709 167.47115550307 -782.089431935527</t>
  </si>
  <si>
    <t>-463.443116241581 282.323417835122 -499.134528942879</t>
  </si>
  <si>
    <t>-269.40877959142 204.693898042888 -344.323677572192</t>
  </si>
  <si>
    <t>-504.961350943218 190.34926999633 -256.183219459228</t>
  </si>
  <si>
    <t>-487.50243155827 197.482438766492 199.12110717635</t>
  </si>
  <si>
    <t>-496.54096897155 187.03213257669 668.778463361316</t>
  </si>
  <si>
    <t>-345.427043353611 176.244103953026 758.174797207158</t>
  </si>
  <si>
    <t>-532.96450247402 0.559541584126144 -223.741162385266</t>
  </si>
  <si>
    <t>-438.447166583335 -19.0823316654151 221.610699644335</t>
  </si>
  <si>
    <t>-590.594010688322 -113.267302155956 655.79927856054</t>
  </si>
  <si>
    <t>-433.270297605355 -133.152958771022 731.939332809987</t>
  </si>
  <si>
    <t>9763-20170724T164229.593291600.bin</t>
  </si>
  <si>
    <t>-519.355031752358 95.0542433874584 -240.287792524265</t>
  </si>
  <si>
    <t>-559.346823431711 81.6726289785939 -353.819208693223</t>
  </si>
  <si>
    <t>-577.400949734605 60.5494564842469 -471.795654064567</t>
  </si>
  <si>
    <t>-584.520849277478 38.4362614331698 -578.824454966236</t>
  </si>
  <si>
    <t>-582.508988581872 13.414056025154 -685.429697012091</t>
  </si>
  <si>
    <t>-570.076226148877 22.8098978859661 -774.757803009872</t>
  </si>
  <si>
    <t>-547.472898018495 167.945533931095 -781.678497316021</t>
  </si>
  <si>
    <t>-466.266994048481 279.346043198262 -496.754380379084</t>
  </si>
  <si>
    <t>-261.613712683307 227.386545849205 -344.9013954654</t>
  </si>
  <si>
    <t>-505.240022731401 189.907335517045 -256.210099670374</t>
  </si>
  <si>
    <t>-487.275220220161 197.229951031511 199.071558798539</t>
  </si>
  <si>
    <t>-496.507171138063 187.041484645424 668.78392676681</t>
  </si>
  <si>
    <t>-345.427335415986 176.003505817991 758.207343163569</t>
  </si>
  <si>
    <t>-533.373184558487 0.32792185597431 -223.709192827658</t>
  </si>
  <si>
    <t>-438.455028438851 -19.2424140041108 221.560633885523</t>
  </si>
  <si>
    <t>-590.644711855858 -113.029912669851 655.8298933425</t>
  </si>
  <si>
    <t>-433.500090838692 -133.774783860943 732.110522951597</t>
  </si>
  <si>
    <t>9763-20170724T164229.624393400.bin</t>
  </si>
  <si>
    <t>-519.570423329482 94.6562945443718 -240.275683008243</t>
  </si>
  <si>
    <t>-559.635033702952 81.3060413438046 -353.785160416607</t>
  </si>
  <si>
    <t>-577.723994160081 60.2545484271854 -471.768980597791</t>
  </si>
  <si>
    <t>-584.856831847676 38.2282063786865 -578.814966689199</t>
  </si>
  <si>
    <t>-582.837817529163 13.3182515366066 -685.446291223353</t>
  </si>
  <si>
    <t>-570.460050579236 22.8380788536825 -774.768782337418</t>
  </si>
  <si>
    <t>-548.213712370103 168.037297886481 -781.45691810963</t>
  </si>
  <si>
    <t>-466.758715954658 277.652638575301 -495.912188700952</t>
  </si>
  <si>
    <t>-255.453322004337 240.940295818233 -348.79224094691</t>
  </si>
  <si>
    <t>-505.48856722761 189.536420707263 -256.180508488491</t>
  </si>
  <si>
    <t>-487.18285943058 196.87495204125 199.087199918916</t>
  </si>
  <si>
    <t>-496.362994152377 186.539721646141 668.766029779169</t>
  </si>
  <si>
    <t>-345.244704829266 176.186240686862 758.206413538018</t>
  </si>
  <si>
    <t>-438.486982951167 -19.6231487634102 221.524799462121</t>
  </si>
  <si>
    <t>-590.603504034464 -113.48894743561 655.841751842728</t>
  </si>
  <si>
    <t>-433.300581901543 -133.182891208387 732.074589378678</t>
  </si>
  <si>
    <t>9763-20170724T164229.686572200.bin</t>
  </si>
  <si>
    <t>-520.272537899109 94.2110402897948 -240.384270242236</t>
  </si>
  <si>
    <t>-560.274232291536 80.80555833829 -353.909565027231</t>
  </si>
  <si>
    <t>-578.374413919211 59.8464282963551 -471.907954734964</t>
  </si>
  <si>
    <t>-585.546498358919 37.9689000287701 -578.981860363645</t>
  </si>
  <si>
    <t>-583.59381351341 13.2749257867553 -685.664645664632</t>
  </si>
  <si>
    <t>-571.443228728477 23.0437739916348 -774.99163104029</t>
  </si>
  <si>
    <t>-549.998819116568 168.372201777854 -781.386834247795</t>
  </si>
  <si>
    <t>-466.262800390464 272.701130884069 -494.524516013335</t>
  </si>
  <si>
    <t>-243.226341365438 261.726577467965 -361.196555059196</t>
  </si>
  <si>
    <t>-506.413204741031 189.240080260412 -256.232478726116</t>
  </si>
  <si>
    <t>-487.468531244034 196.69280781037 199.007243597312</t>
  </si>
  <si>
    <t>-496.350629314862 186.767379577406 668.704982204025</t>
  </si>
  <si>
    <t>-345.298894889192 175.965117420316 758.204705773778</t>
  </si>
  <si>
    <t>-438.847713721827 -19.8717327749758 221.320492158346</t>
  </si>
  <si>
    <t>-590.513957091263 -113.603853442214 655.798847825818</t>
  </si>
  <si>
    <t>-433.304455288746 -132.795495743243 732.351954181468</t>
  </si>
  <si>
    <t>9763-20170724T164229.722702000.bin</t>
  </si>
  <si>
    <t>-520.649015119074 94.2442932324038 -240.403816255268</t>
  </si>
  <si>
    <t>-560.702348294698 80.8210904402775 -353.908669055701</t>
  </si>
  <si>
    <t>-578.898006333228 59.9248799442545 -471.903792412021</t>
  </si>
  <si>
    <t>-586.172398963778 38.1398893642337 -578.989455572054</t>
  </si>
  <si>
    <t>-584.336559976194 13.5754900509201 -685.704432293103</t>
  </si>
  <si>
    <t>-572.373451559296 23.489418631318 -775.040504446573</t>
  </si>
  <si>
    <t>-551.160590217019 168.858864960379 -781.184255818906</t>
  </si>
  <si>
    <t>-465.583181391184 270.954704249538 -494.062111851734</t>
  </si>
  <si>
    <t>-238.81265021205 268.459904175876 -366.739744263546</t>
  </si>
  <si>
    <t>-506.964364411269 189.359079950449 -256.230908806415</t>
  </si>
  <si>
    <t>-487.852833297836 196.808400371525 199.001905552874</t>
  </si>
  <si>
    <t>-496.392801491446 187.046071272791 668.676537177293</t>
  </si>
  <si>
    <t>-345.365806869898 175.951063167381 758.182214757177</t>
  </si>
  <si>
    <t>-438.961501650067 -19.8336175438257 221.282240481975</t>
  </si>
  <si>
    <t>-590.519969711345 -113.465649975619 655.791545183402</t>
  </si>
  <si>
    <t>-433.346638127285 -132.596862777736 732.433907352382</t>
  </si>
  <si>
    <t>9763-20170724T164229.786442800.bin</t>
  </si>
  <si>
    <t>-521.350956710328 94.198783260846 -240.428638496196</t>
  </si>
  <si>
    <t>-561.408505856262 80.6378406125839 -353.915686250831</t>
  </si>
  <si>
    <t>-579.642505205448 59.7901977871909 -471.91334349621</t>
  </si>
  <si>
    <t>-586.964703821759 38.1263300068464 -579.020330781427</t>
  </si>
  <si>
    <t>-585.189057139696 13.7599564550204 -685.781779334735</t>
  </si>
  <si>
    <t>-573.4104098903 23.9072098839934 -775.11612448285</t>
  </si>
  <si>
    <t>-552.76747967929 169.371486780335 -780.918862544564</t>
  </si>
  <si>
    <t>-462.931136304065 267.733645809846 -493.794275803939</t>
  </si>
  <si>
    <t>-234.870718697437 273.429976767074 -368.902153650642</t>
  </si>
  <si>
    <t>-507.938343875034 189.251086955165 -256.272801687956</t>
  </si>
  <si>
    <t>-488.508551832954 196.732505446569 198.94603118129</t>
  </si>
  <si>
    <t>-496.295417214656 186.813630742561 668.665857512576</t>
  </si>
  <si>
    <t>-345.160576596149 176.585100887059 758.092649104354</t>
  </si>
  <si>
    <t>-439.083870778556 -19.721286263433 221.202157094073</t>
  </si>
  <si>
    <t>-590.477674434412 -113.703285177713 655.771035160567</t>
  </si>
  <si>
    <t>-433.417697432464 -133.482402038244 732.481211273239</t>
  </si>
  <si>
    <t>9763-20170724T164229.825550200.bin</t>
  </si>
  <si>
    <t>-521.596239961011 94.1668153250449 -240.454964182074</t>
  </si>
  <si>
    <t>-561.674814095991 80.5496508124478 -353.927808837011</t>
  </si>
  <si>
    <t>-579.918689081073 59.702759611224 -471.924161902728</t>
  </si>
  <si>
    <t>-587.245364708259 38.0620631907241 -579.035468211186</t>
  </si>
  <si>
    <t>-585.469562650122 13.7404637748034 -685.807056634912</t>
  </si>
  <si>
    <t>-573.72227770588 23.9435424093105 -775.139347280758</t>
  </si>
  <si>
    <t>-553.056492225827 169.424664820979 -780.84640553937</t>
  </si>
  <si>
    <t>-461.919389121259 267.31612456294 -493.971062961576</t>
  </si>
  <si>
    <t>-235.184988139542 273.35718703601 -366.703452224965</t>
  </si>
  <si>
    <t>-508.334119654739 189.37902978714 -256.29203005203</t>
  </si>
  <si>
    <t>-488.803778282903 196.833675984438 198.923026586499</t>
  </si>
  <si>
    <t>-496.348087214763 187.101807328522 668.643824815753</t>
  </si>
  <si>
    <t>-345.246551779867 176.349524594629 758.065463875817</t>
  </si>
  <si>
    <t>-439.070154295107 -19.8898588289137 221.173476117812</t>
  </si>
  <si>
    <t>-590.379676798529 -114.027646072774 655.729237858706</t>
  </si>
  <si>
    <t>-433.255744000363 -132.99128365909 732.514409388783</t>
  </si>
  <si>
    <t>9763-20170724T164229.889660900.bin</t>
  </si>
  <si>
    <t>-521.760179529296 93.9903332152002 -240.482375934829</t>
  </si>
  <si>
    <t>-561.861143728017 80.2917864638845 -353.937606494653</t>
  </si>
  <si>
    <t>-580.140482197748 59.3834281326296 -471.917535540277</t>
  </si>
  <si>
    <t>-587.504759421427 37.6948066473051 -579.016583506488</t>
  </si>
  <si>
    <t>-585.771872192321 13.3323403446337 -685.77956567092</t>
  </si>
  <si>
    <t>-574.079598453774 23.5072472205245 -775.122197556968</t>
  </si>
  <si>
    <t>-553.43345187607 168.980392037768 -780.938337876024</t>
  </si>
  <si>
    <t>-462.468934545774 268.040586877366 -494.409520559075</t>
  </si>
  <si>
    <t>-238.24277091852 270.666830451995 -362.66059560518</t>
  </si>
  <si>
    <t>-508.559802937716 189.270622622415 -256.324749791003</t>
  </si>
  <si>
    <t>-488.98225750173 196.742112530354 198.8879407755</t>
  </si>
  <si>
    <t>-496.288408412523 187.010484083175 668.635752209438</t>
  </si>
  <si>
    <t>-345.105895184634 176.95256849013 758.00133241219</t>
  </si>
  <si>
    <t>-438.857249105547 -19.9513802015169 221.116100287331</t>
  </si>
  <si>
    <t>-590.22536581765 -114.083367955483 655.645971663097</t>
  </si>
  <si>
    <t>-433.302153237307 -132.823862370982 732.894970398346</t>
  </si>
  <si>
    <t>9763-20170724T164229.922750800.bin</t>
  </si>
  <si>
    <t>-521.758899764674 94.1326963634401 -240.531836167248</t>
  </si>
  <si>
    <t>-561.865822620811 80.452635813668 -353.987065443457</t>
  </si>
  <si>
    <t>-580.207249236119 59.5201045215432 -471.95299419347</t>
  </si>
  <si>
    <t>-587.651015694041 37.7906428400228 -579.038370935669</t>
  </si>
  <si>
    <t>-586.021074839629 13.3673375523395 -685.789184177566</t>
  </si>
  <si>
    <t>-574.41410881547 23.4756752783471 -775.150424521038</t>
  </si>
  <si>
    <t>-553.793855296396 168.947480980077 -781.093306692778</t>
  </si>
  <si>
    <t>-463.389870481085 268.869899625632 -494.686666750771</t>
  </si>
  <si>
    <t>-241.034031935911 268.223694614085 -359.78097910832</t>
  </si>
  <si>
    <t>-508.589691517358 189.413992579448 -256.346265647682</t>
  </si>
  <si>
    <t>-489.016165076261 196.807189181437 198.867865758986</t>
  </si>
  <si>
    <t>-496.269418899474 186.94745133042 668.629113296063</t>
  </si>
  <si>
    <t>-345.108342013809 176.649010116207 758.003498286983</t>
  </si>
  <si>
    <t>-438.968486085664 -19.682739780722 221.055087574407</t>
  </si>
  <si>
    <t>-590.286508800685 -113.583910318603 655.665742763137</t>
  </si>
  <si>
    <t>-433.54525494716 -133.532849950389 732.981538961249</t>
  </si>
  <si>
    <t>9763-20170724T164229.994949100.bin</t>
  </si>
  <si>
    <t>-521.623811255856 93.8980378490639 -240.502176480774</t>
  </si>
  <si>
    <t>-561.638514272541 80.2953266021552 -353.999354033275</t>
  </si>
  <si>
    <t>-580.088427936021 59.340149025824 -471.944444674734</t>
  </si>
  <si>
    <t>-587.714549448564 37.5464990201679 -579.003921870411</t>
  </si>
  <si>
    <t>-586.351087801519 13.013392797262 -685.733213054899</t>
  </si>
  <si>
    <t>-574.961876409007 22.9906915457136 -775.137283090104</t>
  </si>
  <si>
    <t>-554.356927057416 168.464479593815 -781.388797221864</t>
  </si>
  <si>
    <t>-465.324903415335 269.395248801064 -494.905929176033</t>
  </si>
  <si>
    <t>-249.853613218907 256.593240501294 -349.818680777066</t>
  </si>
  <si>
    <t>-508.326240166323 189.324337585306 -256.305631962655</t>
  </si>
  <si>
    <t>-488.775896833398 196.685893696351 198.910020842876</t>
  </si>
  <si>
    <t>-496.324419808796 187.107574226034 668.677182304579</t>
  </si>
  <si>
    <t>-345.105207772055 177.312983394241 758.009829048663</t>
  </si>
  <si>
    <t>-438.923010192535 -20.0163100379011 221.10263349867</t>
  </si>
  <si>
    <t>-590.270889977518 -113.890427570101 655.742704841767</t>
  </si>
  <si>
    <t>-433.409434425512 -132.92674699912 733.044789753285</t>
  </si>
  <si>
    <t>9763-20170724T164230.027031300.bin</t>
  </si>
  <si>
    <t>-521.476113267695 93.9070231650744 -240.389468675812</t>
  </si>
  <si>
    <t>-561.538421645334 80.3502536536392 -353.875169104403</t>
  </si>
  <si>
    <t>-580.07930009483 59.3784020400755 -471.803112052114</t>
  </si>
  <si>
    <t>-587.805408285069 37.5422420270798 -578.846817035781</t>
  </si>
  <si>
    <t>-586.559603625473 12.9383454248031 -685.561105257275</t>
  </si>
  <si>
    <t>-575.224877956732 22.8296186272864 -774.981697787599</t>
  </si>
  <si>
    <t>-554.466957216719 168.26545982552 -781.390968106947</t>
  </si>
  <si>
    <t>-466.387647922237 270.027273667785 -494.907437790508</t>
  </si>
  <si>
    <t>-252.681163424654 252.360174076012 -347.735928276771</t>
  </si>
  <si>
    <t>-508.109877310255 189.264550499481 -256.220952081336</t>
  </si>
  <si>
    <t>-488.627171284044 196.637367635177 198.997461229246</t>
  </si>
  <si>
    <t>-496.273954747978 186.805278700237 668.724798404333</t>
  </si>
  <si>
    <t>-345.036378188147 177.074993758859 758.033483442445</t>
  </si>
  <si>
    <t>-438.716768558482 -20.0088183217431 221.195615837571</t>
  </si>
  <si>
    <t>-590.346836113174 -113.641910643679 655.754518568488</t>
  </si>
  <si>
    <t>-433.513860327848 -133.457342837185 732.918538984294</t>
  </si>
  <si>
    <t>9763-20170724T164230.087896200.bin</t>
  </si>
  <si>
    <t>-521.247729519708 94.1462337103524 -240.350872909939</t>
  </si>
  <si>
    <t>-561.316712069136 80.6230939551585 -353.838382914554</t>
  </si>
  <si>
    <t>-579.949704157281 59.6027546199378 -471.743107592705</t>
  </si>
  <si>
    <t>-587.795343247343 37.6852674988407 -578.76134587325</t>
  </si>
  <si>
    <t>-586.705855118118 12.9605074163093 -685.449505195522</t>
  </si>
  <si>
    <t>-575.408041925985 22.7064036934532 -774.890672622029</t>
  </si>
  <si>
    <t>-554.325249181345 168.077020761339 -781.489430994278</t>
  </si>
  <si>
    <t>-468.449528879697 270.905957492813 -494.718043373679</t>
  </si>
  <si>
    <t>-255.995830125498 245.29897027711 -346.901454083276</t>
  </si>
  <si>
    <t>-507.718234142912 189.684029968175 -256.222884874882</t>
  </si>
  <si>
    <t>-488.417113714449 197.085573932755 199.002760556331</t>
  </si>
  <si>
    <t>-496.443333839999 187.546874498918 668.722662340472</t>
  </si>
  <si>
    <t>-345.352610424806 176.080443920992 758.0737876002</t>
  </si>
  <si>
    <t>-438.635218595642 -19.8676649950872 221.21998788655</t>
  </si>
  <si>
    <t>-590.40754580758 -113.606234633616 655.758930423054</t>
  </si>
  <si>
    <t>-433.4606564263 -133.716427755792 732.61448586173</t>
  </si>
  <si>
    <t>9763-20170724T164230.120983300.bin</t>
  </si>
  <si>
    <t>-521.162098237524 93.9355981683688 -240.353182613215</t>
  </si>
  <si>
    <t>-561.2933885169 80.4645943625389 -353.824943174049</t>
  </si>
  <si>
    <t>-580.029564674132 59.4405514769343 -471.712654186932</t>
  </si>
  <si>
    <t>-587.984791334517 37.4959090551274 -578.717236698449</t>
  </si>
  <si>
    <t>-587.020996410652 12.7196606108124 -685.39461543543</t>
  </si>
  <si>
    <t>-575.810291492351 22.4021349816961 -774.853672147559</t>
  </si>
  <si>
    <t>-554.698810333646 167.766376438329 -781.608936117849</t>
  </si>
  <si>
    <t>-469.484887229279 271.433326184659 -494.942034285751</t>
  </si>
  <si>
    <t>-258.456454070915 240.275530188042 -346.152799807037</t>
  </si>
  <si>
    <t>-507.545318614576 189.348995963922 -256.19790017613</t>
  </si>
  <si>
    <t>-488.204726050683 196.72575847897 199.026421155481</t>
  </si>
  <si>
    <t>-496.287757841078 186.851607890035 668.748020864815</t>
  </si>
  <si>
    <t>-345.066483789849 176.814265626879 758.050222396278</t>
  </si>
  <si>
    <t>-438.632541200319 -19.8927292236368 221.233213045363</t>
  </si>
  <si>
    <t>-590.439726599497 -113.578215816058 655.763601421162</t>
  </si>
  <si>
    <t>-433.440160941485 -133.803361876295 732.481087952437</t>
  </si>
  <si>
    <t>9763-20170724T164230.190868100.bin</t>
  </si>
  <si>
    <t>-521.251165113135 93.7214922274215 -240.430859133378</t>
  </si>
  <si>
    <t>-561.38340494018 80.2784692395003 -353.905468849017</t>
  </si>
  <si>
    <t>-580.332188154439 59.1769702126852 -471.74537290405</t>
  </si>
  <si>
    <t>-588.568695661767 37.1121255711625 -578.704081270211</t>
  </si>
  <si>
    <t>-587.975783028201 12.1608580136851 -685.343212698772</t>
  </si>
  <si>
    <t>-577.067910963263 21.6483110359467 -774.860602017945</t>
  </si>
  <si>
    <t>-555.82293441332 166.979193154633 -781.933233126867</t>
  </si>
  <si>
    <t>-470.840106808612 271.351185152933 -495.453485830568</t>
  </si>
  <si>
    <t>-259.361496954656 237.183606701408 -347.969803583265</t>
  </si>
  <si>
    <t>-507.675504827877 189.132378151364 -256.194905173403</t>
  </si>
  <si>
    <t>-488.22333950882 196.503242031197 199.024745169623</t>
  </si>
  <si>
    <t>-496.280801999969 186.803018804056 668.755615214107</t>
  </si>
  <si>
    <t>-345.025523650332 177.152098079457 758.042829081528</t>
  </si>
  <si>
    <t>-438.87110493207 -20.2239884106194 221.153173795965</t>
  </si>
  <si>
    <t>-590.399750588893 -113.855286034969 655.791648333179</t>
  </si>
  <si>
    <t>-433.290510957587 -133.231013369713 732.504042839415</t>
  </si>
  <si>
    <t>9763-20170724T164230.221950200.bin</t>
  </si>
  <si>
    <t>-521.464758979557 93.7241611020617 -240.429325483055</t>
  </si>
  <si>
    <t>-561.518473144641 80.240744336049 -353.926830319205</t>
  </si>
  <si>
    <t>-580.495719572708 59.0722860152293 -471.750054341643</t>
  </si>
  <si>
    <t>-588.804032033495 36.9330971284244 -578.687822120116</t>
  </si>
  <si>
    <t>-588.329523891092 11.891546922297 -685.306561370397</t>
  </si>
  <si>
    <t>-577.530893528566 21.2882740385329 -774.846753447736</t>
  </si>
  <si>
    <t>-556.213374249805 166.595615543786 -782.110969859761</t>
  </si>
  <si>
    <t>-470.809135207506 271.992246383436 -496.132317474215</t>
  </si>
  <si>
    <t>-259.005122323455 237.645471961074 -349.158039971859</t>
  </si>
  <si>
    <t>-507.978294051896 189.259769617681 -256.221523417545</t>
  </si>
  <si>
    <t>-488.443866302722 196.651429950362 198.994256060363</t>
  </si>
  <si>
    <t>-496.348162053793 187.163507517487 668.722884394762</t>
  </si>
  <si>
    <t>-345.19209327508 176.405250870492 758.051454344614</t>
  </si>
  <si>
    <t>-439.018745385205 -20.1912732828121 221.1268055094</t>
  </si>
  <si>
    <t>-590.357713653161 -113.768725030829 655.797565898497</t>
  </si>
  <si>
    <t>-433.410119510194 -133.655863173244 732.70961256715</t>
  </si>
  <si>
    <t>9763-20170724T164230.291670000.bin</t>
  </si>
  <si>
    <t>-521.755379378981 93.2058500711107 -240.524849822757</t>
  </si>
  <si>
    <t>-561.989386771462 79.7030693141164 -353.956385277454</t>
  </si>
  <si>
    <t>-581.161354360232 58.3741302897316 -471.719159840242</t>
  </si>
  <si>
    <t>-589.650589718367 36.0308809207788 -578.600172766613</t>
  </si>
  <si>
    <t>-589.362179615293 10.7255840435167 -685.157342550828</t>
  </si>
  <si>
    <t>-578.695261541807 19.856833041358 -774.740821983544</t>
  </si>
  <si>
    <t>-557.315227252723 165.13839966597 -782.439725811707</t>
  </si>
  <si>
    <t>-470.904725168366 271.083495805895 -496.96633717084</t>
  </si>
  <si>
    <t>-259.262181022159 236.705770903199 -349.767079887752</t>
  </si>
  <si>
    <t>-508.347633797866 188.899733852408 -256.323842380469</t>
  </si>
  <si>
    <t>-488.577055130646 196.379739576457 198.880306881592</t>
  </si>
  <si>
    <t>-496.248388916432 186.961190797322 668.647110942753</t>
  </si>
  <si>
    <t>-345.104014290869 176.22144529324 757.997727589184</t>
  </si>
  <si>
    <t>-438.908278500728 -20.8205401208973 220.951064688319</t>
  </si>
  <si>
    <t>-589.861993104042 -114.508036533598 655.717133583829</t>
  </si>
  <si>
    <t>-433.508403157587 -133.277960700048 734.105617299312</t>
  </si>
  <si>
    <t>9763-20170724T164230.323751800.bin</t>
  </si>
  <si>
    <t>-521.883133132342 92.9257922813676 -240.48049895802</t>
  </si>
  <si>
    <t>-562.146739955413 79.3831994484877 -353.896649397748</t>
  </si>
  <si>
    <t>-581.372080787515 57.9539232174828 -471.632628181325</t>
  </si>
  <si>
    <t>-589.919625204584 35.4947317216008 -578.484825734415</t>
  </si>
  <si>
    <t>-589.69969134745 10.0479588066328 -685.008291742461</t>
  </si>
  <si>
    <t>-579.080062468501 19.0403121731281 -774.611408618849</t>
  </si>
  <si>
    <t>-557.731043623739 164.312233469328 -782.515357204219</t>
  </si>
  <si>
    <t>-470.839869724291 270.043823333586 -497.108655971365</t>
  </si>
  <si>
    <t>-259.157890391265 236.04926997356 -349.877122946153</t>
  </si>
  <si>
    <t>-508.521993217492 188.663393721475 -256.325542354875</t>
  </si>
  <si>
    <t>-488.52941764843 196.16941026871 198.868443176852</t>
  </si>
  <si>
    <t>-496.210241155644 186.871860460688 668.639803123672</t>
  </si>
  <si>
    <t>-345.029786197684 176.60832742215 757.985492594083</t>
  </si>
  <si>
    <t>-438.731491576419 -21.2190426943806 221.005748456986</t>
  </si>
  <si>
    <t>-589.795056183239 -114.890122483642 655.866768705924</t>
  </si>
  <si>
    <t>-433.545790098354 -133.606361182105 734.475791270362</t>
  </si>
  <si>
    <t>9763-20170724T164230.391442600.bin</t>
  </si>
  <si>
    <t>-522.184125837679 92.3785512318847 -240.389483618804</t>
  </si>
  <si>
    <t>-562.570411232601 78.7664781327834 -353.753894354583</t>
  </si>
  <si>
    <t>-582.031304468729 57.2041435544174 -471.426711475338</t>
  </si>
  <si>
    <t>-590.838528993479 34.5951226205525 -578.226102074622</t>
  </si>
  <si>
    <t>-590.924620157411 8.96674055427789 -684.706217482232</t>
  </si>
  <si>
    <t>-580.537781061775 17.7752913505298 -774.354871312073</t>
  </si>
  <si>
    <t>-559.062840723457 163.029247200577 -782.663168988181</t>
  </si>
  <si>
    <t>-471.519297442586 269.124972246632 -497.591283956784</t>
  </si>
  <si>
    <t>-259.393806214251 236.601941349003 -350.665796981211</t>
  </si>
  <si>
    <t>-508.889716093121 188.349018337159 -256.316625819662</t>
  </si>
  <si>
    <t>-488.665755222747 196.025278096377 198.864324346261</t>
  </si>
  <si>
    <t>-496.224211045296 187.146349511003 668.609856692857</t>
  </si>
  <si>
    <t>-345.085250405966 176.546526326786 757.986455638188</t>
  </si>
  <si>
    <t>-438.534479248286 -21.7050445373367 221.13590333243</t>
  </si>
  <si>
    <t>-589.763684330159 -115.157487748316 655.983689779091</t>
  </si>
  <si>
    <t>-433.474155134258 -133.078222274469 734.697984031209</t>
  </si>
  <si>
    <t>9763-20170724T164230.424556900.bin</t>
  </si>
  <si>
    <t>-522.279119332415 92.2033666395787 -240.348593302487</t>
  </si>
  <si>
    <t>-562.684643318909 78.5605249482736 -353.702355987482</t>
  </si>
  <si>
    <t>-582.248987177384 56.8823580849694 -471.336719101846</t>
  </si>
  <si>
    <t>-591.184397003057 34.1339378017835 -578.095971717418</t>
  </si>
  <si>
    <t>-591.43344707552 8.33128105682744 -684.533760500395</t>
  </si>
  <si>
    <t>-581.19278003135 16.967896174448 -774.215872792893</t>
  </si>
  <si>
    <t>-559.770450137305 162.198246182601 -782.846879922945</t>
  </si>
  <si>
    <t>-472.06667941852 269.070079035931 -498.114278804483</t>
  </si>
  <si>
    <t>-260.005020033292 235.79092696938 -351.266092089794</t>
  </si>
  <si>
    <t>-509.007276476785 188.122486838102 -256.297946429095</t>
  </si>
  <si>
    <t>-488.775963865334 195.871630325626 198.881578501974</t>
  </si>
  <si>
    <t>-496.230246465881 187.112772839288 668.643280545803</t>
  </si>
  <si>
    <t>-345.057482442512 176.700471530313 757.984619471815</t>
  </si>
  <si>
    <t>-438.567482523378 -21.6971321879839 221.199481234711</t>
  </si>
  <si>
    <t>-589.893963569656 -114.791349131443 656.087403587615</t>
  </si>
  <si>
    <t>-433.650438395596 -133.572404073482 734.692332911087</t>
  </si>
  <si>
    <t>9763-20170724T164230.490720900.bin</t>
  </si>
  <si>
    <t>-522.347745695622 91.8130875059711 -240.207766629959</t>
  </si>
  <si>
    <t>-562.841128840305 78.1536995183034 -353.528120982678</t>
  </si>
  <si>
    <t>-582.55431226302 56.2630817492265 -471.098459349717</t>
  </si>
  <si>
    <t>-591.648716943223 33.2450092408687 -577.786315623242</t>
  </si>
  <si>
    <t>-592.080890050991 7.09626159566952 -684.139002624746</t>
  </si>
  <si>
    <t>-582.019321294137 15.3926284180153 -773.873628023963</t>
  </si>
  <si>
    <t>-560.644256494989 160.589711578246 -783.129816090775</t>
  </si>
  <si>
    <t>-472.495827692803 269.821373187857 -499.432048955674</t>
  </si>
  <si>
    <t>-260.644574092156 232.602001897497 -353.227214122358</t>
  </si>
  <si>
    <t>-509.153890695976 187.683983272924 -256.195247721506</t>
  </si>
  <si>
    <t>-488.684891509691 195.665251834309 198.96951098888</t>
  </si>
  <si>
    <t>-496.262073693301 187.190897301202 668.702193882656</t>
  </si>
  <si>
    <t>-345.071500310544 176.848419335571 758.021643614672</t>
  </si>
  <si>
    <t>-438.386713737412 -21.8598129813137 221.369900281094</t>
  </si>
  <si>
    <t>-590.084399561491 -114.595464838455 656.186043403305</t>
  </si>
  <si>
    <t>-433.649036817045 -133.55497036369 734.365523920103</t>
  </si>
  <si>
    <t>9763-20170724T164230.522796700.bin</t>
  </si>
  <si>
    <t>-522.4919445827 91.7164546657675 -240.192121714422</t>
  </si>
  <si>
    <t>-562.963406590787 78.0320597575933 -353.517335546507</t>
  </si>
  <si>
    <t>-582.655649931489 56.0431288910388 -471.072687825991</t>
  </si>
  <si>
    <t>-591.732271753082 32.9062714117363 -577.736517427191</t>
  </si>
  <si>
    <t>-592.148601139668 6.60884268191489 -684.052528595596</t>
  </si>
  <si>
    <t>-582.086273095444 14.7615279329033 -773.800167398525</t>
  </si>
  <si>
    <t>-560.806914834263 159.929495193516 -783.348589768782</t>
  </si>
  <si>
    <t>-472.260281853512 269.49234818781 -499.902400384574</t>
  </si>
  <si>
    <t>-260.151480504129 230.842737698196 -354.444201081826</t>
  </si>
  <si>
    <t>-509.365277433191 187.616235472596 -256.177288247137</t>
  </si>
  <si>
    <t>-488.641564776572 195.700984510586 198.974272329784</t>
  </si>
  <si>
    <t>-496.285801211595 187.35688424197 668.707599917901</t>
  </si>
  <si>
    <t>-345.160371595838 176.343633334093 758.057115374835</t>
  </si>
  <si>
    <t>-438.481189502634 -21.8515647163133 221.376604484327</t>
  </si>
  <si>
    <t>-590.171810503287 -114.415482161989 656.222351053665</t>
  </si>
  <si>
    <t>-433.715751899468 -133.626529793792 734.298939324345</t>
  </si>
  <si>
    <t>9763-20170724T164230.589831300.bin</t>
  </si>
  <si>
    <t>-522.713833005323 90.8632412801109 -240.136232072992</t>
  </si>
  <si>
    <t>-563.305689104426 77.1166868253041 -353.410942190737</t>
  </si>
  <si>
    <t>-583.152403802427 54.9446219164294 -470.905843152371</t>
  </si>
  <si>
    <t>-592.382168375429 31.5933926550088 -577.509849271113</t>
  </si>
  <si>
    <t>-592.964929034044 5.03291243249365 -683.759741360049</t>
  </si>
  <si>
    <t>-583.069510610374 12.933661746479 -773.548424238133</t>
  </si>
  <si>
    <t>-561.869911225421 158.128778182424 -783.508305629846</t>
  </si>
  <si>
    <t>-472.334811906971 268.387069715434 -500.642921678751</t>
  </si>
  <si>
    <t>-261.846218996854 222.45513939089 -354.948498067753</t>
  </si>
  <si>
    <t>-509.695037523555 186.5939190425 -256.105498258007</t>
  </si>
  <si>
    <t>-488.544587342949 195.029426158722 199.019961378787</t>
  </si>
  <si>
    <t>-496.158539352868 186.842693935951 668.739538555169</t>
  </si>
  <si>
    <t>-344.924213388623 177.079089888564 758.050049746995</t>
  </si>
  <si>
    <t>-438.468261368497 -22.1423879416636 221.448985843292</t>
  </si>
  <si>
    <t>-590.306928809845 -114.259445039993 656.293853376378</t>
  </si>
  <si>
    <t>-433.6989184083 -133.193932938303 734.133006039296</t>
  </si>
  <si>
    <t>9763-20170724T164230.621917700.bin</t>
  </si>
  <si>
    <t>-522.799996129242 90.5218820643566 -240.078581329139</t>
  </si>
  <si>
    <t>-563.319134814312 76.6863299536922 -353.368443664672</t>
  </si>
  <si>
    <t>-583.144048596017 54.3605764692009 -470.83811755625</t>
  </si>
  <si>
    <t>-592.376982109278 30.842966016051 -577.405084480673</t>
  </si>
  <si>
    <t>-592.986982763518 4.08749051619168 -683.605890160335</t>
  </si>
  <si>
    <t>-583.147337945258 11.8060017261517 -773.4166435463</t>
  </si>
  <si>
    <t>-562.04043659673 156.959114795691 -783.68968709496</t>
  </si>
  <si>
    <t>-472.17577248297 267.832445492227 -501.169604061082</t>
  </si>
  <si>
    <t>-262.836538693786 216.444479980696 -355.641366579211</t>
  </si>
  <si>
    <t>-509.935124400727 186.389888877262 -256.102757961871</t>
  </si>
  <si>
    <t>-488.679764480605 194.993463975295 199.014627505511</t>
  </si>
  <si>
    <t>-496.253736926168 187.250364057846 668.739365559755</t>
  </si>
  <si>
    <t>-345.095750360025 176.469608689873 758.062062411429</t>
  </si>
  <si>
    <t>-438.424006742418 -22.3689819116001 221.483699697135</t>
  </si>
  <si>
    <t>-590.323860586447 -114.433282467121 656.331188957987</t>
  </si>
  <si>
    <t>-433.661311783682 -133.249536626013 734.089255070152</t>
  </si>
  <si>
    <t>9763-20170724T164230.692138200.bin</t>
  </si>
  <si>
    <t>-522.857676118715 89.5213449512235 -240.109687855032</t>
  </si>
  <si>
    <t>-563.40328259027 75.531482261118 -353.371155134009</t>
  </si>
  <si>
    <t>-583.311878036234 52.9856884551741 -470.784393934548</t>
  </si>
  <si>
    <t>-592.646478286624 29.2381011554909 -577.291611129234</t>
  </si>
  <si>
    <t>-593.385637938266 2.21820565586042 -683.424634358988</t>
  </si>
  <si>
    <t>-583.712334208175 9.69341031056662 -773.273974362787</t>
  </si>
  <si>
    <t>-562.730752616009 154.840962263306 -784.021819855948</t>
  </si>
  <si>
    <t>-471.792030157381 265.954340489199 -501.939894496896</t>
  </si>
  <si>
    <t>-265.92375598751 204.326079627875 -355.439986668155</t>
  </si>
  <si>
    <t>-510.284476104568 185.288617355853 -256.118403439388</t>
  </si>
  <si>
    <t>-488.807784035774 194.377408926505 198.979158567331</t>
  </si>
  <si>
    <t>-496.1798302464 187.009193406595 668.737874974338</t>
  </si>
  <si>
    <t>-344.889148540448 177.441741141797 757.974150095955</t>
  </si>
  <si>
    <t>-438.504108537643 -22.8961059088672 221.564306198004</t>
  </si>
  <si>
    <t>-590.417452728282 -114.796768644183 656.496059247512</t>
  </si>
  <si>
    <t>-433.673450715035 -134.038549256868 733.985381258292</t>
  </si>
  <si>
    <t>9763-20170724T164230.725224300.bin</t>
  </si>
  <si>
    <t>-522.888928253426 89.057792783228 -240.117683750485</t>
  </si>
  <si>
    <t>-563.383474894451 75.0027102085328 -353.389361880261</t>
  </si>
  <si>
    <t>-583.283991490782 52.3616651779285 -470.785651581914</t>
  </si>
  <si>
    <t>-592.630368641959 28.5144726130843 -577.269499243538</t>
  </si>
  <si>
    <t>-593.401339722192 1.38039246481673 -683.373331904063</t>
  </si>
  <si>
    <t>-583.80352356157 8.75349254979389 -773.23916765243</t>
  </si>
  <si>
    <t>-562.975595445288 153.892241852686 -784.222614827967</t>
  </si>
  <si>
    <t>-471.434979600193 264.828537030791 -502.265894996871</t>
  </si>
  <si>
    <t>-266.501667400184 200.794805151114 -355.486924165359</t>
  </si>
  <si>
    <t>-510.487766027496 184.80290222331 -256.120824310552</t>
  </si>
  <si>
    <t>-488.80035686347 194.078522311547 198.963042195538</t>
  </si>
  <si>
    <t>-496.118279916628 186.722397846872 668.757242214516</t>
  </si>
  <si>
    <t>-344.799577010626 177.23832499263 757.954984285883</t>
  </si>
  <si>
    <t>-438.679028004374 -23.1338621020576 221.606706670033</t>
  </si>
  <si>
    <t>-590.501721256119 -114.83530488315 656.611022499454</t>
  </si>
  <si>
    <t>-433.546484819967 -133.441908217169 733.827276181785</t>
  </si>
  <si>
    <t>9763-20170724T164230.792418300.bin</t>
  </si>
  <si>
    <t>-523.081553211751 88.238474926412 -240.17409587934</t>
  </si>
  <si>
    <t>-563.704800520027 74.1526958524399 -353.395870305969</t>
  </si>
  <si>
    <t>-583.730800019457 51.4388940076011 -470.756920053818</t>
  </si>
  <si>
    <t>-593.188738269079 27.5078435125467 -577.211974460373</t>
  </si>
  <si>
    <t>-594.069359584751 0.270817507377451 -683.288569556261</t>
  </si>
  <si>
    <t>-584.630105622454 7.55312349063976 -773.178537546596</t>
  </si>
  <si>
    <t>-564.001155012967 152.718465464468 -784.44402867575</t>
  </si>
  <si>
    <t>-471.543981354122 263.127877553012 -502.579537600781</t>
  </si>
  <si>
    <t>-269.875002288574 190.62755770221 -355.218102746488</t>
  </si>
  <si>
    <t>-510.984037383217 183.942610587241 -256.067331279008</t>
  </si>
  <si>
    <t>-488.636380148748 193.641745920643 198.975733621572</t>
  </si>
  <si>
    <t>-496.162023466607 186.742918861005 668.787845236128</t>
  </si>
  <si>
    <t>-344.797467683215 177.306256092352 757.912542997857</t>
  </si>
  <si>
    <t>-439.336364323559 -23.4546799028755 221.647587446061</t>
  </si>
  <si>
    <t>-590.610976365358 -114.7974024847 656.816445406175</t>
  </si>
  <si>
    <t>-433.541965963017 -133.473626675058 733.784121199064</t>
  </si>
  <si>
    <t>9763-20170724T164230.824499700.bin</t>
  </si>
  <si>
    <t>-523.25996374992 87.783936230989 -240.244735915098</t>
  </si>
  <si>
    <t>-563.869149988589 73.7038917112553 -353.472273272143</t>
  </si>
  <si>
    <t>-583.902789058307 50.965412604493 -470.827077677076</t>
  </si>
  <si>
    <t>-593.377535388413 26.9983523666002 -577.272723915048</t>
  </si>
  <si>
    <t>-584.911141097122 6.94414826408706 -773.236689867627</t>
  </si>
  <si>
    <t>-564.34240173573 152.108772535032 -784.613321480169</t>
  </si>
  <si>
    <t>-471.604142768408 261.492146586269 -502.441224857193</t>
  </si>
  <si>
    <t>-270.560969987698 186.717095422997 -355.36172635919</t>
  </si>
  <si>
    <t>-511.306860408551 183.623263130226 -256.086986493866</t>
  </si>
  <si>
    <t>-488.432121740147 193.543526130715 198.925053972526</t>
  </si>
  <si>
    <t>-496.274224442067 187.24448461251 668.767776825909</t>
  </si>
  <si>
    <t>-344.979760092256 176.879775507634 757.908419645682</t>
  </si>
  <si>
    <t>-439.690948171233 -23.8062542021694 221.581567203586</t>
  </si>
  <si>
    <t>-590.661563987761 -114.745642762014 656.962665798743</t>
  </si>
  <si>
    <t>-433.494593935882 -133.02506484473 733.825752499278</t>
  </si>
  <si>
    <t>9763-20170724T164230.889677800.bin</t>
  </si>
  <si>
    <t>-523.603633443042 86.5167336873583 -240.270274574225</t>
  </si>
  <si>
    <t>-564.320251551973 72.4509932500192 -353.46086846154</t>
  </si>
  <si>
    <t>-584.48291855965 49.7415273499061 -470.799287927543</t>
  </si>
  <si>
    <t>-594.082040065398 25.8057297285369 -577.240740472265</t>
  </si>
  <si>
    <t>-585.961897674349 5.83252602305168 -773.230994909036</t>
  </si>
  <si>
    <t>-565.912578330461 151.062715039538 -784.658154735157</t>
  </si>
  <si>
    <t>-472.485501783524 257.652028164521 -501.645418939396</t>
  </si>
  <si>
    <t>-272.311230772272 177.927264262112 -355.987196968249</t>
  </si>
  <si>
    <t>-511.849630742003 182.205670354618 -255.982464642969</t>
  </si>
  <si>
    <t>-488.032614728958 192.581819359475 198.97116484838</t>
  </si>
  <si>
    <t>-496.154386319618 186.654474854654 668.803857048772</t>
  </si>
  <si>
    <t>-344.697615499273 178.200619423474 757.870666895184</t>
  </si>
  <si>
    <t>-440.192208091409 -24.3002982946094 221.581392061521</t>
  </si>
  <si>
    <t>-590.79535998316 -114.308612377311 657.265164240292</t>
  </si>
  <si>
    <t>-433.753510297877 -133.37198577541 734.193371258534</t>
  </si>
  <si>
    <t>9763-20170724T164230.922766000.bin</t>
  </si>
  <si>
    <t>-523.860056541076 86.0371126798807 -240.184177898176</t>
  </si>
  <si>
    <t>-564.601313027538 71.9513189794689 -353.363463550671</t>
  </si>
  <si>
    <t>-584.816068528709 49.2511387435898 -470.694791447011</t>
  </si>
  <si>
    <t>-594.473343022005 25.3352858278992 -577.135431963438</t>
  </si>
  <si>
    <t>-586.523177976838 5.43098999823427 -773.14000069989</t>
  </si>
  <si>
    <t>-566.721373723021 150.687344533678 -784.541312044151</t>
  </si>
  <si>
    <t>-473.033042537298 256.086421819579 -501.169229590872</t>
  </si>
  <si>
    <t>-272.902130386277 175.629423930097 -355.854617329914</t>
  </si>
  <si>
    <t>-512.258543774477 181.834263763941 -255.922332825088</t>
  </si>
  <si>
    <t>-488.204835055169 192.43229215013 199.013699674214</t>
  </si>
  <si>
    <t>-496.207426225205 186.82620703756 668.820830292526</t>
  </si>
  <si>
    <t>-344.801617001119 177.525319119926 757.889728904926</t>
  </si>
  <si>
    <t>-440.320102941603 -24.6763539870897 221.6480679966</t>
  </si>
  <si>
    <t>-590.7600686273 -114.823664096683 657.39126327509</t>
  </si>
  <si>
    <t>-433.555256783275 -132.984680870991 734.204865217285</t>
  </si>
  <si>
    <t>9763-20170724T164230.992736800.bin</t>
  </si>
  <si>
    <t>-524.377817825126 85.4117742801777 -240.081665609845</t>
  </si>
  <si>
    <t>-565.066607704194 71.1737914672903 -353.260779839889</t>
  </si>
  <si>
    <t>-585.309436192933 48.4562202749707 -470.583737918794</t>
  </si>
  <si>
    <t>-595.028381776822 24.5716181054995 -577.02591874194</t>
  </si>
  <si>
    <t>-587.282508056198 4.82509328339344 -773.051636803325</t>
  </si>
  <si>
    <t>-567.528349111254 150.100167055095 -784.448074845494</t>
  </si>
  <si>
    <t>-473.867407951301 253.884161787486 -500.471497177908</t>
  </si>
  <si>
    <t>-274.394675760889 169.981016011544 -356.204614719828</t>
  </si>
  <si>
    <t>-512.967549373725 181.186792133671 -255.869900628956</t>
  </si>
  <si>
    <t>-488.890970305526 192.158141067261 199.056035873804</t>
  </si>
  <si>
    <t>-496.29007947885 186.975681452365 668.879556353601</t>
  </si>
  <si>
    <t>-344.807097990338 177.760697474745 757.826142087039</t>
  </si>
  <si>
    <t>-440.55067234633 -24.743926723939 221.736581110142</t>
  </si>
  <si>
    <t>-590.856657762804 -114.378020898524 657.586717382931</t>
  </si>
  <si>
    <t>-433.64657980941 -132.863743257554 734.3121193388</t>
  </si>
  <si>
    <t>9763-20170724T164231.022823200.bin</t>
  </si>
  <si>
    <t>-524.579683868016 85.0166554754998 -240.005280692176</t>
  </si>
  <si>
    <t>-565.251361592398 70.7255822059538 -353.183880079886</t>
  </si>
  <si>
    <t>-585.552879748107 47.9922481252243 -470.493772828661</t>
  </si>
  <si>
    <t>-595.357431512741 24.1047448489462 -576.927393385114</t>
  </si>
  <si>
    <t>-587.834998564215 4.37014643594776 -772.962944746666</t>
  </si>
  <si>
    <t>-568.16622358164 149.653991331825 -784.424179564955</t>
  </si>
  <si>
    <t>-474.470230194761 253.084640735076 -500.330237727022</t>
  </si>
  <si>
    <t>-275.331649362822 167.845716212865 -356.385002457318</t>
  </si>
  <si>
    <t>-513.245182281305 180.870595790516 -255.824745273707</t>
  </si>
  <si>
    <t>-489.213802027792 192.063434626227 199.098218798641</t>
  </si>
  <si>
    <t>-496.371653390243 187.213658479291 668.905821409974</t>
  </si>
  <si>
    <t>-344.876512560554 177.711880322058 757.801478218419</t>
  </si>
  <si>
    <t>-440.572461727228 -24.920601835857 221.824066706056</t>
  </si>
  <si>
    <t>-590.832778571621 -114.527918279135 657.669952785778</t>
  </si>
  <si>
    <t>-433.548320292663 -132.383165493912 734.392117794528</t>
  </si>
  <si>
    <t>9763-20170724T164231.095011600.bin</t>
  </si>
  <si>
    <t>-524.812937967902 84.5183649356273 -239.964317228623</t>
  </si>
  <si>
    <t>-565.588625248937 70.1911750583586 -353.100890962779</t>
  </si>
  <si>
    <t>-586.007102359102 47.4510198095855 -470.389180631483</t>
  </si>
  <si>
    <t>-595.922536488338 23.5665287487012 -576.813135522496</t>
  </si>
  <si>
    <t>-588.616779046543 3.85424903179009 -772.858643734529</t>
  </si>
  <si>
    <t>-569.095902534545 149.146877815551 -784.376626533045</t>
  </si>
  <si>
    <t>-475.352868234202 251.449592383454 -499.890127385616</t>
  </si>
  <si>
    <t>-276.70247494467 162.22196687779 -357.698366200756</t>
  </si>
  <si>
    <t>-513.655586941771 180.499959021702 -255.793659243524</t>
  </si>
  <si>
    <t>-489.266633646473 191.886454944722 199.105484961221</t>
  </si>
  <si>
    <t>-496.419078469303 187.439786160845 668.923927983859</t>
  </si>
  <si>
    <t>-344.956100588111 177.320221481083 757.806258609397</t>
  </si>
  <si>
    <t>-440.541413995967 -25.1038003121339 221.856349944419</t>
  </si>
  <si>
    <t>-590.743284225677 -114.789759326618 657.799018524904</t>
  </si>
  <si>
    <t>-433.596722607096 -133.070649119526 734.703319049299</t>
  </si>
  <si>
    <t>9763-20170724T164231.123084500.bin</t>
  </si>
  <si>
    <t>-524.897098578386 84.350530908992 -239.935714274911</t>
  </si>
  <si>
    <t>-565.688189475878 69.9992044341182 -353.063646399663</t>
  </si>
  <si>
    <t>-586.124535450609 47.2691021924327 -470.35070183392</t>
  </si>
  <si>
    <t>-596.056949296104 23.407450995088 -576.778286417787</t>
  </si>
  <si>
    <t>-588.79373964151 3.77271717143294 -772.832020565181</t>
  </si>
  <si>
    <t>-569.37832993185 149.075334177343 -784.365377825245</t>
  </si>
  <si>
    <t>-475.718623977756 250.789410703237 -499.64032694686</t>
  </si>
  <si>
    <t>-276.927031954744 159.601538823959 -358.897111064448</t>
  </si>
  <si>
    <t>-513.731997966768 180.30363211673 -255.771534740999</t>
  </si>
  <si>
    <t>-489.207376678011 191.79208602744 199.11763079233</t>
  </si>
  <si>
    <t>-496.388318131314 187.333248962255 668.934648081668</t>
  </si>
  <si>
    <t>-344.925399892445 177.279348185128 757.824470741473</t>
  </si>
  <si>
    <t>-440.504754461899 -25.2593246570491 221.910059567391</t>
  </si>
  <si>
    <t>-590.747684618274 -114.747293655865 657.877095178786</t>
  </si>
  <si>
    <t>-433.617925343012 -132.841718878727 734.859987089023</t>
  </si>
  <si>
    <t>9763-20170724T164231.192280000.bin</t>
  </si>
  <si>
    <t>-525.033941316151 84.0840479300002 -239.836090235191</t>
  </si>
  <si>
    <t>-565.924147526448 69.7217524139788 -352.926813609221</t>
  </si>
  <si>
    <t>-586.42801999639 47.0112008113994 -470.205999897819</t>
  </si>
  <si>
    <t>-596.407312160082 23.1790377818519 -576.635720837266</t>
  </si>
  <si>
    <t>-589.175798030678 3.62528447259021 -772.696066891929</t>
  </si>
  <si>
    <t>-569.704784267636 148.926683960597 -784.193827757337</t>
  </si>
  <si>
    <t>-476.481237193772 248.8319354951 -498.68643308083</t>
  </si>
  <si>
    <t>-277.070611234763 151.790188722255 -362.817562823704</t>
  </si>
  <si>
    <t>-513.857454729794 180.048177819698 -255.713019753521</t>
  </si>
  <si>
    <t>-489.198494859944 191.650722398277 199.166039557026</t>
  </si>
  <si>
    <t>-496.373977011102 187.393847444274 668.94144175923</t>
  </si>
  <si>
    <t>-344.922013881041 177.32465828432 757.848245716931</t>
  </si>
  <si>
    <t>-440.216997263338 -25.3593680824829 222.017785912443</t>
  </si>
  <si>
    <t>-590.728246003281 -114.796388635703 657.945073734544</t>
  </si>
  <si>
    <t>-433.6109118832 -132.584456206386 735.024576385078</t>
  </si>
  <si>
    <t>9763-20170724T164231.224366400.bin</t>
  </si>
  <si>
    <t>-525.106784992429 83.9389929844706 -239.805201010119</t>
  </si>
  <si>
    <t>-566.041096362719 69.5626877927868 -352.878279863955</t>
  </si>
  <si>
    <t>-586.543280315506 46.8673374176836 -470.160462053362</t>
  </si>
  <si>
    <t>-596.501658907758 23.0607848703193 -576.597892393462</t>
  </si>
  <si>
    <t>-589.169113701063 3.58265812709067 -772.659460776274</t>
  </si>
  <si>
    <t>-569.581619210778 148.86725886336 -784.128259302955</t>
  </si>
  <si>
    <t>-476.200315187213 247.581643974532 -498.258374833845</t>
  </si>
  <si>
    <t>-276.519232344752 148.804554153231 -364.047334335831</t>
  </si>
  <si>
    <t>-513.847888428678 179.73007966331 -255.714629951811</t>
  </si>
  <si>
    <t>-489.119547996192 191.329488333154 199.160737591625</t>
  </si>
  <si>
    <t>-496.207331793799 186.762618144967 668.960161503678</t>
  </si>
  <si>
    <t>-344.644513875213 178.042625950661 757.820768096625</t>
  </si>
  <si>
    <t>-440.20143540715 -25.3738143408255 222.020221702571</t>
  </si>
  <si>
    <t>-590.713193323847 -114.602669217197 657.929265240652</t>
  </si>
  <si>
    <t>-433.740882669764 -132.853905936322 735.195596522414</t>
  </si>
  <si>
    <t>9763-20170724T164231.290111100.bin</t>
  </si>
  <si>
    <t>-525.352910891764 83.9435144270077 -239.803858737376</t>
  </si>
  <si>
    <t>-566.370450110434 69.6025851868687 -352.851128773521</t>
  </si>
  <si>
    <t>-586.897619490107 46.9145792086541 -470.130540123416</t>
  </si>
  <si>
    <t>-596.853956466496 23.1028695868287 -576.567060638957</t>
  </si>
  <si>
    <t>-589.422526095544 3.58145373478445 -772.619664684062</t>
  </si>
  <si>
    <t>-569.859632528508 148.874762412118 -784.243474970052</t>
  </si>
  <si>
    <t>-475.485857766874 244.504865504621 -497.652060161339</t>
  </si>
  <si>
    <t>-275.357727369088 142.248226571312 -366.753793803518</t>
  </si>
  <si>
    <t>-514.060356694957 179.895422915331 -255.707576742771</t>
  </si>
  <si>
    <t>-489.152509774172 191.416305713026 199.160014316391</t>
  </si>
  <si>
    <t>-496.225231166812 186.880962311686 668.962426249152</t>
  </si>
  <si>
    <t>-344.699903532599 177.608142846846 757.830897161706</t>
  </si>
  <si>
    <t>-440.337136891784 -25.4947770328376 221.998165302733</t>
  </si>
  <si>
    <t>-590.718833754613 -114.678866097241 658.049074557146</t>
  </si>
  <si>
    <t>-433.791917268996 -132.744772133959 735.451166217213</t>
  </si>
  <si>
    <t>9763-20170724T164231.324219400.bin</t>
  </si>
  <si>
    <t>-525.520126107472 84.0311183904475 -239.764477530906</t>
  </si>
  <si>
    <t>-566.494624411064 69.6984697705637 -352.828481954055</t>
  </si>
  <si>
    <t>-587.03202931881 47.0069861659808 -470.105495854156</t>
  </si>
  <si>
    <t>-597.021101348716 23.1843033957373 -576.536450487631</t>
  </si>
  <si>
    <t>-589.680673801088 3.61262005686187 -772.588801687703</t>
  </si>
  <si>
    <t>-570.155815930636 148.887533269744 -784.377733301426</t>
  </si>
  <si>
    <t>-475.007356654757 242.018837440285 -497.220043385954</t>
  </si>
  <si>
    <t>-274.702963100533 139.189550627531 -367.041911846592</t>
  </si>
  <si>
    <t>-514.199142334077 180.072587460595 -255.682982517645</t>
  </si>
  <si>
    <t>-489.297891540415 191.561419534015 199.185682546012</t>
  </si>
  <si>
    <t>-496.305682424218 187.196406932804 668.974863531988</t>
  </si>
  <si>
    <t>-344.802598917054 177.54654235773 757.841075187537</t>
  </si>
  <si>
    <t>-440.405894257288 -25.497719020738 222.000334223011</t>
  </si>
  <si>
    <t>-590.740547694303 -114.609902104731 658.077015031618</t>
  </si>
  <si>
    <t>-433.872866694475 -133.032477615768 735.515136933361</t>
  </si>
  <si>
    <t>9763-20170724T164231.391396800.bin</t>
  </si>
  <si>
    <t>-525.865920291038 84.2665882378619 -239.792659140943</t>
  </si>
  <si>
    <t>-566.831944724878 69.9438314094023 -352.860927667901</t>
  </si>
  <si>
    <t>-587.366517300059 47.2973433971954 -470.146958572567</t>
  </si>
  <si>
    <t>-597.356244442144 23.5263441037731 -576.589415239836</t>
  </si>
  <si>
    <t>-590.012860669606 4.07020870792596 -772.652021387465</t>
  </si>
  <si>
    <t>-570.740262899499 149.334138373374 -784.86341412882</t>
  </si>
  <si>
    <t>-473.5046442566 236.065377913312 -496.403535796358</t>
  </si>
  <si>
    <t>-272.52480223854 131.169569091914 -368.943601837126</t>
  </si>
  <si>
    <t>-514.591571261012 180.398668988723 -255.689448563683</t>
  </si>
  <si>
    <t>-489.602374700089 191.780665083588 199.177163203756</t>
  </si>
  <si>
    <t>-496.311355951112 187.230216108297 668.970746623168</t>
  </si>
  <si>
    <t>-344.876541248903 176.670179559094 757.849845128972</t>
  </si>
  <si>
    <t>-440.709263883166 -25.5912958393537 221.933190467093</t>
  </si>
  <si>
    <t>-590.687755996599 -114.947604444635 658.156738385977</t>
  </si>
  <si>
    <t>-433.844099211327 -133.062893061781 735.715869877113</t>
  </si>
  <si>
    <t>9763-20170724T164231.424483900.bin</t>
  </si>
  <si>
    <t>-526.045293953165 84.3260032036707 -239.770369925284</t>
  </si>
  <si>
    <t>-567.101184689863 70.054169720317 -352.812671763776</t>
  </si>
  <si>
    <t>-587.724941130036 47.4716352438151 -470.095437073831</t>
  </si>
  <si>
    <t>-597.794195558873 23.7624339837392 -576.544198718777</t>
  </si>
  <si>
    <t>-590.575598249709 4.42593418982864 -772.622103905842</t>
  </si>
  <si>
    <t>-571.499554069863 149.706524683619 -785.06797655061</t>
  </si>
  <si>
    <t>-473.098499681832 231.811086345146 -495.650915883587</t>
  </si>
  <si>
    <t>-271.3577290005 125.970813945469 -370.189366000247</t>
  </si>
  <si>
    <t>-514.690342485002 180.308250268701 -255.656176989974</t>
  </si>
  <si>
    <t>-489.546955482814 191.595856252161 199.204235632594</t>
  </si>
  <si>
    <t>-496.227660745483 186.919736102308 668.980296489816</t>
  </si>
  <si>
    <t>-344.67365859691 177.852339362729 757.821063466159</t>
  </si>
  <si>
    <t>-440.764183358063 -25.5263492703047 221.912142297819</t>
  </si>
  <si>
    <t>-590.735580758 -114.489230322869 658.143294508425</t>
  </si>
  <si>
    <t>-434.052502594983 -133.31623786416 735.857352022649</t>
  </si>
  <si>
    <t>9763-20170724T164231.490227200.bin</t>
  </si>
  <si>
    <t>-526.190065723658 84.4007968490618 -239.728283510158</t>
  </si>
  <si>
    <t>-567.287513259422 70.1795909147536 -352.76169431897</t>
  </si>
  <si>
    <t>-587.978938324967 47.852887710897 -470.081573800519</t>
  </si>
  <si>
    <t>-598.120555869452 24.4509582187416 -576.591389232526</t>
  </si>
  <si>
    <t>-590.966238564396 5.84462076338897 -772.73117984964</t>
  </si>
  <si>
    <t>-571.648721443036 151.081447997572 -784.791731554919</t>
  </si>
  <si>
    <t>-472.416413465552 223.546188230008 -493.09326283797</t>
  </si>
  <si>
    <t>-268.898133670169 118.147021254882 -370.156645563751</t>
  </si>
  <si>
    <t>-514.744776222271 180.546711506622 -255.642135674799</t>
  </si>
  <si>
    <t>-489.676453377827 191.655393014746 199.226917262289</t>
  </si>
  <si>
    <t>-496.251839107954 187.072185986098 668.981375318768</t>
  </si>
  <si>
    <t>-344.685051721696 178.056279319744 757.805639368066</t>
  </si>
  <si>
    <t>-440.759463879175 -25.6424327340601 221.89147463961</t>
  </si>
  <si>
    <t>-590.697582381701 -114.659024483956 658.151579407892</t>
  </si>
  <si>
    <t>-434.061262717475 -133.051024420083 736.063710167443</t>
  </si>
  <si>
    <t>9763-20170724T164231.521310400.bin</t>
  </si>
  <si>
    <t>-526.18660630271 84.4426215866457 -239.731685776452</t>
  </si>
  <si>
    <t>-567.266790032434 70.2482927414269 -352.774847545019</t>
  </si>
  <si>
    <t>-587.962856149619 48.0995863652714 -470.127622724307</t>
  </si>
  <si>
    <t>-598.118174779538 24.9155729665579 -576.683698631889</t>
  </si>
  <si>
    <t>-590.956332639068 6.83772782266946 -772.864877696328</t>
  </si>
  <si>
    <t>-571.37780868196 152.130285012055 -784.560691779386</t>
  </si>
  <si>
    <t>-471.484261967743 220.674324236415 -492.141077830167</t>
  </si>
  <si>
    <t>-267.727787083324 114.527875652721 -370.246520668548</t>
  </si>
  <si>
    <t>-514.722117579028 180.672663879351 -255.657120684692</t>
  </si>
  <si>
    <t>-489.651681878472 191.647225408742 199.215071497946</t>
  </si>
  <si>
    <t>-496.183756124428 186.863255443265 668.977407367598</t>
  </si>
  <si>
    <t>-344.630853292012 177.658957108885 757.805904183887</t>
  </si>
  <si>
    <t>-440.767092997789 -25.8777983474129 221.893271763793</t>
  </si>
  <si>
    <t>-590.610997867612 -115.154797993541 658.151172542991</t>
  </si>
  <si>
    <t>-433.955063241391 -133.164259427566 736.113354247</t>
  </si>
  <si>
    <t>9763-20170724T164231.590265400.bin</t>
  </si>
  <si>
    <t>-526.361519772262 84.6868446435257 -239.718523596479</t>
  </si>
  <si>
    <t>-567.557482022251 70.5828736371049 -352.730827585531</t>
  </si>
  <si>
    <t>-588.379461990137 48.7878481524609 -470.127546030267</t>
  </si>
  <si>
    <t>-598.652095900061 26.022127576066 -576.762676253667</t>
  </si>
  <si>
    <t>-600.441919177033 0.255360806133595 -683.194420320682</t>
  </si>
  <si>
    <t>-591.595762624233 8.93018552732892 -773.021173066461</t>
  </si>
  <si>
    <t>-571.443884688102 154.15524976517 -784.410738567424</t>
  </si>
  <si>
    <t>-471.976627711814 216.828521085345 -490.532169984351</t>
  </si>
  <si>
    <t>-267.402681388296 109.738146496275 -370.852535881785</t>
  </si>
  <si>
    <t>-514.673447780517 181.06013715843 -255.64176709412</t>
  </si>
  <si>
    <t>-489.657810275321 191.955021908819 199.235323499076</t>
  </si>
  <si>
    <t>-496.236445003506 187.14647219178 668.982254084834</t>
  </si>
  <si>
    <t>-344.760847335756 177.03315997373 757.843896124885</t>
  </si>
  <si>
    <t>-440.652920312506 -25.876526921142 221.828405031729</t>
  </si>
  <si>
    <t>-590.549675455144 -115.104216896453 658.065292162178</t>
  </si>
  <si>
    <t>-433.981000927953 -132.960143066838 736.237609860053</t>
  </si>
  <si>
    <t>9763-20170724T164231.624350100.bin</t>
  </si>
  <si>
    <t>-526.369987016876 84.8552426024326 -239.78214637294</t>
  </si>
  <si>
    <t>-567.562118010017 70.8313703184783 -352.80576429962</t>
  </si>
  <si>
    <t>-588.401929497462 49.2329161666244 -470.235615341419</t>
  </si>
  <si>
    <t>-598.698076402665 26.6931094002807 -576.916369705217</t>
  </si>
  <si>
    <t>-600.517527102449 1.20115790689917 -683.413778312848</t>
  </si>
  <si>
    <t>-591.695412658465 10.1397325102565 -773.217172749563</t>
  </si>
  <si>
    <t>-571.525567002629 155.364865650761 -784.532104175344</t>
  </si>
  <si>
    <t>-472.261133896337 215.030981296194 -489.959932064022</t>
  </si>
  <si>
    <t>-267.122539885003 107.713025640763 -371.456415216719</t>
  </si>
  <si>
    <t>-514.570793862336 181.183437519981 -255.660093501533</t>
  </si>
  <si>
    <t>-489.650582824549 192.009365162121 199.223908732041</t>
  </si>
  <si>
    <t>-496.274011548913 187.294882656809 668.977293922298</t>
  </si>
  <si>
    <t>-344.813287460521 177.089015821429 757.853658352751</t>
  </si>
  <si>
    <t>-440.780053551748 -25.8606767502382 221.716266162411</t>
  </si>
  <si>
    <t>-590.602876358832 -114.879224091615 658.075098490376</t>
  </si>
  <si>
    <t>-434.145400482914 -133.500391298152 736.291498305043</t>
  </si>
  <si>
    <t>9763-20170724T164231.688563000.bin</t>
  </si>
  <si>
    <t>-526.221576559611 84.6992479743958 -239.729947590943</t>
  </si>
  <si>
    <t>-567.338223336597 70.8606915428472 -352.803918131678</t>
  </si>
  <si>
    <t>-588.235027291992 49.5875996728806 -470.282972656729</t>
  </si>
  <si>
    <t>-598.636982597999 27.3968303400446 -577.02670881817</t>
  </si>
  <si>
    <t>-600.615392246731 2.30757252230848 -683.616852806218</t>
  </si>
  <si>
    <t>-591.894991423078 11.6102070007798 -773.393202614521</t>
  </si>
  <si>
    <t>-571.583433297044 156.779185642736 -785.00678246888</t>
  </si>
  <si>
    <t>-474.009687583129 213.691076972616 -489.326937789696</t>
  </si>
  <si>
    <t>-268.332037072523 106.430322854821 -371.70930683929</t>
  </si>
  <si>
    <t>-514.237197489364 181.074871868846 -255.589437742925</t>
  </si>
  <si>
    <t>-489.283687806256 191.825917624392 199.294434807966</t>
  </si>
  <si>
    <t>-496.237461476079 187.109447484807 669.033807002771</t>
  </si>
  <si>
    <t>-344.748254394317 177.294569229875 757.905547513854</t>
  </si>
  <si>
    <t>-440.692759353546 -26.4341334886608 221.706200071502</t>
  </si>
  <si>
    <t>-590.653085987315 -115.314801584688 658.090388149278</t>
  </si>
  <si>
    <t>-434.03608987499 -133.365349253818 736.121132746284</t>
  </si>
  <si>
    <t>9763-20170724T164231.721620500.bin</t>
  </si>
  <si>
    <t>-526.029919586973 84.6958925390933 -239.776271523652</t>
  </si>
  <si>
    <t>-567.222538805162 70.9908628092389 -352.83875114562</t>
  </si>
  <si>
    <t>-588.207341129324 49.8595594023968 -470.327844470305</t>
  </si>
  <si>
    <t>-598.69233256214 27.7999078395922 -577.090573735014</t>
  </si>
  <si>
    <t>-600.756556301797 2.84512615681555 -683.71069204678</t>
  </si>
  <si>
    <t>-592.067343132467 12.2570420767427 -773.478601027179</t>
  </si>
  <si>
    <t>-571.516352186293 157.424636030603 -785.368823279428</t>
  </si>
  <si>
    <t>-476.689990725778 211.982612099866 -488.354388657385</t>
  </si>
  <si>
    <t>-270.893268216352 104.644381555203 -371.016133875703</t>
  </si>
  <si>
    <t>-513.903647843034 181.080886735164 -255.558231862456</t>
  </si>
  <si>
    <t>-489.1978331781 191.817856169074 199.339526646686</t>
  </si>
  <si>
    <t>-496.257592221944 187.110227007024 669.066625035868</t>
  </si>
  <si>
    <t>-344.791954688145 176.874450228235 757.931148467512</t>
  </si>
  <si>
    <t>-440.732396114846 -26.4553224304659 221.640597256679</t>
  </si>
  <si>
    <t>-590.70353390354 -115.081992498334 658.019817718913</t>
  </si>
  <si>
    <t>-434.159100393793 -133.759911286632 736.04860472574</t>
  </si>
  <si>
    <t>9763-20170724T164231.788346600.bin</t>
  </si>
  <si>
    <t>-525.561954353546 84.2762639884163 -239.879513351432</t>
  </si>
  <si>
    <t>-566.514193458883 70.7930158596411 -353.055995178785</t>
  </si>
  <si>
    <t>-587.351148273589 49.8358078408957 -470.602521909831</t>
  </si>
  <si>
    <t>-597.741620584764 27.9179273636903 -577.403781953188</t>
  </si>
  <si>
    <t>-599.750312865213 3.09183568990183 -684.055006865641</t>
  </si>
  <si>
    <t>-590.996691055873 12.598967128918 -773.806475705089</t>
  </si>
  <si>
    <t>-571.044916101254 157.782615996557 -785.913061068524</t>
  </si>
  <si>
    <t>-481.125343275975 209.949525999334 -486.949222262024</t>
  </si>
  <si>
    <t>-274.977746212413 101.910933233122 -370.876570210648</t>
  </si>
  <si>
    <t>-513.115304412962 180.825734577528 -255.526645266885</t>
  </si>
  <si>
    <t>-488.696743711685 191.772975956304 199.381576648369</t>
  </si>
  <si>
    <t>-496.343741962623 187.125648728694 669.136840296614</t>
  </si>
  <si>
    <t>-344.762811134052 177.043261735444 757.822139800459</t>
  </si>
  <si>
    <t>-440.882883449909 -27.2865378790654 221.42251822903</t>
  </si>
  <si>
    <t>-590.644122909775 -115.438432143899 657.972622429109</t>
  </si>
  <si>
    <t>-434.030286835008 -133.283243199973 736.057033190455</t>
  </si>
  <si>
    <t>9763-20170724T164231.821437200.bin</t>
  </si>
  <si>
    <t>-525.250346697344 83.8992178932223 -239.953467323778</t>
  </si>
  <si>
    <t>-566.148955305337 70.4921252037799 -353.158423940589</t>
  </si>
  <si>
    <t>-586.967573271903 49.635580815185 -470.726131639361</t>
  </si>
  <si>
    <t>-597.355067277846 27.8216089855589 -577.548970471036</t>
  </si>
  <si>
    <t>-599.373557288471 3.11409450560549 -684.22742835151</t>
  </si>
  <si>
    <t>-590.64874439137 12.7337791400992 -773.96976408482</t>
  </si>
  <si>
    <t>-571.090737149694 157.958929617338 -786.153039982627</t>
  </si>
  <si>
    <t>-483.460120632401 208.969747052909 -486.311499660742</t>
  </si>
  <si>
    <t>-276.983893539413 100.820580120769 -370.927936090724</t>
  </si>
  <si>
    <t>-512.652193568234 180.387042436304 -255.55130050659</t>
  </si>
  <si>
    <t>-488.456415393878 191.704244080948 199.359767504884</t>
  </si>
  <si>
    <t>-496.264434908013 186.997677999897 669.067511717163</t>
  </si>
  <si>
    <t>-344.595238770621 177.674310245794 757.684852837438</t>
  </si>
  <si>
    <t>-440.999077307811 -27.5895818132738 221.369831192929</t>
  </si>
  <si>
    <t>-590.623475057575 -115.653025633263 657.995741723909</t>
  </si>
  <si>
    <t>-434.034297165968 -133.775219416189 736.065877018513</t>
  </si>
  <si>
    <t>9763-20170724T164231.892131300.bin</t>
  </si>
  <si>
    <t>-524.877321217944 82.5465947088639 -240.442182497881</t>
  </si>
  <si>
    <t>-565.880055589672 69.5486510965668 -353.65709327821</t>
  </si>
  <si>
    <t>-586.715761532404 49.0323418596454 -471.28150441611</t>
  </si>
  <si>
    <t>-597.08210404689 27.4939446168864 -578.162270535561</t>
  </si>
  <si>
    <t>-599.042958715589 3.02807970394946 -684.897636181486</t>
  </si>
  <si>
    <t>-590.251667066181 12.8304971912451 -774.613766846308</t>
  </si>
  <si>
    <t>-571.201819453955 158.133195608545 -786.805982278783</t>
  </si>
  <si>
    <t>-488.123299334994 206.810316275267 -485.285290362004</t>
  </si>
  <si>
    <t>-281.29850195265 98.4819648165093 -370.696745619252</t>
  </si>
  <si>
    <t>-512.378341687049 179.195291491305 -255.644793872413</t>
  </si>
  <si>
    <t>-488.47390172982 191.526825245997 199.255418659289</t>
  </si>
  <si>
    <t>-496.346188463061 187.221296815079 669.092781937284</t>
  </si>
  <si>
    <t>-344.490918713784 177.989278452428 757.40049904045</t>
  </si>
  <si>
    <t>-442.325678165234 -27.9979979873225 220.850133180759</t>
  </si>
  <si>
    <t>-590.57942784168 -115.246049498022 658.050489607886</t>
  </si>
  <si>
    <t>-434.246508549877 -134.016211295019 736.480143371968</t>
  </si>
  <si>
    <t>9763-20170724T164231.924215900.bin</t>
  </si>
  <si>
    <t>-524.897092056379 81.5525877714026 -240.761410078328</t>
  </si>
  <si>
    <t>-565.876801654445 68.7967781026619 -354.012237722026</t>
  </si>
  <si>
    <t>-586.669916669083 48.4715938429723 -471.677502323978</t>
  </si>
  <si>
    <t>-596.990919977386 27.0809404462094 -578.592294214386</t>
  </si>
  <si>
    <t>-598.900752207885 2.73524826762724 -685.355957355986</t>
  </si>
  <si>
    <t>-590.07941098091 12.6230473498094 -775.059827554586</t>
  </si>
  <si>
    <t>-571.149932088792 157.946266291797 -787.2335540367</t>
  </si>
  <si>
    <t>-490.625270184737 205.931395954977 -484.910176170261</t>
  </si>
  <si>
    <t>-284.040230064303 97.2340823630616 -370.238513071425</t>
  </si>
  <si>
    <t>-512.52794506 178.39743812867 -255.640859796104</t>
  </si>
  <si>
    <t>-488.641870357153 191.121138323408 199.249504456466</t>
  </si>
  <si>
    <t>-496.496390402677 187.371791313869 669.187359233522</t>
  </si>
  <si>
    <t>-344.526279888197 177.698985688848 757.249970555023</t>
  </si>
  <si>
    <t>-443.525823848381 -28.6851402269571 220.535824825113</t>
  </si>
  <si>
    <t>-590.521866566703 -115.429794239114 658.252745356268</t>
  </si>
  <si>
    <t>-434.232813356463 -133.8847264364 736.844434097936</t>
  </si>
  <si>
    <t>9763-20170724T164231.992417000.bin</t>
  </si>
  <si>
    <t>-525.077751596489 78.3124274428582 -241.568897834147</t>
  </si>
  <si>
    <t>-566.01974379619 66.3080439302393 -354.915506249405</t>
  </si>
  <si>
    <t>-586.698946607474 46.5491396228139 -472.697297745373</t>
  </si>
  <si>
    <t>-596.886631924812 25.5895829955094 -579.710110945732</t>
  </si>
  <si>
    <t>-598.634354787709 1.59097913289648 -686.555111419321</t>
  </si>
  <si>
    <t>-589.789192677677 11.7377226786487 -776.227648319151</t>
  </si>
  <si>
    <t>-571.808613564564 157.189342482472 -788.09119104206</t>
  </si>
  <si>
    <t>-494.746243841139 204.029917478579 -484.687992751457</t>
  </si>
  <si>
    <t>-288.119307689033 94.7657435565474 -370.632210811875</t>
  </si>
  <si>
    <t>-512.941216406378 175.738097872511 -255.54915841162</t>
  </si>
  <si>
    <t>-488.47602085431 189.186672938502 199.289589838641</t>
  </si>
  <si>
    <t>-496.66976620813 187.168307978488 669.356372765807</t>
  </si>
  <si>
    <t>-344.528983005996 177.338277082495 757.106314160987</t>
  </si>
  <si>
    <t>-447.070838768956 -31.0752270987865 219.622995088743</t>
  </si>
  <si>
    <t>-590.280200857429 -116.172624967878 658.863413669783</t>
  </si>
  <si>
    <t>-433.99180925789 -132.989305581863 737.823156174807</t>
  </si>
  <si>
    <t>9763-20170724T164232.022528400.bin</t>
  </si>
  <si>
    <t>-525.229220537131 76.1043708556224 -242.104174030362</t>
  </si>
  <si>
    <t>-566.338771898058 64.6357835480071 -355.445606092977</t>
  </si>
  <si>
    <t>-587.073594400368 45.2911170340223 -473.286149557263</t>
  </si>
  <si>
    <t>-597.263950951055 24.6529272365921 -580.361329669427</t>
  </si>
  <si>
    <t>-598.966739764657 0.920449277986727 -687.266446144179</t>
  </si>
  <si>
    <t>-590.142853158909 11.2696669327569 -776.91801314609</t>
  </si>
  <si>
    <t>-572.735619840074 156.817468185521 -788.666491363629</t>
  </si>
  <si>
    <t>-497.210432252648 202.270351099271 -484.66620806156</t>
  </si>
  <si>
    <t>-290.229486718197 92.975989109417 -371.283425743183</t>
  </si>
  <si>
    <t>-513.262863629821 173.931259649967 -255.466075230363</t>
  </si>
  <si>
    <t>-488.3110010014 187.848266674497 199.332075183268</t>
  </si>
  <si>
    <t>-496.859909960903 187.174740775069 669.482414085052</t>
  </si>
  <si>
    <t>-344.578780135823 177.672000513671 757.024708585786</t>
  </si>
  <si>
    <t>-449.373367979577 -32.571640381066 218.990400505332</t>
  </si>
  <si>
    <t>-589.966199569941 -116.866156492572 659.235625617622</t>
  </si>
  <si>
    <t>-433.854949452314 -132.54144448245 738.778425801121</t>
  </si>
  <si>
    <t>9763-20170724T164232.088680000.bin</t>
  </si>
  <si>
    <t>-525.761983483789 70.0852879299313 -243.134283701266</t>
  </si>
  <si>
    <t>-566.946141054801 59.905382860927 -356.57164587061</t>
  </si>
  <si>
    <t>-587.700854909029 41.6063339062051 -474.575695728476</t>
  </si>
  <si>
    <t>-597.88766170587 21.8012086787926 -581.808179719795</t>
  </si>
  <si>
    <t>-590.845327363503 9.67202868968491 -778.46701201801</t>
  </si>
  <si>
    <t>-574.356101054345 155.326973759316 -789.978198260999</t>
  </si>
  <si>
    <t>-502.92129267972 196.763052354834 -484.419081936487</t>
  </si>
  <si>
    <t>-295.178318231953 87.0843017699721 -372.815028791796</t>
  </si>
  <si>
    <t>-513.908664643163 168.704222760205 -255.041486957758</t>
  </si>
  <si>
    <t>-488.475194898771 183.906392785764 199.688912260177</t>
  </si>
  <si>
    <t>-497.396859841225 186.387715883852 670.085057320838</t>
  </si>
  <si>
    <t>-344.518747415198 178.051250284467 756.700813165623</t>
  </si>
  <si>
    <t>-455.441579837798 -36.5207946775039 217.590326199733</t>
  </si>
  <si>
    <t>-589.386874479246 -118.050591556549 660.546733117623</t>
  </si>
  <si>
    <t>-433.539908305224 -131.312213281672 741.041203715941</t>
  </si>
  <si>
    <t>9763-20170724T164232.121768900.bin</t>
  </si>
  <si>
    <t>-526.042131995648 66.888997902733 -243.623894284293</t>
  </si>
  <si>
    <t>-567.175224955025 57.5266707288938 -357.150199295193</t>
  </si>
  <si>
    <t>-587.846228245936 39.9053936033733 -475.271953764956</t>
  </si>
  <si>
    <t>-597.944981226472 20.6486680576832 -582.612782452409</t>
  </si>
  <si>
    <t>-590.795923669422 9.36997127932241 -779.328606283923</t>
  </si>
  <si>
    <t>-574.676132049619 155.079524432056 -790.528750646468</t>
  </si>
  <si>
    <t>-506.166594462145 193.887355263798 -483.956419171986</t>
  </si>
  <si>
    <t>-297.990574056114 83.5323258720743 -373.835611531017</t>
  </si>
  <si>
    <t>-514.494617652577 166.303556200423 -254.647423712878</t>
  </si>
  <si>
    <t>-488.887479967936 181.966589388247 200.057592473827</t>
  </si>
  <si>
    <t>-498.049629251762 186.665520990672 670.579523375805</t>
  </si>
  <si>
    <t>-344.815407756921 177.589419563759 756.488751508175</t>
  </si>
  <si>
    <t>-459.369741517354 -39.3725175775848 216.87479609215</t>
  </si>
  <si>
    <t>-588.98346171208 -119.069143384847 661.402537413333</t>
  </si>
  <si>
    <t>-433.226177171257 -129.96167529763 742.424366588201</t>
  </si>
  <si>
    <t>9763-20170724T164232.189954500.bin</t>
  </si>
  <si>
    <t>-526.395288247707 59.8182425879443 -244.385234469782</t>
  </si>
  <si>
    <t>-567.323296395054 52.3354805561692 -358.124891664387</t>
  </si>
  <si>
    <t>-587.734690571909 36.3273005719734 -476.521131923867</t>
  </si>
  <si>
    <t>-597.577365745641 18.4085628957028 -584.117144505961</t>
  </si>
  <si>
    <t>-590.144522305296 9.30756883918338 -780.956526720845</t>
  </si>
  <si>
    <t>-575.123024294082 155.259048988679 -790.754671343825</t>
  </si>
  <si>
    <t>-511.755383064005 188.764622326358 -482.456050201729</t>
  </si>
  <si>
    <t>-302.795555686936 77.8932483826708 -374.35709550721</t>
  </si>
  <si>
    <t>-515.157378112076 160.418744079323 -253.586360071408</t>
  </si>
  <si>
    <t>-489.294155096283 177.21577629282 201.063636176827</t>
  </si>
  <si>
    <t>-498.934465125391 186.237635000432 671.430421552708</t>
  </si>
  <si>
    <t>-344.922304377977 178.331686257704 756.054700819741</t>
  </si>
  <si>
    <t>-467.96467083119 -45.9434421327069 215.92299861007</t>
  </si>
  <si>
    <t>-588.70912856277 -120.630102627991 664.022039284644</t>
  </si>
  <si>
    <t>-433.041359396204 -128.582882944314 745.556198119388</t>
  </si>
  <si>
    <t>9763-20170724T164232.222042300.bin</t>
  </si>
  <si>
    <t>-526.373554206704 55.9203007484054 -244.695256187717</t>
  </si>
  <si>
    <t>-567.224433418547 49.224867665418 -358.511688235387</t>
  </si>
  <si>
    <t>-587.48932736085 34.0285474350759 -477.040019740146</t>
  </si>
  <si>
    <t>-597.171977218191 16.84524887398 -584.77051818695</t>
  </si>
  <si>
    <t>-589.521716771815 9.10186192941909 -781.663713059452</t>
  </si>
  <si>
    <t>-575.196294154077 155.18313878888 -790.374795276466</t>
  </si>
  <si>
    <t>-513.224695514605 185.288913677759 -481.442109621563</t>
  </si>
  <si>
    <t>-303.433526844221 75.7514056757107 -373.594025277676</t>
  </si>
  <si>
    <t>-515.276034328551 156.919953538668 -253.123048568281</t>
  </si>
  <si>
    <t>-489.300611797629 174.617847648341 201.4863733855</t>
  </si>
  <si>
    <t>-499.196532084192 185.996555767445 671.722059332545</t>
  </si>
  <si>
    <t>-344.969676653455 178.364206794081 755.979582727285</t>
  </si>
  <si>
    <t>-472.279836157664 -49.4259352287394 215.544408562757</t>
  </si>
  <si>
    <t>-588.581047209823 -121.540886338227 665.318874415656</t>
  </si>
  <si>
    <t>-432.827958096063 -127.281290388407 746.875873089408</t>
  </si>
  <si>
    <t>9763-20170724T164232.291795200.bin</t>
  </si>
  <si>
    <t>-526.742885721764 46.1366945630701 -241.237661080185</t>
  </si>
  <si>
    <t>-567.505624147719 40.7453283464277 -355.154924869673</t>
  </si>
  <si>
    <t>-587.512770117052 27.1589309281728 -473.922289283955</t>
  </si>
  <si>
    <t>-596.89515312462 11.5329272998105 -581.916091280891</t>
  </si>
  <si>
    <t>-588.922570940169 6.89884170443776 -778.895354148592</t>
  </si>
  <si>
    <t>-576.483340105789 153.312276930041 -784.829372995059</t>
  </si>
  <si>
    <t>-513.271077574023 179.017235999843 -475.750622031179</t>
  </si>
  <si>
    <t>-303.345141756474 75.4445916786263 -362.411025071616</t>
  </si>
  <si>
    <t>-516.580220354125 146.417036344586 -249.0207549298</t>
  </si>
  <si>
    <t>-489.328378371445 165.989227419603 205.437097280454</t>
  </si>
  <si>
    <t>-501.051097120305 179.858759579224 674.696458867824</t>
  </si>
  <si>
    <t>-346.249861703816 174.040952751819 758.040496061599</t>
  </si>
  <si>
    <t>-482.049485790203 -56.7068384586817 219.745089925387</t>
  </si>
  <si>
    <t>-588.620959069428 -122.301843116603 673.750399919398</t>
  </si>
  <si>
    <t>-432.552592625753 -125.61748823344 754.83787927982</t>
  </si>
  <si>
    <t>9763-20170724T164232.323879500.bin</t>
  </si>
  <si>
    <t>-526.795452285148 41.2673472003646 -241.70103979327</t>
  </si>
  <si>
    <t>-567.413581356666 36.290561937076 -355.688764402088</t>
  </si>
  <si>
    <t>-587.257022876 23.3374697762309 -474.554405745317</t>
  </si>
  <si>
    <t>-596.485716234417 8.36409675817895 -582.653815192113</t>
  </si>
  <si>
    <t>-588.470254143753 5.13013758313311 -779.659226434302</t>
  </si>
  <si>
    <t>-577.059469555255 151.669666708135 -784.488736105217</t>
  </si>
  <si>
    <t>-511.647293161504 176.48700309624 -475.795442428801</t>
  </si>
  <si>
    <t>-301.872922422382 75.1609033786909 -360.167700405587</t>
  </si>
  <si>
    <t>-517.013272280672 142.059072418429 -248.798069509216</t>
  </si>
  <si>
    <t>-488.871680532209 162.725454211831 205.557018363262</t>
  </si>
  <si>
    <t>-501.212661068767 180.106443764918 674.748565148282</t>
  </si>
  <si>
    <t>-346.361077010786 173.894636170596 757.970706981937</t>
  </si>
  <si>
    <t>-487.045633187985 -60.7667972743511 218.94902311219</t>
  </si>
  <si>
    <t>-588.625772445811 -123.255149320397 674.19247125032</t>
  </si>
  <si>
    <t>-432.33900991016 -123.843658615262 754.924267154377</t>
  </si>
  <si>
    <t>9763-20170724T164232.388564200.bin</t>
  </si>
  <si>
    <t>-526.043163772613 32.9811533869955 -242.57995447381</t>
  </si>
  <si>
    <t>-566.054609673774 28.8049123459677 -356.81405203723</t>
  </si>
  <si>
    <t>-585.513346917022 16.9251000063932 -475.855202478227</t>
  </si>
  <si>
    <t>-594.489863928925 3.0296568268223 -584.11973899002</t>
  </si>
  <si>
    <t>-586.746512521563 2.06686784238136 -781.168398299728</t>
  </si>
  <si>
    <t>-577.572862316764 148.788609395448 -783.998365730861</t>
  </si>
  <si>
    <t>-506.540691200624 172.114004242819 -476.432823974418</t>
  </si>
  <si>
    <t>-298.580809326415 81.7051011527858 -349.071215019796</t>
  </si>
  <si>
    <t>-517.072900618011 134.855588946427 -248.395319691988</t>
  </si>
  <si>
    <t>-486.850720526318 158.126893912137 205.700133465981</t>
  </si>
  <si>
    <t>-501.449292477831 179.653470461358 674.774634586525</t>
  </si>
  <si>
    <t>-346.619983000954 172.929633069748 757.998325134913</t>
  </si>
  <si>
    <t>-496.591956054086 -68.3424033398893 217.652042708668</t>
  </si>
  <si>
    <t>-588.861711496803 -124.483723330841 675.622068603801</t>
  </si>
  <si>
    <t>-432.274735483071 -120.780508249811 755.686434733434</t>
  </si>
  <si>
    <t>9763-20170724T164232.425664500.bin</t>
  </si>
  <si>
    <t>-525.454751693979 28.8858971421789 -240.219968388686</t>
  </si>
  <si>
    <t>-565.311853706456 25.0277786086566 -354.5193354466</t>
  </si>
  <si>
    <t>-584.635879666198 13.5966955997994 -473.626241781768</t>
  </si>
  <si>
    <t>-593.496376260466 0.167023272116822 -581.958985089177</t>
  </si>
  <si>
    <t>-585.832805677581 0.237395367625354 -779.014927936619</t>
  </si>
  <si>
    <t>-577.502002812186 147.029175835822 -780.886133566097</t>
  </si>
  <si>
    <t>-503.090262761154 171.604523795727 -474.218289122659</t>
  </si>
  <si>
    <t>-295.727782137414 89.617453329295 -340.349050201492</t>
  </si>
  <si>
    <t>-517.236561046561 130.294813572806 -246.014856433437</t>
  </si>
  <si>
    <t>-486.012567811138 154.803683491194 207.947751928254</t>
  </si>
  <si>
    <t>-502.635288662443 176.662238953535 676.720220185255</t>
  </si>
  <si>
    <t>-347.519150894797 172.140488991412 759.557703897149</t>
  </si>
  <si>
    <t>-500.494446835628 -71.9767408328123 220.488872057858</t>
  </si>
  <si>
    <t>-588.69203868506 -125.195551226302 679.985457259428</t>
  </si>
  <si>
    <t>-432.013352593377 -119.886307389912 759.779488881965</t>
  </si>
  <si>
    <t>9763-20170724T164232.490849600.bin</t>
  </si>
  <si>
    <t>-524.244609866967 21.378772095503 -241.106715078196</t>
  </si>
  <si>
    <t>-564.280337974602 17.9095075006202 -355.355879023078</t>
  </si>
  <si>
    <t>-583.633994690044 7.02929379482352 -474.509775189123</t>
  </si>
  <si>
    <t>-578.51834423996 142.43103582116 -780.103271671976</t>
  </si>
  <si>
    <t>-496.021122993594 169.74797821489 -475.744545957252</t>
  </si>
  <si>
    <t>-288.439859107986 130.115120750817 -324.148785997634</t>
  </si>
  <si>
    <t>-517.801500779245 122.535597868093 -245.955124023723</t>
  </si>
  <si>
    <t>-484.433918658389 149.169971446606 207.735237126526</t>
  </si>
  <si>
    <t>-503.734087635634 174.292781020927 676.178436264329</t>
  </si>
  <si>
    <t>-348.726881853133 169.449648278053 759.20149400856</t>
  </si>
  <si>
    <t>-508.082396655963 -77.9669191480219 219.194598319377</t>
  </si>
  <si>
    <t>-588.758958891267 -125.564082099226 679.992783199623</t>
  </si>
  <si>
    <t>-431.7841636018 -118.718046985041 759.084919641919</t>
  </si>
  <si>
    <t>9763-20170724T164232.524942000.bin</t>
  </si>
  <si>
    <t>-523.122499522082 19.2449532341035 -241.690321586906</t>
  </si>
  <si>
    <t>-562.922635676691 15.8452538273923 -356.023946445184</t>
  </si>
  <si>
    <t>-582.107514723638 5.14872530200073 -475.221701919294</t>
  </si>
  <si>
    <t>-578.119180669503 141.375720169215 -779.979172368205</t>
  </si>
  <si>
    <t>-490.716192362507 169.103120019676 -477.030173675987</t>
  </si>
  <si>
    <t>-278.414865182489 158.979229745564 -327.137848454215</t>
  </si>
  <si>
    <t>-517.2185492821 120.716551700978 -246.228231442504</t>
  </si>
  <si>
    <t>-483.259317411283 147.952796555005 207.382350142245</t>
  </si>
  <si>
    <t>-503.653822689713 173.624315042909 675.906855875653</t>
  </si>
  <si>
    <t>-348.693802403188 169.533829483611 759.058176610347</t>
  </si>
  <si>
    <t>-511.279391107672 -80.0937166188465 218.51615649975</t>
  </si>
  <si>
    <t>-588.774828758233 -125.896652622518 680.080988810399</t>
  </si>
  <si>
    <t>-431.584252304043 -118.182210662115 758.662829559057</t>
  </si>
  <si>
    <t>9763-20170724T164232.588811200.bin</t>
  </si>
  <si>
    <t>-520.875353355203 16.9385083787923 -242.47702454776</t>
  </si>
  <si>
    <t>-560.366173358208 13.5294244425327 -356.917629516326</t>
  </si>
  <si>
    <t>-579.308344010066 3.05774140909519 -476.174195283108</t>
  </si>
  <si>
    <t>-576.767843795167 140.573398701486 -778.441053438994</t>
  </si>
  <si>
    <t>-479.180309758396 174.486043075448 -479.254196097683</t>
  </si>
  <si>
    <t>-259.02556965281 198.64690401859 -342.908120268952</t>
  </si>
  <si>
    <t>-516.250015826618 118.074915278512 -246.50584929319</t>
  </si>
  <si>
    <t>-481.526310343045 147.214951469699 206.928606316007</t>
  </si>
  <si>
    <t>-503.637155253692 173.295673686698 675.459583879005</t>
  </si>
  <si>
    <t>-348.800814691345 169.258978164467 758.843887688195</t>
  </si>
  <si>
    <t>-515.10129461391 -82.0518566388764 217.759398859913</t>
  </si>
  <si>
    <t>-589.139425864665 -125.289205742221 680.023039919909</t>
  </si>
  <si>
    <t>-431.289211886764 -116.999195783081 757.21171654903</t>
  </si>
  <si>
    <t>9763-20170724T164232.625912900.bin</t>
  </si>
  <si>
    <t>-519.906821307088 16.6385946578993 -242.70514481465</t>
  </si>
  <si>
    <t>-559.454980526763 13.0106441264155 -357.119220750499</t>
  </si>
  <si>
    <t>-578.341560386554 2.49921896372724 -476.380912963688</t>
  </si>
  <si>
    <t>-576.313660847436 140.345724752172 -777.719378370284</t>
  </si>
  <si>
    <t>-474.436981687969 180.538524472825 -480.748208517186</t>
  </si>
  <si>
    <t>-252.404826899091 211.142750516891 -348.812057102759</t>
  </si>
  <si>
    <t>-515.746951590163 117.440239712266 -246.708188693213</t>
  </si>
  <si>
    <t>-481.123337948627 146.753055632088 206.72273627202</t>
  </si>
  <si>
    <t>-503.542301450044 172.846938602469 675.294131544758</t>
  </si>
  <si>
    <t>-348.695445686623 169.831917803764 758.701975192948</t>
  </si>
  <si>
    <t>-515.246487416453 -81.7113660113244 217.558043379704</t>
  </si>
  <si>
    <t>-589.200093835849 -124.812587621963 679.796874405653</t>
  </si>
  <si>
    <t>-431.086640542588 -116.961933429766 756.491179483516</t>
  </si>
  <si>
    <t>9763-20170724T164232.695127700.bin</t>
  </si>
  <si>
    <t>-518.620830296296 16.9788443508137 -242.860163678815</t>
  </si>
  <si>
    <t>-558.343242516748 12.7478145262249 -357.19319297561</t>
  </si>
  <si>
    <t>-577.061778875073 1.94636676659132 -476.455509671209</t>
  </si>
  <si>
    <t>-576.312042003172 139.882284111379 -777.423561409127</t>
  </si>
  <si>
    <t>-470.594407791468 190.794082182226 -483.45428038059</t>
  </si>
  <si>
    <t>-250.209991837604 224.815024031159 -349.606047095837</t>
  </si>
  <si>
    <t>-515.777287746908 117.10233832456 -246.953505289632</t>
  </si>
  <si>
    <t>-481.511746813756 146.999279706341 206.466508245425</t>
  </si>
  <si>
    <t>-503.648927076692 172.94308516202 675.089970904169</t>
  </si>
  <si>
    <t>-348.817279250641 169.060337011387 758.490193207136</t>
  </si>
  <si>
    <t>-512.605467141251 -79.8268637377107 217.493674329037</t>
  </si>
  <si>
    <t>-589.023712332243 -124.137619861785 679.268739746904</t>
  </si>
  <si>
    <t>-430.859736119278 -116.988844933866 755.927401307029</t>
  </si>
  <si>
    <t>9763-20170724T164232.721175500.bin</t>
  </si>
  <si>
    <t>-518.142488403469 17.1746137815132 -242.927841771848</t>
  </si>
  <si>
    <t>-558.048446079126 12.5562525159927 -357.181834261413</t>
  </si>
  <si>
    <t>-576.755451708343 1.4808011264798 -476.420881655098</t>
  </si>
  <si>
    <t>-576.953455759502 138.997968072452 -777.578716006485</t>
  </si>
  <si>
    <t>-470.596538776795 194.149893647146 -484.606679994287</t>
  </si>
  <si>
    <t>-251.655461291466 228.877563272632 -348.588683743996</t>
  </si>
  <si>
    <t>-516.110120162103 117.08510367827 -247.017451245267</t>
  </si>
  <si>
    <t>-481.973229178094 147.270935038744 206.393101960694</t>
  </si>
  <si>
    <t>-503.717099624207 173.038036965924 675.034030250209</t>
  </si>
  <si>
    <t>-348.84673072835 169.311808408663 758.369485648731</t>
  </si>
  <si>
    <t>-510.850895185088 -79.0045654050436 217.501788818889</t>
  </si>
  <si>
    <t>-588.69327822144 -124.480935397754 679.033827536509</t>
  </si>
  <si>
    <t>-430.705949439317 -116.75277577592 755.999869017437</t>
  </si>
  <si>
    <t>9763-20170724T164232.788879800.bin</t>
  </si>
  <si>
    <t>-517.600302973701 17.4088425648037 -242.93356703622</t>
  </si>
  <si>
    <t>-557.571470371728 11.9551599639995 -357.127990189902</t>
  </si>
  <si>
    <t>-576.125532219785 0.3173578207834 -476.337394074226</t>
  </si>
  <si>
    <t>-577.727826988805 136.935004419045 -777.827275394749</t>
  </si>
  <si>
    <t>-471.640888532115 198.339740004294 -486.003268401288</t>
  </si>
  <si>
    <t>-253.573296057623 231.407784276147 -348.180729020715</t>
  </si>
  <si>
    <t>-516.889385586378 116.818144742676 -247.132032650394</t>
  </si>
  <si>
    <t>-483.404452046258 147.203083533975 206.313912818583</t>
  </si>
  <si>
    <t>-503.708762235941 172.58485818196 675.058394668989</t>
  </si>
  <si>
    <t>-348.668671852563 170.969562170704 758.145595450873</t>
  </si>
  <si>
    <t>-508.422441379528 -77.8551443987847 217.625232173683</t>
  </si>
  <si>
    <t>-588.400510311747 -124.509018760638 678.772398981508</t>
  </si>
  <si>
    <t>-430.580128505667 -116.123520383207 756.011815111528</t>
  </si>
  <si>
    <t>9763-20170724T164232.822970800.bin</t>
  </si>
  <si>
    <t>-517.705611495782 17.6448916256225 -242.881523520363</t>
  </si>
  <si>
    <t>-557.606023442527 11.8924835212318 -357.086154778875</t>
  </si>
  <si>
    <t>-576.082015049575 0.0385588234605194 -476.286290638833</t>
  </si>
  <si>
    <t>-578.227373142717 136.279396740586 -777.811287090027</t>
  </si>
  <si>
    <t>-472.398663476639 199.357696603889 -486.250645634825</t>
  </si>
  <si>
    <t>-254.192858560443 230.75382025855 -348.25576629551</t>
  </si>
  <si>
    <t>-517.723625561281 117.059383930137 -247.111825947796</t>
  </si>
  <si>
    <t>-484.217392944924 147.464722767396 206.331166732319</t>
  </si>
  <si>
    <t>-503.851858481116 172.757936236917 675.112662027954</t>
  </si>
  <si>
    <t>-348.767683607648 170.632551710079 758.106006339738</t>
  </si>
  <si>
    <t>-508.033850118713 -77.6557426526261 217.678567426294</t>
  </si>
  <si>
    <t>-588.148634237168 -124.933391915963 678.756409423169</t>
  </si>
  <si>
    <t>-430.552687376232 -115.466110319369 756.328195894396</t>
  </si>
  <si>
    <t>9763-20170724T164232.890653500.bin</t>
  </si>
  <si>
    <t>-518.374802038193 18.6102672749876 -242.871321895041</t>
  </si>
  <si>
    <t>-558.322059896344 12.2984971778502 -357.02999351018</t>
  </si>
  <si>
    <t>-576.779872947614 0.155701755254157 -476.203797073365</t>
  </si>
  <si>
    <t>-580.239780186811 136.288705725549 -777.763555005245</t>
  </si>
  <si>
    <t>-472.819605587762 198.351818113278 -486.567294877187</t>
  </si>
  <si>
    <t>-256.521236097268 223.525983157923 -344.358549383678</t>
  </si>
  <si>
    <t>-519.269378898884 118.022341009862 -247.237957647561</t>
  </si>
  <si>
    <t>-485.658397998531 147.964975162006 206.228065336046</t>
  </si>
  <si>
    <t>-503.876925762844 172.573303408247 675.101298780467</t>
  </si>
  <si>
    <t>-348.660650655809 171.029816137286 757.860124314431</t>
  </si>
  <si>
    <t>-507.893991356953 -77.0241787365933 217.875195193762</t>
  </si>
  <si>
    <t>-588.129371216557 -124.716511930705 678.857762682078</t>
  </si>
  <si>
    <t>-430.689061962328 -115.143195694632 756.732107451345</t>
  </si>
  <si>
    <t>9763-20170724T164232.922739900.bin</t>
  </si>
  <si>
    <t>-518.814313237555 18.943331360211 -242.747778650211</t>
  </si>
  <si>
    <t>-558.709975683029 12.4364989239669 -356.9133879088</t>
  </si>
  <si>
    <t>-577.150279116708 0.207429967980673 -476.081298652423</t>
  </si>
  <si>
    <t>-581.181393366692 136.299054623339 -777.706102571181</t>
  </si>
  <si>
    <t>-472.072873185297 196.936841427178 -486.837417897995</t>
  </si>
  <si>
    <t>-257.769933396768 217.044865562908 -340.851209353067</t>
  </si>
  <si>
    <t>-520.108665716056 118.376641109155 -247.167063676766</t>
  </si>
  <si>
    <t>-486.356154194289 148.368467679054 206.285176658283</t>
  </si>
  <si>
    <t>-503.970495978489 172.629600153744 675.15434975194</t>
  </si>
  <si>
    <t>-348.668274840597 171.528162038063 757.758923935903</t>
  </si>
  <si>
    <t>-507.546379549654 -76.8576966953948 218.000836907316</t>
  </si>
  <si>
    <t>-587.933432900316 -125.137160631925 678.893051447979</t>
  </si>
  <si>
    <t>-430.624275456966 -114.401046546647 756.880748513095</t>
  </si>
  <si>
    <t>9763-20170724T164232.987939500.bin</t>
  </si>
  <si>
    <t>-519.906061761032 19.9369816087163 -242.391658019416</t>
  </si>
  <si>
    <t>-559.858948993992 13.2783174738453 -356.528468916351</t>
  </si>
  <si>
    <t>-578.323280878657 1.00347883562863 -475.687947106005</t>
  </si>
  <si>
    <t>-582.303861271031 137.147062674767 -777.565523530163</t>
  </si>
  <si>
    <t>-470.645066698244 194.226034449236 -486.944657368511</t>
  </si>
  <si>
    <t>-261.990989987556 198.67108745929 -331.748674069389</t>
  </si>
  <si>
    <t>-521.831102837261 119.118238498563 -246.912019723072</t>
  </si>
  <si>
    <t>-487.706872583798 149.028416160415 206.51780112982</t>
  </si>
  <si>
    <t>-504.159535414094 172.745252862158 675.35361413857</t>
  </si>
  <si>
    <t>-348.708390651566 171.455595091721 757.674800672029</t>
  </si>
  <si>
    <t>-506.175335771186 -75.6506396440009 218.214375653626</t>
  </si>
  <si>
    <t>-587.79191845353 -125.071346914074 678.685221737728</t>
  </si>
  <si>
    <t>-430.475996423361 -114.173789727123 756.636840512182</t>
  </si>
  <si>
    <t>9763-20170724T164233.023047400.bin</t>
  </si>
  <si>
    <t>-520.27421278945 20.5872595021054 -242.336021671689</t>
  </si>
  <si>
    <t>-560.251940192088 13.9052620434932 -356.462842292497</t>
  </si>
  <si>
    <t>-578.718044388355 1.63540485844742 -475.622502342612</t>
  </si>
  <si>
    <t>-582.510183709698 137.789342121497 -777.532085433489</t>
  </si>
  <si>
    <t>-470.071435777083 192.464550170986 -486.749790846795</t>
  </si>
  <si>
    <t>-262.877298339525 190.114287491552 -329.564789475002</t>
  </si>
  <si>
    <t>-522.267541821553 119.534598079399 -246.808822248535</t>
  </si>
  <si>
    <t>-488.31083999605 149.328128598396 206.641185105866</t>
  </si>
  <si>
    <t>-504.283592087754 172.968088225951 675.440678062213</t>
  </si>
  <si>
    <t>-348.765484427708 171.963366496755 757.639207622189</t>
  </si>
  <si>
    <t>-505.480119229771 -75.0396697948708 218.225445489673</t>
  </si>
  <si>
    <t>-587.674289592767 -125.171470069081 678.492082572189</t>
  </si>
  <si>
    <t>-430.313743833085 -114.161088321286 756.337822789062</t>
  </si>
  <si>
    <t>9763-20170724T164233.090230100.bin</t>
  </si>
  <si>
    <t>-520.577851837165 21.8048145404377 -242.496498576195</t>
  </si>
  <si>
    <t>-560.611217944901 15.2805374565895 -356.613007229146</t>
  </si>
  <si>
    <t>-579.224318669085 3.1136187846804 -475.760391500894</t>
  </si>
  <si>
    <t>-582.771942703833 139.427444079881 -778.001803330949</t>
  </si>
  <si>
    <t>-469.824761495413 190.899326557064 -486.83211763775</t>
  </si>
  <si>
    <t>-266.825091327395 168.673640861524 -325.775592651211</t>
  </si>
  <si>
    <t>-522.27035779286 120.562360191684 -246.943776835031</t>
  </si>
  <si>
    <t>-488.914806092597 150.036007886518 206.571699587753</t>
  </si>
  <si>
    <t>-504.242394976906 172.950935791523 675.418359558552</t>
  </si>
  <si>
    <t>-348.656283910296 172.577270093353 757.493453192984</t>
  </si>
  <si>
    <t>-504.769050789606 -73.9574380669316 218.011739481283</t>
  </si>
  <si>
    <t>-587.682975470678 -124.726116485256 678.132465352713</t>
  </si>
  <si>
    <t>-430.244148102999 -115.070268687738 755.99968878948</t>
  </si>
  <si>
    <t>9763-20170724T164233.121319000.bin</t>
  </si>
  <si>
    <t>-520.60923823433 22.2944676890753 -242.595936711483</t>
  </si>
  <si>
    <t>-560.568515409357 15.9074923252602 -356.746121176328</t>
  </si>
  <si>
    <t>-579.175334753976 3.83061848511133 -475.903620541047</t>
  </si>
  <si>
    <t>-582.139795972986 140.238509616756 -778.37187059638</t>
  </si>
  <si>
    <t>-469.568682605057 190.268505881149 -486.805383872139</t>
  </si>
  <si>
    <t>-268.204783855261 155.644014730371 -325.883730296935</t>
  </si>
  <si>
    <t>-521.974596953727 121.048004252573 -247.065300376877</t>
  </si>
  <si>
    <t>-489.132170542778 150.476010987318 206.490662905176</t>
  </si>
  <si>
    <t>-504.282075992966 173.28164116573 675.352094276231</t>
  </si>
  <si>
    <t>-348.694017768367 171.999001912579 757.414326019718</t>
  </si>
  <si>
    <t>-504.799946025815 -73.7207625098989 217.849794113386</t>
  </si>
  <si>
    <t>-587.77295523046 -124.338679193089 677.998479594747</t>
  </si>
  <si>
    <t>-430.294083057887 -115.295709078973 755.858156758795</t>
  </si>
  <si>
    <t>9763-20170724T164233.190586700.bin</t>
  </si>
  <si>
    <t>-520.682241035342 22.5516308596855 -242.901329014415</t>
  </si>
  <si>
    <t>-560.871434019032 16.5477794900355 -356.991619792341</t>
  </si>
  <si>
    <t>-579.62007463956 4.68897565785105 -476.148754053202</t>
  </si>
  <si>
    <t>-581.722577965591 141.275377417959 -779.006050615101</t>
  </si>
  <si>
    <t>-469.546849436023 190.486949195845 -487.148210734422</t>
  </si>
  <si>
    <t>-269.813863569761 137.902228249571 -329.086092633538</t>
  </si>
  <si>
    <t>-521.811472824145 121.678388238642 -247.119622677254</t>
  </si>
  <si>
    <t>-489.205687016968 150.712505780473 206.478783531082</t>
  </si>
  <si>
    <t>-504.460956932028 173.920390409059 675.374503370113</t>
  </si>
  <si>
    <t>-348.892645910469 171.573675097063 757.450738642157</t>
  </si>
  <si>
    <t>-505.271449723193 -74.0480963791219 217.522317734706</t>
  </si>
  <si>
    <t>-587.594647347284 -124.720952908318 677.817332032415</t>
  </si>
  <si>
    <t>-430.211013683778 -115.28239244723 755.822648376616</t>
  </si>
  <si>
    <t>9763-20170724T164233.221669200.bin</t>
  </si>
  <si>
    <t>-520.9699083945 22.5965156745786 -243.028971476966</t>
  </si>
  <si>
    <t>-560.994936049984 16.7745305992867 -357.186496957009</t>
  </si>
  <si>
    <t>-579.676384194187 4.98964132632771 -476.361589977936</t>
  </si>
  <si>
    <t>-581.356635947867 141.528911828757 -779.404399368944</t>
  </si>
  <si>
    <t>-469.544919138976 189.807241061101 -487.251178182178</t>
  </si>
  <si>
    <t>-270.007031510988 131.241169868981 -331.056734735933</t>
  </si>
  <si>
    <t>-521.819233036834 121.796684911198 -247.187239775492</t>
  </si>
  <si>
    <t>-489.240343436995 150.836472853579 206.412884184694</t>
  </si>
  <si>
    <t>-504.528523297305 174.148450589559 675.364958706634</t>
  </si>
  <si>
    <t>-348.978815212944 171.437596857924 757.465334082037</t>
  </si>
  <si>
    <t>-505.92331817859 -74.3726416940056 217.314093244947</t>
  </si>
  <si>
    <t>-587.568238603221 -124.783168979727 677.780250462114</t>
  </si>
  <si>
    <t>-430.223868743636 -115.605885545479 755.895911121451</t>
  </si>
  <si>
    <t>9763-20170724T164233.291374200.bin</t>
  </si>
  <si>
    <t>-521.560658581193 22.4412763812567 -243.222632836398</t>
  </si>
  <si>
    <t>-561.486236739818 16.9933258876986 -357.433206301232</t>
  </si>
  <si>
    <t>-580.186270777712 5.3175830971277 -476.616056905859</t>
  </si>
  <si>
    <t>-580.876442490698 141.52157254146 -779.965316413338</t>
  </si>
  <si>
    <t>-470.766025368288 189.666211700928 -487.144709373786</t>
  </si>
  <si>
    <t>-271.214975887197 123.495844735549 -334.033922926155</t>
  </si>
  <si>
    <t>-521.938937987673 121.957545430168 -247.208610013098</t>
  </si>
  <si>
    <t>-489.328889718979 151.031011414786 206.387037226329</t>
  </si>
  <si>
    <t>-504.770641953731 174.816903999861 675.363560838946</t>
  </si>
  <si>
    <t>-349.288806172652 170.337054781522 757.514870803263</t>
  </si>
  <si>
    <t>-508.205493626005 -75.1890031658959 216.953510870041</t>
  </si>
  <si>
    <t>-587.696300838595 -124.541141034902 677.867902175459</t>
  </si>
  <si>
    <t>-430.395427394523 -116.957733486182 756.24165083224</t>
  </si>
  <si>
    <t>9763-20170724T164233.324465500.bin</t>
  </si>
  <si>
    <t>-521.843544463984 21.8185254654585 -243.360412863723</t>
  </si>
  <si>
    <t>-561.727333872155 16.5867333167226 -357.595806244648</t>
  </si>
  <si>
    <t>-580.433854236003 4.99285017825702 -476.785560184341</t>
  </si>
  <si>
    <t>-580.898416303294 141.114162720958 -780.228044255079</t>
  </si>
  <si>
    <t>-471.462849863207 189.067263519927 -487.122966495899</t>
  </si>
  <si>
    <t>-271.939351989749 124.92751282795 -333.114862617215</t>
  </si>
  <si>
    <t>-522.053118599713 121.264709391782 -247.221184240936</t>
  </si>
  <si>
    <t>-489.308733305849 150.499803974894 206.354399280874</t>
  </si>
  <si>
    <t>-504.619161888468 174.23345040021 675.345356376962</t>
  </si>
  <si>
    <t>-349.099397423041 170.945945131408 757.481238646432</t>
  </si>
  <si>
    <t>-509.631627891331 -76.1338732908205 216.763598227159</t>
  </si>
  <si>
    <t>-587.753713850448 -124.56000107137 678.017856674967</t>
  </si>
  <si>
    <t>-430.494914602821 -116.935854065505 756.471911083147</t>
  </si>
  <si>
    <t>9763-20170724T164233.390597100.bin</t>
  </si>
  <si>
    <t>-522.62520064888 20.2430009666768 -243.461048569096</t>
  </si>
  <si>
    <t>-562.19635900244 15.2474298927788 -357.815642723807</t>
  </si>
  <si>
    <t>-580.772037190452 3.72396546412639 -477.032702848798</t>
  </si>
  <si>
    <t>-580.930195750096 139.67292961477 -780.700512468689</t>
  </si>
  <si>
    <t>-472.736371324491 187.580282321823 -487.127448457229</t>
  </si>
  <si>
    <t>-273.300693820087 124.925590079122 -332.395739371612</t>
  </si>
  <si>
    <t>-522.451313706146 119.767260800486 -247.247566242412</t>
  </si>
  <si>
    <t>-489.508223858071 149.207709904983 206.300421704563</t>
  </si>
  <si>
    <t>-504.358480155635 173.233987137741 675.301190207784</t>
  </si>
  <si>
    <t>-348.800717055638 171.930161540928 757.420637897728</t>
  </si>
  <si>
    <t>-512.000104894843 -78.1886059021767 216.598336121286</t>
  </si>
  <si>
    <t>-587.773455571697 -125.019352417281 678.362826118613</t>
  </si>
  <si>
    <t>-430.580984595396 -115.620647994137 756.757374530385</t>
  </si>
  <si>
    <t>9763-20170724T164233.422682000.bin</t>
  </si>
  <si>
    <t>-523.194246664948 19.6829313678685 -243.423704540572</t>
  </si>
  <si>
    <t>-562.843886203638 14.7542750949246 -357.753975485876</t>
  </si>
  <si>
    <t>-581.463428117137 3.23691144233086 -476.96488677179</t>
  </si>
  <si>
    <t>-581.406713959433 139.059393090931 -780.720322229304</t>
  </si>
  <si>
    <t>-474.000256431652 186.983733151428 -486.860891946509</t>
  </si>
  <si>
    <t>-274.465169454424 121.538905866702 -333.417821639059</t>
  </si>
  <si>
    <t>-522.971948986964 119.347248318783 -247.216065995117</t>
  </si>
  <si>
    <t>-489.684465341111 148.881570818943 206.300552050657</t>
  </si>
  <si>
    <t>-504.416808035278 173.338862475651 675.289144879547</t>
  </si>
  <si>
    <t>-348.876037727254 171.504979764877 757.430646430005</t>
  </si>
  <si>
    <t>-512.545842667575 -78.6885559449315 216.634192228562</t>
  </si>
  <si>
    <t>-587.738903421729 -125.256539532968 678.436464305369</t>
  </si>
  <si>
    <t>-430.486371343999 -115.599267122925 756.679086683686</t>
  </si>
  <si>
    <t>9763-20170724T164233.491443800.bin</t>
  </si>
  <si>
    <t>-524.402990403113 18.9422941141425 -243.40028615932</t>
  </si>
  <si>
    <t>-564.303562048053 13.7730442841112 -357.632587945025</t>
  </si>
  <si>
    <t>-582.957952791961 2.157743635806 -476.828650001691</t>
  </si>
  <si>
    <t>-581.95868295681 137.903113664855 -780.526434704497</t>
  </si>
  <si>
    <t>-475.514611862673 185.105325746767 -486.200575939415</t>
  </si>
  <si>
    <t>-275.458268723083 116.699242615934 -334.740555289228</t>
  </si>
  <si>
    <t>-524.345208736814 118.616734506233 -247.198142456513</t>
  </si>
  <si>
    <t>-490.195906506072 148.189932048322 206.251857769166</t>
  </si>
  <si>
    <t>-504.370539492881 172.832966849868 675.291653851005</t>
  </si>
  <si>
    <t>-348.819966732998 171.832434248991 757.428824058467</t>
  </si>
  <si>
    <t>-512.757565651499 -79.202183892341 216.646004098583</t>
  </si>
  <si>
    <t>-587.487458140719 -125.650659753878 678.495877757497</t>
  </si>
  <si>
    <t>-430.376837135944 -114.516476587607 756.827128382895</t>
  </si>
  <si>
    <t>9763-20170724T164233.524531200.bin</t>
  </si>
  <si>
    <t>-525.217165674899 18.6485997772215 -243.359168978624</t>
  </si>
  <si>
    <t>-565.161318621316 13.2045538193612 -357.563446198197</t>
  </si>
  <si>
    <t>-583.78672158994 1.51102922070011 -476.756167917202</t>
  </si>
  <si>
    <t>-582.532958142895 137.395237957921 -780.281863247867</t>
  </si>
  <si>
    <t>-475.517894530724 184.201510272536 -486.099590257743</t>
  </si>
  <si>
    <t>-275.507586893419 114.807053212478 -335.029004203054</t>
  </si>
  <si>
    <t>-525.440712673737 118.472679751738 -247.187991059643</t>
  </si>
  <si>
    <t>-490.661057464245 148.381300312356 206.192146868752</t>
  </si>
  <si>
    <t>-504.583831629291 173.266277859563 675.288215640002</t>
  </si>
  <si>
    <t>-349.0492329411 171.056790960491 757.432111115808</t>
  </si>
  <si>
    <t>-512.965943896851 -79.5240701516232 216.75858277887</t>
  </si>
  <si>
    <t>-587.18097354201 -126.334444689139 678.759800823924</t>
  </si>
  <si>
    <t>-430.406525498214 -114.356824620102 757.638349918645</t>
  </si>
  <si>
    <t>9763-20170724T164233.587728000.bin</t>
  </si>
  <si>
    <t>-526.982432301362 17.6149810428666 -242.987326811432</t>
  </si>
  <si>
    <t>-566.946197495935 11.812575373027 -357.167142096764</t>
  </si>
  <si>
    <t>-585.532038628532 0.0551741538376689 -476.359809016306</t>
  </si>
  <si>
    <t>-583.635301546206 136.282816462079 -779.465629115134</t>
  </si>
  <si>
    <t>-474.466034658727 182.252805672253 -485.943987997029</t>
  </si>
  <si>
    <t>-274.484489757702 110.94330155742 -335.729420410391</t>
  </si>
  <si>
    <t>-527.276273473905 117.599701011265 -246.996853976597</t>
  </si>
  <si>
    <t>-491.184409952081 147.791189181993 206.261799816861</t>
  </si>
  <si>
    <t>-504.657151444526 172.787043280271 675.353533241158</t>
  </si>
  <si>
    <t>-349.06176747836 171.613968639718 757.403691704145</t>
  </si>
  <si>
    <t>-513.494376503713 -80.250947269282 217.326646782672</t>
  </si>
  <si>
    <t>-586.97801637661 -127.33038221533 679.59717069536</t>
  </si>
  <si>
    <t>-430.620520684575 -113.36903192946 758.975621755116</t>
  </si>
  <si>
    <t>9763-20170724T164233.625842700.bin</t>
  </si>
  <si>
    <t>-527.748961988396 17.848837225559 -242.740216165664</t>
  </si>
  <si>
    <t>-567.689376615768 11.8486036627491 -356.917972860942</t>
  </si>
  <si>
    <t>-586.24797331317 0.0291784718924788 -476.108733633848</t>
  </si>
  <si>
    <t>-583.893207779106 136.32784893712 -779.116953321937</t>
  </si>
  <si>
    <t>-473.654593783418 181.571270271312 -485.882150911982</t>
  </si>
  <si>
    <t>-273.498512608964 108.873726508152 -336.568373753324</t>
  </si>
  <si>
    <t>-527.902234529799 117.857926788876 -246.939499250442</t>
  </si>
  <si>
    <t>-491.716493474696 147.906994745461 206.321305919493</t>
  </si>
  <si>
    <t>-504.749852218197 172.801294390345 675.381700762162</t>
  </si>
  <si>
    <t>-349.135330677809 171.361412234447 757.391234939829</t>
  </si>
  <si>
    <t>-513.438734859675 -80.0192428579005 217.732384970577</t>
  </si>
  <si>
    <t>-587.271276172134 -127.092854244421 680.050474733993</t>
  </si>
  <si>
    <t>-430.869823587291 -113.202828398853 759.35471887395</t>
  </si>
  <si>
    <t>9763-20170724T164233.688973500.bin</t>
  </si>
  <si>
    <t>-528.827078545679 18.3963005030722 -242.133593483963</t>
  </si>
  <si>
    <t>-568.749917868225 12.3581432807686 -356.315681387799</t>
  </si>
  <si>
    <t>-587.258011456757 0.554675584117874 -475.515805110511</t>
  </si>
  <si>
    <t>-583.534961991944 136.877495785998 -778.349689325937</t>
  </si>
  <si>
    <t>-470.30687805633 180.508691601461 -486.011064666382</t>
  </si>
  <si>
    <t>-270.434838751523 106.10506196607 -337.157774298056</t>
  </si>
  <si>
    <t>-528.959621014834 118.330990086384 -246.5710153704</t>
  </si>
  <si>
    <t>-492.689259108749 148.505242941057 206.674674401406</t>
  </si>
  <si>
    <t>-505.082673419575 173.304754245123 675.508047108808</t>
  </si>
  <si>
    <t>-349.419399045522 171.246781371099 757.411824797003</t>
  </si>
  <si>
    <t>-512.624013910239 -78.9882382864367 218.322336760032</t>
  </si>
  <si>
    <t>-587.570577267114 -126.534501263872 680.217890234876</t>
  </si>
  <si>
    <t>-431.062564355384 -113.028630553 759.378290773853</t>
  </si>
  <si>
    <t>9763-20170724T164233.722065900.bin</t>
  </si>
  <si>
    <t>-528.788732734885 18.6453465374836 -242.066482637788</t>
  </si>
  <si>
    <t>-568.52383811369 12.6753175864072 -356.317395447133</t>
  </si>
  <si>
    <t>-586.920332381811 0.926883903933117 -475.540356315273</t>
  </si>
  <si>
    <t>-582.382434438224 137.302549100036 -778.306502854146</t>
  </si>
  <si>
    <t>-467.419332433734 180.116141102218 -486.524637728621</t>
  </si>
  <si>
    <t>-267.947966898981 104.32445602952 -337.834101648375</t>
  </si>
  <si>
    <t>-528.623650006673 118.498484844287 -246.57768035973</t>
  </si>
  <si>
    <t>-492.962977948087 148.461452095518 206.730453785417</t>
  </si>
  <si>
    <t>-504.998741303251 172.784961873523 675.57438110404</t>
  </si>
  <si>
    <t>-349.272326808232 171.71653095124 757.376990203327</t>
  </si>
  <si>
    <t>-512.202191844506 -78.863431857688 218.350673838842</t>
  </si>
  <si>
    <t>-587.469077177881 -126.879780248399 680.262863284693</t>
  </si>
  <si>
    <t>-430.936701232372 -112.97612624439 759.305984145158</t>
  </si>
  <si>
    <t>9763-20170724T164233.793262100.bin</t>
  </si>
  <si>
    <t>-527.951621623696 20.0999666083294 -242.024457526734</t>
  </si>
  <si>
    <t>-567.600576204681 14.4659898368571 -356.322383513099</t>
  </si>
  <si>
    <t>-585.926167353743 2.85895828217241 -475.570089748305</t>
  </si>
  <si>
    <t>-580.1216383515 139.113218518533 -778.419195527924</t>
  </si>
  <si>
    <t>-461.973046486451 180.936075930061 -487.76836911812</t>
  </si>
  <si>
    <t>-262.955031007511 101.441798520753 -340.40967565694</t>
  </si>
  <si>
    <t>-527.211697104606 119.709691925324 -246.589508274142</t>
  </si>
  <si>
    <t>-493.045807603064 149.275264419353 206.859793042532</t>
  </si>
  <si>
    <t>-505.193820896958 173.236022706668 675.628588872502</t>
  </si>
  <si>
    <t>-349.486850795324 171.20894755164 757.449980419867</t>
  </si>
  <si>
    <t>-510.763219512506 -77.2239864731763 218.310708738099</t>
  </si>
  <si>
    <t>-587.798879251913 -125.541296814237 679.768893877021</t>
  </si>
  <si>
    <t>-431.035870953575 -114.047265556855 758.742009730129</t>
  </si>
  <si>
    <t>9763-20170724T164233.826350300.bin</t>
  </si>
  <si>
    <t>-526.958901297533 21.1467068874449 -242.345677830196</t>
  </si>
  <si>
    <t>-566.868125182686 15.6372371472131 -356.55898636812</t>
  </si>
  <si>
    <t>-585.262851101606 4.07465996905307 -475.800474846164</t>
  </si>
  <si>
    <t>-578.43763036277 140.223103305165 -778.76171411063</t>
  </si>
  <si>
    <t>-460.402626957488 181.645888312753 -488.007471017895</t>
  </si>
  <si>
    <t>-261.195210078904 100.202957360172 -341.974909766551</t>
  </si>
  <si>
    <t>-525.994554986991 120.693469386697 -246.810124855858</t>
  </si>
  <si>
    <t>-492.733535643764 149.795877472056 206.736350166356</t>
  </si>
  <si>
    <t>-505.25228643941 173.494073552269 675.568739785723</t>
  </si>
  <si>
    <t>-349.565437749089 171.446437381171 757.42786089503</t>
  </si>
  <si>
    <t>-509.833986420417 -76.3225349643017 218.017734988587</t>
  </si>
  <si>
    <t>-587.648648595503 -125.179206007506 679.23099910915</t>
  </si>
  <si>
    <t>-430.856430767042 -114.66082801844 758.282021587437</t>
  </si>
  <si>
    <t>9763-20170724T164233.891530100.bin</t>
  </si>
  <si>
    <t>-524.867499456587 23.0931002610744 -242.894150768625</t>
  </si>
  <si>
    <t>-564.682143188595 17.8484040679014 -357.152904776311</t>
  </si>
  <si>
    <t>-582.932643704451 6.38266867657222 -476.425866657357</t>
  </si>
  <si>
    <t>-574.363801635536 142.358809907131 -779.260798721941</t>
  </si>
  <si>
    <t>-457.031936216376 182.770960697242 -488.080019015721</t>
  </si>
  <si>
    <t>-257.394874288777 98.0410985193028 -344.525308026982</t>
  </si>
  <si>
    <t>-523.380758511998 122.59323776459 -247.25658670855</t>
  </si>
  <si>
    <t>-491.746072521574 150.771585100131 206.464576097172</t>
  </si>
  <si>
    <t>-505.276665967571 173.564705718288 675.461111592246</t>
  </si>
  <si>
    <t>-349.660135766123 170.906306087453 757.436371899787</t>
  </si>
  <si>
    <t>-508.532983917997 -75.084025759115 217.454292808303</t>
  </si>
  <si>
    <t>-587.418481053709 -124.8200075347 678.518304866918</t>
  </si>
  <si>
    <t>-430.478704387187 -115.713665943462 757.45178235324</t>
  </si>
  <si>
    <t>9763-20170724T164233.924622900.bin</t>
  </si>
  <si>
    <t>-523.97388432472 23.8708634029338 -243.092079831337</t>
  </si>
  <si>
    <t>-563.798447941834 18.6325072315156 -357.347709639755</t>
  </si>
  <si>
    <t>-582.026490700527 7.18887353846662 -476.626149961112</t>
  </si>
  <si>
    <t>-572.801610079478 143.234702134439 -779.239878369193</t>
  </si>
  <si>
    <t>-455.746119765649 182.500754151155 -487.791028966635</t>
  </si>
  <si>
    <t>-256.162634168714 97.9523193269023 -344.054992285859</t>
  </si>
  <si>
    <t>-522.310364166438 123.259170132638 -247.42216375966</t>
  </si>
  <si>
    <t>-491.086177933401 151.165639719674 206.34423302065</t>
  </si>
  <si>
    <t>-505.250307208258 173.311455554694 675.432582220278</t>
  </si>
  <si>
    <t>-349.625277942776 171.137685389515 757.406130618876</t>
  </si>
  <si>
    <t>-508.162383793532 -74.6388092655885 217.323688071753</t>
  </si>
  <si>
    <t>-587.371958959156 -124.720459731012 678.335604961124</t>
  </si>
  <si>
    <t>-430.34592549408 -115.543974359149 757.089249456051</t>
  </si>
  <si>
    <t>9763-20170724T164233.990798500.bin</t>
  </si>
  <si>
    <t>-522.923775776213 25.2101875434964 -243.26898850341</t>
  </si>
  <si>
    <t>-562.8388910509 19.874713287128 -357.488660237209</t>
  </si>
  <si>
    <t>-580.989058854309 8.57017055219137 -476.792155299278</t>
  </si>
  <si>
    <t>-570.518741704345 145.35118949935 -778.604750982649</t>
  </si>
  <si>
    <t>-452.002126643802 181.854285248907 -487.387412613782</t>
  </si>
  <si>
    <t>-253.187694714716 100.677719253055 -340.672693328555</t>
  </si>
  <si>
    <t>-521.330864198988 124.489172425423 -247.551172999809</t>
  </si>
  <si>
    <t>-490.620849768927 151.834297439994 206.284464583383</t>
  </si>
  <si>
    <t>-505.337750460067 173.110217886129 675.417633756027</t>
  </si>
  <si>
    <t>-349.714600881328 170.692187861889 757.387695899799</t>
  </si>
  <si>
    <t>-507.742435610282 -73.4548974646384 217.221709548602</t>
  </si>
  <si>
    <t>-587.476575858859 -124.039591634096 678.020966124861</t>
  </si>
  <si>
    <t>-430.12165315993 -114.835161720684 756.112075463298</t>
  </si>
  <si>
    <t>9763-20170724T164234.023887700.bin</t>
  </si>
  <si>
    <t>-522.653686478198 25.7442929492604 -243.272282342151</t>
  </si>
  <si>
    <t>-562.344336706859 20.3539194749902 -357.567611765917</t>
  </si>
  <si>
    <t>-580.297508229464 9.11876662791381 -476.907541630758</t>
  </si>
  <si>
    <t>-569.213524647934 146.289172817102 -778.271525092935</t>
  </si>
  <si>
    <t>-449.283967610347 181.87404853265 -487.519284277891</t>
  </si>
  <si>
    <t>-250.452592439694 102.014383160577 -340.106295606982</t>
  </si>
  <si>
    <t>-521.14693309943 124.841625981984 -247.57744484376</t>
  </si>
  <si>
    <t>-490.875074954363 152.104279941614 206.292682759186</t>
  </si>
  <si>
    <t>-505.312844550072 172.730819372939 675.427277793368</t>
  </si>
  <si>
    <t>-349.667981197395 170.31599539726 757.356242336394</t>
  </si>
  <si>
    <t>-507.545451738537 -73.0882273089425 217.15578094135</t>
  </si>
  <si>
    <t>-587.3432967841 -124.08618715592 677.864964436792</t>
  </si>
  <si>
    <t>-429.949362032732 -114.48456940831 755.829581807186</t>
  </si>
  <si>
    <t>9763-20170724T164234.088068200.bin</t>
  </si>
  <si>
    <t>-522.584807263297 26.8342569013755 -243.332942497398</t>
  </si>
  <si>
    <t>-562.240371828673 21.3547592054862 -357.636119225776</t>
  </si>
  <si>
    <t>-580.011847720036 10.1962609809468 -477.010416062746</t>
  </si>
  <si>
    <t>-575.852302383891 1.09896193627921 -782.423838345694</t>
  </si>
  <si>
    <t>-567.863592508614 147.869664397554 -777.670375878185</t>
  </si>
  <si>
    <t>-445.221198501503 182.439170893775 -487.929180193955</t>
  </si>
  <si>
    <t>-245.816963814708 104.184719236213 -340.429266796216</t>
  </si>
  <si>
    <t>-521.282505292419 125.79457012409 -247.6759997432</t>
  </si>
  <si>
    <t>-491.783182967608 152.580537454997 206.273201111797</t>
  </si>
  <si>
    <t>-505.514324527584 173.010524955591 675.417784007002</t>
  </si>
  <si>
    <t>-349.816649862456 170.820200758707 757.25262821624</t>
  </si>
  <si>
    <t>-507.569209382817 -72.1221442234838 217.09924378252</t>
  </si>
  <si>
    <t>-587.451944417225 -123.393935052185 677.743563128611</t>
  </si>
  <si>
    <t>-429.900905810271 -115.450248238548 755.577217820633</t>
  </si>
  <si>
    <t>9763-20170724T164234.126169900.bin</t>
  </si>
  <si>
    <t>-522.600166084517 26.9149619434891 -243.390945886825</t>
  </si>
  <si>
    <t>-562.017255910563 21.3957964966439 -357.774673650532</t>
  </si>
  <si>
    <t>-579.59955819173 10.2576893759856 -477.178926350846</t>
  </si>
  <si>
    <t>-575.098056729327 1.31316988153932 -782.592265744719</t>
  </si>
  <si>
    <t>-567.041472540616 148.057895549331 -777.586404012516</t>
  </si>
  <si>
    <t>-443.469371664651 182.359642768001 -488.208622356823</t>
  </si>
  <si>
    <t>-243.995336415428 105.032130862251 -340.314695232803</t>
  </si>
  <si>
    <t>-521.412761303149 125.788186732474 -247.718943094669</t>
  </si>
  <si>
    <t>-492.223349617588 152.540459293677 206.252355858905</t>
  </si>
  <si>
    <t>-505.445385480741 172.669790709416 675.399738037001</t>
  </si>
  <si>
    <t>-349.705267572073 171.385014851583 757.173036400808</t>
  </si>
  <si>
    <t>-507.754245377079 -72.1878461561234 217.018793078225</t>
  </si>
  <si>
    <t>-587.339630437361 -123.635922182668 677.699140108057</t>
  </si>
  <si>
    <t>-429.740340795751 -114.359155910131 755.287369518426</t>
  </si>
  <si>
    <t>9763-20170724T164234.186352500.bin</t>
  </si>
  <si>
    <t>-522.850318824133 27.7494125708009 -243.488835608991</t>
  </si>
  <si>
    <t>-562.082899685588 22.1278373219991 -357.93112550207</t>
  </si>
  <si>
    <t>-579.424622879116 11.0415121132454 -477.375227488926</t>
  </si>
  <si>
    <t>-574.314491694909 2.55326099715396 -782.784073721396</t>
  </si>
  <si>
    <t>-566.152650926299 149.27223690155 -777.289604322869</t>
  </si>
  <si>
    <t>-440.728080831866 183.643582981027 -488.718302874301</t>
  </si>
  <si>
    <t>-242.271703188714 108.383971739537 -338.408015406759</t>
  </si>
  <si>
    <t>-521.979859229938 126.459970695947 -247.80325308826</t>
  </si>
  <si>
    <t>-492.985352220391 153.033501220548 206.191132468178</t>
  </si>
  <si>
    <t>-505.586555361317 172.849602046009 675.401289265667</t>
  </si>
  <si>
    <t>-349.814616075341 171.429453923903 757.111715161999</t>
  </si>
  <si>
    <t>-508.10483705571 -71.559761892873 216.917843589624</t>
  </si>
  <si>
    <t>-587.47526017103 -123.07668511867 677.564441633529</t>
  </si>
  <si>
    <t>-429.56456256764 -114.293543787809 754.574754912596</t>
  </si>
  <si>
    <t>9763-20170724T164234.222463600.bin</t>
  </si>
  <si>
    <t>-523.023557959236 27.8747222560808 -243.497081956731</t>
  </si>
  <si>
    <t>-562.186245284369 22.1824224344752 -357.959758726939</t>
  </si>
  <si>
    <t>-579.425761365642 11.1176968895617 -477.420788400743</t>
  </si>
  <si>
    <t>-574.064871382131 2.88794199779645 -782.827601867992</t>
  </si>
  <si>
    <t>-566.09056843542 149.611528560296 -777.024782345769</t>
  </si>
  <si>
    <t>-439.711556538845 184.170952027537 -488.892543588022</t>
  </si>
  <si>
    <t>-242.289827466111 111.058436641889 -336.179575696942</t>
  </si>
  <si>
    <t>-522.339846449377 126.352869392119 -247.767166685333</t>
  </si>
  <si>
    <t>-493.25381754741 152.921043705429 206.221524731369</t>
  </si>
  <si>
    <t>-505.456501259661 172.200500670745 675.438859798726</t>
  </si>
  <si>
    <t>-349.641824235363 171.947776921736 757.079767323283</t>
  </si>
  <si>
    <t>-508.098932070127 -71.2988208802994 216.878583649007</t>
  </si>
  <si>
    <t>-587.479993661963 -122.841611643818 677.479977524263</t>
  </si>
  <si>
    <t>-429.488600647269 -113.929422664056 754.309741073468</t>
  </si>
  <si>
    <t>9763-20170724T164234.287638900.bin</t>
  </si>
  <si>
    <t>-523.596582164899 28.4300763502903 -243.515174902319</t>
  </si>
  <si>
    <t>-562.770846108129 22.5171414904322 -357.962653019542</t>
  </si>
  <si>
    <t>-579.850593898952 11.5046135468436 -477.451554811325</t>
  </si>
  <si>
    <t>-573.920721398902 4.00626108584154 -782.847476983482</t>
  </si>
  <si>
    <t>-566.40401061958 150.743570668428 -776.539545343309</t>
  </si>
  <si>
    <t>-438.021254295974 185.782827258835 -489.352612598431</t>
  </si>
  <si>
    <t>-242.658513078225 118.635019736422 -331.344425760053</t>
  </si>
  <si>
    <t>-523.551664926642 127.147074903319 -247.741034342796</t>
  </si>
  <si>
    <t>-494.13148747423 153.519354211502 206.237647705069</t>
  </si>
  <si>
    <t>-505.838883260341 172.901235078728 675.514417909246</t>
  </si>
  <si>
    <t>-349.97037722917 171.592601582736 757.042378703208</t>
  </si>
  <si>
    <t>-507.851903702302 -71.0239128677568 216.856093156745</t>
  </si>
  <si>
    <t>-587.090126424898 -123.406408997127 677.457355759974</t>
  </si>
  <si>
    <t>-429.286625770708 -113.816313363848 754.59103038881</t>
  </si>
  <si>
    <t>9763-20170724T164234.325740200.bin</t>
  </si>
  <si>
    <t>-524.069568158688 28.7000187956995 -243.468949685832</t>
  </si>
  <si>
    <t>-563.209441448635 22.6460056523158 -357.920905429328</t>
  </si>
  <si>
    <t>-580.237049710405 11.6167415836525 -477.415619061469</t>
  </si>
  <si>
    <t>-574.239409125533 4.32632318897396 -782.811410115888</t>
  </si>
  <si>
    <t>-567.006529106414 151.059263268685 -776.264120020968</t>
  </si>
  <si>
    <t>-437.144450549413 186.373372216878 -489.777039298139</t>
  </si>
  <si>
    <t>-241.995118076923 120.228300981814 -331.083454951421</t>
  </si>
  <si>
    <t>-524.413801154352 127.575610554284 -247.675674913432</t>
  </si>
  <si>
    <t>-494.885494076927 153.886241702122 206.299573063928</t>
  </si>
  <si>
    <t>-506.070179367228 173.335538816107 675.566459179929</t>
  </si>
  <si>
    <t>-350.188626996964 170.513763272471 757.031127049021</t>
  </si>
  <si>
    <t>-507.813280015269 -70.8988128643016 216.868917125742</t>
  </si>
  <si>
    <t>-586.944845503315 -123.421495831765 677.46805004977</t>
  </si>
  <si>
    <t>-429.412609084251 -113.350166787099 755.093298234951</t>
  </si>
  <si>
    <t>9763-20170724T164234.388917200.bin</t>
  </si>
  <si>
    <t>-524.954331692184 28.4355862890382 -243.249284185171</t>
  </si>
  <si>
    <t>-563.949708689811 22.03701998988 -357.731721865632</t>
  </si>
  <si>
    <t>-580.827817581251 10.9283727504345 -477.2403512188</t>
  </si>
  <si>
    <t>-574.626652538655 3.95192376758826 -782.631247441583</t>
  </si>
  <si>
    <t>-567.889117283012 150.701496738954 -775.952204529128</t>
  </si>
  <si>
    <t>-436.789453045836 185.524205500027 -489.968846496216</t>
  </si>
  <si>
    <t>-240.909365578358 121.908047108204 -331.14187370855</t>
  </si>
  <si>
    <t>-526.128668872473 127.040951942503 -247.505322605307</t>
  </si>
  <si>
    <t>-496.334387793136 153.597337984168 206.438320977402</t>
  </si>
  <si>
    <t>-506.161775784248 172.953603627095 675.715895291204</t>
  </si>
  <si>
    <t>-350.094533514725 172.267515300295 756.870489033478</t>
  </si>
  <si>
    <t>-507.237889517074 -70.6790093338673 217.110411498872</t>
  </si>
  <si>
    <t>-586.766892720738 -123.611569167083 677.612913803242</t>
  </si>
  <si>
    <t>-429.395690599931 -113.480882517403 755.556417999365</t>
  </si>
  <si>
    <t>9763-20170724T164234.426017800.bin</t>
  </si>
  <si>
    <t>-525.434187774782 28.4910196752948 -243.127205923852</t>
  </si>
  <si>
    <t>-564.336197928468 21.9705590029927 -357.634488775634</t>
  </si>
  <si>
    <t>-581.125059469929 10.843372805409 -477.153848032027</t>
  </si>
  <si>
    <t>-574.797105697311 4.02255501055461 -782.544054643302</t>
  </si>
  <si>
    <t>-568.355726965266 150.761169217282 -775.743210905656</t>
  </si>
  <si>
    <t>-436.519140582987 185.313584061607 -490.066007830455</t>
  </si>
  <si>
    <t>-240.372824655882 121.555170820875 -331.624970555768</t>
  </si>
  <si>
    <t>-526.982692058222 127.036930041169 -247.432008423655</t>
  </si>
  <si>
    <t>-497.100725524025 153.657197189486 206.501941215104</t>
  </si>
  <si>
    <t>-506.213737984923 172.909967104044 675.763693091628</t>
  </si>
  <si>
    <t>-350.082890440585 172.311260584379 756.79655703131</t>
  </si>
  <si>
    <t>-507.03683879441 -70.3264161738989 217.159107091636</t>
  </si>
  <si>
    <t>-586.788662881309 -123.357030572902 677.535182866162</t>
  </si>
  <si>
    <t>-429.373745789934 -113.375442966238 755.40953722848</t>
  </si>
  <si>
    <t>9763-20170724T164234.490055200.bin</t>
  </si>
  <si>
    <t>-525.981945518346 28.5312840050844 -243.12273314163</t>
  </si>
  <si>
    <t>-564.984003688716 21.9211355607194 -357.590852953826</t>
  </si>
  <si>
    <t>-581.749135959395 10.9152851496802 -477.124877567121</t>
  </si>
  <si>
    <t>-575.210562454945 4.82536711776899 -782.510596607835</t>
  </si>
  <si>
    <t>-569.597496786067 151.596768327229 -775.337547818345</t>
  </si>
  <si>
    <t>-436.607158577413 185.346226134679 -490.099528208167</t>
  </si>
  <si>
    <t>-240.739724273254 124.549123249389 -330.156630677957</t>
  </si>
  <si>
    <t>-528.142992702407 126.821094572606 -247.364203014882</t>
  </si>
  <si>
    <t>-497.739218200017 153.669407454459 206.521693300716</t>
  </si>
  <si>
    <t>-506.125681490541 172.702525301528 675.716991099665</t>
  </si>
  <si>
    <t>-349.946573360278 173.113713665825 756.657897923264</t>
  </si>
  <si>
    <t>-506.648627310351 -70.2033739602348 217.090305842908</t>
  </si>
  <si>
    <t>-586.479036860671 -123.881663520181 677.36326924245</t>
  </si>
  <si>
    <t>-429.051522207542 -113.450269153059 755.15320512419</t>
  </si>
  <si>
    <t>9763-20170724T164234.523144800.bin</t>
  </si>
  <si>
    <t>-526.209165894372 28.7658826811925 -243.169393033341</t>
  </si>
  <si>
    <t>-565.197708810922 22.1295098632688 -357.640643798483</t>
  </si>
  <si>
    <t>-581.918072721944 11.1249478148767 -477.180907065033</t>
  </si>
  <si>
    <t>-575.251591770667 5.12691513215501 -782.563930683788</t>
  </si>
  <si>
    <t>-570.288559265238 151.952739077155 -775.464920188672</t>
  </si>
  <si>
    <t>-437.364111440709 185.768441772741 -490.203978418101</t>
  </si>
  <si>
    <t>-241.980269166349 127.841529189241 -328.612878022697</t>
  </si>
  <si>
    <t>-528.434263278014 127.101314501627 -247.461543360693</t>
  </si>
  <si>
    <t>-498.020317803617 154.008191157464 206.420185352418</t>
  </si>
  <si>
    <t>-506.173283858682 173.132432745302 675.614729050305</t>
  </si>
  <si>
    <t>-350.044892446853 172.225215791019 756.649358901583</t>
  </si>
  <si>
    <t>-506.447841445913 -69.9515865253481 217.021000957895</t>
  </si>
  <si>
    <t>-586.518404887259 -123.551954709665 677.235858045449</t>
  </si>
  <si>
    <t>-429.111144896123 -112.964217227199 755.045540507974</t>
  </si>
  <si>
    <t>9763-20170724T164234.590351400.bin</t>
  </si>
  <si>
    <t>-526.148834922579 29.1237662805285 -243.407617011979</t>
  </si>
  <si>
    <t>-565.327200551395 22.5773768303775 -357.819083528609</t>
  </si>
  <si>
    <t>-582.103177188092 11.5182405079261 -477.34666332103</t>
  </si>
  <si>
    <t>-575.304000343881 5.15196255874172 -782.723379085292</t>
  </si>
  <si>
    <t>-571.940767845949 152.025461279459 -776.246881623368</t>
  </si>
  <si>
    <t>-442.297145707866 188.695039847559 -489.831197611267</t>
  </si>
  <si>
    <t>-247.196012511227 142.338242282004 -324.215070607519</t>
  </si>
  <si>
    <t>-528.272992389394 127.259703627036 -247.668734308369</t>
  </si>
  <si>
    <t>-498.04309866801 153.999812952524 206.235226178842</t>
  </si>
  <si>
    <t>-506.042631872271 173.368838022875 675.39739477953</t>
  </si>
  <si>
    <t>-350.03158018051 172.666383005335 756.659694574854</t>
  </si>
  <si>
    <t>-506.126729968847 -69.4229278048436 216.771328382013</t>
  </si>
  <si>
    <t>-586.547066831716 -123.069888111463 676.911314766895</t>
  </si>
  <si>
    <t>-429.041073111996 -113.833311548829 754.693311173963</t>
  </si>
  <si>
    <t>9763-20170724T164234.623431900.bin</t>
  </si>
  <si>
    <t>-525.915492184611 29.046192542049 -243.59079515762</t>
  </si>
  <si>
    <t>-565.118874512399 22.6202172367453 -358.000661668935</t>
  </si>
  <si>
    <t>-581.863305444836 11.5549346595922 -477.532003869465</t>
  </si>
  <si>
    <t>-574.86643509407 4.97194373795493 -782.905083303241</t>
  </si>
  <si>
    <t>-572.429775357257 151.887587992762 -776.87386665908</t>
  </si>
  <si>
    <t>-445.703986191947 189.466637535644 -489.27244467341</t>
  </si>
  <si>
    <t>-250.303545271303 148.844170324176 -322.507611614601</t>
  </si>
  <si>
    <t>-527.906712191286 127.379738133252 -247.845253758553</t>
  </si>
  <si>
    <t>-497.865727260187 154.109004825417 206.071864692272</t>
  </si>
  <si>
    <t>-506.064384616176 173.927227701311 675.214722084787</t>
  </si>
  <si>
    <t>-350.148663808845 172.817292239133 756.655371037951</t>
  </si>
  <si>
    <t>-506.015025141503 -69.7094799054537 216.589682595107</t>
  </si>
  <si>
    <t>-586.400189824411 -123.343213110887 676.759838357519</t>
  </si>
  <si>
    <t>-428.931071054385 -113.304839462431 754.517217210663</t>
  </si>
  <si>
    <t>9763-20170724T164234.695635500.bin</t>
  </si>
  <si>
    <t>-525.214107318442 28.6711239867721 -243.964504371482</t>
  </si>
  <si>
    <t>-564.337678842265 22.4096603195843 -358.410865783724</t>
  </si>
  <si>
    <t>-581.007909265317 11.3376613072306 -477.951967640489</t>
  </si>
  <si>
    <t>-573.881151244151 4.53550539993842 -783.327778624204</t>
  </si>
  <si>
    <t>-572.865508552805 151.454749649223 -777.571997889168</t>
  </si>
  <si>
    <t>-454.286245534005 190.637964903888 -486.72870657148</t>
  </si>
  <si>
    <t>-257.698349551119 162.107154041154 -318.856002299873</t>
  </si>
  <si>
    <t>-526.639963032819 126.956818189142 -248.237672225196</t>
  </si>
  <si>
    <t>-497.178266112974 153.821637915953 205.709391129278</t>
  </si>
  <si>
    <t>-505.773911619799 173.696237180773 674.949606450871</t>
  </si>
  <si>
    <t>-349.97849618096 173.164851112108 756.625875725378</t>
  </si>
  <si>
    <t>-505.791365372607 -70.2357850282018 216.29042346123</t>
  </si>
  <si>
    <t>-586.356197478078 -123.426877614215 676.51351474098</t>
  </si>
  <si>
    <t>-428.726883616873 -113.655301980202 753.97982859322</t>
  </si>
  <si>
    <t>9763-20170724T164234.723710800.bin</t>
  </si>
  <si>
    <t>-524.990786345382 28.8687331141427 -244.106155138342</t>
  </si>
  <si>
    <t>-564.249924263659 22.6791228474089 -358.509946929292</t>
  </si>
  <si>
    <t>-580.91893911007 11.6912070642633 -478.059008614065</t>
  </si>
  <si>
    <t>-573.529939072742 5.2142091590889 -783.425896221069</t>
  </si>
  <si>
    <t>-573.051192094477 152.124755669234 -777.450887768661</t>
  </si>
  <si>
    <t>-459.462820038154 192.392448431086 -484.769422686809</t>
  </si>
  <si>
    <t>-262.758573921142 167.792313759025 -316.411614884233</t>
  </si>
  <si>
    <t>-526.303868999761 126.955478669303 -248.331733584186</t>
  </si>
  <si>
    <t>-496.860765750299 153.910803377148 205.61120424863</t>
  </si>
  <si>
    <t>-505.799395070081 173.931197136831 674.869352330886</t>
  </si>
  <si>
    <t>-350.065041699462 173.295302139454 756.661407413985</t>
  </si>
  <si>
    <t>-505.991700564678 -69.6620608496747 216.181824162831</t>
  </si>
  <si>
    <t>-586.740251696504 -122.272014271065 676.366068319353</t>
  </si>
  <si>
    <t>-428.876000535774 -115.186031197662 753.646053342964</t>
  </si>
  <si>
    <t>9763-20170724T164234.789553600.bin</t>
  </si>
  <si>
    <t>-524.568209269842 28.5270612489343 -244.344479904373</t>
  </si>
  <si>
    <t>-564.095785498032 22.4594753308624 -358.662208563387</t>
  </si>
  <si>
    <t>-580.821340624475 11.5777357355596 -478.21310839721</t>
  </si>
  <si>
    <t>-573.255354692505 5.52970349073833 -783.575637168777</t>
  </si>
  <si>
    <t>-574.374748891603 152.441387083358 -777.213946883042</t>
  </si>
  <si>
    <t>-469.683045143843 195.840876513295 -481.676667461331</t>
  </si>
  <si>
    <t>-274.83996692134 183.284760580402 -309.861152617244</t>
  </si>
  <si>
    <t>-525.603851919321 126.669212730813 -248.456236228069</t>
  </si>
  <si>
    <t>-496.082481675299 153.641112904824 205.480690861047</t>
  </si>
  <si>
    <t>-505.788899933988 173.81344840125 674.807806638643</t>
  </si>
  <si>
    <t>-350.129973466852 172.792135557268 756.739287719097</t>
  </si>
  <si>
    <t>-506.085951721358 -69.9332410598478 215.954034194297</t>
  </si>
  <si>
    <t>-586.668967828898 -122.308714146294 676.165257029614</t>
  </si>
  <si>
    <t>-428.707657720193 -114.189477763415 753.144632229722</t>
  </si>
  <si>
    <t>9763-20170724T164234.824648500.bin</t>
  </si>
  <si>
    <t>-524.385851509073 27.9309869164043 -244.309420592094</t>
  </si>
  <si>
    <t>-563.780754131107 21.8871393690263 -358.674272839241</t>
  </si>
  <si>
    <t>-580.354460496563 11.04562462777 -478.249909977545</t>
  </si>
  <si>
    <t>-572.477060843789 5.23025745860616 -783.609817742151</t>
  </si>
  <si>
    <t>-574.312258174364 152.126802353372 -777.254635234407</t>
  </si>
  <si>
    <t>-474.210866080223 196.243986119376 -480.236840120731</t>
  </si>
  <si>
    <t>-282.189960919883 189.955644104356 -304.935767025827</t>
  </si>
  <si>
    <t>-525.31238866127 126.04030418557 -248.449357095449</t>
  </si>
  <si>
    <t>-495.642676384629 153.224406159225 205.465171397177</t>
  </si>
  <si>
    <t>-505.710659366819 173.401077106233 674.804761850154</t>
  </si>
  <si>
    <t>-350.050192071511 173.164553897334 756.73938788697</t>
  </si>
  <si>
    <t>-506.245045761183 -70.5224362429851 215.888938801953</t>
  </si>
  <si>
    <t>-586.523816410653 -122.666570972399 676.186660330907</t>
  </si>
  <si>
    <t>-428.611075097982 -114.076798207289 753.214593044634</t>
  </si>
  <si>
    <t>9763-20170724T164234.887376300.bin</t>
  </si>
  <si>
    <t>-524.382183910939 27.3165911405702 -244.261683259024</t>
  </si>
  <si>
    <t>-563.835314002048 21.3672586718075 -358.611413389638</t>
  </si>
  <si>
    <t>-580.306847450112 10.5376956845645 -478.202153138208</t>
  </si>
  <si>
    <t>-572.061174418321 4.7803743120856 -783.560340581545</t>
  </si>
  <si>
    <t>-575.518177118079 151.653614071335 -777.415862526455</t>
  </si>
  <si>
    <t>-484.50462289254 196.395848248043 -477.581164261421</t>
  </si>
  <si>
    <t>-299.234698194626 197.93017679288 -295.057753822356</t>
  </si>
  <si>
    <t>-525.394503381714 125.724072881184 -248.323673248116</t>
  </si>
  <si>
    <t>-495.274045601656 153.218950839084 205.542532305111</t>
  </si>
  <si>
    <t>-506.053918840367 174.020488035987 674.840519153481</t>
  </si>
  <si>
    <t>-350.42571424865 171.897024753583 756.809059243392</t>
  </si>
  <si>
    <t>-506.997218726428 -71.1738295068506 215.920127231846</t>
  </si>
  <si>
    <t>-586.533767349805 -122.599952683633 676.373647635269</t>
  </si>
  <si>
    <t>-428.666168132328 -114.766618793995 753.574528060555</t>
  </si>
  <si>
    <t>9763-20170724T164234.919463400.bin</t>
  </si>
  <si>
    <t>-524.409747814507 26.5822212846645 -244.265151671755</t>
  </si>
  <si>
    <t>-563.923302785323 20.5245575895681 -358.588255375643</t>
  </si>
  <si>
    <t>-580.307612396993 9.6653634134889 -478.188528266924</t>
  </si>
  <si>
    <t>-571.675097081063 4.06532079700045 -783.532305358506</t>
  </si>
  <si>
    <t>-575.648286932911 150.940181545468 -777.524144820651</t>
  </si>
  <si>
    <t>-488.326511740752 196.328149460551 -476.690274848006</t>
  </si>
  <si>
    <t>-304.626337304851 200.178456106004 -292.621127200954</t>
  </si>
  <si>
    <t>-525.527150218394 125.003840951705 -248.307076121922</t>
  </si>
  <si>
    <t>-495.097403098157 152.631455929187 205.530419952661</t>
  </si>
  <si>
    <t>-505.994216025532 173.551447041177 674.856580369353</t>
  </si>
  <si>
    <t>-350.31732930759 172.615190726761 756.755062256429</t>
  </si>
  <si>
    <t>-507.201702930614 -71.8728644207826 215.941099600392</t>
  </si>
  <si>
    <t>-586.372809368097 -123.015451571369 676.530091243749</t>
  </si>
  <si>
    <t>-428.675605524639 -114.309465314202 753.985310517525</t>
  </si>
  <si>
    <t>9763-20170724T164234.986659100.bin</t>
  </si>
  <si>
    <t>-525.176851099145 24.8744969772434 -244.023160618395</t>
  </si>
  <si>
    <t>-564.53024043371 18.4538235775072 -358.381852647403</t>
  </si>
  <si>
    <t>-580.71498461904 7.49788206780755 -478.000421323246</t>
  </si>
  <si>
    <t>-571.816372990529 2.22226149032762 -783.339301547389</t>
  </si>
  <si>
    <t>-577.223011540332 149.019891269965 -777.194251475541</t>
  </si>
  <si>
    <t>-492.388842174726 194.369302145797 -475.643650702524</t>
  </si>
  <si>
    <t>-308.384534097592 199.712382778161 -291.915784375566</t>
  </si>
  <si>
    <t>-527.263601128515 123.549992206936 -248.013952540104</t>
  </si>
  <si>
    <t>-495.15570980876 152.058949214169 205.653341999609</t>
  </si>
  <si>
    <t>-506.22022897764 173.510469166751 674.965544551541</t>
  </si>
  <si>
    <t>-350.460729732067 172.484556384715 756.705615497093</t>
  </si>
  <si>
    <t>-507.772432475109 -73.2072715378524 216.158257238372</t>
  </si>
  <si>
    <t>-586.023613829357 -123.728135836959 676.914988541687</t>
  </si>
  <si>
    <t>-428.706418188319 -113.530139311032 754.958719045118</t>
  </si>
  <si>
    <t>9763-20170724T164235.024757600.bin</t>
  </si>
  <si>
    <t>-525.714535283676 24.1068404696734 -243.892896911894</t>
  </si>
  <si>
    <t>-565.069498385762 17.4680083653978 -358.238510801301</t>
  </si>
  <si>
    <t>-581.266957159552 6.44610743475519 -477.849282468465</t>
  </si>
  <si>
    <t>-572.570579057411 1.28136282640482 -783.195776632558</t>
  </si>
  <si>
    <t>-578.669916343013 148.07063239786 -776.919164982564</t>
  </si>
  <si>
    <t>-492.369903674692 192.638052671868 -475.668026667575</t>
  </si>
  <si>
    <t>-307.761621633712 196.138406723399 -292.502627048554</t>
  </si>
  <si>
    <t>-528.376991170344 122.872844707824 -247.842078623834</t>
  </si>
  <si>
    <t>-495.475537280752 151.886420460311 205.736295552533</t>
  </si>
  <si>
    <t>-506.403032015824 173.656829237492 675.052992532085</t>
  </si>
  <si>
    <t>-350.584096322364 172.394128173911 756.676319431415</t>
  </si>
  <si>
    <t>-508.199201340115 -73.8697083362926 216.256540781274</t>
  </si>
  <si>
    <t>-585.725865972608 -124.333520499307 677.159915061732</t>
  </si>
  <si>
    <t>-428.697220580254 -113.551120980638 755.704625388592</t>
  </si>
  <si>
    <t>9763-20170724T164235.092948500.bin</t>
  </si>
  <si>
    <t>-526.811343423702 21.9777397981245 -243.520357195652</t>
  </si>
  <si>
    <t>-565.816420638843 15.0922345361838 -357.971264049059</t>
  </si>
  <si>
    <t>-581.87840231575 4.01575508605811 -477.595211732409</t>
  </si>
  <si>
    <t>-580.401629820287 145.785387428202 -776.654294461368</t>
  </si>
  <si>
    <t>-490.921677857183 188.852283961019 -476.11347076293</t>
  </si>
  <si>
    <t>-303.441191304967 182.219957997478 -295.977049061019</t>
  </si>
  <si>
    <t>-530.391327968442 120.861631718856 -247.453429464656</t>
  </si>
  <si>
    <t>-496.341421989627 150.851498028385 205.976676543435</t>
  </si>
  <si>
    <t>-506.459904590344 173.103403435571 675.198307626882</t>
  </si>
  <si>
    <t>-350.514027400666 172.444825191698 756.586253253297</t>
  </si>
  <si>
    <t>-509.269918594552 -75.813106748062 216.523996680364</t>
  </si>
  <si>
    <t>-585.281794649977 -125.437574976734 677.794291153374</t>
  </si>
  <si>
    <t>-428.777472159729 -112.314727312746 757.026233383871</t>
  </si>
  <si>
    <t>9763-20170724T164235.125032700.bin</t>
  </si>
  <si>
    <t>-527.270633294365 21.3481925018114 -243.381786954541</t>
  </si>
  <si>
    <t>-566.203339441653 14.4231045487932 -357.854904947476</t>
  </si>
  <si>
    <t>-582.243363136936 3.32069107547292 -477.479231152724</t>
  </si>
  <si>
    <t>-581.106373136511 145.070877683705 -776.589378347405</t>
  </si>
  <si>
    <t>-490.181729350199 187.887849036425 -476.446648991963</t>
  </si>
  <si>
    <t>-301.301284422765 172.345701194685 -298.33246725862</t>
  </si>
  <si>
    <t>-531.04297778239 120.165226095905 -247.322266900633</t>
  </si>
  <si>
    <t>-496.925460418133 150.564338582188 206.075509376597</t>
  </si>
  <si>
    <t>-506.558329491391 173.165496459382 675.266407379381</t>
  </si>
  <si>
    <t>-350.564793359089 172.331632737189 756.561260760377</t>
  </si>
  <si>
    <t>-509.703550780099 -76.2278092699456 216.685687931026</t>
  </si>
  <si>
    <t>-585.337276418482 -125.371169668516 678.066583983602</t>
  </si>
  <si>
    <t>-428.889060183065 -112.65523242935 757.475399214855</t>
  </si>
  <si>
    <t>9763-20170724T164235.189209000.bin</t>
  </si>
  <si>
    <t>-527.640239264168 20.2264841286096 -243.120707275764</t>
  </si>
  <si>
    <t>-566.40135271858 13.2601191364657 -357.649640841201</t>
  </si>
  <si>
    <t>-582.293319665877 2.09397959107223 -477.287970220679</t>
  </si>
  <si>
    <t>-580.405382977312 143.654760107727 -776.612535402078</t>
  </si>
  <si>
    <t>-487.988047581227 186.78539185354 -476.971184241562</t>
  </si>
  <si>
    <t>-296.087801733838 152.65781789007 -304.774504777127</t>
  </si>
  <si>
    <t>-531.424289007729 119.228078052959 -247.161440308114</t>
  </si>
  <si>
    <t>-497.661632055011 149.965491050251 206.240049375548</t>
  </si>
  <si>
    <t>-506.808500896626 173.477247621477 675.406061343648</t>
  </si>
  <si>
    <t>-350.747851489489 172.407378948858 756.56903447925</t>
  </si>
  <si>
    <t>-509.928809273681 -77.1962052077959 216.985020802657</t>
  </si>
  <si>
    <t>-585.227729681984 -125.850302716646 678.532242737401</t>
  </si>
  <si>
    <t>-428.956752351376 -112.143789543407 758.12518144637</t>
  </si>
  <si>
    <t>9763-20170724T164235.225307500.bin</t>
  </si>
  <si>
    <t>-527.476946239597 19.6414919504643 -243.066436435711</t>
  </si>
  <si>
    <t>-566.284825127734 12.6909740499813 -357.580438473655</t>
  </si>
  <si>
    <t>-582.189082539234 1.4884580963701 -477.213662749553</t>
  </si>
  <si>
    <t>-579.9436891276 142.880222928951 -776.649468844905</t>
  </si>
  <si>
    <t>-486.582371669645 185.483384877619 -477.225304265209</t>
  </si>
  <si>
    <t>-293.575010471516 145.218424237907 -307.610966655594</t>
  </si>
  <si>
    <t>-531.256352479457 118.639735310127 -247.089655842027</t>
  </si>
  <si>
    <t>-497.468378269127 149.586084690642 206.295768650254</t>
  </si>
  <si>
    <t>-506.752096266068 173.135423475921 675.447447645899</t>
  </si>
  <si>
    <t>-350.681312166533 172.34564883863 756.594202803806</t>
  </si>
  <si>
    <t>-509.785739638222 -77.5631017562967 217.104928268984</t>
  </si>
  <si>
    <t>-585.095241916172 -126.193969931227 678.643476563293</t>
  </si>
  <si>
    <t>-428.837189454422 -112.258441490001 758.221889181948</t>
  </si>
  <si>
    <t>9763-20170724T164235.256390300.bin</t>
  </si>
  <si>
    <t>-527.186653751737 19.411266788714 -243.011457446214</t>
  </si>
  <si>
    <t>-565.950601341807 12.4362282339408 -357.538858427539</t>
  </si>
  <si>
    <t>-581.843231314209 1.17902602570752 -477.168588178522</t>
  </si>
  <si>
    <t>-579.233630729537 142.353446700599 -776.698685528802</t>
  </si>
  <si>
    <t>-485.141410122715 184.821163538518 -477.484057719317</t>
  </si>
  <si>
    <t>-291.601738073561 139.878868449586 -309.660857774051</t>
  </si>
  <si>
    <t>-530.847308376499 118.427855337245 -247.077639058716</t>
  </si>
  <si>
    <t>-497.232099434396 149.598007709321 206.305365317082</t>
  </si>
  <si>
    <t>-506.80892092367 173.184423286309 675.464303869203</t>
  </si>
  <si>
    <t>-350.74514511673 171.798747142252 756.616515780425</t>
  </si>
  <si>
    <t>-509.763418061605 -77.6575762530067 217.164124135675</t>
  </si>
  <si>
    <t>-585.187633388209 -125.936497576903 678.717553975044</t>
  </si>
  <si>
    <t>-428.874188640052 -112.51752549761 758.27602540456</t>
  </si>
  <si>
    <t>9763-20170724T164235.326578700.bin</t>
  </si>
  <si>
    <t>-526.147345422876 18.7263058030046 -242.857188257177</t>
  </si>
  <si>
    <t>-564.761444623616 11.7409184144066 -357.43453534124</t>
  </si>
  <si>
    <t>-580.544297642283 0.426334752095059 -477.073420126921</t>
  </si>
  <si>
    <t>-577.058059259318 141.330140123274 -776.622044905846</t>
  </si>
  <si>
    <t>-481.639205219348 184.391165773164 -477.912874170833</t>
  </si>
  <si>
    <t>-288.279784656907 137.605648963087 -310.385861899425</t>
  </si>
  <si>
    <t>-529.849568995374 117.65900061872 -246.944916454109</t>
  </si>
  <si>
    <t>-496.528778929688 149.312130558066 206.426321881679</t>
  </si>
  <si>
    <t>-506.948610238426 173.276929564915 675.530025610004</t>
  </si>
  <si>
    <t>-350.880970092133 172.06266081347 756.677553424646</t>
  </si>
  <si>
    <t>-509.652691326127 -78.0402378167791 217.355434224801</t>
  </si>
  <si>
    <t>-585.351174882275 -125.645030413964 678.959301306339</t>
  </si>
  <si>
    <t>-428.94623711566 -112.106529255346 758.317418368014</t>
  </si>
  <si>
    <t>9763-20170724T164235.389754000.bin</t>
  </si>
  <si>
    <t>-524.993048469662 18.0466953103885 -242.800169716118</t>
  </si>
  <si>
    <t>-563.586657608143 10.946033262126 -357.377251382377</t>
  </si>
  <si>
    <t>-575.466504592617 140.248039719682 -776.606156464772</t>
  </si>
  <si>
    <t>-478.71668851894 183.57322769496 -478.363647031196</t>
  </si>
  <si>
    <t>-285.833626184457 134.614657364263 -310.908426374402</t>
  </si>
  <si>
    <t>-528.860800367086 116.824532229359 -246.883953853552</t>
  </si>
  <si>
    <t>-495.934988640038 148.910161677781 206.485762671977</t>
  </si>
  <si>
    <t>-506.965619600632 172.913378270096 675.587328972124</t>
  </si>
  <si>
    <t>-350.90110620935 171.626819756112 756.739796779372</t>
  </si>
  <si>
    <t>-509.122082348357 -78.2908082717037 217.478081680827</t>
  </si>
  <si>
    <t>-585.370831189153 -125.379033748563 678.964742883955</t>
  </si>
  <si>
    <t>-428.868253367782 -112.383640878427 758.221120870014</t>
  </si>
  <si>
    <t>9763-20170724T164235.422854100.bin</t>
  </si>
  <si>
    <t>-524.353516198901 17.6414736096523 -242.795518840782</t>
  </si>
  <si>
    <t>-562.810450345576 10.4973818745535 -357.415902751025</t>
  </si>
  <si>
    <t>-574.429523205456 139.831367851982 -776.665208197942</t>
  </si>
  <si>
    <t>-477.769938378511 182.670539817199 -478.323253957159</t>
  </si>
  <si>
    <t>-283.756046450617 136.401055822918 -311.410724548962</t>
  </si>
  <si>
    <t>-528.365818047013 116.298897669965 -246.880231725767</t>
  </si>
  <si>
    <t>-495.64709782578 148.745677993969 206.478741013722</t>
  </si>
  <si>
    <t>-506.980350293258 172.841593877847 675.574140197803</t>
  </si>
  <si>
    <t>-350.92835859818 171.452139894469 756.749150343837</t>
  </si>
  <si>
    <t>-509.139659346989 -78.502482722309 217.501151939019</t>
  </si>
  <si>
    <t>-585.393878314438 -125.243851065625 679.01329691559</t>
  </si>
  <si>
    <t>-428.835858772252 -112.657768299642 758.226213252904</t>
  </si>
  <si>
    <t>9763-20170724T164235.490841900.bin</t>
  </si>
  <si>
    <t>-522.846198985521 16.5454643607413 -242.807137040767</t>
  </si>
  <si>
    <t>-561.059103667561 9.2914585206122 -357.502274873174</t>
  </si>
  <si>
    <t>-572.861927346166 138.474126010517 -776.796813657971</t>
  </si>
  <si>
    <t>-476.168739073135 181.839114395722 -478.541689914402</t>
  </si>
  <si>
    <t>-280.018113117021 136.006666682101 -314.023105306767</t>
  </si>
  <si>
    <t>-527.057503027614 115.059768520472 -246.908282278343</t>
  </si>
  <si>
    <t>-494.917377842242 148.049077040425 206.452898630392</t>
  </si>
  <si>
    <t>-506.988666130721 172.685612633394 675.526326900152</t>
  </si>
  <si>
    <t>-350.949394350974 171.63646304386 756.730754456687</t>
  </si>
  <si>
    <t>-508.862932507765 -79.3110941983228 217.566265019488</t>
  </si>
  <si>
    <t>-585.384925033744 -125.230247590385 679.031215874768</t>
  </si>
  <si>
    <t>-428.514894370568 -112.249554972464 757.560242506952</t>
  </si>
  <si>
    <t>9763-20170724T164235.522912400.bin</t>
  </si>
  <si>
    <t>-522.242833207674 16.2961692452456 -242.834230227448</t>
  </si>
  <si>
    <t>-560.348289993298 8.95694574598438 -357.559754776953</t>
  </si>
  <si>
    <t>-572.498955856183 138.013503932888 -776.961730371013</t>
  </si>
  <si>
    <t>-475.530692768866 181.810422958325 -478.85920717929</t>
  </si>
  <si>
    <t>-278.394381131813 134.736700959593 -315.876425637117</t>
  </si>
  <si>
    <t>-526.673764318674 114.668507350206 -246.912872598542</t>
  </si>
  <si>
    <t>-494.708646280041 147.913410519731 206.442074806441</t>
  </si>
  <si>
    <t>-506.955556268315 172.397311771988 675.529397852881</t>
  </si>
  <si>
    <t>-350.919847423928 171.22148740298 756.738888398975</t>
  </si>
  <si>
    <t>-509.236652620011 -79.3319787881489 217.506158326519</t>
  </si>
  <si>
    <t>-585.608877647536 -124.684324154627 679.003591712645</t>
  </si>
  <si>
    <t>-428.329852019525 -112.437794842952 756.829219680606</t>
  </si>
  <si>
    <t>9763-20170724T164235.585674000.bin</t>
  </si>
  <si>
    <t>-521.496033083001 15.8844354533678 -242.828647879392</t>
  </si>
  <si>
    <t>-559.243665745069 8.43310467952011 -357.665104904328</t>
  </si>
  <si>
    <t>-571.50574284335 136.918040482453 -777.405146666256</t>
  </si>
  <si>
    <t>-475.795162434168 181.950811017503 -479.080161366934</t>
  </si>
  <si>
    <t>-274.806205580947 132.874648426267 -321.482480211365</t>
  </si>
  <si>
    <t>-526.244608587701 113.904072478593 -246.927778357965</t>
  </si>
  <si>
    <t>-494.527533966574 147.734685581275 206.40113357366</t>
  </si>
  <si>
    <t>-507.099675545369 172.648698675884 675.479409092491</t>
  </si>
  <si>
    <t>-351.08387212197 171.840197408093 756.731642468108</t>
  </si>
  <si>
    <t>-509.57749862342 -79.2210107634306 217.510044475941</t>
  </si>
  <si>
    <t>-585.945065608572 -123.79971724759 679.058843395869</t>
  </si>
  <si>
    <t>-428.131225993207 -112.008837036038 755.865510494455</t>
  </si>
  <si>
    <t>9763-20170724T164235.624777100.bin</t>
  </si>
  <si>
    <t>-521.184671068569 15.8153960872112 -242.817560164248</t>
  </si>
  <si>
    <t>-558.924751124516 8.31587279761608 -357.653348972653</t>
  </si>
  <si>
    <t>-571.252123508299 136.697272747205 -777.439653341325</t>
  </si>
  <si>
    <t>-476.422223017041 181.712192794903 -478.831032858828</t>
  </si>
  <si>
    <t>-272.840514720072 132.529693614947 -324.631240549567</t>
  </si>
  <si>
    <t>-526.060737418333 113.833348525888 -246.925390237409</t>
  </si>
  <si>
    <t>-494.572293950093 148.016666080296 206.393186937453</t>
  </si>
  <si>
    <t>-507.313723542061 173.353395885439 675.427082203649</t>
  </si>
  <si>
    <t>-351.335994975507 170.975585100181 756.721625211138</t>
  </si>
  <si>
    <t>-509.51791786854 -79.2421721899599 217.573174097461</t>
  </si>
  <si>
    <t>-585.88077131991 -123.979347517828 679.130800861257</t>
  </si>
  <si>
    <t>-427.952912890268 -111.938690573681 755.663910225892</t>
  </si>
  <si>
    <t>9763-20170724T164235.689958700.bin</t>
  </si>
  <si>
    <t>-520.480681130787 15.0409611489368 -242.844757536139</t>
  </si>
  <si>
    <t>-558.227661485347 7.30799325145259 -357.662632579561</t>
  </si>
  <si>
    <t>-571.471070434437 135.353076594539 -777.414949369117</t>
  </si>
  <si>
    <t>-475.583761632801 181.40538846454 -479.302467672018</t>
  </si>
  <si>
    <t>-267.586075610499 133.707947663693 -330.628640968836</t>
  </si>
  <si>
    <t>-525.630725529255 112.800694444886 -246.953204894779</t>
  </si>
  <si>
    <t>-494.005595659276 147.336951796821 206.328948930914</t>
  </si>
  <si>
    <t>-507.038955404668 172.280515930408 675.407239596148</t>
  </si>
  <si>
    <t>-351.018401760251 172.130008744544 756.654291749634</t>
  </si>
  <si>
    <t>-509.6003261036 -79.6294224979013 217.635907007814</t>
  </si>
  <si>
    <t>-585.932003774698 -123.611104842577 679.285109653605</t>
  </si>
  <si>
    <t>-427.954922209622 -111.188015857696 755.65536248553</t>
  </si>
  <si>
    <t>9763-20170724T164235.722047200.bin</t>
  </si>
  <si>
    <t>-520.211007840912 14.3171222068099 -242.701011178579</t>
  </si>
  <si>
    <t>-557.742236989189 6.55410856917827 -357.587637468654</t>
  </si>
  <si>
    <t>-571.440278646673 134.470873971462 -777.493822080489</t>
  </si>
  <si>
    <t>-474.313853145767 181.134343171386 -479.877943888869</t>
  </si>
  <si>
    <t>-264.159615351605 135.685674815106 -333.550736168897</t>
  </si>
  <si>
    <t>-525.573733971283 111.970949361268 -246.848802696051</t>
  </si>
  <si>
    <t>-493.754403399722 146.944841769162 206.386191617027</t>
  </si>
  <si>
    <t>-506.993386642788 172.036195269117 675.41020663367</t>
  </si>
  <si>
    <t>-350.977564563391 172.402009762813 756.665682001417</t>
  </si>
  <si>
    <t>-509.817389634445 -80.0911811323449 217.725873726996</t>
  </si>
  <si>
    <t>-585.9011296408 -123.670221918747 679.458879622916</t>
  </si>
  <si>
    <t>-427.944793788729 -111.374552517743 755.89259426925</t>
  </si>
  <si>
    <t>9763-20170724T164235.789231300.bin</t>
  </si>
  <si>
    <t>-519.682000479614 13.4415340535278 -242.617603584725</t>
  </si>
  <si>
    <t>-557.21014931237 5.60661039839044 -357.500382765632</t>
  </si>
  <si>
    <t>-572.608752908522 132.791604974605 -777.831201589331</t>
  </si>
  <si>
    <t>-473.234761071712 180.716398494008 -481.159392322982</t>
  </si>
  <si>
    <t>-258.967754080354 143.864954903454 -338.423084161738</t>
  </si>
  <si>
    <t>-525.38525861673 111.093226247058 -246.743913820394</t>
  </si>
  <si>
    <t>-493.626708866528 146.672526724204 206.448307323006</t>
  </si>
  <si>
    <t>-507.216119029401 172.659519645561 675.377687412968</t>
  </si>
  <si>
    <t>-351.218396220832 172.416670558821 756.668267929015</t>
  </si>
  <si>
    <t>-510.181457738042 -80.538589434061 217.827713334228</t>
  </si>
  <si>
    <t>-585.943931328543 -123.457874712175 679.640234721414</t>
  </si>
  <si>
    <t>-427.850317334687 -112.059827573579 755.929238432945</t>
  </si>
  <si>
    <t>9763-20170724T164235.824325500.bin</t>
  </si>
  <si>
    <t>-519.327356733615 12.957622574336 -242.6000995579</t>
  </si>
  <si>
    <t>-556.801847134465 5.09194924116261 -357.498298225525</t>
  </si>
  <si>
    <t>-573.139308295117 131.922220450536 -778.055472559495</t>
  </si>
  <si>
    <t>-472.997523241982 181.096165432718 -481.846505700474</t>
  </si>
  <si>
    <t>-257.232231308557 148.279754557731 -340.388054388666</t>
  </si>
  <si>
    <t>-525.156692854348 110.773797324427 -246.726264060729</t>
  </si>
  <si>
    <t>-493.530272238103 146.526451690875 206.461515895439</t>
  </si>
  <si>
    <t>-507.261823014643 172.768585095007 675.370864108145</t>
  </si>
  <si>
    <t>-351.293767758733 171.428583067541 756.707754651375</t>
  </si>
  <si>
    <t>-510.286226127964 -81.1824020162469 217.842264931077</t>
  </si>
  <si>
    <t>-585.723421065669 -124.087324246788 679.728970633334</t>
  </si>
  <si>
    <t>-427.637238102792 -110.968295685744 755.756277782575</t>
  </si>
  <si>
    <t>9763-20170724T164235.887502500.bin</t>
  </si>
  <si>
    <t>-518.682055122731 11.8548665222526 -242.590840041179</t>
  </si>
  <si>
    <t>-555.909735007866 3.93845556645839 -357.565823160904</t>
  </si>
  <si>
    <t>-573.228855376421 129.910082979935 -778.63477725853</t>
  </si>
  <si>
    <t>-472.514986720954 182.736512785339 -483.249725410377</t>
  </si>
  <si>
    <t>-256.132730597215 154.485624844469 -341.748223793103</t>
  </si>
  <si>
    <t>-524.693182904502 109.373826908075 -246.671140808549</t>
  </si>
  <si>
    <t>-493.059089104348 145.812567305932 206.461562722971</t>
  </si>
  <si>
    <t>-507.166329182537 172.327410077286 675.357847300942</t>
  </si>
  <si>
    <t>-351.195222067672 172.485524968231 756.699732186338</t>
  </si>
  <si>
    <t>-511.423542586963 -81.8768341311013 217.804267808619</t>
  </si>
  <si>
    <t>-585.919216081968 -123.623268584752 679.913070192842</t>
  </si>
  <si>
    <t>-427.531891337071 -111.85305761886 755.533374722766</t>
  </si>
  <si>
    <t>9763-20170724T164235.925605600.bin</t>
  </si>
  <si>
    <t>-518.319714732397 11.1804655928914 -242.604998128359</t>
  </si>
  <si>
    <t>-555.497655174537 3.30073590512282 -357.598498288834</t>
  </si>
  <si>
    <t>-572.910101100312 129.084671650436 -778.789365783302</t>
  </si>
  <si>
    <t>-472.254796503662 183.574728971953 -483.686753972764</t>
  </si>
  <si>
    <t>-256.289298305901 157.065098462736 -341.215099848517</t>
  </si>
  <si>
    <t>-524.386674180384 108.828080614377 -246.652400199069</t>
  </si>
  <si>
    <t>-492.85070673046 145.524187537102 206.466269649645</t>
  </si>
  <si>
    <t>-507.207385913936 172.402572231997 675.34212095176</t>
  </si>
  <si>
    <t>-351.246719064367 172.018376435594 756.703252888429</t>
  </si>
  <si>
    <t>-511.991623545874 -82.6227282945882 217.776349061465</t>
  </si>
  <si>
    <t>-585.88672435714 -123.780696256457 680.053857990454</t>
  </si>
  <si>
    <t>-427.506000233633 -111.068764425108 755.535490031328</t>
  </si>
  <si>
    <t>9763-20170724T164235.990397900.bin</t>
  </si>
  <si>
    <t>-517.885646902841 9.99831213016144 -242.558562009603</t>
  </si>
  <si>
    <t>-554.832721657228 2.18202458790687 -357.630832488081</t>
  </si>
  <si>
    <t>-572.077614372434 127.589547724677 -778.992351615158</t>
  </si>
  <si>
    <t>-471.517245249457 182.789893368901 -483.989411221192</t>
  </si>
  <si>
    <t>-257.559485805891 158.028580594387 -338.212161527334</t>
  </si>
  <si>
    <t>-524.026132574306 107.742033018372 -246.547704997563</t>
  </si>
  <si>
    <t>-492.46219938777 145.043608140321 206.519652127308</t>
  </si>
  <si>
    <t>-507.360438691226 172.731334886829 675.345895865909</t>
  </si>
  <si>
    <t>-351.433176875792 171.961065361596 756.768313695163</t>
  </si>
  <si>
    <t>-512.822608599171 -83.7980772505021 217.833467693877</t>
  </si>
  <si>
    <t>-585.919387958384 -123.937448266564 680.366493430859</t>
  </si>
  <si>
    <t>-427.451058733255 -110.74519851073 755.581362980867</t>
  </si>
  <si>
    <t>9763-20170724T164236.025482300.bin</t>
  </si>
  <si>
    <t>-517.728797333077 9.34249751283848 -242.466660188881</t>
  </si>
  <si>
    <t>-554.580608525828 1.53381537909965 -357.570058019026</t>
  </si>
  <si>
    <t>-571.60814593073 126.794569641461 -778.946463250484</t>
  </si>
  <si>
    <t>-471.307177861312 181.752439163594 -483.810023639573</t>
  </si>
  <si>
    <t>-258.615536743894 156.277137196743 -336.313226436495</t>
  </si>
  <si>
    <t>-523.78710202089 106.944374036048 -246.514225549989</t>
  </si>
  <si>
    <t>-492.273571755995 144.590605370299 206.528029604409</t>
  </si>
  <si>
    <t>-507.26341178028 172.3873984548 675.325908068893</t>
  </si>
  <si>
    <t>-351.337194638627 172.224679101618 756.753776561496</t>
  </si>
  <si>
    <t>-512.983756508534 -84.1725326305544 217.934744143651</t>
  </si>
  <si>
    <t>-585.95136349764 -123.912251048942 680.484572072291</t>
  </si>
  <si>
    <t>-427.417646042382 -110.929247140257 755.597822966293</t>
  </si>
  <si>
    <t>9763-20170724T164236.088652200.bin</t>
  </si>
  <si>
    <t>-517.555705360846 8.23579290991073 -242.365296147988</t>
  </si>
  <si>
    <t>-554.496891962542 0.462253218688581 -357.44248137723</t>
  </si>
  <si>
    <t>-571.36146356366 125.723348890952 -778.788301568136</t>
  </si>
  <si>
    <t>-472.131333705178 179.740782081233 -483.116812288142</t>
  </si>
  <si>
    <t>-261.717004932437 150.687665580046 -333.037576289713</t>
  </si>
  <si>
    <t>-523.524833245961 105.888396809501 -246.43163331152</t>
  </si>
  <si>
    <t>-492.04212018868 143.871627490734 206.584655876512</t>
  </si>
  <si>
    <t>-507.247150331555 172.222514675407 675.332503558891</t>
  </si>
  <si>
    <t>-351.358919365141 171.737143117381 756.831739517485</t>
  </si>
  <si>
    <t>-512.986877872155 -84.8814699183045 218.078861796805</t>
  </si>
  <si>
    <t>-585.897717001482 -124.076231385981 680.663099700751</t>
  </si>
  <si>
    <t>-427.292179844943 -111.069022292892 755.620474049672</t>
  </si>
  <si>
    <t>9763-20170724T164236.122757300.bin</t>
  </si>
  <si>
    <t>-517.484295964774 7.82771967196217 -242.330705184012</t>
  </si>
  <si>
    <t>-554.387253863036 0.0905770078126409 -357.422332866517</t>
  </si>
  <si>
    <t>-571.447351656328 125.547671149171 -778.691086411099</t>
  </si>
  <si>
    <t>-472.835954030726 178.94095698187 -482.699157809603</t>
  </si>
  <si>
    <t>-263.265945362644 148.608348718261 -331.694630076924</t>
  </si>
  <si>
    <t>-523.373672073296 105.47047030809 -246.405697590326</t>
  </si>
  <si>
    <t>-491.888675883941 143.729896622825 206.587274818237</t>
  </si>
  <si>
    <t>-507.402785688296 172.662947668028 675.320630302043</t>
  </si>
  <si>
    <t>-351.534444020462 172.274120568193 756.858510797701</t>
  </si>
  <si>
    <t>-513.129493529139 -85.0257156442583 218.118583783817</t>
  </si>
  <si>
    <t>-586.063034704256 -123.678627729591 680.75188251929</t>
  </si>
  <si>
    <t>-427.389061670728 -111.126872654559 755.642033323472</t>
  </si>
  <si>
    <t>9763-20170724T164236.188927300.bin</t>
  </si>
  <si>
    <t>-517.225022089282 7.01041522164337 -242.306739267149</t>
  </si>
  <si>
    <t>-571.406276801107 125.427876794327 -778.596495180755</t>
  </si>
  <si>
    <t>-474.184861930717 178.022570420745 -482.00257007476</t>
  </si>
  <si>
    <t>-266.257270029493 145.189687080895 -329.260348099854</t>
  </si>
  <si>
    <t>-522.890278545482 104.767731966822 -246.382096563691</t>
  </si>
  <si>
    <t>-491.316652551076 143.331392594093 206.578847985119</t>
  </si>
  <si>
    <t>-507.430574144294 172.771492805423 675.261938690016</t>
  </si>
  <si>
    <t>-351.642034804001 171.346037993014 756.940656710524</t>
  </si>
  <si>
    <t>-514.361449506612 -85.9015572791007 218.053195124081</t>
  </si>
  <si>
    <t>-586.064657782872 -123.713518219034 680.932542381262</t>
  </si>
  <si>
    <t>-427.347174470053 -111.443171481783 755.777135083275</t>
  </si>
  <si>
    <t>9763-20170724T164236.222015800.bin</t>
  </si>
  <si>
    <t>-516.966901429024 6.50378893521746 -242.372667494568</t>
  </si>
  <si>
    <t>-571.473076282637 125.318516380106 -778.674574500423</t>
  </si>
  <si>
    <t>-475.038939339825 177.365653001331 -481.727233473422</t>
  </si>
  <si>
    <t>-267.99631159826 143.343746389543 -328.045968537769</t>
  </si>
  <si>
    <t>-522.44773904388 104.340928583067 -246.387507322003</t>
  </si>
  <si>
    <t>-490.995427895905 142.933711895719 206.579470032972</t>
  </si>
  <si>
    <t>-507.280786850052 172.200192038512 675.257532260824</t>
  </si>
  <si>
    <t>-351.509267631712 171.068985993964 756.973228873585</t>
  </si>
  <si>
    <t>-515.280668769535 -86.7392004528866 217.988775181429</t>
  </si>
  <si>
    <t>-585.935298503541 -124.117279117595 681.100219520307</t>
  </si>
  <si>
    <t>-427.296706326405 -111.514596996343 756.056730656025</t>
  </si>
  <si>
    <t>9763-20170724T164236.291205600.bin</t>
  </si>
  <si>
    <t>-516.406578960528 5.05579621107321 -242.341747389868</t>
  </si>
  <si>
    <t>-571.213927002023 124.426338172571 -779.021673293396</t>
  </si>
  <si>
    <t>-475.917522708273 176.313173089528 -481.679270736505</t>
  </si>
  <si>
    <t>-271.303367929057 139.933469330327 -325.309090192348</t>
  </si>
  <si>
    <t>-521.534808746981 103.241941312498 -246.264899354408</t>
  </si>
  <si>
    <t>-490.458961370151 142.440243862269 206.67601428559</t>
  </si>
  <si>
    <t>-507.396042383238 172.409585457517 675.258158355738</t>
  </si>
  <si>
    <t>-351.632659589881 170.512245870066 756.975133653551</t>
  </si>
  <si>
    <t>-517.151847990062 -88.7975801906182 217.919426136658</t>
  </si>
  <si>
    <t>-585.726304775296 -124.904589116317 681.475724955424</t>
  </si>
  <si>
    <t>-427.344229438629 -110.658474566823 756.680042109039</t>
  </si>
  <si>
    <t>9763-20170724T164236.323288800.bin</t>
  </si>
  <si>
    <t>-516.184308610558 4.57518655369228 -242.309801839389</t>
  </si>
  <si>
    <t>-571.10498299143 124.071909669449 -779.194234728261</t>
  </si>
  <si>
    <t>-476.535129617749 175.78482597405 -481.589688199057</t>
  </si>
  <si>
    <t>-272.902544959574 139.331125474005 -323.960491518623</t>
  </si>
  <si>
    <t>-521.039205298609 102.888557605296 -246.24622151173</t>
  </si>
  <si>
    <t>-490.240665025398 142.087598844926 206.713588570205</t>
  </si>
  <si>
    <t>-507.378759232002 172.295851913793 675.269853420379</t>
  </si>
  <si>
    <t>-351.615084472921 170.346832793833 756.985107689076</t>
  </si>
  <si>
    <t>-518.03647990638 -89.458343335902 217.917473409638</t>
  </si>
  <si>
    <t>-585.880622104802 -124.755841033156 681.677542291639</t>
  </si>
  <si>
    <t>-427.513784351927 -110.991474749444 757.003603831574</t>
  </si>
  <si>
    <t>9763-20170724T164236.389376700.bin</t>
  </si>
  <si>
    <t>-515.767477200213 4.01527265571205 -242.269523177935</t>
  </si>
  <si>
    <t>-571.023139416023 123.533772209076 -779.468517342223</t>
  </si>
  <si>
    <t>-478.114307983308 174.9802958074 -481.295185713102</t>
  </si>
  <si>
    <t>-275.671317499463 139.426572137083 -321.937444213646</t>
  </si>
  <si>
    <t>-520.162407304694 102.339286523833 -246.171081131736</t>
  </si>
  <si>
    <t>-489.791135300238 141.705073511701 206.803070293927</t>
  </si>
  <si>
    <t>-507.388237480307 172.141756126148 675.332051209385</t>
  </si>
  <si>
    <t>-351.624743431723 170.405873855875 757.05243105071</t>
  </si>
  <si>
    <t>-518.832628145155 -90.0212618161921 217.951215290063</t>
  </si>
  <si>
    <t>-586.069982651996 -124.438225396155 681.770141177968</t>
  </si>
  <si>
    <t>-427.610263862274 -111.025256366837 756.964013075754</t>
  </si>
  <si>
    <t>9763-20170724T164236.426460300.bin</t>
  </si>
  <si>
    <t>-515.421212949291 3.82480879121916 -242.251925728364</t>
  </si>
  <si>
    <t>-570.84264886649 123.176358981678 -779.710705564194</t>
  </si>
  <si>
    <t>-478.805375509347 174.937732374972 -481.32155948277</t>
  </si>
  <si>
    <t>-276.92415900805 139.790598624497 -321.163235323148</t>
  </si>
  <si>
    <t>-519.610831224498 102.077521339672 -246.185186112993</t>
  </si>
  <si>
    <t>-489.390085401857 141.451703119267 206.798296475708</t>
  </si>
  <si>
    <t>-507.313344301599 171.870417343514 675.329994994366</t>
  </si>
  <si>
    <t>-351.54914941975 170.985801831579 757.062687777715</t>
  </si>
  <si>
    <t>-518.925468691715 -90.1115534959538 217.915671809126</t>
  </si>
  <si>
    <t>-586.048386733101 -124.478256239201 681.724072417635</t>
  </si>
  <si>
    <t>-427.521983087343 -110.819110553995 756.732831238009</t>
  </si>
  <si>
    <t>9763-20170724T164236.487640500.bin</t>
  </si>
  <si>
    <t>-514.598476029165 4.25454606730861 -242.274059668133</t>
  </si>
  <si>
    <t>-570.213082046188 123.15897787055 -780.184594528353</t>
  </si>
  <si>
    <t>-480.318552006118 175.514084018997 -481.246345375409</t>
  </si>
  <si>
    <t>-279.815387537639 139.196770457977 -319.624545837745</t>
  </si>
  <si>
    <t>-518.48353249602 102.456186198248 -246.194356254714</t>
  </si>
  <si>
    <t>-488.737349439622 141.800814052971 206.823230119067</t>
  </si>
  <si>
    <t>-507.457919993481 172.219375804173 675.326596708413</t>
  </si>
  <si>
    <t>-351.736024614753 170.673577446512 757.130150822201</t>
  </si>
  <si>
    <t>-519.347988072086 -89.6879021830548 217.851916333624</t>
  </si>
  <si>
    <t>-586.186557742298 -124.202983015043 681.70532706486</t>
  </si>
  <si>
    <t>-427.421064618747 -111.641439130925 756.399533093456</t>
  </si>
  <si>
    <t>9763-20170724T164236.525740000.bin</t>
  </si>
  <si>
    <t>-514.163114389409 4.29633565814524 -242.313873422616</t>
  </si>
  <si>
    <t>-570.012885855901 122.917558992121 -780.471233680444</t>
  </si>
  <si>
    <t>-481.019154237389 175.399964114184 -481.285789591205</t>
  </si>
  <si>
    <t>-281.251419174278 137.532004770608 -319.110246833374</t>
  </si>
  <si>
    <t>-517.899649791465 102.434649332698 -246.227428366287</t>
  </si>
  <si>
    <t>-488.235320407514 141.735367107081 206.799160637702</t>
  </si>
  <si>
    <t>-507.392154823769 171.93856329907 675.314552598158</t>
  </si>
  <si>
    <t>-351.673367771509 170.871757663545 757.131445102883</t>
  </si>
  <si>
    <t>-519.277225225354 -89.7348429853624 217.865007009671</t>
  </si>
  <si>
    <t>-586.088548319157 -124.480515462653 681.71320589121</t>
  </si>
  <si>
    <t>-427.31437222899 -111.352982742841 756.291650118673</t>
  </si>
  <si>
    <t>9763-20170724T164236.589923700.bin</t>
  </si>
  <si>
    <t>-513.825204224136 5.11397272582731 -242.277708441488</t>
  </si>
  <si>
    <t>-570.714385332264 123.026902192434 -780.782701060445</t>
  </si>
  <si>
    <t>-482.989541294477 175.864125731362 -481.285207013078</t>
  </si>
  <si>
    <t>-284.357962635487 133.242497195954 -318.893681271382</t>
  </si>
  <si>
    <t>-517.294984918903 103.212962309877 -246.260592866274</t>
  </si>
  <si>
    <t>-487.700136932328 142.253978869788 206.792968862189</t>
  </si>
  <si>
    <t>-507.515574899192 172.2120200048 675.306813549038</t>
  </si>
  <si>
    <t>-351.867322366717 169.820256402658 757.229913557279</t>
  </si>
  <si>
    <t>-518.72627585179 -88.8214789839581 217.987242086414</t>
  </si>
  <si>
    <t>-586.144842037673 -124.241816845321 681.690888782099</t>
  </si>
  <si>
    <t>-427.320427922733 -111.437742649662 756.218560393512</t>
  </si>
  <si>
    <t>9763-20170724T164236.622009400.bin</t>
  </si>
  <si>
    <t>-513.797836769012 5.4917484641612 -242.219709980681</t>
  </si>
  <si>
    <t>-571.023264343949 123.114506589545 -780.798482910624</t>
  </si>
  <si>
    <t>-483.779926259803 175.990184261704 -481.167197783709</t>
  </si>
  <si>
    <t>-285.883417767613 129.749646610781 -318.868616196755</t>
  </si>
  <si>
    <t>-517.169110378683 103.451286189915 -246.245395565291</t>
  </si>
  <si>
    <t>-487.411098829482 142.247272954581 206.818709759109</t>
  </si>
  <si>
    <t>-507.404820019645 171.717176099452 675.332052729462</t>
  </si>
  <si>
    <t>-351.753177617352 170.235731128956 757.270298108058</t>
  </si>
  <si>
    <t>-517.945924200809 -88.2051538122803 218.105352670276</t>
  </si>
  <si>
    <t>-586.058781276946 -124.342545427354 681.630364936331</t>
  </si>
  <si>
    <t>-427.227561680426 -111.428584351437 756.124576603694</t>
  </si>
  <si>
    <t>9763-20170724T164236.692209800.bin</t>
  </si>
  <si>
    <t>-514.211983764193 7.10073753876078 -242.19026919651</t>
  </si>
  <si>
    <t>-551.186297164781 0.543685340184055 -357.332404022003</t>
  </si>
  <si>
    <t>-571.869667376613 124.240077340074 -780.770849293797</t>
  </si>
  <si>
    <t>-486.222848082708 176.949070462456 -480.649753207614</t>
  </si>
  <si>
    <t>-289.211461088936 124.521948351112 -319.156927595976</t>
  </si>
  <si>
    <t>-517.437367483299 104.786408184817 -246.258352053108</t>
  </si>
  <si>
    <t>-487.087626135374 143.174385836739 206.801268407207</t>
  </si>
  <si>
    <t>-507.48149099539 171.867467001934 675.302388480159</t>
  </si>
  <si>
    <t>-351.850548184408 170.333260707477 757.278952069102</t>
  </si>
  <si>
    <t>-516.44474074618 -85.9187104089533 218.187988533124</t>
  </si>
  <si>
    <t>-586.217302050326 -123.426382557161 681.315653186447</t>
  </si>
  <si>
    <t>-427.248926334673 -112.459937586358 755.829334205526</t>
  </si>
  <si>
    <t>9763-20170724T164236.723293300.bin</t>
  </si>
  <si>
    <t>-514.409387792328 7.77013541874388 -242.238322135724</t>
  </si>
  <si>
    <t>-551.55730669072 1.15741738792673 -357.321349198857</t>
  </si>
  <si>
    <t>-572.297568005179 124.639501499077 -780.796071318766</t>
  </si>
  <si>
    <t>-487.262936466066 177.279082865152 -480.488899715046</t>
  </si>
  <si>
    <t>-290.355877396863 121.485716392409 -319.999740570396</t>
  </si>
  <si>
    <t>-517.57404436909 105.269037898264 -246.27928693211</t>
  </si>
  <si>
    <t>-486.947009455121 143.42884028216 206.780857349456</t>
  </si>
  <si>
    <t>-507.35617796553 171.387598504969 675.294925188071</t>
  </si>
  <si>
    <t>-351.708156384681 170.513321918783 757.248716513348</t>
  </si>
  <si>
    <t>-516.063111225536 -85.300683890232 218.14740903579</t>
  </si>
  <si>
    <t>-586.14234908374 -123.469382106282 681.22360870969</t>
  </si>
  <si>
    <t>-427.175500443453 -112.350107627342 755.718030267195</t>
  </si>
  <si>
    <t>9763-20170724T164236.789351600.bin</t>
  </si>
  <si>
    <t>-515.03757156678 9.01157020586646 -242.286631238546</t>
  </si>
  <si>
    <t>-552.071474891008 2.43239311098815 -357.408305277686</t>
  </si>
  <si>
    <t>-572.78904690574 125.708762636004 -780.935123785364</t>
  </si>
  <si>
    <t>-488.796803516021 178.285805469258 -480.323769107344</t>
  </si>
  <si>
    <t>-291.572774329361 113.533123109767 -323.63353358247</t>
  </si>
  <si>
    <t>-518.353517980728 106.578464920534 -246.289147803218</t>
  </si>
  <si>
    <t>-487.47662196548 144.273103997569 206.793048178978</t>
  </si>
  <si>
    <t>-507.488992864293 171.649786297806 675.309392672552</t>
  </si>
  <si>
    <t>-351.797867811445 170.643509685566 757.179694181809</t>
  </si>
  <si>
    <t>-516.548321082171 -84.9564654281945 218.036955889906</t>
  </si>
  <si>
    <t>-585.981495912682 -123.836614281271 681.189779431152</t>
  </si>
  <si>
    <t>-427.062981937757 -111.941183416832 755.667398502304</t>
  </si>
  <si>
    <t>9763-20170724T164236.824445100.bin</t>
  </si>
  <si>
    <t>-515.496691789273 9.77530546510721 -242.377447699356</t>
  </si>
  <si>
    <t>-552.562711170207 3.24515971797871 -357.491621255387</t>
  </si>
  <si>
    <t>-573.167587749133 126.475138112574 -780.977382075006</t>
  </si>
  <si>
    <t>-489.71879221487 178.731200822984 -480.158862758527</t>
  </si>
  <si>
    <t>-292.281701758459 111.594250589379 -324.745609538002</t>
  </si>
  <si>
    <t>-518.770517014933 107.481981285829 -246.354058795853</t>
  </si>
  <si>
    <t>-488.076857732296 144.797724430774 206.771891284046</t>
  </si>
  <si>
    <t>-507.634979354273 172.032836306058 675.332549467809</t>
  </si>
  <si>
    <t>-351.913381338524 170.4452553625 757.135768984658</t>
  </si>
  <si>
    <t>-517.075222276109 -84.7740636385591 217.949320659777</t>
  </si>
  <si>
    <t>-585.975128245609 -123.814763286163 681.179187914793</t>
  </si>
  <si>
    <t>-427.062907178976 -111.769627173221 755.646341096501</t>
  </si>
  <si>
    <t>9763-20170724T164236.890623900.bin</t>
  </si>
  <si>
    <t>-516.507923986026 10.8929152064987 -242.500374261822</t>
  </si>
  <si>
    <t>-553.213184913694 4.58418726597725 -357.742399771331</t>
  </si>
  <si>
    <t>-572.857618012468 127.917238653687 -781.224650410187</t>
  </si>
  <si>
    <t>-490.439742728224 179.676464816974 -480.0361541363</t>
  </si>
  <si>
    <t>-293.700221520286 111.983303199706 -323.980884120656</t>
  </si>
  <si>
    <t>-519.538021311674 108.450513738658 -246.416373408529</t>
  </si>
  <si>
    <t>-489.277668206405 145.1609806322 206.788182783537</t>
  </si>
  <si>
    <t>-507.513713103547 171.440907981029 675.411924572986</t>
  </si>
  <si>
    <t>-351.672756309836 171.046691295368 757.002064532325</t>
  </si>
  <si>
    <t>-518.671765677925 -84.7298833952629 217.695644060791</t>
  </si>
  <si>
    <t>-586.046449476209 -123.645912706895 681.181009657959</t>
  </si>
  <si>
    <t>-427.123326366266 -112.349207251702 755.741927238396</t>
  </si>
  <si>
    <t>9763-20170724T164236.923712400.bin</t>
  </si>
  <si>
    <t>-516.888336397923 11.45671197691 -242.700122702491</t>
  </si>
  <si>
    <t>-553.539688960717 5.29371500295397 -357.967138503692</t>
  </si>
  <si>
    <t>-572.536768492599 128.676589825713 -781.442802471982</t>
  </si>
  <si>
    <t>-490.68800285348 180.113484995909 -480.044012634519</t>
  </si>
  <si>
    <t>-294.90160071129 113.964567609857 -322.138671054504</t>
  </si>
  <si>
    <t>-519.818852016011 109.249814227282 -246.512821798782</t>
  </si>
  <si>
    <t>-490.051528327828 145.600694943935 206.753417253312</t>
  </si>
  <si>
    <t>-507.697816499032 172.03789484487 675.421935373999</t>
  </si>
  <si>
    <t>-351.827188138844 170.767139328824 756.946499518229</t>
  </si>
  <si>
    <t>-519.896613446568 -85.017907064056 217.459204115286</t>
  </si>
  <si>
    <t>-586.00819409643 -123.798618504713 681.192510938243</t>
  </si>
  <si>
    <t>-427.131803281571 -112.052818347133 755.783621764313</t>
  </si>
  <si>
    <t>9763-20170724T164236.990410300.bin</t>
  </si>
  <si>
    <t>-517.492432732912 12.0117827442799 -243.032716927773</t>
  </si>
  <si>
    <t>-553.509564174883 6.23270187851283 -358.519425210716</t>
  </si>
  <si>
    <t>-570.970963601513 130.252744059929 -781.865759925538</t>
  </si>
  <si>
    <t>-490.131660736538 180.915377597677 -480.063723951262</t>
  </si>
  <si>
    <t>-296.025945427395 119.5179483074 -318.213849815641</t>
  </si>
  <si>
    <t>-520.021435236293 110.260902828131 -246.673500079366</t>
  </si>
  <si>
    <t>-491.323258449224 145.795794583434 206.726197658524</t>
  </si>
  <si>
    <t>-507.779137527513 172.233543760983 675.475692410134</t>
  </si>
  <si>
    <t>-351.845668366226 170.585089013328 756.87310911826</t>
  </si>
  <si>
    <t>-523.66301990023 -86.5039300580838 216.928884558337</t>
  </si>
  <si>
    <t>-586.003294649729 -124.176536503631 681.328488866667</t>
  </si>
  <si>
    <t>-427.159581165846 -111.469170342542 755.831656289898</t>
  </si>
  <si>
    <t>9763-20170724T164237.022495200.bin</t>
  </si>
  <si>
    <t>-517.56921946319 11.8978865744155 -243.19855133717</t>
  </si>
  <si>
    <t>-553.165213305343 6.36818876951874 -358.827877817741</t>
  </si>
  <si>
    <t>-569.824725918831 130.795565164631 -782.063359720408</t>
  </si>
  <si>
    <t>-489.831704056819 181.361009629743 -480.019594940877</t>
  </si>
  <si>
    <t>-296.134428003428 120.768340036858 -317.378962453296</t>
  </si>
  <si>
    <t>-519.754231774084 110.307742015444 -246.765230749166</t>
  </si>
  <si>
    <t>-491.915230477769 145.498506268145 206.715042121114</t>
  </si>
  <si>
    <t>-507.703708347992 171.982326807257 675.49030797316</t>
  </si>
  <si>
    <t>-351.718672344964 171.538934070098 756.804289322191</t>
  </si>
  <si>
    <t>-525.971558631292 -87.6670578311913 216.65380757432</t>
  </si>
  <si>
    <t>-585.97132626388 -124.529372204153 681.440465473398</t>
  </si>
  <si>
    <t>-427.183031780608 -110.613705061547 755.845714824573</t>
  </si>
  <si>
    <t>9763-20170724T164237.089186000.bin</t>
  </si>
  <si>
    <t>-517.981589977599 12.006071099581 -243.478551719831</t>
  </si>
  <si>
    <t>-552.764646330326 6.99207470105199 -359.378452057734</t>
  </si>
  <si>
    <t>-567.712683703114 132.203148501567 -782.446062988575</t>
  </si>
  <si>
    <t>-489.727490084333 182.103261455529 -479.767059738068</t>
  </si>
  <si>
    <t>-296.434502318792 124.531643330899 -315.555665561811</t>
  </si>
  <si>
    <t>-519.638867141387 111.207145146331 -246.946388361772</t>
  </si>
  <si>
    <t>-493.687674047977 145.447786746483 206.718467281024</t>
  </si>
  <si>
    <t>-507.928558012696 172.727941109817 675.538266009502</t>
  </si>
  <si>
    <t>-351.934107126341 170.813184525826 756.813032202038</t>
  </si>
  <si>
    <t>-530.606257460079 -89.7802104314388 216.151666016405</t>
  </si>
  <si>
    <t>-585.86748335851 -125.349921790959 681.652648405069</t>
  </si>
  <si>
    <t>-427.158017057368 -109.98277978396 755.940462962122</t>
  </si>
  <si>
    <t>9763-20170724T164237.121272100.bin</t>
  </si>
  <si>
    <t>-518.305619389744 12.0474482286821 -243.602638710921</t>
  </si>
  <si>
    <t>-552.746479601288 7.29657723801355 -359.615854462277</t>
  </si>
  <si>
    <t>-566.539360933631 132.850320813635 -782.61294592218</t>
  </si>
  <si>
    <t>-489.685707741419 182.169905982291 -479.54973184588</t>
  </si>
  <si>
    <t>-296.449232903252 125.695635195221 -314.891288001386</t>
  </si>
  <si>
    <t>-519.575262502713 111.38852779158 -246.986882997025</t>
  </si>
  <si>
    <t>-494.56925151475 145.119346161897 206.769141314287</t>
  </si>
  <si>
    <t>-507.896425302097 172.601035630842 675.577155238302</t>
  </si>
  <si>
    <t>-351.887107280632 170.919048116494 756.828442350291</t>
  </si>
  <si>
    <t>-532.824793290088 -90.4145030428541 215.910811621922</t>
  </si>
  <si>
    <t>-586.144442141364 -124.906311855215 681.713358382236</t>
  </si>
  <si>
    <t>-427.431390230536 -109.179938660979 755.918190423182</t>
  </si>
  <si>
    <t>9763-20170724T164237.189988300.bin</t>
  </si>
  <si>
    <t>-519.0721073671 11.8868027973591 -243.922716119246</t>
  </si>
  <si>
    <t>-552.766336690841 7.61546070179919 -360.173615738516</t>
  </si>
  <si>
    <t>-564.318113249611 133.760396960938 -782.996972163593</t>
  </si>
  <si>
    <t>-489.507940331494 182.183649310223 -479.278683391613</t>
  </si>
  <si>
    <t>-296.643499278106 124.983825084945 -314.434723876202</t>
  </si>
  <si>
    <t>-519.54051330121 111.369093169395 -247.183356994866</t>
  </si>
  <si>
    <t>-496.854601564723 144.301382809074 206.753259841515</t>
  </si>
  <si>
    <t>-507.792440299361 172.28722493185 675.600937722172</t>
  </si>
  <si>
    <t>-351.730732170281 171.295742936376 756.762930084639</t>
  </si>
  <si>
    <t>-536.129254853825 -91.7629498622485 215.30313924894</t>
  </si>
  <si>
    <t>-586.244425846988 -125.280156053818 681.453774072856</t>
  </si>
  <si>
    <t>-427.356751781254 -110.758256988842 755.530258526352</t>
  </si>
  <si>
    <t>9763-20170724T164237.224080000.bin</t>
  </si>
  <si>
    <t>-519.70275478746 12.0958922098147 -244.082946749647</t>
  </si>
  <si>
    <t>-553.145204409243 8.04596158547859 -360.414393687485</t>
  </si>
  <si>
    <t>-563.53206216662 134.505527645225 -783.192178758953</t>
  </si>
  <si>
    <t>-489.741457942404 182.642580632936 -479.178972878883</t>
  </si>
  <si>
    <t>-297.114064466941 124.96189875708 -314.22543274804</t>
  </si>
  <si>
    <t>-519.965824516414 111.668526103677 -247.236285059072</t>
  </si>
  <si>
    <t>-498.086813610004 144.314983999453 206.76067399433</t>
  </si>
  <si>
    <t>-507.909213074257 172.588939662229 675.647448988759</t>
  </si>
  <si>
    <t>-351.833664513367 170.787706248885 756.768803328573</t>
  </si>
  <si>
    <t>-537.015171647708 -91.870842689326 215.065303834746</t>
  </si>
  <si>
    <t>-586.376987254662 -125.121343430697 681.312791349812</t>
  </si>
  <si>
    <t>-427.545402700078 -109.499528918475 755.285697771855</t>
  </si>
  <si>
    <t>9763-20170724T164237.293769100.bin</t>
  </si>
  <si>
    <t>-521.096569470087 12.4092571661283 -244.270372107267</t>
  </si>
  <si>
    <t>-554.112692288914 8.67860018123665 -360.734106633665</t>
  </si>
  <si>
    <t>-562.23511563203 135.361831219078 -783.425423188826</t>
  </si>
  <si>
    <t>-490.199768452893 183.079565003121 -478.925720554763</t>
  </si>
  <si>
    <t>-297.929521797801 124.814859767848 -313.760949980261</t>
  </si>
  <si>
    <t>-521.000360612823 111.93666724365 -247.264229046463</t>
  </si>
  <si>
    <t>-499.865651643987 144.281991594292 206.789547878009</t>
  </si>
  <si>
    <t>-507.952533172994 172.52385588161 675.738812153726</t>
  </si>
  <si>
    <t>-351.77597873582 171.255858421144 756.675704537932</t>
  </si>
  <si>
    <t>-537.846742499258 -91.8297458343595 214.716917565707</t>
  </si>
  <si>
    <t>-586.457770652706 -125.117561680709 681.083881596394</t>
  </si>
  <si>
    <t>-427.459684804283 -110.85332297867 754.973380977544</t>
  </si>
  <si>
    <t>9763-20170724T164237.319837800.bin</t>
  </si>
  <si>
    <t>-521.601947080976 12.4912333135893 -244.302364831591</t>
  </si>
  <si>
    <t>-554.455608775036 8.90412668441166 -360.816577764921</t>
  </si>
  <si>
    <t>-561.250645877016 135.804984672877 -783.449626196098</t>
  </si>
  <si>
    <t>-489.968831935274 183.251856101393 -478.730288084647</t>
  </si>
  <si>
    <t>-297.854698803105 124.893838226814 -313.416787491945</t>
  </si>
  <si>
    <t>-521.351234254706 111.816141686745 -247.227644654256</t>
  </si>
  <si>
    <t>-500.248343059598 144.019403162777 206.837676456317</t>
  </si>
  <si>
    <t>-507.779832347311 171.823302166161 675.807411673725</t>
  </si>
  <si>
    <t>-351.537180531977 172.153164928225 756.625940483514</t>
  </si>
  <si>
    <t>-538.142164283012 -91.7040897242051 214.57211833986</t>
  </si>
  <si>
    <t>-586.530175206511 -124.912446212992 680.964011085116</t>
  </si>
  <si>
    <t>-427.625041665369 -109.336039577964 754.788380459666</t>
  </si>
  <si>
    <t>9763-20170724T164237.387023700.bin</t>
  </si>
  <si>
    <t>-522.360695691672 13.4851580837677 -244.514910648344</t>
  </si>
  <si>
    <t>-555.214828931631 10.0360890652993 -361.033332175401</t>
  </si>
  <si>
    <t>-560.339970305349 137.350564757812 -783.423999354323</t>
  </si>
  <si>
    <t>-489.939528762343 184.7804944604 -478.497142909591</t>
  </si>
  <si>
    <t>-298.141735569681 125.990593424492 -312.96948788816</t>
  </si>
  <si>
    <t>-521.997563623644 112.900244281281 -247.2540069734</t>
  </si>
  <si>
    <t>-500.878628188406 144.598526054209 206.846173419267</t>
  </si>
  <si>
    <t>-507.846932238828 171.855807114534 675.877727876254</t>
  </si>
  <si>
    <t>-351.567006417758 171.088310796461 756.621277828873</t>
  </si>
  <si>
    <t>-538.645017584784 -91.2068529433739 214.315960772467</t>
  </si>
  <si>
    <t>-586.566764352345 -124.911546049532 680.752695317994</t>
  </si>
  <si>
    <t>-427.69035099092 -108.725036559218 754.507574226542</t>
  </si>
  <si>
    <t>9763-20170724T164237.423118900.bin</t>
  </si>
  <si>
    <t>-522.521313596784 13.8052201935771 -244.54557989287</t>
  </si>
  <si>
    <t>-555.291561349708 10.4194612412713 -361.089371103308</t>
  </si>
  <si>
    <t>-567.87847246371 0.00758314961407791 -481.188190748819</t>
  </si>
  <si>
    <t>-559.911514975781 137.826862632183 -783.389141004345</t>
  </si>
  <si>
    <t>-489.940394356358 185.149750767302 -478.347047155708</t>
  </si>
  <si>
    <t>-298.18936702196 126.328032863558 -312.776417154582</t>
  </si>
  <si>
    <t>-522.077518025736 113.162735238939 -247.241737601116</t>
  </si>
  <si>
    <t>-501.056941754653 144.744606630441 206.871013868427</t>
  </si>
  <si>
    <t>-507.861304346589 171.880736577789 675.884486543993</t>
  </si>
  <si>
    <t>-351.548574327927 171.500396169901 756.567224359545</t>
  </si>
  <si>
    <t>-538.751151579519 -91.0313698337704 214.235112406034</t>
  </si>
  <si>
    <t>-586.609980108925 -124.72190653337 680.669929021708</t>
  </si>
  <si>
    <t>-427.680617853939 -109.016202973343 754.414756860257</t>
  </si>
  <si>
    <t>9763-20170724T164237.488841500.bin</t>
  </si>
  <si>
    <t>-522.453556515471 14.6682024536388 -244.613000011201</t>
  </si>
  <si>
    <t>-555.110688675633 11.4060187241661 -361.192106533477</t>
  </si>
  <si>
    <t>-567.589735692189 1.08749815118431 -481.310169846035</t>
  </si>
  <si>
    <t>-559.682087948654 139.081482252219 -783.288010540161</t>
  </si>
  <si>
    <t>-490.454596367073 186.31095174124 -478.061748735867</t>
  </si>
  <si>
    <t>-298.629517636142 127.909156024096 -312.428327363635</t>
  </si>
  <si>
    <t>-522.077086361282 114.21392982437 -247.25055366344</t>
  </si>
  <si>
    <t>-501.373713231669 145.44189229801 206.901225990574</t>
  </si>
  <si>
    <t>-508.049839773274 172.455663571835 675.922757865233</t>
  </si>
  <si>
    <t>-351.754817963979 170.030427748132 756.604235773629</t>
  </si>
  <si>
    <t>-538.912657839037 -90.6644842065441 214.070336945953</t>
  </si>
  <si>
    <t>-586.582442777886 -124.844721757715 680.489960880793</t>
  </si>
  <si>
    <t>-427.537809192018 -110.198985472233 754.204318638803</t>
  </si>
  <si>
    <t>9763-20170724T164237.520927100.bin</t>
  </si>
  <si>
    <t>-522.269668100347 15.0021267573131 -244.664231704772</t>
  </si>
  <si>
    <t>-554.946660790955 11.7648214755897 -361.238486523485</t>
  </si>
  <si>
    <t>-567.398892489198 1.48576578385412 -481.362726595101</t>
  </si>
  <si>
    <t>-559.443839130008 139.617490199713 -783.237333797059</t>
  </si>
  <si>
    <t>-490.616378874318 186.686242180624 -477.895669873031</t>
  </si>
  <si>
    <t>-298.772512226186 128.625801891764 -312.164207541017</t>
  </si>
  <si>
    <t>-521.861273039626 114.561731060885 -247.275260173516</t>
  </si>
  <si>
    <t>-501.529245435443 145.563580019757 206.908821614186</t>
  </si>
  <si>
    <t>-508.063168201447 172.473356742602 675.93651413563</t>
  </si>
  <si>
    <t>-351.761215040502 169.906119241976 756.600136351541</t>
  </si>
  <si>
    <t>-538.908457774792 -90.4830874272749 213.99605753857</t>
  </si>
  <si>
    <t>-586.58925840245 -124.808901393612 680.395069453699</t>
  </si>
  <si>
    <t>-427.503114188732 -110.578041551516 754.101207504252</t>
  </si>
  <si>
    <t>9763-20170724T164237.591179700.bin</t>
  </si>
  <si>
    <t>-521.778898221705 15.4101386781888 -244.807901717385</t>
  </si>
  <si>
    <t>-554.26624166278 12.2076455944844 -361.436062033857</t>
  </si>
  <si>
    <t>-566.606185108825 1.99677566385613 -481.577741872571</t>
  </si>
  <si>
    <t>-558.918676803962 140.382812571832 -783.254696311172</t>
  </si>
  <si>
    <t>-490.630863633337 187.524180029741 -477.803090803711</t>
  </si>
  <si>
    <t>-298.861416411716 130.012614246182 -311.794324137241</t>
  </si>
  <si>
    <t>-521.352137139287 114.751604940479 -247.352300862051</t>
  </si>
  <si>
    <t>-501.682077191 145.33427665412 206.889458808103</t>
  </si>
  <si>
    <t>-507.831398809403 171.675593666792 675.957550643123</t>
  </si>
  <si>
    <t>-351.494557573012 170.583038077454 756.587006164407</t>
  </si>
  <si>
    <t>-539.618569609821 -90.3380238490119 213.729042839568</t>
  </si>
  <si>
    <t>-586.653985332742 -124.486956340088 680.20758222003</t>
  </si>
  <si>
    <t>-427.680658965535 -109.033716926452 753.910909844642</t>
  </si>
  <si>
    <t>9763-20170724T164237.624266500.bin</t>
  </si>
  <si>
    <t>-521.428968900794 15.550481930159 -244.871572398981</t>
  </si>
  <si>
    <t>-553.682901270183 12.3027825348545 -361.563232786426</t>
  </si>
  <si>
    <t>-565.902270510561 2.09589168293984 -481.717531243617</t>
  </si>
  <si>
    <t>-558.344223563563 140.595744878536 -783.320042698613</t>
  </si>
  <si>
    <t>-490.379548920974 187.769857090864 -477.80137542521</t>
  </si>
  <si>
    <t>-298.55828368033 130.179447990628 -311.879732016941</t>
  </si>
  <si>
    <t>-521.035217578463 114.891963964627 -247.419950094527</t>
  </si>
  <si>
    <t>-501.865888251138 145.311016249828 206.853991507159</t>
  </si>
  <si>
    <t>-507.854367748173 171.753448430616 675.940431623767</t>
  </si>
  <si>
    <t>-351.51019342892 171.015951596588 756.559720329986</t>
  </si>
  <si>
    <t>-540.383524405332 -90.6302128524126 213.608773702168</t>
  </si>
  <si>
    <t>-586.637329282835 -124.58255480856 680.146914686305</t>
  </si>
  <si>
    <t>-427.621558830086 -109.625642760459 753.861165835547</t>
  </si>
  <si>
    <t>9763-20170724T164237.688008400.bin</t>
  </si>
  <si>
    <t>-520.873373025963 15.9222460267952 -245.027985550994</t>
  </si>
  <si>
    <t>-552.736210838023 12.6880886361283 -361.827355290685</t>
  </si>
  <si>
    <t>-564.785236594188 2.49110522432881 -481.999821587444</t>
  </si>
  <si>
    <t>-557.705648643429 141.048931945454 -783.524961732196</t>
  </si>
  <si>
    <t>-490.243311125958 188.334076362857 -477.912278704714</t>
  </si>
  <si>
    <t>-298.442048004078 130.717025168696 -311.976823502342</t>
  </si>
  <si>
    <t>-520.480255344623 115.484721789097 -247.578314977525</t>
  </si>
  <si>
    <t>-502.602607546104 145.417512069544 206.780733572933</t>
  </si>
  <si>
    <t>-507.903838238253 171.954244590166 675.889645897702</t>
  </si>
  <si>
    <t>-351.58105904027 170.440595330833 756.539563100072</t>
  </si>
  <si>
    <t>-541.52766721009 -90.8932584495244 213.402259411761</t>
  </si>
  <si>
    <t>-586.723769510688 -124.510817329568 680.036479727423</t>
  </si>
  <si>
    <t>-427.801057872244 -108.262893171316 753.678066640904</t>
  </si>
  <si>
    <t>9763-20170724T164237.721097200.bin</t>
  </si>
  <si>
    <t>-520.699799826885 16.1474451073524 -245.057508865482</t>
  </si>
  <si>
    <t>-552.384515968698 12.9627761414746 -361.906829782727</t>
  </si>
  <si>
    <t>-564.346381244343 2.78840198584965 -482.089735769418</t>
  </si>
  <si>
    <t>-557.382802480496 141.360639365028 -783.611051880454</t>
  </si>
  <si>
    <t>-490.37281658216 188.651102986843 -477.899487050556</t>
  </si>
  <si>
    <t>-298.677036132626 130.852084188036 -311.905442972878</t>
  </si>
  <si>
    <t>-520.346667300729 115.662898371998 -247.618488753854</t>
  </si>
  <si>
    <t>-503.057293009194 145.471455850752 206.771418106643</t>
  </si>
  <si>
    <t>-507.954710949013 172.161184187464 675.871442653851</t>
  </si>
  <si>
    <t>-351.634555479462 170.631373252197 756.526021237249</t>
  </si>
  <si>
    <t>-541.590834292373 -90.7566609781562 213.351709701761</t>
  </si>
  <si>
    <t>-586.79359316268 -124.345646923876 679.975079687597</t>
  </si>
  <si>
    <t>-427.885660626026 -107.747691061242 753.570517451839</t>
  </si>
  <si>
    <t>9763-20170724T164237.793096000.bin</t>
  </si>
  <si>
    <t>-520.395642220005 16.6625639881479 -245.083766603338</t>
  </si>
  <si>
    <t>-551.938719314063 13.4469643512065 -361.97039274811</t>
  </si>
  <si>
    <t>-563.713538792395 3.24527959466582 -482.16967544619</t>
  </si>
  <si>
    <t>-556.242811459204 141.760027557886 -783.683972540344</t>
  </si>
  <si>
    <t>-490.42248579422 189.301090118545 -477.753073062138</t>
  </si>
  <si>
    <t>-298.957240360179 130.925753786642 -311.694507475127</t>
  </si>
  <si>
    <t>-520.126050569573 115.977207399092 -247.6453556549</t>
  </si>
  <si>
    <t>-503.518785642103 145.519179018907 206.78735622447</t>
  </si>
  <si>
    <t>-507.87004250641 171.79438752515 675.923874921044</t>
  </si>
  <si>
    <t>-351.550073080591 169.738783881371 756.567245167713</t>
  </si>
  <si>
    <t>-540.864466843297 -90.1521484592864 213.308760972007</t>
  </si>
  <si>
    <t>-586.816009832986 -124.310156787947 679.840582041628</t>
  </si>
  <si>
    <t>-427.773995099526 -108.70553831404 753.36366387641</t>
  </si>
  <si>
    <t>9763-20170724T164237.823176000.bin</t>
  </si>
  <si>
    <t>-520.105566213672 16.6101202101895 -245.052180346009</t>
  </si>
  <si>
    <t>-551.56567135724 13.3687751988092 -361.960626220415</t>
  </si>
  <si>
    <t>-563.221787678647 3.14010023838641 -482.169018143888</t>
  </si>
  <si>
    <t>-555.422518324427 141.571481718568 -783.707421889833</t>
  </si>
  <si>
    <t>-490.046597177786 189.312600673127 -477.712362286629</t>
  </si>
  <si>
    <t>-298.752984459899 130.582950669922 -311.581113798287</t>
  </si>
  <si>
    <t>-519.917866044144 115.762848838382 -247.625404564225</t>
  </si>
  <si>
    <t>-503.411070201569 145.325115542333 206.809772690985</t>
  </si>
  <si>
    <t>-507.745822770449 171.343325739082 675.94027446365</t>
  </si>
  <si>
    <t>-351.398669378586 170.276158224431 756.550168792191</t>
  </si>
  <si>
    <t>-540.511054363219 -89.9790075417276 213.308374115848</t>
  </si>
  <si>
    <t>-586.819583682339 -124.360749370399 679.773176913815</t>
  </si>
  <si>
    <t>-427.693739050802 -109.647761765594 753.29871628908</t>
  </si>
  <si>
    <t>9763-20170724T164237.855267700.bin</t>
  </si>
  <si>
    <t>-519.748729352166 16.9618309080567 -245.096816108051</t>
  </si>
  <si>
    <t>-551.197326465096 13.7011524401821 -362.007635752424</t>
  </si>
  <si>
    <t>-562.759541034239 3.43631707459133 -482.222091515355</t>
  </si>
  <si>
    <t>-554.697361310753 141.726539068274 -783.741311030312</t>
  </si>
  <si>
    <t>-489.686010602599 189.629792659887 -477.693974004013</t>
  </si>
  <si>
    <t>-298.535384918841 130.824214671296 -311.424897422308</t>
  </si>
  <si>
    <t>-519.649253100688 116.268850685671 -247.639445774558</t>
  </si>
  <si>
    <t>-503.385625386334 145.695907295696 206.813210578292</t>
  </si>
  <si>
    <t>-507.901754810939 171.871064521372 675.93535219779</t>
  </si>
  <si>
    <t>-351.586789898218 169.544778148345 756.581039937571</t>
  </si>
  <si>
    <t>-540.300831552224 -89.6361252086073 213.281417229016</t>
  </si>
  <si>
    <t>-586.821907493209 -124.255835266321 679.712439424952</t>
  </si>
  <si>
    <t>-427.768789686805 -108.703938882305 753.22273988173</t>
  </si>
  <si>
    <t>9763-20170724T164237.923996300.bin</t>
  </si>
  <si>
    <t>-518.881686923548 17.2673337047601 -245.099993448655</t>
  </si>
  <si>
    <t>-550.215242763761 14.0001039817228 -362.041675025753</t>
  </si>
  <si>
    <t>-561.526460568413 3.69034726903951 -482.276144905584</t>
  </si>
  <si>
    <t>-552.914018523544 141.800068547777 -783.688370913726</t>
  </si>
  <si>
    <t>-488.761685110721 189.953262717013 -477.499092295467</t>
  </si>
  <si>
    <t>-297.641788268635 131.462071621515 -311.08389040082</t>
  </si>
  <si>
    <t>-518.748506841634 116.269412326352 -247.636478705351</t>
  </si>
  <si>
    <t>-502.844215103777 145.612700692445 206.834321958347</t>
  </si>
  <si>
    <t>-507.73380580827 171.270296992922 675.955222371617</t>
  </si>
  <si>
    <t>-351.395152769584 170.643834327845 756.586135885198</t>
  </si>
  <si>
    <t>-539.712837968132 -89.1519570799058 213.263591221675</t>
  </si>
  <si>
    <t>-586.86347186485 -123.973797544923 679.594851956557</t>
  </si>
  <si>
    <t>-427.851562745893 -108.025530515836 753.109359452547</t>
  </si>
  <si>
    <t>9763-20170724T164237.994273500.bin</t>
  </si>
  <si>
    <t>-518.186607559191 18.1201317342286 -245.138135599516</t>
  </si>
  <si>
    <t>-549.433281562592 14.7533524982147 -362.100093986687</t>
  </si>
  <si>
    <t>-560.480389420925 4.37011593246648 -482.35287284045</t>
  </si>
  <si>
    <t>-551.196315809857 142.388540086538 -783.647052034696</t>
  </si>
  <si>
    <t>-488.605417557369 190.839581936449 -477.181638810296</t>
  </si>
  <si>
    <t>-297.403101563727 132.382579907564 -310.849202685446</t>
  </si>
  <si>
    <t>-518.034496409516 117.354118455132 -247.735803083311</t>
  </si>
  <si>
    <t>-502.474395437242 146.321770299874 206.770856314026</t>
  </si>
  <si>
    <t>-507.967648047968 171.991050824926 675.944110580708</t>
  </si>
  <si>
    <t>-351.69231181418 169.555736686795 756.663379096016</t>
  </si>
  <si>
    <t>-539.256581439654 -88.5559997266474 213.292602078461</t>
  </si>
  <si>
    <t>-586.808965151299 -124.017554609745 679.523043582679</t>
  </si>
  <si>
    <t>-427.702987399994 -109.12995322381 753.056470841103</t>
  </si>
  <si>
    <t>9763-20170724T164238.025356000.bin</t>
  </si>
  <si>
    <t>-517.784184722362 18.3565482957452 -245.127545592051</t>
  </si>
  <si>
    <t>-548.957883295209 14.9585696837342 -362.108153275968</t>
  </si>
  <si>
    <t>-559.840308046957 4.54382745010182 -482.373126131152</t>
  </si>
  <si>
    <t>-550.104949201664 142.47365406324 -783.598683568568</t>
  </si>
  <si>
    <t>-488.33215238002 191.103020858013 -476.995653042374</t>
  </si>
  <si>
    <t>-297.077692729612 132.605778447485 -310.737243103841</t>
  </si>
  <si>
    <t>-517.653991726161 117.495955126662 -247.751950500258</t>
  </si>
  <si>
    <t>-502.162333526353 146.359533658009 206.763917456914</t>
  </si>
  <si>
    <t>-507.865838102228 171.597488453622 675.944181574116</t>
  </si>
  <si>
    <t>-351.598060612412 169.410111025493 756.685106471444</t>
  </si>
  <si>
    <t>-539.080267822938 -88.3184651203736 213.31130997085</t>
  </si>
  <si>
    <t>-586.832625947254 -123.885741694876 679.495849730227</t>
  </si>
  <si>
    <t>-427.700730476464 -109.205357720378 753.01477445774</t>
  </si>
  <si>
    <t>9763-20170724T164238.090546100.bin</t>
  </si>
  <si>
    <t>-517.121650003098 19.1007495215772 -245.119502602654</t>
  </si>
  <si>
    <t>-548.248287531428 15.6258724708221 -362.110385035239</t>
  </si>
  <si>
    <t>-558.835900056855 5.19770630253097 -482.40048211613</t>
  </si>
  <si>
    <t>-548.010961906695 143.263406754075 -783.450313215612</t>
  </si>
  <si>
    <t>-487.892462692055 191.8182290417 -476.506640969544</t>
  </si>
  <si>
    <t>-296.633391693951 133.040670528453 -310.352489520783</t>
  </si>
  <si>
    <t>-517.038291703484 118.237488685779 -247.807450605729</t>
  </si>
  <si>
    <t>-501.375069236669 146.783414166486 206.722456288947</t>
  </si>
  <si>
    <t>-507.871284326759 171.517441426108 675.940423125989</t>
  </si>
  <si>
    <t>-351.639740163628 168.780372353091 756.734760900481</t>
  </si>
  <si>
    <t>-539.000185050292 -87.7505314452607 213.333989499566</t>
  </si>
  <si>
    <t>-586.813492366338 -123.831960158519 679.46838582158</t>
  </si>
  <si>
    <t>-427.656005664011 -109.324218883307 752.966314957478</t>
  </si>
  <si>
    <t>9763-20170724T164238.121616200.bin</t>
  </si>
  <si>
    <t>-516.684059234823 19.5457876477494 -245.204670970843</t>
  </si>
  <si>
    <t>-547.915528508062 15.9851197395233 -362.165115384248</t>
  </si>
  <si>
    <t>-558.44707266884 5.50710632068757 -482.45583257025</t>
  </si>
  <si>
    <t>-547.262857108169 143.509777893865 -783.370550372841</t>
  </si>
  <si>
    <t>-487.763851305424 192.10491526529 -476.31250272282</t>
  </si>
  <si>
    <t>-296.553973908945 133.102988138913 -310.181211559976</t>
  </si>
  <si>
    <t>-516.566954610708 118.76162440211 -247.874713941467</t>
  </si>
  <si>
    <t>-500.985275605176 147.056541620263 206.673638989092</t>
  </si>
  <si>
    <t>-507.908892539862 171.588940364808 675.923604255396</t>
  </si>
  <si>
    <t>-351.668142513955 169.268020892815 756.713253374979</t>
  </si>
  <si>
    <t>-538.831415620323 -87.3987828871294 213.357442568966</t>
  </si>
  <si>
    <t>-586.799267938284 -123.827987729257 679.464302009696</t>
  </si>
  <si>
    <t>-427.597912631699 -109.880273179733 752.975498022303</t>
  </si>
  <si>
    <t>9763-20170724T164238.188813000.bin</t>
  </si>
  <si>
    <t>-515.770334992638 20.1853706965871 -245.097653227591</t>
  </si>
  <si>
    <t>-546.744306783737 16.5294178609568 -362.123660444536</t>
  </si>
  <si>
    <t>-556.917960164532 6.00949628754925 -482.441499339236</t>
  </si>
  <si>
    <t>-544.799276050184 144.013596760589 -783.178630897171</t>
  </si>
  <si>
    <t>-486.852971152952 192.590042082665 -475.820898491423</t>
  </si>
  <si>
    <t>-295.793256188801 133.075366049833 -309.69982243446</t>
  </si>
  <si>
    <t>-515.676937400523 119.202394251148 -247.895924897155</t>
  </si>
  <si>
    <t>-500.387829572126 147.187195405389 206.681706841646</t>
  </si>
  <si>
    <t>-507.718133995836 170.889202697504 675.903895527211</t>
  </si>
  <si>
    <t>-351.461637205623 169.799052650507 756.688870115503</t>
  </si>
  <si>
    <t>-538.115326747141 -86.687033679204 213.469970990167</t>
  </si>
  <si>
    <t>-586.778943966903 -123.7149177846 679.453088322028</t>
  </si>
  <si>
    <t>-427.558007587625 -110.117030094482 752.987393722865</t>
  </si>
  <si>
    <t>9763-20170724T164238.221899500.bin</t>
  </si>
  <si>
    <t>-515.237927864342 20.8395583997045 -245.090318879683</t>
  </si>
  <si>
    <t>-546.192202830957 17.1368067063302 -362.119903867379</t>
  </si>
  <si>
    <t>-556.2381900082 6.61252381445784 -482.448206324185</t>
  </si>
  <si>
    <t>-543.654334540723 144.683358139062 -783.041209025875</t>
  </si>
  <si>
    <t>-486.599045104596 193.364402608173 -475.533447755546</t>
  </si>
  <si>
    <t>-295.603109385366 133.439231444314 -309.486504081336</t>
  </si>
  <si>
    <t>-515.185197462356 119.786887715959 -247.913081088646</t>
  </si>
  <si>
    <t>-500.2796457703 147.42681079059 206.698346040497</t>
  </si>
  <si>
    <t>-507.683071091615 170.725488868019 675.920664337198</t>
  </si>
  <si>
    <t>-351.422597547378 169.723668171144 756.699269675534</t>
  </si>
  <si>
    <t>-537.563953200303 -86.0855175019997 213.514216236753</t>
  </si>
  <si>
    <t>-586.768899556268 -123.648103047116 679.413741724619</t>
  </si>
  <si>
    <t>-427.56952851244 -109.885295094597 752.964125045341</t>
  </si>
  <si>
    <t>9763-20170724T164238.291088200.bin</t>
  </si>
  <si>
    <t>-514.187546465675 22.8105983271382 -245.042694865625</t>
  </si>
  <si>
    <t>-544.733107138179 18.9568105835916 -362.174876633227</t>
  </si>
  <si>
    <t>-554.311737125854 8.38041405659472 -482.536564673588</t>
  </si>
  <si>
    <t>-540.640794644103 146.500177754461 -782.88540925619</t>
  </si>
  <si>
    <t>-485.323312100613 195.379750548584 -475.091704098102</t>
  </si>
  <si>
    <t>-294.635470847663 134.671999914193 -308.974937109382</t>
  </si>
  <si>
    <t>-514.238739858176 121.483190289146 -247.969113796026</t>
  </si>
  <si>
    <t>-500.075264748702 148.565217368117 206.69951797757</t>
  </si>
  <si>
    <t>-507.722818569808 170.811863489888 675.942555768255</t>
  </si>
  <si>
    <t>-351.487670205572 168.833240116868 756.752077360532</t>
  </si>
  <si>
    <t>-535.425515676907 -84.0763198223776 213.752834299357</t>
  </si>
  <si>
    <t>-586.697218144428 -123.756141868068 679.295160195838</t>
  </si>
  <si>
    <t>-427.391503292474 -111.540428212768 752.888413628453</t>
  </si>
  <si>
    <t>9763-20170724T164238.323172500.bin</t>
  </si>
  <si>
    <t>-513.736589812851 23.9326548961634 -244.99103170558</t>
  </si>
  <si>
    <t>-544.127364178321 20.114039738477 -362.164546723405</t>
  </si>
  <si>
    <t>-553.510561860558 9.56033183332751 -482.543758568387</t>
  </si>
  <si>
    <t>-532.044856874929 0.932435442742531 -787.452470163776</t>
  </si>
  <si>
    <t>-539.250334375548 147.730641918986 -782.784671787545</t>
  </si>
  <si>
    <t>-484.884092210966 196.569164861037 -474.814995671222</t>
  </si>
  <si>
    <t>-294.430634311718 135.455163327577 -308.578466542323</t>
  </si>
  <si>
    <t>-513.597420171247 122.235163819701 -247.980434768829</t>
  </si>
  <si>
    <t>-499.846592334161 148.771618356698 206.733162095907</t>
  </si>
  <si>
    <t>-507.596908226928 170.388005437565 675.975352768607</t>
  </si>
  <si>
    <t>-351.338076262591 169.907352566295 756.761859136855</t>
  </si>
  <si>
    <t>-533.285895660945 -82.5923268706487 213.975825329328</t>
  </si>
  <si>
    <t>-586.700133281755 -123.543722712436 679.17641741466</t>
  </si>
  <si>
    <t>-427.394203103494 -111.158118207064 752.74094795445</t>
  </si>
  <si>
    <t>9763-20170724T164238.388862600.bin</t>
  </si>
  <si>
    <t>-513.643354391484 27.6466423114765 -244.713036760571</t>
  </si>
  <si>
    <t>-543.950826247656 23.8009987800516 -361.907129926142</t>
  </si>
  <si>
    <t>-553.054680318359 13.1934229800886 -482.303096013904</t>
  </si>
  <si>
    <t>-552.481034711088 0.926669310923195 -591.133411925108</t>
  </si>
  <si>
    <t>-530.385170893453 4.39225343939157 -787.105834316027</t>
  </si>
  <si>
    <t>-537.259722110101 151.218943535973 -782.425614078238</t>
  </si>
  <si>
    <t>-484.92914257552 200.31296282757 -474.1441159717</t>
  </si>
  <si>
    <t>-295.159793923369 137.564735872164 -307.734190822871</t>
  </si>
  <si>
    <t>-513.044354536468 125.405662181809 -247.928098098276</t>
  </si>
  <si>
    <t>-499.869294987165 150.874419600292 206.863571661989</t>
  </si>
  <si>
    <t>-507.809258700859 171.159247132036 676.040735967684</t>
  </si>
  <si>
    <t>-351.587439008283 169.273568583321 756.878297056649</t>
  </si>
  <si>
    <t>-526.866599259871 -78.1686117776923 214.680172601908</t>
  </si>
  <si>
    <t>-586.561925439063 -123.118685862947 678.810949165559</t>
  </si>
  <si>
    <t>-427.021738848335 -113.454022546181 752.27547278198</t>
  </si>
  <si>
    <t>9763-20170724T164238.422952200.bin</t>
  </si>
  <si>
    <t>-513.721393966148 29.9509218050511 -244.497641679419</t>
  </si>
  <si>
    <t>-544.058356150139 26.0329996185754 -361.681853391206</t>
  </si>
  <si>
    <t>-553.069389912723 15.3576189265758 -482.078674496632</t>
  </si>
  <si>
    <t>-552.363597744763 3.02752838834419 -590.901065439179</t>
  </si>
  <si>
    <t>-529.819404566099 6.36774302292346 -786.82109264665</t>
  </si>
  <si>
    <t>-536.300568794085 153.212985800874 -782.159958483465</t>
  </si>
  <si>
    <t>-485.114736538752 202.556213367094 -473.726150250558</t>
  </si>
  <si>
    <t>-295.761133105227 138.510501531535 -307.336734377917</t>
  </si>
  <si>
    <t>-512.976176064336 127.239995709117 -247.849902682055</t>
  </si>
  <si>
    <t>-499.884091882224 152.215184228866 206.971499469082</t>
  </si>
  <si>
    <t>-507.818133214699 171.198168013479 676.107402466545</t>
  </si>
  <si>
    <t>-351.608553941208 168.655256802829 756.950529187749</t>
  </si>
  <si>
    <t>-522.819081183236 -75.2062029491861 215.144101152114</t>
  </si>
  <si>
    <t>-586.424639709302 -122.928636647419 678.52357331368</t>
  </si>
  <si>
    <t>-426.788807955524 -114.68011399697 751.952907145368</t>
  </si>
  <si>
    <t>9763-20170724T164238.489175400.bin</t>
  </si>
  <si>
    <t>-513.986849780794 35.0692211998648 -244.034665006131</t>
  </si>
  <si>
    <t>-544.584090272835 30.9758343437039 -361.145140976565</t>
  </si>
  <si>
    <t>-553.583542568186 20.1569877352734 -481.530067404201</t>
  </si>
  <si>
    <t>-552.759290822765 7.69570052033203 -590.336655998897</t>
  </si>
  <si>
    <t>-529.481020479064 10.7709362780362 -786.165779738725</t>
  </si>
  <si>
    <t>-534.735186266346 157.649518707816 -781.480767655642</t>
  </si>
  <si>
    <t>-485.582607938449 207.61972575595 -472.817232473219</t>
  </si>
  <si>
    <t>-297.100354910305 139.925932888699 -306.883418467076</t>
  </si>
  <si>
    <t>-512.766547927706 131.510308258104 -247.723466460986</t>
  </si>
  <si>
    <t>-500.086936517429 154.87208080208 207.195293137511</t>
  </si>
  <si>
    <t>-507.834239118504 171.227620353453 676.29746704197</t>
  </si>
  <si>
    <t>-351.592275011362 169.113006271477 757.090347596741</t>
  </si>
  <si>
    <t>-515.17273853221 -69.3415243287607 215.976514904141</t>
  </si>
  <si>
    <t>-586.006390392017 -122.758340736136 677.674038193178</t>
  </si>
  <si>
    <t>-426.281369758335 -117.570062531096 751.189445147855</t>
  </si>
  <si>
    <t>9763-20170724T164238.523267500.bin</t>
  </si>
  <si>
    <t>-514.245748149923 37.8676881551637 -243.887326867662</t>
  </si>
  <si>
    <t>-545.072893989046 33.686906572306 -360.934364892092</t>
  </si>
  <si>
    <t>-554.155423107938 22.7976539443263 -481.306727868025</t>
  </si>
  <si>
    <t>-553.346489054663 10.273389975398 -590.106234395582</t>
  </si>
  <si>
    <t>-529.807911947634 13.2253833666943 -785.900392411423</t>
  </si>
  <si>
    <t>-534.320959352423 160.123008206572 -781.142041882979</t>
  </si>
  <si>
    <t>-485.896132090572 210.346459045884 -472.404522355041</t>
  </si>
  <si>
    <t>-297.763783738606 141.176174829846 -306.682683269779</t>
  </si>
  <si>
    <t>-512.672066839779 133.952672590246 -247.716137199331</t>
  </si>
  <si>
    <t>-500.117990677559 156.261216542675 207.259050585023</t>
  </si>
  <si>
    <t>-507.803028119654 171.080169861111 676.376392722713</t>
  </si>
  <si>
    <t>-351.516247097609 170.065533942574 757.103755206347</t>
  </si>
  <si>
    <t>-512.01870377914 -66.3589614011198 216.17158376837</t>
  </si>
  <si>
    <t>-585.937150531147 -122.409455750439 676.873337989939</t>
  </si>
  <si>
    <t>-426.198279404458 -118.191462052499 750.420748620995</t>
  </si>
  <si>
    <t>9763-20170724T164238.589244900.bin</t>
  </si>
  <si>
    <t>-515.11513401516 43.8047282717152 -243.998219182783</t>
  </si>
  <si>
    <t>-546.76895287806 39.5067220574986 -360.820218897616</t>
  </si>
  <si>
    <t>-556.325619521659 28.4595327981221 -481.141491280837</t>
  </si>
  <si>
    <t>-555.794608855757 15.7726863382357 -589.923774225545</t>
  </si>
  <si>
    <t>-546.215126984388 0.419410807980952 -697.939370710281</t>
  </si>
  <si>
    <t>-532.079903250952 18.3766234697529 -785.689443018472</t>
  </si>
  <si>
    <t>-535.076814627313 165.315346698011 -780.877309560638</t>
  </si>
  <si>
    <t>-487.696798834683 215.45763644458 -471.964579692303</t>
  </si>
  <si>
    <t>-300.340752301178 143.561231497814 -306.523793690928</t>
  </si>
  <si>
    <t>-512.500826615982 139.705319336475 -248.016381634038</t>
  </si>
  <si>
    <t>-500.45581183471 159.396091549269 207.093465132172</t>
  </si>
  <si>
    <t>-507.721984450851 170.746854830727 676.401193342442</t>
  </si>
  <si>
    <t>-351.388973057461 170.100615755902 757.042944992799</t>
  </si>
  <si>
    <t>-506.621876200712 -60.3781958634735 216.185401131123</t>
  </si>
  <si>
    <t>-585.80223773645 -121.590891596419 675.331143215384</t>
  </si>
  <si>
    <t>-426.079229502701 -118.491870617127 748.968546210818</t>
  </si>
  <si>
    <t>9763-20170724T164238.626348700.bin</t>
  </si>
  <si>
    <t>-515.935737410144 47.1251281220648 -243.97069707377</t>
  </si>
  <si>
    <t>-547.937940792066 42.7971701119134 -360.696586811411</t>
  </si>
  <si>
    <t>-557.737288930741 31.6696380114314 -480.990923499275</t>
  </si>
  <si>
    <t>-557.378748419414 18.8905399271176 -589.763217307437</t>
  </si>
  <si>
    <t>-547.923638978401 3.42745634054896 -697.773986515172</t>
  </si>
  <si>
    <t>-533.684216376043 21.2800764089394 -785.52868970776</t>
  </si>
  <si>
    <t>-535.842417619728 168.244537444717 -780.757731843927</t>
  </si>
  <si>
    <t>-488.793776325806 218.340597601477 -471.786842971921</t>
  </si>
  <si>
    <t>-301.88989860556 144.992871478626 -306.471745438071</t>
  </si>
  <si>
    <t>-512.770293986451 142.969326863278 -248.15616848003</t>
  </si>
  <si>
    <t>-500.75769254983 161.260611070462 207.012861894925</t>
  </si>
  <si>
    <t>-507.798164374118 170.953965010782 676.406916652121</t>
  </si>
  <si>
    <t>-351.444335180617 170.076267861618 757.006024626714</t>
  </si>
  <si>
    <t>-504.101743418899 -57.2897791714406 216.272234485149</t>
  </si>
  <si>
    <t>-585.862610001266 -120.773502071578 674.636552323717</t>
  </si>
  <si>
    <t>-426.158104304602 -118.72000544063 748.350704581129</t>
  </si>
  <si>
    <t>9763-20170724T164238.691523600.bin</t>
  </si>
  <si>
    <t>-517.729347980395 53.9818633484867 -243.71742111269</t>
  </si>
  <si>
    <t>-550.581248373321 49.4605730169034 -360.199604337124</t>
  </si>
  <si>
    <t>-560.964486437106 38.080237469534 -480.421304677118</t>
  </si>
  <si>
    <t>-561.015351736844 25.0529857512882 -589.164682172786</t>
  </si>
  <si>
    <t>-551.84792833563 9.3279089540159 -697.162668519802</t>
  </si>
  <si>
    <t>-537.398000078318 26.9469661435617 -784.930021820874</t>
  </si>
  <si>
    <t>-537.747629881954 173.928225529887 -780.290602734735</t>
  </si>
  <si>
    <t>-490.821855301608 224.177247836918 -471.325996883674</t>
  </si>
  <si>
    <t>-304.955118026281 147.483943751122 -306.360084724189</t>
  </si>
  <si>
    <t>-513.28319708921 149.985868538754 -248.374902555691</t>
  </si>
  <si>
    <t>-501.74374707643 165.259404413674 206.91756407205</t>
  </si>
  <si>
    <t>-508.019243558133 171.527974146891 676.419093505071</t>
  </si>
  <si>
    <t>-351.584134397672 170.672003103556 756.860573442679</t>
  </si>
  <si>
    <t>-498.350149188428 -51.8433381412629 216.687453663114</t>
  </si>
  <si>
    <t>-585.576364637063 -120.41178039239 673.268037968552</t>
  </si>
  <si>
    <t>-425.93857593965 -118.951159471406 747.140633395771</t>
  </si>
  <si>
    <t>9763-20170724T164238.724612100.bin</t>
  </si>
  <si>
    <t>-518.71975886361 57.6428653551481 -243.486405106397</t>
  </si>
  <si>
    <t>-552.150721637531 53.0363391641884 -359.800511538099</t>
  </si>
  <si>
    <t>-562.926617046068 41.5276553148535 -479.975301627</t>
  </si>
  <si>
    <t>-563.248927925689 28.3705810241962 -588.702603813509</t>
  </si>
  <si>
    <t>-554.26715186547 12.5060919317223 -696.695709248155</t>
  </si>
  <si>
    <t>-539.712394074245 29.9981252305978 -784.471322032574</t>
  </si>
  <si>
    <t>-539.06848584915 176.972719714013 -779.894314226825</t>
  </si>
  <si>
    <t>-492.006014468188 227.498101749498 -470.995479885978</t>
  </si>
  <si>
    <t>-306.714153516395 148.843977677022 -306.306407411915</t>
  </si>
  <si>
    <t>-513.628050944606 153.848939450081 -248.439686684684</t>
  </si>
  <si>
    <t>-502.700161247197 167.691304200287 206.913608123473</t>
  </si>
  <si>
    <t>-508.218993511674 172.044288956113 676.455873378472</t>
  </si>
  <si>
    <t>-351.721029932376 170.078340295072 756.755629473732</t>
  </si>
  <si>
    <t>-495.203787358687 -49.0662749300858 216.921590430171</t>
  </si>
  <si>
    <t>-585.508909381186 -119.919688480342 672.607596806072</t>
  </si>
  <si>
    <t>-425.94624303832 -119.562759548295 746.655793962869</t>
  </si>
  <si>
    <t>9763-20170724T164238.788299000.bin</t>
  </si>
  <si>
    <t>-520.296296879195 64.7923112702271 -242.814238978954</t>
  </si>
  <si>
    <t>-554.953416020301 60.3085436702555 -358.773514248523</t>
  </si>
  <si>
    <t>-566.485634105315 48.7236867519159 -478.870900170066</t>
  </si>
  <si>
    <t>-567.282543437662 35.4273641794644 -587.578830258425</t>
  </si>
  <si>
    <t>-558.561538511742 19.3644355007014 -695.563966232053</t>
  </si>
  <si>
    <t>-543.679983213302 36.6413725513348 -783.327175621223</t>
  </si>
  <si>
    <t>-541.083571465799 183.604385566501 -778.853665115748</t>
  </si>
  <si>
    <t>-493.787843520726 234.695463608204 -470.083455376586</t>
  </si>
  <si>
    <t>-309.508056238951 151.770497281714 -306.356709731435</t>
  </si>
  <si>
    <t>-514.038580158899 161.208194008866 -248.415738800035</t>
  </si>
  <si>
    <t>-504.884715578896 171.988202471143 207.059519795025</t>
  </si>
  <si>
    <t>-508.312560254824 172.542836257577 676.473080779321</t>
  </si>
  <si>
    <t>-351.619118217215 170.473079242702 756.388070343841</t>
  </si>
  <si>
    <t>-489.253348542316 -43.8120502225734 217.309018047742</t>
  </si>
  <si>
    <t>-585.437771309852 -118.987253436691 671.207458960238</t>
  </si>
  <si>
    <t>-426.044901000633 -120.831589865112 745.598535244953</t>
  </si>
  <si>
    <t>9763-20170724T164238.824397500.bin</t>
  </si>
  <si>
    <t>-520.786427427435 67.9774822111969 -242.680235066014</t>
  </si>
  <si>
    <t>-556.092826731721 63.7227131121047 -358.452214881679</t>
  </si>
  <si>
    <t>-568.028680860899 52.1882914910838 -478.514979750036</t>
  </si>
  <si>
    <t>-569.08027919574 38.8712056793108 -587.218146380982</t>
  </si>
  <si>
    <t>-560.500704913784 22.7274678065392 -695.202598925794</t>
  </si>
  <si>
    <t>-545.470061000915 39.8925505973494 -782.96242253579</t>
  </si>
  <si>
    <t>-541.970297038082 186.835608895755 -778.494210032418</t>
  </si>
  <si>
    <t>-494.456134954399 238.341620627319 -469.826556094475</t>
  </si>
  <si>
    <t>-310.625468631644 153.342827410977 -306.659302256608</t>
  </si>
  <si>
    <t>-513.943516917189 164.484601159287 -248.399222864958</t>
  </si>
  <si>
    <t>-506.06995575449 174.188323611243 207.124077162629</t>
  </si>
  <si>
    <t>-508.257388856846 172.736736077992 676.446450448401</t>
  </si>
  <si>
    <t>-351.446010173869 170.549215454895 756.126417417803</t>
  </si>
  <si>
    <t>-487.263162825305 -41.9241440605259 217.2029182024</t>
  </si>
  <si>
    <t>-585.248715850392 -119.138983186101 670.457083166739</t>
  </si>
  <si>
    <t>-426.041969944264 -121.260950695724 745.238140472209</t>
  </si>
  <si>
    <t>9763-20170724T164238.889777200.bin</t>
  </si>
  <si>
    <t>-521.016698253447 72.6588054062417 -243.18917935899</t>
  </si>
  <si>
    <t>-557.077977084824 69.2985844737026 -358.757708780487</t>
  </si>
  <si>
    <t>-569.521979692879 58.1176971705526 -478.802429009599</t>
  </si>
  <si>
    <t>-570.918544916289 44.9079913813785 -587.51473456188</t>
  </si>
  <si>
    <t>-562.56529221812 28.6692457250675 -695.502643809845</t>
  </si>
  <si>
    <t>-540.852334960456 3.0106067813625 -844.063079870384</t>
  </si>
  <si>
    <t>-547.275429253744 45.6110083616398 -783.261186191975</t>
  </si>
  <si>
    <t>-542.060176777945 192.500440262327 -778.926382839559</t>
  </si>
  <si>
    <t>-494.173741897509 244.055446413518 -470.324493546725</t>
  </si>
  <si>
    <t>-311.303382848148 155.690497172109 -307.868064438365</t>
  </si>
  <si>
    <t>-513.012198743382 169.86843585598 -248.66692851612</t>
  </si>
  <si>
    <t>-508.463985934223 177.44846374981 206.942000302039</t>
  </si>
  <si>
    <t>-508.248985490103 174.044573765079 676.270651476429</t>
  </si>
  <si>
    <t>-351.291685521358 170.978331946525 755.633855641985</t>
  </si>
  <si>
    <t>-486.097088397965 -40.7087562848215 216.229400338759</t>
  </si>
  <si>
    <t>-584.466825366097 -120.445477200135 669.128178844122</t>
  </si>
  <si>
    <t>-426.429611936547 -123.316497060472 746.326003812454</t>
  </si>
  <si>
    <t>9763-20170724T164238.923870000.bin</t>
  </si>
  <si>
    <t>-521.116844461554 74.0728055145456 -243.553509065874</t>
  </si>
  <si>
    <t>-557.166693753438 71.3709176649307 -359.143029929568</t>
  </si>
  <si>
    <t>-569.666491640492 60.4987591403574 -479.210198283841</t>
  </si>
  <si>
    <t>-571.13799366816 47.429151838839 -587.938578116473</t>
  </si>
  <si>
    <t>-562.882716285415 31.1958305028729 -695.934803493817</t>
  </si>
  <si>
    <t>-541.32877822587 5.40861707632472 -844.495952191924</t>
  </si>
  <si>
    <t>-547.536035930801 48.0497378533067 -783.700272982249</t>
  </si>
  <si>
    <t>-541.523365974244 194.917595925673 -779.4261621646</t>
  </si>
  <si>
    <t>-493.240687679651 246.331085389181 -470.862398987255</t>
  </si>
  <si>
    <t>-311.022019811512 156.535627210872 -308.458117156796</t>
  </si>
  <si>
    <t>-512.737009849252 171.983276450155 -248.758595331069</t>
  </si>
  <si>
    <t>-509.061806805951 178.480296388123 206.87496030885</t>
  </si>
  <si>
    <t>-508.236524228876 174.638123036284 676.231748149518</t>
  </si>
  <si>
    <t>-351.252702526392 171.115014251277 755.523374606423</t>
  </si>
  <si>
    <t>-486.694963156017 -41.3407234645573 215.505202653802</t>
  </si>
  <si>
    <t>-583.850904804288 -121.965883553579 668.610277132197</t>
  </si>
  <si>
    <t>-426.5675495945 -123.917097636599 747.360902747763</t>
  </si>
  <si>
    <t>9763-20170724T164238.987556500.bin</t>
  </si>
  <si>
    <t>-521.494191017285 75.3034014618491 -244.732185844179</t>
  </si>
  <si>
    <t>-558.018628829625 73.8666055568229 -360.195132217719</t>
  </si>
  <si>
    <t>-570.849229271512 63.6134121223768 -480.281857546003</t>
  </si>
  <si>
    <t>-572.547820589566 50.8484510195522 -589.043217039332</t>
  </si>
  <si>
    <t>-564.443511615839 34.6745404743646 -697.059687243079</t>
  </si>
  <si>
    <t>-543.01894942635 8.72459868686585 -845.611365220086</t>
  </si>
  <si>
    <t>-548.932578271678 51.4117796310135 -784.818640060829</t>
  </si>
  <si>
    <t>-541.757894223306 198.214707868721 -780.532720452894</t>
  </si>
  <si>
    <t>-492.561030923063 249.278693162521 -472.055292294431</t>
  </si>
  <si>
    <t>-311.646129340369 156.915881447155 -309.63307075154</t>
  </si>
  <si>
    <t>-512.071601828553 174.224902893753 -249.104757027005</t>
  </si>
  <si>
    <t>-508.921986213533 179.413642166311 206.549595207597</t>
  </si>
  <si>
    <t>-508.023458685464 175.128524396475 676.06740920516</t>
  </si>
  <si>
    <t>-350.999320003861 171.813216591909 755.288326807629</t>
  </si>
  <si>
    <t>-490.20313200441 -43.4425833794498 213.880591145898</t>
  </si>
  <si>
    <t>-583.031254062832 -124.256048312797 668.018605271975</t>
  </si>
  <si>
    <t>-427.016216433085 -124.619951758292 749.275511618127</t>
  </si>
  <si>
    <t>9763-20170724T164239.024655700.bin</t>
  </si>
  <si>
    <t>-522.034374738387 75.6344675220079 -245.188491109658</t>
  </si>
  <si>
    <t>-558.82873456086 74.7622891933366 -360.571362118977</t>
  </si>
  <si>
    <t>-571.799070617446 64.8411461163522 -480.670963131865</t>
  </si>
  <si>
    <t>-573.564872957535 52.2823690672068 -589.455167404337</t>
  </si>
  <si>
    <t>-565.46720472219 36.2234159446554 -697.489484573383</t>
  </si>
  <si>
    <t>-543.989103888501 10.3412823669555 -846.045055214777</t>
  </si>
  <si>
    <t>-549.828305056546 52.9919654845217 -785.219706844903</t>
  </si>
  <si>
    <t>-542.147515216775 199.763070168667 -780.841098444952</t>
  </si>
  <si>
    <t>-492.740310051874 250.668686303891 -472.37106380911</t>
  </si>
  <si>
    <t>-312.318800515265 157.033840864039 -310.128538818468</t>
  </si>
  <si>
    <t>-512.146078760014 174.985586274497 -249.199409244229</t>
  </si>
  <si>
    <t>-508.472152249196 179.46503242311 206.458458380988</t>
  </si>
  <si>
    <t>-507.904651557227 175.063271738366 676.065751837028</t>
  </si>
  <si>
    <t>-350.89787378412 171.251219056147 755.298642896899</t>
  </si>
  <si>
    <t>-492.717536866676 -44.4069237373536 213.197570463673</t>
  </si>
  <si>
    <t>-583.006498321664 -124.964753346414 667.975004531369</t>
  </si>
  <si>
    <t>-427.096474015463 -123.725972299727 749.424533099522</t>
  </si>
  <si>
    <t>9763-20170724T164239.091361000.bin</t>
  </si>
  <si>
    <t>-523.527743599012 76.906532118812 -245.927085449801</t>
  </si>
  <si>
    <t>-560.637292487071 76.835086746997 -361.212315202822</t>
  </si>
  <si>
    <t>-573.73763088036 67.4488797803997 -481.340714654805</t>
  </si>
  <si>
    <t>-575.538494475586 55.2630099614514 -590.166763650456</t>
  </si>
  <si>
    <t>-567.392324060025 39.4676246236137 -698.236334094245</t>
  </si>
  <si>
    <t>-545.761012435216 13.8400911883765 -846.813859050054</t>
  </si>
  <si>
    <t>-551.544293257214 56.3752787093312 -785.902240543263</t>
  </si>
  <si>
    <t>-543.1590784978 203.10964829003 -781.224180545565</t>
  </si>
  <si>
    <t>-493.39074515326 253.614415836019 -472.746349264161</t>
  </si>
  <si>
    <t>-313.549627784018 157.96376808882 -311.036198140351</t>
  </si>
  <si>
    <t>-512.728454377873 176.327106529827 -249.266546224881</t>
  </si>
  <si>
    <t>-507.802483672625 179.744663322308 206.388645398569</t>
  </si>
  <si>
    <t>-507.807945204044 174.736949760672 676.127435699566</t>
  </si>
  <si>
    <t>-350.851064673209 170.473229369154 755.436147703195</t>
  </si>
  <si>
    <t>-498.66127663442 -45.5015625962277 212.053595267116</t>
  </si>
  <si>
    <t>-583.647047688045 -124.614084108963 668.046281994092</t>
  </si>
  <si>
    <t>-427.444878540444 -123.032839636563 748.928396607437</t>
  </si>
  <si>
    <t>9763-20170724T164239.123441400.bin</t>
  </si>
  <si>
    <t>-524.277423381683 77.2395627914363 -246.109641256549</t>
  </si>
  <si>
    <t>-561.281486655187 77.4513753264855 -361.428564127812</t>
  </si>
  <si>
    <t>-574.333312540415 68.288856897885 -481.579514283771</t>
  </si>
  <si>
    <t>-576.113964008154 56.2799248535795 -590.425617265215</t>
  </si>
  <si>
    <t>-567.971071239359 40.6358149500662 -698.517215501977</t>
  </si>
  <si>
    <t>-546.368098243034 15.1916970137015 -847.130483638785</t>
  </si>
  <si>
    <t>-500.885397406634 1.14515969089874 -937.224916668068</t>
  </si>
  <si>
    <t>-552.112929677918 57.649075146582 -786.161006186517</t>
  </si>
  <si>
    <t>-543.535254805594 204.367513011172 -781.337533294425</t>
  </si>
  <si>
    <t>-493.557845954015 254.445110934197 -472.823712744801</t>
  </si>
  <si>
    <t>-313.770554201046 158.27700620532 -311.360882777694</t>
  </si>
  <si>
    <t>-513.183637839785 176.632680707659 -249.250158951048</t>
  </si>
  <si>
    <t>-507.620646289737 179.802614839043 206.399631633269</t>
  </si>
  <si>
    <t>-507.866062728799 174.799931706882 676.149402280356</t>
  </si>
  <si>
    <t>-350.919585147205 170.772219690036 755.491014369823</t>
  </si>
  <si>
    <t>-501.591300823807 -45.9784207463261 211.690990032552</t>
  </si>
  <si>
    <t>-584.098606528449 -124.293459450862 668.232029919131</t>
  </si>
  <si>
    <t>-427.582944752656 -122.790608045914 748.507229660337</t>
  </si>
  <si>
    <t>9763-20170724T164239.190147300.bin</t>
  </si>
  <si>
    <t>-525.371713560465 77.2149345992654 -246.438201562008</t>
  </si>
  <si>
    <t>-562.550272522214 77.925688274748 -361.69906226694</t>
  </si>
  <si>
    <t>-575.745086411874 69.1668315728801 -481.864522652447</t>
  </si>
  <si>
    <t>-577.638235014946 57.480947075253 -590.74390448659</t>
  </si>
  <si>
    <t>-569.589679287547 42.1171017125423 -698.88278908394</t>
  </si>
  <si>
    <t>-548.098063800461 17.017466651834 -847.570829866719</t>
  </si>
  <si>
    <t>-502.709552399264 3.15962331743201 -937.741841714127</t>
  </si>
  <si>
    <t>-553.794786407148 59.3332112023925 -786.498409868344</t>
  </si>
  <si>
    <t>-545.113122581131 206.045490019893 -781.34193334038</t>
  </si>
  <si>
    <t>-494.643324589248 255.011357233792 -472.729963491759</t>
  </si>
  <si>
    <t>-314.76007001232 158.105139029657 -311.816211592643</t>
  </si>
  <si>
    <t>-514.018014548636 176.800085397705 -249.212383638158</t>
  </si>
  <si>
    <t>-507.450938086903 179.658782779572 206.426047619436</t>
  </si>
  <si>
    <t>-507.902785415961 174.52385368698 676.15466078685</t>
  </si>
  <si>
    <t>-351.041894630697 169.140834150931 755.585271161086</t>
  </si>
  <si>
    <t>-506.543216723774 -46.9092035810581 211.110955440747</t>
  </si>
  <si>
    <t>-584.755725454222 -123.828821213043 668.452631674654</t>
  </si>
  <si>
    <t>-427.617777897596 -121.592859370442 747.485370309828</t>
  </si>
  <si>
    <t>9763-20170724T164239.253308100.bin</t>
  </si>
  <si>
    <t>-525.802034145442 76.2224679045244 -246.818873436058</t>
  </si>
  <si>
    <t>-563.033770290683 77.1682979671521 -362.060766854884</t>
  </si>
  <si>
    <t>-576.315344660751 68.6888252054984 -482.236735956238</t>
  </si>
  <si>
    <t>-578.300154283584 57.2685130566555 -591.142612554277</t>
  </si>
  <si>
    <t>-570.355941106759 42.1798302687444 -699.327942801203</t>
  </si>
  <si>
    <t>-549.021860139175 17.4695328667124 -848.103921984776</t>
  </si>
  <si>
    <t>-503.8041633985 3.84517322194662 -938.39635743084</t>
  </si>
  <si>
    <t>-554.720033347325 59.6316736796293 -786.925435862664</t>
  </si>
  <si>
    <t>-546.280308307881 206.337105493133 -781.422018614298</t>
  </si>
  <si>
    <t>-495.037551972225 254.332263205343 -472.785136837832</t>
  </si>
  <si>
    <t>-314.995858872081 156.686418765296 -312.496895277289</t>
  </si>
  <si>
    <t>-514.552663085113 175.785996809672 -249.278664234355</t>
  </si>
  <si>
    <t>-507.267235387564 178.56772446803 206.349251891959</t>
  </si>
  <si>
    <t>-507.900191490547 174.07153373168 676.126598305309</t>
  </si>
  <si>
    <t>-350.983877107256 170.390859854487 755.544765224747</t>
  </si>
  <si>
    <t>-510.446537770933 -48.0345671310828 210.571850461163</t>
  </si>
  <si>
    <t>-585.114397812227 -123.62220996531 668.638329596065</t>
  </si>
  <si>
    <t>-427.471139695821 -120.909585656458 746.643302978392</t>
  </si>
  <si>
    <t>9763-20170724T164239.290885400.bin</t>
  </si>
  <si>
    <t>-525.893361200938 75.6429696539006 -246.950107700952</t>
  </si>
  <si>
    <t>-562.915073445906 76.6736972487792 -362.258959737295</t>
  </si>
  <si>
    <t>-576.11225873299 68.3145166739624 -482.452543591271</t>
  </si>
  <si>
    <t>-578.074556352164 57.0175233435243 -591.371747429315</t>
  </si>
  <si>
    <t>-570.161081620184 42.0658608147425 -699.578408826392</t>
  </si>
  <si>
    <t>-548.924083566943 17.5595564624787 -848.401915728451</t>
  </si>
  <si>
    <t>-503.802776046795 4.07929534247714 -938.76426630089</t>
  </si>
  <si>
    <t>-554.640150508135 59.643287721383 -787.171162473081</t>
  </si>
  <si>
    <t>-546.495750900894 206.363157880614 -781.511283084475</t>
  </si>
  <si>
    <t>-494.818907953243 254.135229231402 -472.911980644097</t>
  </si>
  <si>
    <t>-314.63380076342 156.206192490688 -312.957957346728</t>
  </si>
  <si>
    <t>-514.718545934552 175.359955954127 -249.335042887719</t>
  </si>
  <si>
    <t>-507.173502114708 178.100959413486 206.289011025363</t>
  </si>
  <si>
    <t>-507.884626046253 173.901715629017 676.06812437956</t>
  </si>
  <si>
    <t>-350.978845140178 170.239966221345 755.50781962372</t>
  </si>
  <si>
    <t>-512.041686290924 -48.796690073252 210.362611536327</t>
  </si>
  <si>
    <t>-585.189319663634 -123.778289565439 668.785724310727</t>
  </si>
  <si>
    <t>-427.323363539872 -120.32769435648 746.309535213853</t>
  </si>
  <si>
    <t>9763-20170724T164239.324977500.bin</t>
  </si>
  <si>
    <t>-525.909110854001 75.4334174837828 -247.007242853976</t>
  </si>
  <si>
    <t>-562.713514098726 76.5377838034232 -362.385110294657</t>
  </si>
  <si>
    <t>-575.815877904794 68.275600538417 -482.595860393443</t>
  </si>
  <si>
    <t>-577.74339066715 57.0795917120172 -591.525953643495</t>
  </si>
  <si>
    <t>-569.845401649724 42.243803732189 -699.749808786082</t>
  </si>
  <si>
    <t>-548.680244322727 17.9151665931823 -848.612652259529</t>
  </si>
  <si>
    <t>-503.653736989586 4.59768690373409 -939.04628484217</t>
  </si>
  <si>
    <t>-554.435371008616 59.9322312404833 -787.339686528793</t>
  </si>
  <si>
    <t>-546.63356433686 206.662979539791 -781.561315320415</t>
  </si>
  <si>
    <t>-494.686636267429 254.435304974838 -473.007499968223</t>
  </si>
  <si>
    <t>-314.316389487119 156.366698326947 -313.347940761733</t>
  </si>
  <si>
    <t>-514.808025429601 175.049214707847 -249.33899211213</t>
  </si>
  <si>
    <t>-507.058730950503 177.893895705799 206.280830840834</t>
  </si>
  <si>
    <t>-507.861957450073 173.764364257515 676.027792109501</t>
  </si>
  <si>
    <t>-350.9545053991 170.356708807062 755.475481070577</t>
  </si>
  <si>
    <t>-513.086200706558 -49.0907414174713 210.272255169416</t>
  </si>
  <si>
    <t>-585.357105003732 -123.552393064723 668.856555770492</t>
  </si>
  <si>
    <t>-427.235088293965 -120.385527792104 745.868938140724</t>
  </si>
  <si>
    <t>9763-20170724T164239.388684100.bin</t>
  </si>
  <si>
    <t>-525.760250195613 75.5456312940283 -247.204808959651</t>
  </si>
  <si>
    <t>-562.644520932018 76.5398286440005 -362.558135903843</t>
  </si>
  <si>
    <t>-575.78385458008 68.3478147183865 -482.769673716572</t>
  </si>
  <si>
    <t>-577.724421138882 57.2946501976483 -591.71416082703</t>
  </si>
  <si>
    <t>-569.817244334805 42.6836373381602 -699.967771777361</t>
  </si>
  <si>
    <t>-548.614521648506 18.7550032434399 -848.890198754406</t>
  </si>
  <si>
    <t>-503.667792709991 5.86512347104431 -939.425439650725</t>
  </si>
  <si>
    <t>-554.557866079257 60.6228409617293 -787.533215850641</t>
  </si>
  <si>
    <t>-547.565326024849 207.380392594626 -781.47943779912</t>
  </si>
  <si>
    <t>-495.442802571857 255.450531563612 -473.001463042406</t>
  </si>
  <si>
    <t>-314.588801882478 157.250698716235 -313.971152554156</t>
  </si>
  <si>
    <t>-514.89610057498 174.779268725015 -249.445030128818</t>
  </si>
  <si>
    <t>-507.103381302458 178.156608442319 206.17065747833</t>
  </si>
  <si>
    <t>-507.921314756653 173.993405524384 675.915266295562</t>
  </si>
  <si>
    <t>-351.00585959472 170.090773082016 755.324521632218</t>
  </si>
  <si>
    <t>-513.454565516318 -48.3351793100395 210.163133278774</t>
  </si>
  <si>
    <t>-585.901180737915 -122.043382675716 668.791582197824</t>
  </si>
  <si>
    <t>-427.279584036034 -120.730535098421 744.824362102569</t>
  </si>
  <si>
    <t>9763-20170724T164239.420769800.bin</t>
  </si>
  <si>
    <t>-525.725668052728 75.3003212446477 -247.219455590229</t>
  </si>
  <si>
    <t>-562.708848534628 76.2166361011294 -362.541644874758</t>
  </si>
  <si>
    <t>-575.913947115108 68.0656952418653 -482.74883285294</t>
  </si>
  <si>
    <t>-577.898957408923 57.0994891622817 -591.701465068384</t>
  </si>
  <si>
    <t>-570.020245418314 42.6253370316109 -699.975383090262</t>
  </si>
  <si>
    <t>-548.839636919944 18.9388329758679 -848.939724800019</t>
  </si>
  <si>
    <t>-503.920582364071 6.28715580640018 -939.52208841684</t>
  </si>
  <si>
    <t>-554.861862030195 60.7144811724532 -787.527518603888</t>
  </si>
  <si>
    <t>-548.248507253057 207.477034693779 -781.353704472056</t>
  </si>
  <si>
    <t>-496.003939757769 255.776201283926 -472.932014146536</t>
  </si>
  <si>
    <t>-314.881886119582 157.674634724124 -314.146101916147</t>
  </si>
  <si>
    <t>-515.055529615284 174.367862618767 -249.474745162341</t>
  </si>
  <si>
    <t>-507.037748820777 177.86180449573 206.13603532653</t>
  </si>
  <si>
    <t>-507.828471505251 173.629756621991 675.899311710673</t>
  </si>
  <si>
    <t>-350.879374069241 170.504081872478 755.276437134452</t>
  </si>
  <si>
    <t>-513.174968967097 -48.3169754318537 210.143694408059</t>
  </si>
  <si>
    <t>-585.790956504393 -122.364533125063 668.722979799814</t>
  </si>
  <si>
    <t>-426.992222406203 -120.204905155409 744.365661358281</t>
  </si>
  <si>
    <t>9763-20170724T164239.490963900.bin</t>
  </si>
  <si>
    <t>-525.690358616248 74.8681879553149 -247.357490540225</t>
  </si>
  <si>
    <t>-562.872849500366 75.4663304396077 -362.61778620846</t>
  </si>
  <si>
    <t>-576.192125311702 67.2998844464746 -482.811198087455</t>
  </si>
  <si>
    <t>-578.245452084822 56.4391526376189 -591.773059421188</t>
  </si>
  <si>
    <t>-570.400275392615 42.1856141936281 -700.078804245324</t>
  </si>
  <si>
    <t>-549.230424338555 18.922043004725 -849.111130838107</t>
  </si>
  <si>
    <t>-504.272987816045 6.67646203990874 -939.730529544734</t>
  </si>
  <si>
    <t>-555.437451407942 60.5387053496168 -787.609656979458</t>
  </si>
  <si>
    <t>-549.675782931799 207.335102790916 -781.178674617279</t>
  </si>
  <si>
    <t>-496.963385011816 255.590022989734 -472.829798620119</t>
  </si>
  <si>
    <t>-315.201436912722 157.872217287926 -314.53929183544</t>
  </si>
  <si>
    <t>-515.540634179007 173.745695575068 -249.588368059124</t>
  </si>
  <si>
    <t>-506.933424237671 177.578143143608 206.008886379249</t>
  </si>
  <si>
    <t>-507.830525370423 173.449377370569 675.880855057</t>
  </si>
  <si>
    <t>-350.857934575258 170.621193068107 755.222591586546</t>
  </si>
  <si>
    <t>-513.075159073264 -48.0308896925817 210.040059685288</t>
  </si>
  <si>
    <t>-585.83234415407 -121.919482764307 668.655693274353</t>
  </si>
  <si>
    <t>-426.84369677502 -119.985592338863 743.904452390205</t>
  </si>
  <si>
    <t>9763-20170724T164239.523050600.bin</t>
  </si>
  <si>
    <t>-525.763034712572 74.6611276746471 -247.351728976442</t>
  </si>
  <si>
    <t>-563.00988023214 75.1589324047406 -362.591565098781</t>
  </si>
  <si>
    <t>-576.35524755633 67.0190230925656 -482.783857826463</t>
  </si>
  <si>
    <t>-578.416307370863 56.2334596613817 -591.753148670117</t>
  </si>
  <si>
    <t>-570.56285703532 42.1051428317274 -700.074579828763</t>
  </si>
  <si>
    <t>-549.364657806716 19.0667110602955 -849.137951539822</t>
  </si>
  <si>
    <t>-504.415223515035 7.00415432354671 -939.78585270447</t>
  </si>
  <si>
    <t>-555.673938874706 60.5974396105262 -787.588776520855</t>
  </si>
  <si>
    <t>-550.289006474696 207.396382531142 -781.006994041105</t>
  </si>
  <si>
    <t>-497.424663618184 255.371359076623 -472.640343240321</t>
  </si>
  <si>
    <t>-315.176521713267 157.959931279131 -314.720566037178</t>
  </si>
  <si>
    <t>-515.877763767307 173.54809269317 -249.590579891963</t>
  </si>
  <si>
    <t>-506.854732537896 177.534232420124 205.997311979984</t>
  </si>
  <si>
    <t>-507.888632330554 173.561358963758 675.869170708813</t>
  </si>
  <si>
    <t>-350.925911867037 170.538204028525 755.223329301445</t>
  </si>
  <si>
    <t>-513.22583342189 -47.9255645362691 210.072382332087</t>
  </si>
  <si>
    <t>-585.955952306738 -121.411399018509 668.718244986972</t>
  </si>
  <si>
    <t>-426.91752162482 -120.028971400594 743.873899358324</t>
  </si>
  <si>
    <t>9763-20170724T164239.586730400.bin</t>
  </si>
  <si>
    <t>-525.754070718086 74.2967126566424 -247.333982439194</t>
  </si>
  <si>
    <t>-563.191299522772 74.731853141721 -362.512487521099</t>
  </si>
  <si>
    <t>-576.597466866862 66.6407319360994 -482.70128096637</t>
  </si>
  <si>
    <t>-578.656109405055 55.9508920064308 -591.679957423554</t>
  </si>
  <si>
    <t>-570.741588906707 41.9731508290152 -700.016606358135</t>
  </si>
  <si>
    <t>-549.396751121799 19.2042699960732 -849.100479360283</t>
  </si>
  <si>
    <t>-504.768562707514 7.47523798927043 -939.950561819241</t>
  </si>
  <si>
    <t>-555.935748556284 60.6361668888555 -787.508608957389</t>
  </si>
  <si>
    <t>-551.377541278945 207.461259144901 -780.717504538292</t>
  </si>
  <si>
    <t>-498.585376238261 255.359817929242 -472.326672791856</t>
  </si>
  <si>
    <t>-315.629635355923 158.220288975114 -315.058816607557</t>
  </si>
  <si>
    <t>-516.220530232856 173.104285337245 -249.572533530708</t>
  </si>
  <si>
    <t>-506.670727143943 177.256864418941 206.003151692427</t>
  </si>
  <si>
    <t>-507.863409926921 173.497965201135 675.806111846405</t>
  </si>
  <si>
    <t>-350.954841391743 169.955268358718 755.245810150098</t>
  </si>
  <si>
    <t>-513.027642340499 -47.895264522469 210.16600553508</t>
  </si>
  <si>
    <t>-585.992677492026 -121.163518591688 668.789641627862</t>
  </si>
  <si>
    <t>-426.891101555674 -119.93280241424 743.814226601021</t>
  </si>
  <si>
    <t>9763-20170724T164239.626836400.bin</t>
  </si>
  <si>
    <t>-525.77770073762 74.2935604167509 -247.257205294915</t>
  </si>
  <si>
    <t>-563.183993608375 74.6117843747263 -362.446033099409</t>
  </si>
  <si>
    <t>-576.566223685304 66.4869530830496 -482.635328759189</t>
  </si>
  <si>
    <t>-578.606182610125 55.8030885529548 -591.614926121975</t>
  </si>
  <si>
    <t>-570.675699282222 41.8687240469163 -699.956001924279</t>
  </si>
  <si>
    <t>-549.310900164718 19.1996739379451 -849.052173099985</t>
  </si>
  <si>
    <t>-504.97570207923 7.6489412163222 -940.068279320216</t>
  </si>
  <si>
    <t>-555.931662563796 60.5954410569796 -787.444712046681</t>
  </si>
  <si>
    <t>-551.693591979054 207.434546407326 -780.624069631338</t>
  </si>
  <si>
    <t>-499.169360237357 255.643737459091 -472.235979553185</t>
  </si>
  <si>
    <t>-316.045229450635 158.463649787011 -315.189277853027</t>
  </si>
  <si>
    <t>-516.506203328827 173.160910264033 -249.561490120917</t>
  </si>
  <si>
    <t>-506.67774688278 177.365281805716 206.007775688552</t>
  </si>
  <si>
    <t>-508.005135028682 174.033918560807 675.79418501661</t>
  </si>
  <si>
    <t>-351.138061932274 169.878992909672 755.286104936311</t>
  </si>
  <si>
    <t>-512.613410207334 -47.690334650626 210.2757961136</t>
  </si>
  <si>
    <t>-586.007801862255 -121.060432331934 668.808630525552</t>
  </si>
  <si>
    <t>-426.885663817053 -119.904436961871 743.790679524705</t>
  </si>
  <si>
    <t>9763-20170724T164239.690265500.bin</t>
  </si>
  <si>
    <t>-525.841180098313 73.6692667343198 -247.199793543732</t>
  </si>
  <si>
    <t>-563.452785751186 73.7501471341456 -362.3221377833</t>
  </si>
  <si>
    <t>-576.956131988396 65.5321771571131 -482.491609877159</t>
  </si>
  <si>
    <t>-579.068998782784 54.8238225221321 -591.467450895004</t>
  </si>
  <si>
    <t>-571.17429334086 40.9243497626512 -699.815459183342</t>
  </si>
  <si>
    <t>-549.82044793266 18.3653432769133 -848.929939748725</t>
  </si>
  <si>
    <t>-506.050274703533 7.17050161852498 -940.263535822457</t>
  </si>
  <si>
    <t>-556.570079755059 59.7245811060822 -787.311952309149</t>
  </si>
  <si>
    <t>-553.035126516035 206.573476227493 -780.462215155831</t>
  </si>
  <si>
    <t>-500.905591051576 256.106733515661 -472.217037209129</t>
  </si>
  <si>
    <t>-317.699837286606 158.484333533207 -315.540296123457</t>
  </si>
  <si>
    <t>-517.003263129308 172.292873844014 -249.5741248412</t>
  </si>
  <si>
    <t>-506.821382182107 176.850335134272 205.984007323855</t>
  </si>
  <si>
    <t>-507.887202849009 173.612775541906 675.767073747282</t>
  </si>
  <si>
    <t>-351.003395036735 170.439022503976 755.271272946051</t>
  </si>
  <si>
    <t>-511.58227746535 -47.6210535805054 210.392328189406</t>
  </si>
  <si>
    <t>-585.934967436584 -121.022719865166 668.713490814878</t>
  </si>
  <si>
    <t>-426.757310651865 -119.260283077 743.565823524727</t>
  </si>
  <si>
    <t>9763-20170724T164239.724356100.bin</t>
  </si>
  <si>
    <t>-525.84684842937 73.4893977987095 -247.204490248755</t>
  </si>
  <si>
    <t>-563.504795179292 73.4521909578558 -362.311824865818</t>
  </si>
  <si>
    <t>-577.053264040201 65.1918846926797 -482.473310770188</t>
  </si>
  <si>
    <t>-579.206799694157 54.4749115533194 -591.447398139421</t>
  </si>
  <si>
    <t>-571.352514808143 40.5947894215748 -699.800942026291</t>
  </si>
  <si>
    <t>-550.054643478281 18.0907004885492 -848.931668377196</t>
  </si>
  <si>
    <t>-506.494700908483 7.06421168659978 -940.386286573913</t>
  </si>
  <si>
    <t>-556.855803040046 59.4319781665918 -787.307287824385</t>
  </si>
  <si>
    <t>-553.700392216137 206.290912081177 -780.496094036574</t>
  </si>
  <si>
    <t>-501.538046457695 256.734610509703 -472.404167011539</t>
  </si>
  <si>
    <t>-318.363101697105 158.747098915845 -315.919401658728</t>
  </si>
  <si>
    <t>-517.261102666149 172.064334593504 -249.588615257297</t>
  </si>
  <si>
    <t>-506.972394389064 176.697840065318 205.966371313037</t>
  </si>
  <si>
    <t>-507.863675794484 173.495995502311 675.762810182392</t>
  </si>
  <si>
    <t>-350.96343989263 170.622719787056 755.245965554091</t>
  </si>
  <si>
    <t>-511.306131721597 -47.541410164782 210.383850320789</t>
  </si>
  <si>
    <t>-585.980949922789 -120.771596789408 668.689532648044</t>
  </si>
  <si>
    <t>-426.777361475565 -119.158647902535 743.490085228609</t>
  </si>
  <si>
    <t>9763-20170724T164239.786526000.bin</t>
  </si>
  <si>
    <t>-525.961737752118 73.062872179067 -247.202892321444</t>
  </si>
  <si>
    <t>-563.772167029034 72.8092502333358 -362.259906774306</t>
  </si>
  <si>
    <t>-577.495527056811 64.4822485847609 -482.396914547634</t>
  </si>
  <si>
    <t>-579.81447802709 53.7675116118117 -591.367842289837</t>
  </si>
  <si>
    <t>-572.13127148464 39.9514820213481 -699.742020053285</t>
  </si>
  <si>
    <t>-551.07543143643 17.600440095608 -848.930093475172</t>
  </si>
  <si>
    <t>-507.82592882596 6.89098882103957 -940.569396157043</t>
  </si>
  <si>
    <t>-557.939850315117 58.8882440997521 -787.276783393639</t>
  </si>
  <si>
    <t>-555.565536982401 205.766108738787 -780.522207995892</t>
  </si>
  <si>
    <t>-503.583213939443 257.920987218697 -472.684712847848</t>
  </si>
  <si>
    <t>-320.114361747135 159.42022635762 -316.86797364019</t>
  </si>
  <si>
    <t>-517.880565650497 171.57984183723 -249.602304075677</t>
  </si>
  <si>
    <t>-507.131590623739 176.532093614246 205.938715007075</t>
  </si>
  <si>
    <t>-507.89568773529 173.488271972286 675.775281610748</t>
  </si>
  <si>
    <t>-350.991649682189 170.339633116137 755.240412571312</t>
  </si>
  <si>
    <t>-511.011450449544 -47.689793052621 210.430874399784</t>
  </si>
  <si>
    <t>-585.855668595957 -121.041105761904 668.693085945627</t>
  </si>
  <si>
    <t>-426.625196308218 -119.079508954177 743.428099085013</t>
  </si>
  <si>
    <t>9763-20170724T164239.833658600.bin</t>
  </si>
  <si>
    <t>-526.118397345874 73.0711171169258 -247.197497342931</t>
  </si>
  <si>
    <t>-564.013513401268 72.7527800170489 -362.226636188828</t>
  </si>
  <si>
    <t>-577.858473597262 64.4034774230429 -482.348098593639</t>
  </si>
  <si>
    <t>-580.30077579569 53.6880680641844 -591.316165897698</t>
  </si>
  <si>
    <t>-572.753058448341 39.8915626115068 -699.702336054283</t>
  </si>
  <si>
    <t>-551.89642456934 17.5891928515836 -848.925689783244</t>
  </si>
  <si>
    <t>-508.785276499096 6.99588800362653 -940.643632969976</t>
  </si>
  <si>
    <t>-558.750282818044 58.8609462597102 -787.260505313422</t>
  </si>
  <si>
    <t>-556.722112500965 205.74550117069 -780.544825507234</t>
  </si>
  <si>
    <t>-505.014876497839 258.622644763085 -472.784260394633</t>
  </si>
  <si>
    <t>-321.396082211688 159.995252451627 -317.224539079839</t>
  </si>
  <si>
    <t>-518.253709499828 171.662709685596 -249.603995332291</t>
  </si>
  <si>
    <t>-507.271783696279 176.726964723855 205.93018160452</t>
  </si>
  <si>
    <t>-507.980085148191 173.761953000258 675.768021526913</t>
  </si>
  <si>
    <t>-351.1178893554 169.500322749022 755.263814487725</t>
  </si>
  <si>
    <t>-510.993716221375 -47.5785233066751 210.458511305723</t>
  </si>
  <si>
    <t>-585.880556325114 -120.88289292561 668.720455278201</t>
  </si>
  <si>
    <t>-426.652873586488 -119.382456451907 743.472020349865</t>
  </si>
  <si>
    <t>9763-20170724T164239.905471900.bin</t>
  </si>
  <si>
    <t>-526.260182382597 72.7671710352099 -247.159342803429</t>
  </si>
  <si>
    <t>-564.216950229342 72.4155900126148 -362.167921738558</t>
  </si>
  <si>
    <t>-578.180042089766 64.0617983887958 -482.275494431556</t>
  </si>
  <si>
    <t>-580.75064303214 53.3567156023773 -591.241652195956</t>
  </si>
  <si>
    <t>-573.351015653037 39.5859896526655 -699.641115505764</t>
  </si>
  <si>
    <t>-552.71901658182 17.3365246048925 -848.903729393136</t>
  </si>
  <si>
    <t>-509.735690908695 6.8337803225576 -940.691992540113</t>
  </si>
  <si>
    <t>-559.543296520687 58.5898213599123 -787.222999982169</t>
  </si>
  <si>
    <t>-557.83233240649 205.482986561079 -780.569266371985</t>
  </si>
  <si>
    <t>-506.62915603439 259.108478867087 -472.853953132618</t>
  </si>
  <si>
    <t>-322.907099195083 160.406891554124 -317.463416991439</t>
  </si>
  <si>
    <t>-518.400716232694 171.044681919718 -249.578395160533</t>
  </si>
  <si>
    <t>-507.187706679969 176.237115564089 205.948671083637</t>
  </si>
  <si>
    <t>-507.777366903926 172.970901173591 675.777958472505</t>
  </si>
  <si>
    <t>-350.842376789903 170.91230433741 755.217766729974</t>
  </si>
  <si>
    <t>-510.955665147606 -47.5268536857861 210.47858494245</t>
  </si>
  <si>
    <t>-586.010936935138 -120.328388691622 668.735276845257</t>
  </si>
  <si>
    <t>-426.79834567654 -119.97523190063 743.533314600059</t>
  </si>
  <si>
    <t>9763-20170724T164239.926529500.bin</t>
  </si>
  <si>
    <t>-526.253472588242 72.0158627486579 -247.159196797929</t>
  </si>
  <si>
    <t>-564.333946472881 71.5639447473605 -362.126426422518</t>
  </si>
  <si>
    <t>-578.543554308282 63.1850659213103 -482.203391099614</t>
  </si>
  <si>
    <t>-581.384919830274 52.4892392320193 -591.163734712732</t>
  </si>
  <si>
    <t>-574.301911349161 38.7593695073947 -699.589664130635</t>
  </si>
  <si>
    <t>-554.154434087149 16.5991726082806 -848.931606349964</t>
  </si>
  <si>
    <t>-511.451179502978 6.17646724230883 -940.859631885474</t>
  </si>
  <si>
    <t>-560.864186868047 57.8199836744838 -787.21657613862</t>
  </si>
  <si>
    <t>-559.695549933913 204.71349480555 -780.645677622953</t>
  </si>
  <si>
    <t>-510.034274374775 260.119114626343 -472.993007720446</t>
  </si>
  <si>
    <t>-326.548377552793 161.208850071434 -317.456070009042</t>
  </si>
  <si>
    <t>-518.677747132956 170.419545669375 -249.584121530209</t>
  </si>
  <si>
    <t>-507.129790855607 175.91768261754 205.931047732171</t>
  </si>
  <si>
    <t>-507.851121440324 173.182126082803 675.761068704552</t>
  </si>
  <si>
    <t>-350.934899177132 170.584953035876 755.222273004261</t>
  </si>
  <si>
    <t>-510.835607673893 -48.0853324676786 210.513376126349</t>
  </si>
  <si>
    <t>-585.865389620984 -120.799140466052 668.83128775813</t>
  </si>
  <si>
    <t>-426.659277851252 -119.087530005154 743.624261648298</t>
  </si>
  <si>
    <t>9763-20170724T164239.953599900.bin</t>
  </si>
  <si>
    <t>-526.164325170687 71.590475496984 -247.152293731877</t>
  </si>
  <si>
    <t>-564.33796426698 71.1177928885289 -362.088636805914</t>
  </si>
  <si>
    <t>-578.685386667688 62.733098616937 -482.148670179104</t>
  </si>
  <si>
    <t>-581.668042473553 52.0393187200121 -591.10559290015</t>
  </si>
  <si>
    <t>-574.74146241351 38.3194093510629 -699.542793932036</t>
  </si>
  <si>
    <t>-554.825682981687 16.1815307403556 -848.919093031103</t>
  </si>
  <si>
    <t>-512.245737628191 5.75307650009518 -940.903760073245</t>
  </si>
  <si>
    <t>-561.471374125563 57.3947009558852 -787.19206392883</t>
  </si>
  <si>
    <t>-560.436176781331 204.303636415555 -780.686644686813</t>
  </si>
  <si>
    <t>-511.811253710839 260.830908035178 -473.072428163181</t>
  </si>
  <si>
    <t>-328.621773571973 161.822344598151 -317.248925248476</t>
  </si>
  <si>
    <t>-518.698785827409 169.966170309113 -249.574273391906</t>
  </si>
  <si>
    <t>-507.026669141261 175.576364198506 205.936387645266</t>
  </si>
  <si>
    <t>-507.812592396895 173.009587568572 675.77009696225</t>
  </si>
  <si>
    <t>-350.880275614069 171.078823646045 755.218422159546</t>
  </si>
  <si>
    <t>-510.597518235876 -48.2882446826032 210.571222986729</t>
  </si>
  <si>
    <t>-585.853171225727 -120.805772719498 668.854741142534</t>
  </si>
  <si>
    <t>-426.635207065716 -118.954437905859 743.619163489079</t>
  </si>
  <si>
    <t>9763-20170724T164240.025304500.bin</t>
  </si>
  <si>
    <t>-526.130999889947 71.1979261557425 -247.145707921756</t>
  </si>
  <si>
    <t>-564.54805583679 70.6152430800844 -362.000361524964</t>
  </si>
  <si>
    <t>-579.169806459444 62.1500518153185 -482.021719863707</t>
  </si>
  <si>
    <t>-582.410282611224 51.3944942315238 -590.965193225442</t>
  </si>
  <si>
    <t>-575.749569846799 37.6226237613254 -699.412362144677</t>
  </si>
  <si>
    <t>-556.210106776001 15.4218026766829 -848.829078955454</t>
  </si>
  <si>
    <t>-513.813298323806 4.92866547649609 -940.890927954406</t>
  </si>
  <si>
    <t>-562.74302748951 56.6630868469818 -787.108875916029</t>
  </si>
  <si>
    <t>-561.925358382091 203.573775109911 -780.78393529169</t>
  </si>
  <si>
    <t>-515.702918476796 262.282821757148 -473.208064348242</t>
  </si>
  <si>
    <t>-332.925932428594 163.404854937639 -316.818144832995</t>
  </si>
  <si>
    <t>-518.893884098177 169.651215409483 -249.581637858328</t>
  </si>
  <si>
    <t>-506.889571626018 175.414752466184 205.918437054957</t>
  </si>
  <si>
    <t>-507.821976331269 172.93873641117 675.769038873676</t>
  </si>
  <si>
    <t>-350.934421670973 169.919566310503 755.271643425306</t>
  </si>
  <si>
    <t>-510.659179542346 -48.3280365192945 210.594203430445</t>
  </si>
  <si>
    <t>-585.857401011158 -120.640767689732 668.913845192365</t>
  </si>
  <si>
    <t>-426.675323362771 -119.698840854829 743.771682325516</t>
  </si>
  <si>
    <t>9763-20170724T164240.092695300.bin</t>
  </si>
  <si>
    <t>-525.974140932695 70.5225444362014 -247.138366839545</t>
  </si>
  <si>
    <t>-564.585736625838 69.8589946923636 -361.927312188033</t>
  </si>
  <si>
    <t>-579.475450736752 61.3074992694826 -481.909465220397</t>
  </si>
  <si>
    <t>-582.985700159599 50.4720769399309 -590.836675114438</t>
  </si>
  <si>
    <t>-576.620130755895 36.6180535550297 -699.291196625865</t>
  </si>
  <si>
    <t>-557.515171868287 14.3003947150479 -848.746692755141</t>
  </si>
  <si>
    <t>-515.270789752245 3.70907616425848 -940.867407508389</t>
  </si>
  <si>
    <t>-563.918074161575 55.5922420704038 -787.046562436048</t>
  </si>
  <si>
    <t>-563.300689880899 202.523199316368 -780.941886405051</t>
  </si>
  <si>
    <t>-518.9986235477 262.435327571889 -473.315331522772</t>
  </si>
  <si>
    <t>-335.81724214327 164.284395978402 -316.940674479674</t>
  </si>
  <si>
    <t>-518.874289056701 168.962347374622 -249.586887472039</t>
  </si>
  <si>
    <t>-506.620952594649 174.984729835696 205.903298547177</t>
  </si>
  <si>
    <t>-507.800724909544 172.798754185457 675.753180216724</t>
  </si>
  <si>
    <t>-350.907419650154 170.320141792776 755.263265327546</t>
  </si>
  <si>
    <t>-510.449271029215 -48.8908435013642 210.687417780198</t>
  </si>
  <si>
    <t>-585.812438270818 -120.759807478265 669.023837338536</t>
  </si>
  <si>
    <t>-426.648188243891 -118.028934060809 743.875600353579</t>
  </si>
  <si>
    <t>9763-20170724T164240.120784800.bin</t>
  </si>
  <si>
    <t>-525.894961694569 70.1435570743971 -247.091806220662</t>
  </si>
  <si>
    <t>-564.56103897415 69.4097087942603 -361.861981241428</t>
  </si>
  <si>
    <t>-579.558073682968 60.7885795247697 -481.825977469773</t>
  </si>
  <si>
    <t>-583.187225931082 49.8880286093612 -590.742677606751</t>
  </si>
  <si>
    <t>-576.962203089836 35.9648211800532 -699.196463833431</t>
  </si>
  <si>
    <t>-558.074729407648 13.5450255774154 -848.664348440156</t>
  </si>
  <si>
    <t>-515.89721394901 2.88514771759321 -940.80768851534</t>
  </si>
  <si>
    <t>-564.398449640441 54.8795452150847 -786.98452111951</t>
  </si>
  <si>
    <t>-563.966334454472 201.808022546994 -780.984251279311</t>
  </si>
  <si>
    <t>-520.230580364448 262.159555718236 -473.362685720317</t>
  </si>
  <si>
    <t>-336.665800258642 164.561399034807 -317.091649800895</t>
  </si>
  <si>
    <t>-518.93054803886 168.642839657343 -249.576266487423</t>
  </si>
  <si>
    <t>-506.489631165213 174.78171828096 205.907270155058</t>
  </si>
  <si>
    <t>-507.822934914927 172.804005265054 675.756256449454</t>
  </si>
  <si>
    <t>-350.930988742557 170.439831672954 755.27255466186</t>
  </si>
  <si>
    <t>-510.368808379435 -49.2155131544515 210.730347186959</t>
  </si>
  <si>
    <t>-585.720823490421 -121.05769691325 669.077307599142</t>
  </si>
  <si>
    <t>-426.539516781225 -117.660201881572 743.865531522668</t>
  </si>
  <si>
    <t>9763-20170724T164240.190517200.bin</t>
  </si>
  <si>
    <t>-525.87978716809 69.9570062298189 -247.05748141115</t>
  </si>
  <si>
    <t>-564.684453907664 69.1483918447719 -361.780302241215</t>
  </si>
  <si>
    <t>-579.911179447332 60.4385706404127 -481.708938018126</t>
  </si>
  <si>
    <t>-583.785875029262 49.4449992439745 -590.607823101248</t>
  </si>
  <si>
    <t>-577.843715878038 35.4110217380939 -699.063316423203</t>
  </si>
  <si>
    <t>-559.387657662561 12.8144663796894 -848.558362230263</t>
  </si>
  <si>
    <t>-517.348542354957 2.05307187195454 -940.753279334435</t>
  </si>
  <si>
    <t>-565.514481437637 54.2210534981392 -786.9072119961</t>
  </si>
  <si>
    <t>-565.24864846486 201.160092700443 -781.092969739025</t>
  </si>
  <si>
    <t>-522.349753320731 262.97450802933 -473.644040811202</t>
  </si>
  <si>
    <t>-338.004434405377 166.868723203455 -317.36694549985</t>
  </si>
  <si>
    <t>-519.120276442707 168.442364726527 -249.556678914953</t>
  </si>
  <si>
    <t>-506.468649259673 174.830899264347 205.91749340429</t>
  </si>
  <si>
    <t>-507.910021368886 172.982717775844 675.753478161769</t>
  </si>
  <si>
    <t>-351.045791388616 169.87362153468 755.298843907428</t>
  </si>
  <si>
    <t>-510.418097390553 -49.1108107708065 210.804105048534</t>
  </si>
  <si>
    <t>-585.708596083811 -121.034431454281 669.170246784328</t>
  </si>
  <si>
    <t>-426.499912953949 -118.594452266322 743.937717233072</t>
  </si>
  <si>
    <t>9763-20170724T164240.223603600.bin</t>
  </si>
  <si>
    <t>-525.764756237332 69.5829993716204 -247.015838377953</t>
  </si>
  <si>
    <t>-564.615130804526 68.7521201971843 -361.723078603127</t>
  </si>
  <si>
    <t>-579.917532500052 60.0010443586509 -481.639021545203</t>
  </si>
  <si>
    <t>-583.87313180532 48.9594525161718 -590.530241931925</t>
  </si>
  <si>
    <t>-578.024735097968 34.8650291984482 -698.982938244636</t>
  </si>
  <si>
    <t>-559.711973426559 12.1697157168841 -848.480584866677</t>
  </si>
  <si>
    <t>-517.708697092343 1.35692694710375 -940.685824042667</t>
  </si>
  <si>
    <t>-565.746057932685 53.6154357329892 -786.846459514468</t>
  </si>
  <si>
    <t>-565.368144923739 200.542568589332 -781.094123364282</t>
  </si>
  <si>
    <t>-522.933800051007 263.100140295222 -473.731042441425</t>
  </si>
  <si>
    <t>-338.214080457687 168.180837614014 -317.170992381517</t>
  </si>
  <si>
    <t>-518.958584304111 167.922219871683 -249.557206187493</t>
  </si>
  <si>
    <t>-506.335723980546 174.454482497719 205.915867680737</t>
  </si>
  <si>
    <t>-507.799642711637 172.574664744368 675.744951538825</t>
  </si>
  <si>
    <t>-350.906360448515 170.422915737671 755.264640629265</t>
  </si>
  <si>
    <t>-510.077526447003 -49.2669861324047 210.882216048426</t>
  </si>
  <si>
    <t>-585.72086279556 -121.009904789329 669.218910945603</t>
  </si>
  <si>
    <t>-426.508381847063 -118.581978529509 743.978513334678</t>
  </si>
  <si>
    <t>9763-20170724T164240.291788100.bin</t>
  </si>
  <si>
    <t>-525.458657058932 68.8453776191822 -246.960876615688</t>
  </si>
  <si>
    <t>-564.497594605383 67.9662269859396 -361.603779693639</t>
  </si>
  <si>
    <t>-579.997219572336 59.1485324355598 -481.489456609795</t>
  </si>
  <si>
    <t>-584.135391304381 48.0283622464017 -590.365903591219</t>
  </si>
  <si>
    <t>-578.47472702878 33.8309358523357 -698.81514586847</t>
  </si>
  <si>
    <t>-560.428902706671 10.9613606039376 -848.31875990921</t>
  </si>
  <si>
    <t>-518.511689734223 0.0401804710297569 -940.550235028229</t>
  </si>
  <si>
    <t>-566.226383819556 52.4726514544726 -786.706110004787</t>
  </si>
  <si>
    <t>-565.307108602309 199.427714759008 -780.982169279186</t>
  </si>
  <si>
    <t>-524.937958261181 263.51794528739 -473.656672170049</t>
  </si>
  <si>
    <t>-338.966627591509 171.65674006025 -316.754877163826</t>
  </si>
  <si>
    <t>-518.647189872588 167.077644048884 -249.549912744855</t>
  </si>
  <si>
    <t>-505.930302007631 173.874580514242 205.916529915286</t>
  </si>
  <si>
    <t>-507.712334343506 172.181945111429 675.758215520724</t>
  </si>
  <si>
    <t>-350.806913117416 170.959638837511 755.273560778737</t>
  </si>
  <si>
    <t>-509.577722617242 -49.4565499298134 210.983679808557</t>
  </si>
  <si>
    <t>-585.743578649318 -120.864621353554 669.24100659786</t>
  </si>
  <si>
    <t>-426.501102064749 -118.63955649482 743.942956764257</t>
  </si>
  <si>
    <t>9763-20170724T164240.319862500.bin</t>
  </si>
  <si>
    <t>-525.339440208941 68.7059890393094 -246.938180782646</t>
  </si>
  <si>
    <t>-564.368294225688 67.828325592528 -361.584527038592</t>
  </si>
  <si>
    <t>-579.927475617123 58.9914752986046 -481.46105748913</t>
  </si>
  <si>
    <t>-584.149412858066 47.8419822471356 -590.331173674812</t>
  </si>
  <si>
    <t>-578.60234762406 33.6009539992133 -698.780758073554</t>
  </si>
  <si>
    <t>-560.745444995934 10.6538403395666 -848.295060280358</t>
  </si>
  <si>
    <t>-566.40857895993 52.1941306890856 -786.689523276257</t>
  </si>
  <si>
    <t>-565.378624052888 199.13208620098 -781.02303640662</t>
  </si>
  <si>
    <t>-525.862437181005 263.775127150774 -473.702367302277</t>
  </si>
  <si>
    <t>-339.246828651404 173.509607319974 -316.639425090399</t>
  </si>
  <si>
    <t>-518.500030977885 166.953857120215 -249.54946712501</t>
  </si>
  <si>
    <t>-505.736833004741 173.967657742453 205.912445745288</t>
  </si>
  <si>
    <t>-507.770690560439 172.320179647439 675.762401082717</t>
  </si>
  <si>
    <t>-350.913561214491 169.622726110858 755.33665908138</t>
  </si>
  <si>
    <t>-509.444680376645 -49.3490572826513 211.017642991424</t>
  </si>
  <si>
    <t>-585.839152221068 -120.516839376316 669.274602750064</t>
  </si>
  <si>
    <t>-426.582166698334 -119.078476982954 743.964999789576</t>
  </si>
  <si>
    <t>9763-20170724T164240.391600600.bin</t>
  </si>
  <si>
    <t>-524.854088359003 67.9231837173485 -246.911960486054</t>
  </si>
  <si>
    <t>-564.013289519216 67.097512170554 -361.514212819643</t>
  </si>
  <si>
    <t>-579.768135258229 58.2066227471436 -481.361327536916</t>
  </si>
  <si>
    <t>-584.19366175828 46.9588154626842 -590.213254879705</t>
  </si>
  <si>
    <t>-578.876808344177 32.5668908865296 -698.65428810477</t>
  </si>
  <si>
    <t>-561.367232311209 9.35212699505249 -848.168369281902</t>
  </si>
  <si>
    <t>-566.766639797675 50.9960600130447 -786.609154948712</t>
  </si>
  <si>
    <t>-565.438658954807 197.92451717763 -781.012107830382</t>
  </si>
  <si>
    <t>-527.00609505107 264.240428075749 -473.910673351067</t>
  </si>
  <si>
    <t>-338.625818516574 179.972578577926 -315.626534179691</t>
  </si>
  <si>
    <t>-517.89999016074 166.148926770244 -249.53807707222</t>
  </si>
  <si>
    <t>-505.257931166031 173.559126610783 205.920835337998</t>
  </si>
  <si>
    <t>-507.836755466003 172.474370948991 675.758608689763</t>
  </si>
  <si>
    <t>-351.012107728633 169.628276860593 755.39174702812</t>
  </si>
  <si>
    <t>-509.116086074537 -49.697218767887 211.086747365805</t>
  </si>
  <si>
    <t>-585.917856497696 -120.23920852589 669.345258524423</t>
  </si>
  <si>
    <t>-426.643658580457 -118.969874836251 744.001983957183</t>
  </si>
  <si>
    <t>9763-20170724T164240.421681000.bin</t>
  </si>
  <si>
    <t>-524.564530970748 67.4515802775026 -246.933413335215</t>
  </si>
  <si>
    <t>-563.710191744714 66.6623058347537 -361.540570590671</t>
  </si>
  <si>
    <t>-579.516086918428 57.7763345333628 -481.381256511183</t>
  </si>
  <si>
    <t>-584.016072641155 46.5144982847802 -590.228773412319</t>
  </si>
  <si>
    <t>-578.802508432062 32.0867692091543 -698.670088454946</t>
  </si>
  <si>
    <t>-561.466982274748 8.79662071704614 -848.192742050105</t>
  </si>
  <si>
    <t>-566.70667396639 50.466564496892 -786.63717775837</t>
  </si>
  <si>
    <t>-564.715180065277 197.361690469225 -780.810442011942</t>
  </si>
  <si>
    <t>-526.953804741691 265.607335499095 -474.048746265588</t>
  </si>
  <si>
    <t>-337.559576522645 185.033849825981 -315.052550624359</t>
  </si>
  <si>
    <t>-517.560033341371 165.718109542741 -249.547624944762</t>
  </si>
  <si>
    <t>-504.999804094355 173.331919376721 205.910275860963</t>
  </si>
  <si>
    <t>-507.864593701216 172.505097660378 675.757365145979</t>
  </si>
  <si>
    <t>-351.073130533183 169.132633785498 755.435249080923</t>
  </si>
  <si>
    <t>-509.060680675874 -50.0164384806099 211.102195442241</t>
  </si>
  <si>
    <t>-585.877035576836 -120.477486003498 669.417451926048</t>
  </si>
  <si>
    <t>-426.585671099208 -119.129380798818 744.036271630189</t>
  </si>
  <si>
    <t>9763-20170724T164240.489796000.bin</t>
  </si>
  <si>
    <t>-523.995666319744 66.3316870141081 -246.897117057387</t>
  </si>
  <si>
    <t>-563.138682959182 65.5864299520929 -361.505441266825</t>
  </si>
  <si>
    <t>-579.022986855295 56.7335726563547 -481.338208901388</t>
  </si>
  <si>
    <t>-583.628370714924 45.4921859373974 -590.183275235484</t>
  </si>
  <si>
    <t>-578.554973776017 31.0727970676138 -698.632358567331</t>
  </si>
  <si>
    <t>-561.449852598006 7.77875582034864 -848.181076935232</t>
  </si>
  <si>
    <t>-566.469419120708 49.4426028493761 -786.603121143388</t>
  </si>
  <si>
    <t>-563.832779444537 196.358338443206 -780.729666073861</t>
  </si>
  <si>
    <t>-527.226520259658 267.101930914386 -474.394107380936</t>
  </si>
  <si>
    <t>-335.618773327009 194.478632218753 -314.224180424423</t>
  </si>
  <si>
    <t>-516.71572081278 164.434870298769 -249.57304701467</t>
  </si>
  <si>
    <t>-504.316292611372 172.574804834246 205.880194517832</t>
  </si>
  <si>
    <t>-507.804216178771 172.241548776199 675.73143410589</t>
  </si>
  <si>
    <t>-351.015651411114 169.986360102403 755.454526956956</t>
  </si>
  <si>
    <t>-508.7326585164 -50.5932306559783 211.180872075889</t>
  </si>
  <si>
    <t>-585.962911658268 -120.215717235249 669.478894673521</t>
  </si>
  <si>
    <t>-426.626470086551 -119.168440242794 744.006142950519</t>
  </si>
  <si>
    <t>9763-20170724T164240.521875300.bin</t>
  </si>
  <si>
    <t>-523.647342939758 65.6373078125858 -246.920560859139</t>
  </si>
  <si>
    <t>-562.865638521887 64.9465652166389 -361.503515765815</t>
  </si>
  <si>
    <t>-578.815221348222 56.1171473059752 -481.32932081003</t>
  </si>
  <si>
    <t>-583.474730188025 44.8825234640668 -590.17290534224</t>
  </si>
  <si>
    <t>-578.450453680222 30.4547443159333 -698.622999807094</t>
  </si>
  <si>
    <t>-561.408616633294 7.13279313169032 -848.174568041947</t>
  </si>
  <si>
    <t>-566.353287910729 48.8050215573695 -786.596257173845</t>
  </si>
  <si>
    <t>-563.587096937288 195.708946079347 -780.711401425063</t>
  </si>
  <si>
    <t>-527.157950395781 267.748078358313 -474.656761765509</t>
  </si>
  <si>
    <t>-334.709037412434 198.312603787946 -314.082232180224</t>
  </si>
  <si>
    <t>-516.314965301731 163.806325573469 -249.580136742083</t>
  </si>
  <si>
    <t>-503.975158494475 172.223138870448 205.869711790487</t>
  </si>
  <si>
    <t>-507.843487621281 172.334590095583 675.71393363859</t>
  </si>
  <si>
    <t>-351.091594937821 169.516107393775 755.491202941848</t>
  </si>
  <si>
    <t>-508.704260477429 -50.9533703950897 211.156843391644</t>
  </si>
  <si>
    <t>-585.94984198188 -120.262554085527 669.511043025903</t>
  </si>
  <si>
    <t>-426.59095965185 -118.948010063339 743.986092467958</t>
  </si>
  <si>
    <t>9763-20170724T164240.590618000.bin</t>
  </si>
  <si>
    <t>-522.983718903153 64.6500888754467 -246.942741574638</t>
  </si>
  <si>
    <t>-562.142324697853 64.0783088091656 -361.546692060033</t>
  </si>
  <si>
    <t>-578.077946105581 55.3046194173196 -481.378377385147</t>
  </si>
  <si>
    <t>-582.745019508205 44.091318026082 -590.223806475909</t>
  </si>
  <si>
    <t>-577.749044427594 29.6545105044878 -698.674157790147</t>
  </si>
  <si>
    <t>-560.768452025681 6.28695448354488 -848.225649380775</t>
  </si>
  <si>
    <t>-565.587019444462 47.971306464965 -786.645443074192</t>
  </si>
  <si>
    <t>-562.267451015257 194.849239301756 -780.415555880688</t>
  </si>
  <si>
    <t>-526.404913980636 270.377917267372 -475.13629970362</t>
  </si>
  <si>
    <t>-332.341578127711 206.664166604218 -314.133027510879</t>
  </si>
  <si>
    <t>-515.430211533158 162.716234842906 -249.589694501847</t>
  </si>
  <si>
    <t>-503.342371598983 171.643048087631 205.857241240887</t>
  </si>
  <si>
    <t>-507.828710071699 172.236880844967 675.688105631276</t>
  </si>
  <si>
    <t>-351.128834404059 169.309820882626 755.563575188157</t>
  </si>
  <si>
    <t>-508.604903203596 -51.3537266746223 211.166138620635</t>
  </si>
  <si>
    <t>-586.050579598157 -119.948035451773 669.582224911319</t>
  </si>
  <si>
    <t>-426.657326160663 -119.772803199285 743.995083661804</t>
  </si>
  <si>
    <t>9763-20170724T164240.622701200.bin</t>
  </si>
  <si>
    <t>-522.597510535731 63.8546275298291 -246.927654098981</t>
  </si>
  <si>
    <t>-561.703482625041 63.3515333908628 -361.550026612892</t>
  </si>
  <si>
    <t>-577.562290709092 54.602962484809 -481.393928408165</t>
  </si>
  <si>
    <t>-582.150646593513 43.39430206355 -590.243076648537</t>
  </si>
  <si>
    <t>-577.06729458814 28.9443518202377 -698.687607605128</t>
  </si>
  <si>
    <t>-559.956919335302 5.5402791483272 -848.218550808746</t>
  </si>
  <si>
    <t>-564.779791597818 47.2362640537116 -786.64654202208</t>
  </si>
  <si>
    <t>-561.159190399282 194.102033947496 -780.208539004331</t>
  </si>
  <si>
    <t>-525.942977816204 271.854508228599 -475.412690167549</t>
  </si>
  <si>
    <t>-331.24580282636 210.127434716915 -314.400891666187</t>
  </si>
  <si>
    <t>-514.928231354045 161.883349445118 -249.586047095356</t>
  </si>
  <si>
    <t>-503.037993606639 171.157849831551 205.859122275639</t>
  </si>
  <si>
    <t>-507.77443450112 172.051970749596 675.666500756914</t>
  </si>
  <si>
    <t>-351.099183206697 169.079518450512 755.588617090982</t>
  </si>
  <si>
    <t>-508.389414395256 -51.9026858039578 211.173293113153</t>
  </si>
  <si>
    <t>-585.910700663196 -120.431863353211 669.59896881173</t>
  </si>
  <si>
    <t>-426.494139288891 -119.156664411602 743.951049417586</t>
  </si>
  <si>
    <t>9763-20170724T164240.691548300.bin</t>
  </si>
  <si>
    <t>-521.870137197541 62.7126690132667 -247.027580410728</t>
  </si>
  <si>
    <t>-560.988989501599 62.3047088938555 -361.645838412514</t>
  </si>
  <si>
    <t>-576.721006096 53.5820039997549 -481.508241990576</t>
  </si>
  <si>
    <t>-581.136642843117 42.3698574658453 -590.36419563009</t>
  </si>
  <si>
    <t>-575.823440129106 27.8914968124512 -698.793949789555</t>
  </si>
  <si>
    <t>-558.335791048757 4.42371777624315 -848.271153742828</t>
  </si>
  <si>
    <t>-563.255016839129 46.1417672026785 -786.721852630946</t>
  </si>
  <si>
    <t>-559.531809311849 192.990179711745 -780.175581983622</t>
  </si>
  <si>
    <t>-526.177643636901 274.390661776331 -476.123615919115</t>
  </si>
  <si>
    <t>-331.004393994253 214.012498799185 -315.176532991676</t>
  </si>
  <si>
    <t>-514.023912310341 160.859308727833 -249.657891889898</t>
  </si>
  <si>
    <t>-502.41673882634 170.474881539448 205.78749812494</t>
  </si>
  <si>
    <t>-507.813844438791 172.192679636564 675.617739075463</t>
  </si>
  <si>
    <t>-351.221157537691 168.38253407273 755.665938982085</t>
  </si>
  <si>
    <t>-508.306097086722 -52.5412061613228 211.12109129504</t>
  </si>
  <si>
    <t>-586.005886459671 -120.099959758784 669.636558657292</t>
  </si>
  <si>
    <t>-426.561441386766 -118.59158761833 743.924547520732</t>
  </si>
  <si>
    <t>9763-20170724T164240.722605700.bin</t>
  </si>
  <si>
    <t>-521.551999002957 62.0667851586653 -247.064471092017</t>
  </si>
  <si>
    <t>-560.597182988854 61.7135757486479 -361.708021535835</t>
  </si>
  <si>
    <t>-576.21400356791 53.0130395737278 -481.587087470254</t>
  </si>
  <si>
    <t>-580.508184704666 41.8111177508235 -590.449000851472</t>
  </si>
  <si>
    <t>-575.056358492396 27.3356482933929 -698.872306592225</t>
  </si>
  <si>
    <t>-557.358720380473 3.86665028580046 -848.324684680123</t>
  </si>
  <si>
    <t>-562.354783580498 45.5845523989255 -786.781369944753</t>
  </si>
  <si>
    <t>-558.612238311546 192.434441578849 -780.156026758057</t>
  </si>
  <si>
    <t>-526.338051097005 275.490763569251 -476.435291411355</t>
  </si>
  <si>
    <t>-331.286941711163 215.117899335184 -315.338430013182</t>
  </si>
  <si>
    <t>-513.493437129503 159.977575352389 -249.674451936037</t>
  </si>
  <si>
    <t>-502.008113322588 169.826593780762 205.768947070798</t>
  </si>
  <si>
    <t>-507.659087156716 171.571566653066 675.621514970149</t>
  </si>
  <si>
    <t>-351.041354087559 169.291686376968 755.678925112248</t>
  </si>
  <si>
    <t>-508.397968010224 -52.7954586556802 211.104972494869</t>
  </si>
  <si>
    <t>-586.071171527403 -119.91155064118 669.680699782846</t>
  </si>
  <si>
    <t>-426.618900561423 -119.497848530712 743.966021203089</t>
  </si>
  <si>
    <t>9763-20170724T164240.792787100.bin</t>
  </si>
  <si>
    <t>-521.198920995838 61.4277907394077 -247.123277277968</t>
  </si>
  <si>
    <t>-560.167994134074 61.1539430870243 -361.793050684152</t>
  </si>
  <si>
    <t>-575.578567417826 52.4910203771227 -481.701501159552</t>
  </si>
  <si>
    <t>-579.631884307217 41.3124976278487 -590.574967961882</t>
  </si>
  <si>
    <t>-573.885061577685 26.8542803446842 -698.985299630875</t>
  </si>
  <si>
    <t>-555.722418049371 3.40739746703463 -848.385311503654</t>
  </si>
  <si>
    <t>-560.909968480749 45.116181657679 -786.851699778847</t>
  </si>
  <si>
    <t>-557.139891767197 191.964062928576 -780.023471418462</t>
  </si>
  <si>
    <t>-527.484890227412 277.307840174277 -476.670132705212</t>
  </si>
  <si>
    <t>-332.944702018913 216.957319294226 -314.948234820826</t>
  </si>
  <si>
    <t>-513.01382406244 159.524336591332 -249.713623884805</t>
  </si>
  <si>
    <t>-501.667748903316 169.6693859604 205.726864231361</t>
  </si>
  <si>
    <t>-507.828582497692 172.056857999543 675.58441905692</t>
  </si>
  <si>
    <t>-351.347144919958 167.269190080052 755.797699481367</t>
  </si>
  <si>
    <t>-508.895481568347 -53.2230426447988 211.074148163803</t>
  </si>
  <si>
    <t>-586.143089439053 -119.70877853027 669.807377598075</t>
  </si>
  <si>
    <t>-426.670671139 -119.565204993486 744.05065625902</t>
  </si>
  <si>
    <t>9763-20170724T164240.824872100.bin</t>
  </si>
  <si>
    <t>-520.984535340106 60.6567480475239 -247.154464634351</t>
  </si>
  <si>
    <t>-559.915523467505 60.4461205237041 -361.837253204203</t>
  </si>
  <si>
    <t>-575.229315831767 51.8208949006063 -481.760757655832</t>
  </si>
  <si>
    <t>-579.169762682764 40.6708307924407 -590.641428959592</t>
  </si>
  <si>
    <t>-573.284548978871 26.2389816662078 -699.047832107864</t>
  </si>
  <si>
    <t>-554.903017565525 2.82955537058561 -848.426961204338</t>
  </si>
  <si>
    <t>-560.200723255422 44.5243171711712 -786.893190042557</t>
  </si>
  <si>
    <t>-556.49561532038 191.354849502612 -779.956092559028</t>
  </si>
  <si>
    <t>-528.237456631003 277.602222707747 -476.725064479274</t>
  </si>
  <si>
    <t>-334.195192438036 216.909951639442 -314.533540869276</t>
  </si>
  <si>
    <t>-512.643284106638 158.560156642601 -249.706576963236</t>
  </si>
  <si>
    <t>-501.357185724411 168.966852264854 205.729436256176</t>
  </si>
  <si>
    <t>-507.615855151635 171.209730543699 675.581919989375</t>
  </si>
  <si>
    <t>-351.077219194293 168.258278567998 755.772080732595</t>
  </si>
  <si>
    <t>-509.093507931361 -53.8406198717102 211.053625074934</t>
  </si>
  <si>
    <t>-586.043274697623 -120.117750204166 669.890229312416</t>
  </si>
  <si>
    <t>-426.562894271892 -119.273980580186 744.111382815077</t>
  </si>
  <si>
    <t>9763-20170724T164240.889917600.bin</t>
  </si>
  <si>
    <t>-520.82772686868 60.0584322413609 -247.136785021105</t>
  </si>
  <si>
    <t>-559.620384279326 59.9241925374468 -361.866591786692</t>
  </si>
  <si>
    <t>-574.717513491517 51.3543160331558 -481.821621694335</t>
  </si>
  <si>
    <t>-578.429340720615 40.253341443404 -590.715267533668</t>
  </si>
  <si>
    <t>-572.28286776255 25.8744735407748 -699.114132485978</t>
  </si>
  <si>
    <t>-553.504859217228 2.54741897955832 -848.456832815812</t>
  </si>
  <si>
    <t>-559.004667549461 44.2109832085447 -786.919758788144</t>
  </si>
  <si>
    <t>-555.407206861366 191.057739841931 -779.821804400142</t>
  </si>
  <si>
    <t>-530.361199071791 278.557625598068 -476.667337002182</t>
  </si>
  <si>
    <t>-337.471644788232 217.105271276171 -313.390657806949</t>
  </si>
  <si>
    <t>-512.422471981021 158.245689555473 -249.707593300112</t>
  </si>
  <si>
    <t>-501.292771462994 169.019417562266 205.723825147662</t>
  </si>
  <si>
    <t>-507.91844273858 172.269702634312 675.534261794356</t>
  </si>
  <si>
    <t>-351.49363366704 166.794303694744 755.813848006767</t>
  </si>
  <si>
    <t>-509.38346329937 -54.3057363951188 211.081037140747</t>
  </si>
  <si>
    <t>-586.132354476128 -119.944725715433 670.038698355012</t>
  </si>
  <si>
    <t>-426.639173672531 -119.152031951762 744.233122512799</t>
  </si>
  <si>
    <t>9763-20170724T164240.923011400.bin</t>
  </si>
  <si>
    <t>-520.728500724751 59.5886916230979 -247.116566707836</t>
  </si>
  <si>
    <t>-559.497978504333 59.4797969182076 -361.854033393626</t>
  </si>
  <si>
    <t>-574.488485108507 50.9477212332876 -481.825074608623</t>
  </si>
  <si>
    <t>-578.068333008936 39.8911489767979 -590.727714983001</t>
  </si>
  <si>
    <t>-571.75414219349 25.5701139374912 -699.124566472621</t>
  </si>
  <si>
    <t>-552.706191291678 2.34072039211318 -848.448415907374</t>
  </si>
  <si>
    <t>-558.362376195108 43.9672026173351 -786.900329557183</t>
  </si>
  <si>
    <t>-554.942400949728 190.80312976434 -779.723699951342</t>
  </si>
  <si>
    <t>-531.464455675818 278.604085124897 -476.53070956058</t>
  </si>
  <si>
    <t>-338.968493666091 216.941475206269 -312.869334082996</t>
  </si>
  <si>
    <t>-512.284342137083 157.649360374378 -249.687232427527</t>
  </si>
  <si>
    <t>-501.198963488337 168.617141270844 205.740630933603</t>
  </si>
  <si>
    <t>-507.744831246679 171.570067500271 675.539883771968</t>
  </si>
  <si>
    <t>-351.273794418672 167.077244915618 755.790242471472</t>
  </si>
  <si>
    <t>-509.311607681091 -54.5780166261382 211.102706284769</t>
  </si>
  <si>
    <t>-586.098449611759 -120.088060701484 670.076376567426</t>
  </si>
  <si>
    <t>-426.599125751426 -118.963852673707 744.253268399557</t>
  </si>
  <si>
    <t>9763-20170724T164240.991730800.bin</t>
  </si>
  <si>
    <t>-520.670591203821 59.0784418946066 -247.098069932016</t>
  </si>
  <si>
    <t>-559.495346577584 58.933300921797 -361.816958860799</t>
  </si>
  <si>
    <t>-574.335943820008 50.4318727845413 -481.808770374916</t>
  </si>
  <si>
    <t>-577.693945887735 39.4362139408421 -590.724681601548</t>
  </si>
  <si>
    <t>-571.072008871334 25.2131684791308 -699.116107111758</t>
  </si>
  <si>
    <t>-551.508359107933 2.16223437561271 -848.400875808579</t>
  </si>
  <si>
    <t>-557.470833031296 43.7213766400561 -786.836166703355</t>
  </si>
  <si>
    <t>-554.584536588546 190.555127861718 -779.366417035353</t>
  </si>
  <si>
    <t>-534.470701095084 278.730905761712 -476.040345962124</t>
  </si>
  <si>
    <t>-342.173231146616 216.59954868794 -312.322837549716</t>
  </si>
  <si>
    <t>-512.3357999564 157.077146496862 -249.672442809967</t>
  </si>
  <si>
    <t>-501.177443007011 168.310901221822 205.747110587512</t>
  </si>
  <si>
    <t>-507.849266550965 171.879445151682 675.545350176984</t>
  </si>
  <si>
    <t>-351.360351139158 167.673258768027 755.776418431777</t>
  </si>
  <si>
    <t>-509.132477137607 -54.7311277418923 211.125109756149</t>
  </si>
  <si>
    <t>-586.172225599448 -119.863175891698 670.107240003091</t>
  </si>
  <si>
    <t>-426.664387249833 -119.44545739517 744.273246890612</t>
  </si>
  <si>
    <t>9763-20170724T164241.024816900.bin</t>
  </si>
  <si>
    <t>-520.61488750147 58.7412415080193 -247.06209453049</t>
  </si>
  <si>
    <t>-559.335718927964 58.5684435796706 -361.815951115903</t>
  </si>
  <si>
    <t>-574.061940220447 50.0872760890549 -481.823494482886</t>
  </si>
  <si>
    <t>-577.313309158143 39.1310574629107 -590.746538181261</t>
  </si>
  <si>
    <t>-570.582024662601 24.969358296952 -699.139372364729</t>
  </si>
  <si>
    <t>-550.864151785578 2.02707456869226 -848.420453003463</t>
  </si>
  <si>
    <t>-556.941485031638 43.544766743759 -786.839111330611</t>
  </si>
  <si>
    <t>-554.36762915086 190.383935722406 -779.240671656037</t>
  </si>
  <si>
    <t>-535.619260532704 278.381208830697 -475.775414923891</t>
  </si>
  <si>
    <t>-343.205703328195 216.317086300357 -312.16868002814</t>
  </si>
  <si>
    <t>-512.317085309627 156.566855576096 -249.644878049495</t>
  </si>
  <si>
    <t>-501.128077313109 167.936996080889 205.770519208987</t>
  </si>
  <si>
    <t>-507.714143551078 171.365466302646 675.558971970777</t>
  </si>
  <si>
    <t>-351.177168162016 168.464751513801 755.754192916217</t>
  </si>
  <si>
    <t>-509.15848042696 -54.8232752188717 211.126740634236</t>
  </si>
  <si>
    <t>-586.217968246903 -119.721347533681 670.126757724276</t>
  </si>
  <si>
    <t>-426.714001582497 -119.561563985641 744.301976280553</t>
  </si>
  <si>
    <t>9763-20170724T164241.091035200.bin</t>
  </si>
  <si>
    <t>-520.591158424609 58.2403504313574 -247.093092689219</t>
  </si>
  <si>
    <t>-559.28165109082 57.9718089461822 -361.857034922451</t>
  </si>
  <si>
    <t>-573.909623954828 49.5196427484668 -481.878493811281</t>
  </si>
  <si>
    <t>-577.044315663754 38.6443300018173 -590.813087744359</t>
  </si>
  <si>
    <t>-570.168456189567 24.6194357862533 -699.214557808857</t>
  </si>
  <si>
    <t>-550.221074203317 1.9270043242268 -848.503281908274</t>
  </si>
  <si>
    <t>-556.538677616306 43.3505958240352 -786.882901366348</t>
  </si>
  <si>
    <t>-554.671642523558 190.174714211564 -779.069893225992</t>
  </si>
  <si>
    <t>-537.528493383625 277.666810033952 -475.363816039593</t>
  </si>
  <si>
    <t>-344.872888188529 215.351091217128 -312.138158472848</t>
  </si>
  <si>
    <t>-512.619075049693 156.200522414603 -249.610110134024</t>
  </si>
  <si>
    <t>-501.289975361111 167.699038347568 205.798602038873</t>
  </si>
  <si>
    <t>-507.779842627184 171.462191963107 675.591124016919</t>
  </si>
  <si>
    <t>-351.241281878099 168.353207902193 755.775413964451</t>
  </si>
  <si>
    <t>-509.453243544887 -55.3441835949379 211.0924539472</t>
  </si>
  <si>
    <t>-586.132996536788 -120.102763552123 670.196519466378</t>
  </si>
  <si>
    <t>-426.620373768698 -119.330940873467 744.349243643412</t>
  </si>
  <si>
    <t>9763-20170724T164241.123116300.bin</t>
  </si>
  <si>
    <t>-520.59574144048 58.0354108136473 -247.133991816027</t>
  </si>
  <si>
    <t>-559.255012104322 57.7340204194426 -361.90836414526</t>
  </si>
  <si>
    <t>-573.84825419401 49.3046262645148 -481.935624507467</t>
  </si>
  <si>
    <t>-576.95013705969 38.4745544941669 -590.87576818617</t>
  </si>
  <si>
    <t>-570.039835873046 24.5203573782207 -699.284077398713</t>
  </si>
  <si>
    <t>-550.042687168651 1.9533886851472 -848.585300706587</t>
  </si>
  <si>
    <t>-556.446421390522 43.3290444261167 -786.941435699995</t>
  </si>
  <si>
    <t>-554.687973125507 190.139726356191 -778.921851072824</t>
  </si>
  <si>
    <t>-537.981992688674 278.094187962752 -475.324925250425</t>
  </si>
  <si>
    <t>-345.176471588505 215.790868931977 -312.271586105042</t>
  </si>
  <si>
    <t>-512.738308871225 155.930525233489 -249.596298052992</t>
  </si>
  <si>
    <t>-501.399737310609 167.556465942861 205.808972429321</t>
  </si>
  <si>
    <t>-507.685910246821 171.069607707954 675.596883455586</t>
  </si>
  <si>
    <t>-351.157619821384 167.524183252888 755.783135795352</t>
  </si>
  <si>
    <t>-509.76831638628 -55.4673862376877 211.082767876632</t>
  </si>
  <si>
    <t>-586.245394154727 -119.765337811045 670.248909305065</t>
  </si>
  <si>
    <t>-426.723251846411 -119.165218615303 744.382793538144</t>
  </si>
  <si>
    <t>9763-20170724T164241.191807100.bin</t>
  </si>
  <si>
    <t>-520.685584838724 57.5172708582677 -247.148626634237</t>
  </si>
  <si>
    <t>-559.238328700072 57.176875477949 -361.958757989123</t>
  </si>
  <si>
    <t>-573.734164914286 48.7855692379563 -482.000492800253</t>
  </si>
  <si>
    <t>-576.751899904046 38.026110655496 -590.949943522028</t>
  </si>
  <si>
    <t>-569.761186996332 24.18085357794 -699.367143058515</t>
  </si>
  <si>
    <t>-549.655476411346 1.80729052317086 -848.682868122644</t>
  </si>
  <si>
    <t>-556.202174136099 43.1086227800854 -787.004091550173</t>
  </si>
  <si>
    <t>-554.778428293517 189.945738100452 -778.946210489754</t>
  </si>
  <si>
    <t>-539.187203806963 278.540227452894 -475.476117465163</t>
  </si>
  <si>
    <t>-346.146851388373 216.263634358276 -312.690660404068</t>
  </si>
  <si>
    <t>-512.909934615934 155.284946898971 -249.619625880425</t>
  </si>
  <si>
    <t>-501.567596259101 167.059729620786 205.781573965916</t>
  </si>
  <si>
    <t>-507.619477134258 170.847997701717 675.57975876164</t>
  </si>
  <si>
    <t>-351.034473383218 168.699631979247 755.704911337455</t>
  </si>
  <si>
    <t>-510.080827981787 -55.7919091028518 211.063061969728</t>
  </si>
  <si>
    <t>-586.252927978499 -119.799528504122 670.312143981427</t>
  </si>
  <si>
    <t>-426.717062998698 -119.197179263763 744.416575516988</t>
  </si>
  <si>
    <t>9763-20170724T164241.223911500.bin</t>
  </si>
  <si>
    <t>-520.802178188007 57.4838390395595 -247.153999646549</t>
  </si>
  <si>
    <t>-559.35431260844 57.1285803161468 -361.964278174451</t>
  </si>
  <si>
    <t>-573.841986178419 48.7464425765113 -482.007621662352</t>
  </si>
  <si>
    <t>-576.848675628723 38.0068933660577 -590.959410548251</t>
  </si>
  <si>
    <t>-569.84303537076 24.1941047844279 -699.379757028349</t>
  </si>
  <si>
    <t>-549.712158443023 1.87964381249237 -848.700980989224</t>
  </si>
  <si>
    <t>-556.307799907119 43.1586778552546 -787.012496801903</t>
  </si>
  <si>
    <t>-555.117875284171 189.975828661974 -778.918589491138</t>
  </si>
  <si>
    <t>-540.035903472936 278.890121627769 -475.516216244719</t>
  </si>
  <si>
    <t>-347.057302905042 216.486372604088 -312.706192641058</t>
  </si>
  <si>
    <t>-513.15772490566 155.504608874495 -249.608876856288</t>
  </si>
  <si>
    <t>-501.708345521986 167.351360142697 205.787864340149</t>
  </si>
  <si>
    <t>-507.84923181003 171.617124297154 675.587345692668</t>
  </si>
  <si>
    <t>-351.31328066603 167.697837222274 755.741182836501</t>
  </si>
  <si>
    <t>-510.229620257632 -55.9891232595722 211.053160044343</t>
  </si>
  <si>
    <t>-586.170542425193 -120.129630045449 670.356971518932</t>
  </si>
  <si>
    <t>-426.633524405255 -118.824497401985 744.449708241472</t>
  </si>
  <si>
    <t>9763-20170724T164241.290666100.bin</t>
  </si>
  <si>
    <t>-520.971008120493 57.3401862350063 -247.134330211058</t>
  </si>
  <si>
    <t>-559.500566164627 56.9990568747528 -361.952218143851</t>
  </si>
  <si>
    <t>-573.970548877172 48.7140436129673 -482.004415512552</t>
  </si>
  <si>
    <t>-576.962747438147 38.0988614842933 -590.968788226627</t>
  </si>
  <si>
    <t>-569.943436287452 24.448362095096 -699.408846883675</t>
  </si>
  <si>
    <t>-549.793532359686 2.39985921774304 -848.766918340519</t>
  </si>
  <si>
    <t>-556.447301425733 43.5716084490312 -787.013059935804</t>
  </si>
  <si>
    <t>-555.454065549413 190.393774564062 -778.703839029185</t>
  </si>
  <si>
    <t>-541.653616258426 279.731887027557 -475.365021868127</t>
  </si>
  <si>
    <t>-348.601176085142 217.508851086644 -312.57347503724</t>
  </si>
  <si>
    <t>-513.328050944033 155.304671293033 -249.586803658305</t>
  </si>
  <si>
    <t>-501.778955675766 167.284505639261 205.804059634573</t>
  </si>
  <si>
    <t>-507.865381877895 171.627463795357 675.5974931894</t>
  </si>
  <si>
    <t>-351.30827301407 168.217136792614 755.73344312648</t>
  </si>
  <si>
    <t>-510.317679611046 -55.8947605172708 211.075254065925</t>
  </si>
  <si>
    <t>-586.344272284128 -119.539279322861 670.406147087861</t>
  </si>
  <si>
    <t>-426.814967118349 -119.378130925379 744.526797951857</t>
  </si>
  <si>
    <t>9763-20170724T164241.323737400.bin</t>
  </si>
  <si>
    <t>-521.056029556214 57.1154344930172 -247.130882093052</t>
  </si>
  <si>
    <t>-559.620603751138 56.765170675757 -361.937060265154</t>
  </si>
  <si>
    <t>-574.102664073002 48.5278712442951 -481.991100042541</t>
  </si>
  <si>
    <t>-577.095780708456 37.9787559155238 -590.96181857835</t>
  </si>
  <si>
    <t>-570.067416330629 24.4170362846894 -699.412424843837</t>
  </si>
  <si>
    <t>-549.89439420877 2.51533914778532 -848.788938792944</t>
  </si>
  <si>
    <t>-556.575321305604 43.6272787603333 -786.998216247766</t>
  </si>
  <si>
    <t>-555.749356786358 190.438478888627 -778.580006225607</t>
  </si>
  <si>
    <t>-542.225239768761 279.458123177479 -475.135055297955</t>
  </si>
  <si>
    <t>-349.187760973333 217.106111280197 -312.375025265595</t>
  </si>
  <si>
    <t>-513.473163581258 155.046365718571 -249.56259823251</t>
  </si>
  <si>
    <t>-501.815682194395 167.123582126792 205.822894647327</t>
  </si>
  <si>
    <t>-507.840858346873 171.505842386533 675.607615825573</t>
  </si>
  <si>
    <t>-351.27566496119 168.221489396223 755.732837005643</t>
  </si>
  <si>
    <t>-510.281863247961 -56.1502888382038 211.058614498324</t>
  </si>
  <si>
    <t>-586.250334788687 -119.874472745495 670.409504952726</t>
  </si>
  <si>
    <t>-426.713777429883 -118.88966833246 744.508283154905</t>
  </si>
  <si>
    <t>9763-20170724T164241.389562500.bin</t>
  </si>
  <si>
    <t>-521.164530916205 56.8084925828345 -247.091007266269</t>
  </si>
  <si>
    <t>-559.660264083338 56.4646633653982 -361.920396613137</t>
  </si>
  <si>
    <t>-574.106157509917 48.353485777267 -481.987453926194</t>
  </si>
  <si>
    <t>-577.080630580945 37.9680401615044 -590.974304482052</t>
  </si>
  <si>
    <t>-570.047069329959 24.6198078052599 -699.451074831526</t>
  </si>
  <si>
    <t>-549.880247298217 3.06664623058192 -848.879132786347</t>
  </si>
  <si>
    <t>-556.592663572136 44.0360875190619 -786.99720479114</t>
  </si>
  <si>
    <t>-555.864655411099 190.826519125327 -778.223305369026</t>
  </si>
  <si>
    <t>-542.418027125632 279.262983339074 -474.604529472781</t>
  </si>
  <si>
    <t>-349.37402999202 216.507607437745 -312.007522179706</t>
  </si>
  <si>
    <t>-513.553948357495 154.662396239845 -249.529997616629</t>
  </si>
  <si>
    <t>-501.855219312808 166.88090792832 205.850665728895</t>
  </si>
  <si>
    <t>-507.709365460041 170.922272886168 675.636862160471</t>
  </si>
  <si>
    <t>-351.149701351242 167.298499774068 755.7582795165</t>
  </si>
  <si>
    <t>-510.323448027371 -56.3619819956751 211.073055064736</t>
  </si>
  <si>
    <t>-586.233263702298 -120.016294733971 670.463419449733</t>
  </si>
  <si>
    <t>-426.68595738424 -119.001592498931 744.538561215504</t>
  </si>
  <si>
    <t>9763-20170724T164241.421649600.bin</t>
  </si>
  <si>
    <t>-521.214703439129 56.7337049491825 -247.098669049468</t>
  </si>
  <si>
    <t>-559.787237608251 56.4203884268622 -361.902172154029</t>
  </si>
  <si>
    <t>-574.316159384229 48.3738235361675 -481.963507067541</t>
  </si>
  <si>
    <t>-577.366988447971 38.0607196576707 -590.955320272797</t>
  </si>
  <si>
    <t>-570.410171096171 24.7985814173831 -699.447516479349</t>
  </si>
  <si>
    <t>-550.349617168128 3.3793663429702 -848.909219636159</t>
  </si>
  <si>
    <t>-557.01939867708 44.2934040073092 -786.986009467738</t>
  </si>
  <si>
    <t>-556.184677709858 191.062023134953 -778.0207939598</t>
  </si>
  <si>
    <t>-542.78215510838 279.776635520741 -474.481308894452</t>
  </si>
  <si>
    <t>-349.808528229344 216.832469618324 -311.873690656256</t>
  </si>
  <si>
    <t>-513.578293658418 154.572093928385 -249.514968699266</t>
  </si>
  <si>
    <t>-501.847243994755 166.851354264662 205.863204456378</t>
  </si>
  <si>
    <t>-507.760663992298 171.114073220688 675.636774919372</t>
  </si>
  <si>
    <t>-351.20111505357 167.4163382197 755.755164262339</t>
  </si>
  <si>
    <t>-510.335154178209 -56.3099381653234 211.077508482362</t>
  </si>
  <si>
    <t>-586.308350857756 -119.739473614481 670.45080904893</t>
  </si>
  <si>
    <t>-426.762776816437 -119.300252492463 744.535428678704</t>
  </si>
  <si>
    <t>9763-20170724T164241.491856000.bin</t>
  </si>
  <si>
    <t>-521.223597252712 56.3808198994485 -247.116012524199</t>
  </si>
  <si>
    <t>-559.866207655125 56.1438995078588 -361.896206294014</t>
  </si>
  <si>
    <t>-574.567616895488 48.2154122340576 -481.944377748105</t>
  </si>
  <si>
    <t>-577.816292506292 38.0207078279235 -590.941576046213</t>
  </si>
  <si>
    <t>-571.098257018971 24.885329405737 -699.464200007827</t>
  </si>
  <si>
    <t>-551.410523999264 3.64771962826447 -849.001369901371</t>
  </si>
  <si>
    <t>-557.8620715315 44.4831684944121 -787.003349459297</t>
  </si>
  <si>
    <t>-556.803911676821 191.261297819482 -777.931078973044</t>
  </si>
  <si>
    <t>-544.49814868989 280.600552560846 -474.528210081156</t>
  </si>
  <si>
    <t>-351.668559076241 217.089788953345 -311.970026191837</t>
  </si>
  <si>
    <t>-513.50103124864 154.161279643624 -249.496276708598</t>
  </si>
  <si>
    <t>-501.754587629983 166.542574860646 205.878623285253</t>
  </si>
  <si>
    <t>-507.724724450978 170.950326073317 675.653628455686</t>
  </si>
  <si>
    <t>-351.140138443463 168.122488053229 755.758430881982</t>
  </si>
  <si>
    <t>-510.217921432563 -56.5455242209475 211.026564266089</t>
  </si>
  <si>
    <t>-586.305368173772 -119.773288639888 670.436020955065</t>
  </si>
  <si>
    <t>-426.750250647886 -118.823217432252 744.495339292615</t>
  </si>
  <si>
    <t>9763-20170724T164241.524935000.bin</t>
  </si>
  <si>
    <t>-521.270151403944 56.2725944940333 -247.094271880148</t>
  </si>
  <si>
    <t>-559.887082446587 56.1002048056426 -361.883291707526</t>
  </si>
  <si>
    <t>-574.670050304692 48.2491320438505 -481.926471182151</t>
  </si>
  <si>
    <t>-578.036414636272 38.1285030523979 -590.92698582227</t>
  </si>
  <si>
    <t>-571.479291037637 25.0705645551598 -699.468847660971</t>
  </si>
  <si>
    <t>-552.05836901176 3.94312033179817 -849.056564683709</t>
  </si>
  <si>
    <t>-558.362967580003 44.7309064156111 -787.011932449176</t>
  </si>
  <si>
    <t>-557.22824938962 191.497587016007 -777.953298278912</t>
  </si>
  <si>
    <t>-545.356943238615 281.085113165729 -474.606431798902</t>
  </si>
  <si>
    <t>-352.5994877993 217.072497935683 -312.159444832394</t>
  </si>
  <si>
    <t>-513.477011368725 154.267537700896 -249.486758813477</t>
  </si>
  <si>
    <t>-501.732587449471 166.701820873063 205.886918200798</t>
  </si>
  <si>
    <t>-507.891715606392 171.550768153952 675.644141064678</t>
  </si>
  <si>
    <t>-351.351624446117 167.589279768069 755.787894196006</t>
  </si>
  <si>
    <t>-510.137607929721 -56.6993406235157 211.005581392934</t>
  </si>
  <si>
    <t>-586.214714723711 -120.066840184625 670.411711692381</t>
  </si>
  <si>
    <t>-426.661819597176 -118.771268908664 744.470462316091</t>
  </si>
  <si>
    <t>9763-20170724T164241.591143400.bin</t>
  </si>
  <si>
    <t>-521.213468886806 56.0353707282953 -247.128093149281</t>
  </si>
  <si>
    <t>-559.922281846014 56.0314022599148 -361.886246826976</t>
  </si>
  <si>
    <t>-574.950832411838 48.337104112103 -481.90915524013</t>
  </si>
  <si>
    <t>-578.600671515769 38.3505458203253 -590.912934204554</t>
  </si>
  <si>
    <t>-572.386122935838 25.4175638428701 -699.489861304581</t>
  </si>
  <si>
    <t>-553.500185321458 4.45249320487115 -849.168779608286</t>
  </si>
  <si>
    <t>-559.498248537117 45.1681502142694 -787.046593388342</t>
  </si>
  <si>
    <t>-558.412749205163 191.936059375581 -778.084747395166</t>
  </si>
  <si>
    <t>-546.708059664577 281.769196790652 -474.804032656488</t>
  </si>
  <si>
    <t>-354.226857998369 216.047109490435 -312.7125239733</t>
  </si>
  <si>
    <t>-513.134494980602 153.972114781465 -249.479297143901</t>
  </si>
  <si>
    <t>-501.511255415395 166.446122893948 205.896361676453</t>
  </si>
  <si>
    <t>-507.788468812918 171.139644413554 675.66003884311</t>
  </si>
  <si>
    <t>-351.225152631021 168.03943030286 755.796383660777</t>
  </si>
  <si>
    <t>-510.01123721245 -56.8427821950773 210.944371010139</t>
  </si>
  <si>
    <t>-586.322601398685 -119.783958005422 670.397846709124</t>
  </si>
  <si>
    <t>-426.766960568372 -118.598879059046 744.452593333753</t>
  </si>
  <si>
    <t>9763-20170724T164241.624220700.bin</t>
  </si>
  <si>
    <t>-521.318413098507 56.1493849607407 -247.118168071602</t>
  </si>
  <si>
    <t>-560.118327066056 56.2063001171024 -361.845545642045</t>
  </si>
  <si>
    <t>-575.25791363109 48.5867335918943 -481.859312038744</t>
  </si>
  <si>
    <t>-579.015109131942 38.6717660089225 -590.865852456919</t>
  </si>
  <si>
    <t>-572.914169841692 25.8135864788031 -699.458229946437</t>
  </si>
  <si>
    <t>-554.191759171892 4.9550159252116 -849.17252118048</t>
  </si>
  <si>
    <t>-560.075046692676 45.6237604130126 -787.008604146622</t>
  </si>
  <si>
    <t>-558.871451264284 192.397237768519 -778.117487206115</t>
  </si>
  <si>
    <t>-547.446895539226 282.488930512653 -474.902816883038</t>
  </si>
  <si>
    <t>-355.462206109766 213.849197358253 -313.432849555665</t>
  </si>
  <si>
    <t>-513.124855494864 153.985284793308 -249.469814444275</t>
  </si>
  <si>
    <t>-501.480361021165 166.518649497578 205.903652651548</t>
  </si>
  <si>
    <t>-507.826985388277 171.267770261081 675.660372134436</t>
  </si>
  <si>
    <t>-351.2785443154 167.803765025148 755.810901825197</t>
  </si>
  <si>
    <t>-509.767899917053 -56.4493304421582 210.947461607752</t>
  </si>
  <si>
    <t>-586.445048495816 -119.313759436792 670.328952880885</t>
  </si>
  <si>
    <t>-426.907452973203 -119.915739906173 744.429471925996</t>
  </si>
  <si>
    <t>9763-20170724T164241.691025700.bin</t>
  </si>
  <si>
    <t>-521.482170745059 55.8703825774484 -247.121885004036</t>
  </si>
  <si>
    <t>-560.528574401333 55.9871883276571 -361.765504088712</t>
  </si>
  <si>
    <t>-575.971761476196 48.4623299532492 -481.746537734251</t>
  </si>
  <si>
    <t>-580.026259695459 38.636270004418 -590.750480423398</t>
  </si>
  <si>
    <t>-574.244637579001 25.8639155887599 -699.37044970752</t>
  </si>
  <si>
    <t>-555.988042988774 5.11543272364155 -849.157655917116</t>
  </si>
  <si>
    <t>-561.555543932995 45.7309579529411 -786.929798810552</t>
  </si>
  <si>
    <t>-559.91809276804 192.516877840543 -778.114136563456</t>
  </si>
  <si>
    <t>-548.736098643472 283.472538409122 -475.148502439995</t>
  </si>
  <si>
    <t>-358.413620181634 204.974567513651 -316.222458854441</t>
  </si>
  <si>
    <t>-513.248197944877 153.750144297007 -249.432640037842</t>
  </si>
  <si>
    <t>-501.434727746562 166.238564836913 205.937791440375</t>
  </si>
  <si>
    <t>-507.716327095294 170.711071165111 675.709506772547</t>
  </si>
  <si>
    <t>-351.150522019703 167.426356210578 755.833569966636</t>
  </si>
  <si>
    <t>-509.190508448837 -56.8072349646566 210.91109840136</t>
  </si>
  <si>
    <t>-586.193668280631 -120.183828450953 670.215959832262</t>
  </si>
  <si>
    <t>-426.642386180451 -119.045833748161 744.280816689908</t>
  </si>
  <si>
    <t>9763-20170724T164241.720102500.bin</t>
  </si>
  <si>
    <t>-521.741408241438 56.2195459969392 -247.119029010738</t>
  </si>
  <si>
    <t>-560.808729927569 56.316514451942 -361.755568199839</t>
  </si>
  <si>
    <t>-576.382627490698 48.8124724704319 -481.721057642095</t>
  </si>
  <si>
    <t>-580.601649952847 39.0155220542345 -590.721306067091</t>
  </si>
  <si>
    <t>-575.030851598859 26.278465609903 -699.356396412922</t>
  </si>
  <si>
    <t>-557.114626944676 5.58152670967024 -849.191736692712</t>
  </si>
  <si>
    <t>-562.498340070447 46.1729260691599 -786.93220300653</t>
  </si>
  <si>
    <t>-560.182323466393 192.925310827268 -778.137844496094</t>
  </si>
  <si>
    <t>-548.421793686999 283.691260718612 -475.137211586326</t>
  </si>
  <si>
    <t>-358.906387229899 199.52797551992 -318.157909409467</t>
  </si>
  <si>
    <t>-513.57868572248 154.216137927991 -249.422571234472</t>
  </si>
  <si>
    <t>-501.716769911669 166.879227989147 205.941597912732</t>
  </si>
  <si>
    <t>-508.020571186153 171.768038786709 675.708660644633</t>
  </si>
  <si>
    <t>-351.520483304798 166.451999256236 755.85215299507</t>
  </si>
  <si>
    <t>-509.256354290488 -56.4487903826678 210.870254799023</t>
  </si>
  <si>
    <t>-586.394792954415 -119.433857744284 670.160793242378</t>
  </si>
  <si>
    <t>-426.851487670711 -119.127508513914 744.251007650089</t>
  </si>
  <si>
    <t>9763-20170724T164241.789801900.bin</t>
  </si>
  <si>
    <t>-522.353182524108 55.6099313024992 -247.120279677317</t>
  </si>
  <si>
    <t>-561.632995566305 55.592048445314 -361.684155545675</t>
  </si>
  <si>
    <t>-577.487758102993 48.1417850404902 -481.616096585765</t>
  </si>
  <si>
    <t>-581.991658630533 38.4435345871583 -590.613931757614</t>
  </si>
  <si>
    <t>-576.737841016102 25.8430764769062 -699.280745191808</t>
  </si>
  <si>
    <t>-559.295738558222 5.36397361063203 -849.201970346486</t>
  </si>
  <si>
    <t>-564.465228180462 45.8637379598349 -786.864479778465</t>
  </si>
  <si>
    <t>-561.819904052404 192.660057843135 -778.424930068598</t>
  </si>
  <si>
    <t>-546.218130297509 278.491211270229 -474.162234813782</t>
  </si>
  <si>
    <t>-357.201826351463 185.701732064459 -321.502368887072</t>
  </si>
  <si>
    <t>-514.557598888605 153.536001451788 -249.334496696998</t>
  </si>
  <si>
    <t>-501.897432538899 166.200708492096 206.008276815946</t>
  </si>
  <si>
    <t>-507.853583065702 170.754556127572 675.826579570027</t>
  </si>
  <si>
    <t>-351.212699804927 167.56795154109 755.807716090739</t>
  </si>
  <si>
    <t>-509.386411880669 -57.1090099129175 210.835751955521</t>
  </si>
  <si>
    <t>-586.171963263165 -120.323251025139 670.195298961701</t>
  </si>
  <si>
    <t>-426.619193365407 -118.340635159594 744.239225131179</t>
  </si>
  <si>
    <t>9763-20170724T164241.821886100.bin</t>
  </si>
  <si>
    <t>-522.951117687736 55.5417621263387 -247.039808311448</t>
  </si>
  <si>
    <t>-562.219802138271 55.3881118241702 -361.607478621279</t>
  </si>
  <si>
    <t>-578.160439372623 47.932815144043 -481.527743432119</t>
  </si>
  <si>
    <t>-582.784406864069 38.2762295380582 -590.524233014894</t>
  </si>
  <si>
    <t>-577.693373543559 25.7583027619853 -699.208266112525</t>
  </si>
  <si>
    <t>-560.521940278315 5.43168696912883 -849.181547648814</t>
  </si>
  <si>
    <t>-565.614780253357 45.8703335074711 -786.798081461493</t>
  </si>
  <si>
    <t>-563.01427800747 192.612633018007 -778.271952713631</t>
  </si>
  <si>
    <t>-543.442445532831 275.065766586744 -473.305305062207</t>
  </si>
  <si>
    <t>-353.599168336063 182.400940686903 -321.598868993373</t>
  </si>
  <si>
    <t>-515.368406909058 153.245714204494 -249.22723598168</t>
  </si>
  <si>
    <t>-502.113569868102 166.031686659436 206.095157889043</t>
  </si>
  <si>
    <t>-507.805868804456 170.150109199417 675.952998859685</t>
  </si>
  <si>
    <t>-351.087807184467 167.727590624242 755.809662744862</t>
  </si>
  <si>
    <t>-509.833688298636 -56.9954138675686 210.860825887934</t>
  </si>
  <si>
    <t>-586.330455802296 -119.798726360155 670.265907495802</t>
  </si>
  <si>
    <t>-426.792413519279 -118.960709520449 744.363257428116</t>
  </si>
  <si>
    <t>9763-20170724T164241.889273300.bin</t>
  </si>
  <si>
    <t>-524.430638338721 55.6627390522627 -246.669604877496</t>
  </si>
  <si>
    <t>-563.806938696274 55.3324569628545 -361.200001552244</t>
  </si>
  <si>
    <t>-579.940419534288 47.9881964932019 -481.101332467083</t>
  </si>
  <si>
    <t>-584.776102041029 38.5364499819097 -590.106543262156</t>
  </si>
  <si>
    <t>-579.934304351215 26.3185280500564 -698.836230975406</t>
  </si>
  <si>
    <t>-563.14779242944 6.49928576936138 -848.920855178908</t>
  </si>
  <si>
    <t>-568.139958799455 46.7305131104723 -786.395212702737</t>
  </si>
  <si>
    <t>-565.244609891227 193.479195060898 -777.305413171601</t>
  </si>
  <si>
    <t>-538.059822629091 269.437407666247 -471.237609655473</t>
  </si>
  <si>
    <t>-345.861290831514 178.117041261582 -321.697103994734</t>
  </si>
  <si>
    <t>-517.551278334532 153.48674566931 -248.804596872553</t>
  </si>
  <si>
    <t>-502.776655169978 165.776068139903 206.484696910842</t>
  </si>
  <si>
    <t>-508.137604128403 169.739345890822 676.447825781186</t>
  </si>
  <si>
    <t>-351.295046539717 167.097233687402 756.052802869752</t>
  </si>
  <si>
    <t>-510.444671255365 -57.027771445225 211.134597163405</t>
  </si>
  <si>
    <t>-586.276043875205 -120.114917411 670.522647048148</t>
  </si>
  <si>
    <t>-426.725771853344 -118.897569095974 744.588412170356</t>
  </si>
  <si>
    <t>9763-20170724T164241.926371500.bin</t>
  </si>
  <si>
    <t>-525.136827617392 55.7086974239331 -246.463267805329</t>
  </si>
  <si>
    <t>-564.609243423772 55.2045662739036 -360.959915160974</t>
  </si>
  <si>
    <t>-580.881529477091 47.842935754915 -480.841554459594</t>
  </si>
  <si>
    <t>-585.861136733957 38.4329496254926 -589.843855260668</t>
  </si>
  <si>
    <t>-581.181617012579 26.309533688765 -698.591072657513</t>
  </si>
  <si>
    <t>-564.639265803365 6.67210044269595 -848.72682952404</t>
  </si>
  <si>
    <t>-569.545655727072 46.8285816399761 -786.146400600435</t>
  </si>
  <si>
    <t>-566.649094334077 193.588170783669 -777.034672734244</t>
  </si>
  <si>
    <t>-535.513871858265 266.580440830033 -470.621851139238</t>
  </si>
  <si>
    <t>-342.124761603168 176.339800522108 -321.963276617379</t>
  </si>
  <si>
    <t>-518.418310848452 153.480776602731 -248.61837391191</t>
  </si>
  <si>
    <t>-502.879547210209 165.552134848014 206.651433705014</t>
  </si>
  <si>
    <t>-508.219570183597 169.211535802334 676.656750935547</t>
  </si>
  <si>
    <t>-351.2916680709 167.271385121693 756.113613227111</t>
  </si>
  <si>
    <t>-510.353633780226 -56.9846176995097 211.341308381168</t>
  </si>
  <si>
    <t>-586.217043479551 -120.250856884291 670.644603722916</t>
  </si>
  <si>
    <t>-426.661035876444 -118.242986125541 744.6808091781</t>
  </si>
  <si>
    <t>9763-20170724T164241.989361600.bin</t>
  </si>
  <si>
    <t>-526.140560414899 55.7895457093823 -245.963314370406</t>
  </si>
  <si>
    <t>-565.544902943686 55.0166257336608 -360.48180323374</t>
  </si>
  <si>
    <t>-581.988482779135 47.6165344456752 -480.337580111218</t>
  </si>
  <si>
    <t>-587.225349167779 38.2547754455143 -589.332068971248</t>
  </si>
  <si>
    <t>-582.905841371802 26.2549423266042 -698.107966291117</t>
  </si>
  <si>
    <t>-566.969056945696 6.85990700084929 -848.340642925274</t>
  </si>
  <si>
    <t>-571.602054827737 46.9140118185507 -785.673799177325</t>
  </si>
  <si>
    <t>-568.496491747622 193.653670988303 -776.685815182551</t>
  </si>
  <si>
    <t>-529.498772840986 261.833330821052 -470.064065333894</t>
  </si>
  <si>
    <t>-334.584797760986 172.663111525163 -322.757177114627</t>
  </si>
  <si>
    <t>-519.732042394993 153.510075575436 -248.212138803582</t>
  </si>
  <si>
    <t>-502.57677733984 165.60778833768 206.998891429909</t>
  </si>
  <si>
    <t>-508.506953212223 168.731261483959 676.998494549066</t>
  </si>
  <si>
    <t>-351.492769746975 166.243047176764 756.269361003458</t>
  </si>
  <si>
    <t>-510.079445235527 -56.7776167372216 211.797071665624</t>
  </si>
  <si>
    <t>-585.943814947318 -120.509261101206 670.983525357097</t>
  </si>
  <si>
    <t>-426.714999563899 -117.822072606983 745.699508561019</t>
  </si>
  <si>
    <t>9763-20170724T164242.026470300.bin</t>
  </si>
  <si>
    <t>-526.291284733021 55.7675345671189 -245.772528073999</t>
  </si>
  <si>
    <t>-565.856431458506 54.9512238973215 -360.235344132859</t>
  </si>
  <si>
    <t>-582.493009486529 47.5534089264417 -480.064639397331</t>
  </si>
  <si>
    <t>-587.916830620676 38.2071989817386 -589.05126464572</t>
  </si>
  <si>
    <t>-583.79615150915 26.2332154457432 -697.837828625009</t>
  </si>
  <si>
    <t>-568.147357380532 6.88189811412589 -848.10634990242</t>
  </si>
  <si>
    <t>-572.618384103637 46.9151091419415 -785.414477018437</t>
  </si>
  <si>
    <t>-569.365282873081 193.667702607529 -776.515169496234</t>
  </si>
  <si>
    <t>-526.391324637502 259.920357177447 -470.002422217242</t>
  </si>
  <si>
    <t>-330.798396644395 171.45102773892 -323.173899293277</t>
  </si>
  <si>
    <t>-519.909130669452 153.54457763746 -248.069095005697</t>
  </si>
  <si>
    <t>-502.167637428358 165.598987158475 207.120614281738</t>
  </si>
  <si>
    <t>-508.56048927823 168.52462141941 677.040544491252</t>
  </si>
  <si>
    <t>-351.548323664578 165.953453211033 756.312844091138</t>
  </si>
  <si>
    <t>-509.795162855653 -56.7744637634983 212.07058254297</t>
  </si>
  <si>
    <t>-585.850246559991 -120.670799344479 671.243696859563</t>
  </si>
  <si>
    <t>-426.859247776896 -117.675659807084 746.452594999824</t>
  </si>
  <si>
    <t>9763-20170724T164242.088632400.bin</t>
  </si>
  <si>
    <t>-526.120886027656 55.7579164295397 -245.427587500977</t>
  </si>
  <si>
    <t>-565.738654554831 54.9300926415264 -359.872155850072</t>
  </si>
  <si>
    <t>-582.638662805715 47.5062327915709 -479.662897824359</t>
  </si>
  <si>
    <t>-588.388380322784 38.1238808184094 -588.629677906917</t>
  </si>
  <si>
    <t>-584.680584915486 26.0970817909312 -697.425205957723</t>
  </si>
  <si>
    <t>-569.694416758766 6.65102217995737 -847.749144500576</t>
  </si>
  <si>
    <t>-573.749272056273 46.7144143096444 -785.048114233144</t>
  </si>
  <si>
    <t>-569.806323133602 193.462976610323 -776.3353142308</t>
  </si>
  <si>
    <t>-518.573436877954 256.071389488381 -470.326299291457</t>
  </si>
  <si>
    <t>-321.622621683989 169.140708578713 -324.396512635189</t>
  </si>
  <si>
    <t>-519.491865897729 153.643494361243 -247.936662489044</t>
  </si>
  <si>
    <t>-501.582683794417 165.733082251065 207.245473284239</t>
  </si>
  <si>
    <t>-508.5966044504 168.556990256653 676.984476918853</t>
  </si>
  <si>
    <t>-351.594524070506 166.302758174769 756.286279067289</t>
  </si>
  <si>
    <t>-509.072786022786 -56.5680028458633 212.49658627766</t>
  </si>
  <si>
    <t>-585.868040274576 -120.39350158286 671.590805441733</t>
  </si>
  <si>
    <t>-427.209057980382 -118.183738047124 747.524665348936</t>
  </si>
  <si>
    <t>9763-20170724T164242.120717400.bin</t>
  </si>
  <si>
    <t>-525.800312613309 55.6736372733886 -245.370142958844</t>
  </si>
  <si>
    <t>-565.464453384907 54.8439097229916 -359.798627094994</t>
  </si>
  <si>
    <t>-582.455157502135 47.4161294855818 -479.576451914066</t>
  </si>
  <si>
    <t>-588.305718113662 38.0245420392802 -588.53703920752</t>
  </si>
  <si>
    <t>-584.717789222389 25.9801259423329 -697.334546536227</t>
  </si>
  <si>
    <t>-569.91805645749 6.49817902300451 -847.672231816553</t>
  </si>
  <si>
    <t>-573.799384526325 46.5698249942012 -784.965614942628</t>
  </si>
  <si>
    <t>-569.281751094332 193.285484849819 -776.313878576443</t>
  </si>
  <si>
    <t>-514.28472617405 254.69918496109 -470.716466910211</t>
  </si>
  <si>
    <t>-316.859266348654 167.796802483464 -325.412418512403</t>
  </si>
  <si>
    <t>-519.037331804262 153.499387210098 -247.944017635814</t>
  </si>
  <si>
    <t>-501.388516470818 165.596924971769 207.24799937307</t>
  </si>
  <si>
    <t>-508.518734575722 168.25745702916 676.979599179491</t>
  </si>
  <si>
    <t>-351.519898397748 166.270772235642 756.294954161092</t>
  </si>
  <si>
    <t>-508.644789449652 -56.6095821078829 212.651378238642</t>
  </si>
  <si>
    <t>-585.847621727222 -120.479949043973 671.696728321789</t>
  </si>
  <si>
    <t>-427.237749661974 -117.982537446701 747.724298513191</t>
  </si>
  <si>
    <t>9763-20170724T164242.187899100.bin</t>
  </si>
  <si>
    <t>-525.198624858431 55.7173560407167 -245.311717308056</t>
  </si>
  <si>
    <t>-564.752887073013 54.9237854489422 -359.778401181988</t>
  </si>
  <si>
    <t>-581.872180129368 47.5486825281671 -479.541167181919</t>
  </si>
  <si>
    <t>-587.940331293209 38.2030745749471 -588.493807609145</t>
  </si>
  <si>
    <t>-584.671786555089 26.1982801686748 -697.305802710954</t>
  </si>
  <si>
    <t>-570.42087648103 6.75968892326881 -847.702098941703</t>
  </si>
  <si>
    <t>-573.8930270833 46.7997774380869 -784.951462029589</t>
  </si>
  <si>
    <t>-568.29286000053 193.498455100255 -776.364017354304</t>
  </si>
  <si>
    <t>-504.938916648823 253.791100397649 -472.164724320429</t>
  </si>
  <si>
    <t>-307.855284981209 166.124144607702 -326.855969084036</t>
  </si>
  <si>
    <t>-518.147670428035 153.644898059154 -247.980000842841</t>
  </si>
  <si>
    <t>-500.997336067713 165.695726960972 207.232468400968</t>
  </si>
  <si>
    <t>-508.62254666178 168.579327090659 676.978133421523</t>
  </si>
  <si>
    <t>-351.642201682982 166.482161049749 756.327250912844</t>
  </si>
  <si>
    <t>-507.963583227566 -56.5357249341257 212.804401042744</t>
  </si>
  <si>
    <t>-585.806262247207 -120.668150814236 671.740334775701</t>
  </si>
  <si>
    <t>-427.127200406568 -118.525996535472 747.634178493203</t>
  </si>
  <si>
    <t>9763-20170724T164242.224999000.bin</t>
  </si>
  <si>
    <t>-524.782124894355 55.6670521588266 -245.353877573844</t>
  </si>
  <si>
    <t>-564.352716007115 54.872703165307 -359.815084626743</t>
  </si>
  <si>
    <t>-581.543450520073 47.5038036348635 -479.567930491707</t>
  </si>
  <si>
    <t>-587.700215566731 38.1613713215105 -588.515841518394</t>
  </si>
  <si>
    <t>-584.544732960534 26.1542941340688 -697.33103890975</t>
  </si>
  <si>
    <t>-570.476354601965 6.70384192105348 -847.743026629669</t>
  </si>
  <si>
    <t>-573.784231271197 46.7419561811344 -784.982075928182</t>
  </si>
  <si>
    <t>-567.611580616938 193.396759068248 -776.358093921536</t>
  </si>
  <si>
    <t>-500.697082404611 253.358491717728 -472.856352964388</t>
  </si>
  <si>
    <t>-304.19788686142 164.607202288605 -327.414567388033</t>
  </si>
  <si>
    <t>-517.636000605884 153.512648873017 -247.998805519584</t>
  </si>
  <si>
    <t>-500.703721735812 165.784645531351 207.215822840063</t>
  </si>
  <si>
    <t>-508.625942214677 168.508293702742 676.98519412416</t>
  </si>
  <si>
    <t>-351.673785873492 165.570533803177 756.363463214672</t>
  </si>
  <si>
    <t>-507.778396631152 -56.573438427335 212.808319873479</t>
  </si>
  <si>
    <t>-585.865728445853 -120.566578593579 671.749974834083</t>
  </si>
  <si>
    <t>-427.073885083304 -118.698641437108 747.414824817369</t>
  </si>
  <si>
    <t>9763-20170724T164242.288179100.bin</t>
  </si>
  <si>
    <t>-523.96751774355 55.5974086803041 -245.30818838844</t>
  </si>
  <si>
    <t>-563.478810280602 54.8833883702118 -359.790411662006</t>
  </si>
  <si>
    <t>-580.588938481057 47.5910783518136 -479.559551040355</t>
  </si>
  <si>
    <t>-586.667064034008 38.3070471344205 -588.516889415278</t>
  </si>
  <si>
    <t>-583.429040384614 26.3426489822586 -697.334302348433</t>
  </si>
  <si>
    <t>-569.243956004697 6.930639419882 -847.74031023159</t>
  </si>
  <si>
    <t>-572.429293227151 46.9384921891851 -784.953701315344</t>
  </si>
  <si>
    <t>-564.851868966979 193.543951730482 -776.25603074705</t>
  </si>
  <si>
    <t>-492.986415944988 251.666499477792 -473.52958345961</t>
  </si>
  <si>
    <t>-296.932139847916 162.989187618755 -327.443602470671</t>
  </si>
  <si>
    <t>-516.646676356326 153.579554006362 -247.960844299259</t>
  </si>
  <si>
    <t>-500.225841855755 165.813844816128 207.273492035874</t>
  </si>
  <si>
    <t>-508.859526542193 168.97332102629 677.074120754154</t>
  </si>
  <si>
    <t>-351.938621851595 164.813514905987 756.459512281927</t>
  </si>
  <si>
    <t>-507.311745181691 -56.6525216058611 212.904151915485</t>
  </si>
  <si>
    <t>-585.965726318531 -120.501994445099 671.773587158085</t>
  </si>
  <si>
    <t>-426.879849549458 -118.885378538872 746.824087302206</t>
  </si>
  <si>
    <t>9763-20170724T164242.322268400.bin</t>
  </si>
  <si>
    <t>-523.668293648553 55.4253258685279 -245.269358251215</t>
  </si>
  <si>
    <t>-563.033864177497 54.6072404025425 -359.801050517908</t>
  </si>
  <si>
    <t>-580.034110512341 47.2918290518987 -479.584339609639</t>
  </si>
  <si>
    <t>-586.03108848101 38.0142942538604 -588.546749153905</t>
  </si>
  <si>
    <t>-582.731566552994 26.0806655654794 -697.365595965917</t>
  </si>
  <si>
    <t>-568.482510965558 6.73332345748955 -847.773829481769</t>
  </si>
  <si>
    <t>-571.613026190428 46.7070817610514 -784.963012360967</t>
  </si>
  <si>
    <t>-563.52032511649 193.275850356768 -776.181651678574</t>
  </si>
  <si>
    <t>-490.226893875762 250.291113653409 -473.586933645672</t>
  </si>
  <si>
    <t>-294.228465323838 161.100672909317 -327.738534327902</t>
  </si>
  <si>
    <t>-516.16111331364 153.135094248922 -247.975146969866</t>
  </si>
  <si>
    <t>-499.929854374952 165.505149706134 207.262377109539</t>
  </si>
  <si>
    <t>-508.721085546969 168.29514104168 677.095018011763</t>
  </si>
  <si>
    <t>-351.755831138975 165.265522046822 756.443795438914</t>
  </si>
  <si>
    <t>-507.097109483712 -56.5501410349945 212.982734016876</t>
  </si>
  <si>
    <t>-586.025702513779 -120.224805006956 671.787037062446</t>
  </si>
  <si>
    <t>-426.846030251933 -119.012886411804 746.646072200613</t>
  </si>
  <si>
    <t>9763-20170724T164242.391457100.bin</t>
  </si>
  <si>
    <t>-523.304352600064 55.1088275377475 -245.155466563334</t>
  </si>
  <si>
    <t>-562.310529493635 53.8864423577614 -359.806285730917</t>
  </si>
  <si>
    <t>-579.053197043614 46.4274011461589 -479.617061550628</t>
  </si>
  <si>
    <t>-584.868018368688 37.1107184907927 -588.586102225512</t>
  </si>
  <si>
    <t>-581.441280509793 25.2185225702294 -697.405518496354</t>
  </si>
  <si>
    <t>-567.075122026208 6.00298406077988 -847.819595320328</t>
  </si>
  <si>
    <t>-570.123187688675 45.9097745606736 -784.962007164296</t>
  </si>
  <si>
    <t>-561.115925975793 192.4300179975 -776.143486166753</t>
  </si>
  <si>
    <t>-485.879457838271 247.784656160122 -473.717486736627</t>
  </si>
  <si>
    <t>-289.483243952112 159.125045457478 -328.080683668988</t>
  </si>
  <si>
    <t>-515.689452659286 152.802857165409 -248.002455401597</t>
  </si>
  <si>
    <t>-499.908142979497 165.225158314602 207.249393406324</t>
  </si>
  <si>
    <t>-508.846412224387 168.022588637133 677.195327087519</t>
  </si>
  <si>
    <t>-351.869826465468 164.379382213519 756.496023930043</t>
  </si>
  <si>
    <t>-506.942338843467 -56.6392419784376 213.282204918979</t>
  </si>
  <si>
    <t>-586.027575519344 -119.932279455766 672.104428656073</t>
  </si>
  <si>
    <t>-426.920127307071 -118.904481972398 747.11963493383</t>
  </si>
  <si>
    <t>9763-20170724T164242.421542700.bin</t>
  </si>
  <si>
    <t>-523.343646485492 54.6388823547059 -244.996614654013</t>
  </si>
  <si>
    <t>-562.086213267835 53.1543243291518 -359.733816707404</t>
  </si>
  <si>
    <t>-578.685605424889 45.5840379926674 -479.557390765198</t>
  </si>
  <si>
    <t>-584.425391255411 36.2220978481092 -588.526482357172</t>
  </si>
  <si>
    <t>-580.980014932401 24.3356230178314 -697.346078660784</t>
  </si>
  <si>
    <t>-566.64718103832 5.17663417511565 -847.770390398158</t>
  </si>
  <si>
    <t>-569.655311572809 45.0573495448009 -784.894500862229</t>
  </si>
  <si>
    <t>-560.40001138019 191.543769542524 -776.010512543785</t>
  </si>
  <si>
    <t>-484.126285798134 246.65815149598 -473.800363274721</t>
  </si>
  <si>
    <t>-287.707165559475 158.155231393163 -328.09927560138</t>
  </si>
  <si>
    <t>-515.720677776427 152.231351184556 -247.985702060619</t>
  </si>
  <si>
    <t>-500.068904665175 164.804956033336 207.266490694325</t>
  </si>
  <si>
    <t>-508.817204942509 167.612960131809 677.197624666054</t>
  </si>
  <si>
    <t>-351.857501420057 164.561498226066 756.556521965139</t>
  </si>
  <si>
    <t>-506.885779493959 -56.8850361410387 213.564191109459</t>
  </si>
  <si>
    <t>-585.879586281934 -120.141288401326 672.379962427738</t>
  </si>
  <si>
    <t>-426.937532008384 -118.867131331377 747.741122658004</t>
  </si>
  <si>
    <t>9763-20170724T164242.489734600.bin</t>
  </si>
  <si>
    <t>-523.596661349789 53.3879025785513 -244.74305093988</t>
  </si>
  <si>
    <t>-561.871527158453 51.1602390828761 -359.625194352476</t>
  </si>
  <si>
    <t>-578.18626547442 43.2460217605513 -479.4657136329</t>
  </si>
  <si>
    <t>-583.7524332142 33.7258066843979 -588.430043704961</t>
  </si>
  <si>
    <t>-580.22009401822 21.8257174319451 -697.245382022746</t>
  </si>
  <si>
    <t>-565.857629499162 2.7905363331203 -847.682670772353</t>
  </si>
  <si>
    <t>-568.896743960981 42.6212568145902 -784.776376429142</t>
  </si>
  <si>
    <t>-559.648715750647 189.108576171461 -775.714138016382</t>
  </si>
  <si>
    <t>-480.528157505 244.696729004832 -474.323925012759</t>
  </si>
  <si>
    <t>-283.349425125797 158.364215389302 -328.346817308152</t>
  </si>
  <si>
    <t>-515.950029690494 150.964618729693 -248.161436498849</t>
  </si>
  <si>
    <t>-500.275449556637 163.433677072236 207.092878076531</t>
  </si>
  <si>
    <t>-508.530563746568 166.648771190858 676.990792971214</t>
  </si>
  <si>
    <t>-351.805655990886 164.937805992 756.852442925875</t>
  </si>
  <si>
    <t>-506.406415378749 -57.6688720976986 214.298257974399</t>
  </si>
  <si>
    <t>-585.803210326276 -120.57562431632 673.269922546786</t>
  </si>
  <si>
    <t>-427.239565632478 -118.091392701158 749.394250005216</t>
  </si>
  <si>
    <t>9763-20170724T164242.520816400.bin</t>
  </si>
  <si>
    <t>-523.714829283762 52.9514167781156 -244.650803423326</t>
  </si>
  <si>
    <t>-561.72835402825 50.165965263291 -359.607268751871</t>
  </si>
  <si>
    <t>-577.894056634657 41.9932694770194 -479.45083983924</t>
  </si>
  <si>
    <t>-583.376623609073 32.3533600452601 -588.408815705703</t>
  </si>
  <si>
    <t>-579.813292623291 20.4414929118735 -697.221772719246</t>
  </si>
  <si>
    <t>-565.463094921783 1.49627759166373 -847.671581040959</t>
  </si>
  <si>
    <t>-568.496584100536 41.2892834921287 -784.741348142759</t>
  </si>
  <si>
    <t>-559.334631733483 187.764990265348 -775.61778248742</t>
  </si>
  <si>
    <t>-478.227982897166 244.06794395397 -474.888914086517</t>
  </si>
  <si>
    <t>-280.677513038966 158.203403356705 -329.138674244864</t>
  </si>
  <si>
    <t>-516.027201215023 150.481269711262 -248.446039795759</t>
  </si>
  <si>
    <t>-500.593835811791 163.270432042298 206.807667164023</t>
  </si>
  <si>
    <t>-508.338830277558 166.599894702419 676.636382939524</t>
  </si>
  <si>
    <t>-351.855797553874 164.385040938157 756.958546175073</t>
  </si>
  <si>
    <t>-505.553753478495 -57.6161376974789 214.757611663276</t>
  </si>
  <si>
    <t>-585.769147508748 -120.749697890363 673.610415643177</t>
  </si>
  <si>
    <t>-427.266872914403 -118.597157093242 749.87240832387</t>
  </si>
  <si>
    <t>9763-20170724T164242.589823200.bin</t>
  </si>
  <si>
    <t>-523.654958848527 52.0862258868949 -244.430664038785</t>
  </si>
  <si>
    <t>-561.425833959713 48.4734549527143 -359.444199447244</t>
  </si>
  <si>
    <t>-577.402217328747 39.9142951041561 -479.285928826928</t>
  </si>
  <si>
    <t>-582.742784247335 30.0816368002194 -588.233897884741</t>
  </si>
  <si>
    <t>-579.070052775702 18.1186090497714 -697.037577106459</t>
  </si>
  <si>
    <t>-567.579567531884 38.9924561290797 -784.528306098671</t>
  </si>
  <si>
    <t>-557.819237042512 185.41057828522 -775.2338852448</t>
  </si>
  <si>
    <t>-473.77368906283 242.404065498245 -475.443424837709</t>
  </si>
  <si>
    <t>-274.612764757811 157.981556841642 -331.048747717082</t>
  </si>
  <si>
    <t>-516.148747388502 149.678926579695 -248.942086536635</t>
  </si>
  <si>
    <t>-500.97517063796 163.099751979187 206.302101083418</t>
  </si>
  <si>
    <t>-508.155566306427 166.984340968972 676.078522076413</t>
  </si>
  <si>
    <t>-352.08104972331 164.066346182808 757.169555213922</t>
  </si>
  <si>
    <t>-503.570680520422 -57.518005994426 215.427256749718</t>
  </si>
  <si>
    <t>-585.701331325444 -120.857622477014 673.992863320061</t>
  </si>
  <si>
    <t>-427.24595611839 -117.827047493061 750.32256083069</t>
  </si>
  <si>
    <t>9763-20170724T164242.622906500.bin</t>
  </si>
  <si>
    <t>-523.614446592221 51.785442474515 -244.264923894892</t>
  </si>
  <si>
    <t>-561.312920690346 47.8474323054644 -359.291376540808</t>
  </si>
  <si>
    <t>-577.262618842026 39.1235781872065 -479.124886208999</t>
  </si>
  <si>
    <t>-582.599416761074 29.2015741131157 -588.064941142016</t>
  </si>
  <si>
    <t>-578.943842538329 17.2048117917999 -696.865608956573</t>
  </si>
  <si>
    <t>-567.432850230058 38.0782632765063 -784.353623786655</t>
  </si>
  <si>
    <t>-557.30219917355 184.48624749478 -775.038051180759</t>
  </si>
  <si>
    <t>-471.564498367402 241.676124419541 -475.764683011916</t>
  </si>
  <si>
    <t>-271.598392736434 158.54918874921 -331.73155617969</t>
  </si>
  <si>
    <t>-516.046315270196 149.251500106417 -248.990579410576</t>
  </si>
  <si>
    <t>-501.175351704416 162.71714672446 206.26241608296</t>
  </si>
  <si>
    <t>-508.180459366103 166.602674998214 676.128005725183</t>
  </si>
  <si>
    <t>-352.092656031569 164.510592718951 757.218894770206</t>
  </si>
  <si>
    <t>-502.361311983574 -57.496005641942 215.737870340798</t>
  </si>
  <si>
    <t>-585.540316039699 -121.111743902243 674.090956548988</t>
  </si>
  <si>
    <t>-427.112149952903 -116.928200889664 750.422747435309</t>
  </si>
  <si>
    <t>9763-20170724T164242.688091600.bin</t>
  </si>
  <si>
    <t>-523.630677894696 52.3804843589131 -243.745317896971</t>
  </si>
  <si>
    <t>-560.914060617988 47.8937417747543 -358.887240660273</t>
  </si>
  <si>
    <t>-576.728497963919 38.8646565895237 -478.715948232845</t>
  </si>
  <si>
    <t>-582.062804924213 28.7621138548243 -587.639464743256</t>
  </si>
  <si>
    <t>-578.525267960561 16.6773557812193 -696.434226416472</t>
  </si>
  <si>
    <t>-567.08347926285 37.5238134391333 -783.937735658182</t>
  </si>
  <si>
    <t>-556.26414750384 183.855128846041 -774.515698847693</t>
  </si>
  <si>
    <t>-466.260986961523 240.716776578067 -476.434365944162</t>
  </si>
  <si>
    <t>-265.506889651763 160.396570246404 -331.905935139892</t>
  </si>
  <si>
    <t>-515.958222143215 149.805126855295 -248.910771918638</t>
  </si>
  <si>
    <t>-501.568676518262 163.176751026432 206.360485538146</t>
  </si>
  <si>
    <t>-508.558661619317 166.931592711091 676.146585551821</t>
  </si>
  <si>
    <t>-352.469167486124 164.851901598804 757.234575852298</t>
  </si>
  <si>
    <t>-500.030178370772 -56.2934644327378 216.419280705576</t>
  </si>
  <si>
    <t>-585.417131467694 -120.613135887926 674.224785787609</t>
  </si>
  <si>
    <t>-427.034026823044 -117.94145173019 750.717717471393</t>
  </si>
  <si>
    <t>9763-20170724T164242.721175200.bin</t>
  </si>
  <si>
    <t>-523.419844869672 53.083798190077 -243.5412534192</t>
  </si>
  <si>
    <t>-560.780389389723 48.4154075431551 -358.650754028244</t>
  </si>
  <si>
    <t>-576.702831090057 39.2799856433317 -478.4573303777</t>
  </si>
  <si>
    <t>-582.145935261121 29.1129822007097 -587.369362557889</t>
  </si>
  <si>
    <t>-578.727466426853 16.9960327095059 -696.164431621878</t>
  </si>
  <si>
    <t>-567.34349830926 37.8317147566027 -783.678119890994</t>
  </si>
  <si>
    <t>-556.123097736148 184.146221180257 -774.246961378964</t>
  </si>
  <si>
    <t>-463.463338034595 240.870995083573 -476.954724558215</t>
  </si>
  <si>
    <t>-262.729643570589 162.189506241652 -331.499254750944</t>
  </si>
  <si>
    <t>-515.657540961735 150.44786281398 -248.916564813461</t>
  </si>
  <si>
    <t>-501.681396655225 163.772681066126 206.368814371807</t>
  </si>
  <si>
    <t>-508.682364545398 167.072685148515 676.120446352221</t>
  </si>
  <si>
    <t>-352.616399476132 164.148283516047 757.227447895094</t>
  </si>
  <si>
    <t>-498.528102337481 -55.4914775301928 216.78572435609</t>
  </si>
  <si>
    <t>-585.26412518613 -120.618555509866 674.254973664646</t>
  </si>
  <si>
    <t>-426.927052122343 -118.1481907353 750.850008485959</t>
  </si>
  <si>
    <t>9763-20170724T164242.788119900.bin</t>
  </si>
  <si>
    <t>-522.801252850619 54.8714285436801 -243.128535864273</t>
  </si>
  <si>
    <t>-560.28203084663 49.8081523809024 -358.182409234735</t>
  </si>
  <si>
    <t>-576.407023313908 40.4319043930694 -477.943039949388</t>
  </si>
  <si>
    <t>-582.066296235907 30.1049102709956 -586.829195555471</t>
  </si>
  <si>
    <t>-578.895898055555 17.8828357842282 -695.619872227833</t>
  </si>
  <si>
    <t>-567.593833859079 38.6505142256706 -783.160316829606</t>
  </si>
  <si>
    <t>-555.442054004085 184.888710187727 -773.701804060832</t>
  </si>
  <si>
    <t>-457.24043185222 240.1190300345 -477.91096783946</t>
  </si>
  <si>
    <t>-256.635583798675 164.272760175041 -330.781449696458</t>
  </si>
  <si>
    <t>-514.923253777309 152.034193488996 -248.942094850343</t>
  </si>
  <si>
    <t>-501.702829172178 164.876310284966 206.379764325478</t>
  </si>
  <si>
    <t>-508.773907897518 167.214729377101 676.004617023461</t>
  </si>
  <si>
    <t>-352.778375382871 164.247437706035 757.245610445319</t>
  </si>
  <si>
    <t>-494.959183385939 -53.7140293674755 217.430802755113</t>
  </si>
  <si>
    <t>-584.909326566483 -120.625950727847 674.096398899355</t>
  </si>
  <si>
    <t>-426.682342584952 -118.148878597202 750.91812028872</t>
  </si>
  <si>
    <t>9763-20170724T164242.828224400.bin</t>
  </si>
  <si>
    <t>-522.508721747316 56.1120303573501 -242.909286309255</t>
  </si>
  <si>
    <t>-559.864973487181 50.6996450504189 -357.987700983721</t>
  </si>
  <si>
    <t>-576.005238551006 41.1054096228836 -477.729036554218</t>
  </si>
  <si>
    <t>-581.736811901059 30.6343357052308 -586.597663469554</t>
  </si>
  <si>
    <t>-578.696684670651 18.3205747296431 -695.381672063758</t>
  </si>
  <si>
    <t>-567.466605356407 39.0380167918264 -782.943299910918</t>
  </si>
  <si>
    <t>-554.73350519797 185.238565052215 -773.517742959498</t>
  </si>
  <si>
    <t>-453.504327590098 239.560467929854 -478.580628411881</t>
  </si>
  <si>
    <t>-252.808437255957 165.290661570046 -330.772640712828</t>
  </si>
  <si>
    <t>-514.418682607957 152.939778383946 -249.049032780023</t>
  </si>
  <si>
    <t>-501.707880313709 165.570801019318 206.293221332212</t>
  </si>
  <si>
    <t>-508.723486752751 166.994204604147 675.949209907485</t>
  </si>
  <si>
    <t>-352.741250105351 164.550039824333 757.233207121818</t>
  </si>
  <si>
    <t>-492.959563634233 -52.3991512835515 217.79739675487</t>
  </si>
  <si>
    <t>-584.789776442394 -120.357180747783 673.938157049458</t>
  </si>
  <si>
    <t>-426.620772294228 -118.41328145329 750.894539495805</t>
  </si>
  <si>
    <t>9763-20170724T164242.887959900.bin</t>
  </si>
  <si>
    <t>-521.710166378597 59.3551833681365 -242.433069479824</t>
  </si>
  <si>
    <t>-559.070372766095 53.4150502219349 -357.483922922184</t>
  </si>
  <si>
    <t>-575.493885667983 43.4072336789372 -477.15297114777</t>
  </si>
  <si>
    <t>-581.595835460055 32.6101760222815 -585.969664195691</t>
  </si>
  <si>
    <t>-579.038610626299 20.0193244097412 -694.734310930152</t>
  </si>
  <si>
    <t>-566.484434819111 0.602827590482413 -845.284698012938</t>
  </si>
  <si>
    <t>-568.108271770024 40.5247127761117 -782.383775845927</t>
  </si>
  <si>
    <t>-554.644968286246 186.685650033806 -773.401237485854</t>
  </si>
  <si>
    <t>-447.865863497204 239.472814181026 -480.147238371832</t>
  </si>
  <si>
    <t>-247.281384056376 167.983934063573 -330.824665671038</t>
  </si>
  <si>
    <t>-513.391894226828 155.893099196851 -249.127196184355</t>
  </si>
  <si>
    <t>-501.647175201966 167.63436072826 206.264793788627</t>
  </si>
  <si>
    <t>-508.833575035813 167.009840592701 675.94738298452</t>
  </si>
  <si>
    <t>-352.852126156302 164.308164507138 757.224651305758</t>
  </si>
  <si>
    <t>-489.017886704394 -49.4313467762321 218.511636787117</t>
  </si>
  <si>
    <t>-584.534080717804 -119.655139769863 673.486045973205</t>
  </si>
  <si>
    <t>-426.501415514645 -119.407927583421 750.746105289804</t>
  </si>
  <si>
    <t>9763-20170724T164242.920048000.bin</t>
  </si>
  <si>
    <t>-520.895519331871 61.2333298742437 -242.165644264654</t>
  </si>
  <si>
    <t>-558.300042656342 55.1113599050359 -357.192671676203</t>
  </si>
  <si>
    <t>-574.898979613726 44.8868758267563 -476.819144622466</t>
  </si>
  <si>
    <t>-581.213012791573 33.8826184548626 -585.602842314408</t>
  </si>
  <si>
    <t>-578.920517317562 21.0753465478337 -694.348312568063</t>
  </si>
  <si>
    <t>-566.787627672722 1.34972504135911 -844.892926909102</t>
  </si>
  <si>
    <t>-568.14340682276 41.3900502850765 -782.061076968026</t>
  </si>
  <si>
    <t>-554.474069756059 187.562282951639 -773.500818712423</t>
  </si>
  <si>
    <t>-445.692851972454 240.405104761127 -480.993554561453</t>
  </si>
  <si>
    <t>-245.604004236267 170.476107612912 -330.273831095515</t>
  </si>
  <si>
    <t>-512.392692933107 157.389369726381 -249.12019771446</t>
  </si>
  <si>
    <t>-501.399967519771 168.595830186593 206.304099036383</t>
  </si>
  <si>
    <t>-508.788736716612 166.598154993645 675.999309414521</t>
  </si>
  <si>
    <t>-352.733470083069 165.268194194398 757.168718878892</t>
  </si>
  <si>
    <t>-486.81328908227 -47.8297577712666 218.888871881238</t>
  </si>
  <si>
    <t>-584.47317026118 -119.096353142105 673.230007147534</t>
  </si>
  <si>
    <t>-426.52248329471 -120.127227583653 750.651127761262</t>
  </si>
  <si>
    <t>9763-20170724T164242.988250100.bin</t>
  </si>
  <si>
    <t>-518.748490389711 65.9364286521003 -241.557697916364</t>
  </si>
  <si>
    <t>-556.446524098138 59.7016775232479 -356.482951498775</t>
  </si>
  <si>
    <t>-573.462413850631 49.0651803898438 -476.014909310475</t>
  </si>
  <si>
    <t>-580.200337447512 37.5825733609725 -584.723733911258</t>
  </si>
  <si>
    <t>-578.376035090314 24.2024697241924 -693.408925866862</t>
  </si>
  <si>
    <t>-566.937360113277 3.59181096332757 -843.889349741179</t>
  </si>
  <si>
    <t>-567.755502618524 43.9711190094167 -781.265389590218</t>
  </si>
  <si>
    <t>-553.800556875448 190.179483270764 -773.933772872701</t>
  </si>
  <si>
    <t>-445.891546493323 245.948170341744 -481.646820400418</t>
  </si>
  <si>
    <t>-247.303333456402 174.821966062156 -329.509261417535</t>
  </si>
  <si>
    <t>-509.858854077255 162.161476346343 -249.069386627367</t>
  </si>
  <si>
    <t>-500.567731623065 171.977380779052 206.42479501536</t>
  </si>
  <si>
    <t>-509.236780541384 167.881715698586 676.024736951439</t>
  </si>
  <si>
    <t>-353.022636023706 164.734516669865 756.83776266431</t>
  </si>
  <si>
    <t>-482.249166955695 -44.3471576343419 219.647479504992</t>
  </si>
  <si>
    <t>-584.090560408142 -118.618897569065 672.414721967474</t>
  </si>
  <si>
    <t>-426.260247982252 -121.378889551815 750.038743859023</t>
  </si>
  <si>
    <t>9763-20170724T164243.020335500.bin</t>
  </si>
  <si>
    <t>-517.348452422649 68.4093032052299 -241.314555483029</t>
  </si>
  <si>
    <t>-555.124376358166 62.1952383303608 -356.215294323449</t>
  </si>
  <si>
    <t>-572.325572237356 51.3827610371439 -475.704958276883</t>
  </si>
  <si>
    <t>-579.274078941095 39.6686274159457 -584.375725369535</t>
  </si>
  <si>
    <t>-577.702421202991 25.9904200258075 -693.027828744639</t>
  </si>
  <si>
    <t>-566.657408302658 4.9007427144395 -843.47119598067</t>
  </si>
  <si>
    <t>-567.147143473154 45.458414180015 -780.959344193713</t>
  </si>
  <si>
    <t>-553.150614867452 191.671680771052 -774.14918099244</t>
  </si>
  <si>
    <t>-447.812810882219 249.097889860256 -481.245805206532</t>
  </si>
  <si>
    <t>-250.058848353529 177.038527905209 -328.462025848724</t>
  </si>
  <si>
    <t>-508.03887384872 164.461473024261 -248.972013320654</t>
  </si>
  <si>
    <t>-500.244748497002 173.464356993281 206.567078335682</t>
  </si>
  <si>
    <t>-509.316844144185 167.910386935575 676.146060546164</t>
  </si>
  <si>
    <t>-352.942944785379 164.847080143701 756.652753646057</t>
  </si>
  <si>
    <t>-479.948449001035 -42.438380796194 219.974697722343</t>
  </si>
  <si>
    <t>-584.021307731809 -117.961508359622 672.017324194679</t>
  </si>
  <si>
    <t>-426.272168999323 -121.971441825563 749.751662819122</t>
  </si>
  <si>
    <t>9763-20170724T164243.091541500.bin</t>
  </si>
  <si>
    <t>-515.001360083639 73.788697357354 -240.304002915907</t>
  </si>
  <si>
    <t>-552.709087591842 67.4072768097463 -355.217945288739</t>
  </si>
  <si>
    <t>-570.135073868028 56.3096315498428 -474.648929893351</t>
  </si>
  <si>
    <t>-577.403652426279 44.3143958385139 -583.268050741274</t>
  </si>
  <si>
    <t>-576.264793425405 30.3483295338193 -691.889084560097</t>
  </si>
  <si>
    <t>-565.933753944928 8.86532677198757 -842.327591874983</t>
  </si>
  <si>
    <t>-565.888152527029 49.5546647617684 -779.899239649642</t>
  </si>
  <si>
    <t>-551.04374042703 195.736679995873 -773.54752963934</t>
  </si>
  <si>
    <t>-452.440711466616 253.098344867054 -478.296324572687</t>
  </si>
  <si>
    <t>-256.795805195203 178.96975077751 -323.796925445677</t>
  </si>
  <si>
    <t>-504.916047851272 169.336608958446 -248.567124839257</t>
  </si>
  <si>
    <t>-500.218222277842 176.409149584314 207.04841520666</t>
  </si>
  <si>
    <t>-509.673911908424 168.207535095123 676.655502070681</t>
  </si>
  <si>
    <t>-352.999412335036 165.342042257293 756.58304787573</t>
  </si>
  <si>
    <t>-474.50804826577 -38.648622365269 221.211158622344</t>
  </si>
  <si>
    <t>-583.788647258183 -117.595212764208 671.219919497018</t>
  </si>
  <si>
    <t>-426.016885009849 -122.785103441556 748.838488643234</t>
  </si>
  <si>
    <t>9763-20170724T164243.124633200.bin</t>
  </si>
  <si>
    <t>-513.867420169648 76.8307961780975 -239.888051334431</t>
  </si>
  <si>
    <t>-551.829248630501 70.2887417739222 -354.709225794875</t>
  </si>
  <si>
    <t>-569.516240973993 59.0808798487624 -474.091500858668</t>
  </si>
  <si>
    <t>-577.019077282016 47.0151889584228 -582.687031904073</t>
  </si>
  <si>
    <t>-576.109703173561 33.0137903390111 -691.305537832511</t>
  </si>
  <si>
    <t>-566.09008320767 11.5232895641678 -841.764014349057</t>
  </si>
  <si>
    <t>-530.657192135535 0.949540134300889 -936.714994344219</t>
  </si>
  <si>
    <t>-565.822128816529 52.2029047257958 -779.329876585679</t>
  </si>
  <si>
    <t>-550.506597070623 198.278944570952 -772.713835071506</t>
  </si>
  <si>
    <t>-454.13662944185 255.106565878321 -476.623326708581</t>
  </si>
  <si>
    <t>-260.245895226524 179.074959260329 -320.842503515599</t>
  </si>
  <si>
    <t>-503.589383844425 172.205155291368 -248.385998189864</t>
  </si>
  <si>
    <t>-500.218928029197 178.312237462238 207.255385017566</t>
  </si>
  <si>
    <t>-509.820924327807 168.406541017662 676.860151772676</t>
  </si>
  <si>
    <t>-353.116635024347 164.169549562018 756.668188504734</t>
  </si>
  <si>
    <t>-471.615693640586 -36.024283414632 221.792736832855</t>
  </si>
  <si>
    <t>-583.822217265066 -116.897837719469 670.76243661766</t>
  </si>
  <si>
    <t>-426.078307649906 -123.920731645576 748.293293376888</t>
  </si>
  <si>
    <t>9763-20170724T164243.192818400.bin</t>
  </si>
  <si>
    <t>-512.35348166103 82.5080031588506 -238.777521724564</t>
  </si>
  <si>
    <t>-550.365263043301 75.2374342724593 -353.538296462804</t>
  </si>
  <si>
    <t>-568.122041164673 63.8390722231282 -472.892222988617</t>
  </si>
  <si>
    <t>-575.692259100224 51.8274667717178 -581.488919158697</t>
  </si>
  <si>
    <t>-574.851231201628 38.1116176195448 -690.144385800725</t>
  </si>
  <si>
    <t>-564.92383958854 17.2622702970503 -840.699230056431</t>
  </si>
  <si>
    <t>-529.506022238548 6.64160329529601 -935.650615056651</t>
  </si>
  <si>
    <t>-564.500192999641 57.6589651982171 -778.08255337907</t>
  </si>
  <si>
    <t>-547.975694424628 203.580523779671 -770.819670813317</t>
  </si>
  <si>
    <t>-453.138963275569 256.968331415653 -473.596081844582</t>
  </si>
  <si>
    <t>-263.506403493068 179.80568461709 -313.198182075781</t>
  </si>
  <si>
    <t>-501.71174131973 177.216345162196 -248.114785077738</t>
  </si>
  <si>
    <t>-500.015437407654 181.482846000377 207.55678219244</t>
  </si>
  <si>
    <t>-509.761432142382 168.030960966881 677.101126989361</t>
  </si>
  <si>
    <t>-353.105830854773 164.507875111417 757.039258294852</t>
  </si>
  <si>
    <t>-466.168476327799 -31.0709195007328 223.06341557419</t>
  </si>
  <si>
    <t>-583.720903720764 -116.081491312599 669.727368749192</t>
  </si>
  <si>
    <t>-425.985291291855 -125.139205854933 747.063957392463</t>
  </si>
  <si>
    <t>9763-20170724T164243.223898100.bin</t>
  </si>
  <si>
    <t>-511.758588313308 85.1766559284756 -238.34644689981</t>
  </si>
  <si>
    <t>-549.916160534506 77.6367460545707 -353.041486974287</t>
  </si>
  <si>
    <t>-567.731887792063 66.2406438233904 -472.386811055745</t>
  </si>
  <si>
    <t>-575.316082196143 54.3468286023785 -580.995546684308</t>
  </si>
  <si>
    <t>-574.447597010731 40.8679619352147 -689.680483712808</t>
  </si>
  <si>
    <t>-564.437243049831 20.4749462466966 -840.29237470839</t>
  </si>
  <si>
    <t>-528.989579958874 10.0011854946833 -935.248999804206</t>
  </si>
  <si>
    <t>-564.022731571147 60.6780171025175 -777.551158864102</t>
  </si>
  <si>
    <t>-547.107508454455 206.530062444117 -769.814073379268</t>
  </si>
  <si>
    <t>-451.689388739539 257.635612276756 -472.375356135372</t>
  </si>
  <si>
    <t>-263.657691382291 181.764734507009 -309.495745728965</t>
  </si>
  <si>
    <t>-501.011157094299 179.670844290501 -248.08457903834</t>
  </si>
  <si>
    <t>-499.806115178684 182.969240835981 207.596631509506</t>
  </si>
  <si>
    <t>-509.530962541775 167.788246218088 676.976535309907</t>
  </si>
  <si>
    <t>-353.136049421266 163.813703369867 757.40258642499</t>
  </si>
  <si>
    <t>-463.523847090277 -28.7906599297717 223.556546229692</t>
  </si>
  <si>
    <t>-583.591878262054 -115.830954395418 669.083922080961</t>
  </si>
  <si>
    <t>-425.936225442555 -125.346719935991 746.528390603481</t>
  </si>
  <si>
    <t>9763-20170724T164243.287607900.bin</t>
  </si>
  <si>
    <t>-510.546778705815 90.1203190543476 -238.357360710937</t>
  </si>
  <si>
    <t>-548.809847460971 81.9403833301085 -352.973343445387</t>
  </si>
  <si>
    <t>-566.649513086981 70.483383350148 -472.309135724152</t>
  </si>
  <si>
    <t>-574.217766599068 58.7757667512988 -580.93934616142</t>
  </si>
  <si>
    <t>-573.292827130509 45.7280692032315 -689.67636832737</t>
  </si>
  <si>
    <t>-563.159290658735 26.1920546064969 -840.393513571535</t>
  </si>
  <si>
    <t>-527.743679681666 16.1633025624789 -935.410098787656</t>
  </si>
  <si>
    <t>-562.732738283119 66.0283451788802 -777.418829036564</t>
  </si>
  <si>
    <t>-544.807231693059 211.723910320878 -768.598322258017</t>
  </si>
  <si>
    <t>-447.162374318154 258.914622594433 -471.235433693319</t>
  </si>
  <si>
    <t>-262.940726252046 184.853999263958 -303.248902828559</t>
  </si>
  <si>
    <t>-572.553409579417 3.64396420626488 -769.99287644074</t>
  </si>
  <si>
    <t>-499.294527531706 184.472263902335 -248.903959746138</t>
  </si>
  <si>
    <t>-499.216757127982 186.226956139918 206.787309324182</t>
  </si>
  <si>
    <t>-508.704123380181 168.267650653071 675.934787764147</t>
  </si>
  <si>
    <t>-353.242196708389 162.956054716353 758.074198988243</t>
  </si>
  <si>
    <t>-459.414127782313 -24.6952410266988 223.702844319423</t>
  </si>
  <si>
    <t>-583.399720805042 -115.23624120577 667.612712094855</t>
  </si>
  <si>
    <t>-425.938765695019 -125.871809940782 745.307245357355</t>
  </si>
  <si>
    <t>9763-20170724T164243.322699600.bin</t>
  </si>
  <si>
    <t>-509.861614481333 92.1762480216486 -238.423244580443</t>
  </si>
  <si>
    <t>-548.031869612793 83.8270360583504 -353.057948122517</t>
  </si>
  <si>
    <t>-565.770504776254 72.4113867022322 -472.412941855063</t>
  </si>
  <si>
    <t>-573.244057745332 60.8270024344332 -581.062787483395</t>
  </si>
  <si>
    <t>-572.220915295729 47.9890590475578 -689.824000855042</t>
  </si>
  <si>
    <t>-561.946654042602 28.8347348241552 -840.580550594631</t>
  </si>
  <si>
    <t>-526.561624243962 19.0349203139851 -935.632445750888</t>
  </si>
  <si>
    <t>-561.497727993672 68.4993095049243 -777.497868815476</t>
  </si>
  <si>
    <t>-542.775765158547 214.06569996601 -768.242393233237</t>
  </si>
  <si>
    <t>-445.100606585448 260.336214277902 -470.744959652068</t>
  </si>
  <si>
    <t>-261.797535196766 187.52457873315 -301.214651400652</t>
  </si>
  <si>
    <t>-571.487648914243 6.12055945552767 -770.25307685474</t>
  </si>
  <si>
    <t>-498.351385705748 186.305564366231 -249.204895345126</t>
  </si>
  <si>
    <t>-499.201323760341 187.382362324029 206.487749491427</t>
  </si>
  <si>
    <t>-508.424646707531 168.125359268574 675.669341928711</t>
  </si>
  <si>
    <t>-353.153416532834 163.857138964183 758.229245907986</t>
  </si>
  <si>
    <t>-457.866488144397 -23.2633032548446 223.726093679869</t>
  </si>
  <si>
    <t>-583.40152110246 -115.151506820677 666.959885596388</t>
  </si>
  <si>
    <t>-425.970740583614 -126.405247804888 744.628449863998</t>
  </si>
  <si>
    <t>9763-20170724T164243.389382300.bin</t>
  </si>
  <si>
    <t>-508.927311256247 96.4069677888275 -238.552391599162</t>
  </si>
  <si>
    <t>-546.812778609275 88.0293262900389 -353.279496583018</t>
  </si>
  <si>
    <t>-564.325139566615 76.7210909206903 -472.678130203582</t>
  </si>
  <si>
    <t>-571.619873698227 65.2951650567276 -581.356908422969</t>
  </si>
  <si>
    <t>-570.443534752208 52.6818015839509 -690.142763821987</t>
  </si>
  <si>
    <t>-559.982788121379 33.9123583544245 -840.935018964744</t>
  </si>
  <si>
    <t>-524.797681214628 24.2703439968986 -936.077004793777</t>
  </si>
  <si>
    <t>-559.452591668278 73.3914313436916 -777.736531266967</t>
  </si>
  <si>
    <t>-539.691365303011 218.776546002272 -767.805271513396</t>
  </si>
  <si>
    <t>-441.999240951626 264.250143758685 -470.190498253298</t>
  </si>
  <si>
    <t>-260.343382662703 190.248414320631 -299.406993770778</t>
  </si>
  <si>
    <t>-569.770035911528 11.0430672790758 -770.691676936525</t>
  </si>
  <si>
    <t>-496.768330454979 190.514211927723 -249.628331067808</t>
  </si>
  <si>
    <t>-499.52643047279 189.994235142101 206.05768598599</t>
  </si>
  <si>
    <t>-508.130349988857 168.580098801369 675.188708845629</t>
  </si>
  <si>
    <t>-353.302268435621 162.718607991782 758.480042494467</t>
  </si>
  <si>
    <t>-520.890814911512 2.38443018462006 -226.768391419203</t>
  </si>
  <si>
    <t>-455.276336097799 -20.7538509695689 223.583672940221</t>
  </si>
  <si>
    <t>-583.570545606 -114.791771908454 665.659835353173</t>
  </si>
  <si>
    <t>-426.131130167739 -127.048473535317 743.158982512681</t>
  </si>
  <si>
    <t>9763-20170724T164243.422471500.bin</t>
  </si>
  <si>
    <t>-508.574109893119 98.3090582063851 -238.509512829161</t>
  </si>
  <si>
    <t>-546.550028847371 89.9762180724855 -353.209992497098</t>
  </si>
  <si>
    <t>-564.017806547393 78.753714145635 -472.623150983955</t>
  </si>
  <si>
    <t>-571.21488392385 67.4276313177093 -581.318897446635</t>
  </si>
  <si>
    <t>-569.882691709409 54.9408714294125 -690.117565758479</t>
  </si>
  <si>
    <t>-559.144701331192 36.378906460017 -840.916020805812</t>
  </si>
  <si>
    <t>-523.997705514117 26.7879878234958 -936.077471283617</t>
  </si>
  <si>
    <t>-558.65253288014 75.7587298839796 -777.655378820582</t>
  </si>
  <si>
    <t>-538.393838568558 221.038433191859 -767.392911464266</t>
  </si>
  <si>
    <t>-440.989427913638 266.164211186262 -469.630936966471</t>
  </si>
  <si>
    <t>-259.531953611303 191.096249360425 -299.102208000317</t>
  </si>
  <si>
    <t>-569.13932356512 13.4252638609623 -770.729473400772</t>
  </si>
  <si>
    <t>-496.093808736203 192.124480042804 -249.6357404793</t>
  </si>
  <si>
    <t>-499.697365767356 190.90851501239 206.043049836465</t>
  </si>
  <si>
    <t>-508.005505300446 168.091373296613 675.215986678729</t>
  </si>
  <si>
    <t>-353.124563383125 163.593663534029 758.493651781094</t>
  </si>
  <si>
    <t>-520.938178652085 4.51660228924091 -226.573630942091</t>
  </si>
  <si>
    <t>-454.181507027009 -19.564220680874 223.561215884617</t>
  </si>
  <si>
    <t>-583.661077210396 -114.649505320904 664.993699484923</t>
  </si>
  <si>
    <t>-426.258673142421 -128.189583719184 742.354191077613</t>
  </si>
  <si>
    <t>9763-20170724T164243.494693800.bin</t>
  </si>
  <si>
    <t>-508.273339000745 102.577836873247 -238.337045999949</t>
  </si>
  <si>
    <t>-546.14247764373 94.2400348183037 -353.072352991279</t>
  </si>
  <si>
    <t>-563.262913447785 83.1998282747933 -472.552926108248</t>
  </si>
  <si>
    <t>-570.046462742544 72.1217231840406 -581.300820870786</t>
  </si>
  <si>
    <t>-568.201711324657 59.9718722204573 -690.130144664514</t>
  </si>
  <si>
    <t>-556.648937659388 41.9754122618341 -840.936909121947</t>
  </si>
  <si>
    <t>-521.391369208205 32.5353561904742 -936.072428532112</t>
  </si>
  <si>
    <t>-556.375559781996 81.0979075585398 -777.515356170345</t>
  </si>
  <si>
    <t>-534.825423036676 226.136228067481 -766.331900598689</t>
  </si>
  <si>
    <t>-438.134681660237 269.661097686539 -468.099410306591</t>
  </si>
  <si>
    <t>-255.924019394947 193.211872606884 -298.993410376776</t>
  </si>
  <si>
    <t>-567.145780418735 18.778650087273 -770.90367393884</t>
  </si>
  <si>
    <t>-495.262985734725 196.316145690196 -249.610707416198</t>
  </si>
  <si>
    <t>-500.371963778539 193.521680159411 206.04675296351</t>
  </si>
  <si>
    <t>-507.986374820059 168.368548168432 675.022194949574</t>
  </si>
  <si>
    <t>-353.279696690695 162.529297100391 758.540225610566</t>
  </si>
  <si>
    <t>-521.177735476035 8.95606910595512 -226.235495775726</t>
  </si>
  <si>
    <t>-452.492203095522 -17.2010294068252 223.493124807341</t>
  </si>
  <si>
    <t>-583.923131678678 -114.239133805854 663.808398816149</t>
  </si>
  <si>
    <t>-426.391086119388 -128.940151854551 740.691850396022</t>
  </si>
  <si>
    <t>9763-20170724T164243.523772100.bin</t>
  </si>
  <si>
    <t>-508.285587627645 104.730869101295 -238.234069287708</t>
  </si>
  <si>
    <t>-545.920149051773 96.3367721579916 -353.042481984757</t>
  </si>
  <si>
    <t>-562.75955936842 85.365158358201 -472.56912659693</t>
  </si>
  <si>
    <t>-569.271752589187 74.4031911184543 -581.34546630736</t>
  </si>
  <si>
    <t>-567.13901408096 62.4260417189515 -690.188702566473</t>
  </si>
  <si>
    <t>-555.169545836424 44.730569030095 -840.998559230028</t>
  </si>
  <si>
    <t>-519.791223923048 35.3583288526763 -936.095968383801</t>
  </si>
  <si>
    <t>-555.022728506685 83.7184290437386 -777.493789238723</t>
  </si>
  <si>
    <t>-533.006247729161 228.629143675071 -765.767589469205</t>
  </si>
  <si>
    <t>-436.578662930584 270.958158865951 -467.277761752523</t>
  </si>
  <si>
    <t>-253.46228853779 193.68900048214 -299.527996922519</t>
  </si>
  <si>
    <t>-565.908580159554 21.4021150154197 -771.045893160089</t>
  </si>
  <si>
    <t>-494.857932826564 198.314648016316 -249.731807050961</t>
  </si>
  <si>
    <t>-500.633673631925 194.795914924002 205.912750750025</t>
  </si>
  <si>
    <t>-507.742419334176 168.404660468504 674.750832554597</t>
  </si>
  <si>
    <t>-353.223513006685 162.638982159284 758.620836662789</t>
  </si>
  <si>
    <t>-521.412964731666 11.1392933731256 -226.068283839573</t>
  </si>
  <si>
    <t>-451.568454062722 -15.8214934030064 223.434194626132</t>
  </si>
  <si>
    <t>-584.015791223096 -114.017379173254 663.123902368405</t>
  </si>
  <si>
    <t>-426.465399176564 -129.070475188937 739.901461763422</t>
  </si>
  <si>
    <t>9763-20170724T164243.585948000.bin</t>
  </si>
  <si>
    <t>-507.946580793377 109.18411751414 -238.783789965376</t>
  </si>
  <si>
    <t>-545.381130176077 100.612395779541 -353.644522006969</t>
  </si>
  <si>
    <t>-561.911127926785 89.7547727795499 -473.22471426692</t>
  </si>
  <si>
    <t>-568.099363122493 79.021636763341 -582.042762923899</t>
  </si>
  <si>
    <t>-565.598548194644 67.4040180835438 -690.917167753778</t>
  </si>
  <si>
    <t>-553.072139292713 50.3484590372648 -841.755509225362</t>
  </si>
  <si>
    <t>-517.440663078958 41.1864526472934 -936.77880387276</t>
  </si>
  <si>
    <t>-553.100149321704 89.0565810516117 -778.079698891498</t>
  </si>
  <si>
    <t>-530.504848234635 233.811578535182 -765.392840411033</t>
  </si>
  <si>
    <t>-433.525429938577 274.040875762549 -466.791496442363</t>
  </si>
  <si>
    <t>-249.460634753101 195.946101357495 -300.468230504763</t>
  </si>
  <si>
    <t>-564.129207948724 26.7334526136983 -771.948701986447</t>
  </si>
  <si>
    <t>-493.963707599993 202.802629820069 -250.795815870188</t>
  </si>
  <si>
    <t>-500.975666961412 197.726366541582 204.816577103385</t>
  </si>
  <si>
    <t>-506.562879793227 169.494357877165 673.151855590779</t>
  </si>
  <si>
    <t>-353.276929479507 162.033001788397 759.124328266752</t>
  </si>
  <si>
    <t>-521.703441502994 15.6389257595222 -226.2741552414</t>
  </si>
  <si>
    <t>-449.305320713988 -13.2566053522873 222.703892829107</t>
  </si>
  <si>
    <t>-583.816709022575 -114.02196283549 661.191612592832</t>
  </si>
  <si>
    <t>-426.504878761598 -129.313872163444 738.409776859507</t>
  </si>
  <si>
    <t>9763-20170724T164243.622075700.bin</t>
  </si>
  <si>
    <t>-507.676754096617 111.515351247354 -239.365427975005</t>
  </si>
  <si>
    <t>-545.053353733743 102.865743454327 -354.239173666093</t>
  </si>
  <si>
    <t>-561.440421200011 92.0396877273971 -473.841991891132</t>
  </si>
  <si>
    <t>-567.464459770281 81.3826872190144 -582.676678026621</t>
  </si>
  <si>
    <t>-564.76482599458 69.891131182932 -691.559763554289</t>
  </si>
  <si>
    <t>-551.92665904672 53.06458026537 -842.397483856044</t>
  </si>
  <si>
    <t>-516.056199479388 44.0210026722882 -937.342217130494</t>
  </si>
  <si>
    <t>-552.065552838942 91.6724490912586 -778.661103132612</t>
  </si>
  <si>
    <t>-529.123564327274 236.318195687131 -765.576461912079</t>
  </si>
  <si>
    <t>-431.600312797211 275.324393940141 -466.989798142477</t>
  </si>
  <si>
    <t>-247.450157882603 197.765219688139 -300.510681176049</t>
  </si>
  <si>
    <t>-563.148690009832 29.3471108135843 -772.651809974991</t>
  </si>
  <si>
    <t>-493.492301818121 205.128138368928 -251.551196160799</t>
  </si>
  <si>
    <t>-501.060846896943 199.202495679978 204.042061569727</t>
  </si>
  <si>
    <t>-506.026832895771 169.900517148497 672.408205397697</t>
  </si>
  <si>
    <t>-353.294000873403 162.003810170803 759.320968815959</t>
  </si>
  <si>
    <t>-521.621003686278 17.9886475480555 -226.732586112504</t>
  </si>
  <si>
    <t>-448.330614186748 -11.876193709439 222.037081051555</t>
  </si>
  <si>
    <t>-583.753106391112 -113.891618132845 660.139772349144</t>
  </si>
  <si>
    <t>-426.654542957224 -129.713543789013 737.684673902215</t>
  </si>
  <si>
    <t>9763-20170724T164243.692250000.bin</t>
  </si>
  <si>
    <t>-507.377679714889 116.073913574326 -239.869467784332</t>
  </si>
  <si>
    <t>-544.633647984979 107.212862011161 -354.766214332625</t>
  </si>
  <si>
    <t>-560.790749255729 96.2820716511332 -474.390883618343</t>
  </si>
  <si>
    <t>-566.562478216709 85.5819820484886 -583.235044713288</t>
  </si>
  <si>
    <t>-563.566700239074 74.1045835855125 -692.111718508684</t>
  </si>
  <si>
    <t>-550.27199431773 57.3620930215018 -842.919426316882</t>
  </si>
  <si>
    <t>-513.928819502194 48.364466947756 -937.688630799373</t>
  </si>
  <si>
    <t>-550.51741929725 95.9198121192836 -779.152929545498</t>
  </si>
  <si>
    <t>-527.457433502727 240.569498897017 -765.941040703989</t>
  </si>
  <si>
    <t>-428.900828968731 277.810376534947 -467.468348826162</t>
  </si>
  <si>
    <t>-245.345047143578 199.654167741817 -300.612269540241</t>
  </si>
  <si>
    <t>-561.791578844505 33.6204155270041 -773.230452567174</t>
  </si>
  <si>
    <t>-492.837883035313 209.475760613884 -252.198612882503</t>
  </si>
  <si>
    <t>-501.648795136084 202.049905840223 203.350421478797</t>
  </si>
  <si>
    <t>-505.569917530603 169.93565807282 671.952010691056</t>
  </si>
  <si>
    <t>-353.115004468773 161.76500341591 759.326290370293</t>
  </si>
  <si>
    <t>-521.965315604012 22.6492023950735 -226.72516056053</t>
  </si>
  <si>
    <t>-445.731271226379 -9.65196784268698 221.384964587032</t>
  </si>
  <si>
    <t>-583.7437473734 -114.107957124669 658.243496164972</t>
  </si>
  <si>
    <t>-426.852927311152 -130.504721785987 736.089007458388</t>
  </si>
  <si>
    <t>9763-20170724T164243.725337800.bin</t>
  </si>
  <si>
    <t>-507.2883516126 118.509451914648 -239.816584798262</t>
  </si>
  <si>
    <t>-544.543921795997 109.53720002345 -354.704888096898</t>
  </si>
  <si>
    <t>-560.641925884593 98.4430281342468 -474.322380091237</t>
  </si>
  <si>
    <t>-566.336073553891 87.5773836044981 -583.154214203494</t>
  </si>
  <si>
    <t>-563.238824398543 75.9191850027489 -692.008882582587</t>
  </si>
  <si>
    <t>-549.778730549232 58.9115089327321 -842.772277017932</t>
  </si>
  <si>
    <t>-513.321656315278 49.792258308408 -937.485922428214</t>
  </si>
  <si>
    <t>-550.009809927558 97.5668368511767 -779.064745516004</t>
  </si>
  <si>
    <t>-527.128347559896 242.268022728286 -766.214297125785</t>
  </si>
  <si>
    <t>-428.856655342501 279.092885208485 -467.596135988655</t>
  </si>
  <si>
    <t>-245.64396870167 200.622946550114 -300.510379856324</t>
  </si>
  <si>
    <t>-561.459002158691 35.3068881761696 -773.063440233746</t>
  </si>
  <si>
    <t>-492.460435629955 211.656091259487 -252.228374163648</t>
  </si>
  <si>
    <t>-502.073621500761 203.433868835853 203.290732958541</t>
  </si>
  <si>
    <t>-505.512669351709 169.917436081196 671.871480290206</t>
  </si>
  <si>
    <t>-352.985912692329 162.296928421036 759.169981051645</t>
  </si>
  <si>
    <t>-522.113818075106 25.3545674621899 -226.562668287093</t>
  </si>
  <si>
    <t>-444.649756034295 -8.07845994022949 221.253473992187</t>
  </si>
  <si>
    <t>-583.861696623111 -113.699486035456 657.381873813838</t>
  </si>
  <si>
    <t>-427.166533824712 -131.951417934395 735.208607328065</t>
  </si>
  <si>
    <t>9763-20170724T164243.789537400.bin</t>
  </si>
  <si>
    <t>-506.440558300187 122.9337926875 -239.297004262505</t>
  </si>
  <si>
    <t>-543.914895613306 113.788014306144 -354.100484979109</t>
  </si>
  <si>
    <t>-560.204794541617 102.355786871857 -473.660133423736</t>
  </si>
  <si>
    <t>-566.059376537418 91.1220402872129 -582.445974821936</t>
  </si>
  <si>
    <t>-563.10836221935 79.0370074978879 -691.258111393116</t>
  </si>
  <si>
    <t>-549.836240708125 61.3780040583177 -841.963238191563</t>
  </si>
  <si>
    <t>-513.342722685735 51.8073876705514 -936.618387921693</t>
  </si>
  <si>
    <t>-549.789778809584 100.27333666617 -778.401753191395</t>
  </si>
  <si>
    <t>-526.710126035607 245.013888547263 -766.249148080697</t>
  </si>
  <si>
    <t>-431.296314305019 282.220087523619 -466.752732849757</t>
  </si>
  <si>
    <t>-249.517661280266 203.5902068363 -298.182588663275</t>
  </si>
  <si>
    <t>-561.627658105339 38.1098128196984 -772.16013048954</t>
  </si>
  <si>
    <t>-491.309697914024 215.901920671858 -251.803724921448</t>
  </si>
  <si>
    <t>-502.64648545743 206.265086302307 203.647886334258</t>
  </si>
  <si>
    <t>-506.086356792643 170.263704445761 672.384840651035</t>
  </si>
  <si>
    <t>-352.890901155945 163.198898793966 758.551819997851</t>
  </si>
  <si>
    <t>-521.531753361335 30.0701861918409 -225.814083951445</t>
  </si>
  <si>
    <t>-442.482881962441 -5.35352096261498 221.571798148461</t>
  </si>
  <si>
    <t>-584.083019119342 -113.251423259684 655.998052618866</t>
  </si>
  <si>
    <t>-427.321838718866 -132.332111333553 733.492348971398</t>
  </si>
  <si>
    <t>9763-20170724T164243.821619500.bin</t>
  </si>
  <si>
    <t>-506.259549386622 125.405275911903 -238.629843479736</t>
  </si>
  <si>
    <t>-543.613600912335 116.098108124901 -353.459611995298</t>
  </si>
  <si>
    <t>-559.895385148176 104.481446529325 -473.002456883271</t>
  </si>
  <si>
    <t>-565.790198420599 93.0726473594584 -581.767957342101</t>
  </si>
  <si>
    <t>-562.927002848506 80.8053509833923 -690.562190453897</t>
  </si>
  <si>
    <t>-549.825968421423 62.8860525693113 -841.251563598592</t>
  </si>
  <si>
    <t>-513.413209034037 53.1003543010553 -935.915868342084</t>
  </si>
  <si>
    <t>-549.630192413449 101.877174519981 -777.748950519401</t>
  </si>
  <si>
    <t>-526.433288054568 246.590204645936 -765.853785232354</t>
  </si>
  <si>
    <t>-432.90552901739 284.843125458091 -465.894639168558</t>
  </si>
  <si>
    <t>-252.254849096249 206.40219322538 -296.028783894604</t>
  </si>
  <si>
    <t>-561.615333736054 39.7523727049826 -771.403305400709</t>
  </si>
  <si>
    <t>-490.980326737922 218.12109104422 -251.209630552817</t>
  </si>
  <si>
    <t>-503.220046574307 207.836985212881 204.204600085638</t>
  </si>
  <si>
    <t>-506.77225936186 170.502567292753 673.032301222122</t>
  </si>
  <si>
    <t>-352.982111770996 163.094084910299 758.104199307122</t>
  </si>
  <si>
    <t>-521.468176231624 32.9894299334797 -225.170611633049</t>
  </si>
  <si>
    <t>-441.824682844456 -3.94496033752461 221.987559505735</t>
  </si>
  <si>
    <t>-584.151274222748 -112.95545173279 655.555651027994</t>
  </si>
  <si>
    <t>-427.436238067991 -132.978563508676 732.905353147642</t>
  </si>
  <si>
    <t>9763-20170724T164243.894865900.bin</t>
  </si>
  <si>
    <t>-505.666727401457 129.663610969798 -237.398241547292</t>
  </si>
  <si>
    <t>-543.260094753294 120.227903362796 -352.13923025116</t>
  </si>
  <si>
    <t>-559.682885885148 108.409017091823 -471.643254323596</t>
  </si>
  <si>
    <t>-565.66285462789 96.7829756737962 -580.381049072443</t>
  </si>
  <si>
    <t>-562.842255312956 84.2619492202509 -689.147439763281</t>
  </si>
  <si>
    <t>-549.756459521809 65.9497245658222 -839.790766975194</t>
  </si>
  <si>
    <t>-513.444538109356 55.7737071095839 -934.452649398302</t>
  </si>
  <si>
    <t>-549.422081076506 105.082034073111 -776.375739280555</t>
  </si>
  <si>
    <t>-526.683454562858 249.943057039917 -765.138825842926</t>
  </si>
  <si>
    <t>-439.011172495751 290.605215113678 -463.731438543624</t>
  </si>
  <si>
    <t>-260.229522982824 212.31811001813 -291.829460265123</t>
  </si>
  <si>
    <t>-561.670912942055 43.0225738065127 -769.89577343028</t>
  </si>
  <si>
    <t>-490.58603778709 222.063985958822 -250.017333775996</t>
  </si>
  <si>
    <t>-503.836160289185 210.231414494052 205.331023229642</t>
  </si>
  <si>
    <t>-507.689651093889 170.617604996568 673.94551425107</t>
  </si>
  <si>
    <t>-352.888349470191 164.851027292158 757.293067398854</t>
  </si>
  <si>
    <t>-520.554926523263 37.4505928804336 -224.033170385615</t>
  </si>
  <si>
    <t>-441.048647107765 -1.09017226832964 223.013840432094</t>
  </si>
  <si>
    <t>-584.229911154055 -112.59682389658 655.169706314269</t>
  </si>
  <si>
    <t>-427.597442177964 -133.660649298219 732.41013130262</t>
  </si>
  <si>
    <t>9763-20170724T164243.921927400.bin</t>
  </si>
  <si>
    <t>-505.28830036764 131.397193981774 -237.016132400157</t>
  </si>
  <si>
    <t>-543.001419623692 121.889304368173 -351.711954401658</t>
  </si>
  <si>
    <t>-559.439411927209 110.003307265913 -471.207089020296</t>
  </si>
  <si>
    <t>-565.389484836316 98.3118339711828 -579.939566002009</t>
  </si>
  <si>
    <t>-562.495798474092 85.7165304813208 -688.695456602482</t>
  </si>
  <si>
    <t>-549.264375356647 67.2884213296412 -839.311964282049</t>
  </si>
  <si>
    <t>-512.881164637803 56.9087260073296 -933.92432575798</t>
  </si>
  <si>
    <t>-548.914863482293 106.455203204896 -775.918344643545</t>
  </si>
  <si>
    <t>-526.300410433751 251.310562879605 -764.81220856678</t>
  </si>
  <si>
    <t>-441.359055769895 293.457147092415 -462.827463717338</t>
  </si>
  <si>
    <t>-262.938509684478 216.382625765276 -290.004729040085</t>
  </si>
  <si>
    <t>-561.322893394571 44.4293574084798 -769.419463607892</t>
  </si>
  <si>
    <t>-490.198337398146 223.987848898426 -249.713869054516</t>
  </si>
  <si>
    <t>-503.646030271217 211.622874270957 205.614496536871</t>
  </si>
  <si>
    <t>-507.978674057596 171.497246632725 674.024095315129</t>
  </si>
  <si>
    <t>-353.071078921345 164.444043215451 757.074647246294</t>
  </si>
  <si>
    <t>-520.189656786783 38.8904211881635 -223.616428253405</t>
  </si>
  <si>
    <t>-440.79480662555 0.188638585030979 223.43645207135</t>
  </si>
  <si>
    <t>-584.099366688925 -112.986153172385 654.968605901716</t>
  </si>
  <si>
    <t>-427.283971723013 -132.518221231455 732.240455566376</t>
  </si>
  <si>
    <t>9763-20170724T164243.993011900.bin</t>
  </si>
  <si>
    <t>-504.449247721929 134.048372585279 -236.714488414288</t>
  </si>
  <si>
    <t>-542.28774853546 124.540589994353 -351.368972085502</t>
  </si>
  <si>
    <t>-558.734623182349 112.766300599772 -470.873976415323</t>
  </si>
  <si>
    <t>-564.644174252678 101.211217588681 -579.623294852957</t>
  </si>
  <si>
    <t>-561.661489516225 88.7819530954798 -688.395756604641</t>
  </si>
  <si>
    <t>-548.256813938819 70.6098023824039 -839.028109918308</t>
  </si>
  <si>
    <t>-511.542423855342 60.053103179844 -933.492796857311</t>
  </si>
  <si>
    <t>-547.898754458534 109.65330014199 -775.558470621742</t>
  </si>
  <si>
    <t>-524.656452305403 254.411564654754 -764.073958807007</t>
  </si>
  <si>
    <t>-445.748737124137 302.17577202062 -461.289766130009</t>
  </si>
  <si>
    <t>-268.570607122294 226.316062674927 -286.660876994354</t>
  </si>
  <si>
    <t>-560.477184937476 47.6475466833639 -769.197444365689</t>
  </si>
  <si>
    <t>-489.122036674636 226.523985375971 -249.506960009006</t>
  </si>
  <si>
    <t>-502.362897325234 213.170619092598 205.799575745301</t>
  </si>
  <si>
    <t>-507.848060032035 171.419479639387 674.09163814968</t>
  </si>
  <si>
    <t>-352.891062531889 164.495911415435 757.06089966189</t>
  </si>
  <si>
    <t>-519.509600424728 41.7453692772002 -223.340410864586</t>
  </si>
  <si>
    <t>-440.449234326308 2.76907048202565 223.747902979838</t>
  </si>
  <si>
    <t>-583.886769747126 -112.822268208461 654.556819331603</t>
  </si>
  <si>
    <t>-427.27325232694 -133.086989179952 732.049106262544</t>
  </si>
  <si>
    <t>9763-20170724T164244.025096800.bin</t>
  </si>
  <si>
    <t>-504.137930762364 135.113984022775 -236.658950479691</t>
  </si>
  <si>
    <t>-541.983855849625 125.64434282491 -351.314166934506</t>
  </si>
  <si>
    <t>-558.398691199492 113.86850493092 -470.823429704618</t>
  </si>
  <si>
    <t>-564.263178920831 102.295492445494 -579.573151982377</t>
  </si>
  <si>
    <t>-561.219508826848 89.8317242680989 -688.340060257651</t>
  </si>
  <si>
    <t>-547.714089185102 71.5946734459521 -838.955533565301</t>
  </si>
  <si>
    <t>-510.868655912617 61.0007987364936 -933.365122804525</t>
  </si>
  <si>
    <t>-547.37796407657 110.661583710171 -775.500238936223</t>
  </si>
  <si>
    <t>-524.297496959095 255.470502485956 -764.029758141553</t>
  </si>
  <si>
    <t>-448.300408184935 306.043170926799 -460.957185253575</t>
  </si>
  <si>
    <t>-271.916215119021 231.531715389217 -284.949399675002</t>
  </si>
  <si>
    <t>-560.001650186442 48.6663863905808 -769.125670919011</t>
  </si>
  <si>
    <t>-488.666015420599 227.564292682744 -249.4378389505</t>
  </si>
  <si>
    <t>-501.815010969862 213.786897436808 205.858671839065</t>
  </si>
  <si>
    <t>-507.83659406733 171.570137038332 674.126306321016</t>
  </si>
  <si>
    <t>-352.858247400207 165.11706589646 757.093616367775</t>
  </si>
  <si>
    <t>-519.325633925891 42.696153246212 -223.331746050849</t>
  </si>
  <si>
    <t>-440.518374300239 3.66464104697391 223.796510954238</t>
  </si>
  <si>
    <t>-583.77585753935 -113.030039028917 654.432505332739</t>
  </si>
  <si>
    <t>-427.168410130762 -133.116337669008 731.983629251481</t>
  </si>
  <si>
    <t>9763-20170724T164244.089225200.bin</t>
  </si>
  <si>
    <t>-503.733555078733 136.443547741089 -236.682628984457</t>
  </si>
  <si>
    <t>-541.74226561773 127.216379766398 -351.303682622185</t>
  </si>
  <si>
    <t>-558.141721343172 115.402351783781 -470.81120649743</t>
  </si>
  <si>
    <t>-563.916642421117 103.69478474067 -579.551487914025</t>
  </si>
  <si>
    <t>-560.707416973743 91.0055539411196 -688.287520868143</t>
  </si>
  <si>
    <t>-546.893521442018 72.3689777041979 -838.826068211769</t>
  </si>
  <si>
    <t>-509.774777176585 61.7784662606609 -933.12885107474</t>
  </si>
  <si>
    <t>-546.730885875846 111.612461038421 -775.479107190473</t>
  </si>
  <si>
    <t>-524.279310894811 256.478557229377 -764.019692092898</t>
  </si>
  <si>
    <t>-454.80441129568 312.675414075495 -460.372923569581</t>
  </si>
  <si>
    <t>-281.14506614525 243.015068900589 -279.72982812932</t>
  </si>
  <si>
    <t>-559.280697952801 49.6176941295494 -768.955748566413</t>
  </si>
  <si>
    <t>-487.967798974988 229.075922733975 -249.367305117396</t>
  </si>
  <si>
    <t>-501.087564576548 214.638980647525 205.909708030751</t>
  </si>
  <si>
    <t>-507.759701155963 171.813538319656 674.098846358762</t>
  </si>
  <si>
    <t>-352.861269627679 164.9589743321 757.1832456008</t>
  </si>
  <si>
    <t>-519.317404717006 43.7732449263533 -223.389056345321</t>
  </si>
  <si>
    <t>-440.559481946363 4.07319415148035 223.688884754802</t>
  </si>
  <si>
    <t>-583.663057365178 -113.377985350119 654.308187374989</t>
  </si>
  <si>
    <t>-427.038222634641 -132.814856562916 731.989406081576</t>
  </si>
  <si>
    <t>9763-20170724T164244.124320400.bin</t>
  </si>
  <si>
    <t>-503.61876160319 136.893281673228 -236.729569523488</t>
  </si>
  <si>
    <t>-541.641486673203 127.793183379929 -351.356228948408</t>
  </si>
  <si>
    <t>-557.887097811548 115.992795793643 -470.88620034576</t>
  </si>
  <si>
    <t>-563.452737861093 104.263477784951 -579.634974107346</t>
  </si>
  <si>
    <t>-559.964281071938 91.5261685382564 -688.356864700079</t>
  </si>
  <si>
    <t>-545.690299635481 72.802214018495 -838.841544945649</t>
  </si>
  <si>
    <t>-508.395166643689 62.3173341415842 -933.086603416995</t>
  </si>
  <si>
    <t>-545.801403614815 112.09764854276 -775.526728992955</t>
  </si>
  <si>
    <t>-523.508303067321 256.998549754289 -764.113697797675</t>
  </si>
  <si>
    <t>-458.00476657219 315.871006243046 -460.091445469691</t>
  </si>
  <si>
    <t>-286.937898947937 248.080318378156 -276.290962056128</t>
  </si>
  <si>
    <t>-558.210724407462 50.0763236055747 -768.986860345486</t>
  </si>
  <si>
    <t>-487.744271367321 229.724079874278 -249.425638120814</t>
  </si>
  <si>
    <t>-500.691526524954 215.05048487899 205.848619590686</t>
  </si>
  <si>
    <t>-507.621881210637 172.078214684575 673.906680048527</t>
  </si>
  <si>
    <t>-352.882974504735 164.94413904434 757.264200117983</t>
  </si>
  <si>
    <t>-519.125977788707 44.0863475145631 -223.487754891782</t>
  </si>
  <si>
    <t>-440.498062029192 3.92619245162922 223.572055864608</t>
  </si>
  <si>
    <t>-583.623389446044 -113.651066603464 654.271086205902</t>
  </si>
  <si>
    <t>-427.152762087892 -133.348210992908 732.197134430496</t>
  </si>
  <si>
    <t>9763-20170724T164244.189508100.bin</t>
  </si>
  <si>
    <t>-503.396866856632 137.692311478636 -237.969232796285</t>
  </si>
  <si>
    <t>-541.874815212346 128.778669981631 -352.458568638233</t>
  </si>
  <si>
    <t>-557.933231146075 117.180010330157 -472.033483361446</t>
  </si>
  <si>
    <t>-563.05788689404 105.663301441088 -580.82668179111</t>
  </si>
  <si>
    <t>-558.856095197218 93.1835687268361 -689.553150592204</t>
  </si>
  <si>
    <t>-543.310393086364 74.8786838534207 -839.963475020728</t>
  </si>
  <si>
    <t>-505.318447278288 64.8221158154642 -933.976616425786</t>
  </si>
  <si>
    <t>-544.207581023007 114.043623554999 -776.574020462594</t>
  </si>
  <si>
    <t>-522.208330833943 258.943474052489 -764.957893888452</t>
  </si>
  <si>
    <t>-465.03790616116 321.309481545284 -459.952675096536</t>
  </si>
  <si>
    <t>-296.653655784703 256.403986388488 -272.666518624597</t>
  </si>
  <si>
    <t>-556.170196273291 51.9124196250788 -770.249166062174</t>
  </si>
  <si>
    <t>-487.231616660933 230.697842182304 -251.060809907824</t>
  </si>
  <si>
    <t>-498.933693691252 215.738397766514 204.23788480709</t>
  </si>
  <si>
    <t>-505.235468288885 172.454390122826 671.211009457709</t>
  </si>
  <si>
    <t>-352.456266536893 164.486184861724 758.035712827518</t>
  </si>
  <si>
    <t>-519.229208607065 44.8249995370856 -224.342541887698</t>
  </si>
  <si>
    <t>-439.820548460056 3.60531998830828 222.482731403598</t>
  </si>
  <si>
    <t>-583.460036509746 -113.829777125824 653.382919570684</t>
  </si>
  <si>
    <t>-427.470377168691 -133.303910096798 732.322803309258</t>
  </si>
  <si>
    <t>9763-20170724T164244.221592000.bin</t>
  </si>
  <si>
    <t>-503.220696074309 138.218103699507 -239.287559922815</t>
  </si>
  <si>
    <t>-541.874755824636 129.311232565723 -353.718063924418</t>
  </si>
  <si>
    <t>-557.894128866863 117.822350328492 -473.308874384299</t>
  </si>
  <si>
    <t>-562.891907340531 106.45626791048 -582.123745453475</t>
  </si>
  <si>
    <t>-558.471316097787 94.1834651526882 -690.865110530582</t>
  </si>
  <si>
    <t>-542.526403235248 76.2299250162995 -841.275968863695</t>
  </si>
  <si>
    <t>-504.219199350334 66.4235082154012 -935.18747282436</t>
  </si>
  <si>
    <t>-543.73785380142 115.272698372716 -777.816469688463</t>
  </si>
  <si>
    <t>-522.241093323779 260.246996034424 -765.900897646879</t>
  </si>
  <si>
    <t>-466.965597527435 322.225013612666 -460.467623191454</t>
  </si>
  <si>
    <t>-299.072744872733 257.903404279859 -272.539909088506</t>
  </si>
  <si>
    <t>-555.425272962005 53.0750122354205 -771.631319633461</t>
  </si>
  <si>
    <t>-486.77352732028 231.174195378213 -252.672890786214</t>
  </si>
  <si>
    <t>-497.35560212771 216.094522725383 202.649288807826</t>
  </si>
  <si>
    <t>-503.588484103402 172.512070408461 669.700134752045</t>
  </si>
  <si>
    <t>-352.093029795138 163.498358569165 758.646067495628</t>
  </si>
  <si>
    <t>-519.300105257299 45.3368500984822 -225.536434323935</t>
  </si>
  <si>
    <t>-439.626959539155 3.85883962961067 221.217909798702</t>
  </si>
  <si>
    <t>-583.40977783404 -113.642999260183 652.452761460228</t>
  </si>
  <si>
    <t>-427.881483931528 -134.461388895544 731.957889753761</t>
  </si>
  <si>
    <t>9763-20170724T164244.298808400.bin</t>
  </si>
  <si>
    <t>-503.486352351995 137.982577564686 -241.393409168953</t>
  </si>
  <si>
    <t>-542.234645811102 129.081069400226 -355.792466394837</t>
  </si>
  <si>
    <t>-558.106326628919 117.838015706629 -475.426328086631</t>
  </si>
  <si>
    <t>-562.868423053102 106.806788712022 -584.286199421525</t>
  </si>
  <si>
    <t>-558.109892653415 94.9896477535528 -693.063814386398</t>
  </si>
  <si>
    <t>-541.59043283225 77.8027963711337 -843.502224711445</t>
  </si>
  <si>
    <t>-502.619737401623 68.6912235032804 -937.210612696962</t>
  </si>
  <si>
    <t>-543.335712236843 116.571443007473 -779.887257261296</t>
  </si>
  <si>
    <t>-523.572411804956 261.722178013683 -767.139937238488</t>
  </si>
  <si>
    <t>-467.839853056534 318.059885801535 -460.698883525924</t>
  </si>
  <si>
    <t>-296.974751321715 255.496443263338 -274.868447923711</t>
  </si>
  <si>
    <t>-554.463885555321 54.2435143438874 -773.988489495929</t>
  </si>
  <si>
    <t>-487.282535981748 231.269226729289 -254.431495114747</t>
  </si>
  <si>
    <t>-495.993013150338 216.003179103908 200.924220988687</t>
  </si>
  <si>
    <t>-502.492044197169 172.47081146216 668.724715071524</t>
  </si>
  <si>
    <t>-351.790028580615 163.716086392283 759.034062168281</t>
  </si>
  <si>
    <t>-519.662951223191 44.5835004913867 -227.716416003476</t>
  </si>
  <si>
    <t>-439.953962770572 3.57219338941941 219.074582524053</t>
  </si>
  <si>
    <t>-583.297677506013 -114.568135670474 650.798830042336</t>
  </si>
  <si>
    <t>-427.79227989914 -134.033334029474 730.690461745552</t>
  </si>
  <si>
    <t>9763-20170724T164244.320866000.bin</t>
  </si>
  <si>
    <t>-503.946271855665 137.978893674346 -242.053215771553</t>
  </si>
  <si>
    <t>-542.81493591075 129.092017223242 -356.412441791578</t>
  </si>
  <si>
    <t>-558.655598220685 117.976013988681 -476.062340501317</t>
  </si>
  <si>
    <t>-563.325114929729 107.112921759553 -584.943235631253</t>
  </si>
  <si>
    <t>-558.409544853062 95.521109486549 -693.738069961058</t>
  </si>
  <si>
    <t>-541.605221225813 78.710704334869 -844.187437878812</t>
  </si>
  <si>
    <t>-502.309412588628 70.002379337405 -937.798392390314</t>
  </si>
  <si>
    <t>-543.614386450737 117.343509526756 -780.497743204844</t>
  </si>
  <si>
    <t>-524.611749169467 262.575767824583 -767.350859912919</t>
  </si>
  <si>
    <t>-466.911614900842 316.198510986408 -460.78679983939</t>
  </si>
  <si>
    <t>-294.715528673085 252.956115612491 -276.420582022351</t>
  </si>
  <si>
    <t>-554.466782321802 54.9539804933973 -774.738697094242</t>
  </si>
  <si>
    <t>-488.088734610313 231.567228046643 -254.791804622013</t>
  </si>
  <si>
    <t>-496.25092475219 216.211392721244 200.571014577964</t>
  </si>
  <si>
    <t>-502.399838830652 172.909771468396 668.436877592318</t>
  </si>
  <si>
    <t>-351.933906876345 162.959020130469 759.015569607647</t>
  </si>
  <si>
    <t>-519.837631865459 44.4844172901215 -228.434932375637</t>
  </si>
  <si>
    <t>-440.246739793792 3.81654380763183 218.408561908176</t>
  </si>
  <si>
    <t>-583.371368610022 -114.658691106079 650.142707216117</t>
  </si>
  <si>
    <t>-427.882956343966 -134.471887756027 729.981921076184</t>
  </si>
  <si>
    <t>9763-20170724T164244.391335100.bin</t>
  </si>
  <si>
    <t>-504.777869474054 138.038981832909 -242.460650590619</t>
  </si>
  <si>
    <t>-543.65759567897 129.123710558069 -356.813970735646</t>
  </si>
  <si>
    <t>-559.244356561084 118.193801037071 -476.514305239791</t>
  </si>
  <si>
    <t>-563.574677287787 107.596956318745 -585.435300653411</t>
  </si>
  <si>
    <t>-558.211506111229 96.375357961071 -694.247848687322</t>
  </si>
  <si>
    <t>-540.674931941389 80.1934144128892 -844.682675141874</t>
  </si>
  <si>
    <t>-500.90027069321 72.195920696115 -938.15458420789</t>
  </si>
  <si>
    <t>-543.201977385394 118.592937603115 -780.870344963647</t>
  </si>
  <si>
    <t>-524.882904829548 263.860904591822 -767.265116484673</t>
  </si>
  <si>
    <t>-463.598796018327 312.48168895354 -460.562572552127</t>
  </si>
  <si>
    <t>-287.563665381356 248.291069393958 -280.192835252715</t>
  </si>
  <si>
    <t>-553.666590842212 56.1138956149319 -775.369469664045</t>
  </si>
  <si>
    <t>-489.421841547474 231.758268930559 -254.921062094716</t>
  </si>
  <si>
    <t>-497.378004187112 216.069995426382 200.433937590167</t>
  </si>
  <si>
    <t>-502.47921480257 172.673199764367 668.451398026835</t>
  </si>
  <si>
    <t>-352.147271859811 162.660013454471 759.245413951935</t>
  </si>
  <si>
    <t>-520.102578872358 44.5640981084632 -228.996372949977</t>
  </si>
  <si>
    <t>-440.286110871626 3.97331932571507 217.813837227008</t>
  </si>
  <si>
    <t>-583.574347149254 -114.992209765092 649.055149847645</t>
  </si>
  <si>
    <t>-427.669539245394 -133.990791951815 728.278005143089</t>
  </si>
  <si>
    <t>9763-20170724T164244.421415100.bin</t>
  </si>
  <si>
    <t>-504.989936256397 138.13812594296 -242.562080567532</t>
  </si>
  <si>
    <t>-543.902861103646 129.294076808899 -356.909748120186</t>
  </si>
  <si>
    <t>-559.43050735756 118.446419600367 -476.625152500657</t>
  </si>
  <si>
    <t>-563.668679730499 107.936589844076 -585.558334178225</t>
  </si>
  <si>
    <t>-558.174635320766 96.8195155301988 -694.374952380786</t>
  </si>
  <si>
    <t>-540.416565370756 80.8053980514696 -844.801699922541</t>
  </si>
  <si>
    <t>-500.535572242825 73.0307670709976 -938.247210341763</t>
  </si>
  <si>
    <t>-543.115079525211 119.145664951863 -780.960916466502</t>
  </si>
  <si>
    <t>-525.070408832473 264.433924775899 -767.155625947804</t>
  </si>
  <si>
    <t>-461.661125509166 311.337564512436 -460.617621605343</t>
  </si>
  <si>
    <t>-284.262656639252 246.142012210738 -281.952080663374</t>
  </si>
  <si>
    <t>-553.432780233874 56.6365875643315 -775.524310199955</t>
  </si>
  <si>
    <t>-489.703926099213 231.836520704993 -254.898698283039</t>
  </si>
  <si>
    <t>-497.830169935712 215.990261921384 200.44801841807</t>
  </si>
  <si>
    <t>-502.526349133876 172.282457640282 668.484400867634</t>
  </si>
  <si>
    <t>-352.272802110159 161.989716294557 759.377003987975</t>
  </si>
  <si>
    <t>-520.196845696571 44.5626429838175 -229.257138085747</t>
  </si>
  <si>
    <t>-440.449525195816 4.27217460408805 217.592630978676</t>
  </si>
  <si>
    <t>-583.701210967574 -114.883406071951 648.60447454151</t>
  </si>
  <si>
    <t>-427.619170505896 -133.982909141793 727.453124410653</t>
  </si>
  <si>
    <t>9763-20170724T164244.487097800.bin</t>
  </si>
  <si>
    <t>-504.907128938004 138.121543963828 -242.666101800854</t>
  </si>
  <si>
    <t>-543.691790367075 129.47661200897 -357.072595454211</t>
  </si>
  <si>
    <t>-559.095963819489 118.822960395767 -476.821242254424</t>
  </si>
  <si>
    <t>-563.224717715127 108.504008727679 -585.776957873275</t>
  </si>
  <si>
    <t>-557.62370769072 97.6039490135239 -694.610186756501</t>
  </si>
  <si>
    <t>-539.719454797375 81.9286577920211 -845.055323216527</t>
  </si>
  <si>
    <t>-499.746817476787 74.4366012151754 -938.484543045214</t>
  </si>
  <si>
    <t>-542.622828391474 120.146701809692 -781.150027118013</t>
  </si>
  <si>
    <t>-524.686237330825 265.417801781449 -767.03349986684</t>
  </si>
  <si>
    <t>-458.143401689919 308.954285625673 -460.66305387561</t>
  </si>
  <si>
    <t>-279.416082382171 241.802834792126 -284.05812770164</t>
  </si>
  <si>
    <t>-552.660299273995 57.582310434035 -775.8258386059</t>
  </si>
  <si>
    <t>-489.490486534749 231.712112091116 -254.834575671534</t>
  </si>
  <si>
    <t>-497.473452778274 215.544343610507 200.50319283451</t>
  </si>
  <si>
    <t>-502.699388235064 171.5397309199 668.599787115588</t>
  </si>
  <si>
    <t>-352.354041603114 162.502134321657 759.47387159517</t>
  </si>
  <si>
    <t>-520.143357054464 44.5775097090104 -229.747728133305</t>
  </si>
  <si>
    <t>-440.781551556706 4.34461363878879 217.175868889554</t>
  </si>
  <si>
    <t>-583.924286216818 -114.699561538631 648.042998885772</t>
  </si>
  <si>
    <t>-427.610092589911 -134.192293368039 726.333558076003</t>
  </si>
  <si>
    <t>9763-20170724T164244.525199500.bin</t>
  </si>
  <si>
    <t>-504.690482606025 138.274231733125 -242.693405137744</t>
  </si>
  <si>
    <t>-543.527999514641 129.763238903549 -357.091791508776</t>
  </si>
  <si>
    <t>-558.935840474606 119.176952266631 -476.846108844273</t>
  </si>
  <si>
    <t>-563.04623225666 108.90259924211 -585.806731542291</t>
  </si>
  <si>
    <t>-557.404790508968 98.0374394283017 -694.641247744422</t>
  </si>
  <si>
    <t>-539.421148263299 82.4066685869478 -845.081570243589</t>
  </si>
  <si>
    <t>-499.44671315794 74.9702055826687 -938.5145314951</t>
  </si>
  <si>
    <t>-542.428090669201 120.616038903247 -781.175986703526</t>
  </si>
  <si>
    <t>-524.612303873889 265.885692633678 -766.906997200185</t>
  </si>
  <si>
    <t>-456.712484788765 308.5641902253 -460.713549424295</t>
  </si>
  <si>
    <t>-278.035788993417 240.742435173758 -284.313593530861</t>
  </si>
  <si>
    <t>-552.328652950704 58.0294788187393 -775.856774017116</t>
  </si>
  <si>
    <t>-489.229453286018 232.026576640389 -254.800301869137</t>
  </si>
  <si>
    <t>-496.965259428402 215.701339631297 200.536095477021</t>
  </si>
  <si>
    <t>-502.870434439291 171.860102214319 668.558951861487</t>
  </si>
  <si>
    <t>-352.650993920989 161.787818256839 759.532416346654</t>
  </si>
  <si>
    <t>-519.982383552683 44.6072147884738 -229.865385148732</t>
  </si>
  <si>
    <t>-440.72709422815 4.27996451190036 217.068574638683</t>
  </si>
  <si>
    <t>-583.969286826514 -114.798505405244 647.830099926906</t>
  </si>
  <si>
    <t>-427.598255298012 -134.315774733126 726.001015985248</t>
  </si>
  <si>
    <t>9763-20170724T164244.591193500.bin</t>
  </si>
  <si>
    <t>-503.839274394391 138.965202663809 -242.715763627011</t>
  </si>
  <si>
    <t>-542.843689478157 130.583178044942 -357.06705370942</t>
  </si>
  <si>
    <t>-558.206884710971 120.18142326675 -476.843197276538</t>
  </si>
  <si>
    <t>-562.186886621731 110.11282101989 -585.827694145798</t>
  </si>
  <si>
    <t>-556.32494396397 99.5025534880888 -694.675893316817</t>
  </si>
  <si>
    <t>-537.942529666483 84.2864986702293 -845.110461830045</t>
  </si>
  <si>
    <t>-497.879417653722 77.0662643478012 -938.522476813473</t>
  </si>
  <si>
    <t>-541.182617012267 122.328945887375 -781.116782167156</t>
  </si>
  <si>
    <t>-523.101795531948 267.521594362518 -766.435359302307</t>
  </si>
  <si>
    <t>-454.275216558833 308.808027614451 -460.258027720343</t>
  </si>
  <si>
    <t>-274.529500243202 240.922090742264 -284.972352323494</t>
  </si>
  <si>
    <t>-550.969733213477 59.7093283263589 -775.978866691763</t>
  </si>
  <si>
    <t>-488.170581594245 232.675805145492 -254.856205099407</t>
  </si>
  <si>
    <t>-495.837359926581 216.26075602571 200.478201128936</t>
  </si>
  <si>
    <t>-502.946766570869 172.137125931367 668.373027861816</t>
  </si>
  <si>
    <t>-352.940641103232 161.296493239239 759.609803366419</t>
  </si>
  <si>
    <t>-519.259025406317 45.4110494038146 -229.85120986108</t>
  </si>
  <si>
    <t>-439.882317618858 4.54996290995388 217.012610355379</t>
  </si>
  <si>
    <t>-584.044212451751 -114.555849911329 647.339291433867</t>
  </si>
  <si>
    <t>-427.789229648704 -135.081737256943 725.483827228436</t>
  </si>
  <si>
    <t>9763-20170724T164244.623279200.bin</t>
  </si>
  <si>
    <t>-503.417258478465 139.254199113884 -242.80091588085</t>
  </si>
  <si>
    <t>-542.4870266164 130.817944516781 -357.125933887186</t>
  </si>
  <si>
    <t>-557.851474845039 120.450265064489 -476.904820423945</t>
  </si>
  <si>
    <t>-561.805321190288 110.45282581878 -585.896977906854</t>
  </si>
  <si>
    <t>-555.890146286839 99.9565212940925 -694.753240305333</t>
  </si>
  <si>
    <t>-537.405915358132 84.9457253971938 -845.19588864244</t>
  </si>
  <si>
    <t>-497.285299213595 77.7876809099028 -938.587972371307</t>
  </si>
  <si>
    <t>-540.706760143086 122.903317146635 -781.155006686934</t>
  </si>
  <si>
    <t>-522.445744536588 268.073266568295 -766.270762879174</t>
  </si>
  <si>
    <t>-453.076624187512 309.174970019795 -460.191206925977</t>
  </si>
  <si>
    <t>-272.838007515438 240.443394438429 -285.743205880906</t>
  </si>
  <si>
    <t>-550.462515679888 60.2717476792561 -776.104399519008</t>
  </si>
  <si>
    <t>-487.754885389782 232.964119652306 -255.020965266491</t>
  </si>
  <si>
    <t>-495.38062760309 216.480385455476 200.31172891386</t>
  </si>
  <si>
    <t>-502.773156286308 172.089211581259 668.109244580036</t>
  </si>
  <si>
    <t>-352.953703951666 161.004528868367 759.623020051439</t>
  </si>
  <si>
    <t>-518.855158493065 45.5640696126032 -229.861299029261</t>
  </si>
  <si>
    <t>-439.397559850141 4.61791795387424 216.980511766905</t>
  </si>
  <si>
    <t>-583.974145106438 -114.972111786047 647.069928654645</t>
  </si>
  <si>
    <t>-427.629262065528 -134.777573677214 725.220615792411</t>
  </si>
  <si>
    <t>9763-20170724T164244.690004500.bin</t>
  </si>
  <si>
    <t>-502.80294817438 140.014857211646 -243.275976764023</t>
  </si>
  <si>
    <t>-541.950140219632 131.551710417349 -357.572402479969</t>
  </si>
  <si>
    <t>-557.268768143173 121.212094310452 -477.359806419026</t>
  </si>
  <si>
    <t>-561.129532981037 111.269729374285 -586.36022632066</t>
  </si>
  <si>
    <t>-555.06956179542 100.862805054963 -695.217132445515</t>
  </si>
  <si>
    <t>-536.331839870172 86.0161060368295 -845.644787048881</t>
  </si>
  <si>
    <t>-496.084207887098 78.9447454711514 -938.988688012498</t>
  </si>
  <si>
    <t>-539.81041322662 123.913840987344 -781.57778422509</t>
  </si>
  <si>
    <t>-521.415719841962 269.031527103544 -766.503400631869</t>
  </si>
  <si>
    <t>-450.769648369193 310.675958953607 -460.789365871473</t>
  </si>
  <si>
    <t>-268.846444686927 240.137063620065 -288.829298828677</t>
  </si>
  <si>
    <t>-549.434941962055 61.2567488981729 -776.592596506283</t>
  </si>
  <si>
    <t>-487.072986593307 233.791003515266 -255.672341100811</t>
  </si>
  <si>
    <t>-494.575366433691 217.120031618169 199.655481769132</t>
  </si>
  <si>
    <t>-502.240831662142 172.513875737475 667.391472929615</t>
  </si>
  <si>
    <t>-352.887838529046 161.391807816433 759.660129044098</t>
  </si>
  <si>
    <t>-518.406483570906 46.3510891423471 -230.252103441972</t>
  </si>
  <si>
    <t>-438.405927437046 5.40658689415712 216.492926500366</t>
  </si>
  <si>
    <t>-583.76933430148 -114.754673781504 646.181959549122</t>
  </si>
  <si>
    <t>-427.745467749116 -134.845803518191 724.899224803851</t>
  </si>
  <si>
    <t>9763-20170724T164244.723094800.bin</t>
  </si>
  <si>
    <t>-502.654747726354 140.527831067046 -243.618374508322</t>
  </si>
  <si>
    <t>-541.795012524568 132.016590515569 -357.913684932999</t>
  </si>
  <si>
    <t>-557.065467712133 121.654559708624 -477.705035121223</t>
  </si>
  <si>
    <t>-560.865902137005 111.702946511833 -586.706848621932</t>
  </si>
  <si>
    <t>-554.729426469416 101.298010491768 -695.559634396868</t>
  </si>
  <si>
    <t>-535.868927470086 86.4659204664551 -845.973364237081</t>
  </si>
  <si>
    <t>-495.550424785729 79.4200862862151 -939.288719833865</t>
  </si>
  <si>
    <t>-539.418506151665 124.360116480939 -781.908192439735</t>
  </si>
  <si>
    <t>-521.056905302205 269.475164393562 -766.756347063769</t>
  </si>
  <si>
    <t>-450.393468006593 311.175124125981 -461.053926977926</t>
  </si>
  <si>
    <t>-267.222588289412 239.511518817323 -290.892745466458</t>
  </si>
  <si>
    <t>-549.009772924519 61.6972311729723 -776.9317229641</t>
  </si>
  <si>
    <t>-486.948047470038 234.217911952922 -256.014574066134</t>
  </si>
  <si>
    <t>-494.336646787994 217.435108292137 199.310964550566</t>
  </si>
  <si>
    <t>-501.941513904137 172.562692200571 667.016363905205</t>
  </si>
  <si>
    <t>-352.877363380106 160.944562980179 759.690060326792</t>
  </si>
  <si>
    <t>-518.197774524193 46.8228285082039 -230.606238642647</t>
  </si>
  <si>
    <t>-438.141304200332 5.99619694235146 216.139580369238</t>
  </si>
  <si>
    <t>-583.671185756457 -114.438458250886 645.731569210629</t>
  </si>
  <si>
    <t>-427.921457800177 -135.302494535809 724.789943486984</t>
  </si>
  <si>
    <t>9763-20170724T164244.786370500.bin</t>
  </si>
  <si>
    <t>-502.404338931167 141.129344726842 -244.366770594218</t>
  </si>
  <si>
    <t>-541.451688029525 132.527043038235 -358.686868955902</t>
  </si>
  <si>
    <t>-556.552495374959 122.125391614005 -478.496497579841</t>
  </si>
  <si>
    <t>-560.169177419545 112.163240160415 -587.503497132766</t>
  </si>
  <si>
    <t>-553.820046867665 101.775085296915 -696.345673906461</t>
  </si>
  <si>
    <t>-534.635385323253 86.9968811220179 -846.723784704117</t>
  </si>
  <si>
    <t>-494.117951895767 79.9974530008345 -939.956443707287</t>
  </si>
  <si>
    <t>-538.393091567423 124.878021480887 -782.662628906648</t>
  </si>
  <si>
    <t>-520.147307260489 269.963280129591 -767.387371486666</t>
  </si>
  <si>
    <t>-449.804724911959 312.009058042463 -461.658234611286</t>
  </si>
  <si>
    <t>-264.436712355686 238.286792346433 -294.787761767249</t>
  </si>
  <si>
    <t>-547.8548985211 62.1935630322432 -777.709583234268</t>
  </si>
  <si>
    <t>-486.541948171212 234.789768910065 -256.753452273542</t>
  </si>
  <si>
    <t>-493.542933416271 217.744599487584 198.568429236846</t>
  </si>
  <si>
    <t>-501.250939263487 172.506787833204 666.29832637972</t>
  </si>
  <si>
    <t>-352.579992008939 160.761222694769 759.585483889054</t>
  </si>
  <si>
    <t>-518.116706542526 47.4404546566854 -231.332860788075</t>
  </si>
  <si>
    <t>-437.843563230404 6.46722691931016 215.360643220179</t>
  </si>
  <si>
    <t>-583.349296448782 -114.656784500616 644.926036831166</t>
  </si>
  <si>
    <t>-427.961353940217 -135.066873210828 724.810518113404</t>
  </si>
  <si>
    <t>9763-20170724T164244.824470800.bin</t>
  </si>
  <si>
    <t>-502.317055263752 141.316938068616 -244.716934948282</t>
  </si>
  <si>
    <t>-541.28596703552 132.700163525242 -359.062940663341</t>
  </si>
  <si>
    <t>-556.320648183456 122.315112119289 -478.882127288477</t>
  </si>
  <si>
    <t>-559.883789410753 112.382255415526 -587.893545557109</t>
  </si>
  <si>
    <t>-553.487637875659 102.038518256698 -696.737227883066</t>
  </si>
  <si>
    <t>-534.244834941408 87.3382753138673 -847.115485874716</t>
  </si>
  <si>
    <t>-493.641298086106 80.3568266323329 -940.312127948504</t>
  </si>
  <si>
    <t>-538.065701313801 125.191475717958 -783.04178871834</t>
  </si>
  <si>
    <t>-519.789243835925 270.28394451521 -767.615907930044</t>
  </si>
  <si>
    <t>-448.880108876302 311.784543806511 -461.94323088821</t>
  </si>
  <si>
    <t>-262.778966429658 237.578876347484 -296.106298468599</t>
  </si>
  <si>
    <t>-547.452704776406 62.4938530403061 -778.113883374183</t>
  </si>
  <si>
    <t>-486.392937775691 235.092594075192 -257.089220861797</t>
  </si>
  <si>
    <t>-493.207643381789 217.921227572665 198.230881771094</t>
  </si>
  <si>
    <t>-500.926944972057 172.690262492485 665.875685844695</t>
  </si>
  <si>
    <t>-352.438605307227 161.460776661506 759.516641811609</t>
  </si>
  <si>
    <t>-518.030796882522 47.5229703674871 -231.639664537629</t>
  </si>
  <si>
    <t>-437.657604717019 6.3243941358357 215.015158443676</t>
  </si>
  <si>
    <t>-583.250932471815 -115.042706637167 644.637594912994</t>
  </si>
  <si>
    <t>-427.953985757606 -134.794676132679 724.863683031943</t>
  </si>
  <si>
    <t>9763-20170724T164244.887645700.bin</t>
  </si>
  <si>
    <t>-502.209139813429 142.497466311104 -245.15296726711</t>
  </si>
  <si>
    <t>-541.027202713883 133.78155592614 -359.542632398093</t>
  </si>
  <si>
    <t>-555.903993879038 123.392078007971 -479.381278862896</t>
  </si>
  <si>
    <t>-559.323973163722 113.491515516691 -588.400198473813</t>
  </si>
  <si>
    <t>-552.785646435752 103.214395685565 -697.241800167027</t>
  </si>
  <si>
    <t>-533.347299852144 88.6410499446044 -847.607263083505</t>
  </si>
  <si>
    <t>-492.541470045103 81.6375688765715 -940.713790618516</t>
  </si>
  <si>
    <t>-537.261855429592 126.441654713808 -783.508115240447</t>
  </si>
  <si>
    <t>-518.455002595864 271.410781933936 -767.665479800111</t>
  </si>
  <si>
    <t>-445.113469243235 310.903351072521 -462.300873781738</t>
  </si>
  <si>
    <t>-258.718338844403 235.757103486769 -297.219283159018</t>
  </si>
  <si>
    <t>-546.634520891451 63.736982911363 -778.642362483307</t>
  </si>
  <si>
    <t>-329.66339921026 0.0627240526915074 -457.296145204815</t>
  </si>
  <si>
    <t>-486.235459075477 236.669271357823 -257.582718212334</t>
  </si>
  <si>
    <t>-492.805125104551 219.20314906997 197.729847620866</t>
  </si>
  <si>
    <t>-500.637090771171 173.627902442478 665.400287965959</t>
  </si>
  <si>
    <t>-352.561400647705 159.9436026804 759.367602357977</t>
  </si>
  <si>
    <t>-518.070787219016 48.5155568037426 -231.991898805273</t>
  </si>
  <si>
    <t>-437.567322502538 6.85165533114902 214.596178688217</t>
  </si>
  <si>
    <t>-583.279751052019 -114.948701475977 644.161801228864</t>
  </si>
  <si>
    <t>-428.208200886853 -134.717586748837 724.81856611608</t>
  </si>
  <si>
    <t>9763-20170724T164244.920733100.bin</t>
  </si>
  <si>
    <t>-502.021479997458 142.7550124038 -245.189759341619</t>
  </si>
  <si>
    <t>-540.769415906456 133.94632240769 -359.596104384959</t>
  </si>
  <si>
    <t>-555.576075384186 123.552030753403 -479.443070787607</t>
  </si>
  <si>
    <t>-558.934276453801 113.676756206648 -588.466354772051</t>
  </si>
  <si>
    <t>-552.336362000341 103.451155464061 -697.309097041821</t>
  </si>
  <si>
    <t>-532.818127736577 88.9731066944304 -847.673324420877</t>
  </si>
  <si>
    <t>-491.936823672722 81.9340962812517 -940.744112247988</t>
  </si>
  <si>
    <t>-536.714613371278 126.725776738134 -783.544803040497</t>
  </si>
  <si>
    <t>-517.453927062174 271.632249081033 -767.461381862948</t>
  </si>
  <si>
    <t>-443.157822354409 309.837539145401 -462.163705988094</t>
  </si>
  <si>
    <t>-256.691168657472 234.075594098917 -297.44468019133</t>
  </si>
  <si>
    <t>-546.194013982481 64.0325717070368 -778.738890462219</t>
  </si>
  <si>
    <t>-329.457056844973 0.215457180203472 -457.374039146143</t>
  </si>
  <si>
    <t>-485.906062309182 236.827552061696 -257.659671436998</t>
  </si>
  <si>
    <t>-492.599760843192 219.304727534859 197.648899223937</t>
  </si>
  <si>
    <t>-500.390939436187 173.179993542175 665.266305280855</t>
  </si>
  <si>
    <t>-352.181191758165 160.742727735633 759.195532490291</t>
  </si>
  <si>
    <t>-517.912421841162 48.6822022076389 -231.939249365533</t>
  </si>
  <si>
    <t>-437.257206988849 7.06334591961176 214.625748221587</t>
  </si>
  <si>
    <t>-583.367236636864 -115.19315090259 644.059029981371</t>
  </si>
  <si>
    <t>-428.296661581272 -134.736388498671 724.772709138032</t>
  </si>
  <si>
    <t>9763-20170724T164244.991849300.bin</t>
  </si>
  <si>
    <t>-501.165848479205 143.123640171354 -245.034021658321</t>
  </si>
  <si>
    <t>-539.738715054712 134.162584175989 -359.487604953229</t>
  </si>
  <si>
    <t>-554.366119790958 123.759584138749 -479.355772833684</t>
  </si>
  <si>
    <t>-557.563480571271 113.925973174809 -588.38752679382</t>
  </si>
  <si>
    <t>-550.80780790777 103.78643768551 -697.22871898222</t>
  </si>
  <si>
    <t>-531.074600861895 89.4691793695101 -847.580313604453</t>
  </si>
  <si>
    <t>-490.06646210545 82.3194798796439 -940.586853359699</t>
  </si>
  <si>
    <t>-534.918219331506 127.132654545801 -783.396236206526</t>
  </si>
  <si>
    <t>-514.691602085604 271.868799516482 -766.963647390282</t>
  </si>
  <si>
    <t>-439.068043680124 307.661312819457 -461.699517131061</t>
  </si>
  <si>
    <t>-253.190350817995 230.031016162408 -297.184810084405</t>
  </si>
  <si>
    <t>-544.693614613894 64.4756158795693 -778.712575030922</t>
  </si>
  <si>
    <t>-329.015105179951 0.00826293258293731 -457.745347107499</t>
  </si>
  <si>
    <t>-484.898981957193 237.342524051935 -257.671878205564</t>
  </si>
  <si>
    <t>-492.530508954872 219.793797455587 197.620916916417</t>
  </si>
  <si>
    <t>-500.291270800798 173.698143954028 665.143738355007</t>
  </si>
  <si>
    <t>-351.960127158315 161.739552868726 758.94338106862</t>
  </si>
  <si>
    <t>-517.266649125746 49.0623544987548 -231.658799578531</t>
  </si>
  <si>
    <t>-436.130989200743 7.39763881566719 214.81483836804</t>
  </si>
  <si>
    <t>-583.304783512361 -115.743219577021 643.504882791259</t>
  </si>
  <si>
    <t>-428.209081000968 -134.803718216816 724.285729324183</t>
  </si>
  <si>
    <t>9763-20170724T164245.025938200.bin</t>
  </si>
  <si>
    <t>-500.642884513012 143.617769522579 -244.970400791749</t>
  </si>
  <si>
    <t>-539.180654163369 134.627236445319 -359.433532265371</t>
  </si>
  <si>
    <t>-553.739780752196 124.237540020538 -479.311252868948</t>
  </si>
  <si>
    <t>-556.862847651294 114.426728454553 -588.347259055458</t>
  </si>
  <si>
    <t>-550.02079775661 104.316797823909 -697.185716596881</t>
  </si>
  <si>
    <t>-530.155881113863 90.0444609464607 -847.524316392958</t>
  </si>
  <si>
    <t>-489.057117520316 82.8139181001961 -940.484520769118</t>
  </si>
  <si>
    <t>-533.952700417832 127.673637884602 -783.317333833376</t>
  </si>
  <si>
    <t>-513.220351920427 272.307597798359 -766.699300494835</t>
  </si>
  <si>
    <t>-437.516303494681 306.818846483588 -461.307615340642</t>
  </si>
  <si>
    <t>-251.816909273011 228.240728783193 -297.041746193869</t>
  </si>
  <si>
    <t>-543.938210902462 65.0454933544857 -778.691059008739</t>
  </si>
  <si>
    <t>-328.678765267642 0.0506574827163533 -457.858445333611</t>
  </si>
  <si>
    <t>-484.305459831813 237.886567854576 -257.652505482588</t>
  </si>
  <si>
    <t>-492.496086271183 220.242084602331 197.626731054697</t>
  </si>
  <si>
    <t>-500.238603044702 173.694938624586 665.151964571982</t>
  </si>
  <si>
    <t>-352.026086875164 160.76102472823 759.009670315226</t>
  </si>
  <si>
    <t>-516.815701839404 49.5487801968482 -231.583616073486</t>
  </si>
  <si>
    <t>-435.490039540501 8.15381571228681 214.880585113317</t>
  </si>
  <si>
    <t>-583.276995610717 -115.542493334089 643.181004631274</t>
  </si>
  <si>
    <t>-428.356383578098 -135.712775603773 724.02821461998</t>
  </si>
  <si>
    <t>9763-20170724T164245.093128300.bin</t>
  </si>
  <si>
    <t>-499.422543343972 143.912816003658 -244.896597939372</t>
  </si>
  <si>
    <t>-537.783382367983 134.842192580243 -359.412951270288</t>
  </si>
  <si>
    <t>-552.106158928699 124.457270970554 -479.319451346937</t>
  </si>
  <si>
    <t>-554.994338451492 114.672796083651 -588.364185835804</t>
  </si>
  <si>
    <t>-547.898106672147 104.604914367226 -697.190436839239</t>
  </si>
  <si>
    <t>-527.661892036021 90.4003308074842 -847.485873027216</t>
  </si>
  <si>
    <t>-486.345471558928 82.9961852885756 -940.335816372303</t>
  </si>
  <si>
    <t>-531.426996546938 127.971640815865 -783.243031284442</t>
  </si>
  <si>
    <t>-509.631979271994 272.40449435052 -766.290677299554</t>
  </si>
  <si>
    <t>-434.46215185924 305.005697895478 -460.557322942066</t>
  </si>
  <si>
    <t>-248.624307688023 224.709444515433 -297.282013825241</t>
  </si>
  <si>
    <t>-541.804536349662 65.3992069866222 -778.726599163861</t>
  </si>
  <si>
    <t>-482.894016889491 238.014764168301 -257.641420149332</t>
  </si>
  <si>
    <t>-492.322843125636 220.34270034757 197.612967467681</t>
  </si>
  <si>
    <t>-500.049471414391 173.114827748717 665.139472283923</t>
  </si>
  <si>
    <t>-351.832310759129 161.162443987187 759.119844583937</t>
  </si>
  <si>
    <t>-515.78681866487 49.8281679298709 -231.500236225923</t>
  </si>
  <si>
    <t>-434.053550066472 8.85172127069801 214.928020214218</t>
  </si>
  <si>
    <t>-583.09572085449 -115.344394770862 642.487055557633</t>
  </si>
  <si>
    <t>-428.257042227656 -135.813782015473 723.416101019086</t>
  </si>
  <si>
    <t>9763-20170724T164245.121203700.bin</t>
  </si>
  <si>
    <t>-498.747029542755 143.947693177015 -244.938403219111</t>
  </si>
  <si>
    <t>-537.071119162392 134.891799226524 -359.468129635483</t>
  </si>
  <si>
    <t>-551.346926459794 124.548455527584 -479.383883725709</t>
  </si>
  <si>
    <t>-554.189115484658 114.80896704 -588.434011439305</t>
  </si>
  <si>
    <t>-547.043774612593 104.791170072233 -697.261490579133</t>
  </si>
  <si>
    <t>-526.736426972631 90.659661824125 -847.554354115227</t>
  </si>
  <si>
    <t>-485.332832197409 83.1855537673179 -940.359817671853</t>
  </si>
  <si>
    <t>-530.464975716888 128.189242088009 -783.284891151452</t>
  </si>
  <si>
    <t>-508.328868848506 272.557773859086 -766.195779330818</t>
  </si>
  <si>
    <t>-433.242806470316 304.217396755767 -460.343043368018</t>
  </si>
  <si>
    <t>-247.401024765127 223.436582239303 -297.311401254257</t>
  </si>
  <si>
    <t>-540.978564581559 65.6355356893906 -778.823908904076</t>
  </si>
  <si>
    <t>-482.169517881313 238.097395888373 -257.655068873072</t>
  </si>
  <si>
    <t>-492.158074556743 220.357568006354 197.58461012224</t>
  </si>
  <si>
    <t>-500.037235612725 173.042053642279 665.1338875304</t>
  </si>
  <si>
    <t>-351.859151079237 161.17247685441 759.186455216609</t>
  </si>
  <si>
    <t>-515.21176951874 49.8762867101156 -231.531095774862</t>
  </si>
  <si>
    <t>-433.417264324787 9.05329275930126 214.900071831166</t>
  </si>
  <si>
    <t>-582.986590317461 -115.46327060558 642.205982890125</t>
  </si>
  <si>
    <t>-428.161210202917 -135.750282283364 723.206373165447</t>
  </si>
  <si>
    <t>9763-20170724T164245.188038300.bin</t>
  </si>
  <si>
    <t>-497.202406164291 144.358299493404 -244.856882233903</t>
  </si>
  <si>
    <t>-535.290887338943 135.291013364837 -359.464328726836</t>
  </si>
  <si>
    <t>-549.442281392503 124.988419919696 -479.398253949433</t>
  </si>
  <si>
    <t>-552.220977391735 115.298110149579 -588.45436663203</t>
  </si>
  <si>
    <t>-545.0621594259 105.337174392096 -697.286270606836</t>
  </si>
  <si>
    <t>-524.787968273767 91.2879172365514 -847.591224170313</t>
  </si>
  <si>
    <t>-483.280702079001 83.6968452375875 -940.340885038833</t>
  </si>
  <si>
    <t>-528.39332598694 128.764969778399 -783.284219344143</t>
  </si>
  <si>
    <t>-506.054413605003 273.071695503469 -766.044782070054</t>
  </si>
  <si>
    <t>-430.997010594909 303.42893112681 -460.052952923136</t>
  </si>
  <si>
    <t>-245.659355640463 222.538090569487 -296.50275462673</t>
  </si>
  <si>
    <t>-539.124013859804 66.2435701570966 -778.887671414721</t>
  </si>
  <si>
    <t>-480.632285605613 238.67863033483 -257.530048743819</t>
  </si>
  <si>
    <t>-491.80943279269 220.93786222787 197.681969876232</t>
  </si>
  <si>
    <t>-500.370861898366 173.622853892519 665.297945381865</t>
  </si>
  <si>
    <t>-352.336551351645 160.434147982418 759.401151030735</t>
  </si>
  <si>
    <t>-513.585077564632 50.3121220233951 -231.508345338979</t>
  </si>
  <si>
    <t>-432.200455859631 9.5162693480366 215.000260598576</t>
  </si>
  <si>
    <t>-582.973836002061 -114.816800205294 641.836163180142</t>
  </si>
  <si>
    <t>-428.372080875936 -136.562823063647 722.885044211998</t>
  </si>
  <si>
    <t>9763-20170724T164245.224159700.bin</t>
  </si>
  <si>
    <t>-496.301862431666 144.126100229248 -244.672285011878</t>
  </si>
  <si>
    <t>-534.336536902053 135.068098809654 -359.298210579941</t>
  </si>
  <si>
    <t>-548.46670691225 124.794423502449 -479.237370994684</t>
  </si>
  <si>
    <t>-551.240367602219 115.136272881223 -588.296277416619</t>
  </si>
  <si>
    <t>-544.090741660967 105.21191244074 -697.132174155931</t>
  </si>
  <si>
    <t>-523.844050430956 91.2172508597095 -847.445807921195</t>
  </si>
  <si>
    <t>-482.292808584787 83.6008842583943 -940.173906577676</t>
  </si>
  <si>
    <t>-527.391879040088 128.663489873978 -783.11782410739</t>
  </si>
  <si>
    <t>-504.886782406016 272.948651546425 -765.821477086951</t>
  </si>
  <si>
    <t>-430.022085996478 303.100859333136 -459.762316684687</t>
  </si>
  <si>
    <t>-245.370519862632 222.385399359372 -295.351575435602</t>
  </si>
  <si>
    <t>-538.213238207571 66.1554054569944 -778.755576024042</t>
  </si>
  <si>
    <t>-479.720525767379 238.327299979924 -257.288198028382</t>
  </si>
  <si>
    <t>-491.540653862545 220.600637452662 197.90812852117</t>
  </si>
  <si>
    <t>-500.48586485164 172.746745436196 665.617357660266</t>
  </si>
  <si>
    <t>-352.165601448736 160.945826485824 759.454241621202</t>
  </si>
  <si>
    <t>-512.802240748464 50.0056687875232 -231.277685931595</t>
  </si>
  <si>
    <t>-431.37523145339 9.07045198360623 215.210420821667</t>
  </si>
  <si>
    <t>-582.86878334946 -115.541079203823 641.749328354196</t>
  </si>
  <si>
    <t>-428.071217302771 -136.380630227831 722.662451957061</t>
  </si>
  <si>
    <t>9763-20170724T164245.289162200.bin</t>
  </si>
  <si>
    <t>-495.015642122421 144.292208005024 -243.913849605696</t>
  </si>
  <si>
    <t>-532.939907971503 135.263267737017 -358.578736567689</t>
  </si>
  <si>
    <t>-547.057521858104 125.097917946395 -478.528433240038</t>
  </si>
  <si>
    <t>-549.861646141163 115.566677838857 -587.597803854107</t>
  </si>
  <si>
    <t>-542.784116590498 105.796905023191 -696.452427097526</t>
  </si>
  <si>
    <t>-522.680257057131 92.0441325541192 -846.807661342083</t>
  </si>
  <si>
    <t>-481.075239940547 84.4799997400003 -939.515699761569</t>
  </si>
  <si>
    <t>-526.090716461741 129.374335511396 -782.404670722479</t>
  </si>
  <si>
    <t>-503.429475289327 273.623231581509 -765.04679444886</t>
  </si>
  <si>
    <t>-428.91396944092 303.918569267188 -458.916369826157</t>
  </si>
  <si>
    <t>-245.136973398607 224.658994007236 -292.825976468715</t>
  </si>
  <si>
    <t>-537.060485987255 66.8842661223406 -778.155581418346</t>
  </si>
  <si>
    <t>-326.002794363135 0.426669603230998 -451.047264433754</t>
  </si>
  <si>
    <t>-478.444971956289 238.307059026556 -256.431799772212</t>
  </si>
  <si>
    <t>-491.198178070245 220.68858008754 198.743479201978</t>
  </si>
  <si>
    <t>-501.413651166282 172.492011364947 666.431593794806</t>
  </si>
  <si>
    <t>-352.249463101034 162.016764313644 759.080591436523</t>
  </si>
  <si>
    <t>-511.458845155953 50.5033433044026 -230.599474632353</t>
  </si>
  <si>
    <t>-430.420318544525 9.19186444568145 215.924587620683</t>
  </si>
  <si>
    <t>-583.118202433344 -114.823145420248 641.946239854052</t>
  </si>
  <si>
    <t>-428.305979018953 -137.570008313498 722.315739982378</t>
  </si>
  <si>
    <t>9763-20170724T164245.320248200.bin</t>
  </si>
  <si>
    <t>-494.450980545725 144.603281072701 -243.514578744055</t>
  </si>
  <si>
    <t>-532.322549674909 135.583859573829 -358.19772843776</t>
  </si>
  <si>
    <t>-546.454465018155 125.457322657059 -478.148972520073</t>
  </si>
  <si>
    <t>-549.299636468111 115.975829845192 -587.221666539241</t>
  </si>
  <si>
    <t>-542.29108863976 106.272002819533 -696.086485576834</t>
  </si>
  <si>
    <t>-522.311320394934 92.6292119352263 -846.468414686203</t>
  </si>
  <si>
    <t>-480.696455187144 85.0949090258742 -939.174470907212</t>
  </si>
  <si>
    <t>-525.676198457748 129.913509452953 -782.036450479298</t>
  </si>
  <si>
    <t>-503.142312502151 274.190271743855 -764.671505483395</t>
  </si>
  <si>
    <t>-428.843417461744 304.468040355036 -458.486776383102</t>
  </si>
  <si>
    <t>-245.238112139821 225.905965167742 -291.876045381647</t>
  </si>
  <si>
    <t>-536.627291071976 67.4178847017832 -777.821722355115</t>
  </si>
  <si>
    <t>-325.732385458801 0.823714603372778 -447.686386354558</t>
  </si>
  <si>
    <t>-477.842708442897 238.653257235848 -255.981612584069</t>
  </si>
  <si>
    <t>-490.871659673334 221.109593881055 199.188768353917</t>
  </si>
  <si>
    <t>-501.939174344803 172.625400313556 666.898633392902</t>
  </si>
  <si>
    <t>-352.440821308576 161.758932899756 758.962063273377</t>
  </si>
  <si>
    <t>-510.96795866552 50.7620614839376 -230.216080045203</t>
  </si>
  <si>
    <t>-430.272185289503 9.23671367254308 216.350349187052</t>
  </si>
  <si>
    <t>-583.20015696469 -115.040726070437 642.145811957639</t>
  </si>
  <si>
    <t>-428.119441115026 -137.408658420011 722.103019706546</t>
  </si>
  <si>
    <t>9763-20170724T164245.394449400.bin</t>
  </si>
  <si>
    <t>-493.582510414248 145.07698565219 -242.594312790059</t>
  </si>
  <si>
    <t>-531.253887999608 136.260286065355 -357.35904982215</t>
  </si>
  <si>
    <t>-545.376206456907 126.175428579962 -477.315067802762</t>
  </si>
  <si>
    <t>-548.29288023628 116.67393410687 -586.384164162856</t>
  </si>
  <si>
    <t>-541.43534572986 106.897266419649 -695.252069255658</t>
  </si>
  <si>
    <t>-521.746910666471 93.1027540645307 -845.658479489716</t>
  </si>
  <si>
    <t>-480.133939215657 85.6052073644314 -938.36842136729</t>
  </si>
  <si>
    <t>-525.075974163315 130.466613286724 -781.270761878637</t>
  </si>
  <si>
    <t>-502.948419204513 274.86354181345 -764.337214532387</t>
  </si>
  <si>
    <t>-429.379533368659 306.515859150717 -458.115203657991</t>
  </si>
  <si>
    <t>-246.598532116775 227.688598588609 -290.725234592562</t>
  </si>
  <si>
    <t>-535.841058263058 67.9461595776174 -776.945977303489</t>
  </si>
  <si>
    <t>-325.29064843164 2.03866218139902 -443.595771242836</t>
  </si>
  <si>
    <t>-477.166113477921 239.247442124032 -254.756284488389</t>
  </si>
  <si>
    <t>-490.345391717727 221.619761416193 200.406494195424</t>
  </si>
  <si>
    <t>-503.311456889947 172.977595538365 668.202981476473</t>
  </si>
  <si>
    <t>-352.713508530894 162.455473198166 758.4973283863</t>
  </si>
  <si>
    <t>-509.887986716315 51.0248061591564 -229.685857490726</t>
  </si>
  <si>
    <t>-430.539295338214 9.3016363175898 217.1034028387</t>
  </si>
  <si>
    <t>-583.237724758735 -115.283376583703 642.734951345891</t>
  </si>
  <si>
    <t>-428.032239514911 -138.115918563942 722.317806455608</t>
  </si>
  <si>
    <t>9763-20170724T164245.423527300.bin</t>
  </si>
  <si>
    <t>-493.329541008731 145.228594680953 -242.06326930279</t>
  </si>
  <si>
    <t>-530.842639356531 136.479989541905 -356.884927071104</t>
  </si>
  <si>
    <t>-544.972208828915 126.339796600656 -476.83543102564</t>
  </si>
  <si>
    <t>-547.965065192166 116.734567640687 -585.893346112984</t>
  </si>
  <si>
    <t>-541.253034482279 106.798279197698 -694.755813501342</t>
  </si>
  <si>
    <t>-521.83752639156 92.7218907254458 -845.171708178383</t>
  </si>
  <si>
    <t>-480.240372836868 85.1371436401555 -937.88153439003</t>
  </si>
  <si>
    <t>-525.063962257312 130.208685251064 -780.850202158611</t>
  </si>
  <si>
    <t>-503.022734709474 274.666146711241 -764.368530341931</t>
  </si>
  <si>
    <t>-430.318334452297 306.976648107214 -458.008732590874</t>
  </si>
  <si>
    <t>-248.52500830061 227.014484589144 -290.082361146901</t>
  </si>
  <si>
    <t>-535.792670792939 67.6918707884911 -776.384558608861</t>
  </si>
  <si>
    <t>-324.402357283455 2.52163128185398 -441.966795880572</t>
  </si>
  <si>
    <t>-477.077304583929 239.356095667937 -254.053878166749</t>
  </si>
  <si>
    <t>-490.128553391769 221.672442794518 201.110558320637</t>
  </si>
  <si>
    <t>-503.97277095929 172.744301373384 668.950385504276</t>
  </si>
  <si>
    <t>-352.830110351368 162.366952527 758.346770937393</t>
  </si>
  <si>
    <t>-509.443111986273 51.1335179357183 -229.396587524207</t>
  </si>
  <si>
    <t>-430.861490233643 9.27415317005375 217.515536437246</t>
  </si>
  <si>
    <t>-583.23815681021 -115.006541991705 643.144891869649</t>
  </si>
  <si>
    <t>-428.109084884242 -138.336826053831 722.732518632023</t>
  </si>
  <si>
    <t>9763-20170724T164245.492545000.bin</t>
  </si>
  <si>
    <t>-492.352372870729 145.34660653442 -241.022351634326</t>
  </si>
  <si>
    <t>-529.718658691337 136.725927166929 -355.901684625291</t>
  </si>
  <si>
    <t>-544.023126751494 126.237516804256 -475.801410811205</t>
  </si>
  <si>
    <t>-547.307592805689 116.110517267537 -584.80365421178</t>
  </si>
  <si>
    <t>-541.01950513421 105.437634258807 -693.6218410524</t>
  </si>
  <si>
    <t>-522.327610668947 90.1069013668661 -844.00675451792</t>
  </si>
  <si>
    <t>-480.898091836555 82.0078376035855 -936.748139646179</t>
  </si>
  <si>
    <t>-525.174460429929 128.117482923851 -779.975332458833</t>
  </si>
  <si>
    <t>-502.960351027331 272.680269122161 -764.704779738112</t>
  </si>
  <si>
    <t>-433.157747934688 305.712640988129 -457.74768104188</t>
  </si>
  <si>
    <t>-253.15064680865 223.188293000431 -289.137855815731</t>
  </si>
  <si>
    <t>-536.022024328805 65.6631198057407 -774.956756443349</t>
  </si>
  <si>
    <t>-323.51113303356 4.59931894108387 -440.634411489262</t>
  </si>
  <si>
    <t>-476.349929078879 239.422876599747 -252.830644940099</t>
  </si>
  <si>
    <t>-489.107034326987 221.64771397038 202.338515328426</t>
  </si>
  <si>
    <t>-504.809437727895 172.558522619598 669.880767146231</t>
  </si>
  <si>
    <t>-352.942567511364 163.262774750961 758.16195300933</t>
  </si>
  <si>
    <t>-508.083392098337 51.1972826739261 -228.62844746343</t>
  </si>
  <si>
    <t>-431.08093398019 9.20807408478021 218.546190880015</t>
  </si>
  <si>
    <t>-583.192694147283 -114.97286777495 644.1269711904</t>
  </si>
  <si>
    <t>-428.162431184842 -138.670200192343 723.798635929201</t>
  </si>
  <si>
    <t>9763-20170724T164245.524630000.bin</t>
  </si>
  <si>
    <t>-491.606320484577 145.427560451859 -240.578044456995</t>
  </si>
  <si>
    <t>-528.967519607886 136.804422321213 -355.458839158686</t>
  </si>
  <si>
    <t>-543.391778150767 126.059701955628 -475.321486982985</t>
  </si>
  <si>
    <t>-546.835804941475 115.592387467142 -584.28663267704</t>
  </si>
  <si>
    <t>-540.757867029954 104.467556839369 -693.07153722441</t>
  </si>
  <si>
    <t>-522.409602162626 88.3897215509497 -843.420584669152</t>
  </si>
  <si>
    <t>-481.07848705283 79.8974163967997 -936.170801865041</t>
  </si>
  <si>
    <t>-525.043396954143 126.707107345615 -779.563299097107</t>
  </si>
  <si>
    <t>-502.485297676196 271.253233077423 -764.905002093784</t>
  </si>
  <si>
    <t>-433.727822305723 305.041964377237 -457.79434954176</t>
  </si>
  <si>
    <t>-254.441944865504 221.3560106567 -288.988868926168</t>
  </si>
  <si>
    <t>-536.0128212267 64.300279248383 -774.228352921353</t>
  </si>
  <si>
    <t>-322.786254647233 5.49301429953928 -441.734637020775</t>
  </si>
  <si>
    <t>-475.63085471502 239.584473534521 -252.437946757562</t>
  </si>
  <si>
    <t>-488.367066081484 221.748044335024 202.729352184171</t>
  </si>
  <si>
    <t>-505.022908108074 172.655368107256 670.163870072903</t>
  </si>
  <si>
    <t>-353.002211777883 163.291959740633 758.172591335118</t>
  </si>
  <si>
    <t>-507.377915994018 51.2009565882304 -228.144364798942</t>
  </si>
  <si>
    <t>-430.844225182458 8.99910898555665 219.090698031959</t>
  </si>
  <si>
    <t>-583.107633458271 -115.477252994249 644.598034714645</t>
  </si>
  <si>
    <t>-428.003378714366 -138.59487302532 724.296030797512</t>
  </si>
  <si>
    <t>9763-20170724T164245.588577800.bin</t>
  </si>
  <si>
    <t>-490.149795278218 146.365569544857 -240.056937865996</t>
  </si>
  <si>
    <t>-527.657521308889 137.734305705532 -354.889406419966</t>
  </si>
  <si>
    <t>-542.384212758832 126.606585769754 -474.680331813115</t>
  </si>
  <si>
    <t>-546.164124266609 115.63542782994 -583.584786584851</t>
  </si>
  <si>
    <t>-540.482619153543 103.846484915956 -692.321176986732</t>
  </si>
  <si>
    <t>-522.746206323566 86.6766058089311 -842.622918693082</t>
  </si>
  <si>
    <t>-481.511577309586 77.4650242217176 -935.347440235951</t>
  </si>
  <si>
    <t>-524.99822732035 125.436650866754 -779.018624843464</t>
  </si>
  <si>
    <t>-501.688500034416 269.953288321219 -765.403885127964</t>
  </si>
  <si>
    <t>-432.334461167829 305.193091763818 -458.590565281781</t>
  </si>
  <si>
    <t>-254.301399658897 220.46425479034 -288.98129596413</t>
  </si>
  <si>
    <t>-536.189843325039 63.1108316464011 -773.219468634962</t>
  </si>
  <si>
    <t>-321.961225271851 7.65681701141655 -442.413143751021</t>
  </si>
  <si>
    <t>-474.012533361007 240.6449237747 -252.214929949002</t>
  </si>
  <si>
    <t>-486.513066993168 222.582900709995 202.950068706565</t>
  </si>
  <si>
    <t>-504.822176599003 172.950580280172 670.038624744217</t>
  </si>
  <si>
    <t>-353.035730310485 163.126793620436 758.400845876125</t>
  </si>
  <si>
    <t>-506.102748994286 52.1447076699797 -227.416989629572</t>
  </si>
  <si>
    <t>-430.116446261904 9.49536964740801 219.869017503998</t>
  </si>
  <si>
    <t>-583.075033386726 -115.24749965853 645.195564268391</t>
  </si>
  <si>
    <t>-428.136858333671 -139.064099390127 725.01060598833</t>
  </si>
  <si>
    <t>9763-20170724T164245.625685800.bin</t>
  </si>
  <si>
    <t>-489.480059608978 146.909908813608 -239.882316298184</t>
  </si>
  <si>
    <t>-527.089221479189 138.213056659779 -354.676589273578</t>
  </si>
  <si>
    <t>-541.980115845812 126.927551639908 -474.432389265648</t>
  </si>
  <si>
    <t>-545.932973199941 115.775326754583 -583.312329804016</t>
  </si>
  <si>
    <t>-540.448114945198 103.766637760032 -692.034773854467</t>
  </si>
  <si>
    <t>-523.008425541528 86.2505596454405 -842.331380117184</t>
  </si>
  <si>
    <t>-481.801064878796 76.6997738262788 -935.033716909821</t>
  </si>
  <si>
    <t>-525.077460639421 125.147458420826 -778.804387330436</t>
  </si>
  <si>
    <t>-501.310227575437 269.675254358828 -765.624987779074</t>
  </si>
  <si>
    <t>-431.511744750481 305.134107195189 -458.937743363102</t>
  </si>
  <si>
    <t>-254.050219275626 220.326069909825 -288.770072236678</t>
  </si>
  <si>
    <t>-536.372421525971 62.8543519302626 -772.85506810785</t>
  </si>
  <si>
    <t>-322.04577139458 9.43019211282794 -442.468754143222</t>
  </si>
  <si>
    <t>-473.25904509484 241.170952456019 -252.12996415957</t>
  </si>
  <si>
    <t>-485.680924155728 222.997229931274 203.032691498552</t>
  </si>
  <si>
    <t>-504.780243200126 172.787600314645 670.146137621296</t>
  </si>
  <si>
    <t>-352.995102230438 162.802442985037 758.492556157819</t>
  </si>
  <si>
    <t>-505.580171769359 52.7174516340823 -227.06307816383</t>
  </si>
  <si>
    <t>-429.760351187274 9.87181326247125 220.232316581667</t>
  </si>
  <si>
    <t>-583.038031675801 -115.185835462986 645.380863872042</t>
  </si>
  <si>
    <t>-428.102038417064 -138.869170855831 725.239837025877</t>
  </si>
  <si>
    <t>9763-20170724T164245.691854000.bin</t>
  </si>
  <si>
    <t>-488.413761147717 147.78454465164 -239.323790165676</t>
  </si>
  <si>
    <t>-526.040499492068 138.927362268655 -354.100095033426</t>
  </si>
  <si>
    <t>-541.037519540364 127.20532601359 -473.800721533602</t>
  </si>
  <si>
    <t>-545.122050875094 115.551110678729 -582.62324221768</t>
  </si>
  <si>
    <t>-539.803819831975 102.936250341134 -691.285234862833</t>
  </si>
  <si>
    <t>-522.631110012705 84.4722002934471 -841.499031473526</t>
  </si>
  <si>
    <t>-481.424036577961 74.3891271957982 -934.145111792715</t>
  </si>
  <si>
    <t>-524.562896456425 123.76495206507 -778.211800196913</t>
  </si>
  <si>
    <t>-500.438280693138 268.299157240695 -766.030558174435</t>
  </si>
  <si>
    <t>-430.165715698953 305.900980376218 -459.707017133483</t>
  </si>
  <si>
    <t>-252.693253015476 221.00115696136 -289.596500978096</t>
  </si>
  <si>
    <t>-535.896139519634 61.5189726481755 -771.856285784878</t>
  </si>
  <si>
    <t>-321.710231826456 11.1992110831988 -443.383453198424</t>
  </si>
  <si>
    <t>-472.131866694937 242.088997739501 -251.7211202529</t>
  </si>
  <si>
    <t>-484.688002668476 223.709166731186 203.429632172137</t>
  </si>
  <si>
    <t>-504.963538952077 172.993929196531 670.367233027679</t>
  </si>
  <si>
    <t>-352.885866252391 163.574799008042 758.271748427601</t>
  </si>
  <si>
    <t>-504.505791777434 53.5517815080469 -226.339394622602</t>
  </si>
  <si>
    <t>-428.953902826153 10.6457083235609 220.995672418739</t>
  </si>
  <si>
    <t>-582.974797532279 -115.194037672711 645.72972829156</t>
  </si>
  <si>
    <t>-428.051930101186 -138.848919692033 725.622481483007</t>
  </si>
  <si>
    <t>9763-20170724T164245.735972000.bin</t>
  </si>
  <si>
    <t>-487.900352633364 148.105663988177 -239.206495025912</t>
  </si>
  <si>
    <t>-525.553163812222 139.147660156347 -353.966476367372</t>
  </si>
  <si>
    <t>-540.604953996326 127.262239968265 -473.644095138768</t>
  </si>
  <si>
    <t>-544.750629230363 115.433759509605 -582.445441187119</t>
  </si>
  <si>
    <t>-539.505167526261 102.617053642777 -691.087378937191</t>
  </si>
  <si>
    <t>-522.44513480426 83.8428245663157 -841.275615343198</t>
  </si>
  <si>
    <t>-481.212998743672 73.574407731453 -933.890067277748</t>
  </si>
  <si>
    <t>-524.332875192594 123.266761304648 -778.068633615589</t>
  </si>
  <si>
    <t>-500.165244728889 267.82879911402 -766.324661196321</t>
  </si>
  <si>
    <t>-429.675843542789 306.412890156401 -460.173306789817</t>
  </si>
  <si>
    <t>-251.996546926575 221.664275756601 -290.203221298771</t>
  </si>
  <si>
    <t>-535.654480103302 61.0329036397646 -771.575268353918</t>
  </si>
  <si>
    <t>-322.067539527378 11.9783692202316 -444.80521331477</t>
  </si>
  <si>
    <t>-471.67417176503 242.457748665709 -251.680503989361</t>
  </si>
  <si>
    <t>-484.18281165307 223.997754530725 203.468346502639</t>
  </si>
  <si>
    <t>-504.844628859987 172.901047658236 670.334868894771</t>
  </si>
  <si>
    <t>-352.741429866592 163.873238130325 758.236041121986</t>
  </si>
  <si>
    <t>-503.928752612189 53.8212923092172 -226.154213934222</t>
  </si>
  <si>
    <t>-428.633360969506 10.9073402113748 221.223424647417</t>
  </si>
  <si>
    <t>-582.915170143809 -115.237087753674 645.824195558628</t>
  </si>
  <si>
    <t>-427.987349344341 -138.694542074029 725.765593550211</t>
  </si>
  <si>
    <t>9763-20170724T164245.790060000.bin</t>
  </si>
  <si>
    <t>-487.243621289121 148.465832605273 -239.014521655223</t>
  </si>
  <si>
    <t>-524.865216633656 139.358413455396 -353.77280146588</t>
  </si>
  <si>
    <t>-539.872263337467 127.181461893251 -473.426783949871</t>
  </si>
  <si>
    <t>-543.972381962203 115.032902965236 -582.194783820225</t>
  </si>
  <si>
    <t>-538.6766354518 101.839684893191 -690.789211732386</t>
  </si>
  <si>
    <t>-521.5429268926 82.4838715570656 -840.89508190893</t>
  </si>
  <si>
    <t>-480.177449819342 71.9048373824946 -933.415218747548</t>
  </si>
  <si>
    <t>-523.57715783251 122.171459431814 -777.858027743587</t>
  </si>
  <si>
    <t>-499.784609786086 266.872186772302 -766.8082203891</t>
  </si>
  <si>
    <t>-428.349907206883 307.44223242377 -461.132901651492</t>
  </si>
  <si>
    <t>-250.320146655499 223.320024917719 -291.218455879666</t>
  </si>
  <si>
    <t>-534.670940106591 59.9249787612555 -771.097651768774</t>
  </si>
  <si>
    <t>-320.163527843489 11.3788947624813 -445.489152843155</t>
  </si>
  <si>
    <t>-471.358609870755 242.906514965862 -251.501620054144</t>
  </si>
  <si>
    <t>-483.320675761472 224.229529019273 203.653039112574</t>
  </si>
  <si>
    <t>-504.886406515394 172.963922450575 670.56173002729</t>
  </si>
  <si>
    <t>-352.75190334896 163.835931104843 758.398488150415</t>
  </si>
  <si>
    <t>-502.932912927193 54.1296144691098 -225.899210014758</t>
  </si>
  <si>
    <t>-428.213021938041 11.1746706669881 221.570953571383</t>
  </si>
  <si>
    <t>-582.791978345227 -115.572208177468 646.029105785093</t>
  </si>
  <si>
    <t>-427.945739965303 -139.044441218944 726.124082074837</t>
  </si>
  <si>
    <t>9763-20170724T164245.822147400.bin</t>
  </si>
  <si>
    <t>-487.132140907707 148.700438342317 -238.880153803834</t>
  </si>
  <si>
    <t>-524.767390775389 139.49746816988 -353.626277021699</t>
  </si>
  <si>
    <t>-539.779564714769 127.177367890866 -473.265100742457</t>
  </si>
  <si>
    <t>-543.881138105429 114.877211927334 -582.015909034132</t>
  </si>
  <si>
    <t>-538.584122991312 101.507936343504 -690.588611416466</t>
  </si>
  <si>
    <t>-521.445939576653 81.8801330808511 -840.658674603272</t>
  </si>
  <si>
    <t>-480.057945773619 71.1569115704276 -933.152252975287</t>
  </si>
  <si>
    <t>-523.513872046042 121.687050908147 -777.698008618464</t>
  </si>
  <si>
    <t>-499.929416095034 266.431569500865 -766.955882448808</t>
  </si>
  <si>
    <t>-428.197025220179 307.689774460627 -461.442530983196</t>
  </si>
  <si>
    <t>-249.902532489751 224.127271624705 -291.529495351593</t>
  </si>
  <si>
    <t>-534.544291800234 59.4425922907416 -770.816737441704</t>
  </si>
  <si>
    <t>-319.856047254134 10.5846889481954 -444.036449543531</t>
  </si>
  <si>
    <t>-471.480732106259 243.068027025902 -251.327554058246</t>
  </si>
  <si>
    <t>-483.180484632246 224.35597994458 203.832418348251</t>
  </si>
  <si>
    <t>-504.999130924075 172.932959606934 670.758073552944</t>
  </si>
  <si>
    <t>-352.751578589201 164.024789956948 758.421318920438</t>
  </si>
  <si>
    <t>-502.619266263017 54.4501025333927 -225.73973111633</t>
  </si>
  <si>
    <t>-428.159830615303 11.4935840588597 221.773599318952</t>
  </si>
  <si>
    <t>-582.80118062538 -115.137084632086 646.131104767624</t>
  </si>
  <si>
    <t>-428.106904952876 -139.342770357581 726.301486654727</t>
  </si>
  <si>
    <t>9763-20170724T164245.890334400.bin</t>
  </si>
  <si>
    <t>-487.29226530103 148.462196769023 -238.482039290255</t>
  </si>
  <si>
    <t>-524.805793966552 139.050582556168 -353.251269794445</t>
  </si>
  <si>
    <t>-539.710202386364 126.530072053356 -472.882491052441</t>
  </si>
  <si>
    <t>-543.722156750362 114.049760802645 -581.616149316366</t>
  </si>
  <si>
    <t>-538.34428442118 100.499298808939 -690.162573296113</t>
  </si>
  <si>
    <t>-521.103776975234 80.6168018439007 -840.18735307856</t>
  </si>
  <si>
    <t>-479.617744794918 69.778537921295 -932.623512664891</t>
  </si>
  <si>
    <t>-523.292378490599 120.543092397835 -777.306268697035</t>
  </si>
  <si>
    <t>-499.912616971554 265.34226252443 -767.002208311534</t>
  </si>
  <si>
    <t>-428.030100377345 307.697135407006 -461.674212048414</t>
  </si>
  <si>
    <t>-250.961624493838 222.031187046329 -291.526844814691</t>
  </si>
  <si>
    <t>-534.171900732567 58.2853351895772 -770.30568736676</t>
  </si>
  <si>
    <t>-320.418471241335 10.0668659927411 -444.19842389751</t>
  </si>
  <si>
    <t>-472.052659861961 242.923934391089 -250.952047946986</t>
  </si>
  <si>
    <t>-483.46222016068 224.235895467012 204.216258592582</t>
  </si>
  <si>
    <t>-505.27981107525 172.939100476191 671.133198056257</t>
  </si>
  <si>
    <t>-352.776790222759 164.339842118174 758.382247205918</t>
  </si>
  <si>
    <t>-502.375206183814 53.9832947399559 -225.378994757808</t>
  </si>
  <si>
    <t>-428.21833065496 11.3082503514889 222.211528441612</t>
  </si>
  <si>
    <t>-582.714683787018 -115.920530123347 646.498921725136</t>
  </si>
  <si>
    <t>-427.702438550157 -138.132117954565 726.632318515838</t>
  </si>
  <si>
    <t>9763-20170724T164245.925429600.bin</t>
  </si>
  <si>
    <t>-487.452934718775 148.167282425948 -238.372824658475</t>
  </si>
  <si>
    <t>-524.979380933632 138.704937882854 -353.1335232073</t>
  </si>
  <si>
    <t>-539.885744112813 126.160426751468 -472.762135354326</t>
  </si>
  <si>
    <t>-543.894931769099 113.667919650739 -581.494370754682</t>
  </si>
  <si>
    <t>-538.509941894053 100.113507581796 -690.0399695598</t>
  </si>
  <si>
    <t>-521.255110236968 80.2332033973156 -840.063470678912</t>
  </si>
  <si>
    <t>-479.733963128173 69.4149374881033 -932.486072818631</t>
  </si>
  <si>
    <t>-523.476733852142 120.162802625176 -777.185711717129</t>
  </si>
  <si>
    <t>-500.132553301328 264.971988267279 -766.898490994446</t>
  </si>
  <si>
    <t>-427.959219762241 307.739230836124 -461.696654514703</t>
  </si>
  <si>
    <t>-252.654102635591 217.851429509199 -291.901554894545</t>
  </si>
  <si>
    <t>-534.302880014069 57.8963853025091 -770.179697559663</t>
  </si>
  <si>
    <t>-320.021330616238 9.4399014494619 -444.714799139189</t>
  </si>
  <si>
    <t>-472.322960502233 242.536058537402 -250.877786002428</t>
  </si>
  <si>
    <t>-483.469115555017 223.934383328871 204.30058987901</t>
  </si>
  <si>
    <t>-505.099633945903 172.510750672048 671.08527946549</t>
  </si>
  <si>
    <t>-352.576844323755 165.186875813533 758.41604739881</t>
  </si>
  <si>
    <t>-502.426357751629 53.8622828322286 -225.217983525344</t>
  </si>
  <si>
    <t>-428.209613537261 11.3379562561874 222.376970486301</t>
  </si>
  <si>
    <t>-582.761022051557 -115.708400960688 646.659100383736</t>
  </si>
  <si>
    <t>-427.858517300777 -138.576076333574 726.82004191812</t>
  </si>
  <si>
    <t>9763-20170724T164245.990607000.bin</t>
  </si>
  <si>
    <t>-487.777603331407 148.125478304674 -238.61233586081</t>
  </si>
  <si>
    <t>-525.336443184897 138.571316141808 -353.35493819531</t>
  </si>
  <si>
    <t>-540.309708928757 126.060012176408 -472.978602188641</t>
  </si>
  <si>
    <t>-544.394330038802 113.638188079401 -581.716280705483</t>
  </si>
  <si>
    <t>-539.099726946853 100.188707095763 -690.279243402024</t>
  </si>
  <si>
    <t>-521.986133729171 80.4838458385445 -840.342045487879</t>
  </si>
  <si>
    <t>-480.43394756008 69.7053857064689 -932.755463289504</t>
  </si>
  <si>
    <t>-524.131785930543 120.337273297702 -777.413399004439</t>
  </si>
  <si>
    <t>-500.460142005763 265.08795122 -767.023296970266</t>
  </si>
  <si>
    <t>-428.50726435077 306.885186475947 -461.63515148761</t>
  </si>
  <si>
    <t>-257.041329380611 204.384270093279 -295.096777588461</t>
  </si>
  <si>
    <t>-534.984910230827 58.0680000038506 -770.474427348927</t>
  </si>
  <si>
    <t>-320.521426727852 10.5946502511811 -444.842930601036</t>
  </si>
  <si>
    <t>-472.762175275853 242.595192424793 -251.355905865364</t>
  </si>
  <si>
    <t>-483.295379285719 224.170541703927 203.844319990615</t>
  </si>
  <si>
    <t>-504.457628917648 173.027516723965 670.387596576438</t>
  </si>
  <si>
    <t>-352.671268612839 163.906576347474 758.825201548864</t>
  </si>
  <si>
    <t>-502.525864040603 53.7277962536927 -225.332793668063</t>
  </si>
  <si>
    <t>-428.290924127786 11.1760475470956 222.256512551592</t>
  </si>
  <si>
    <t>-582.851044173928 -115.898976290786 646.732036174393</t>
  </si>
  <si>
    <t>-428.040135190363 -139.324346252855 726.909029214885</t>
  </si>
  <si>
    <t>9763-20170724T164246.022694100.bin</t>
  </si>
  <si>
    <t>-487.806884019011 147.888852475226 -238.932309672087</t>
  </si>
  <si>
    <t>-525.399381412737 138.34849059042 -353.664970327603</t>
  </si>
  <si>
    <t>-540.377278806049 125.920173765365 -473.2967296179</t>
  </si>
  <si>
    <t>-544.453769146081 113.600646806859 -582.046353129743</t>
  </si>
  <si>
    <t>-539.138767491977 100.280063960825 -690.624171594803</t>
  </si>
  <si>
    <t>-521.983981382259 80.7816550715629 -840.709214389651</t>
  </si>
  <si>
    <t>-480.395203253212 70.0779773553609 -933.11474010449</t>
  </si>
  <si>
    <t>-524.141698025219 120.54759031748 -777.725716930757</t>
  </si>
  <si>
    <t>-500.288218972797 265.242711609957 -767.064116444037</t>
  </si>
  <si>
    <t>-428.46852319077 306.317620437967 -461.546652979825</t>
  </si>
  <si>
    <t>-257.473799570185 200.240183323434 -296.772775128485</t>
  </si>
  <si>
    <t>-535.007260607758 58.2705771145472 -770.876902303672</t>
  </si>
  <si>
    <t>-320.485904188376 11.0920918180139 -442.626509342019</t>
  </si>
  <si>
    <t>-472.667443723623 242.26432874234 -251.795389602088</t>
  </si>
  <si>
    <t>-483.146714751301 223.965621415398 203.411117812362</t>
  </si>
  <si>
    <t>-503.8874589209 172.968918287884 669.862243039191</t>
  </si>
  <si>
    <t>-352.49486128881 164.584349181532 759.0446669757</t>
  </si>
  <si>
    <t>-502.708180917944 53.5392967202719 -225.559280457453</t>
  </si>
  <si>
    <t>-428.384178723249 10.9802270403136 222.014629948238</t>
  </si>
  <si>
    <t>-582.977081525024 -115.845977962084 646.663884264743</t>
  </si>
  <si>
    <t>-428.20861761741 -139.735800322901 726.785678206973</t>
  </si>
  <si>
    <t>9763-20170724T164246.086392600.bin</t>
  </si>
  <si>
    <t>-487.922016037967 146.880597527111 -239.755031261921</t>
  </si>
  <si>
    <t>-525.548782173727 137.408300079243 -354.482047027772</t>
  </si>
  <si>
    <t>-540.493159875988 125.191437665068 -474.13981081439</t>
  </si>
  <si>
    <t>-544.510518427165 113.124958393649 -582.919914960698</t>
  </si>
  <si>
    <t>-539.10740182837 100.121750243941 -691.531896798154</t>
  </si>
  <si>
    <t>-521.799968768407 81.1334510111535 -841.665027285234</t>
  </si>
  <si>
    <t>-480.120551177732 70.7121948590807 -934.061920983608</t>
  </si>
  <si>
    <t>-524.019508824496 120.684778483896 -778.54852828249</t>
  </si>
  <si>
    <t>-499.981782665175 265.322629730387 -767.297434238772</t>
  </si>
  <si>
    <t>-429.599481733133 303.661644928254 -461.090536707331</t>
  </si>
  <si>
    <t>-257.419933515712 195.225625991927 -299.109426222442</t>
  </si>
  <si>
    <t>-534.896456344649 58.3855553591609 -771.922976070932</t>
  </si>
  <si>
    <t>-322.080237328388 11.1787643997457 -441.223302177963</t>
  </si>
  <si>
    <t>-472.513138282413 241.36008903834 -252.693599448782</t>
  </si>
  <si>
    <t>-482.873703189685 223.535956831917 202.534500998037</t>
  </si>
  <si>
    <t>-503.122952797106 173.110491419775 669.208514007021</t>
  </si>
  <si>
    <t>-352.352859916129 164.175685323092 759.386451892307</t>
  </si>
  <si>
    <t>-503.128689526504 52.4347956525713 -226.242096718731</t>
  </si>
  <si>
    <t>-428.547414237953 10.205337247357 221.32021445064</t>
  </si>
  <si>
    <t>-583.282795917901 -115.859446015567 646.337354744006</t>
  </si>
  <si>
    <t>-428.249674714956 -138.908359032099 726.193383361883</t>
  </si>
  <si>
    <t>9763-20170724T164246.119480400.bin</t>
  </si>
  <si>
    <t>-488.102093834179 146.594117286227 -240.101385524072</t>
  </si>
  <si>
    <t>-525.778655771116 137.213122685951 -354.819665527644</t>
  </si>
  <si>
    <t>-540.73227264988 125.142771150022 -474.491190707956</t>
  </si>
  <si>
    <t>-544.740893807036 113.229786137829 -583.288542859117</t>
  </si>
  <si>
    <t>-539.311724774185 100.400557973405 -691.919855282876</t>
  </si>
  <si>
    <t>-521.950366813902 81.6746520310353 -842.079602812539</t>
  </si>
  <si>
    <t>-480.181698352425 71.4271271988671 -934.455754655765</t>
  </si>
  <si>
    <t>-524.148662111235 121.108540380317 -778.888892322464</t>
  </si>
  <si>
    <t>-499.81553221397 265.669851829676 -767.408243014575</t>
  </si>
  <si>
    <t>-430.269634280891 302.810632434116 -460.862706542134</t>
  </si>
  <si>
    <t>-257.555346361867 193.647270042444 -299.942813226687</t>
  </si>
  <si>
    <t>-535.115801313573 58.8120058141228 -772.38817789705</t>
  </si>
  <si>
    <t>-323.116835689368 11.7257133339804 -441.338375620626</t>
  </si>
  <si>
    <t>-472.613762343717 241.099984358605 -252.953998389222</t>
  </si>
  <si>
    <t>-482.943200669074 223.503964373957 202.283695789255</t>
  </si>
  <si>
    <t>-503.11930700892 173.59082713773 669.085490977631</t>
  </si>
  <si>
    <t>-352.519987854211 163.633278015491 759.441448649128</t>
  </si>
  <si>
    <t>-503.456507363072 52.3122056669905 -226.60158469599</t>
  </si>
  <si>
    <t>-428.756623471802 9.78441630734204 220.9126099154</t>
  </si>
  <si>
    <t>-583.388159422914 -116.011392474966 646.124941849355</t>
  </si>
  <si>
    <t>-428.413165851736 -139.638279900521 725.924860156417</t>
  </si>
  <si>
    <t>9763-20170724T164246.191175600.bin</t>
  </si>
  <si>
    <t>-488.740682052042 145.30344683575 -240.57550834382</t>
  </si>
  <si>
    <t>-526.399451051631 136.193758376123 -355.321315330517</t>
  </si>
  <si>
    <t>-541.369920671411 124.371072982825 -475.015403073449</t>
  </si>
  <si>
    <t>-545.408771518752 112.664349743445 -583.834083953783</t>
  </si>
  <si>
    <t>-540.024729583933 100.019936730944 -692.489468610962</t>
  </si>
  <si>
    <t>-522.741768760136 81.5250741687962 -842.68681647812</t>
  </si>
  <si>
    <t>-480.817167432908 71.3482727151345 -935.000133711762</t>
  </si>
  <si>
    <t>-524.738679762521 120.833967368658 -779.411632288011</t>
  </si>
  <si>
    <t>-499.660966022365 265.250281654251 -767.611964545118</t>
  </si>
  <si>
    <t>-430.918434091017 300.740000475908 -460.689909530186</t>
  </si>
  <si>
    <t>-257.587088409214 191.958744343114 -300.175268870019</t>
  </si>
  <si>
    <t>-536.039150633888 58.5829802052997 -773.046511006616</t>
  </si>
  <si>
    <t>-325.887324051827 13.2396766920123 -442.236549543488</t>
  </si>
  <si>
    <t>-472.914924747492 239.869748457566 -253.14045484941</t>
  </si>
  <si>
    <t>-483.254464196207 222.767222634834 202.115784843018</t>
  </si>
  <si>
    <t>-503.256164504153 173.829170996229 669.131303456448</t>
  </si>
  <si>
    <t>-352.613330484672 163.715677865532 759.397412454208</t>
  </si>
  <si>
    <t>-504.478727810919 50.7167542425774 -227.264402766456</t>
  </si>
  <si>
    <t>-429.585283527266 8.48190386163854 220.245223937045</t>
  </si>
  <si>
    <t>-583.579011473892 -116.593726661969 645.924633039588</t>
  </si>
  <si>
    <t>-428.423753266489 -139.549203188211 725.570142906603</t>
  </si>
  <si>
    <t>9763-20170724T164246.223263000.bin</t>
  </si>
  <si>
    <t>-488.946131991885 144.595152524683 -240.66430032139</t>
  </si>
  <si>
    <t>-526.522205120538 135.64585051944 -355.450023388019</t>
  </si>
  <si>
    <t>-541.39962317379 123.947375694393 -475.167866743023</t>
  </si>
  <si>
    <t>-545.351105845729 112.337943093978 -584.000161700716</t>
  </si>
  <si>
    <t>-539.876921785098 99.7764531431304 -692.660598300891</t>
  </si>
  <si>
    <t>-522.466260685257 81.3820467041405 -842.855452738531</t>
  </si>
  <si>
    <t>-480.456563035948 71.194329684287 -935.12895793221</t>
  </si>
  <si>
    <t>-524.442669752669 120.636012367374 -779.545677672315</t>
  </si>
  <si>
    <t>-498.986985397673 264.952116608763 -767.539532710637</t>
  </si>
  <si>
    <t>-430.467057035197 299.946326547136 -460.51085428749</t>
  </si>
  <si>
    <t>-256.330113633998 192.448237389671 -300.003638971163</t>
  </si>
  <si>
    <t>-535.897164018156 58.4059249543474 -773.252047865142</t>
  </si>
  <si>
    <t>-326.722190327075 13.9474221715571 -443.125252197695</t>
  </si>
  <si>
    <t>-472.883049877358 239.147214237031 -253.165349394972</t>
  </si>
  <si>
    <t>-483.395360653776 222.2830098756 202.095874468423</t>
  </si>
  <si>
    <t>-503.258659934791 173.723606430951 669.135792797962</t>
  </si>
  <si>
    <t>-352.58672399436 163.731985399646 759.366771676409</t>
  </si>
  <si>
    <t>-504.829368979257 50.043316798152 -227.475307654009</t>
  </si>
  <si>
    <t>-429.95092532053 7.93727544365559 220.048987329999</t>
  </si>
  <si>
    <t>-583.752341261379 -116.420977265885 645.932230205208</t>
  </si>
  <si>
    <t>-428.658195237796 -140.01013135475 725.511666129397</t>
  </si>
  <si>
    <t>9763-20170724T164246.290460200.bin</t>
  </si>
  <si>
    <t>-489.155611952789 143.322311034469 -240.933865314733</t>
  </si>
  <si>
    <t>-526.805460018094 134.685008615143 -355.71919003884</t>
  </si>
  <si>
    <t>-541.559782274005 123.233859871986 -475.476207194873</t>
  </si>
  <si>
    <t>-545.317984205503 111.823763401509 -584.336372189488</t>
  </si>
  <si>
    <t>-539.569302447548 99.4400408321439 -693.003042700465</t>
  </si>
  <si>
    <t>-521.69417273256 81.2724319354813 -843.17103534975</t>
  </si>
  <si>
    <t>-479.497450543222 71.0921515840709 -935.359865682982</t>
  </si>
  <si>
    <t>-523.738230584328 120.408602323881 -779.790531723634</t>
  </si>
  <si>
    <t>-497.63900208633 264.565351795026 -767.20710607566</t>
  </si>
  <si>
    <t>-429.180862539752 299.409843862614 -460.147566517052</t>
  </si>
  <si>
    <t>-252.584160851058 195.179059429956 -300.173950837399</t>
  </si>
  <si>
    <t>-535.468530471817 58.2133988331005 -773.662346510607</t>
  </si>
  <si>
    <t>-328.740220425372 13.9402219037517 -443.975563026172</t>
  </si>
  <si>
    <t>-472.637247387495 238.049202763574 -253.333337547044</t>
  </si>
  <si>
    <t>-483.287898815794 221.668325289316 201.942241818265</t>
  </si>
  <si>
    <t>-503.291321331806 174.140414884304 669.029487379111</t>
  </si>
  <si>
    <t>-352.734000064711 163.309908614304 759.355077430148</t>
  </si>
  <si>
    <t>-505.52134287997 48.7932266052337 -227.794790710772</t>
  </si>
  <si>
    <t>-430.361552731212 6.52507591954665 219.666999808807</t>
  </si>
  <si>
    <t>-583.985817342462 -116.692727671642 645.896470010527</t>
  </si>
  <si>
    <t>-428.756712476268 -139.827587663147 725.345994069187</t>
  </si>
  <si>
    <t>9763-20170724T164246.325552300.bin</t>
  </si>
  <si>
    <t>-489.182532304471 142.837239090208 -241.055176796601</t>
  </si>
  <si>
    <t>-526.772314639098 134.323724744074 -355.869386541571</t>
  </si>
  <si>
    <t>-541.397385531763 122.95056030204 -475.649807010497</t>
  </si>
  <si>
    <t>-545.011013444596 111.592091734054 -584.52019392772</t>
  </si>
  <si>
    <t>-539.091154673253 99.2413521770552 -693.181432859996</t>
  </si>
  <si>
    <t>-520.9514346473 81.1007251118268 -843.320964752637</t>
  </si>
  <si>
    <t>-478.616635639768 70.9322807887321 -935.447709138255</t>
  </si>
  <si>
    <t>-523.053718331809 120.216106997064 -779.929488578426</t>
  </si>
  <si>
    <t>-496.682980163245 264.326980723613 -767.133160144291</t>
  </si>
  <si>
    <t>-427.90692692172 299.26325825812 -460.15514705053</t>
  </si>
  <si>
    <t>-250.308740245197 196.356363178998 -300.433216167001</t>
  </si>
  <si>
    <t>-534.901730793554 58.0386321328304 -773.848328172156</t>
  </si>
  <si>
    <t>-328.744015267611 13.469599294205 -444.732705340895</t>
  </si>
  <si>
    <t>-472.478110970942 237.534727606308 -253.409177520053</t>
  </si>
  <si>
    <t>-483.108793439526 221.311368893314 201.87254955126</t>
  </si>
  <si>
    <t>-503.223917794473 173.916772950729 669.013371101863</t>
  </si>
  <si>
    <t>-352.655214540128 163.35880515664 759.352234244779</t>
  </si>
  <si>
    <t>-505.673041671464 48.2736814341042 -228.024040310357</t>
  </si>
  <si>
    <t>-430.588812152904 6.07368392241096 219.456931708267</t>
  </si>
  <si>
    <t>-584.074242386963 -116.660955059024 645.858556014591</t>
  </si>
  <si>
    <t>-428.888881993382 -140.115636790206 725.29964644545</t>
  </si>
  <si>
    <t>9763-20170724T164246.387721800.bin</t>
  </si>
  <si>
    <t>-489.202462668739 142.126109001522 -241.203591955068</t>
  </si>
  <si>
    <t>-526.723059635405 133.738922672444 -356.049877555918</t>
  </si>
  <si>
    <t>-541.161999621751 122.426576347825 -475.858568676821</t>
  </si>
  <si>
    <t>-544.560714768478 111.093924869692 -584.738561604763</t>
  </si>
  <si>
    <t>-538.380656702189 98.738773190883 -693.384837328511</t>
  </si>
  <si>
    <t>-519.834434279992 80.5598501597244 -843.470072352458</t>
  </si>
  <si>
    <t>-477.267198656246 70.4083781479958 -935.491602322117</t>
  </si>
  <si>
    <t>-522.040952053503 119.679458090613 -780.084709459495</t>
  </si>
  <si>
    <t>-495.418588620619 263.717717786945 -767.051160630345</t>
  </si>
  <si>
    <t>-425.989880109458 299.173121331574 -460.27955738175</t>
  </si>
  <si>
    <t>-246.9678312244 198.071947713221 -300.994546111418</t>
  </si>
  <si>
    <t>-534.040172866773 57.5274810782097 -774.039329881085</t>
  </si>
  <si>
    <t>-328.376671629203 11.0493718999741 -445.212325856258</t>
  </si>
  <si>
    <t>-472.415170677814 237.02440866292 -253.45231196514</t>
  </si>
  <si>
    <t>-482.952818742389 221.006878088783 201.838855802625</t>
  </si>
  <si>
    <t>-503.380143916963 174.358875155753 669.025707789759</t>
  </si>
  <si>
    <t>-352.846392068134 163.142294702515 759.343386207915</t>
  </si>
  <si>
    <t>-505.886415468632 47.3775075860227 -228.276639944654</t>
  </si>
  <si>
    <t>-430.789894501356 5.48442233449798 219.231048533509</t>
  </si>
  <si>
    <t>-584.156694509668 -116.824241633375 645.789044784629</t>
  </si>
  <si>
    <t>-428.975086317797 -140.249740421532 725.246136180861</t>
  </si>
  <si>
    <t>9763-20170724T164246.425824600.bin</t>
  </si>
  <si>
    <t>-489.243383806857 141.882173877155 -241.224003288218</t>
  </si>
  <si>
    <t>-526.731686634933 133.500782320244 -356.081150010458</t>
  </si>
  <si>
    <t>-541.076059534372 122.182817524322 -475.900583612331</t>
  </si>
  <si>
    <t>-544.364379597474 110.838249791267 -584.782799123282</t>
  </si>
  <si>
    <t>-538.049958012244 98.4632065406842 -693.419111229805</t>
  </si>
  <si>
    <t>-519.293167463036 80.2472704730453 -843.473657383798</t>
  </si>
  <si>
    <t>-476.617465413798 70.0839208041773 -935.443583776694</t>
  </si>
  <si>
    <t>-521.559883483019 119.377354272834 -780.096832152485</t>
  </si>
  <si>
    <t>-494.842133949242 263.374280027398 -766.964441297804</t>
  </si>
  <si>
    <t>-425.074058543732 298.842484459134 -460.27147541795</t>
  </si>
  <si>
    <t>-245.187177225751 198.875346187056 -301.24511148494</t>
  </si>
  <si>
    <t>-533.625033280528 57.2371816503605 -774.061410776742</t>
  </si>
  <si>
    <t>-328.053361533688 10.5188912264113 -445.090080104908</t>
  </si>
  <si>
    <t>-472.353451579997 236.591558043145 -253.479212099792</t>
  </si>
  <si>
    <t>-482.86770269403 220.643352600283 201.815066074454</t>
  </si>
  <si>
    <t>-503.198679791544 173.76578617624 668.980215701402</t>
  </si>
  <si>
    <t>-352.579321626928 163.731657201592 759.294453238416</t>
  </si>
  <si>
    <t>-506.013982632556 47.2806080568996 -228.308609418471</t>
  </si>
  <si>
    <t>-430.686624728993 5.59045046540658 219.179216988272</t>
  </si>
  <si>
    <t>-584.221489583731 -116.335302028044 645.708981170515</t>
  </si>
  <si>
    <t>-429.265702872448 -141.030923731159 725.222185920214</t>
  </si>
  <si>
    <t>9763-20170724T164246.487003300.bin</t>
  </si>
  <si>
    <t>-489.248002353946 141.794464553251 -241.22371671577</t>
  </si>
  <si>
    <t>-526.827803810155 133.323591647014 -356.044508888241</t>
  </si>
  <si>
    <t>-541.071150024777 121.925480621143 -475.868326233243</t>
  </si>
  <si>
    <t>-544.188597461784 110.511069303713 -584.748331819848</t>
  </si>
  <si>
    <t>-537.624812041191 98.0682552407028 -693.362012860149</t>
  </si>
  <si>
    <t>-518.442110851036 79.7596093032969 -843.351470917996</t>
  </si>
  <si>
    <t>-475.606872698566 69.5515228086655 -935.242307860415</t>
  </si>
  <si>
    <t>-520.868211136173 118.925127129438 -780.002563797626</t>
  </si>
  <si>
    <t>-494.246664080182 262.913122512119 -766.645689844501</t>
  </si>
  <si>
    <t>-422.626125029327 298.402849461829 -460.382445444868</t>
  </si>
  <si>
    <t>-241.374925499882 200.075463939459 -301.884002869204</t>
  </si>
  <si>
    <t>-532.991510529161 56.796063967452 -773.969169353262</t>
  </si>
  <si>
    <t>-327.624123692542 9.10789785018284 -445.359836081065</t>
  </si>
  <si>
    <t>-472.452474608475 236.696738048376 -253.569222447967</t>
  </si>
  <si>
    <t>-483.040921487968 220.772322152432 201.724074116497</t>
  </si>
  <si>
    <t>-503.164163759636 174.065938498701 668.879939467637</t>
  </si>
  <si>
    <t>-352.702704481164 162.872491610966 759.320957616548</t>
  </si>
  <si>
    <t>-505.918143376106 47.0899421517406 -228.205160255383</t>
  </si>
  <si>
    <t>-430.210052921429 5.26343135434067 219.205735819867</t>
  </si>
  <si>
    <t>-584.175365239332 -116.996908609638 645.538569018466</t>
  </si>
  <si>
    <t>-428.914445283785 -139.835079685202 725.011723284613</t>
  </si>
  <si>
    <t>9763-20170724T164246.525104200.bin</t>
  </si>
  <si>
    <t>-489.274992252177 142.048693226707 -241.264045897212</t>
  </si>
  <si>
    <t>-526.854703508809 133.499187902496 -356.079011833603</t>
  </si>
  <si>
    <t>-541.079457814972 122.083305915316 -475.903411541073</t>
  </si>
  <si>
    <t>-544.172565426669 110.677232467877 -584.784959891934</t>
  </si>
  <si>
    <t>-537.577075467145 98.2669020936199 -693.400419584748</t>
  </si>
  <si>
    <t>-518.342820885821 80.0282612837785 -843.391799670387</t>
  </si>
  <si>
    <t>-475.461133223797 69.8552727732472 -935.264834420628</t>
  </si>
  <si>
    <t>-520.808000805346 119.16734192543 -780.027930417892</t>
  </si>
  <si>
    <t>-494.289278634588 263.174662847173 -766.601590918172</t>
  </si>
  <si>
    <t>-421.258808421984 298.572185950747 -460.660880621857</t>
  </si>
  <si>
    <t>-239.767707524859 200.411408481224 -302.333601390137</t>
  </si>
  <si>
    <t>-532.898714542607 57.0292013953147 -774.022577215804</t>
  </si>
  <si>
    <t>-327.262450954487 9.15939673952707 -445.129613068853</t>
  </si>
  <si>
    <t>-472.551469657289 236.83654345044 -253.620492360647</t>
  </si>
  <si>
    <t>-483.13519186136 220.851307980881 201.67082496062</t>
  </si>
  <si>
    <t>-503.050973965592 173.678380110972 668.870890660365</t>
  </si>
  <si>
    <t>-352.541485040771 162.960194046756 759.289535418298</t>
  </si>
  <si>
    <t>-505.853154032907 47.406765748997 -228.211744434598</t>
  </si>
  <si>
    <t>-430.119815312625 5.48048656268836 219.185615597016</t>
  </si>
  <si>
    <t>-584.180769977428 -116.975966937449 645.445969320706</t>
  </si>
  <si>
    <t>-428.994035724587 -140.184117689323 724.956783880604</t>
  </si>
  <si>
    <t>9763-20170724T164246.592202700.bin</t>
  </si>
  <si>
    <t>-489.479412488109 142.623768764428 -241.27979994408</t>
  </si>
  <si>
    <t>-527.059962991561 133.957003810246 -356.085581659171</t>
  </si>
  <si>
    <t>-541.302280147076 122.515098766647 -475.905555686809</t>
  </si>
  <si>
    <t>-544.417687262977 111.124174766715 -584.787916480749</t>
  </si>
  <si>
    <t>-537.85096277641 98.7679493735334 -693.411389271605</t>
  </si>
  <si>
    <t>-518.662802016501 80.6451502360522 -843.422802574136</t>
  </si>
  <si>
    <t>-475.803985514322 70.5981660175535 -935.320228981877</t>
  </si>
  <si>
    <t>-521.198120342852 119.751291360842 -780.041383190005</t>
  </si>
  <si>
    <t>-495.103402605643 263.819071059292 -766.481966320868</t>
  </si>
  <si>
    <t>-419.078668246245 299.225885352616 -461.272532655224</t>
  </si>
  <si>
    <t>-237.152278197402 200.958649645984 -303.51195618066</t>
  </si>
  <si>
    <t>-533.107763468683 57.5765043252237 -774.053436175383</t>
  </si>
  <si>
    <t>-326.983275032798 10.2068414617004 -444.94183580765</t>
  </si>
  <si>
    <t>-472.948655832444 237.545428720406 -253.700038006594</t>
  </si>
  <si>
    <t>-483.440713354617 221.269515531028 201.583076473163</t>
  </si>
  <si>
    <t>-503.030250270279 174.264681408204 668.677835666433</t>
  </si>
  <si>
    <t>-352.630240557547 163.400141218262 759.260952151666</t>
  </si>
  <si>
    <t>-505.933661578762 47.7808491100174 -228.232969602898</t>
  </si>
  <si>
    <t>-430.118275410697 5.92954757921042 219.157432766125</t>
  </si>
  <si>
    <t>-584.126005873536 -117.275341517763 645.254515001438</t>
  </si>
  <si>
    <t>-428.921902132207 -140.242168043019 724.801640595173</t>
  </si>
  <si>
    <t>9763-20170724T164246.623284100.bin</t>
  </si>
  <si>
    <t>-489.584293981288 143.095933894357 -241.387361542908</t>
  </si>
  <si>
    <t>-527.200214516967 134.391129959823 -356.17888279125</t>
  </si>
  <si>
    <t>-541.470546016777 122.993100458136 -475.999559932831</t>
  </si>
  <si>
    <t>-544.607942355378 111.675081477432 -584.889041199131</t>
  </si>
  <si>
    <t>-538.059368653259 99.4243995958766 -693.52557479201</t>
  </si>
  <si>
    <t>-518.892540641487 81.482257602291 -843.561301530734</t>
  </si>
  <si>
    <t>-476.097022064123 71.5522523102312 -935.501035640958</t>
  </si>
  <si>
    <t>-521.465295751747 120.520284718069 -780.139279402412</t>
  </si>
  <si>
    <t>-495.504321305438 264.605320014984 -766.422395285135</t>
  </si>
  <si>
    <t>-418.659331719702 299.538021506603 -461.363715418509</t>
  </si>
  <si>
    <t>-236.137684687942 201.35407150308 -304.240298753116</t>
  </si>
  <si>
    <t>-533.281217232998 58.3218909595894 -774.210723019898</t>
  </si>
  <si>
    <t>-326.876063707581 11.5898410032869 -444.745489368656</t>
  </si>
  <si>
    <t>-473.122098185764 237.927210307897 -253.816803928343</t>
  </si>
  <si>
    <t>-483.473375541502 221.505007150613 201.464229517373</t>
  </si>
  <si>
    <t>-502.855381766062 174.182047086407 668.554111986343</t>
  </si>
  <si>
    <t>-352.482121559138 163.974784874541 759.258005917871</t>
  </si>
  <si>
    <t>-505.923001001168 48.3903845826841 -228.3382697296</t>
  </si>
  <si>
    <t>-430.137693359416 6.55932850575277 219.059042841754</t>
  </si>
  <si>
    <t>-584.185633730424 -116.67689825313 645.134821077214</t>
  </si>
  <si>
    <t>-429.278057359585 -141.35382805877 724.747621392669</t>
  </si>
  <si>
    <t>9763-20170724T164246.691493300.bin</t>
  </si>
  <si>
    <t>-489.797462624345 143.912829649398 -241.441518904898</t>
  </si>
  <si>
    <t>-527.416246036802 135.131354503324 -356.226303338617</t>
  </si>
  <si>
    <t>-541.682685726134 123.785310601071 -476.052295349953</t>
  </si>
  <si>
    <t>-544.812864855479 112.573794320238 -584.952937088095</t>
  </si>
  <si>
    <t>-538.253050709681 100.492912281232 -693.607815109641</t>
  </si>
  <si>
    <t>-519.065782213816 82.8557366429699 -843.676992490948</t>
  </si>
  <si>
    <t>-476.370385723129 73.1334290271815 -935.685620264365</t>
  </si>
  <si>
    <t>-521.769615548707 121.786104241313 -780.194490972969</t>
  </si>
  <si>
    <t>-496.249036275771 265.917771960945 -766.196513106038</t>
  </si>
  <si>
    <t>-418.027022535128 299.532186933305 -461.339971680302</t>
  </si>
  <si>
    <t>-234.055583782531 202.441339997208 -305.231273239543</t>
  </si>
  <si>
    <t>-533.341536927004 59.5332156413691 -774.357679581474</t>
  </si>
  <si>
    <t>-326.532935877758 13.1606968954306 -444.579199968385</t>
  </si>
  <si>
    <t>-473.471346734815 238.831473082239 -253.88471141813</t>
  </si>
  <si>
    <t>-483.875092548556 222.00477814286 201.380355909784</t>
  </si>
  <si>
    <t>-502.725318374449 174.124500370998 668.465277281012</t>
  </si>
  <si>
    <t>-352.403027882239 163.785991559565 759.238820618098</t>
  </si>
  <si>
    <t>-505.943206228178 49.0156024328265 -228.339936543615</t>
  </si>
  <si>
    <t>-430.068476349896 6.85168688958181 219.011000049716</t>
  </si>
  <si>
    <t>-584.139292198037 -117.230147107875 644.922963566959</t>
  </si>
  <si>
    <t>-429.05657331301 -140.791272026407 724.532911818183</t>
  </si>
  <si>
    <t>9763-20170724T164246.726568100.bin</t>
  </si>
  <si>
    <t>-489.84489980671 144.235607714335 -241.461364256032</t>
  </si>
  <si>
    <t>-527.522929602097 135.413846372307 -356.223484923367</t>
  </si>
  <si>
    <t>-541.810616715405 124.112079670211 -476.05128157509</t>
  </si>
  <si>
    <t>-544.943716095436 112.975492099749 -584.959515143183</t>
  </si>
  <si>
    <t>-538.370318176379 101.004708128117 -693.62574168979</t>
  </si>
  <si>
    <t>-519.146944311756 83.5574352135858 -843.712546017847</t>
  </si>
  <si>
    <t>-476.462776409446 73.9511501389428 -935.73851990413</t>
  </si>
  <si>
    <t>-521.893944183809 122.412220735566 -780.185515978289</t>
  </si>
  <si>
    <t>-496.405643672657 266.544341179538 -766.019033075675</t>
  </si>
  <si>
    <t>-417.410382318776 299.57138379564 -461.297597304244</t>
  </si>
  <si>
    <t>-233.005618637724 202.859894833832 -305.464872281743</t>
  </si>
  <si>
    <t>-533.411359092863 60.142405722163 -774.422038488283</t>
  </si>
  <si>
    <t>-326.63441181525 13.8862787475872 -444.555368860889</t>
  </si>
  <si>
    <t>-473.568774932083 239.177544333156 -253.937528231283</t>
  </si>
  <si>
    <t>-483.943868535535 222.195391937607 201.322452292093</t>
  </si>
  <si>
    <t>-502.619925538265 174.134326287065 668.373162834033</t>
  </si>
  <si>
    <t>-352.328369094176 163.924634798096 759.212125197581</t>
  </si>
  <si>
    <t>-505.914353649788 49.3439273240161 -228.321163645454</t>
  </si>
  <si>
    <t>-429.98019252411 7.04282846918483 219.006670078859</t>
  </si>
  <si>
    <t>-584.179977799393 -117.137879372314 644.829504172613</t>
  </si>
  <si>
    <t>-429.091595980994 -140.698842259562 724.428250468903</t>
  </si>
  <si>
    <t>9763-20170724T164246.789738700.bin</t>
  </si>
  <si>
    <t>-489.955285958404 144.897395972808 -241.413610762026</t>
  </si>
  <si>
    <t>-527.698279953329 136.014678618759 -356.149675286987</t>
  </si>
  <si>
    <t>-541.974911622728 124.809870155834 -475.987800439689</t>
  </si>
  <si>
    <t>-545.065833031523 113.826150639974 -584.91284686718</t>
  </si>
  <si>
    <t>-538.418138614227 102.073679085241 -693.598484034222</t>
  </si>
  <si>
    <t>-519.058371128843 84.9983574832294 -843.710497293299</t>
  </si>
  <si>
    <t>-476.328031431662 75.6224835636898 -935.738699953609</t>
  </si>
  <si>
    <t>-521.89752162591 123.701498024329 -780.09505046098</t>
  </si>
  <si>
    <t>-496.453109375922 267.800964762699 -765.588283759135</t>
  </si>
  <si>
    <t>-415.948295708353 299.264683084539 -461.096714494094</t>
  </si>
  <si>
    <t>-230.554230145084 203.529042343522 -305.836274693617</t>
  </si>
  <si>
    <t>-533.35145693682 61.4058381733503 -774.486130986952</t>
  </si>
  <si>
    <t>-326.770569110839 14.5456065290639 -444.921398737587</t>
  </si>
  <si>
    <t>-473.747823966241 239.940202914266 -253.928508289894</t>
  </si>
  <si>
    <t>-484.143961881408 222.663910010013 201.31996138833</t>
  </si>
  <si>
    <t>-502.553362720461 174.145434690305 668.352597516893</t>
  </si>
  <si>
    <t>-352.248704891931 163.858250681933 759.161127475434</t>
  </si>
  <si>
    <t>-505.999595659729 49.9394765786768 -228.235162094074</t>
  </si>
  <si>
    <t>-429.711282143025 7.42129917398096 219.011981885987</t>
  </si>
  <si>
    <t>-584.190560506785 -117.173119036753 644.594191512884</t>
  </si>
  <si>
    <t>-429.001437134857 -140.205472865914 724.151385817392</t>
  </si>
  <si>
    <t>9763-20170724T164246.820830700.bin</t>
  </si>
  <si>
    <t>-490.04096602698 145.360190152924 -241.408230425167</t>
  </si>
  <si>
    <t>-527.812786742213 136.475413468371 -356.13456253799</t>
  </si>
  <si>
    <t>-542.0994395328 125.333028166104 -475.977404668552</t>
  </si>
  <si>
    <t>-545.191402249854 114.431140660471 -584.910643649153</t>
  </si>
  <si>
    <t>-538.536669007685 102.785616270034 -693.607201542884</t>
  </si>
  <si>
    <t>-519.158649988547 85.8843654778035 -843.736686667634</t>
  </si>
  <si>
    <t>-476.397892797388 76.6064503042742 -935.760646166651</t>
  </si>
  <si>
    <t>-521.999463522382 124.512683689588 -780.075736472827</t>
  </si>
  <si>
    <t>-496.494678783254 268.589605210452 -765.371618030134</t>
  </si>
  <si>
    <t>-415.498754234525 299.154373877728 -460.91851618252</t>
  </si>
  <si>
    <t>-229.504713913485 203.623686705722 -306.25059838983</t>
  </si>
  <si>
    <t>-533.466071629931 62.2125989547293 -774.542262839558</t>
  </si>
  <si>
    <t>-326.688789804637 14.7023599900857 -445.111843470064</t>
  </si>
  <si>
    <t>-473.815592650984 240.391853054564 -253.934233712568</t>
  </si>
  <si>
    <t>-484.200836265602 222.952404995729 201.308124866912</t>
  </si>
  <si>
    <t>-502.486101586785 174.142022022123 668.300495916737</t>
  </si>
  <si>
    <t>-352.174626577943 164.100542488308 759.125293720051</t>
  </si>
  <si>
    <t>-506.074039841264 50.4660821821443 -228.242178633661</t>
  </si>
  <si>
    <t>-429.58405782928 7.85688435883064 218.961775674663</t>
  </si>
  <si>
    <t>-584.203837783192 -116.814780217491 644.437365868753</t>
  </si>
  <si>
    <t>-429.20824083357 -140.894690144902 724.061709615406</t>
  </si>
  <si>
    <t>9763-20170724T164246.887500400.bin</t>
  </si>
  <si>
    <t>-490.269747632674 146.173292847514 -241.429493808614</t>
  </si>
  <si>
    <t>-528.056975238663 137.364082897152 -356.156643592541</t>
  </si>
  <si>
    <t>-542.382628733898 126.365061420565 -476.0080983705</t>
  </si>
  <si>
    <t>-545.519340158252 115.618715609154 -584.95542240867</t>
  </si>
  <si>
    <t>-538.918435463073 104.153540008513 -693.674417640285</t>
  </si>
  <si>
    <t>-519.624287624936 87.5282297644222 -843.845462393736</t>
  </si>
  <si>
    <t>-476.853651916645 78.3573781361766 -935.875679621246</t>
  </si>
  <si>
    <t>-522.387700756435 126.032306695885 -780.105987815361</t>
  </si>
  <si>
    <t>-496.808218740861 270.057927647859 -765.080057955189</t>
  </si>
  <si>
    <t>-415.663220976729 298.522697624387 -460.46323903836</t>
  </si>
  <si>
    <t>-228.223637653408 204.656821687467 -306.52279329152</t>
  </si>
  <si>
    <t>-533.934917940657 63.7365445160521 -774.692839451324</t>
  </si>
  <si>
    <t>-326.806453587568 15.2035367939557 -445.58682104558</t>
  </si>
  <si>
    <t>-473.889356757668 241.17775499061 -253.92200705836</t>
  </si>
  <si>
    <t>-484.470767608566 223.465224472656 201.305404425774</t>
  </si>
  <si>
    <t>-502.378756716356 174.024785565639 668.269382457259</t>
  </si>
  <si>
    <t>-352.063501700884 163.687425633932 759.054728840324</t>
  </si>
  <si>
    <t>-506.454835133665 51.2113638401789 -228.303514367211</t>
  </si>
  <si>
    <t>-429.634789352859 8.18342933894364 218.803766586507</t>
  </si>
  <si>
    <t>-584.187692173214 -116.90148487416 644.233241644642</t>
  </si>
  <si>
    <t>-429.279522536398 -141.332159041702 723.920901150073</t>
  </si>
  <si>
    <t>9763-20170724T164246.924869000.bin</t>
  </si>
  <si>
    <t>-490.306272532782 146.32508534361 -241.440842352376</t>
  </si>
  <si>
    <t>-528.09041595204 137.59379361145 -356.175011488546</t>
  </si>
  <si>
    <t>-542.444446830952 126.680254879841 -476.030860404065</t>
  </si>
  <si>
    <t>-545.6194920485 116.01573597319 -584.985073778859</t>
  </si>
  <si>
    <t>-539.069098519024 104.638044471913 -693.716413458593</t>
  </si>
  <si>
    <t>-519.857543020377 88.1410858307287 -843.91214180857</t>
  </si>
  <si>
    <t>-477.133392676763 79.0092716883209 -935.967834481389</t>
  </si>
  <si>
    <t>-522.56159466565 126.586406659954 -780.134820036506</t>
  </si>
  <si>
    <t>-497.146505230618 270.638464002227 -765.004580161684</t>
  </si>
  <si>
    <t>-416.262120022393 298.388869030587 -460.252474340469</t>
  </si>
  <si>
    <t>-227.855329814303 206.434742853203 -306.338979880791</t>
  </si>
  <si>
    <t>-534.154551733267 64.2945110879994 -774.775638046167</t>
  </si>
  <si>
    <t>-326.783658118981 15.061411000597 -445.555191036927</t>
  </si>
  <si>
    <t>-473.820072307044 241.440434076849 -253.900417496188</t>
  </si>
  <si>
    <t>-484.623117418327 223.557033537626 201.315023335905</t>
  </si>
  <si>
    <t>-502.403316806368 174.12752696377 668.300706143761</t>
  </si>
  <si>
    <t>-352.031038520347 163.834662928762 758.996513397751</t>
  </si>
  <si>
    <t>-506.599073923848 51.1795397872575 -228.342537896389</t>
  </si>
  <si>
    <t>-429.742878898488 8.09656641020929 218.75321632341</t>
  </si>
  <si>
    <t>-584.166375394731 -117.255379731483 644.209552308166</t>
  </si>
  <si>
    <t>-429.123029269562 -140.818878515798 723.895365527263</t>
  </si>
  <si>
    <t>9763-20170724T164246.990659600.bin</t>
  </si>
  <si>
    <t>-490.609442008715 146.37100387647 -241.417685542389</t>
  </si>
  <si>
    <t>-528.362558401934 137.839848674664 -356.177129237079</t>
  </si>
  <si>
    <t>-542.874699316013 127.001280727889 -476.020730917227</t>
  </si>
  <si>
    <t>-546.270289207415 116.357183771396 -584.970302263706</t>
  </si>
  <si>
    <t>-540.016351698119 104.955733037993 -693.716605425774</t>
  </si>
  <si>
    <t>-521.29332765336 88.3821075259069 -843.965600733444</t>
  </si>
  <si>
    <t>-478.802677465966 79.1940539816439 -936.123679345811</t>
  </si>
  <si>
    <t>-523.69446296407 126.843315834172 -780.185567167477</t>
  </si>
  <si>
    <t>-498.956281142071 271.070486387198 -765.473846636409</t>
  </si>
  <si>
    <t>-420.02994883653 299.6701883901 -460.287351438593</t>
  </si>
  <si>
    <t>-229.199166978781 215.43667873282 -304.947616796597</t>
  </si>
  <si>
    <t>-535.460860827076 64.5875627905846 -774.784552697055</t>
  </si>
  <si>
    <t>-327.521538561214 13.9741750346888 -445.140965244278</t>
  </si>
  <si>
    <t>-473.7579590859 241.437919852844 -253.771303943624</t>
  </si>
  <si>
    <t>-485.339802439913 223.242812363266 201.412737295424</t>
  </si>
  <si>
    <t>-502.528660637801 173.824496282767 668.570782221632</t>
  </si>
  <si>
    <t>-351.708325865634 165.09007571236 758.68439839824</t>
  </si>
  <si>
    <t>-507.352695674711 51.3215639059569 -228.403182428803</t>
  </si>
  <si>
    <t>-430.309421551581 8.04824031292529 218.641992460518</t>
  </si>
  <si>
    <t>-584.162284797147 -117.234658785629 644.184436751471</t>
  </si>
  <si>
    <t>-429.171888774152 -140.86851197265 723.952464169291</t>
  </si>
  <si>
    <t>9763-20170724T164247.022742100.bin</t>
  </si>
  <si>
    <t>-490.876252464283 146.425699526535 -241.267845439754</t>
  </si>
  <si>
    <t>-528.559787683204 138.001243065364 -356.057983268146</t>
  </si>
  <si>
    <t>-543.169451137138 127.124991568541 -475.886261026155</t>
  </si>
  <si>
    <t>-546.722438554866 116.387486573418 -584.821698796414</t>
  </si>
  <si>
    <t>-540.694334152657 104.833740402154 -693.564701241206</t>
  </si>
  <si>
    <t>-522.354808896526 87.987022572382 -843.830650255952</t>
  </si>
  <si>
    <t>-480.018900495908 78.6999865875309 -936.049937781837</t>
  </si>
  <si>
    <t>-524.502479108463 126.547996651143 -780.101862130251</t>
  </si>
  <si>
    <t>-500.155979481198 270.870046007145 -765.78636779965</t>
  </si>
  <si>
    <t>-423.557357552155 300.999369050452 -460.154146405666</t>
  </si>
  <si>
    <t>-232.264366161228 221.310072659544 -302.996128368353</t>
  </si>
  <si>
    <t>-536.436504879167 64.334408529256 -774.583368635496</t>
  </si>
  <si>
    <t>-328.099318138366 12.898869517396 -444.556561971194</t>
  </si>
  <si>
    <t>-473.904588667156 241.564636070746 -253.451114027192</t>
  </si>
  <si>
    <t>-486.038591020618 223.271731362043 201.714533041517</t>
  </si>
  <si>
    <t>-503.090441484701 174.037152807584 669.126941535294</t>
  </si>
  <si>
    <t>-351.826772391904 164.542732264079 758.416742567619</t>
  </si>
  <si>
    <t>-507.727641155188 51.3940545494476 -228.358128561099</t>
  </si>
  <si>
    <t>-430.81570361123 7.99427994312305 218.697532668655</t>
  </si>
  <si>
    <t>-584.118726958759 -117.380785554352 644.324806353995</t>
  </si>
  <si>
    <t>-429.132450765637 -140.815755259676 724.159407614262</t>
  </si>
  <si>
    <t>9763-20170724T164247.093482700.bin</t>
  </si>
  <si>
    <t>-491.45386681059 146.663468872529 -240.547931534901</t>
  </si>
  <si>
    <t>-528.895957222316 138.491043322085 -355.435314227808</t>
  </si>
  <si>
    <t>-543.464369886818 127.546531821709 -475.262389564093</t>
  </si>
  <si>
    <t>-547.064379726149 116.62261502682 -584.177827060171</t>
  </si>
  <si>
    <t>-541.167230403297 104.762091630157 -692.894835848967</t>
  </si>
  <si>
    <t>-523.095726372906 87.367815856788 -843.130965933244</t>
  </si>
  <si>
    <t>-480.941483790853 77.9212315127914 -935.417229170212</t>
  </si>
  <si>
    <t>-524.99925506023 126.137098793721 -779.520747611799</t>
  </si>
  <si>
    <t>-501.201341434139 270.57124194644 -765.772235817479</t>
  </si>
  <si>
    <t>-431.324147500962 305.916881997174 -459.089987416373</t>
  </si>
  <si>
    <t>-243.258912211333 229.802015688265 -296.362961942663</t>
  </si>
  <si>
    <t>-537.184414279514 63.991395241694 -773.791337930935</t>
  </si>
  <si>
    <t>-328.442694293779 12.2907053026061 -443.3997855693</t>
  </si>
  <si>
    <t>-474.110448617512 241.862815608759 -252.536551834833</t>
  </si>
  <si>
    <t>-487.015181060012 223.408537471081 202.601441159656</t>
  </si>
  <si>
    <t>-504.242628692105 174.851459348733 670.070806173718</t>
  </si>
  <si>
    <t>-352.104613735623 164.455149211013 757.760292552377</t>
  </si>
  <si>
    <t>-508.604932248044 51.5237895805339 -227.867879814847</t>
  </si>
  <si>
    <t>-432.040520536677 7.6418595191778 219.200271368778</t>
  </si>
  <si>
    <t>-584.058870782369 -117.778627015286 645.048011521178</t>
  </si>
  <si>
    <t>-429.047637382372 -140.808237423684 724.952064567261</t>
  </si>
  <si>
    <t>9763-20170724T164247.119553100.bin</t>
  </si>
  <si>
    <t>-491.642824054969 146.683423606126 -240.139717845468</t>
  </si>
  <si>
    <t>-529.161220622047 138.688129364825 -355.01470754493</t>
  </si>
  <si>
    <t>-543.675985498659 127.78488881838 -474.852118033613</t>
  </si>
  <si>
    <t>-547.17241185913 116.850892348136 -583.769829295624</t>
  </si>
  <si>
    <t>-541.116570298036 104.938657923386 -692.472549268099</t>
  </si>
  <si>
    <t>-522.767878588045 87.4342939891055 -842.662162134408</t>
  </si>
  <si>
    <t>-480.544134743258 77.9680501537858 -934.914697087785</t>
  </si>
  <si>
    <t>-524.776464924453 126.247946257901 -779.08246708567</t>
  </si>
  <si>
    <t>-501.107193614282 270.729490949239 -765.503503726027</t>
  </si>
  <si>
    <t>-436.232858498076 307.597095228306 -457.902615575063</t>
  </si>
  <si>
    <t>-250.340137241197 232.010440398735 -292.455864764157</t>
  </si>
  <si>
    <t>-536.996783322884 64.1109466586605 -773.333347621318</t>
  </si>
  <si>
    <t>-327.890309815873 12.4791115159371 -444.020052900083</t>
  </si>
  <si>
    <t>-474.036189391522 241.770519794844 -252.089466087776</t>
  </si>
  <si>
    <t>-487.019998562381 223.208979995614 203.041873693217</t>
  </si>
  <si>
    <t>-504.471396373889 174.623257765224 670.424148954269</t>
  </si>
  <si>
    <t>-351.977730084463 165.001230213664 757.582663380102</t>
  </si>
  <si>
    <t>-509.024151730501 51.6475954590597 -227.473643322528</t>
  </si>
  <si>
    <t>-432.399955075044 7.61653227275674 219.569729455803</t>
  </si>
  <si>
    <t>-584.116621445906 -117.600662526237 645.513883167765</t>
  </si>
  <si>
    <t>-429.232697110066 -141.341460920678 725.456637920964</t>
  </si>
  <si>
    <t>9763-20170724T164247.188739300.bin</t>
  </si>
  <si>
    <t>-491.944918335769 146.883692513834 -239.399986525521</t>
  </si>
  <si>
    <t>-529.63802871205 139.106308667383 -354.232649370897</t>
  </si>
  <si>
    <t>-544.051808137583 128.198509761899 -474.081907761893</t>
  </si>
  <si>
    <t>-547.339449292532 117.190929980889 -582.998642564075</t>
  </si>
  <si>
    <t>-540.956938014721 105.149436837016 -691.66844664503</t>
  </si>
  <si>
    <t>-522.033074665018 87.4204257818058 -841.760266635921</t>
  </si>
  <si>
    <t>-479.570747517423 77.8992035531427 -933.897614978405</t>
  </si>
  <si>
    <t>-524.323634927456 126.336209316361 -778.252507541012</t>
  </si>
  <si>
    <t>-501.254630731619 270.908167261356 -764.553366185736</t>
  </si>
  <si>
    <t>-445.602514013513 310.095858820579 -455.436222973217</t>
  </si>
  <si>
    <t>-264.34030717242 236.37234915733 -284.115244699839</t>
  </si>
  <si>
    <t>-536.488880540283 64.1937293486789 -772.446042987473</t>
  </si>
  <si>
    <t>-326.966126897482 12.8680302042119 -446.6060187775</t>
  </si>
  <si>
    <t>-473.89679514135 242.029627668403 -251.466297685951</t>
  </si>
  <si>
    <t>-486.851515380337 223.472731399776 203.666050467123</t>
  </si>
  <si>
    <t>-504.806077120863 175.097740233904 670.872978307774</t>
  </si>
  <si>
    <t>-352.091434979243 164.66110238076 757.54953802665</t>
  </si>
  <si>
    <t>-509.774589833992 51.8821809692907 -226.663368893725</t>
  </si>
  <si>
    <t>-432.557380441719 7.54768440166238 220.247807760427</t>
  </si>
  <si>
    <t>-584.224233966779 -117.451357255534 646.292735434056</t>
  </si>
  <si>
    <t>-429.336477473362 -141.256987511492 726.208955667377</t>
  </si>
  <si>
    <t>9763-20170724T164247.222833200.bin</t>
  </si>
  <si>
    <t>-492.043574856559 146.942748497873 -239.10150832686</t>
  </si>
  <si>
    <t>-529.711773289158 139.184532636192 -353.943634637154</t>
  </si>
  <si>
    <t>-543.970836742638 128.217121470025 -473.805885326635</t>
  </si>
  <si>
    <t>-547.064970989143 117.130588282763 -582.72036780575</t>
  </si>
  <si>
    <t>-540.43606450732 104.989565701764 -691.364340349037</t>
  </si>
  <si>
    <t>-521.116652733442 87.1048415684527 -841.387373634942</t>
  </si>
  <si>
    <t>-478.445758185958 77.5480965005044 -933.42460067783</t>
  </si>
  <si>
    <t>-523.612105948258 126.093340155386 -777.931899714325</t>
  </si>
  <si>
    <t>-500.769498933117 270.727008037793 -764.276570412479</t>
  </si>
  <si>
    <t>-450.834941329955 311.344001354421 -454.368477664556</t>
  </si>
  <si>
    <t>-271.065030348559 238.688716519912 -281.030612796196</t>
  </si>
  <si>
    <t>-535.717717532966 63.9432277033138 -772.081636842303</t>
  </si>
  <si>
    <t>-325.629578176846 12.2847906917044 -447.957428549911</t>
  </si>
  <si>
    <t>-473.891720872813 242.132390697062 -251.239771811533</t>
  </si>
  <si>
    <t>-486.849148839574 223.551656398384 203.891542358937</t>
  </si>
  <si>
    <t>-504.84167917669 175.111452116531 671.027644946738</t>
  </si>
  <si>
    <t>-352.072695841405 164.589550237724 757.597994270285</t>
  </si>
  <si>
    <t>-509.922085206448 51.9016144259816 -226.376634247995</t>
  </si>
  <si>
    <t>-432.534355831129 7.59207105215873 220.507631689856</t>
  </si>
  <si>
    <t>-584.258731034887 -117.533990465891 646.597455388398</t>
  </si>
  <si>
    <t>-429.345215965125 -141.28125142516 726.480980975603</t>
  </si>
  <si>
    <t>9763-20170724T164247.289013800.bin</t>
  </si>
  <si>
    <t>-492.303452561582 147.081918110841 -238.799291320286</t>
  </si>
  <si>
    <t>-530.015425784123 139.338497451262 -353.628153279714</t>
  </si>
  <si>
    <t>-544.073694054942 128.219084212265 -473.500062964874</t>
  </si>
  <si>
    <t>-546.884150460654 116.939879442336 -582.402526769033</t>
  </si>
  <si>
    <t>-539.870936590837 104.557872677401 -690.99503150961</t>
  </si>
  <si>
    <t>-519.914852628569 86.2950536910947 -840.889229244734</t>
  </si>
  <si>
    <t>-476.858203661647 76.7025871824538 -932.742718341518</t>
  </si>
  <si>
    <t>-522.867693823434 125.476661297412 -777.572525734841</t>
  </si>
  <si>
    <t>-500.975583732189 270.288764663852 -764.252928296812</t>
  </si>
  <si>
    <t>-460.052345813087 313.41014920626 -453.363750980731</t>
  </si>
  <si>
    <t>-284.421230515638 239.038996013158 -276.545496337709</t>
  </si>
  <si>
    <t>-534.621943868842 63.2748068887919 -771.558802475558</t>
  </si>
  <si>
    <t>-322.939559582573 10.2852468844876 -448.99069022349</t>
  </si>
  <si>
    <t>-474.303733553353 242.314722706027 -250.935125238548</t>
  </si>
  <si>
    <t>-486.706247726512 223.669592024804 204.208977306734</t>
  </si>
  <si>
    <t>-504.874730847422 175.182828935274 671.290189786841</t>
  </si>
  <si>
    <t>-352.028213856569 164.912521561753 757.75390480663</t>
  </si>
  <si>
    <t>-510.146169153057 52.01501863468 -226.082675296127</t>
  </si>
  <si>
    <t>-432.522704706713 7.81310159395338 220.771177092438</t>
  </si>
  <si>
    <t>-584.315363384385 -117.215090062803 646.950586900365</t>
  </si>
  <si>
    <t>-429.42458181616 -141.019523033168 726.861147322411</t>
  </si>
  <si>
    <t>9763-20170724T164247.322100500.bin</t>
  </si>
  <si>
    <t>-492.501888624877 147.088122395507 -238.704355226526</t>
  </si>
  <si>
    <t>-530.230652840013 139.292411089634 -353.524084158069</t>
  </si>
  <si>
    <t>-544.22308949027 128.073989588063 -473.394533160354</t>
  </si>
  <si>
    <t>-546.939436935842 116.69121170242 -582.2884711485</t>
  </si>
  <si>
    <t>-539.797969461465 104.194057556988 -690.859554147268</t>
  </si>
  <si>
    <t>-519.629303974744 85.7617742318541 -840.704382929862</t>
  </si>
  <si>
    <t>-476.440403146413 76.1792015904977 -932.497001302079</t>
  </si>
  <si>
    <t>-522.794611449884 125.036126040027 -777.455461564007</t>
  </si>
  <si>
    <t>-501.815395706523 269.96858289472 -764.299827479039</t>
  </si>
  <si>
    <t>-463.445091341765 313.808516078287 -453.185892702653</t>
  </si>
  <si>
    <t>-289.127224718569 238.533491473045 -275.452846788393</t>
  </si>
  <si>
    <t>-534.312051918276 62.7989370398149 -771.349939321871</t>
  </si>
  <si>
    <t>-321.766412875941 9.68473782406321 -449.124298183601</t>
  </si>
  <si>
    <t>-474.713289016858 242.339109975604 -250.819877159572</t>
  </si>
  <si>
    <t>-486.664560941639 223.640519017957 204.334138087673</t>
  </si>
  <si>
    <t>-504.840257454435 175.032664505906 671.39308395869</t>
  </si>
  <si>
    <t>-351.972649114169 164.819156652686 757.82623390996</t>
  </si>
  <si>
    <t>-510.127155590767 52.0041605727281 -226.014469887128</t>
  </si>
  <si>
    <t>-432.635831653117 7.92806281625286 220.874833563624</t>
  </si>
  <si>
    <t>-584.308049075609 -117.385641360486 647.082372709185</t>
  </si>
  <si>
    <t>-429.416612721612 -141.112403032586 727.014763086424</t>
  </si>
  <si>
    <t>9763-20170724T164247.388860100.bin</t>
  </si>
  <si>
    <t>-492.976668424518 147.136433092485 -238.544893027921</t>
  </si>
  <si>
    <t>-530.693346948118 139.197972996138 -353.358871465094</t>
  </si>
  <si>
    <t>-544.615705918043 127.859712192103 -473.22615562797</t>
  </si>
  <si>
    <t>-547.24383185661 116.391664922991 -582.113397267448</t>
  </si>
  <si>
    <t>-539.98935887617 103.83920175466 -690.670462105795</t>
  </si>
  <si>
    <t>-519.63774384159 85.3681381022239 -840.48579307422</t>
  </si>
  <si>
    <t>-476.349409519632 75.9825251416609 -932.251994670318</t>
  </si>
  <si>
    <t>-523.156681707509 124.704438501364 -777.294326555679</t>
  </si>
  <si>
    <t>-503.803364169214 269.876863358525 -764.208697053428</t>
  </si>
  <si>
    <t>-467.074510997274 313.610527955996 -452.881596480216</t>
  </si>
  <si>
    <t>-293.810119640475 236.431454421236 -274.935256741254</t>
  </si>
  <si>
    <t>-534.128716458325 62.3775104132401 -771.100229071794</t>
  </si>
  <si>
    <t>-319.193529865979 9.64062079719589 -449.553887351001</t>
  </si>
  <si>
    <t>-475.63748113567 242.49896558728 -250.616400423771</t>
  </si>
  <si>
    <t>-487.10642206277 223.732094565889 204.547291715822</t>
  </si>
  <si>
    <t>-504.860917100326 175.039744812457 671.573353860494</t>
  </si>
  <si>
    <t>-351.893191115756 165.243033063731 757.877596526144</t>
  </si>
  <si>
    <t>-510.20589679458 51.9218022761066 -225.844335727981</t>
  </si>
  <si>
    <t>-432.838003973006 7.70069487607529 221.052148720806</t>
  </si>
  <si>
    <t>-584.233155419815 -118.281255383086 647.263769323862</t>
  </si>
  <si>
    <t>-429.067809267797 -140.247596830345 727.168121649456</t>
  </si>
  <si>
    <t>9763-20170724T164247.423954300.bin</t>
  </si>
  <si>
    <t>-493.31579499649 147.487697668631 -238.49689994404</t>
  </si>
  <si>
    <t>-531.043153971564 139.486974907248 -353.302998333971</t>
  </si>
  <si>
    <t>-544.993778400254 128.093072355176 -473.161827435898</t>
  </si>
  <si>
    <t>-547.654019886679 116.58247869239 -582.043609335917</t>
  </si>
  <si>
    <t>-540.437775417344 103.997819213116 -690.599652022792</t>
  </si>
  <si>
    <t>-520.145020339963 85.4950867155395 -840.419117498119</t>
  </si>
  <si>
    <t>-476.887600075512 76.2154082385071 -932.210528119704</t>
  </si>
  <si>
    <t>-523.749171405514 124.862250386459 -777.251451446592</t>
  </si>
  <si>
    <t>-505.022149945681 270.127926961504 -764.246402637612</t>
  </si>
  <si>
    <t>-468.170152780277 312.967824817664 -452.809661609035</t>
  </si>
  <si>
    <t>-294.601097097451 235.44328877132 -275.311128781339</t>
  </si>
  <si>
    <t>-534.498684796622 62.5017157556861 -771.005906406701</t>
  </si>
  <si>
    <t>-318.589058945498 10.8482566686705 -450.46794436906</t>
  </si>
  <si>
    <t>-476.172383526543 242.881028969758 -250.562196133209</t>
  </si>
  <si>
    <t>-487.47035941946 224.090078029695 204.604845861166</t>
  </si>
  <si>
    <t>-504.92589693072 175.319118534205 671.625771253307</t>
  </si>
  <si>
    <t>-351.998588854325 164.677742243792 757.901516800144</t>
  </si>
  <si>
    <t>-510.33441849564 52.2348308243872 -225.821706354103</t>
  </si>
  <si>
    <t>-433.063155392363 8.15643363135992 221.105399267024</t>
  </si>
  <si>
    <t>-584.251023432536 -118.114145962906 647.309018631392</t>
  </si>
  <si>
    <t>-429.12999464879 -140.294306240451 727.240203742211</t>
  </si>
  <si>
    <t>9763-20170724T164247.492146200.bin</t>
  </si>
  <si>
    <t>-493.833926609835 147.755306861586 -238.480196463405</t>
  </si>
  <si>
    <t>-531.594359622879 139.702277164627 -353.271766302053</t>
  </si>
  <si>
    <t>-545.65892116598 128.266551281065 -473.113252861979</t>
  </si>
  <si>
    <t>-548.453587812717 116.731949841348 -581.9892628063</t>
  </si>
  <si>
    <t>-541.401606332747 104.142057245336 -690.555565898268</t>
  </si>
  <si>
    <t>-521.366887560538 85.6563972356713 -840.411638751468</t>
  </si>
  <si>
    <t>-478.24702492519 76.6029285535908 -932.290391490381</t>
  </si>
  <si>
    <t>-525.036516003762 125.043208348807 -777.260125025856</t>
  </si>
  <si>
    <t>-507.27370417943 270.441017939591 -764.287655478908</t>
  </si>
  <si>
    <t>-468.430045447611 312.523592692652 -452.989746186119</t>
  </si>
  <si>
    <t>-293.82865709909 235.422549671708 -276.321049610438</t>
  </si>
  <si>
    <t>-535.426719661805 62.628277536669 -770.949932728073</t>
  </si>
  <si>
    <t>-317.979594422575 13.125677418838 -451.973257363795</t>
  </si>
  <si>
    <t>-476.858650676887 242.958492569576 -250.484392706998</t>
  </si>
  <si>
    <t>-487.859269358708 224.006211911664 204.68303944866</t>
  </si>
  <si>
    <t>-504.857384894593 174.935781065222 671.751892561501</t>
  </si>
  <si>
    <t>-351.74384415279 165.688453172691 757.857943850293</t>
  </si>
  <si>
    <t>-510.696464384877 52.6376340606836 -225.832512088257</t>
  </si>
  <si>
    <t>-433.595924638886 8.63395078100902 221.131479649246</t>
  </si>
  <si>
    <t>-584.279265300526 -117.895373077555 647.402348580068</t>
  </si>
  <si>
    <t>-429.246853460282 -140.615563351807 727.353933306036</t>
  </si>
  <si>
    <t>9763-20170724T164247.524233600.bin</t>
  </si>
  <si>
    <t>-494.021026163208 147.815121622254 -238.4291788358</t>
  </si>
  <si>
    <t>-531.695383196916 139.731079170931 -353.246824618742</t>
  </si>
  <si>
    <t>-545.781040358777 128.277167512258 -473.084075561601</t>
  </si>
  <si>
    <t>-548.639507029259 116.734696835386 -581.957664069529</t>
  </si>
  <si>
    <t>-541.695283967365 104.147152777288 -690.531133271436</t>
  </si>
  <si>
    <t>-521.854922223252 85.6768805623441 -840.415123364052</t>
  </si>
  <si>
    <t>-478.849215350372 76.7022235432269 -932.354978843424</t>
  </si>
  <si>
    <t>-525.49949649582 125.065709342795 -777.263190356219</t>
  </si>
  <si>
    <t>-507.984587220549 270.502817896672 -764.334578303255</t>
  </si>
  <si>
    <t>-468.269569794736 312.912348577787 -453.190925896997</t>
  </si>
  <si>
    <t>-293.401799814274 236.14317427516 -276.641171546359</t>
  </si>
  <si>
    <t>-535.767837371008 62.6330465188322 -770.928843883174</t>
  </si>
  <si>
    <t>-317.493626128964 14.4108110073876 -452.66868266413</t>
  </si>
  <si>
    <t>-477.066720484613 242.912281432117 -250.43457470354</t>
  </si>
  <si>
    <t>-488.036659814052 223.965067870482 204.733922091951</t>
  </si>
  <si>
    <t>-504.789117750113 174.556058075825 671.824243206365</t>
  </si>
  <si>
    <t>-351.589341919937 165.692403883325 757.817124995295</t>
  </si>
  <si>
    <t>-510.766737669022 52.7543211843127 -225.827407003497</t>
  </si>
  <si>
    <t>-433.819150256071 8.79231712515967 221.167058553897</t>
  </si>
  <si>
    <t>-584.318482037549 -117.751033253571 647.487203514338</t>
  </si>
  <si>
    <t>-429.326867176958 -140.738013220126 727.441602740478</t>
  </si>
  <si>
    <t>9763-20170724T164247.594421300.bin</t>
  </si>
  <si>
    <t>-494.085800389197 147.72402172627 -238.323525514772</t>
  </si>
  <si>
    <t>-531.778440142835 139.686090786275 -353.138359246592</t>
  </si>
  <si>
    <t>-545.97959972526 128.187409221031 -472.957652294739</t>
  </si>
  <si>
    <t>-548.980004552477 116.579021023536 -581.820395599029</t>
  </si>
  <si>
    <t>-542.213731545335 103.907238028778 -690.39536481942</t>
  </si>
  <si>
    <t>-522.65573111148 85.3067386699703 -840.300275738357</t>
  </si>
  <si>
    <t>-479.887798429054 76.3747143126857 -932.355166895632</t>
  </si>
  <si>
    <t>-526.257394536862 124.761706642567 -777.187255825033</t>
  </si>
  <si>
    <t>-509.074237927668 270.250438189123 -764.490230437524</t>
  </si>
  <si>
    <t>-468.439982138663 314.314246879417 -453.695456855105</t>
  </si>
  <si>
    <t>-293.460303824405 237.794800517148 -277.148256218251</t>
  </si>
  <si>
    <t>-536.361718778721 62.3121036456153 -770.756694409589</t>
  </si>
  <si>
    <t>-317.412810981245 17.3686228846099 -453.401414437292</t>
  </si>
  <si>
    <t>-477.13856556926 243.002968213016 -250.324315079558</t>
  </si>
  <si>
    <t>-488.102933357367 223.979908727917 204.841073533584</t>
  </si>
  <si>
    <t>-504.888432553233 174.796740469946 671.936688212932</t>
  </si>
  <si>
    <t>-351.60109551587 165.73066299875 757.752195053172</t>
  </si>
  <si>
    <t>-510.877588367014 52.4828600049455 -225.690815683101</t>
  </si>
  <si>
    <t>-433.923478833968 8.51625112798143 221.302068215106</t>
  </si>
  <si>
    <t>-584.295554129279 -118.120766544101 647.637372323071</t>
  </si>
  <si>
    <t>-429.156257859705 -140.086348606984 727.592489179686</t>
  </si>
  <si>
    <t>9763-20170724T164247.625503100.bin</t>
  </si>
  <si>
    <t>-493.962736932634 147.772968218481 -238.268052150492</t>
  </si>
  <si>
    <t>-531.628095537708 139.756726830062 -353.093287867662</t>
  </si>
  <si>
    <t>-545.85334821029 128.247955187203 -472.908926918135</t>
  </si>
  <si>
    <t>-548.896180544023 116.622506630819 -581.768549407607</t>
  </si>
  <si>
    <t>-542.192257667942 103.928443766118 -690.344705856199</t>
  </si>
  <si>
    <t>-522.740908480939 85.2946944684272 -840.259373607479</t>
  </si>
  <si>
    <t>-480.075931751606 76.3801193912485 -932.363753283508</t>
  </si>
  <si>
    <t>-526.310739667702 124.76554784656 -777.154573753002</t>
  </si>
  <si>
    <t>-509.214643762298 270.266907141069 -764.501732084945</t>
  </si>
  <si>
    <t>-468.859945079273 314.921882839012 -453.754873905454</t>
  </si>
  <si>
    <t>-293.550911022227 238.482404431273 -277.499951373419</t>
  </si>
  <si>
    <t>-536.384316344521 62.3135455062729 -770.699125754727</t>
  </si>
  <si>
    <t>-317.286968533348 19.0993357714959 -453.403099537455</t>
  </si>
  <si>
    <t>-476.904395789342 243.073620322235 -250.273742652216</t>
  </si>
  <si>
    <t>-487.96788515107 224.111990881074 204.891838244679</t>
  </si>
  <si>
    <t>-504.933221005757 174.989830345223 671.967986933142</t>
  </si>
  <si>
    <t>-351.628045621182 165.699505113462 757.727662803641</t>
  </si>
  <si>
    <t>-510.808082518996 52.589485784115 -225.600851509114</t>
  </si>
  <si>
    <t>-433.854185266197 8.54544498753954 221.384461050851</t>
  </si>
  <si>
    <t>-584.293096558268 -118.206133107704 647.700797013247</t>
  </si>
  <si>
    <t>-429.225832912016 -140.570843004148 727.685004913811</t>
  </si>
  <si>
    <t>9763-20170724T164247.688673100.bin</t>
  </si>
  <si>
    <t>-493.551597645969 147.860303218845 -238.162369257234</t>
  </si>
  <si>
    <t>-531.305098142712 139.877451363252 -352.961148320942</t>
  </si>
  <si>
    <t>-545.663464663353 128.385393862899 -472.76240303655</t>
  </si>
  <si>
    <t>-548.842477352619 116.777910537896 -581.620027059836</t>
  </si>
  <si>
    <t>-542.289043118494 104.111064291908 -690.2085726611</t>
  </si>
  <si>
    <t>-523.059983136749 85.5298044721556 -840.15854041693</t>
  </si>
  <si>
    <t>-480.599797862774 76.6771386780868 -932.363450941241</t>
  </si>
  <si>
    <t>-526.584670705043 124.985549232037 -777.04163141134</t>
  </si>
  <si>
    <t>-509.796076477129 270.5284325738 -764.372705145885</t>
  </si>
  <si>
    <t>-469.816982544683 315.293556101572 -453.593052204933</t>
  </si>
  <si>
    <t>-293.957488628737 239.202709339138 -277.736206064949</t>
  </si>
  <si>
    <t>-536.551803666863 62.5172580096608 -770.578997593066</t>
  </si>
  <si>
    <t>-318.175047734987 23.7823019320807 -452.814393009849</t>
  </si>
  <si>
    <t>-476.418769401044 243.219533430204 -250.225974434825</t>
  </si>
  <si>
    <t>-487.522951372162 224.260856382361 204.938879208559</t>
  </si>
  <si>
    <t>-504.917932575553 175.205492527715 671.975016949549</t>
  </si>
  <si>
    <t>-351.613843333403 165.687233554061 757.711534838666</t>
  </si>
  <si>
    <t>-510.549960890424 52.6112052167854 -225.425479953765</t>
  </si>
  <si>
    <t>-433.519198078746 8.54181827652553 221.544142289127</t>
  </si>
  <si>
    <t>-584.295325962857 -118.136375574973 647.750442247724</t>
  </si>
  <si>
    <t>-429.262471577955 -140.564986049342 727.783348744836</t>
  </si>
  <si>
    <t>9763-20170724T164247.720759400.bin</t>
  </si>
  <si>
    <t>-493.346460304857 147.811612721407 -238.134443350289</t>
  </si>
  <si>
    <t>-531.113266213263 139.790585894414 -352.926144130778</t>
  </si>
  <si>
    <t>-545.507129541406 128.314271807495 -472.724587932865</t>
  </si>
  <si>
    <t>-548.727009213046 116.746979860154 -581.585430557463</t>
  </si>
  <si>
    <t>-542.222697649415 104.148446843395 -690.184801490647</t>
  </si>
  <si>
    <t>-523.069989530722 85.6936896974615 -840.160114488913</t>
  </si>
  <si>
    <t>-480.684112098223 76.9250129171693 -932.407242275816</t>
  </si>
  <si>
    <t>-526.60244842786 125.101952052056 -777.014039660492</t>
  </si>
  <si>
    <t>-509.966785951534 270.640184852748 -764.258039036468</t>
  </si>
  <si>
    <t>-470.080165588133 315.288968842183 -453.449711220638</t>
  </si>
  <si>
    <t>-294.025192790416 238.608938581242 -278.044835667055</t>
  </si>
  <si>
    <t>-536.486451260203 62.6167385668739 -770.587375142756</t>
  </si>
  <si>
    <t>-318.469501427558 26.0097125573561 -452.456015337678</t>
  </si>
  <si>
    <t>-476.143165827625 243.079997783841 -250.234641956971</t>
  </si>
  <si>
    <t>-487.305871716752 224.190839119298 204.93147591875</t>
  </si>
  <si>
    <t>-504.788912248816 174.931474858094 671.957755958465</t>
  </si>
  <si>
    <t>-351.435999592162 166.013957100679 757.671606270266</t>
  </si>
  <si>
    <t>-510.347069020109 52.6259087276466 -225.374464759152</t>
  </si>
  <si>
    <t>-433.326859789776 8.62175527988084 221.603402798386</t>
  </si>
  <si>
    <t>-584.299373685445 -118.010687557089 647.758939301752</t>
  </si>
  <si>
    <t>-429.277566495031 -140.441684867479 727.81264851876</t>
  </si>
  <si>
    <t>9763-20170724T164247.789488700.bin</t>
  </si>
  <si>
    <t>-493.053260391292 147.830953770106 -238.071913034827</t>
  </si>
  <si>
    <t>-530.852872066929 139.735999938545 -352.847650485806</t>
  </si>
  <si>
    <t>-545.341090877589 128.324849765252 -472.641089177076</t>
  </si>
  <si>
    <t>-548.671418122444 116.876392924686 -581.511114553036</t>
  </si>
  <si>
    <t>-542.301894669069 104.457657367735 -690.139121842892</t>
  </si>
  <si>
    <t>-523.360963171357 86.317418749765 -840.179713308819</t>
  </si>
  <si>
    <t>-481.124199879754 77.7782161611983 -932.516791438826</t>
  </si>
  <si>
    <t>-526.902345940251 125.607106859107 -776.960300014062</t>
  </si>
  <si>
    <t>-510.76403816616 271.181447346397 -763.952725502573</t>
  </si>
  <si>
    <t>-470.651815759591 315.062548426036 -453.064263230766</t>
  </si>
  <si>
    <t>-294.338430148574 236.926218565194 -278.564008387682</t>
  </si>
  <si>
    <t>-536.581032937885 63.0806635948242 -770.622397694029</t>
  </si>
  <si>
    <t>-320.031775769642 30.048808237779 -451.522701745895</t>
  </si>
  <si>
    <t>-476.016735104648 243.205689867832 -250.192644811466</t>
  </si>
  <si>
    <t>-487.109858646986 224.250769907777 204.97258597232</t>
  </si>
  <si>
    <t>-504.747787924071 174.961346895739 671.995214607404</t>
  </si>
  <si>
    <t>-351.388815691711 165.923381671493 757.685782347703</t>
  </si>
  <si>
    <t>-509.956154792713 52.5714227891895 -225.287277595197</t>
  </si>
  <si>
    <t>-433.04552825993 8.71669894100405 221.724187694178</t>
  </si>
  <si>
    <t>-584.2575941057 -118.247339172874 647.772481285198</t>
  </si>
  <si>
    <t>-429.238537432268 -140.573475909156 727.860823988525</t>
  </si>
  <si>
    <t>9763-20170724T164247.821574400.bin</t>
  </si>
  <si>
    <t>-493.039683269328 148.057690336329 -238.039496618409</t>
  </si>
  <si>
    <t>-530.817206097018 139.905466393509 -352.81845652523</t>
  </si>
  <si>
    <t>-545.305707392695 128.552617413024 -472.617340584751</t>
  </si>
  <si>
    <t>-548.646112195687 117.203506457646 -581.497380853405</t>
  </si>
  <si>
    <t>-542.296874826081 104.930247729126 -690.14313680892</t>
  </si>
  <si>
    <t>-523.394753661138 87.0398116928704 -840.218649123988</t>
  </si>
  <si>
    <t>-481.225389381227 78.6761642530333 -932.60262052044</t>
  </si>
  <si>
    <t>-526.962012951841 126.230088149692 -776.939090542774</t>
  </si>
  <si>
    <t>-510.968373121606 271.801745578653 -763.732005251535</t>
  </si>
  <si>
    <t>-470.978631980525 314.870316781562 -452.714107374963</t>
  </si>
  <si>
    <t>-294.412814050977 235.943473692519 -278.82588797569</t>
  </si>
  <si>
    <t>-536.55463540893 63.6814101430317 -770.690767898303</t>
  </si>
  <si>
    <t>-320.271967457255 31.4081246908204 -451.063655376994</t>
  </si>
  <si>
    <t>-476.069186294857 243.395125914375 -250.171733443854</t>
  </si>
  <si>
    <t>-487.188382266164 224.448110450572 204.993115778598</t>
  </si>
  <si>
    <t>-504.712286997627 174.9494246436 672.000068770573</t>
  </si>
  <si>
    <t>-351.370346893979 165.611075396659 757.688732927189</t>
  </si>
  <si>
    <t>-509.859997494248 52.8454409848345 -225.244300335203</t>
  </si>
  <si>
    <t>-432.934822317521 9.10397207422568 221.77562117688</t>
  </si>
  <si>
    <t>-584.294405912332 -117.791271146015 647.746093679915</t>
  </si>
  <si>
    <t>-429.350860780636 -140.50137056946 727.872595087913</t>
  </si>
  <si>
    <t>9763-20170724T164247.893290000.bin</t>
  </si>
  <si>
    <t>-492.9874476407 148.141628220266 -237.974644067752</t>
  </si>
  <si>
    <t>-530.84405179992 139.926671257754 -352.722979185697</t>
  </si>
  <si>
    <t>-545.327934429673 128.708668050173 -472.535091008363</t>
  </si>
  <si>
    <t>-548.629443348281 117.56770948307 -581.43794412991</t>
  </si>
  <si>
    <t>-542.206777907315 105.59177675357 -690.112584488575</t>
  </si>
  <si>
    <t>-523.167589332853 88.2101216424196 -840.230598243329</t>
  </si>
  <si>
    <t>-481.049679902528 80.2522558911043 -932.673627249283</t>
  </si>
  <si>
    <t>-526.911968862141 127.202127566034 -776.838722240126</t>
  </si>
  <si>
    <t>-511.485903951727 272.806837949818 -763.201960494848</t>
  </si>
  <si>
    <t>-471.739114748932 314.553441645722 -451.972858415505</t>
  </si>
  <si>
    <t>-294.857250863108 234.318165578998 -279.007101437932</t>
  </si>
  <si>
    <t>-536.271746778965 64.5998194820148 -770.777199379596</t>
  </si>
  <si>
    <t>-320.327131948912 33.1997148742088 -451.259412721934</t>
  </si>
  <si>
    <t>-476.168339049276 243.466698218751 -250.120288307027</t>
  </si>
  <si>
    <t>-487.27851999563 224.4598825688 205.042345780706</t>
  </si>
  <si>
    <t>-504.63544024774 174.804066555369 672.034936610073</t>
  </si>
  <si>
    <t>-351.240616588987 165.951617696459 757.680580869225</t>
  </si>
  <si>
    <t>-509.641069177149 52.8277269836277 -225.129031183517</t>
  </si>
  <si>
    <t>-432.677858169003 9.3488394616558 221.910092016925</t>
  </si>
  <si>
    <t>-584.235421336768 -118.145246469616 647.712262512878</t>
  </si>
  <si>
    <t>-429.169139484988 -140.003530931312 727.838288562351</t>
  </si>
  <si>
    <t>9763-20170724T164247.919358600.bin</t>
  </si>
  <si>
    <t>-492.992848428079 148.290002718832 -237.954679807752</t>
  </si>
  <si>
    <t>-530.858511569288 140.055442049464 -352.698615468495</t>
  </si>
  <si>
    <t>-545.292061077516 128.895177296703 -472.522203897038</t>
  </si>
  <si>
    <t>-548.5236934249 117.841631599811 -581.436108221592</t>
  </si>
  <si>
    <t>-542.007426674938 105.990293510529 -690.118771408234</t>
  </si>
  <si>
    <t>-522.813891149447 88.8224196752012 -840.241654786082</t>
  </si>
  <si>
    <t>-480.669412685477 81.0839510707136 -932.691334691756</t>
  </si>
  <si>
    <t>-526.678925448816 127.731589052807 -776.806275329871</t>
  </si>
  <si>
    <t>-511.491309261012 273.330390567845 -762.982041948882</t>
  </si>
  <si>
    <t>-471.697354260871 314.709170592936 -451.70968731142</t>
  </si>
  <si>
    <t>-294.959948429923 233.499630711428 -279.051219050613</t>
  </si>
  <si>
    <t>-535.933873267788 65.1057552010919 -770.827625473672</t>
  </si>
  <si>
    <t>-319.717951108669 33.2462239651531 -451.209014429088</t>
  </si>
  <si>
    <t>-476.225475713176 243.648429114557 -250.104645450934</t>
  </si>
  <si>
    <t>-487.325699961279 224.66098926037 205.059061527129</t>
  </si>
  <si>
    <t>-504.662816896493 174.995108953907 672.045165740073</t>
  </si>
  <si>
    <t>-351.297676323384 165.631150800348 757.689657258392</t>
  </si>
  <si>
    <t>-509.573900482445 52.9906010587735 -225.110612654983</t>
  </si>
  <si>
    <t>-432.562642631284 9.61753381942196 221.930418511665</t>
  </si>
  <si>
    <t>-584.240978449874 -117.939523435645 647.65630172407</t>
  </si>
  <si>
    <t>-429.334037443032 -140.706556834942 727.837456319829</t>
  </si>
  <si>
    <t>9763-20170724T164247.989077000.bin</t>
  </si>
  <si>
    <t>-492.89607649789 148.109329696543 -237.924876968855</t>
  </si>
  <si>
    <t>-530.696038622336 139.806683480068 -352.685635271112</t>
  </si>
  <si>
    <t>-545.053308192425 128.691827341634 -472.522649945755</t>
  </si>
  <si>
    <t>-548.212856018981 117.727994765379 -581.447616597575</t>
  </si>
  <si>
    <t>-541.622166430045 106.015614403475 -690.141037632535</t>
  </si>
  <si>
    <t>-522.323484033486 89.0930899373875 -840.278227506057</t>
  </si>
  <si>
    <t>-480.127149099351 81.6679690894017 -932.729793683467</t>
  </si>
  <si>
    <t>-526.324053587011 127.910682754091 -776.79506801919</t>
  </si>
  <si>
    <t>-511.412137714844 273.536684951465 -762.799974978939</t>
  </si>
  <si>
    <t>-471.33967563532 314.200547142248 -451.469194166642</t>
  </si>
  <si>
    <t>-295.48758503705 229.894602798759 -279.391836296138</t>
  </si>
  <si>
    <t>-535.401088930791 65.2509270251238 -770.899269612727</t>
  </si>
  <si>
    <t>-317.809777048419 32.6483490354528 -450.609136649947</t>
  </si>
  <si>
    <t>-476.282867515051 243.408620256824 -250.075892797706</t>
  </si>
  <si>
    <t>-487.39479891722 224.418301602988 205.087377176494</t>
  </si>
  <si>
    <t>-504.56326168064 174.792000770675 672.06646924595</t>
  </si>
  <si>
    <t>-351.094643781841 166.721827776641 757.65720841478</t>
  </si>
  <si>
    <t>-509.325374218404 52.8672021401055 -225.141575838673</t>
  </si>
  <si>
    <t>-432.546748266948 9.52263006958059 221.942259878692</t>
  </si>
  <si>
    <t>-584.253649421354 -118.109584261588 647.665768012856</t>
  </si>
  <si>
    <t>-429.283086040992 -140.535350069077 727.820190841351</t>
  </si>
  <si>
    <t>9763-20170724T164248.025340900.bin</t>
  </si>
  <si>
    <t>-493.001504826908 148.237311094442 -237.910144335564</t>
  </si>
  <si>
    <t>-530.788445094463 139.921001355111 -352.674200807171</t>
  </si>
  <si>
    <t>-545.080911010866 128.823364996828 -472.520498037488</t>
  </si>
  <si>
    <t>-548.160575563878 117.891556637456 -581.451114870355</t>
  </si>
  <si>
    <t>-541.469317572558 106.230256563106 -690.14367666374</t>
  </si>
  <si>
    <t>-522.009997243227 89.4003743074782 -840.270658413972</t>
  </si>
  <si>
    <t>-479.764757624504 82.1250703692521 -932.711951615197</t>
  </si>
  <si>
    <t>-526.140877507733 128.186916200973 -776.776811555369</t>
  </si>
  <si>
    <t>-511.360723025521 273.79466768846 -762.700061318846</t>
  </si>
  <si>
    <t>-470.363964830816 314.420148119016 -451.484701357525</t>
  </si>
  <si>
    <t>-295.619492947372 226.341985071101 -280.170185360117</t>
  </si>
  <si>
    <t>-535.099467110243 65.5072912059937 -770.911424557856</t>
  </si>
  <si>
    <t>-317.439154068255 32.7335709926651 -449.933966224576</t>
  </si>
  <si>
    <t>-476.493332472281 243.778644584317 -250.063643088491</t>
  </si>
  <si>
    <t>-487.561743655972 224.821459896304 205.102062373411</t>
  </si>
  <si>
    <t>-504.708220295994 175.414357956423 672.085748825069</t>
  </si>
  <si>
    <t>-351.368389452043 165.467706148788 757.709768121228</t>
  </si>
  <si>
    <t>-509.367001684662 52.7966982046186 -225.110848263889</t>
  </si>
  <si>
    <t>-432.550016966753 9.59661797466259 221.980398944993</t>
  </si>
  <si>
    <t>-584.294282915138 -118.129719757298 647.687640746548</t>
  </si>
  <si>
    <t>-429.276516620121 -140.336289666668 727.811810530973</t>
  </si>
  <si>
    <t>9763-20170724T164248.086503700.bin</t>
  </si>
  <si>
    <t>-493.239639616336 148.082627462088 -237.917473951385</t>
  </si>
  <si>
    <t>-531.172752899097 139.784910308359 -352.634724161759</t>
  </si>
  <si>
    <t>-545.524690113851 128.685764237327 -472.473774853422</t>
  </si>
  <si>
    <t>-548.620076887663 117.752562351266 -581.403686112708</t>
  </si>
  <si>
    <t>-541.905812474699 106.094213253628 -690.095291129953</t>
  </si>
  <si>
    <t>-522.374383805789 89.2777852314856 -840.214369029818</t>
  </si>
  <si>
    <t>-480.153883286701 82.1958471579362 -932.681877425008</t>
  </si>
  <si>
    <t>-526.656464037091 128.073986435649 -776.736489834058</t>
  </si>
  <si>
    <t>-512.220620816205 273.735588377845 -762.630451580952</t>
  </si>
  <si>
    <t>-468.186113330558 313.795804004566 -451.756932674378</t>
  </si>
  <si>
    <t>-296.056232437019 215.597943706566 -283.321408711458</t>
  </si>
  <si>
    <t>-535.376435817476 65.3630658240121 -770.846054370167</t>
  </si>
  <si>
    <t>-315.827770754795 33.5360313133759 -450.473417094963</t>
  </si>
  <si>
    <t>-476.88897712605 243.536680643839 -250.012266489971</t>
  </si>
  <si>
    <t>-487.696276595569 224.645510419876 205.16237468938</t>
  </si>
  <si>
    <t>-504.631982482096 175.157276247776 672.145060154379</t>
  </si>
  <si>
    <t>-351.194155656991 166.287515814921 757.711848446043</t>
  </si>
  <si>
    <t>-509.454349342642 52.6989919874307 -225.144936500843</t>
  </si>
  <si>
    <t>-432.404705148978 9.92129012047093 221.946930082486</t>
  </si>
  <si>
    <t>-584.355207083106 -117.774138141298 647.601335304794</t>
  </si>
  <si>
    <t>-429.552389097025 -141.248799011153 727.779520366176</t>
  </si>
  <si>
    <t>9763-20170724T164248.123603200.bin</t>
  </si>
  <si>
    <t>-493.344765369199 147.693458021373 -237.92757562323</t>
  </si>
  <si>
    <t>-531.260781240382 139.399642161438 -352.650711197983</t>
  </si>
  <si>
    <t>-545.605579019248 128.23483646304 -472.484498665792</t>
  </si>
  <si>
    <t>-548.698290621282 117.215616908237 -581.405927919731</t>
  </si>
  <si>
    <t>-541.984979088364 105.445544106726 -690.085364269666</t>
  </si>
  <si>
    <t>-522.458384103277 88.4479325726753 -840.184699715703</t>
  </si>
  <si>
    <t>-480.273188298784 81.3991148919081 -932.670965460471</t>
  </si>
  <si>
    <t>-526.774361451615 127.325213670802 -776.758809315335</t>
  </si>
  <si>
    <t>-512.388139725009 272.985483620863 -762.660046053131</t>
  </si>
  <si>
    <t>-466.298872183861 312.872315210287 -452.062289563455</t>
  </si>
  <si>
    <t>-295.345398638901 209.424994643157 -285.582116279098</t>
  </si>
  <si>
    <t>-535.42226604573 64.6124585027724 -770.78202156943</t>
  </si>
  <si>
    <t>-316.080935574463 33.2544953566512 -451.371368681463</t>
  </si>
  <si>
    <t>-477.000684243172 243.036328738517 -249.986007436432</t>
  </si>
  <si>
    <t>-487.752582156065 224.236410774736 205.193817064901</t>
  </si>
  <si>
    <t>-504.4949557477 174.642266385306 672.178426307708</t>
  </si>
  <si>
    <t>-350.955420816436 167.148759663412 757.694380896159</t>
  </si>
  <si>
    <t>-509.515926219704 52.4137697544092 -225.16099126696</t>
  </si>
  <si>
    <t>-432.36362125674 9.54681857172046 221.904603001496</t>
  </si>
  <si>
    <t>-584.359179866698 -117.903861491748 647.569101512256</t>
  </si>
  <si>
    <t>-429.391606434077 -140.321892655321 727.731530680832</t>
  </si>
  <si>
    <t>9763-20170724T164248.187776700.bin</t>
  </si>
  <si>
    <t>-493.735690706188 147.539031036998 -238.002636957028</t>
  </si>
  <si>
    <t>-531.596581593219 139.300459321727 -352.747985446428</t>
  </si>
  <si>
    <t>-546.005246476436 128.028225233373 -472.56408965364</t>
  </si>
  <si>
    <t>-549.204673048948 116.838206167062 -581.464913588626</t>
  </si>
  <si>
    <t>-542.646388486923 104.81901278024 -690.126742270965</t>
  </si>
  <si>
    <t>-523.384192163637 87.3895304372202 -840.210572393846</t>
  </si>
  <si>
    <t>-481.325497713868 80.2989263022358 -932.751144354946</t>
  </si>
  <si>
    <t>-527.563328509842 126.446101124213 -776.885720643153</t>
  </si>
  <si>
    <t>-512.58121872666 272.100314799413 -763.314560967916</t>
  </si>
  <si>
    <t>-463.166509054416 312.154052326498 -453.249928346364</t>
  </si>
  <si>
    <t>-294.846156185318 197.430613211066 -291.543977719272</t>
  </si>
  <si>
    <t>-536.250905112556 63.7570487548617 -770.720577217579</t>
  </si>
  <si>
    <t>-317.202383874703 33.8757232235654 -454.040220784118</t>
  </si>
  <si>
    <t>-477.475499207934 242.870067481146 -249.973665739502</t>
  </si>
  <si>
    <t>-488.083877226151 224.082706242447 205.210000870569</t>
  </si>
  <si>
    <t>-504.414455636109 174.352402818662 672.216625460309</t>
  </si>
  <si>
    <t>-350.851834597492 166.983556491503 757.701951454014</t>
  </si>
  <si>
    <t>-509.831065381061 52.2818920965019 -225.366869456879</t>
  </si>
  <si>
    <t>-432.774374464501 9.23608412268126 221.698001592204</t>
  </si>
  <si>
    <t>-584.399424709344 -118.106839141676 647.551133575744</t>
  </si>
  <si>
    <t>-429.45337784124 -140.684739729887 727.710046836171</t>
  </si>
  <si>
    <t>9763-20170724T164248.224656600.bin</t>
  </si>
  <si>
    <t>-493.966449465826 147.674506093826 -238.051946081881</t>
  </si>
  <si>
    <t>-531.753690238887 139.465402366387 -352.823618615851</t>
  </si>
  <si>
    <t>-546.187350535925 128.113030429792 -472.629073485518</t>
  </si>
  <si>
    <t>-549.450365021128 116.804376962112 -581.515860149181</t>
  </si>
  <si>
    <t>-542.995888777367 104.619206786136 -690.165244586822</t>
  </si>
  <si>
    <t>-523.918863646219 86.9088057940103 -840.24002286593</t>
  </si>
  <si>
    <t>-481.950983145271 79.7138310271502 -932.813849434911</t>
  </si>
  <si>
    <t>-528.021271681205 126.083913538361 -776.983424878202</t>
  </si>
  <si>
    <t>-512.782169133944 271.750525556706 -763.792978561159</t>
  </si>
  <si>
    <t>-461.752767754487 311.611935355509 -453.965298762569</t>
  </si>
  <si>
    <t>-293.956406800384 193.772864235188 -293.963974492975</t>
  </si>
  <si>
    <t>-536.698429853124 63.4062169047123 -770.689777231984</t>
  </si>
  <si>
    <t>-317.826596263977 35.1959338084917 -456.366582376689</t>
  </si>
  <si>
    <t>-477.738619606812 243.237330655742 -249.985655480831</t>
  </si>
  <si>
    <t>-488.311189703723 224.414262461405 205.197387234962</t>
  </si>
  <si>
    <t>-504.595515315649 175.132171016119 672.206795165895</t>
  </si>
  <si>
    <t>-351.151259137829 165.978608384863 757.73218584278</t>
  </si>
  <si>
    <t>-510.025117084906 52.1636748632216 -225.496245024816</t>
  </si>
  <si>
    <t>-433.074739588084 9.07792395336604 221.583151557123</t>
  </si>
  <si>
    <t>-584.393351244502 -118.488144431864 647.566064007487</t>
  </si>
  <si>
    <t>-429.333704279764 -140.349186194588 727.703981145612</t>
  </si>
  <si>
    <t>9763-20170724T164248.290839300.bin</t>
  </si>
  <si>
    <t>-494.20051655919 147.932865313811 -238.084407221698</t>
  </si>
  <si>
    <t>-531.937721175513 139.769639303245 -352.875809119207</t>
  </si>
  <si>
    <t>-546.403724295561 128.155116506029 -472.652230285677</t>
  </si>
  <si>
    <t>-549.729127367088 116.479289463367 -581.498305580072</t>
  </si>
  <si>
    <t>-543.369529233826 103.794180002994 -690.096248859826</t>
  </si>
  <si>
    <t>-524.457100495233 85.2483872260996 -840.090755723235</t>
  </si>
  <si>
    <t>-482.656705905286 77.7346531551783 -932.714971228852</t>
  </si>
  <si>
    <t>-528.429948951724 124.767686103206 -777.040377926582</t>
  </si>
  <si>
    <t>-512.638305917794 270.41780420062 -764.600456870299</t>
  </si>
  <si>
    <t>-457.827044554141 311.076179842542 -455.523068005808</t>
  </si>
  <si>
    <t>-290.419716572365 190.519781301689 -297.147096438338</t>
  </si>
  <si>
    <t>-537.220593567977 62.1409879888653 -770.405323596517</t>
  </si>
  <si>
    <t>-319.925859041395 35.4457217325331 -459.668472264366</t>
  </si>
  <si>
    <t>-477.935806802593 243.476222293988 -249.968957955052</t>
  </si>
  <si>
    <t>-488.536616812037 224.522991010122 205.207985884089</t>
  </si>
  <si>
    <t>-504.535431171783 175.004014356917 672.202242112068</t>
  </si>
  <si>
    <t>-351.042733295758 166.3741982921 757.695138313152</t>
  </si>
  <si>
    <t>-510.303872014896 52.5567771008636 -225.547967031487</t>
  </si>
  <si>
    <t>-433.354756242156 9.14554960578926 221.500137997087</t>
  </si>
  <si>
    <t>-584.497004968827 -118.138851036297 647.574950101479</t>
  </si>
  <si>
    <t>-429.561646247086 -140.764283645369 727.741166435315</t>
  </si>
  <si>
    <t>9763-20170724T164248.322926300.bin</t>
  </si>
  <si>
    <t>-494.282776331542 148.33116567586 -238.076594512818</t>
  </si>
  <si>
    <t>-532.006719697506 140.096351492888 -352.867200890701</t>
  </si>
  <si>
    <t>-546.510155677194 128.367577874016 -472.628039916739</t>
  </si>
  <si>
    <t>-549.890967641941 116.564119281203 -581.458677920866</t>
  </si>
  <si>
    <t>-543.608390432925 103.722928596212 -690.042544379763</t>
  </si>
  <si>
    <t>-524.825318807477 84.9268311856369 -840.022388718496</t>
  </si>
  <si>
    <t>-483.095523168517 77.2840702426796 -932.66786734617</t>
  </si>
  <si>
    <t>-528.677677352325 124.542983474704 -777.025136564988</t>
  </si>
  <si>
    <t>-512.445330558029 270.174240188306 -764.869441616656</t>
  </si>
  <si>
    <t>-455.890008283748 311.049048819838 -456.135140675806</t>
  </si>
  <si>
    <t>-288.74278456884 190.425387478028 -297.535598808374</t>
  </si>
  <si>
    <t>-537.594857052085 61.9441198628661 -770.296781497606</t>
  </si>
  <si>
    <t>-320.71908048294 35.5011620789057 -460.347704755283</t>
  </si>
  <si>
    <t>-478.076361600159 243.974224272459 -249.988055521406</t>
  </si>
  <si>
    <t>-488.683041414387 224.945579603859 205.185741731095</t>
  </si>
  <si>
    <t>-504.639355644066 175.518168561649 672.180882283061</t>
  </si>
  <si>
    <t>-351.20460958118 166.040537040108 757.687963101277</t>
  </si>
  <si>
    <t>-510.342728374201 52.8122762320499 -225.507150837987</t>
  </si>
  <si>
    <t>-433.380254931903 9.2574675138427 221.524565770642</t>
  </si>
  <si>
    <t>-584.488190414442 -118.316272791483 647.569733405405</t>
  </si>
  <si>
    <t>-429.45762992936 -140.313704020994 727.726593295318</t>
  </si>
  <si>
    <t>9763-20170724T164248.395124300.bin</t>
  </si>
  <si>
    <t>-494.329960357717 148.63898340712 -237.932849466767</t>
  </si>
  <si>
    <t>-531.995244017707 140.293198850815 -352.734709191537</t>
  </si>
  <si>
    <t>-546.530017515826 128.36321560102 -472.471824967994</t>
  </si>
  <si>
    <t>-549.978236815427 116.327086976265 -581.274756437424</t>
  </si>
  <si>
    <t>-543.802555127574 103.194223946554 -689.830051068451</t>
  </si>
  <si>
    <t>-525.208678828888 83.923465631655 -839.773003216435</t>
  </si>
  <si>
    <t>-483.53003160214 75.9337599794623 -932.412379065488</t>
  </si>
  <si>
    <t>-528.821251045667 123.717939152049 -776.874131998583</t>
  </si>
  <si>
    <t>-511.600069335844 269.284091368365 -765.178056655564</t>
  </si>
  <si>
    <t>-452.23966694615 310.695435657591 -457.042373009334</t>
  </si>
  <si>
    <t>-286.328570397405 188.889883213922 -298.048837872141</t>
  </si>
  <si>
    <t>-538.050558385948 61.1822994145047 -769.981610323728</t>
  </si>
  <si>
    <t>-321.507278481455 34.505769249041 -460.492575094737</t>
  </si>
  <si>
    <t>-478.069891706574 244.343099835943 -249.960998857585</t>
  </si>
  <si>
    <t>-488.844941071333 225.127719423505 205.200820033096</t>
  </si>
  <si>
    <t>-504.562271955816 175.325927577198 672.166173540988</t>
  </si>
  <si>
    <t>-351.090258848535 166.114280357737 757.635455781876</t>
  </si>
  <si>
    <t>-510.409692164481 52.9983278540536 -225.324920428307</t>
  </si>
  <si>
    <t>-433.312996971856 9.45752311492507 221.685086543488</t>
  </si>
  <si>
    <t>-584.429383833628 -118.642142902439 647.561552387455</t>
  </si>
  <si>
    <t>-429.258965630345 -139.670693474987 727.708104507629</t>
  </si>
  <si>
    <t>9763-20170724T164248.425208900.bin</t>
  </si>
  <si>
    <t>-494.238831802808 148.656378747559 -237.916359582321</t>
  </si>
  <si>
    <t>-532.034803846767 140.277968619063 -352.673086301627</t>
  </si>
  <si>
    <t>-546.689338958716 128.280975442433 -472.38886444315</t>
  </si>
  <si>
    <t>-550.24014269186 116.165981491595 -581.179688299049</t>
  </si>
  <si>
    <t>-544.160782702802 102.933660130595 -689.728456126962</t>
  </si>
  <si>
    <t>-525.694279510374 83.5011936276027 -839.666308780611</t>
  </si>
  <si>
    <t>-484.029142762319 75.3529732351165 -932.29779959194</t>
  </si>
  <si>
    <t>-529.192508820318 123.355489182811 -776.79879578085</t>
  </si>
  <si>
    <t>-511.581201220512 268.892922368699 -765.235877568832</t>
  </si>
  <si>
    <t>-451.403355076524 310.347304943876 -457.264573911166</t>
  </si>
  <si>
    <t>-286.199537590602 188.302024331467 -297.719247573093</t>
  </si>
  <si>
    <t>-538.537848407625 60.8434726364305 -769.847937005553</t>
  </si>
  <si>
    <t>-321.563241776163 33.8579970585924 -459.60316566246</t>
  </si>
  <si>
    <t>-477.936831589062 244.117912876961 -249.947688519214</t>
  </si>
  <si>
    <t>-488.740759455922 224.832973238622 205.210545222375</t>
  </si>
  <si>
    <t>-504.301308538003 174.356007419257 672.175051299261</t>
  </si>
  <si>
    <t>-350.685708475894 167.151606019679 757.579139199621</t>
  </si>
  <si>
    <t>-510.403114160524 53.2129232350113 -225.210834762708</t>
  </si>
  <si>
    <t>-433.162325098662 9.63981283163461 221.771222719869</t>
  </si>
  <si>
    <t>-584.43704808728 -118.438693657268 647.543138715485</t>
  </si>
  <si>
    <t>-429.391076302736 -140.229120354034 727.726868665755</t>
  </si>
  <si>
    <t>9763-20170724T164248.490899000.bin</t>
  </si>
  <si>
    <t>-494.38293057046 149.456072969411 -237.80115141416</t>
  </si>
  <si>
    <t>-532.185917940956 141.009185292463 -352.550402069815</t>
  </si>
  <si>
    <t>-546.888823780926 128.969718673938 -472.256122278265</t>
  </si>
  <si>
    <t>-550.500858866412 116.822960682165 -581.041465324305</t>
  </si>
  <si>
    <t>-544.500305557477 103.563140834765 -689.591084493344</t>
  </si>
  <si>
    <t>-526.160899411089 84.0945263804182 -839.539863704105</t>
  </si>
  <si>
    <t>-484.44296533971 75.767345581659 -932.131809675292</t>
  </si>
  <si>
    <t>-529.544638469457 123.955696152042 -776.670654396649</t>
  </si>
  <si>
    <t>-511.373965087848 269.430827195085 -765.127837958347</t>
  </si>
  <si>
    <t>-450.336228031351 310.916570732946 -457.330054204266</t>
  </si>
  <si>
    <t>-285.960115207205 188.125786898469 -297.502041161193</t>
  </si>
  <si>
    <t>-539.006398501757 61.4618843311357 -769.713972759113</t>
  </si>
  <si>
    <t>-320.151764923893 33.507643408276 -457.036465143518</t>
  </si>
  <si>
    <t>-478.048048650815 245.019939177579 -249.92538080775</t>
  </si>
  <si>
    <t>-488.928113491237 225.590571352204 205.224927235201</t>
  </si>
  <si>
    <t>-504.456379829116 175.087907045793 672.163801492627</t>
  </si>
  <si>
    <t>-350.91104111877 166.537403807293 757.570045084061</t>
  </si>
  <si>
    <t>-510.545860196071 54.0665010028518 -225.037303782445</t>
  </si>
  <si>
    <t>-433.103765376373 10.214071330215 221.882592530007</t>
  </si>
  <si>
    <t>-584.465859689015 -118.146130679738 647.551710913571</t>
  </si>
  <si>
    <t>-429.548772821599 -140.746970763287 727.760385124601</t>
  </si>
  <si>
    <t>9763-20170724T164248.521982500.bin</t>
  </si>
  <si>
    <t>-494.446073851713 149.719488438967 -237.803726138494</t>
  </si>
  <si>
    <t>-532.221501479626 141.263564745627 -352.561355533199</t>
  </si>
  <si>
    <t>-546.924932004927 129.218630465185 -472.266435205518</t>
  </si>
  <si>
    <t>-550.549157369443 117.06799329694 -581.050891050265</t>
  </si>
  <si>
    <t>-544.57253995135 103.805013557215 -689.601429417395</t>
  </si>
  <si>
    <t>-526.278748526985 84.3323520996766 -839.555358085341</t>
  </si>
  <si>
    <t>-484.51813099857 75.9512818360011 -932.123165910954</t>
  </si>
  <si>
    <t>-529.656227725601 124.196972917653 -776.687795753301</t>
  </si>
  <si>
    <t>-511.543038344905 269.676915486313 -765.150785554506</t>
  </si>
  <si>
    <t>-450.084478327243 310.913580538029 -457.403167436376</t>
  </si>
  <si>
    <t>-285.507737560696 188.610039022628 -297.408221948004</t>
  </si>
  <si>
    <t>-539.090138071097 61.6998557450746 -769.722965156159</t>
  </si>
  <si>
    <t>-319.71079030311 33.4452783337076 -455.742279933049</t>
  </si>
  <si>
    <t>-478.159955858437 245.370925252778 -249.90413643126</t>
  </si>
  <si>
    <t>-489.025623254843 225.881952967577 205.243946895538</t>
  </si>
  <si>
    <t>-504.568811494514 175.520393574265 672.176889167941</t>
  </si>
  <si>
    <t>-351.035208201324 166.650681208218 757.571694801635</t>
  </si>
  <si>
    <t>-510.53717623447 54.2356965843282 -225.045708546652</t>
  </si>
  <si>
    <t>-433.189946651888 10.4308104744857 221.895218938107</t>
  </si>
  <si>
    <t>-584.490722233815 -118.075197086168 647.580828228877</t>
  </si>
  <si>
    <t>-429.617489126421 -140.923205095134 727.803987221424</t>
  </si>
  <si>
    <t>9763-20170724T164248.586154900.bin</t>
  </si>
  <si>
    <t>-494.549572154776 149.578638471249 -237.792028308797</t>
  </si>
  <si>
    <t>-532.239625715452 141.102263839059 -352.576211320782</t>
  </si>
  <si>
    <t>-546.927808520463 129.079889091109 -472.285306862009</t>
  </si>
  <si>
    <t>-550.568851404673 116.963372498641 -581.073184729595</t>
  </si>
  <si>
    <t>-544.639803492459 103.745521896104 -689.631837464374</t>
  </si>
  <si>
    <t>-526.443715178746 84.3449465544883 -839.606837620161</t>
  </si>
  <si>
    <t>-484.605136995475 75.9309503882813 -932.136490370226</t>
  </si>
  <si>
    <t>-529.807257422102 124.183000207257 -776.721886173359</t>
  </si>
  <si>
    <t>-511.808920489777 269.683187798189 -765.278124448899</t>
  </si>
  <si>
    <t>-449.867272094018 310.625016024707 -457.588084032971</t>
  </si>
  <si>
    <t>-284.694834316918 190.402858973592 -296.632456249111</t>
  </si>
  <si>
    <t>-539.182585239096 61.6752166718882 -769.773381763422</t>
  </si>
  <si>
    <t>-318.809637617969 32.6516663167716 -453.199097863187</t>
  </si>
  <si>
    <t>-478.409358271076 245.312327827315 -249.857214671571</t>
  </si>
  <si>
    <t>-489.302159051508 225.765477911697 205.287731531401</t>
  </si>
  <si>
    <t>-504.548848804957 175.42784005833 672.212409783457</t>
  </si>
  <si>
    <t>-350.966842250165 166.932106180675 757.558201380653</t>
  </si>
  <si>
    <t>-510.526925740234 53.9657331880994 -225.077047028641</t>
  </si>
  <si>
    <t>-433.342176594306 10.2227204297675 221.898042934783</t>
  </si>
  <si>
    <t>-584.449436983002 -118.439484561409 647.611401465132</t>
  </si>
  <si>
    <t>-429.376268674392 -139.883302699388 727.836027714079</t>
  </si>
  <si>
    <t>9763-20170724T164248.622701900.bin</t>
  </si>
  <si>
    <t>-494.700167788866 149.639845078649 -237.796935174698</t>
  </si>
  <si>
    <t>-532.363275971402 141.162892613686 -352.589987394136</t>
  </si>
  <si>
    <t>-547.030393153973 129.159325545449 -472.303577048664</t>
  </si>
  <si>
    <t>-550.655337148875 117.065247601257 -581.094520126792</t>
  </si>
  <si>
    <t>-544.713546449021 103.873838525149 -689.655729796052</t>
  </si>
  <si>
    <t>-526.503491874665 84.512427147249 -839.634006763737</t>
  </si>
  <si>
    <t>-484.608660169803 76.0751401720482 -932.13597745541</t>
  </si>
  <si>
    <t>-529.866607671294 124.33316528183 -776.738017747214</t>
  </si>
  <si>
    <t>-511.833729905513 269.82522500337 -765.311881183475</t>
  </si>
  <si>
    <t>-450.014520559286 310.956738115658 -457.622559613696</t>
  </si>
  <si>
    <t>-284.657381770755 191.8916865082 -295.997747580828</t>
  </si>
  <si>
    <t>-539.255158408997 61.825308046541 -769.80847630075</t>
  </si>
  <si>
    <t>-318.257620683289 32.6972512251017 -452.186335651214</t>
  </si>
  <si>
    <t>-478.61326215624 245.416714778629 -249.842985768672</t>
  </si>
  <si>
    <t>-489.469161994845 225.865142183298 205.302557941771</t>
  </si>
  <si>
    <t>-504.587003335045 175.58344832176 672.227767432869</t>
  </si>
  <si>
    <t>-351.025189433234 166.67454661192 757.567738130211</t>
  </si>
  <si>
    <t>-510.654887227088 54.0161898380337 -225.084192893792</t>
  </si>
  <si>
    <t>-433.466832538802 10.2443104108005 221.887515377193</t>
  </si>
  <si>
    <t>-584.440482961684 -118.630513919778 647.638966457694</t>
  </si>
  <si>
    <t>-429.46041545768 -140.658495301801 727.885306570325</t>
  </si>
  <si>
    <t>9763-20170724T164248.690394200.bin</t>
  </si>
  <si>
    <t>-494.919274620844 149.674021216666 -237.761156419204</t>
  </si>
  <si>
    <t>-532.567258875529 141.226079067148 -352.561310007591</t>
  </si>
  <si>
    <t>-547.20805701666 129.163872024148 -472.272310703809</t>
  </si>
  <si>
    <t>-550.804597271126 116.982021409003 -581.054283960321</t>
  </si>
  <si>
    <t>-544.829479019676 103.668881377497 -689.598780354276</t>
  </si>
  <si>
    <t>-526.568518685362 84.10372092009 -839.54466083388</t>
  </si>
  <si>
    <t>-484.617136697903 75.5511429530698 -932.010360489042</t>
  </si>
  <si>
    <t>-529.946426321813 124.009048159775 -776.702880039981</t>
  </si>
  <si>
    <t>-511.867104130169 269.51505145987 -765.515860382602</t>
  </si>
  <si>
    <t>-449.82908353473 311.27925193375 -457.955683160381</t>
  </si>
  <si>
    <t>-284.541190453604 193.80758890494 -295.098742667943</t>
  </si>
  <si>
    <t>-539.350486169644 61.5124041367289 -769.69340829039</t>
  </si>
  <si>
    <t>-317.979499375245 33.0409145177953 -450.662761614658</t>
  </si>
  <si>
    <t>-478.784504010354 245.413299876242 -249.802219339439</t>
  </si>
  <si>
    <t>-489.630214835047 225.877412211347 205.344295974076</t>
  </si>
  <si>
    <t>-504.568582425704 175.521770296557 672.265749620653</t>
  </si>
  <si>
    <t>-350.989589326446 166.609341989888 757.574441292262</t>
  </si>
  <si>
    <t>-510.891604228637 54.0276647994273 -225.073085924641</t>
  </si>
  <si>
    <t>-433.653671510771 10.2133956023458 221.885879468012</t>
  </si>
  <si>
    <t>-584.53001900695 -118.464976704789 647.724115294248</t>
  </si>
  <si>
    <t>-429.494354812515 -140.303772845726 727.914552194228</t>
  </si>
  <si>
    <t>9763-20170724T164248.720982300.bin</t>
  </si>
  <si>
    <t>-494.954607242838 149.693575148683 -237.783063769422</t>
  </si>
  <si>
    <t>-532.639409936803 141.273200548687 -352.573134775172</t>
  </si>
  <si>
    <t>-547.335389418442 129.186584402079 -472.27489145478</t>
  </si>
  <si>
    <t>-550.988794256846 116.959748037985 -581.049991904495</t>
  </si>
  <si>
    <t>-545.077374101501 103.577801766254 -689.589483186556</t>
  </si>
  <si>
    <t>-526.911335883526 83.8912470826755 -839.530916068677</t>
  </si>
  <si>
    <t>-484.957476472531 75.2684961509903 -931.989002337496</t>
  </si>
  <si>
    <t>-530.228084951762 123.844538561205 -776.716390726762</t>
  </si>
  <si>
    <t>-512.080390858936 269.34809998832 -765.676485214901</t>
  </si>
  <si>
    <t>-449.737158679379 311.421571213487 -458.220293996758</t>
  </si>
  <si>
    <t>-284.509583685523 194.269295266178 -295.072509111362</t>
  </si>
  <si>
    <t>-539.670416956972 61.3593528630051 -769.656500187914</t>
  </si>
  <si>
    <t>-318.510355568652 33.5107718101592 -450.33959977844</t>
  </si>
  <si>
    <t>-478.812874991962 245.322144187064 -249.791183081386</t>
  </si>
  <si>
    <t>-489.593900033672 225.767740417471 205.356211955012</t>
  </si>
  <si>
    <t>-504.454239892884 175.078149301901 672.283427554157</t>
  </si>
  <si>
    <t>-350.842099892937 166.580817146272 757.574768156278</t>
  </si>
  <si>
    <t>-510.950815743667 54.2296504104052 -225.095985551977</t>
  </si>
  <si>
    <t>-433.725378831799 10.2757600791111 221.851307927822</t>
  </si>
  <si>
    <t>-584.607267484318 -117.994593723919 647.727045579858</t>
  </si>
  <si>
    <t>-429.668117826984 -140.447562562775 727.934569163421</t>
  </si>
  <si>
    <t>9763-20170724T164248.790690100.bin</t>
  </si>
  <si>
    <t>-495.044887509928 149.639786319921 -237.752693643471</t>
  </si>
  <si>
    <t>-532.662377772317 141.209934072726 -352.564067784086</t>
  </si>
  <si>
    <t>-547.386798221187 129.062735555334 -472.256265209272</t>
  </si>
  <si>
    <t>-551.106142698949 116.75642693619 -581.020157145434</t>
  </si>
  <si>
    <t>-545.300998747529 103.26760332489 -689.552103950306</t>
  </si>
  <si>
    <t>-527.323809408999 83.4018396815272 -839.49258195351</t>
  </si>
  <si>
    <t>-485.384218719471 74.6275372945643 -931.94304886003</t>
  </si>
  <si>
    <t>-530.546961686839 123.428207983865 -776.720009791905</t>
  </si>
  <si>
    <t>-512.163684502146 268.918581001185 -765.93200995337</t>
  </si>
  <si>
    <t>-448.980397804204 311.519350553418 -458.720010293256</t>
  </si>
  <si>
    <t>-284.173743997905 193.923369786207 -295.465557275314</t>
  </si>
  <si>
    <t>-540.009404398019 60.9554400088748 -769.577369578041</t>
  </si>
  <si>
    <t>-319.088704159251 34.503966569599 -451.178745141759</t>
  </si>
  <si>
    <t>-478.894275543137 245.170398101416 -249.750301382009</t>
  </si>
  <si>
    <t>-489.639672413452 225.584220288932 205.396441120523</t>
  </si>
  <si>
    <t>-504.401180965923 174.848765879299 672.327882534021</t>
  </si>
  <si>
    <t>-350.737828703578 166.900023058382 757.579834234769</t>
  </si>
  <si>
    <t>-511.001763826559 54.1807560173458 -225.109139592671</t>
  </si>
  <si>
    <t>-433.878090848788 10.1145153948818 221.844696851977</t>
  </si>
  <si>
    <t>-584.603447722986 -118.360412088015 647.779965212237</t>
  </si>
  <si>
    <t>-429.722530937884 -141.130459566436 728.010574295771</t>
  </si>
  <si>
    <t>9763-20170724T164248.823905600.bin</t>
  </si>
  <si>
    <t>-495.053598586889 149.506417575161 -237.723231025878</t>
  </si>
  <si>
    <t>-532.68675448896 141.062063022173 -352.528449947104</t>
  </si>
  <si>
    <t>-547.446561399215 128.906634953203 -472.215544545349</t>
  </si>
  <si>
    <t>-551.20610511966 116.593000757978 -580.977119899915</t>
  </si>
  <si>
    <t>-545.449228051701 103.095059671346 -689.510456453858</t>
  </si>
  <si>
    <t>-527.547530419685 83.2134896806116 -839.458051758118</t>
  </si>
  <si>
    <t>-485.636447646552 74.3930430557624 -931.91690362441</t>
  </si>
  <si>
    <t>-530.733480863534 123.245725053716 -776.687167111253</t>
  </si>
  <si>
    <t>-512.270468965005 268.720449677766 -765.929062150197</t>
  </si>
  <si>
    <t>-448.320990699343 311.311201196078 -458.874202219006</t>
  </si>
  <si>
    <t>-283.851945218842 193.318958063207 -295.565289777984</t>
  </si>
  <si>
    <t>-540.203452065558 60.7752365763018 -769.534667169269</t>
  </si>
  <si>
    <t>-319.488969394078 34.6878858971196 -451.781376365228</t>
  </si>
  <si>
    <t>-478.955518181161 245.087813983093 -249.718532410017</t>
  </si>
  <si>
    <t>-489.637943645783 225.477253692297 205.428620934737</t>
  </si>
  <si>
    <t>-504.372426867866 174.703912502409 672.354132402534</t>
  </si>
  <si>
    <t>-350.675024620526 167.120571160216 757.578068789196</t>
  </si>
  <si>
    <t>-510.970435143723 53.9490886168168 -225.079042919957</t>
  </si>
  <si>
    <t>-433.807669991887 9.94508193799149 221.874168630826</t>
  </si>
  <si>
    <t>-584.574663253485 -118.591023514116 647.773424841789</t>
  </si>
  <si>
    <t>-429.545985230547 -140.369681343866 727.993751942827</t>
  </si>
  <si>
    <t>9763-20170724T164248.887579000.bin</t>
  </si>
  <si>
    <t>-495.344787525935 149.737965027408 -237.670997004209</t>
  </si>
  <si>
    <t>-532.979258955376 141.225903250294 -352.470790549594</t>
  </si>
  <si>
    <t>-547.783611956229 129.116155041525 -472.156955018554</t>
  </si>
  <si>
    <t>-551.602575863904 116.88134997328 -580.92534280346</t>
  </si>
  <si>
    <t>-545.924575055832 103.494497029425 -689.476717943549</t>
  </si>
  <si>
    <t>-528.152850977945 83.7956331393284 -839.463818604171</t>
  </si>
  <si>
    <t>-486.271168707412 74.9610461577533 -931.934615693057</t>
  </si>
  <si>
    <t>-531.253995766637 123.747174058284 -776.637235289692</t>
  </si>
  <si>
    <t>-512.36089357442 269.163826398395 -765.676113882086</t>
  </si>
  <si>
    <t>-446.915556952001 310.419646918222 -458.754196272977</t>
  </si>
  <si>
    <t>-282.911844746256 192.30961239915 -295.062781619766</t>
  </si>
  <si>
    <t>-540.778544418785 61.2763381407911 -769.561137917434</t>
  </si>
  <si>
    <t>-320.431279560792 35.7754050967409 -452.434898894779</t>
  </si>
  <si>
    <t>-479.40669330273 245.462700858585 -249.706787440044</t>
  </si>
  <si>
    <t>-489.970391640311 225.767959736917 205.439555226594</t>
  </si>
  <si>
    <t>-504.422530014037 175.061334472356 672.319781455932</t>
  </si>
  <si>
    <t>-350.786059322799 166.872480188068 757.59745310475</t>
  </si>
  <si>
    <t>-511.109453598797 54.1302042409898 -225.032788767926</t>
  </si>
  <si>
    <t>-433.860117837745 10.0925911660016 221.902273556239</t>
  </si>
  <si>
    <t>-584.580840933382 -118.610043144537 647.758358919515</t>
  </si>
  <si>
    <t>-429.513531609688 -140.109821739408 727.979206770256</t>
  </si>
  <si>
    <t>9763-20170724T164248.926214600.bin</t>
  </si>
  <si>
    <t>-495.569954961481 149.944176694314 -237.689972514525</t>
  </si>
  <si>
    <t>-533.282048378118 141.424490818459 -352.463836485768</t>
  </si>
  <si>
    <t>-548.112633100121 129.369652198794 -472.152135353807</t>
  </si>
  <si>
    <t>-551.933785102567 117.209095387369 -580.928857027587</t>
  </si>
  <si>
    <t>-546.236382722039 103.920389835329 -689.491247876387</t>
  </si>
  <si>
    <t>-528.415543332049 84.3822343977891 -839.493518126</t>
  </si>
  <si>
    <t>-486.533259464012 75.5946389883485 -931.968537933109</t>
  </si>
  <si>
    <t>-531.542954538194 124.267231140546 -776.626027623747</t>
  </si>
  <si>
    <t>-512.515625481248 269.643257314006 -765.437926633039</t>
  </si>
  <si>
    <t>-446.156883978833 309.918054789702 -458.581768405717</t>
  </si>
  <si>
    <t>-282.303102518537 191.587543303861 -294.89952581927</t>
  </si>
  <si>
    <t>-541.058414727228 61.7872742856926 -769.61832443056</t>
  </si>
  <si>
    <t>-320.934006280415 36.4400424939955 -452.477176316063</t>
  </si>
  <si>
    <t>-479.676900883353 245.670426909466 -249.749823058314</t>
  </si>
  <si>
    <t>-490.145808585053 225.916120317224 205.396127687024</t>
  </si>
  <si>
    <t>-504.374372340693 175.181419818544 672.236100676776</t>
  </si>
  <si>
    <t>-350.822936005094 166.609127823214 757.629204095403</t>
  </si>
  <si>
    <t>-511.337211569122 54.3329227849853 -225.014017777327</t>
  </si>
  <si>
    <t>-433.886012927001 10.3204907894872 221.888573456505</t>
  </si>
  <si>
    <t>-584.593053824051 -118.565339054743 647.727515596474</t>
  </si>
  <si>
    <t>-429.616203050054 -140.642761183929 727.966397114693</t>
  </si>
  <si>
    <t>9763-20170724T164248.985874200.bin</t>
  </si>
  <si>
    <t>-496.02418852822 149.896010846738 -237.749410038817</t>
  </si>
  <si>
    <t>-533.76139293859 141.344001165425 -352.512566068542</t>
  </si>
  <si>
    <t>-548.555727872198 129.392109538829 -472.215763242701</t>
  </si>
  <si>
    <t>-552.319253186057 117.377145384187 -581.010637433114</t>
  </si>
  <si>
    <t>-546.540047823943 104.285000016341 -689.59253672097</t>
  </si>
  <si>
    <t>-528.581173377177 85.0716971823634 -839.620389647964</t>
  </si>
  <si>
    <t>-486.664445240212 76.4094783810968 -932.091731967461</t>
  </si>
  <si>
    <t>-531.768203353436 124.820699590678 -776.669788779322</t>
  </si>
  <si>
    <t>-512.689461809222 270.17518413691 -765.098087739044</t>
  </si>
  <si>
    <t>-445.707106540783 308.962159933536 -458.185857518835</t>
  </si>
  <si>
    <t>-281.836507209624 190.126006676868 -294.887114808539</t>
  </si>
  <si>
    <t>-541.286779655481 62.3252880074698 -769.805651003798</t>
  </si>
  <si>
    <t>-321.639230430958 37.5504573870373 -451.983952751769</t>
  </si>
  <si>
    <t>-480.166727281569 245.696662332227 -249.8514969552</t>
  </si>
  <si>
    <t>-490.625411669833 225.930730496792 205.294135997742</t>
  </si>
  <si>
    <t>-504.214399544704 175.093054733221 672.138955068569</t>
  </si>
  <si>
    <t>-350.756691324498 166.311685554334 757.679122775933</t>
  </si>
  <si>
    <t>-511.683693535311 54.0912998056791 -225.054109429813</t>
  </si>
  <si>
    <t>-433.933065780459 10.2792429481667 221.816205319035</t>
  </si>
  <si>
    <t>-584.602565024878 -118.952442535277 647.663378390181</t>
  </si>
  <si>
    <t>-429.459354804656 -140.157719525358 727.816043138227</t>
  </si>
  <si>
    <t>9763-20170724T164249.023474800.bin</t>
  </si>
  <si>
    <t>-496.264408924353 149.937518133916 -237.80709089439</t>
  </si>
  <si>
    <t>-533.963844078147 141.375917730797 -352.581779033959</t>
  </si>
  <si>
    <t>-548.641643003565 129.456208451999 -472.302540747707</t>
  </si>
  <si>
    <t>-552.268544311439 117.484826536829 -581.10691829288</t>
  </si>
  <si>
    <t>-546.322541241556 104.449380224021 -689.686622105819</t>
  </si>
  <si>
    <t>-528.101592219899 85.3273110114257 -839.694581405269</t>
  </si>
  <si>
    <t>-486.070135773575 76.7290962783636 -932.119690285353</t>
  </si>
  <si>
    <t>-531.371140767118 125.034268963362 -776.721621380309</t>
  </si>
  <si>
    <t>-512.29665014995 270.372054287893 -764.970002195942</t>
  </si>
  <si>
    <t>-446.486471392053 308.813919913264 -457.760849294676</t>
  </si>
  <si>
    <t>-281.953622918576 189.365480195986 -295.578605240231</t>
  </si>
  <si>
    <t>-540.95643077031 62.5421909678014 -769.919867676029</t>
  </si>
  <si>
    <t>-321.865358862758 37.3916462945398 -451.288204207068</t>
  </si>
  <si>
    <t>-480.470990131626 245.773877550616 -249.898098315947</t>
  </si>
  <si>
    <t>-490.968416382027 226.03072478678 205.247660289913</t>
  </si>
  <si>
    <t>-504.252644849979 175.40416361354 672.116629777829</t>
  </si>
  <si>
    <t>-350.794997563923 166.706206435185 757.665379740701</t>
  </si>
  <si>
    <t>-511.896942369169 54.1769214997537 -225.101041737501</t>
  </si>
  <si>
    <t>-434.035540394253 10.4005843904835 221.753472892814</t>
  </si>
  <si>
    <t>-584.661417118015 -118.741804654342 647.623913252748</t>
  </si>
  <si>
    <t>-429.56646023082 -140.335830234964 727.766120601087</t>
  </si>
  <si>
    <t>9763-20170724T164249.089153200.bin</t>
  </si>
  <si>
    <t>-496.784685762424 149.924602132982 -237.879132062896</t>
  </si>
  <si>
    <t>-534.457715826039 141.44594253736 -352.668741383419</t>
  </si>
  <si>
    <t>-548.864669053379 129.65671967117 -472.435263672394</t>
  </si>
  <si>
    <t>-552.147172880832 117.823413790789 -581.265675820539</t>
  </si>
  <si>
    <t>-545.759246900282 104.947070298805 -689.839291885039</t>
  </si>
  <si>
    <t>-526.826093437038 86.0688295923806 -839.789874967808</t>
  </si>
  <si>
    <t>-484.448154429931 77.5904576887168 -932.067759856075</t>
  </si>
  <si>
    <t>-530.339758023547 125.665678352213 -776.760856429794</t>
  </si>
  <si>
    <t>-511.175738397081 270.961104188871 -764.664825755608</t>
  </si>
  <si>
    <t>-449.613233156743 309.535138905936 -456.592905206745</t>
  </si>
  <si>
    <t>-282.036387656748 189.659463865403 -297.879651450787</t>
  </si>
  <si>
    <t>-540.067113401577 63.1780662718986 -770.122002363284</t>
  </si>
  <si>
    <t>-322.086947703417 36.9260772649265 -449.655082667124</t>
  </si>
  <si>
    <t>-480.786646432586 245.698885241892 -249.943762549898</t>
  </si>
  <si>
    <t>-491.316064918945 225.989907533772 205.20282947069</t>
  </si>
  <si>
    <t>-504.245518327631 175.424253878617 672.131178229296</t>
  </si>
  <si>
    <t>-350.764080933769 166.790879349118 757.64379448388</t>
  </si>
  <si>
    <t>-512.638382248366 54.2517665924913 -225.162976660236</t>
  </si>
  <si>
    <t>-434.195238710915 10.1410193500367 221.556826464746</t>
  </si>
  <si>
    <t>-584.728413825859 -118.62014467144 647.52992261712</t>
  </si>
  <si>
    <t>-429.628158787051 -140.277974283032 727.644644769587</t>
  </si>
  <si>
    <t>9763-20170724T164249.119739200.bin</t>
  </si>
  <si>
    <t>-496.937934392201 149.64893374439 -237.934002777546</t>
  </si>
  <si>
    <t>-534.630911182482 141.265470954294 -352.724017262447</t>
  </si>
  <si>
    <t>-548.954344356329 129.531722975898 -472.506052880104</t>
  </si>
  <si>
    <t>-552.117972012122 117.736202372683 -581.344107082623</t>
  </si>
  <si>
    <t>-545.568637112441 104.888337880741 -689.911473750644</t>
  </si>
  <si>
    <t>-526.367369195286 86.0425464487038 -839.832019974018</t>
  </si>
  <si>
    <t>-483.791334846199 77.562666175071 -932.018434148915</t>
  </si>
  <si>
    <t>-529.990196123105 125.625320075585 -776.80018742095</t>
  </si>
  <si>
    <t>-511.023824975149 270.937453336224 -764.581708364312</t>
  </si>
  <si>
    <t>-451.099096472897 309.654073997365 -456.20495839294</t>
  </si>
  <si>
    <t>-281.775895228214 190.389316992731 -298.891228986674</t>
  </si>
  <si>
    <t>-539.736423004485 63.1372257240077 -770.193406714631</t>
  </si>
  <si>
    <t>-322.377680108827 36.5902377466689 -449.004804218768</t>
  </si>
  <si>
    <t>-480.809079750629 245.333488777297 -249.945421388159</t>
  </si>
  <si>
    <t>-491.233768715529 225.655746486789 205.204934735583</t>
  </si>
  <si>
    <t>-504.072597232209 174.734599529235 672.14705771248</t>
  </si>
  <si>
    <t>-350.551135198595 166.650609472114 757.641624010212</t>
  </si>
  <si>
    <t>-512.878277916043 54.0153758943032 -225.268499737787</t>
  </si>
  <si>
    <t>-434.285514450255 9.82329355381398 221.417026850879</t>
  </si>
  <si>
    <t>-584.761870496551 -118.650809686109 647.51294801507</t>
  </si>
  <si>
    <t>-429.682658145801 -140.427806327668 727.636083464662</t>
  </si>
  <si>
    <t>9763-20170724T164249.191432600.bin</t>
  </si>
  <si>
    <t>-497.28848942635 149.356521314723 -238.028671195208</t>
  </si>
  <si>
    <t>-534.948789353547 141.106889062107 -352.83928359291</t>
  </si>
  <si>
    <t>-549.031854480494 129.488604871604 -472.661005201676</t>
  </si>
  <si>
    <t>-551.893250469478 117.79464007593 -581.51820838694</t>
  </si>
  <si>
    <t>-544.958088222602 105.04879001372 -690.07368991176</t>
  </si>
  <si>
    <t>-525.136657391516 86.3486870188101 -839.931736668406</t>
  </si>
  <si>
    <t>-482.181675560003 77.9422255378211 -931.949057515708</t>
  </si>
  <si>
    <t>-529.017524451857 125.869763077705 -776.876674539301</t>
  </si>
  <si>
    <t>-510.21188821779 271.173447370804 -764.388705807477</t>
  </si>
  <si>
    <t>-452.330992637306 310.089560526381 -455.646920728922</t>
  </si>
  <si>
    <t>-279.820762524497 192.539246591669 -300.520479281638</t>
  </si>
  <si>
    <t>-538.796489222664 63.3760635997632 -770.371856135789</t>
  </si>
  <si>
    <t>-322.420163789851 35.7392172340042 -448.157332898074</t>
  </si>
  <si>
    <t>-481.057877106273 245.170515697882 -249.969525788369</t>
  </si>
  <si>
    <t>-491.292586742223 225.563962894526 205.188032192103</t>
  </si>
  <si>
    <t>-504.089400323542 174.940377743075 672.114512051099</t>
  </si>
  <si>
    <t>-350.629987252924 166.333512677001 757.669512053066</t>
  </si>
  <si>
    <t>-513.324495263683 53.6426036797798 -225.436487293273</t>
  </si>
  <si>
    <t>-434.611192638656 9.41868393768898 221.224589420293</t>
  </si>
  <si>
    <t>-584.901761032795 -118.487748889097 647.54759273585</t>
  </si>
  <si>
    <t>-429.831837930846 -140.48364407991 727.628933009222</t>
  </si>
  <si>
    <t>9763-20170724T164249.224637200.bin</t>
  </si>
  <si>
    <t>-497.475419354454 148.967708417103 -238.048324518061</t>
  </si>
  <si>
    <t>-535.147184604361 140.747824445847 -352.857185430444</t>
  </si>
  <si>
    <t>-549.148060992259 129.175125683844 -472.692910613358</t>
  </si>
  <si>
    <t>-551.896890795096 117.528739960577 -581.558263179246</t>
  </si>
  <si>
    <t>-544.811443451253 104.836902614884 -690.110417933517</t>
  </si>
  <si>
    <t>-524.743617753335 86.2184706649078 -839.945834832629</t>
  </si>
  <si>
    <t>-481.620542374781 77.8441949328865 -931.887342727925</t>
  </si>
  <si>
    <t>-528.712033401413 125.70289005172 -776.873256560012</t>
  </si>
  <si>
    <t>-509.828528523738 270.980214834226 -764.262740475666</t>
  </si>
  <si>
    <t>-452.417654437181 310.293543202241 -455.483438928763</t>
  </si>
  <si>
    <t>-278.342584702681 193.749959369337 -301.348824435007</t>
  </si>
  <si>
    <t>-538.534015288206 63.2102493302363 -770.423408573863</t>
  </si>
  <si>
    <t>-322.538649950137 34.9354710438231 -447.750777909404</t>
  </si>
  <si>
    <t>-481.182224816816 244.740550255006 -249.999036126879</t>
  </si>
  <si>
    <t>-491.349807082084 225.212933102972 205.163596122165</t>
  </si>
  <si>
    <t>-504.000550932368 174.758659230285 672.090254266469</t>
  </si>
  <si>
    <t>-350.506057666599 166.945367542752 757.658387147901</t>
  </si>
  <si>
    <t>-513.607359402015 53.245393402708 -225.442931126941</t>
  </si>
  <si>
    <t>-434.641025811706 9.10355780300478 221.181581068624</t>
  </si>
  <si>
    <t>-584.908267056327 -118.791923859904 647.526624718022</t>
  </si>
  <si>
    <t>-429.760872988642 -140.370660542315 727.571344332414</t>
  </si>
  <si>
    <t>9763-20170724T164249.290288100.bin</t>
  </si>
  <si>
    <t>-497.986147550495 148.75570861546 -238.221709239238</t>
  </si>
  <si>
    <t>-535.708023785147 140.548195868807 -353.015009234645</t>
  </si>
  <si>
    <t>-549.574390162083 129.066866527055 -472.875259146717</t>
  </si>
  <si>
    <t>-552.125575471552 117.536595752388 -581.757805573799</t>
  </si>
  <si>
    <t>-544.767900748626 104.995577717871 -690.309225807374</t>
  </si>
  <si>
    <t>-524.246160223709 86.6237217591038 -840.113618637625</t>
  </si>
  <si>
    <t>-480.866474916294 78.4006101368347 -931.948045833462</t>
  </si>
  <si>
    <t>-528.406005736986 126.004339953434 -776.988443003548</t>
  </si>
  <si>
    <t>-509.407005992322 271.238418842453 -764.072888166755</t>
  </si>
  <si>
    <t>-451.761321764582 310.25180824054 -455.299234361404</t>
  </si>
  <si>
    <t>-275.852946551879 194.709346853873 -302.498023540643</t>
  </si>
  <si>
    <t>-538.246758804457 63.5010862954591 -770.671101846191</t>
  </si>
  <si>
    <t>-322.613489981156 34.3314969305749 -446.954513584495</t>
  </si>
  <si>
    <t>-481.672482150007 244.691020905883 -250.254015452458</t>
  </si>
  <si>
    <t>-491.565843565259 225.248401355062 204.918280473729</t>
  </si>
  <si>
    <t>-503.782421662681 175.144920299908 671.74243549813</t>
  </si>
  <si>
    <t>-350.61403583741 166.191505161867 757.781741070675</t>
  </si>
  <si>
    <t>-514.102610550033 52.9747487184561 -225.589278235563</t>
  </si>
  <si>
    <t>-434.722522685035 8.89544189278854 220.968055989273</t>
  </si>
  <si>
    <t>-584.968449317524 -118.971979575155 647.395745752028</t>
  </si>
  <si>
    <t>-429.767899159815 -140.387422442376 727.381197886881</t>
  </si>
  <si>
    <t>9763-20170724T164249.357997600.bin</t>
  </si>
  <si>
    <t>-498.227998903307 148.435663169312 -238.551706742609</t>
  </si>
  <si>
    <t>-535.996710636421 140.194620509609 -353.327156824448</t>
  </si>
  <si>
    <t>-549.725092074396 128.806232483136 -473.212213442861</t>
  </si>
  <si>
    <t>-552.075375322416 117.415102863578 -582.113729309566</t>
  </si>
  <si>
    <t>-544.442158971206 105.070230966585 -690.668691887326</t>
  </si>
  <si>
    <t>-523.462132160729 87.0325225837094 -840.450215909511</t>
  </si>
  <si>
    <t>-479.855838204627 79.0352633040325 -932.197275470969</t>
  </si>
  <si>
    <t>-527.850029758105 126.277186181545 -777.255838749443</t>
  </si>
  <si>
    <t>-508.830885433326 271.476652209328 -763.91727384682</t>
  </si>
  <si>
    <t>-450.478520977292 309.495900434376 -455.152474520897</t>
  </si>
  <si>
    <t>-273.216969054852 195.63891225886 -302.649966942002</t>
  </si>
  <si>
    <t>-537.640252981562 63.7501777506702 -771.09729701869</t>
  </si>
  <si>
    <t>-322.839539247035 34.1408320520178 -446.817946436272</t>
  </si>
  <si>
    <t>-481.776468372074 244.108782203711 -250.60564400959</t>
  </si>
  <si>
    <t>-491.510525633152 224.807892649681 204.576074847739</t>
  </si>
  <si>
    <t>-503.371273565912 174.593149863495 671.5236440739</t>
  </si>
  <si>
    <t>-350.289076670436 166.872570747195 757.835523891959</t>
  </si>
  <si>
    <t>-514.499575511442 52.7648895413182 -225.868711651192</t>
  </si>
  <si>
    <t>-434.703944841692 8.96614804990394 220.642145031237</t>
  </si>
  <si>
    <t>-585.072028290137 -118.729695261091 647.152982570009</t>
  </si>
  <si>
    <t>-430.01176535222 -141.226940933298 727.113760183085</t>
  </si>
  <si>
    <t>9763-20170724T164249.388580800.bin</t>
  </si>
  <si>
    <t>-498.407064846608 148.194328687892 -238.731688100088</t>
  </si>
  <si>
    <t>-536.208382886452 139.959355973687 -353.496922340018</t>
  </si>
  <si>
    <t>-549.854550266454 128.654075416457 -473.399098673936</t>
  </si>
  <si>
    <t>-552.083711312033 117.367869525544 -582.314250415173</t>
  </si>
  <si>
    <t>-544.283544814035 105.156643805235 -690.87244454721</t>
  </si>
  <si>
    <t>-523.025253375406 87.333693614188 -840.640344155203</t>
  </si>
  <si>
    <t>-479.27354230271 79.4782971432505 -932.330336852891</t>
  </si>
  <si>
    <t>-527.534269338336 126.488163103176 -777.398724475004</t>
  </si>
  <si>
    <t>-508.417643992346 271.656550257674 -763.808670286411</t>
  </si>
  <si>
    <t>-449.838901983057 308.865051468856 -454.987881631714</t>
  </si>
  <si>
    <t>-272.169689290984 194.896228860276 -303.044626740763</t>
  </si>
  <si>
    <t>-537.328505530143 63.9514300303931 -771.346713635299</t>
  </si>
  <si>
    <t>-322.954716253139 34.346056837884 -446.957118746741</t>
  </si>
  <si>
    <t>-482.004168912733 243.942066120202 -250.784220288918</t>
  </si>
  <si>
    <t>-491.553546494165 224.651835908145 204.401842579519</t>
  </si>
  <si>
    <t>-503.122770682426 174.424939261067 671.261807092677</t>
  </si>
  <si>
    <t>-350.210762116174 166.794568746263 757.882840510281</t>
  </si>
  <si>
    <t>-514.609613103864 52.5532609932466 -226.029593246772</t>
  </si>
  <si>
    <t>-434.669966100194 8.75728191003788 220.455820548575</t>
  </si>
  <si>
    <t>-585.101849627361 -118.832777615604 647.020202168391</t>
  </si>
  <si>
    <t>-429.970927303661 -140.973085906237 726.943493825871</t>
  </si>
  <si>
    <t>9763-20170724T164249.422177800.bin</t>
  </si>
  <si>
    <t>-498.615379731846 148.088594477392 -238.953422243137</t>
  </si>
  <si>
    <t>-536.410221253211 139.788528520022 -353.716132997999</t>
  </si>
  <si>
    <t>-549.955360611024 128.532621199268 -473.634407658806</t>
  </si>
  <si>
    <t>-552.055449108829 117.333026535367 -582.560948951079</t>
  </si>
  <si>
    <t>-544.08985132752 105.247757738578 -691.121400765955</t>
  </si>
  <si>
    <t>-522.565631094471 87.6381563174818 -840.876554500802</t>
  </si>
  <si>
    <t>-478.676420688423 79.9151822340597 -932.512149916373</t>
  </si>
  <si>
    <t>-527.179244432907 126.701394278333 -777.585922817096</t>
  </si>
  <si>
    <t>-507.980110826304 271.846203996323 -763.778983095247</t>
  </si>
  <si>
    <t>-449.54502369832 308.614272789827 -454.878277747579</t>
  </si>
  <si>
    <t>-270.983393682874 195.013497830808 -303.707422670277</t>
  </si>
  <si>
    <t>-536.999687396986 64.1583267055898 -771.64304901406</t>
  </si>
  <si>
    <t>-323.114896874701 34.3730148403631 -447.013392503767</t>
  </si>
  <si>
    <t>-482.228889005545 243.970123451891 -251.072975720234</t>
  </si>
  <si>
    <t>-491.628262978087 224.736067425479 204.118692430435</t>
  </si>
  <si>
    <t>-502.896825175404 174.801739321096 670.937343861686</t>
  </si>
  <si>
    <t>-350.27527640699 166.142203719001 757.972920262844</t>
  </si>
  <si>
    <t>-514.798176972547 52.2950454784345 -226.189098362763</t>
  </si>
  <si>
    <t>-434.607763522078 8.62780340031277 220.263944933007</t>
  </si>
  <si>
    <t>-585.111759715447 -119.140631793505 646.845907015727</t>
  </si>
  <si>
    <t>-429.883852915062 -140.824288197874 726.706056722986</t>
  </si>
  <si>
    <t>9763-20170724T164249.493378600.bin</t>
  </si>
  <si>
    <t>-499.115095927315 147.840417927342 -239.423941899843</t>
  </si>
  <si>
    <t>-536.894276894166 139.478862282553 -354.187348220019</t>
  </si>
  <si>
    <t>-550.277627589197 128.256863227766 -474.127010054652</t>
  </si>
  <si>
    <t>-552.172315084083 117.128569198277 -583.064790614838</t>
  </si>
  <si>
    <t>-543.943689514398 105.156083691471 -691.618004119497</t>
  </si>
  <si>
    <t>-521.996368599942 87.7470965708663 -841.335169971401</t>
  </si>
  <si>
    <t>-477.876138501865 80.1759342855546 -932.872458624273</t>
  </si>
  <si>
    <t>-526.825803064271 126.730738310627 -778.011595060792</t>
  </si>
  <si>
    <t>-507.751575642839 271.841531803199 -763.879101397422</t>
  </si>
  <si>
    <t>-449.180148758252 307.084938716681 -454.826568746484</t>
  </si>
  <si>
    <t>-269.545240757686 193.468047466504 -304.944691382282</t>
  </si>
  <si>
    <t>-536.588890235977 64.1692808095444 -772.168143580883</t>
  </si>
  <si>
    <t>-323.383957180434 34.1671230137567 -447.054801385775</t>
  </si>
  <si>
    <t>-482.792871762199 243.780777903308 -251.544824108824</t>
  </si>
  <si>
    <t>-492.24576051161 224.672593626323 203.65089496353</t>
  </si>
  <si>
    <t>-502.625982055135 175.069221637804 670.565046929934</t>
  </si>
  <si>
    <t>-350.290554220812 166.153575982108 758.074821664327</t>
  </si>
  <si>
    <t>-515.293726033131 52.032540371258 -226.635710692967</t>
  </si>
  <si>
    <t>-434.732886910663 8.63173493658029 219.776686274432</t>
  </si>
  <si>
    <t>-585.187994041636 -118.976856317535 646.426560421341</t>
  </si>
  <si>
    <t>-429.918482900801 -140.563048035353 726.23211077028</t>
  </si>
  <si>
    <t>9763-20170724T164249.521451500.bin</t>
  </si>
  <si>
    <t>-499.325156032136 147.609748730973 -239.718622893413</t>
  </si>
  <si>
    <t>-537.006631422568 139.218618561707 -354.511845526484</t>
  </si>
  <si>
    <t>-550.285199001637 128.029035633379 -474.466223309396</t>
  </si>
  <si>
    <t>-552.083597151139 116.955461959757 -583.411025744579</t>
  </si>
  <si>
    <t>-543.758096315744 105.062950612294 -691.965666859692</t>
  </si>
  <si>
    <t>-521.676048169008 87.7912215740182 -841.679039615176</t>
  </si>
  <si>
    <t>-477.456199897223 80.3220510606063 -933.176603264643</t>
  </si>
  <si>
    <t>-526.597313210194 126.721736446366 -778.329821632086</t>
  </si>
  <si>
    <t>-507.586745765396 271.82516557931 -764.004443324306</t>
  </si>
  <si>
    <t>-448.417686414195 306.512184828154 -455.002829456361</t>
  </si>
  <si>
    <t>-268.446153000718 193.321592117631 -305.202257187109</t>
  </si>
  <si>
    <t>-536.296045226069 64.1451644290307 -772.541276525115</t>
  </si>
  <si>
    <t>-323.243812461502 34.1416561798928 -447.124565789188</t>
  </si>
  <si>
    <t>-482.978068354779 243.416361095112 -251.873518806238</t>
  </si>
  <si>
    <t>-492.33087850712 224.299513304069 203.323985285484</t>
  </si>
  <si>
    <t>-502.130211794586 174.48063998499 670.176839598116</t>
  </si>
  <si>
    <t>-349.99559714964 166.694147363045 758.142427556243</t>
  </si>
  <si>
    <t>-515.485955464902 51.9117663072008 -226.96491480317</t>
  </si>
  <si>
    <t>-434.904467749546 8.46195461123597 219.438915596405</t>
  </si>
  <si>
    <t>-585.254155977714 -118.844637351146 646.223266709576</t>
  </si>
  <si>
    <t>-430.003726798619 -140.676587617714 725.999153533908</t>
  </si>
  <si>
    <t>9763-20170724T164249.588130300.bin</t>
  </si>
  <si>
    <t>-499.937230123297 147.540099036036 -240.320369651791</t>
  </si>
  <si>
    <t>-537.731140148971 139.25569206474 -355.084411584508</t>
  </si>
  <si>
    <t>-550.986166720256 128.20100935433 -475.05377928364</t>
  </si>
  <si>
    <t>-552.705981472997 117.263732052624 -584.013818499506</t>
  </si>
  <si>
    <t>-544.245038526305 105.523684447776 -692.574470650795</t>
  </si>
  <si>
    <t>-521.916892504137 88.4824057606522 -842.277754426813</t>
  </si>
  <si>
    <t>-477.573787959819 81.2144368730667 -933.731876651972</t>
  </si>
  <si>
    <t>-527.027219906677 127.327104461802 -778.890878239516</t>
  </si>
  <si>
    <t>-508.11399783102 272.427391460543 -764.252048136622</t>
  </si>
  <si>
    <t>-445.974708017988 306.288028847764 -455.742132749075</t>
  </si>
  <si>
    <t>-265.775989713724 193.841473408887 -305.654756526122</t>
  </si>
  <si>
    <t>-536.565593310746 64.7181586857195 -773.18656389832</t>
  </si>
  <si>
    <t>-323.75175089931 34.9592456378287 -447.521421466974</t>
  </si>
  <si>
    <t>-483.766174718029 243.451667677416 -252.35694866677</t>
  </si>
  <si>
    <t>-492.668717664474 224.201858326236 202.843951408489</t>
  </si>
  <si>
    <t>-501.802388906499 174.565342762517 669.830342668866</t>
  </si>
  <si>
    <t>-350.129587328682 165.572836780898 758.475680726845</t>
  </si>
  <si>
    <t>-516.007086473217 51.7394242597855 -227.603192561537</t>
  </si>
  <si>
    <t>-435.251148608193 8.18624160889513 218.75906729007</t>
  </si>
  <si>
    <t>-585.369828396348 -119.000599332839 645.780634033599</t>
  </si>
  <si>
    <t>-430.079365108055 -140.872473952757 725.467561086179</t>
  </si>
  <si>
    <t>9763-20170724T164249.622727300.bin</t>
  </si>
  <si>
    <t>-500.273265667715 147.485815734432 -240.619353241813</t>
  </si>
  <si>
    <t>-538.113869549611 139.207755612125 -355.368356407409</t>
  </si>
  <si>
    <t>-551.369718929416 128.183975359469 -475.340526832441</t>
  </si>
  <si>
    <t>-553.070932219045 117.285848605644 -584.304859766269</t>
  </si>
  <si>
    <t>-544.572063186256 105.596611428517 -692.868077543635</t>
  </si>
  <si>
    <t>-522.171652227519 88.6389635196753 -842.569941170645</t>
  </si>
  <si>
    <t>-477.804713800593 81.4411792109623 -934.018056890009</t>
  </si>
  <si>
    <t>-527.323838320618 127.449827343946 -779.16574807042</t>
  </si>
  <si>
    <t>-508.360602997879 272.52997687449 -764.378502034611</t>
  </si>
  <si>
    <t>-444.958931576528 306.133210723762 -456.097382752391</t>
  </si>
  <si>
    <t>-264.046895328607 194.642727655338 -306.154794577576</t>
  </si>
  <si>
    <t>-536.84246909966 64.834654567636 -773.497159744434</t>
  </si>
  <si>
    <t>-324.005688595204 35.0302946359319 -447.731154274411</t>
  </si>
  <si>
    <t>-484.117366489444 243.35340724165 -252.672167531001</t>
  </si>
  <si>
    <t>-492.853887986552 224.071008531551 202.530630156972</t>
  </si>
  <si>
    <t>-501.502081958356 174.620573548458 669.404726763415</t>
  </si>
  <si>
    <t>-350.169013872823 165.319047737884 758.59725945966</t>
  </si>
  <si>
    <t>-516.284656122992 51.629755874003 -227.889549276409</t>
  </si>
  <si>
    <t>-435.306283936709 8.23442651925373 218.447766875208</t>
  </si>
  <si>
    <t>-585.400064238963 -119.035706638752 645.470466370446</t>
  </si>
  <si>
    <t>-430.167776915678 -141.336114944326 725.152003420928</t>
  </si>
  <si>
    <t>9763-20170724T164249.686898000.bin</t>
  </si>
  <si>
    <t>-500.496678704499 146.972984680441 -241.345798542658</t>
  </si>
  <si>
    <t>-538.434679468852 138.689526730525 -356.062431893401</t>
  </si>
  <si>
    <t>-551.727557387842 127.686293098545 -476.03246604509</t>
  </si>
  <si>
    <t>-553.435936570442 116.82141913343 -584.999681800809</t>
  </si>
  <si>
    <t>-544.917684600727 105.182746421338 -693.566888335872</t>
  </si>
  <si>
    <t>-522.462898992797 88.3156053548992 -843.270906521032</t>
  </si>
  <si>
    <t>-478.082473768296 81.1823375943747 -934.717525240189</t>
  </si>
  <si>
    <t>-527.633880960466 127.087491703745 -779.844456504343</t>
  </si>
  <si>
    <t>-508.543013552016 272.129958148045 -764.882610192937</t>
  </si>
  <si>
    <t>-442.845514460179 306.322648127683 -457.147562126363</t>
  </si>
  <si>
    <t>-260.867043173498 196.420622196031 -307.322801534187</t>
  </si>
  <si>
    <t>-537.162979110796 64.4701002299118 -774.218700389425</t>
  </si>
  <si>
    <t>-324.248382855528 34.5655663675661 -448.119658326375</t>
  </si>
  <si>
    <t>-484.158040856222 242.831256472791 -253.482966600801</t>
  </si>
  <si>
    <t>-492.871437997645 223.72143058981 201.727517021985</t>
  </si>
  <si>
    <t>-500.799676358305 174.421788215603 668.702455442344</t>
  </si>
  <si>
    <t>-349.973763662029 164.253546483525 758.656117910066</t>
  </si>
  <si>
    <t>-516.635021953627 51.1113421536098 -228.551370207173</t>
  </si>
  <si>
    <t>-435.150100616272 7.90404931943684 217.712033935721</t>
  </si>
  <si>
    <t>-585.388539578284 -119.110060608221 644.722954128307</t>
  </si>
  <si>
    <t>-430.057570099906 -140.56425705641 724.444472917503</t>
  </si>
  <si>
    <t>9763-20170724T164249.722997900.bin</t>
  </si>
  <si>
    <t>-500.565879259578 146.999270843135 -241.649108560844</t>
  </si>
  <si>
    <t>-538.518637979132 138.724845703083 -356.361536945785</t>
  </si>
  <si>
    <t>-551.814080037686 127.727993256031 -476.331759460044</t>
  </si>
  <si>
    <t>-553.519508564466 116.86837141056 -585.299695259452</t>
  </si>
  <si>
    <t>-544.993089036717 105.234922250753 -693.866825983034</t>
  </si>
  <si>
    <t>-522.521563549322 88.3752040977644 -843.569166687586</t>
  </si>
  <si>
    <t>-478.130279338843 81.2523504636187 -935.011287469749</t>
  </si>
  <si>
    <t>-527.687011770945 127.142210122474 -780.139247640611</t>
  </si>
  <si>
    <t>-508.509458050062 272.161212563752 -765.192808758578</t>
  </si>
  <si>
    <t>-442.142378083497 306.604499798125 -457.6294940081</t>
  </si>
  <si>
    <t>-259.651267052577 197.724299159524 -307.682280220699</t>
  </si>
  <si>
    <t>-537.241919285637 64.5279639132217 -774.521830052302</t>
  </si>
  <si>
    <t>-324.458263333538 34.4985677882261 -448.326949650496</t>
  </si>
  <si>
    <t>-484.211096736327 242.951020177458 -253.765419602127</t>
  </si>
  <si>
    <t>-492.847655714157 223.827646175122 201.446008735558</t>
  </si>
  <si>
    <t>-500.697006299313 174.672003673871 668.490962128064</t>
  </si>
  <si>
    <t>-350.015652097045 164.126098015567 758.64316848862</t>
  </si>
  <si>
    <t>-516.749946566557 51.125256387852 -228.876300360482</t>
  </si>
  <si>
    <t>-435.144386999873 7.9054045225427 217.36382926365</t>
  </si>
  <si>
    <t>-585.423355785487 -119.035074999375 644.429762071019</t>
  </si>
  <si>
    <t>-430.196296459528 -141.101145586145 724.186774844704</t>
  </si>
  <si>
    <t>9763-20170724T164249.789677400.bin</t>
  </si>
  <si>
    <t>-500.536660358435 146.973672887793 -242.220457194824</t>
  </si>
  <si>
    <t>-538.571855502154 138.735138822857 -356.908033350392</t>
  </si>
  <si>
    <t>-551.95463652958 127.730857531552 -476.86793616292</t>
  </si>
  <si>
    <t>-553.739539699601 116.849880486883 -585.832573593798</t>
  </si>
  <si>
    <t>-545.292016778879 105.1826696203 -694.402110153436</t>
  </si>
  <si>
    <t>-522.928919058831 88.2650898945895 -844.11415569582</t>
  </si>
  <si>
    <t>-478.595299637764 81.099344665483 -935.580949571948</t>
  </si>
  <si>
    <t>-528.047088166533 127.056424393911 -780.695279653443</t>
  </si>
  <si>
    <t>-508.782786391378 272.068168343512 -765.792381093556</t>
  </si>
  <si>
    <t>-441.122959253496 306.594092941144 -458.520129086806</t>
  </si>
  <si>
    <t>-257.599742068111 199.378975084404 -308.632644809333</t>
  </si>
  <si>
    <t>-537.600700776346 64.4447000024397 -775.047179223403</t>
  </si>
  <si>
    <t>-324.706080097801 34.3169143253485 -448.678688697378</t>
  </si>
  <si>
    <t>-484.035836081048 243.022864685431 -254.3101615391</t>
  </si>
  <si>
    <t>-492.440703826853 223.871702552836 200.904356881938</t>
  </si>
  <si>
    <t>-500.374588802329 175.050316720041 667.936987120377</t>
  </si>
  <si>
    <t>-349.987159718364 164.489157212469 758.576887895524</t>
  </si>
  <si>
    <t>-516.876091649586 51.0256076190572 -229.415182038759</t>
  </si>
  <si>
    <t>-435.009853591708 7.65298196913122 216.762326504967</t>
  </si>
  <si>
    <t>-585.405374415483 -119.289874189977 643.839827726423</t>
  </si>
  <si>
    <t>-430.108775147012 -140.676994311584 723.646226827219</t>
  </si>
  <si>
    <t>9763-20170724T164249.823972200.bin</t>
  </si>
  <si>
    <t>-500.463500623629 147.013798478711 -242.493891311567</t>
  </si>
  <si>
    <t>-538.561906122766 138.790401040897 -357.161667628751</t>
  </si>
  <si>
    <t>-552.019085811543 127.800197310532 -477.114549366779</t>
  </si>
  <si>
    <t>-553.874854089712 116.930991733174 -586.079075042332</t>
  </si>
  <si>
    <t>-545.501489947419 105.273851961792 -694.655551936186</t>
  </si>
  <si>
    <t>-523.244126606928 88.3683524234998 -844.38460201486</t>
  </si>
  <si>
    <t>-478.962851080085 81.186795830641 -935.875449824495</t>
  </si>
  <si>
    <t>-528.304978884849 127.152818029962 -780.957053500074</t>
  </si>
  <si>
    <t>-508.9734112557 272.156940404546 -766.043490294692</t>
  </si>
  <si>
    <t>-440.486910381224 306.624133334919 -458.94775156149</t>
  </si>
  <si>
    <t>-256.535268242715 199.649473241696 -309.414173457438</t>
  </si>
  <si>
    <t>-537.879647769276 64.5441508580211 -775.31134647406</t>
  </si>
  <si>
    <t>-324.754417998868 34.2061010040489 -448.958732191686</t>
  </si>
  <si>
    <t>-483.939126948053 243.08674970043 -254.569114999477</t>
  </si>
  <si>
    <t>-492.254041353481 223.924462865197 200.646563785685</t>
  </si>
  <si>
    <t>-500.149359948461 175.00149191852 667.667840948759</t>
  </si>
  <si>
    <t>-349.909751346629 164.367129527082 758.543997471836</t>
  </si>
  <si>
    <t>-516.842306056147 51.0755839968827 -229.690352062092</t>
  </si>
  <si>
    <t>-434.920635351069 7.68568618364904 216.475255780655</t>
  </si>
  <si>
    <t>-585.372027946893 -119.206099894059 643.531133960154</t>
  </si>
  <si>
    <t>-430.176484557362 -140.849984299354 723.464809570742</t>
  </si>
  <si>
    <t>9763-20170724T164249.891182100.bin</t>
  </si>
  <si>
    <t>-500.259411707234 147.401422195405 -242.917715236913</t>
  </si>
  <si>
    <t>-538.404759592532 139.100645649426 -357.564246008002</t>
  </si>
  <si>
    <t>-551.981545102962 128.070143438499 -477.499868712641</t>
  </si>
  <si>
    <t>-553.974901219464 117.175352118109 -586.459573029484</t>
  </si>
  <si>
    <t>-545.76765718432 105.501215389998 -695.04681352296</t>
  </si>
  <si>
    <t>-523.769824663332 88.5782892727445 -844.812431827255</t>
  </si>
  <si>
    <t>-479.621692732301 81.3410269275973 -936.36312301403</t>
  </si>
  <si>
    <t>-528.684687941338 127.365261968185 -781.374650907496</t>
  </si>
  <si>
    <t>-509.204043759193 272.351339406642 -766.485771818559</t>
  </si>
  <si>
    <t>-439.272098651366 306.701502627402 -459.702816650808</t>
  </si>
  <si>
    <t>-254.247675920771 200.594163178477 -310.876557142547</t>
  </si>
  <si>
    <t>-538.321693207204 64.7672176567272 -775.716883985085</t>
  </si>
  <si>
    <t>-324.796549319198 34.031122923894 -449.483621191253</t>
  </si>
  <si>
    <t>-483.692636521859 243.492827068193 -255.041299873393</t>
  </si>
  <si>
    <t>-492.016435312222 224.313645939671 200.173574516679</t>
  </si>
  <si>
    <t>-499.82460867576 175.181454016899 667.221594749071</t>
  </si>
  <si>
    <t>-349.900676876117 163.472021676469 758.486116100415</t>
  </si>
  <si>
    <t>-516.708875475831 51.3744462782009 -230.107157615004</t>
  </si>
  <si>
    <t>-434.515829564345 8.04093140032244 216.014113636062</t>
  </si>
  <si>
    <t>-585.204796240423 -119.142604050425 642.886519834442</t>
  </si>
  <si>
    <t>-430.254052312943 -140.998131459601 723.236453300181</t>
  </si>
  <si>
    <t>9763-20170724T164249.923084700.bin</t>
  </si>
  <si>
    <t>-500.136997610741 147.599715813033 -243.099231088755</t>
  </si>
  <si>
    <t>-538.318950918461 139.28207981322 -357.732341807942</t>
  </si>
  <si>
    <t>-551.946432238013 128.230501035294 -477.660302578874</t>
  </si>
  <si>
    <t>-553.99096766277 117.314690013735 -586.616850158454</t>
  </si>
  <si>
    <t>-545.839738101128 105.617408941347 -695.205844703458</t>
  </si>
  <si>
    <t>-523.9243381852 88.6602298366577 -844.979597989659</t>
  </si>
  <si>
    <t>-479.84008806389 81.4173156554442 -936.560785745643</t>
  </si>
  <si>
    <t>-528.798826712703 127.460893999557 -781.547227537442</t>
  </si>
  <si>
    <t>-509.278233239522 272.443217729426 -766.696917992913</t>
  </si>
  <si>
    <t>-438.416888864878 306.837436110405 -460.132251734958</t>
  </si>
  <si>
    <t>-253.211154329784 200.756536175751 -311.512739352248</t>
  </si>
  <si>
    <t>-538.443594458217 64.8656583610544 -775.87154167261</t>
  </si>
  <si>
    <t>-324.698637168457 33.8610318442397 -449.684611279389</t>
  </si>
  <si>
    <t>-483.608949042776 243.777865825795 -255.221991806408</t>
  </si>
  <si>
    <t>-491.970423234921 224.529367548352 199.98917127636</t>
  </si>
  <si>
    <t>-499.762900036886 175.438223284045 667.058832479322</t>
  </si>
  <si>
    <t>-349.954078862319 163.312079620842 758.457809547726</t>
  </si>
  <si>
    <t>-516.530675920803 51.4853436367823 -230.293987365694</t>
  </si>
  <si>
    <t>-434.317336395787 8.24165163895026 215.832201595734</t>
  </si>
  <si>
    <t>-585.140372245477 -119.033618646102 642.631732383567</t>
  </si>
  <si>
    <t>-430.288863412064 -140.875132626745 723.176611872106</t>
  </si>
  <si>
    <t>9763-20170724T164249.956174300.bin</t>
  </si>
  <si>
    <t>-499.954159573188 147.671391877967 -243.286975977444</t>
  </si>
  <si>
    <t>-538.164324139857 139.332906472959 -357.909183996109</t>
  </si>
  <si>
    <t>-551.872208826141 128.284147036764 -477.828295042539</t>
  </si>
  <si>
    <t>-554.010770333094 117.377176084812 -586.783850003072</t>
  </si>
  <si>
    <t>-545.974393566683 105.69261552891 -695.382826132428</t>
  </si>
  <si>
    <t>-524.239344242132 88.7550215650218 -845.185088544135</t>
  </si>
  <si>
    <t>-480.229936118782 81.5212058341675 -936.802859038166</t>
  </si>
  <si>
    <t>-529.015908745724 127.544406390714 -781.738270359619</t>
  </si>
  <si>
    <t>-509.375356297891 272.513517017925 -766.895984077393</t>
  </si>
  <si>
    <t>-437.70223447146 306.730086845489 -460.500253396943</t>
  </si>
  <si>
    <t>-252.351504221194 200.97956170707 -311.826184339435</t>
  </si>
  <si>
    <t>-538.697007474708 64.9544686027454 -776.066209397599</t>
  </si>
  <si>
    <t>-324.534755670101 33.7422474571926 -449.89404625594</t>
  </si>
  <si>
    <t>-483.458686511166 243.90956609813 -255.401755430695</t>
  </si>
  <si>
    <t>-491.816197083851 224.592643982785 199.806602099074</t>
  </si>
  <si>
    <t>-499.617464685702 175.473781050314 666.863990492465</t>
  </si>
  <si>
    <t>-349.878488347547 163.622599808451 758.413407565774</t>
  </si>
  <si>
    <t>-516.28410150538 51.5413355276069 -230.459445697211</t>
  </si>
  <si>
    <t>-434.139368265206 8.32826385591832 215.682382770831</t>
  </si>
  <si>
    <t>-585.104684833429 -119.002929108904 642.426442001807</t>
  </si>
  <si>
    <t>-430.28114606831 -140.608918915165 723.08846687499</t>
  </si>
  <si>
    <t>9763-20170724T164250.024965000.bin</t>
  </si>
  <si>
    <t>-499.667612356331 147.963072478403 -243.435698322487</t>
  </si>
  <si>
    <t>-537.845807259722 139.607072842474 -358.06739292285</t>
  </si>
  <si>
    <t>-551.610366624144 128.557199965538 -477.979853549977</t>
  </si>
  <si>
    <t>-553.837121623018 117.653700897204 -586.933999922726</t>
  </si>
  <si>
    <t>-545.925129417349 105.975702027483 -695.542718584605</t>
  </si>
  <si>
    <t>-524.399739395784 89.0490967417232 -845.37653248474</t>
  </si>
  <si>
    <t>-480.522457936251 81.8042277728667 -937.056738130322</t>
  </si>
  <si>
    <t>-529.07968349199 127.832718997246 -781.919021127556</t>
  </si>
  <si>
    <t>-509.275873929048 272.781833518162 -767.094413782697</t>
  </si>
  <si>
    <t>-436.411508325031 306.382061231777 -460.911465927778</t>
  </si>
  <si>
    <t>-251.333073078373 200.663978041267 -311.875448457008</t>
  </si>
  <si>
    <t>-538.768389147755 65.2445160400668 -776.240383291442</t>
  </si>
  <si>
    <t>-323.966143936694 33.9559257411172 -450.166548164317</t>
  </si>
  <si>
    <t>-483.138012540956 244.148526633474 -255.530834250557</t>
  </si>
  <si>
    <t>-491.584541232124 224.737156790417 199.671882075403</t>
  </si>
  <si>
    <t>-499.512426662179 175.255889079089 666.788627115552</t>
  </si>
  <si>
    <t>-349.835269321639 163.151466785969 758.406066239478</t>
  </si>
  <si>
    <t>-516.080921808458 51.8916141105282 -230.623851933341</t>
  </si>
  <si>
    <t>-433.966697488646 8.49084341291847 215.505358656031</t>
  </si>
  <si>
    <t>-585.032782036588 -118.954733937708 642.126631678098</t>
  </si>
  <si>
    <t>-430.327531766867 -140.823719437275 722.944579001546</t>
  </si>
  <si>
    <t>9763-20170724T164250.088163800.bin</t>
  </si>
  <si>
    <t>-499.372585183406 148.199595879744 -243.444389401009</t>
  </si>
  <si>
    <t>-537.57024811037 139.846556210533 -358.069672394647</t>
  </si>
  <si>
    <t>-551.398932926644 128.820447797182 -477.977051390087</t>
  </si>
  <si>
    <t>-553.701503280517 117.946696051149 -586.932573675483</t>
  </si>
  <si>
    <t>-545.883030266698 106.306616990696 -695.55226799754</t>
  </si>
  <si>
    <t>-524.504692318425 89.4409724393284 -845.413954458791</t>
  </si>
  <si>
    <t>-480.752726621883 82.2146137850397 -937.155477877515</t>
  </si>
  <si>
    <t>-529.133297290992 128.200278057553 -781.937850047319</t>
  </si>
  <si>
    <t>-509.228401301287 273.123455605279 -766.983697357724</t>
  </si>
  <si>
    <t>-434.966003706191 306.271609542061 -461.087447108056</t>
  </si>
  <si>
    <t>-250.313354274851 200.350776337195 -311.66786874033</t>
  </si>
  <si>
    <t>-538.794646610981 65.6067058103098 -776.271766424421</t>
  </si>
  <si>
    <t>-323.420834544199 34.4736434417265 -450.517500625496</t>
  </si>
  <si>
    <t>-482.879156718064 244.431676668682 -255.465174617401</t>
  </si>
  <si>
    <t>-491.465898517964 224.883392709143 199.729044658938</t>
  </si>
  <si>
    <t>-499.631414590545 175.222023174792 666.872991161804</t>
  </si>
  <si>
    <t>-349.845645162298 163.576195098533 758.372173825407</t>
  </si>
  <si>
    <t>-515.68872534164 52.1071011595838 -230.667314086535</t>
  </si>
  <si>
    <t>-433.743637671579 8.64667491450587 215.487223510454</t>
  </si>
  <si>
    <t>-585.010729581058 -118.989588586575 641.976490254602</t>
  </si>
  <si>
    <t>-430.326001215926 -141.019787218464 722.789961008996</t>
  </si>
  <si>
    <t>9763-20170724T164250.127270100.bin</t>
  </si>
  <si>
    <t>-498.980852221306 148.468324838783 -243.281732593379</t>
  </si>
  <si>
    <t>-537.111467466287 140.039652794761 -357.923762140218</t>
  </si>
  <si>
    <t>-550.928459486622 129.028577725132 -477.833871606556</t>
  </si>
  <si>
    <t>-553.244952621571 118.199035396241 -586.793407717326</t>
  </si>
  <si>
    <t>-545.464827986068 106.629801529207 -695.423510394495</t>
  </si>
  <si>
    <t>-524.165516943204 89.8866267010077 -845.310105810033</t>
  </si>
  <si>
    <t>-480.512677366524 82.7192880853543 -937.103610398047</t>
  </si>
  <si>
    <t>-528.741076372799 128.591342541023 -781.796768306275</t>
  </si>
  <si>
    <t>-508.584864669871 273.464604929791 -766.706737990828</t>
  </si>
  <si>
    <t>-432.685603253391 305.679130254059 -461.112712986245</t>
  </si>
  <si>
    <t>-248.785503944208 199.449801399842 -310.985478501205</t>
  </si>
  <si>
    <t>-538.438600131266 65.9986716638477 -776.182835829728</t>
  </si>
  <si>
    <t>-323.469435518759 34.8989487157231 -451.415541682889</t>
  </si>
  <si>
    <t>-482.570599920045 244.619085870507 -255.329393335106</t>
  </si>
  <si>
    <t>-491.330162669475 224.940816843507 199.856016234842</t>
  </si>
  <si>
    <t>-499.667400539597 174.917313800272 666.883420673285</t>
  </si>
  <si>
    <t>-349.7932664738 163.853181019841 758.31012367163</t>
  </si>
  <si>
    <t>-515.253422439202 52.3780837011585 -230.537452021636</t>
  </si>
  <si>
    <t>-433.36204223025 8.8279641492885 215.618158420248</t>
  </si>
  <si>
    <t>-584.951586843698 -119.126662042804 641.806487214051</t>
  </si>
  <si>
    <t>-430.178134121705 -140.844884134967 722.534474450996</t>
  </si>
  <si>
    <t>9763-20170724T164250.187907200.bin</t>
  </si>
  <si>
    <t>-498.697540241926 148.798124082038 -243.256125760032</t>
  </si>
  <si>
    <t>-536.754825813033 140.351052476018 -357.921344703436</t>
  </si>
  <si>
    <t>-550.49823683264 129.41284165994 -477.846433810304</t>
  </si>
  <si>
    <t>-552.749742325964 118.678026475428 -586.816784488014</t>
  </si>
  <si>
    <t>-544.907458899503 107.227453009249 -695.454888257366</t>
  </si>
  <si>
    <t>-523.525219785516 90.6691858129601 -845.350361562361</t>
  </si>
  <si>
    <t>-479.839791462167 83.5871003290853 -937.13474580192</t>
  </si>
  <si>
    <t>-528.081513179936 129.287757379924 -781.783300753851</t>
  </si>
  <si>
    <t>-507.460535693891 274.063959336457 -766.429667635534</t>
  </si>
  <si>
    <t>-430.278465704354 304.803346001021 -461.005001795754</t>
  </si>
  <si>
    <t>-247.233667834789 197.9880077649 -310.249793599419</t>
  </si>
  <si>
    <t>-537.890847812643 66.7036187920448 -776.269157061868</t>
  </si>
  <si>
    <t>-323.650936594431 35.7620926551409 -452.436188314717</t>
  </si>
  <si>
    <t>-482.277682534686 244.945704674566 -255.322799304809</t>
  </si>
  <si>
    <t>-491.132051660165 225.160266315944 199.856015705905</t>
  </si>
  <si>
    <t>-499.665857475633 174.885789437913 666.85914265071</t>
  </si>
  <si>
    <t>-349.766667708671 164.162154327593 758.285319340191</t>
  </si>
  <si>
    <t>-514.951056737747 52.7306655878713 -230.556197096253</t>
  </si>
  <si>
    <t>-433.135512927322 9.21545389097284 215.616789177367</t>
  </si>
  <si>
    <t>-584.850063592953 -119.110398514231 641.621042599839</t>
  </si>
  <si>
    <t>-430.159709617244 -141.157056020517 722.419205389865</t>
  </si>
  <si>
    <t>9763-20170724T164250.224298300.bin</t>
  </si>
  <si>
    <t>-498.554825776218 148.824210174465 -243.248737082808</t>
  </si>
  <si>
    <t>-536.619314455642 140.414222524384 -357.914304180032</t>
  </si>
  <si>
    <t>-550.34033445655 129.539056537652 -477.847701624741</t>
  </si>
  <si>
    <t>-552.559913193176 118.86883910253 -586.825143397749</t>
  </si>
  <si>
    <t>-544.673991862694 107.488587519291 -695.46746614519</t>
  </si>
  <si>
    <t>-523.219678154929 91.03268240687 -845.363802640003</t>
  </si>
  <si>
    <t>-479.513503696703 83.9809771193677 -937.140856405104</t>
  </si>
  <si>
    <t>-527.765959171319 129.602002816558 -781.766199337775</t>
  </si>
  <si>
    <t>-506.841969181703 274.333465592081 -766.228038364828</t>
  </si>
  <si>
    <t>-429.347162283163 304.36407126931 -460.811903521618</t>
  </si>
  <si>
    <t>-246.600553716773 197.063062913185 -310.039795543934</t>
  </si>
  <si>
    <t>-537.65912335032 67.0258581540899 -776.312367061046</t>
  </si>
  <si>
    <t>-323.611538348987 36.1624113553255 -452.724077974653</t>
  </si>
  <si>
    <t>-482.119110694195 245.009976679391 -255.294598864417</t>
  </si>
  <si>
    <t>-491.082111187817 225.190502797152 199.880595649522</t>
  </si>
  <si>
    <t>-499.669738556051 174.75917839018 666.86997489741</t>
  </si>
  <si>
    <t>-349.783125947118 163.828509161503 758.292327001074</t>
  </si>
  <si>
    <t>-514.861190516844 52.6673497601746 -230.546673080241</t>
  </si>
  <si>
    <t>-433.022476496642 9.04329002526416 215.611421970781</t>
  </si>
  <si>
    <t>-584.772878449404 -119.442551728282 641.578772955056</t>
  </si>
  <si>
    <t>-429.962862607316 -140.612070610089 722.382406133711</t>
  </si>
  <si>
    <t>9763-20170724T164250.288470400.bin</t>
  </si>
  <si>
    <t>-498.3161382138 149.172827716283 -243.241823705663</t>
  </si>
  <si>
    <t>-536.26722138436 140.869889997836 -357.952759315387</t>
  </si>
  <si>
    <t>-549.860619210179 130.084619565947 -477.908816475826</t>
  </si>
  <si>
    <t>-551.960958118739 119.481995277568 -586.895251591914</t>
  </si>
  <si>
    <t>-543.953181657449 108.152205216806 -695.533900549799</t>
  </si>
  <si>
    <t>-522.327677858361 91.7454335574607 -845.411027176335</t>
  </si>
  <si>
    <t>-478.546194515328 84.6699648742628 -937.150301245792</t>
  </si>
  <si>
    <t>-526.835379232326 130.277697543355 -781.78808708884</t>
  </si>
  <si>
    <t>-505.498115486439 274.918476024551 -766.023777680439</t>
  </si>
  <si>
    <t>-428.310039721559 303.274315989892 -460.370080441638</t>
  </si>
  <si>
    <t>-245.499867302148 195.28528922296 -310.167301253862</t>
  </si>
  <si>
    <t>-536.957173951744 67.7322482756653 -776.401912287116</t>
  </si>
  <si>
    <t>-323.807013292921 36.667547714464 -452.80093288535</t>
  </si>
  <si>
    <t>-481.679842658106 245.338334442073 -255.210444495792</t>
  </si>
  <si>
    <t>-490.950364320686 225.434219388237 199.954836152119</t>
  </si>
  <si>
    <t>-499.808189866943 174.85744935758 666.953954369194</t>
  </si>
  <si>
    <t>-349.873552619672 163.734532433716 758.274291584567</t>
  </si>
  <si>
    <t>-514.780388897953 53.1245986373235 -230.629263663621</t>
  </si>
  <si>
    <t>-433.120042834185 9.31361973978686 215.543231459175</t>
  </si>
  <si>
    <t>-584.850919668009 -118.860253499776 641.582145007764</t>
  </si>
  <si>
    <t>-430.267657864187 -141.621560210151 722.38709392322</t>
  </si>
  <si>
    <t>9763-20170724T164250.324104400.bin</t>
  </si>
  <si>
    <t>-498.098599373747 149.240838373059 -243.187245686511</t>
  </si>
  <si>
    <t>-535.983470751027 141.016475740385 -357.925688602357</t>
  </si>
  <si>
    <t>-549.508539893192 130.287706775072 -477.894554067557</t>
  </si>
  <si>
    <t>-551.547222082382 119.725153122141 -586.886076733383</t>
  </si>
  <si>
    <t>-543.478493686464 108.423457389035 -695.523020644565</t>
  </si>
  <si>
    <t>-521.769404226848 92.0421642352238 -845.39086092608</t>
  </si>
  <si>
    <t>-477.939831652953 84.9470290825501 -937.105799388325</t>
  </si>
  <si>
    <t>-526.260591164881 130.555791670463 -781.755702637539</t>
  </si>
  <si>
    <t>-504.754912988963 275.159598684336 -765.901929455787</t>
  </si>
  <si>
    <t>-428.092697708465 303.220012475552 -460.08873479352</t>
  </si>
  <si>
    <t>-245.074139027461 194.810905270265 -310.443427024019</t>
  </si>
  <si>
    <t>-536.48939791139 68.0249081781425 -776.402431957281</t>
  </si>
  <si>
    <t>-323.700284129528 36.8082480967254 -452.478574487909</t>
  </si>
  <si>
    <t>-481.313032515856 245.276510068927 -255.118753764953</t>
  </si>
  <si>
    <t>-490.836498541173 225.317428593725 200.039113150615</t>
  </si>
  <si>
    <t>-499.816855589402 174.438281123126 667.060898563054</t>
  </si>
  <si>
    <t>-349.764744109142 163.917059633383 758.259439689503</t>
  </si>
  <si>
    <t>-514.691236004518 53.2779839417863 -230.6219503459</t>
  </si>
  <si>
    <t>-433.139427176803 9.3520623998178 215.559037148411</t>
  </si>
  <si>
    <t>-584.885115862755 -118.626553841469 641.613265863822</t>
  </si>
  <si>
    <t>-430.338693084215 -141.69571992094 722.401432054166</t>
  </si>
  <si>
    <t>9763-20170724T164250.388779300.bin</t>
  </si>
  <si>
    <t>-497.609819249453 149.045651696728 -242.983849101992</t>
  </si>
  <si>
    <t>-535.476779437177 141.007611555317 -357.741333983783</t>
  </si>
  <si>
    <t>-548.900105347935 130.405239231641 -477.732845962334</t>
  </si>
  <si>
    <t>-550.812499011305 119.933212035151 -586.735267753321</t>
  </si>
  <si>
    <t>-542.583868418567 108.699946217691 -695.36749581519</t>
  </si>
  <si>
    <t>-520.618868356538 92.3918283886513 -845.205989198386</t>
  </si>
  <si>
    <t>-476.655838917409 85.248149097779 -936.8531742891</t>
  </si>
  <si>
    <t>-525.152237880689 130.864364981145 -781.548927023347</t>
  </si>
  <si>
    <t>-503.433671363707 275.413112922397 -765.475824336194</t>
  </si>
  <si>
    <t>-428.037501506446 303.580887191235 -459.357955779945</t>
  </si>
  <si>
    <t>-244.210793340183 194.485636568801 -311.209370649963</t>
  </si>
  <si>
    <t>-535.523133433233 68.3509554343549 -776.265404130243</t>
  </si>
  <si>
    <t>-323.200501563313 36.3401402773394 -451.16847514082</t>
  </si>
  <si>
    <t>-480.589697850977 245.169030299495 -254.787812778631</t>
  </si>
  <si>
    <t>-490.286137083886 225.155694286006 200.363921704418</t>
  </si>
  <si>
    <t>-500.150189286849 174.26709247096 667.394991807627</t>
  </si>
  <si>
    <t>-349.843999348849 164.173554832961 758.222756174883</t>
  </si>
  <si>
    <t>-514.476386011296 52.9574727121119 -230.487600619614</t>
  </si>
  <si>
    <t>-433.023787508162 8.7212062787473 215.680848769088</t>
  </si>
  <si>
    <t>-584.82178200481 -119.191488478005 641.765459363909</t>
  </si>
  <si>
    <t>-430.080421347292 -141.090763143702 722.506082013399</t>
  </si>
  <si>
    <t>9763-20170724T164250.424477900.bin</t>
  </si>
  <si>
    <t>-497.346952465012 149.065511750135 -242.906159618012</t>
  </si>
  <si>
    <t>-535.189798487059 141.098631502132 -357.676609677008</t>
  </si>
  <si>
    <t>-548.56666769743 130.537087245004 -477.676972910089</t>
  </si>
  <si>
    <t>-550.427893927132 120.091152564217 -586.682797043165</t>
  </si>
  <si>
    <t>-542.139339297246 108.874417891374 -695.312024408967</t>
  </si>
  <si>
    <t>-520.08225835322 92.5804039929358 -845.138684808429</t>
  </si>
  <si>
    <t>-476.038441249055 85.4128177057088 -936.745223611077</t>
  </si>
  <si>
    <t>-524.639408262167 131.044672675647 -781.478146226712</t>
  </si>
  <si>
    <t>-502.945792780345 275.581525749701 -765.303570577113</t>
  </si>
  <si>
    <t>-427.837240578293 303.681886774549 -459.108761502275</t>
  </si>
  <si>
    <t>-243.584001482492 194.403746288835 -311.626361955089</t>
  </si>
  <si>
    <t>-535.044196916034 68.5353551239968 -776.211866093115</t>
  </si>
  <si>
    <t>-323.032412319805 36.3678931867937 -450.618368745207</t>
  </si>
  <si>
    <t>-480.248231316871 245.229810131434 -254.701039685085</t>
  </si>
  <si>
    <t>-490.050665498351 225.200398173841 200.447765556788</t>
  </si>
  <si>
    <t>-500.143285435379 174.220270264812 667.341530623886</t>
  </si>
  <si>
    <t>-349.898195116425 163.638212019503 758.214806022937</t>
  </si>
  <si>
    <t>-514.274630234959 52.9963145436532 -230.442510967713</t>
  </si>
  <si>
    <t>-432.927673442991 8.56215115170683 215.725541680932</t>
  </si>
  <si>
    <t>-584.801594228496 -119.215452188491 641.803230391924</t>
  </si>
  <si>
    <t>-430.066642338791 -141.029611788743 722.579172750736</t>
  </si>
  <si>
    <t>9763-20170724T164250.487145700.bin</t>
  </si>
  <si>
    <t>-496.773947008475 149.315890159752 -242.833632852303</t>
  </si>
  <si>
    <t>-534.565939529381 141.413410071034 -357.625331548409</t>
  </si>
  <si>
    <t>-547.814933768123 130.93161331916 -477.646771601532</t>
  </si>
  <si>
    <t>-549.529602215797 120.565254373448 -586.662591793801</t>
  </si>
  <si>
    <t>-541.064739296134 109.43598593142 -695.287408211336</t>
  </si>
  <si>
    <t>-518.733208306436 93.2727122140023 -845.08750789866</t>
  </si>
  <si>
    <t>-474.500156790185 86.1762441645954 -936.608315681365</t>
  </si>
  <si>
    <t>-523.403140058453 131.680718441754 -781.401250695637</t>
  </si>
  <si>
    <t>-501.584649667403 276.173398911476 -765.005268982854</t>
  </si>
  <si>
    <t>-426.104725361412 304.1495177869 -458.890291167706</t>
  </si>
  <si>
    <t>-241.554121583495 194.749596883385 -311.870678530218</t>
  </si>
  <si>
    <t>-533.825215879757 69.1681232591639 -776.209916628746</t>
  </si>
  <si>
    <t>-322.540742846812 36.3914500710061 -449.819953828966</t>
  </si>
  <si>
    <t>-479.576040699324 245.432203431429 -254.642597754178</t>
  </si>
  <si>
    <t>-489.457966467895 225.339056288514 200.501682903217</t>
  </si>
  <si>
    <t>-500.163988226275 174.246705455076 667.380301935169</t>
  </si>
  <si>
    <t>-349.895507740394 164.133709859972 758.268358932884</t>
  </si>
  <si>
    <t>-513.80649707367 53.3435716993971 -230.402589999608</t>
  </si>
  <si>
    <t>-432.633938207104 8.77875432461929 215.784215136552</t>
  </si>
  <si>
    <t>-584.780354181893 -118.811515324184 641.788396699458</t>
  </si>
  <si>
    <t>-430.260052048553 -141.585130756403 722.710238174951</t>
  </si>
  <si>
    <t>9763-20170724T164250.527259400.bin</t>
  </si>
  <si>
    <t>-496.584699693576 149.437359353417 -242.830687384716</t>
  </si>
  <si>
    <t>-534.361911151961 141.528573590059 -357.626719520017</t>
  </si>
  <si>
    <t>-547.585752463081 131.083935954712 -477.654344136502</t>
  </si>
  <si>
    <t>-549.274252869395 120.764152473714 -586.675025881491</t>
  </si>
  <si>
    <t>-540.780118333342 109.691597573328 -695.303227073786</t>
  </si>
  <si>
    <t>-518.405006866915 93.6150648987743 -845.106111843078</t>
  </si>
  <si>
    <t>-474.099794501357 86.5684757471298 -936.595837128336</t>
  </si>
  <si>
    <t>-523.069300375104 131.982536502647 -781.395114607526</t>
  </si>
  <si>
    <t>-501.14669641618 276.455160816057 -764.921030795128</t>
  </si>
  <si>
    <t>-425.392039690114 304.057229902144 -458.839999068655</t>
  </si>
  <si>
    <t>-240.897421152711 194.665590435243 -311.743857466975</t>
  </si>
  <si>
    <t>-533.541352247981 69.4743443316104 -776.250892023172</t>
  </si>
  <si>
    <t>-322.614188902508 36.6871173087594 -449.758871867775</t>
  </si>
  <si>
    <t>-479.428834491679 245.538427050547 -254.6149021207</t>
  </si>
  <si>
    <t>-489.328168971939 225.403254123581 200.527164075821</t>
  </si>
  <si>
    <t>-500.159359972071 174.158883035741 667.379473984839</t>
  </si>
  <si>
    <t>-349.892108694328 164.119462109218 758.277583568644</t>
  </si>
  <si>
    <t>-513.592803357917 53.4784271296486 -230.380299102721</t>
  </si>
  <si>
    <t>-432.493573557548 8.82669934332293 215.81119000763</t>
  </si>
  <si>
    <t>-584.707307784998 -119.073257126917 641.762986857213</t>
  </si>
  <si>
    <t>-430.211623655402 -141.828920996784 722.736822213087</t>
  </si>
  <si>
    <t>9763-20170724T164250.587935700.bin</t>
  </si>
  <si>
    <t>-496.325800662187 149.750748232925 -242.784400085008</t>
  </si>
  <si>
    <t>-533.981190884495 141.792146673728 -357.617011570877</t>
  </si>
  <si>
    <t>-547.104245073939 131.397585051783 -477.660010165973</t>
  </si>
  <si>
    <t>-548.712711772722 121.156551947061 -586.689320754559</t>
  </si>
  <si>
    <t>-540.150654494318 110.191850214228 -695.32313917536</t>
  </si>
  <si>
    <t>-517.694485210077 94.2912598119882 -845.132662720073</t>
  </si>
  <si>
    <t>-473.31640931887 87.3104124498394 -936.592206033955</t>
  </si>
  <si>
    <t>-522.367483481973 132.579883817282 -781.374840351667</t>
  </si>
  <si>
    <t>-500.274269101558 276.990969407678 -764.681013367603</t>
  </si>
  <si>
    <t>-423.913637487928 303.850584907571 -458.68452580864</t>
  </si>
  <si>
    <t>-239.815834861002 194.76932224522 -310.862570613091</t>
  </si>
  <si>
    <t>-532.893921442906 70.0736841211465 -776.318324812814</t>
  </si>
  <si>
    <t>-322.529773359493 37.0060073566597 -450.059908799264</t>
  </si>
  <si>
    <t>-479.225865562663 245.851218682522 -254.537505698059</t>
  </si>
  <si>
    <t>-489.363103097827 225.58606249257 200.593565265782</t>
  </si>
  <si>
    <t>-500.222377732724 174.05079211142 667.450170364167</t>
  </si>
  <si>
    <t>-349.915516361713 163.990298342378 758.280575304697</t>
  </si>
  <si>
    <t>-513.253610762709 53.6487006319358 -230.377186733113</t>
  </si>
  <si>
    <t>-432.355830205256 9.03661725001611 215.854767701934</t>
  </si>
  <si>
    <t>-584.616732003861 -119.05726442293 641.71042158037</t>
  </si>
  <si>
    <t>-430.040063748138 -141.196255700932 722.70061026341</t>
  </si>
  <si>
    <t>9763-20170724T164250.624037300.bin</t>
  </si>
  <si>
    <t>-496.235352435235 150.039174807555 -242.786965376767</t>
  </si>
  <si>
    <t>-533.849134259193 142.114527255787 -357.635482854646</t>
  </si>
  <si>
    <t>-546.934697930717 131.780389770884 -477.687742149264</t>
  </si>
  <si>
    <t>-548.511743960546 121.602531347287 -586.723358321999</t>
  </si>
  <si>
    <t>-539.920904832548 110.708107719976 -695.362097356413</t>
  </si>
  <si>
    <t>-517.42790505088 94.911455096318 -845.177155736682</t>
  </si>
  <si>
    <t>-473.027879038059 87.9602115696083 -936.628292063271</t>
  </si>
  <si>
    <t>-522.10360818639 133.153849413069 -781.391719154623</t>
  </si>
  <si>
    <t>-499.946301626293 277.548625066564 -764.590381411375</t>
  </si>
  <si>
    <t>-423.487899105361 304.025824525562 -458.585164424384</t>
  </si>
  <si>
    <t>-239.438395674456 195.171339891477 -310.535890934466</t>
  </si>
  <si>
    <t>-532.657108528734 70.6481828668782 -776.385587091212</t>
  </si>
  <si>
    <t>-322.471153970742 37.3730438216019 -450.36036444133</t>
  </si>
  <si>
    <t>-479.14329254211 246.202504314769 -254.526363146886</t>
  </si>
  <si>
    <t>-489.390858714347 225.878930768946 200.599420399257</t>
  </si>
  <si>
    <t>-500.314584030054 174.50141169953 667.396955544001</t>
  </si>
  <si>
    <t>-350.061515875072 164.064438105521 758.273689665644</t>
  </si>
  <si>
    <t>-513.17014309792 54.020426605577 -230.392660114286</t>
  </si>
  <si>
    <t>-432.356053232974 9.29390025088389 215.843057587869</t>
  </si>
  <si>
    <t>-584.622463491133 -118.771104603005 641.686225245101</t>
  </si>
  <si>
    <t>-430.151038957289 -141.579613757265 722.691445476269</t>
  </si>
  <si>
    <t>9763-20170724T164250.691218200.bin</t>
  </si>
  <si>
    <t>-495.960181182999 150.271744159173 -242.770857515401</t>
  </si>
  <si>
    <t>-533.513737588073 142.376143517987 -357.641248778641</t>
  </si>
  <si>
    <t>-546.568583186808 132.125536507975 -477.703951471557</t>
  </si>
  <si>
    <t>-548.130913819183 122.043022515743 -586.748640643761</t>
  </si>
  <si>
    <t>-539.538765228178 111.262310964352 -695.398509715494</t>
  </si>
  <si>
    <t>-517.057666925199 95.6412501553594 -845.233811087462</t>
  </si>
  <si>
    <t>-472.643566146425 88.7388624243204 -936.681622471492</t>
  </si>
  <si>
    <t>-521.726901017651 133.808633812188 -781.403028519214</t>
  </si>
  <si>
    <t>-499.564717823457 278.183698191134 -764.423117671061</t>
  </si>
  <si>
    <t>-422.803743928157 303.922293197804 -458.430480023767</t>
  </si>
  <si>
    <t>-238.746674889449 195.197005760081 -310.296043543288</t>
  </si>
  <si>
    <t>-532.282860089731 71.2976111013673 -776.469744118942</t>
  </si>
  <si>
    <t>-322.220369132884 37.9173650630449 -450.454624632359</t>
  </si>
  <si>
    <t>-478.850226144279 246.355204464091 -254.456148542173</t>
  </si>
  <si>
    <t>-489.261569611383 225.898842279647 200.660150097172</t>
  </si>
  <si>
    <t>-500.305392527118 174.14766200015 667.483886120118</t>
  </si>
  <si>
    <t>-349.932299165229 164.566570268013 758.256404726123</t>
  </si>
  <si>
    <t>-512.892416004472 54.3064626502724 -230.414112423321</t>
  </si>
  <si>
    <t>-432.372311733682 9.41941239153503 215.858644483461</t>
  </si>
  <si>
    <t>-584.60786532268 -118.848971226442 641.70966974416</t>
  </si>
  <si>
    <t>-430.123340943899 -141.754627577436 722.662585922385</t>
  </si>
  <si>
    <t>9763-20170724T164250.723306400.bin</t>
  </si>
  <si>
    <t>-495.868287044504 150.578225265138 -242.7362211943</t>
  </si>
  <si>
    <t>-533.349015851378 142.687772811314 -357.630664615744</t>
  </si>
  <si>
    <t>-546.35019218872 132.477096261713 -477.70269303772</t>
  </si>
  <si>
    <t>-547.873092476793 122.443622159893 -586.752522980127</t>
  </si>
  <si>
    <t>-539.250736987323 111.723868727504 -695.406035308351</t>
  </si>
  <si>
    <t>-516.73754136325 96.199370987353 -845.246526094028</t>
  </si>
  <si>
    <t>-472.303913496714 89.3369360172596 -936.687931181444</t>
  </si>
  <si>
    <t>-521.426333937566 134.32653865369 -781.393063183565</t>
  </si>
  <si>
    <t>-499.211114114939 278.672587749199 -764.300180037131</t>
  </si>
  <si>
    <t>-422.09040404573 304.314265351939 -458.389833379472</t>
  </si>
  <si>
    <t>-237.922556635764 195.685418410545 -310.322223949942</t>
  </si>
  <si>
    <t>-531.971529042196 71.8104535462785 -776.500351101175</t>
  </si>
  <si>
    <t>-322.012732368731 38.3632597736099 -450.403488531951</t>
  </si>
  <si>
    <t>-478.810509032439 246.694407791173 -254.421831840797</t>
  </si>
  <si>
    <t>-489.2736994209 226.149710647749 200.68933241336</t>
  </si>
  <si>
    <t>-500.373057310885 174.36055363348 667.464902518996</t>
  </si>
  <si>
    <t>-350.070244657987 163.985099477777 758.266433825855</t>
  </si>
  <si>
    <t>-512.738010082455 54.6074355091803 -230.436385290769</t>
  </si>
  <si>
    <t>-432.39191769596 9.71401575583592 215.867043747729</t>
  </si>
  <si>
    <t>-584.583579168117 -118.615336213605 641.667318500082</t>
  </si>
  <si>
    <t>-430.2419452626 -142.246289676128 722.684330232044</t>
  </si>
  <si>
    <t>9763-20170724T164250.788983100.bin</t>
  </si>
  <si>
    <t>-495.477006414376 150.589247336771 -242.765801770705</t>
  </si>
  <si>
    <t>-532.944890880533 142.69726458427 -357.66432208205</t>
  </si>
  <si>
    <t>-545.95588740572 132.551665238103 -477.740772750556</t>
  </si>
  <si>
    <t>-547.497333929495 122.60009696494 -586.797941020277</t>
  </si>
  <si>
    <t>-538.903396952406 111.98294656334 -695.463594862404</t>
  </si>
  <si>
    <t>-516.439687994208 96.6200398687963 -845.328171682679</t>
  </si>
  <si>
    <t>-472.010281718935 89.8493294735816 -936.778632782516</t>
  </si>
  <si>
    <t>-521.10263506169 134.677565023758 -781.431392707632</t>
  </si>
  <si>
    <t>-498.881339795407 279.010156543395 -764.176014562912</t>
  </si>
  <si>
    <t>-420.765393755229 304.521172337904 -458.507527948245</t>
  </si>
  <si>
    <t>-236.321345963472 196.264547321321 -310.511194301271</t>
  </si>
  <si>
    <t>-531.655671126756 72.1577480836395 -776.604171185049</t>
  </si>
  <si>
    <t>-321.852188493272 38.7218191135113 -450.07354505146</t>
  </si>
  <si>
    <t>-478.49585558707 246.682975437372 -254.415319979638</t>
  </si>
  <si>
    <t>-489.060188754643 226.058869514132 200.689831968453</t>
  </si>
  <si>
    <t>-500.254528613046 173.887184342167 667.456028545461</t>
  </si>
  <si>
    <t>-349.884528523691 164.278681158355 758.23082494944</t>
  </si>
  <si>
    <t>-512.277281348456 54.5292461767542 -230.484358610969</t>
  </si>
  <si>
    <t>-432.070374827892 9.82940576087674 215.863559988665</t>
  </si>
  <si>
    <t>-584.394119489356 -118.689823304173 641.518556753029</t>
  </si>
  <si>
    <t>-430.113151801141 -141.888506788433 722.775621581186</t>
  </si>
  <si>
    <t>9763-20170724T164250.820569800.bin</t>
  </si>
  <si>
    <t>-495.327944856092 150.677700828642 -242.769198808195</t>
  </si>
  <si>
    <t>-532.761637331416 142.757540265019 -357.676961942774</t>
  </si>
  <si>
    <t>-545.772254022775 132.631497206515 -477.755247288488</t>
  </si>
  <si>
    <t>-547.32787330929 122.714095476817 -586.815198030632</t>
  </si>
  <si>
    <t>-538.762779753553 112.145774941217 -695.48800038294</t>
  </si>
  <si>
    <t>-516.354024506427 96.8641455179088 -845.369135598302</t>
  </si>
  <si>
    <t>-471.938446971201 90.1480200025662 -936.830220517738</t>
  </si>
  <si>
    <t>-520.990556663181 134.886550663175 -781.44945221091</t>
  </si>
  <si>
    <t>-498.768865308793 279.208333643225 -764.149594466658</t>
  </si>
  <si>
    <t>-420.005769968365 304.591452925121 -458.636464065173</t>
  </si>
  <si>
    <t>-235.279547828806 196.83193055679 -310.62913674863</t>
  </si>
  <si>
    <t>-531.547829487123 72.3650482225505 -776.653319875374</t>
  </si>
  <si>
    <t>-321.990163386129 39.0233922530333 -449.968933055979</t>
  </si>
  <si>
    <t>-478.430805637492 246.910900500893 -254.418269893357</t>
  </si>
  <si>
    <t>-489.044105489548 226.237057524714 200.683453842969</t>
  </si>
  <si>
    <t>-500.318455604083 174.137407286549 667.438645164502</t>
  </si>
  <si>
    <t>-349.996059624899 163.950917077104 758.229197730719</t>
  </si>
  <si>
    <t>-512.066448841011 54.5284925644827 -230.484559626176</t>
  </si>
  <si>
    <t>-431.837522496447 9.98684093440704 215.875283356033</t>
  </si>
  <si>
    <t>-584.306473653145 -118.691946915259 641.458853974573</t>
  </si>
  <si>
    <t>-430.025567356705 -141.512699992176 722.822900569562</t>
  </si>
  <si>
    <t>9763-20170724T164250.886754600.bin</t>
  </si>
  <si>
    <t>-495.06084911687 150.730780364301 -242.74225687749</t>
  </si>
  <si>
    <t>-532.470368442911 142.785914668227 -357.656187361241</t>
  </si>
  <si>
    <t>-545.503068689385 132.74357758619 -477.738799029326</t>
  </si>
  <si>
    <t>-547.098149897993 122.942204207866 -586.808756063257</t>
  </si>
  <si>
    <t>-538.591834678359 112.527454381092 -695.501092003818</t>
  </si>
  <si>
    <t>-516.284593955876 97.4959921988004 -845.422541162442</t>
  </si>
  <si>
    <t>-471.891755037573 90.9114513345731 -936.904248802546</t>
  </si>
  <si>
    <t>-520.872104935187 135.410744537667 -781.435476103529</t>
  </si>
  <si>
    <t>-498.57921800151 279.695016670243 -763.948664858492</t>
  </si>
  <si>
    <t>-419.092668200185 304.450273398546 -458.571455013728</t>
  </si>
  <si>
    <t>-233.448781536773 198.313317869593 -310.539769215122</t>
  </si>
  <si>
    <t>-531.437600085128 72.883155343315 -776.738363331834</t>
  </si>
  <si>
    <t>-322.176121728731 39.1344509464159 -449.677165406695</t>
  </si>
  <si>
    <t>-478.218331237549 246.892687346308 -254.377476819066</t>
  </si>
  <si>
    <t>-488.99868062164 226.127652442279 200.716182325084</t>
  </si>
  <si>
    <t>-500.222200972608 173.663093713464 667.446188833428</t>
  </si>
  <si>
    <t>-349.790408029288 164.717825365535 758.186279922886</t>
  </si>
  <si>
    <t>-511.766049057121 54.6679529274072 -230.442379722309</t>
  </si>
  <si>
    <t>-431.448394123461 10.1894077742863 215.907751776674</t>
  </si>
  <si>
    <t>-584.123427896511 -118.738703261318 641.329310543795</t>
  </si>
  <si>
    <t>-429.99141621415 -141.66661493434 722.945152546948</t>
  </si>
  <si>
    <t>9763-20170724T164250.923850600.bin</t>
  </si>
  <si>
    <t>-494.966677655896 150.857300354211 -242.762748017656</t>
  </si>
  <si>
    <t>-532.38506709296 142.928507782711 -357.674867130209</t>
  </si>
  <si>
    <t>-545.457920949333 132.945311199363 -477.758252568641</t>
  </si>
  <si>
    <t>-547.102218477108 123.213970663568 -586.833575489577</t>
  </si>
  <si>
    <t>-538.657517225882 112.885422515618 -695.539058423688</t>
  </si>
  <si>
    <t>-516.448315803301 97.989933431042 -845.488625097185</t>
  </si>
  <si>
    <t>-472.076267356923 91.4647570084236 -936.984617592297</t>
  </si>
  <si>
    <t>-520.994587132853 135.846737563168 -781.464321156805</t>
  </si>
  <si>
    <t>-498.604567630682 280.110923443244 -763.861286984747</t>
  </si>
  <si>
    <t>-418.745966396061 304.551406550519 -458.555737589968</t>
  </si>
  <si>
    <t>-232.851770971377 199.20726839474 -310.272235585811</t>
  </si>
  <si>
    <t>-531.555868138521 73.3146867127416 -776.816852269416</t>
  </si>
  <si>
    <t>-322.448786591056 39.5601737646547 -449.738021602828</t>
  </si>
  <si>
    <t>-478.152908781904 247.137608121341 -254.397471289499</t>
  </si>
  <si>
    <t>-488.960082299015 226.292600833754 200.691868770271</t>
  </si>
  <si>
    <t>-500.201713774784 173.783013011214 667.377461089251</t>
  </si>
  <si>
    <t>-349.874806013361 164.02965997785 758.208082803608</t>
  </si>
  <si>
    <t>-511.622882548776 54.6731454982661 -230.472556214631</t>
  </si>
  <si>
    <t>-431.366408035223 10.1686965222336 215.885965782636</t>
  </si>
  <si>
    <t>-584.019309024341 -119.067812042884 641.286621079617</t>
  </si>
  <si>
    <t>-429.805839898281 -141.18270411697 722.972875017091</t>
  </si>
  <si>
    <t>9763-20170724T164250.991535500.bin</t>
  </si>
  <si>
    <t>-494.754023276032 151.15485411942 -242.81977840414</t>
  </si>
  <si>
    <t>-532.171289264616 143.288409923812 -357.73657445372</t>
  </si>
  <si>
    <t>-545.308623154142 133.426727339397 -477.822872485627</t>
  </si>
  <si>
    <t>-547.038137500556 123.825619201162 -586.908538016034</t>
  </si>
  <si>
    <t>-538.705116527468 113.645267414955 -695.636584241277</t>
  </si>
  <si>
    <t>-516.677757554981 98.972490487748 -845.634961515651</t>
  </si>
  <si>
    <t>-472.363738532646 92.4944735426536 -937.162455592866</t>
  </si>
  <si>
    <t>-521.115954968029 136.729407277656 -781.543940569857</t>
  </si>
  <si>
    <t>-498.46199955865 280.923515302493 -763.751095645815</t>
  </si>
  <si>
    <t>-418.113841334954 304.840589291034 -458.532713840064</t>
  </si>
  <si>
    <t>-231.684410398406 201.909505077918 -309.22975763522</t>
  </si>
  <si>
    <t>-531.732419082845 74.2000363682747 -776.986489102661</t>
  </si>
  <si>
    <t>-322.649073751198 40.1409026970683 -449.652830991263</t>
  </si>
  <si>
    <t>-477.901843048136 247.408614541768 -254.42605557823</t>
  </si>
  <si>
    <t>-488.813018749586 226.457132839093 200.655955742342</t>
  </si>
  <si>
    <t>-500.1702218118 173.884855315939 667.319435144055</t>
  </si>
  <si>
    <t>-349.849422960498 164.633531694282 758.212690270503</t>
  </si>
  <si>
    <t>-511.486795128331 55.0220146108792 -230.571110559989</t>
  </si>
  <si>
    <t>-431.321020121341 10.3789354913162 215.789871901636</t>
  </si>
  <si>
    <t>-583.959579776606 -118.780649256072 641.212645519145</t>
  </si>
  <si>
    <t>-429.903203364504 -141.300439380111 723.084593655577</t>
  </si>
  <si>
    <t>9763-20170724T164251.020123900.bin</t>
  </si>
  <si>
    <t>-494.716468704834 151.374477107928 -242.861762490519</t>
  </si>
  <si>
    <t>-532.087199054244 143.553842791222 -357.796819938055</t>
  </si>
  <si>
    <t>-545.20916728883 133.758847751405 -477.890292301626</t>
  </si>
  <si>
    <t>-546.938317277945 124.224951661436 -586.981887698514</t>
  </si>
  <si>
    <t>-538.618371105013 114.118197104797 -695.717749329993</t>
  </si>
  <si>
    <t>-516.623006320061 99.5533597320445 -845.731327980606</t>
  </si>
  <si>
    <t>-472.320801860554 93.0739497659215 -937.264362097786</t>
  </si>
  <si>
    <t>-521.024276176954 137.260480218072 -781.608492455032</t>
  </si>
  <si>
    <t>-498.168577344606 281.410669339116 -763.720825332742</t>
  </si>
  <si>
    <t>-417.457193919305 304.973653695516 -458.57063651514</t>
  </si>
  <si>
    <t>-230.84133051128 203.71310540665 -308.361230063457</t>
  </si>
  <si>
    <t>-531.686250827033 74.7352582516027 -777.10123465202</t>
  </si>
  <si>
    <t>-322.60334959302 40.4673038304821 -449.611691697443</t>
  </si>
  <si>
    <t>-477.796630486439 247.674924410422 -254.476064235102</t>
  </si>
  <si>
    <t>-488.731245629712 226.647515734438 200.601960789416</t>
  </si>
  <si>
    <t>-500.112626389543 174.02973274298 667.206122057469</t>
  </si>
  <si>
    <t>-349.913094216872 164.215567759627 758.240675621583</t>
  </si>
  <si>
    <t>-511.471188667789 55.2299611445311 -230.639655618882</t>
  </si>
  <si>
    <t>-431.356808185689 10.5087796876344 215.722707903153</t>
  </si>
  <si>
    <t>-583.954883127278 -118.55131528189 641.169021971717</t>
  </si>
  <si>
    <t>-429.967736207418 -141.334843202371 723.098028046822</t>
  </si>
  <si>
    <t>9763-20170724T164251.092822200.bin</t>
  </si>
  <si>
    <t>-494.430464769545 151.488132611207 -243.021514692627</t>
  </si>
  <si>
    <t>-531.873872370035 143.791094603981 -357.941288505958</t>
  </si>
  <si>
    <t>-545.101077848869 134.075894122807 -478.02961050815</t>
  </si>
  <si>
    <t>-546.937728205766 124.592022991844 -587.123802404039</t>
  </si>
  <si>
    <t>-538.737144771576 114.510936198588 -695.871148094872</t>
  </si>
  <si>
    <t>-516.91881769066 99.9546680955147 -845.911372173544</t>
  </si>
  <si>
    <t>-472.69869196913 93.3766631694917 -937.477129676145</t>
  </si>
  <si>
    <t>-521.15125507387 137.643163425811 -781.76636844998</t>
  </si>
  <si>
    <t>-497.822785835498 281.717726265794 -763.830695958512</t>
  </si>
  <si>
    <t>-416.467867247115 304.433439366177 -458.787141528339</t>
  </si>
  <si>
    <t>-229.172964714496 207.140022349657 -306.811342994079</t>
  </si>
  <si>
    <t>-531.99414366309 75.1476041401963 -777.28002650852</t>
  </si>
  <si>
    <t>-323.158266670906 40.5420346090234 -449.334735262159</t>
  </si>
  <si>
    <t>-477.384638448175 247.95337171903 -254.589626727244</t>
  </si>
  <si>
    <t>-488.478978976609 226.847030002994 200.48081705461</t>
  </si>
  <si>
    <t>-500.055476670962 174.310244841197 667.101853700385</t>
  </si>
  <si>
    <t>-349.995903368868 163.842786821565 758.294329540704</t>
  </si>
  <si>
    <t>-511.331538079125 55.1367104421712 -230.781850875289</t>
  </si>
  <si>
    <t>-431.207962306835 10.2880930293147 215.566196971082</t>
  </si>
  <si>
    <t>-583.813403433651 -119.05638036001 641.029867045835</t>
  </si>
  <si>
    <t>-429.795388289603 -141.150831778384 723.089667101548</t>
  </si>
  <si>
    <t>9763-20170724T164251.121402200.bin</t>
  </si>
  <si>
    <t>-494.2575212837 151.714153489164 -243.048958985559</t>
  </si>
  <si>
    <t>-531.595613268717 144.035416904101 -358.00413794229</t>
  </si>
  <si>
    <t>-544.789325235652 134.361372473101 -478.099522247133</t>
  </si>
  <si>
    <t>-546.626660191423 124.919278548514 -587.19727589955</t>
  </si>
  <si>
    <t>-538.457867048687 114.882178795196 -695.951060180916</t>
  </si>
  <si>
    <t>-516.715885558225 100.386622418508 -846.008303655298</t>
  </si>
  <si>
    <t>-472.537325671191 93.772196634155 -937.591635160032</t>
  </si>
  <si>
    <t>-520.852022060198 138.038814630797 -781.835599937744</t>
  </si>
  <si>
    <t>-497.204044042586 282.047879477647 -763.829830808769</t>
  </si>
  <si>
    <t>-415.788602219006 304.706600227379 -458.798118386892</t>
  </si>
  <si>
    <t>-227.52152540794 210.014430036043 -306.381095475144</t>
  </si>
  <si>
    <t>-531.820040243268 75.5621468388053 -777.38957642072</t>
  </si>
  <si>
    <t>-323.222219213016 40.7247611184981 -449.08600125858</t>
  </si>
  <si>
    <t>-477.057295163964 248.061226249053 -254.611884017551</t>
  </si>
  <si>
    <t>-488.323540311073 226.937592272735 200.453564741592</t>
  </si>
  <si>
    <t>-499.9904987218 174.084076835862 667.084264945828</t>
  </si>
  <si>
    <t>-349.944608336515 163.648330832495 758.302961870547</t>
  </si>
  <si>
    <t>-511.260976207621 55.5202346300342 -230.831860765635</t>
  </si>
  <si>
    <t>-431.115737660025 10.5273336791143 215.497692887485</t>
  </si>
  <si>
    <t>-583.839007006893 -118.528906926242 640.956977600252</t>
  </si>
  <si>
    <t>-430.030913637104 -141.737713031927 723.10278551249</t>
  </si>
  <si>
    <t>9763-20170724T164251.189586300.bin</t>
  </si>
  <si>
    <t>-493.777823747407 151.726548039685 -243.03083521092</t>
  </si>
  <si>
    <t>-531.108790247905 144.131377080162 -357.993923504321</t>
  </si>
  <si>
    <t>-544.320844722796 134.523936152513 -478.092614256945</t>
  </si>
  <si>
    <t>-546.185593396151 125.131312257795 -587.194283113457</t>
  </si>
  <si>
    <t>-538.054799225169 115.131027749633 -695.954236140506</t>
  </si>
  <si>
    <t>-516.376337330616 100.671762994456 -846.02407469344</t>
  </si>
  <si>
    <t>-472.244366978637 93.9087492690863 -937.619011884849</t>
  </si>
  <si>
    <t>-520.393639002363 138.293173303456 -781.826059332861</t>
  </si>
  <si>
    <t>-496.204875622351 282.204776890264 -763.819335434654</t>
  </si>
  <si>
    <t>-415.10685507009 304.639734007396 -458.686519600958</t>
  </si>
  <si>
    <t>-224.481830311979 214.084699186151 -306.686862755016</t>
  </si>
  <si>
    <t>-531.543089754648 75.8458447404207 -777.419741557471</t>
  </si>
  <si>
    <t>-323.525393915292 40.3451049234733 -448.261209862736</t>
  </si>
  <si>
    <t>-476.416592447473 248.051868624273 -254.558535361913</t>
  </si>
  <si>
    <t>-488.030045031856 226.891322537245 200.496488009154</t>
  </si>
  <si>
    <t>-500.018142094299 173.977643953279 667.115999528694</t>
  </si>
  <si>
    <t>-349.908295313555 164.099722948905 758.291503976229</t>
  </si>
  <si>
    <t>-511.023217062681 55.426516140973 -230.84368438941</t>
  </si>
  <si>
    <t>-430.816127451849 10.4620273335888 215.477577369591</t>
  </si>
  <si>
    <t>-583.738312578127 -118.715080834307 640.853065660271</t>
  </si>
  <si>
    <t>-429.934630599564 -141.677738997149 723.076338617223</t>
  </si>
  <si>
    <t>9763-20170724T164251.220433600.bin</t>
  </si>
  <si>
    <t>-493.546454068885 151.85283247139 -243.061429526761</t>
  </si>
  <si>
    <t>-530.871833081809 144.292159000502 -358.028609749601</t>
  </si>
  <si>
    <t>-544.095475947161 134.707366682861 -478.127815021152</t>
  </si>
  <si>
    <t>-545.977959154353 125.32701410137 -587.230141208197</t>
  </si>
  <si>
    <t>-537.872100307547 115.328764778204 -695.992204964389</t>
  </si>
  <si>
    <t>-516.235708698265 100.859792683024 -846.067300825762</t>
  </si>
  <si>
    <t>-472.115922168477 94.0069978370925 -937.661331065237</t>
  </si>
  <si>
    <t>-520.189654204702 138.477793520644 -781.863107735097</t>
  </si>
  <si>
    <t>-495.860523718056 282.383644401791 -763.849907508628</t>
  </si>
  <si>
    <t>-414.809550694787 304.536559938631 -458.6841262287</t>
  </si>
  <si>
    <t>-222.463677562546 216.333835834338 -307.470967029082</t>
  </si>
  <si>
    <t>-531.428634132118 76.0459066952736 -777.464301772669</t>
  </si>
  <si>
    <t>-323.772753609784 40.4326503448163 -448.077540998352</t>
  </si>
  <si>
    <t>-476.181937887432 248.269862024236 -254.562892886695</t>
  </si>
  <si>
    <t>-487.831944801017 227.034861800434 200.487589050528</t>
  </si>
  <si>
    <t>-500.018040067016 174.020952638289 667.081919244863</t>
  </si>
  <si>
    <t>-349.97893055966 163.567034233755 758.309641330003</t>
  </si>
  <si>
    <t>-510.769114857304 55.5645787828974 -230.900713158655</t>
  </si>
  <si>
    <t>-430.708816468996 10.5110345706072 215.43799292456</t>
  </si>
  <si>
    <t>-583.709306089414 -118.670452904769 640.823517692627</t>
  </si>
  <si>
    <t>-429.99175627795 -141.990846157405 723.106955344248</t>
  </si>
  <si>
    <t>9763-20170724T164251.289120600.bin</t>
  </si>
  <si>
    <t>-493.092695199349 152.052542894711 -243.027545380233</t>
  </si>
  <si>
    <t>-530.316204377927 144.539210637655 -358.030841448876</t>
  </si>
  <si>
    <t>-543.476571806201 135.015876698788 -478.141944193278</t>
  </si>
  <si>
    <t>-545.319350359121 125.691541124507 -587.249835424727</t>
  </si>
  <si>
    <t>-537.191891006076 115.746941648316 -696.015063297693</t>
  </si>
  <si>
    <t>-515.544265400537 101.347342640316 -846.095177600652</t>
  </si>
  <si>
    <t>-471.349233843783 94.413178092851 -937.646720724832</t>
  </si>
  <si>
    <t>-519.445829215253 138.925997669486 -781.864730120852</t>
  </si>
  <si>
    <t>-494.744628788627 282.753706931184 -763.791636077575</t>
  </si>
  <si>
    <t>-413.770602689428 304.396446953799 -458.568681252957</t>
  </si>
  <si>
    <t>-218.911041780245 219.047808127135 -308.944505510296</t>
  </si>
  <si>
    <t>-530.799489564413 76.5115117719643 -777.514024365528</t>
  </si>
  <si>
    <t>-323.697078471847 40.2126737456297 -447.686279075736</t>
  </si>
  <si>
    <t>-475.631522652443 248.542738667229 -254.4977623166</t>
  </si>
  <si>
    <t>-487.46692218203 227.176070534919 200.541824476942</t>
  </si>
  <si>
    <t>-500.10208348094 174.116975250182 667.107490216933</t>
  </si>
  <si>
    <t>-350.06961185743 163.552897482152 758.33343332281</t>
  </si>
  <si>
    <t>-510.422481355933 55.7097970507601 -230.8954775124</t>
  </si>
  <si>
    <t>-430.540127791639 10.4299841272088 215.452159955739</t>
  </si>
  <si>
    <t>-583.601283340404 -118.820087820593 640.755646575818</t>
  </si>
  <si>
    <t>-429.900006234681 -141.888684430302 723.140674073609</t>
  </si>
  <si>
    <t>9763-20170724T164251.321378400.bin</t>
  </si>
  <si>
    <t>-492.905732923093 152.25975721112 -243.046162280769</t>
  </si>
  <si>
    <t>-530.145331000423 144.772434272458 -358.046048945224</t>
  </si>
  <si>
    <t>-543.330080249355 135.263427685414 -478.155549860219</t>
  </si>
  <si>
    <t>-545.198322349036 125.943615704251 -587.263394850075</t>
  </si>
  <si>
    <t>-537.099495468241 115.993150764928 -696.030289211258</t>
  </si>
  <si>
    <t>-515.49513695531 101.572631654673 -846.114612188025</t>
  </si>
  <si>
    <t>-471.267191795943 94.5868538761256 -937.646374235633</t>
  </si>
  <si>
    <t>-519.349120055509 139.155226330054 -781.88372421091</t>
  </si>
  <si>
    <t>-494.484007766777 282.965682362127 -763.822045522889</t>
  </si>
  <si>
    <t>-413.230047211987 304.41068655088 -458.659637561341</t>
  </si>
  <si>
    <t>-217.539666906205 219.957129333445 -309.612822238076</t>
  </si>
  <si>
    <t>-530.759660837717 76.7513029489319 -777.530189136178</t>
  </si>
  <si>
    <t>-323.893337266008 40.5127069102151 -447.637018046806</t>
  </si>
  <si>
    <t>-475.477791736645 248.715234261856 -254.491828046625</t>
  </si>
  <si>
    <t>-487.26806930944 227.249790477247 200.54425597435</t>
  </si>
  <si>
    <t>-500.026278387276 173.884527614418 667.070791809366</t>
  </si>
  <si>
    <t>-349.997105898691 163.55588729183 758.329079988305</t>
  </si>
  <si>
    <t>-510.192359336749 55.9688973236919 -230.922000780659</t>
  </si>
  <si>
    <t>-430.441044458424 10.4062690182601 215.420197560805</t>
  </si>
  <si>
    <t>-583.516116230803 -118.980779112675 640.701398116313</t>
  </si>
  <si>
    <t>-429.803063555567 -141.70484382052 723.160132917438</t>
  </si>
  <si>
    <t>9763-20170724T164251.388087500.bin</t>
  </si>
  <si>
    <t>-492.541755549227 152.701592943757 -243.000206748398</t>
  </si>
  <si>
    <t>-529.677970366011 145.198966428439 -358.032594673704</t>
  </si>
  <si>
    <t>-542.844901485813 135.689067319334 -478.143918221448</t>
  </si>
  <si>
    <t>-544.733676704325 126.368662442729 -587.251397802834</t>
  </si>
  <si>
    <t>-536.692189014206 116.414102147958 -696.022053309551</t>
  </si>
  <si>
    <t>-515.205376627495 101.981228743567 -846.12212722899</t>
  </si>
  <si>
    <t>-470.949163844937 94.9059715036106 -937.633388003248</t>
  </si>
  <si>
    <t>-518.974150444348 139.563061408249 -781.885767573091</t>
  </si>
  <si>
    <t>-493.952951464528 283.340471870969 -763.850973196584</t>
  </si>
  <si>
    <t>-412.414954704666 304.918525366088 -458.773702893702</t>
  </si>
  <si>
    <t>-215.906401295272 222.167746799408 -309.848361236517</t>
  </si>
  <si>
    <t>-530.451165362435 77.1715925322224 -777.529358501131</t>
  </si>
  <si>
    <t>-323.940844336189 40.9484790974909 -447.260392454855</t>
  </si>
  <si>
    <t>-475.098681452044 249.000809213052 -254.386933107368</t>
  </si>
  <si>
    <t>-486.98603677741 227.432896114751 200.641848987717</t>
  </si>
  <si>
    <t>-500.050081121208 173.480005785867 667.183550619122</t>
  </si>
  <si>
    <t>-349.923068662253 163.508518015044 758.320553279692</t>
  </si>
  <si>
    <t>-509.843840551263 56.4470008048404 -230.916893516836</t>
  </si>
  <si>
    <t>-430.312142583541 10.8572996267295 215.461863540051</t>
  </si>
  <si>
    <t>-583.435832178356 -118.673754787767 640.631121975062</t>
  </si>
  <si>
    <t>-429.961380531078 -142.461731301959 723.233988292789</t>
  </si>
  <si>
    <t>9763-20170724T164251.423315000.bin</t>
  </si>
  <si>
    <t>-492.283459272562 152.815445294171 -242.891907568276</t>
  </si>
  <si>
    <t>-529.335658582041 145.296110969445 -357.950159930505</t>
  </si>
  <si>
    <t>-542.447738420173 135.759830379661 -478.06544407333</t>
  </si>
  <si>
    <t>-544.300084919042 126.410167318083 -587.170916503287</t>
  </si>
  <si>
    <t>-536.235792607171 116.419855158591 -695.936731012921</t>
  </si>
  <si>
    <t>-514.731473819899 101.929649261495 -846.02880834838</t>
  </si>
  <si>
    <t>-470.459270788706 94.782490031269 -937.52665445946</t>
  </si>
  <si>
    <t>-518.504206357207 139.535419122839 -781.806456833397</t>
  </si>
  <si>
    <t>-493.44696583584 283.318595754161 -763.831953921182</t>
  </si>
  <si>
    <t>-412.062631589546 305.276101922998 -458.740739096892</t>
  </si>
  <si>
    <t>-215.714021604299 222.677482338698 -309.520288375039</t>
  </si>
  <si>
    <t>-529.988623695818 77.1467822530142 -777.4288430787</t>
  </si>
  <si>
    <t>-323.626992975376 40.969793424185 -447.203091536513</t>
  </si>
  <si>
    <t>-474.821746750151 249.016057785582 -254.246454955698</t>
  </si>
  <si>
    <t>-486.838048375436 227.325744991856 200.773143161082</t>
  </si>
  <si>
    <t>-500.162242350537 173.215815058301 667.358581309576</t>
  </si>
  <si>
    <t>-349.825367469888 164.360092652328 758.264571986554</t>
  </si>
  <si>
    <t>-509.578107082017 56.6315507412786 -230.866355793749</t>
  </si>
  <si>
    <t>-430.234005357048 11.045512316986 215.546174413925</t>
  </si>
  <si>
    <t>-583.398803624136 -118.618077831761 640.651652783191</t>
  </si>
  <si>
    <t>-429.916973931868 -142.372747618422 723.25042421936</t>
  </si>
  <si>
    <t>9763-20170724T164251.489505400.bin</t>
  </si>
  <si>
    <t>-491.934438142083 153.090635728865 -242.527050216973</t>
  </si>
  <si>
    <t>-528.90274888127 145.580382889438 -357.612891784638</t>
  </si>
  <si>
    <t>-542.004894135128 136.03324708131 -477.728380247791</t>
  </si>
  <si>
    <t>-543.879838236582 126.661214183642 -586.831539515188</t>
  </si>
  <si>
    <t>-535.869781393786 116.633379648861 -695.597963971606</t>
  </si>
  <si>
    <t>-514.473431079239 102.072775836043 -845.698600885889</t>
  </si>
  <si>
    <t>-470.205933229027 94.7956599481209 -937.188711535855</t>
  </si>
  <si>
    <t>-518.194027059935 139.707667588395 -781.490389291113</t>
  </si>
  <si>
    <t>-493.270509653951 283.525827641052 -763.54249089289</t>
  </si>
  <si>
    <t>-412.389029679345 306.012034175695 -458.356075597562</t>
  </si>
  <si>
    <t>-215.329765512486 226.234651462789 -308.5386394185</t>
  </si>
  <si>
    <t>-529.687272359427 77.3231340680331 -777.077134701304</t>
  </si>
  <si>
    <t>-323.193241130965 41.1407099402133 -446.690443584172</t>
  </si>
  <si>
    <t>-474.671580833312 249.352410848527 -253.746263653115</t>
  </si>
  <si>
    <t>-486.837697440633 227.416715051885 201.257435493591</t>
  </si>
  <si>
    <t>-500.698408075066 173.075115827171 667.886855953073</t>
  </si>
  <si>
    <t>-349.879472128442 165.090785143235 758.072275309641</t>
  </si>
  <si>
    <t>-509.081732187414 56.9364863522014 -230.59723773594</t>
  </si>
  <si>
    <t>-430.149079289722 11.2467343121425 215.877469511051</t>
  </si>
  <si>
    <t>-583.320625610141 -118.515750358364 640.822776240539</t>
  </si>
  <si>
    <t>-429.821257456297 -142.209324229882 723.406595240828</t>
  </si>
  <si>
    <t>9763-20170724T164251.521143700.bin</t>
  </si>
  <si>
    <t>-491.98214458548 153.252857836606 -242.284309120875</t>
  </si>
  <si>
    <t>-528.86443594159 145.642744392409 -357.391183945439</t>
  </si>
  <si>
    <t>-541.946699301203 136.013231702854 -477.502423782034</t>
  </si>
  <si>
    <t>-543.83228951371 126.567953723484 -586.599024452176</t>
  </si>
  <si>
    <t>-535.861725013855 116.464240048184 -695.361361302926</t>
  </si>
  <si>
    <t>-514.550012063842 101.791704760313 -845.463028247431</t>
  </si>
  <si>
    <t>-470.299047943704 94.4201218026197 -936.95343172845</t>
  </si>
  <si>
    <t>-518.21729330155 139.471534836289 -781.278180899072</t>
  </si>
  <si>
    <t>-493.321263397719 283.293494941893 -763.31829630161</t>
  </si>
  <si>
    <t>-413.019133210608 306.271869566577 -458.015521672002</t>
  </si>
  <si>
    <t>-215.792155210303 227.939875531153 -307.656915552685</t>
  </si>
  <si>
    <t>-529.742304278158 77.0962837887301 -776.817247559541</t>
  </si>
  <si>
    <t>-323.182097666216 40.8264214202078 -446.271409982714</t>
  </si>
  <si>
    <t>-474.951477107505 249.415932785151 -253.448709109833</t>
  </si>
  <si>
    <t>-487.156207998225 227.381879166102 201.549210316669</t>
  </si>
  <si>
    <t>-501.028439278033 172.839414658558 668.276672400363</t>
  </si>
  <si>
    <t>-349.828173344472 165.292644200594 757.859284545588</t>
  </si>
  <si>
    <t>-508.913604520579 57.2181159081518 -230.373078464884</t>
  </si>
  <si>
    <t>-430.272141910946 11.3345866782626 216.133273039929</t>
  </si>
  <si>
    <t>-583.261292288551 -118.505636045024 640.988928620058</t>
  </si>
  <si>
    <t>-429.701571805041 -141.788604383086 723.577204883964</t>
  </si>
  <si>
    <t>9763-20170724T164251.592347300.bin</t>
  </si>
  <si>
    <t>-492.438312525882 153.448852225796 -241.400780663057</t>
  </si>
  <si>
    <t>-529.100426227503 145.632783394677 -356.56408092515</t>
  </si>
  <si>
    <t>-542.23583140127 135.771129852397 -476.650691422466</t>
  </si>
  <si>
    <t>-544.285633178442 126.082472268986 -585.722905859977</t>
  </si>
  <si>
    <t>-536.595761668436 115.68756298653 -694.478100367533</t>
  </si>
  <si>
    <t>-515.793634398947 100.547314343312 -844.60479164515</t>
  </si>
  <si>
    <t>-471.715109623695 92.8607249955832 -936.152466920518</t>
  </si>
  <si>
    <t>-519.134156473598 138.407823603842 -780.508592820008</t>
  </si>
  <si>
    <t>-494.326960426806 282.289262572555 -762.874135120153</t>
  </si>
  <si>
    <t>-417.801753132529 308.75091264957 -456.88419060912</t>
  </si>
  <si>
    <t>-222.961120393818 231.418168912307 -302.939956604577</t>
  </si>
  <si>
    <t>-530.861654442195 76.0849211914973 -775.84832707304</t>
  </si>
  <si>
    <t>-324.010075765151 39.5501837057346 -444.798908400458</t>
  </si>
  <si>
    <t>-476.003899319516 249.65047894683 -252.417363510397</t>
  </si>
  <si>
    <t>-488.190869485011 227.478438264627 202.574506837523</t>
  </si>
  <si>
    <t>-502.422998081504 173.483847986751 669.466305279478</t>
  </si>
  <si>
    <t>-350.200109132529 165.869824771366 757.294175696023</t>
  </si>
  <si>
    <t>-508.746162546611 57.3981566675495 -229.613216649779</t>
  </si>
  <si>
    <t>-430.895211041255 11.8887876798676 217.069847796134</t>
  </si>
  <si>
    <t>-583.197528581189 -118.443342585689 641.722986038216</t>
  </si>
  <si>
    <t>-429.567958078623 -141.573273548583 724.224434570017</t>
  </si>
  <si>
    <t>9763-20170724T164251.629006700.bin</t>
  </si>
  <si>
    <t>-492.720888796527 153.252699979966 -240.955246381775</t>
  </si>
  <si>
    <t>-529.143896425643 145.32580049613 -356.186936007031</t>
  </si>
  <si>
    <t>-542.134690255312 135.349200686302 -476.279825469395</t>
  </si>
  <si>
    <t>-544.096259746124 125.545774323389 -585.34352415913</t>
  </si>
  <si>
    <t>-536.361825981326 115.019099597082 -694.08276390155</t>
  </si>
  <si>
    <t>-515.543821366316 99.6731495160303 -844.186294629764</t>
  </si>
  <si>
    <t>-471.527111820473 91.8785204152883 -935.754586120158</t>
  </si>
  <si>
    <t>-518.84574203983 137.613474367236 -780.135179064253</t>
  </si>
  <si>
    <t>-494.19184507971 281.506982533981 -762.668423508856</t>
  </si>
  <si>
    <t>-421.182994075363 310.064560288514 -456.008453877055</t>
  </si>
  <si>
    <t>-228.314515462352 232.582950154762 -299.674263720793</t>
  </si>
  <si>
    <t>-530.664489474728 75.3130520232124 -775.404951804262</t>
  </si>
  <si>
    <t>-323.923836312951 38.5923310651819 -444.151138273469</t>
  </si>
  <si>
    <t>-476.390989766197 249.299209136114 -252.009658602203</t>
  </si>
  <si>
    <t>-488.658474309522 227.205964455643 202.98383462035</t>
  </si>
  <si>
    <t>-502.728227282865 173.444805028036 669.767378670862</t>
  </si>
  <si>
    <t>-350.150935624143 166.67828571762 757.047894440542</t>
  </si>
  <si>
    <t>-508.861941038682 57.2336475583769 -229.241238450148</t>
  </si>
  <si>
    <t>-431.226739061708 11.9753832283865 217.504875195044</t>
  </si>
  <si>
    <t>-583.148053987683 -118.510662740501 642.142791532127</t>
  </si>
  <si>
    <t>-429.439996176405 -141.379092671369 724.570865506961</t>
  </si>
  <si>
    <t>9763-20170724T164251.689687500.bin</t>
  </si>
  <si>
    <t>-493.053245582907 152.466925964476 -240.300593537214</t>
  </si>
  <si>
    <t>-529.189893825011 144.478377626805 -355.618124958257</t>
  </si>
  <si>
    <t>-541.79805671409 134.42707991229 -475.745286648929</t>
  </si>
  <si>
    <t>-543.378343532274 124.547480223406 -584.808474987722</t>
  </si>
  <si>
    <t>-535.230571834938 113.933895264437 -693.508964386987</t>
  </si>
  <si>
    <t>-513.807713635786 98.4535388114514 -843.513666035684</t>
  </si>
  <si>
    <t>-469.705377427973 90.5391905566312 -935.030588657294</t>
  </si>
  <si>
    <t>-517.407548594907 136.458241276144 -779.516879865412</t>
  </si>
  <si>
    <t>-493.562869959704 280.515373445494 -762.107215290874</t>
  </si>
  <si>
    <t>-426.231073377243 312.651243485594 -454.503809080188</t>
  </si>
  <si>
    <t>-235.773352421984 234.86854502837 -295.388212632258</t>
  </si>
  <si>
    <t>-529.16582775153 74.1480001461208 -774.76580012314</t>
  </si>
  <si>
    <t>-323.136795693696 37.5071447735376 -442.980063774268</t>
  </si>
  <si>
    <t>-476.863494242016 248.563781745963 -251.459468047879</t>
  </si>
  <si>
    <t>-489.054717317923 226.696485547959 203.546981849577</t>
  </si>
  <si>
    <t>-503.096371764831 173.561169740268 670.262934485123</t>
  </si>
  <si>
    <t>-350.222768881189 166.501841226287 757.000146529909</t>
  </si>
  <si>
    <t>-508.985142368792 56.4498486923225 -228.59852402682</t>
  </si>
  <si>
    <t>-431.689026382631 11.4297940566002 218.23047484812</t>
  </si>
  <si>
    <t>-583.1410731591 -119.206242929239 643.111075117385</t>
  </si>
  <si>
    <t>-429.158740673332 -140.855565558477 725.356164931686</t>
  </si>
  <si>
    <t>9763-20170724T164251.721276700.bin</t>
  </si>
  <si>
    <t>-493.100234815416 151.997327058465 -240.079840792095</t>
  </si>
  <si>
    <t>-529.19818209734 143.995773523737 -355.408609161825</t>
  </si>
  <si>
    <t>-541.690355919471 133.922555529027 -475.546253001629</t>
  </si>
  <si>
    <t>-543.13489205134 124.020437513 -584.609114380927</t>
  </si>
  <si>
    <t>-534.821308419359 113.381578953799 -693.29462078458</t>
  </si>
  <si>
    <t>-513.138166202877 97.8638452608043 -843.258143752841</t>
  </si>
  <si>
    <t>-468.939555400185 89.9096232549126 -934.725041323994</t>
  </si>
  <si>
    <t>-516.884816200022 135.890752435251 -779.282916335233</t>
  </si>
  <si>
    <t>-493.802515243605 280.055144768001 -761.899813852113</t>
  </si>
  <si>
    <t>-429.089240465631 313.450287439314 -453.868863783591</t>
  </si>
  <si>
    <t>-239.163596222231 235.428384831158 -294.235101692342</t>
  </si>
  <si>
    <t>-528.579823118266 73.5691464370585 -774.524972996839</t>
  </si>
  <si>
    <t>-323.350824308715 37.1450883867023 -442.433724621409</t>
  </si>
  <si>
    <t>-476.957229143838 247.997103313442 -251.275337203159</t>
  </si>
  <si>
    <t>-489.045471770073 226.331356202215 203.743487022495</t>
  </si>
  <si>
    <t>-503.109985418513 173.345351580058 670.441198573743</t>
  </si>
  <si>
    <t>-350.139716779579 166.770644769416 757.045977006896</t>
  </si>
  <si>
    <t>-509.023469787519 56.0554795047961 -228.334642350946</t>
  </si>
  <si>
    <t>-431.914139060275 11.072556413804 218.53033881895</t>
  </si>
  <si>
    <t>-583.28233896665 -119.242297479871 643.616352771032</t>
  </si>
  <si>
    <t>-429.202261341402 -140.713969841167 725.724770079471</t>
  </si>
  <si>
    <t>9763-20170724T164251.788962300.bin</t>
  </si>
  <si>
    <t>-493.332852510379 151.143537047373 -239.804002623987</t>
  </si>
  <si>
    <t>-529.232075593876 143.221320805113 -355.200237573777</t>
  </si>
  <si>
    <t>-541.399252128472 133.186162702506 -475.374358619688</t>
  </si>
  <si>
    <t>-542.500662382867 123.306087872325 -584.443272188929</t>
  </si>
  <si>
    <t>-533.79720682905 112.679885177544 -693.099458511107</t>
  </si>
  <si>
    <t>-511.526249347323 97.1725550094046 -842.977844109786</t>
  </si>
  <si>
    <t>-467.0627122875 89.242354869196 -934.318353295483</t>
  </si>
  <si>
    <t>-515.566106175812 135.20245291604 -779.02225653195</t>
  </si>
  <si>
    <t>-493.854906894416 279.588972019644 -761.661789520344</t>
  </si>
  <si>
    <t>-434.940166691034 314.294267417812 -452.613614750597</t>
  </si>
  <si>
    <t>-245.787761475218 235.882856300576 -292.254467635228</t>
  </si>
  <si>
    <t>-527.194811001724 72.8656320848951 -774.300469249853</t>
  </si>
  <si>
    <t>-322.941243801625 36.7269112284032 -441.524279227103</t>
  </si>
  <si>
    <t>-477.097287697287 247.059561859224 -251.011501755935</t>
  </si>
  <si>
    <t>-489.243867049242 225.808092363794 204.025333146408</t>
  </si>
  <si>
    <t>-503.27765594334 173.59726481 670.751408146234</t>
  </si>
  <si>
    <t>-350.210981238948 167.117399337552 757.192841204188</t>
  </si>
  <si>
    <t>-509.407084915747 55.4451341730008 -228.062647690091</t>
  </si>
  <si>
    <t>-432.543306413328 10.2839128013893 218.826629185271</t>
  </si>
  <si>
    <t>-583.478035168145 -119.368839649943 644.316618875508</t>
  </si>
  <si>
    <t>-429.296877482844 -140.906862512002 726.217821429597</t>
  </si>
  <si>
    <t>9763-20170724T164251.822556800.bin</t>
  </si>
  <si>
    <t>-493.342558860672 150.578338813558 -239.74276488753</t>
  </si>
  <si>
    <t>-529.176204559959 142.730028414451 -355.164538271719</t>
  </si>
  <si>
    <t>-541.178680212286 132.743654756787 -475.359167419221</t>
  </si>
  <si>
    <t>-542.091500234682 122.902091238768 -584.433289502643</t>
  </si>
  <si>
    <t>-533.160819305712 112.312078901912 -693.074718165391</t>
  </si>
  <si>
    <t>-510.535479527122 96.8556262799551 -842.905271670029</t>
  </si>
  <si>
    <t>-465.916284838514 88.9576893654059 -934.172589782265</t>
  </si>
  <si>
    <t>-514.743351910374 134.866747294518 -778.949219522566</t>
  </si>
  <si>
    <t>-493.612293864189 279.351946924918 -761.586040411426</t>
  </si>
  <si>
    <t>-438.741740169283 315.374997309627 -451.944883658727</t>
  </si>
  <si>
    <t>-250.391456217237 236.774472122425 -290.736432880414</t>
  </si>
  <si>
    <t>-526.349587694539 72.5225113069782 -774.2704332063</t>
  </si>
  <si>
    <t>-322.416545864144 36.2504240169185 -441.337324232555</t>
  </si>
  <si>
    <t>-477.01601556976 246.469482209503 -250.91318783665</t>
  </si>
  <si>
    <t>-489.195296436994 225.45795255327 204.13383837828</t>
  </si>
  <si>
    <t>-503.328172537039 173.58336858503 670.890462365252</t>
  </si>
  <si>
    <t>-350.233065973983 167.126967601992 757.283291286537</t>
  </si>
  <si>
    <t>-509.506002673287 54.7518280909677 -228.007933221881</t>
  </si>
  <si>
    <t>-432.656431208969 9.85895174214092 218.910904996442</t>
  </si>
  <si>
    <t>-583.494565437655 -119.688477568066 644.535532960311</t>
  </si>
  <si>
    <t>-429.206710342596 -140.800175342911 726.346694661593</t>
  </si>
  <si>
    <t>9763-20170724T164251.892247300.bin</t>
  </si>
  <si>
    <t>-492.797908356165 149.435893373826 -239.655832951982</t>
  </si>
  <si>
    <t>-528.655884866794 141.73359040822 -355.079831796239</t>
  </si>
  <si>
    <t>-540.355908949212 131.745019621759 -475.304280337548</t>
  </si>
  <si>
    <t>-540.860561511241 121.860421365968 -584.37707467285</t>
  </si>
  <si>
    <t>-531.389355489324 111.198672628378 -692.965629574129</t>
  </si>
  <si>
    <t>-507.879553030343 95.6240929792534 -842.647775062062</t>
  </si>
  <si>
    <t>-462.984367383273 87.7089409380731 -933.778188057101</t>
  </si>
  <si>
    <t>-512.533793645094 133.697513040319 -778.759752298265</t>
  </si>
  <si>
    <t>-491.982207764453 278.30015944273 -761.566618026093</t>
  </si>
  <si>
    <t>-445.958848111207 318.193993610389 -450.959887354948</t>
  </si>
  <si>
    <t>-261.156863619328 238.38259641427 -286.277128423517</t>
  </si>
  <si>
    <t>-524.029998973299 71.3332590804068 -774.076380260636</t>
  </si>
  <si>
    <t>-320.717837340442 34.3247347207165 -440.789836924333</t>
  </si>
  <si>
    <t>-476.163251299433 245.233512468439 -250.77963532252</t>
  </si>
  <si>
    <t>-488.60516345951 224.887354878483 204.290503426961</t>
  </si>
  <si>
    <t>-503.416463734892 173.526800811897 671.112800338016</t>
  </si>
  <si>
    <t>-350.33414401009 166.104682666359 757.450697502769</t>
  </si>
  <si>
    <t>-509.260052218248 53.6384859063574 -227.901499948245</t>
  </si>
  <si>
    <t>-432.420118457008 9.10175308112522 219.054615449087</t>
  </si>
  <si>
    <t>-583.614188812817 -119.554842546227 644.873976023393</t>
  </si>
  <si>
    <t>-429.341511010295 -141.085395456102 726.604707908579</t>
  </si>
  <si>
    <t>9763-20170724T164251.919825100.bin</t>
  </si>
  <si>
    <t>-492.376418605345 148.760781073301 -239.594944186985</t>
  </si>
  <si>
    <t>-528.158305461102 141.099393300614 -355.04520413689</t>
  </si>
  <si>
    <t>-539.67760461269 131.090958877143 -475.285379413871</t>
  </si>
  <si>
    <t>-539.976620601345 121.174363710877 -584.356147585563</t>
  </si>
  <si>
    <t>-530.258688777422 110.473287200059 -692.919008163762</t>
  </si>
  <si>
    <t>-506.364644260864 94.8424096384645 -842.534520998906</t>
  </si>
  <si>
    <t>-461.342534680494 86.9200889944377 -933.601505667286</t>
  </si>
  <si>
    <t>-511.237134499357 132.949067144433 -778.682569038481</t>
  </si>
  <si>
    <t>-490.72923176252 277.530647405179 -761.539443271715</t>
  </si>
  <si>
    <t>-449.345812453606 319.771011072931 -450.590345373896</t>
  </si>
  <si>
    <t>-266.085043850839 240.540907622801 -283.916567912818</t>
  </si>
  <si>
    <t>-522.636931357912 70.5680854726406 -773.985907297235</t>
  </si>
  <si>
    <t>-319.295837585764 33.0052031258491 -440.496727936863</t>
  </si>
  <si>
    <t>-475.603574115405 244.53337747863 -250.723819577993</t>
  </si>
  <si>
    <t>-488.175408100341 224.486566391436 204.356197003491</t>
  </si>
  <si>
    <t>-503.460559010035 173.502814987909 671.202912390175</t>
  </si>
  <si>
    <t>-350.329278556604 166.5723220904 757.494845081064</t>
  </si>
  <si>
    <t>-508.977772289924 53.0099324973768 -227.847268850793</t>
  </si>
  <si>
    <t>-432.138025994531 8.59807812361456 219.121382636335</t>
  </si>
  <si>
    <t>-583.654597359976 -119.641286319026 645.011393558927</t>
  </si>
  <si>
    <t>-429.431536912689 -141.603852232792 726.72070267889</t>
  </si>
  <si>
    <t>9763-20170724T164251.988012500.bin</t>
  </si>
  <si>
    <t>-491.411128083715 147.828257946153 -239.474380865879</t>
  </si>
  <si>
    <t>-527.324693905322 140.184742316634 -354.88498229813</t>
  </si>
  <si>
    <t>-538.739927361797 130.107304142605 -475.129430796659</t>
  </si>
  <si>
    <t>-538.845483358924 120.113341392872 -584.193463016442</t>
  </si>
  <si>
    <t>-528.835642292172 109.332082994072 -692.721680623503</t>
  </si>
  <si>
    <t>-504.435656909754 93.5984116554395 -842.244721262547</t>
  </si>
  <si>
    <t>-459.238745855465 85.6487940639433 -933.222823694251</t>
  </si>
  <si>
    <t>-509.687999870942 131.776219894048 -778.465538252568</t>
  </si>
  <si>
    <t>-489.513789903848 276.452221638877 -761.514534201208</t>
  </si>
  <si>
    <t>-451.612231119395 320.846579166872 -450.421702520989</t>
  </si>
  <si>
    <t>-270.31990955566 243.148385955553 -280.898431519226</t>
  </si>
  <si>
    <t>-520.775719837901 69.3439000159676 -773.705341458299</t>
  </si>
  <si>
    <t>-316.38549239005 30.5698968056869 -440.245370086439</t>
  </si>
  <si>
    <t>-474.668248358061 243.569066099153 -250.622387261148</t>
  </si>
  <si>
    <t>-487.203419931372 224.063626868263 204.481985772038</t>
  </si>
  <si>
    <t>-503.454012044436 173.219394423392 671.329324807308</t>
  </si>
  <si>
    <t>-350.326826302328 166.138746022284 757.616259615809</t>
  </si>
  <si>
    <t>-507.985692212992 52.2793882068141 -227.640447778284</t>
  </si>
  <si>
    <t>-431.418200955415 7.9895993947506 219.386908439851</t>
  </si>
  <si>
    <t>-583.770754896724 -119.435924506699 645.210770338992</t>
  </si>
  <si>
    <t>-429.53130930816 -141.517396082424 726.857016023871</t>
  </si>
  <si>
    <t>9763-20170724T164252.025043200.bin</t>
  </si>
  <si>
    <t>-490.984461154632 147.631634588955 -239.383201475172</t>
  </si>
  <si>
    <t>-526.953679086681 139.916058166788 -354.771649766835</t>
  </si>
  <si>
    <t>-538.412876538603 129.827575466642 -475.010993541864</t>
  </si>
  <si>
    <t>-538.55258280372 119.851231908912 -584.076461850851</t>
  </si>
  <si>
    <t>-528.570720232736 109.116356870376 -692.612165009611</t>
  </si>
  <si>
    <t>-504.203235042745 93.4781258942543 -842.150328573298</t>
  </si>
  <si>
    <t>-459.015974500767 85.5544186534004 -933.135446284744</t>
  </si>
  <si>
    <t>-509.499153885986 131.624600103341 -778.356028959526</t>
  </si>
  <si>
    <t>-489.704578154084 276.301681113035 -761.310168880159</t>
  </si>
  <si>
    <t>-451.295796275394 319.660437363629 -450.133416295848</t>
  </si>
  <si>
    <t>-268.66599036985 244.532316746757 -280.887498366001</t>
  </si>
  <si>
    <t>-520.470967474074 69.1704766091726 -773.612667693356</t>
  </si>
  <si>
    <t>-315.384783265885 29.8193118487176 -440.884160370098</t>
  </si>
  <si>
    <t>-474.353273313717 243.244249755614 -250.583800011131</t>
  </si>
  <si>
    <t>-486.744944710386 223.973558850231 204.534691911576</t>
  </si>
  <si>
    <t>-503.44972503624 173.11591365729 671.377542045972</t>
  </si>
  <si>
    <t>-350.327523848421 166.112001691256 757.679520358423</t>
  </si>
  <si>
    <t>-507.457036778456 52.1545791829336 -227.515487294172</t>
  </si>
  <si>
    <t>-430.973661331963 8.17460404453304 219.556911544743</t>
  </si>
  <si>
    <t>-583.822177402428 -119.020664814356 645.202628307993</t>
  </si>
  <si>
    <t>-429.723561261551 -141.969653260781 726.875644919794</t>
  </si>
  <si>
    <t>9763-20170724T164252.090205800.bin</t>
  </si>
  <si>
    <t>-490.248050239272 147.217623352024 -239.195394940435</t>
  </si>
  <si>
    <t>-526.344435461854 139.197535511726 -354.523337795048</t>
  </si>
  <si>
    <t>-537.948210422157 128.98426858047 -474.738333321106</t>
  </si>
  <si>
    <t>-538.22394668724 118.970443954448 -583.800210488893</t>
  </si>
  <si>
    <t>-528.382356852532 108.274058997461 -692.352356051937</t>
  </si>
  <si>
    <t>-504.213013312813 92.7686792072778 -841.936566977498</t>
  </si>
  <si>
    <t>-459.107999969979 84.8667926891662 -932.964428307591</t>
  </si>
  <si>
    <t>-509.507618746694 130.871878944237 -778.116209694591</t>
  </si>
  <si>
    <t>-489.998820316105 275.61614455124 -761.005556276842</t>
  </si>
  <si>
    <t>-447.284205962392 316.651967248956 -450.075156485853</t>
  </si>
  <si>
    <t>-261.881201484636 241.891638907925 -283.705943930515</t>
  </si>
  <si>
    <t>-520.306777069311 68.3867724711239 -773.384111945232</t>
  </si>
  <si>
    <t>-313.771507582917 28.3266670052958 -441.570347327041</t>
  </si>
  <si>
    <t>-473.906052073243 242.818978322217 -250.553123955086</t>
  </si>
  <si>
    <t>-486.31658433835 224.033072451756 204.585104174152</t>
  </si>
  <si>
    <t>-503.620508172559 173.514958503258 671.449688384655</t>
  </si>
  <si>
    <t>-350.540533115884 165.415216154742 757.730839993658</t>
  </si>
  <si>
    <t>-506.468634214974 51.7108026061603 -227.169531867819</t>
  </si>
  <si>
    <t>-429.8550965822 8.42556056978191 219.948436270321</t>
  </si>
  <si>
    <t>-583.697580153764 -119.002959550914 645.058708552039</t>
  </si>
  <si>
    <t>-429.540716988109 -141.431411897277 726.766286349688</t>
  </si>
  <si>
    <t>9763-20170724T164252.127908300.bin</t>
  </si>
  <si>
    <t>-489.773240344396 146.943074194725 -239.186528816445</t>
  </si>
  <si>
    <t>-525.899516567717 138.793882159528 -354.496041382183</t>
  </si>
  <si>
    <t>-537.555351129115 128.521169094917 -474.700802279436</t>
  </si>
  <si>
    <t>-537.88704487343 118.480239232047 -583.760062455585</t>
  </si>
  <si>
    <t>-528.109889971412 107.781795644212 -692.317970203153</t>
  </si>
  <si>
    <t>-504.03851361018 92.2983385716214 -841.920186072771</t>
  </si>
  <si>
    <t>-458.997233981085 84.4343762135481 -932.983034005561</t>
  </si>
  <si>
    <t>-509.305159767983 130.394369133395 -778.093299871347</t>
  </si>
  <si>
    <t>-489.714464682639 275.11543310534 -761.015731374646</t>
  </si>
  <si>
    <t>-444.619029646449 315.320308023472 -450.31306047398</t>
  </si>
  <si>
    <t>-257.577134239927 240.396785646245 -285.862959381269</t>
  </si>
  <si>
    <t>-520.073584133916 67.9041882407835 -773.358364548905</t>
  </si>
  <si>
    <t>-312.861168916917 27.429342811129 -441.832310883995</t>
  </si>
  <si>
    <t>-473.511552232545 242.508717306114 -250.629344405473</t>
  </si>
  <si>
    <t>-485.959063351055 223.975191275354 204.518126631758</t>
  </si>
  <si>
    <t>-503.477375552008 173.326367798587 671.308095289496</t>
  </si>
  <si>
    <t>-350.491552610676 165.318991957673 757.764592450572</t>
  </si>
  <si>
    <t>-505.820476859202 51.382049245794 -227.118054490478</t>
  </si>
  <si>
    <t>-429.327459757056 8.4803898964102 220.057439768642</t>
  </si>
  <si>
    <t>-583.606818531974 -119.209563145402 644.99722983464</t>
  </si>
  <si>
    <t>-429.42460714782 -141.304471779238 726.747801811449</t>
  </si>
  <si>
    <t>9763-20170724T164252.189585300.bin</t>
  </si>
  <si>
    <t>-488.643871220795 146.362067733561 -239.307537061257</t>
  </si>
  <si>
    <t>-524.837523193935 138.121453316694 -354.589432380831</t>
  </si>
  <si>
    <t>-536.67891666705 127.803899049831 -474.77219734039</t>
  </si>
  <si>
    <t>-537.225034179529 117.748733441049 -583.829237825994</t>
  </si>
  <si>
    <t>-527.706955289513 107.06641356262 -692.411719706149</t>
  </si>
  <si>
    <t>-504.039495034861 91.6409242558319 -842.084442236207</t>
  </si>
  <si>
    <t>-459.2575218866 83.8668023721643 -933.282641431062</t>
  </si>
  <si>
    <t>-509.216113561022 129.72525805502 -778.243066555012</t>
  </si>
  <si>
    <t>-489.607225577954 274.481057781473 -761.157451609247</t>
  </si>
  <si>
    <t>-439.589758350244 313.229593206648 -451.023493192777</t>
  </si>
  <si>
    <t>-250.300517111884 238.19549220702 -289.216613157964</t>
  </si>
  <si>
    <t>-519.807112575949 67.2072890137976 -773.4745545732</t>
  </si>
  <si>
    <t>-311.121473555181 27.0715358911704 -442.440167387392</t>
  </si>
  <si>
    <t>-472.445089301096 241.915700380531 -250.864238903979</t>
  </si>
  <si>
    <t>-484.824014615042 223.656715246919 204.296187125489</t>
  </si>
  <si>
    <t>-503.289695897614 173.321368921957 671.13423296147</t>
  </si>
  <si>
    <t>-350.537381435737 164.832023390446 757.956935926191</t>
  </si>
  <si>
    <t>-504.73681608543 50.8338013272868 -227.09861221589</t>
  </si>
  <si>
    <t>-428.543638589112 8.27763149195788 220.161091850364</t>
  </si>
  <si>
    <t>-583.536011271905 -119.278367278779 644.90027874208</t>
  </si>
  <si>
    <t>-429.34970347462 -141.070752397072 726.724477330325</t>
  </si>
  <si>
    <t>9763-20170724T164252.221039100.bin</t>
  </si>
  <si>
    <t>-488.129043825881 145.991264136851 -239.333518544258</t>
  </si>
  <si>
    <t>-524.241233073142 137.729014639637 -354.639419369045</t>
  </si>
  <si>
    <t>-536.07659316381 127.336924840639 -474.816299232608</t>
  </si>
  <si>
    <t>-536.648656205818 117.198826598629 -583.865643483376</t>
  </si>
  <si>
    <t>-527.18759039066 106.421550973636 -692.443570743823</t>
  </si>
  <si>
    <t>-503.630751408958 90.8542632987847 -842.119107317648</t>
  </si>
  <si>
    <t>-458.955117457251 83.080405981602 -933.369556186867</t>
  </si>
  <si>
    <t>-508.802747655075 129.00556012715 -778.317526206071</t>
  </si>
  <si>
    <t>-489.360842586648 273.786782369515 -761.348389517413</t>
  </si>
  <si>
    <t>-437.937668275969 312.142442570142 -451.395567002635</t>
  </si>
  <si>
    <t>-248.008218898117 238.085437508364 -289.888925123737</t>
  </si>
  <si>
    <t>-519.305013034444 66.4789906469562 -773.467233298572</t>
  </si>
  <si>
    <t>-310.262450761091 26.6105215359226 -442.81960817659</t>
  </si>
  <si>
    <t>-471.93561505098 241.531131665352 -250.884626779829</t>
  </si>
  <si>
    <t>-484.390804878924 223.41574950719 204.279479158227</t>
  </si>
  <si>
    <t>-503.280509069929 173.181482298434 671.156364243848</t>
  </si>
  <si>
    <t>-350.52391882688 164.883203207446 757.989961364106</t>
  </si>
  <si>
    <t>-504.159656847538 50.5044042065791 -227.123994935467</t>
  </si>
  <si>
    <t>-428.251466296398 8.06842737381822 220.195637546445</t>
  </si>
  <si>
    <t>-583.531231566242 -119.40383390175 644.901005928801</t>
  </si>
  <si>
    <t>-429.375002956714 -141.312886007862 726.750725903933</t>
  </si>
  <si>
    <t>9763-20170724T164252.288221100.bin</t>
  </si>
  <si>
    <t>-487.1549694598 145.150575938936 -239.277816436721</t>
  </si>
  <si>
    <t>-523.219586995014 136.869310126076 -354.597316692446</t>
  </si>
  <si>
    <t>-535.028912285137 126.432803810527 -474.772922340881</t>
  </si>
  <si>
    <t>-535.586064222389 116.254576459873 -583.818509091244</t>
  </si>
  <si>
    <t>-526.118437423981 105.44282303904 -692.392525038359</t>
  </si>
  <si>
    <t>-502.560786493935 89.8393388855977 -842.064029637645</t>
  </si>
  <si>
    <t>-457.959103781932 82.17358443796 -933.3597405256</t>
  </si>
  <si>
    <t>-507.840635353426 128.02248024214 -778.290369116846</t>
  </si>
  <si>
    <t>-488.41442995959 272.814669152153 -761.464392243791</t>
  </si>
  <si>
    <t>-436.163737626021 313.065869440686 -451.890624117183</t>
  </si>
  <si>
    <t>-246.178714248143 239.52099902476 -290.215399091999</t>
  </si>
  <si>
    <t>-518.127987853112 65.4642821715313 -773.387677993417</t>
  </si>
  <si>
    <t>-308.350763415292 26.0592461414153 -443.565594411923</t>
  </si>
  <si>
    <t>-470.975652211914 240.461858137193 -250.781737348396</t>
  </si>
  <si>
    <t>-483.517165428124 222.626546500503 204.390949191142</t>
  </si>
  <si>
    <t>-503.265002439815 172.416012095823 671.327976392029</t>
  </si>
  <si>
    <t>-350.343508546834 165.53400768175 757.994934116831</t>
  </si>
  <si>
    <t>-503.198789655219 49.8679377946489 -227.088456029211</t>
  </si>
  <si>
    <t>-427.696595342837 7.45453212970354 220.301931647319</t>
  </si>
  <si>
    <t>-583.513399832323 -119.360150542772 644.896429906782</t>
  </si>
  <si>
    <t>-429.443694668012 -141.504563435244 726.845588775964</t>
  </si>
  <si>
    <t>9763-20170724T164252.323319200.bin</t>
  </si>
  <si>
    <t>-486.86777255352 145.025540453116 -239.220287764459</t>
  </si>
  <si>
    <t>-522.945392292362 136.746434176712 -354.535720975245</t>
  </si>
  <si>
    <t>-534.754230380071 126.279050043618 -474.708757134711</t>
  </si>
  <si>
    <t>-535.305039148036 116.062323565109 -583.750815515832</t>
  </si>
  <si>
    <t>-525.82506656252 105.203471762741 -692.318981471276</t>
  </si>
  <si>
    <t>-502.2442194432 89.5269820617996 -841.979251159085</t>
  </si>
  <si>
    <t>-457.629859579823 81.8548860632217 -933.268285880821</t>
  </si>
  <si>
    <t>-507.59487206302 127.75036535987 -778.235621712993</t>
  </si>
  <si>
    <t>-488.276864517312 272.551998332911 -761.47011761666</t>
  </si>
  <si>
    <t>-434.981567957987 313.735472823342 -452.197161571821</t>
  </si>
  <si>
    <t>-245.020350161834 239.374030699991 -290.867836061798</t>
  </si>
  <si>
    <t>-517.761197777193 65.1762271559357 -773.283010721654</t>
  </si>
  <si>
    <t>-307.744419304475 26.3125945853532 -443.689489487915</t>
  </si>
  <si>
    <t>-470.87458217498 240.464824653983 -250.668169673779</t>
  </si>
  <si>
    <t>-483.198838736415 222.697103393698 204.513297070533</t>
  </si>
  <si>
    <t>-503.5033513253 172.82229239116 671.439969354407</t>
  </si>
  <si>
    <t>-350.59608897856 164.994240613492 758.051859619584</t>
  </si>
  <si>
    <t>-502.731504514994 49.7022625003832 -227.086505525704</t>
  </si>
  <si>
    <t>-427.498784746084 7.32204164295283 220.352502474442</t>
  </si>
  <si>
    <t>-583.470921585401 -119.420131568792 644.903832386128</t>
  </si>
  <si>
    <t>-429.464912345305 -141.699656541086 726.936024005404</t>
  </si>
  <si>
    <t>9763-20170724T164252.392509000.bin</t>
  </si>
  <si>
    <t>-486.418716980385 144.802609463237 -239.199624808662</t>
  </si>
  <si>
    <t>-522.543828742096 136.489118855308 -354.497775212845</t>
  </si>
  <si>
    <t>-534.427020703063 126.019550732163 -474.663272701326</t>
  </si>
  <si>
    <t>-535.055491620209 115.810989602669 -583.705626875313</t>
  </si>
  <si>
    <t>-525.663466933492 104.967524290162 -692.282946903778</t>
  </si>
  <si>
    <t>-502.214630909427 89.3177198051412 -841.966868183649</t>
  </si>
  <si>
    <t>-457.595820868852 81.6688803265778 -933.255648699293</t>
  </si>
  <si>
    <t>-507.620751039698 127.546179427153 -778.230832438775</t>
  </si>
  <si>
    <t>-488.588851751344 272.395857874473 -761.485583022677</t>
  </si>
  <si>
    <t>-432.514910274437 313.68890933482 -452.719013630444</t>
  </si>
  <si>
    <t>-242.239624322973 237.680837535291 -292.531204442143</t>
  </si>
  <si>
    <t>-517.559238805908 64.9383641905922 -773.241986227934</t>
  </si>
  <si>
    <t>-307.146447316744 27.331707932885 -443.982557581929</t>
  </si>
  <si>
    <t>-470.835134436058 240.120206926872 -250.584894153401</t>
  </si>
  <si>
    <t>-482.32775276492 222.3364129462 204.61763319216</t>
  </si>
  <si>
    <t>-503.399459215579 172.347177837021 671.430129797089</t>
  </si>
  <si>
    <t>-350.553817583382 165.710379203867 758.249943403801</t>
  </si>
  <si>
    <t>-501.856696854499 49.5493251590151 -227.147978294176</t>
  </si>
  <si>
    <t>-427.016102988322 7.22127994894842 220.361677156446</t>
  </si>
  <si>
    <t>-583.361265383408 -119.138625690804 644.768855035869</t>
  </si>
  <si>
    <t>-429.586437488765 -141.966324571775 727.083569793777</t>
  </si>
  <si>
    <t>9763-20170724T164252.424609100.bin</t>
  </si>
  <si>
    <t>-486.400446113055 144.797366774346 -239.195003643773</t>
  </si>
  <si>
    <t>-522.526115533949 136.452569268905 -354.490659755304</t>
  </si>
  <si>
    <t>-534.40671197338 125.981386120706 -474.656452873733</t>
  </si>
  <si>
    <t>-535.031477550628 115.783442354007 -583.699806620523</t>
  </si>
  <si>
    <t>-525.634292149166 104.962301792015 -692.278951603992</t>
  </si>
  <si>
    <t>-502.177074292663 89.3554835688677 -841.966047872729</t>
  </si>
  <si>
    <t>-457.563166486145 81.746035435379 -933.260383786997</t>
  </si>
  <si>
    <t>-507.647740463724 127.574444377592 -778.22972410309</t>
  </si>
  <si>
    <t>-488.845331696297 272.447118686799 -761.481782164333</t>
  </si>
  <si>
    <t>-431.219622140356 313.29752144373 -452.942023282931</t>
  </si>
  <si>
    <t>-240.868015572157 236.834726130035 -293.061618417859</t>
  </si>
  <si>
    <t>-517.464616801346 64.9476222251115 -773.238554238275</t>
  </si>
  <si>
    <t>-306.816923498208 27.8591175045305 -443.981533510934</t>
  </si>
  <si>
    <t>-471.043324499291 240.178255145289 -250.598829909425</t>
  </si>
  <si>
    <t>-482.181368792807 222.359691943909 204.61115570415</t>
  </si>
  <si>
    <t>-503.29985332047 172.169453181404 671.338435743267</t>
  </si>
  <si>
    <t>-350.612472612816 164.998838364238 758.393883020185</t>
  </si>
  <si>
    <t>-501.636112651745 49.4461351032062 -227.173815571877</t>
  </si>
  <si>
    <t>-426.856285268354 7.29532648458851 220.362715589894</t>
  </si>
  <si>
    <t>-583.291027283606 -119.251760058095 644.693211739144</t>
  </si>
  <si>
    <t>-429.577259807114 -142.150640417587 727.102242399221</t>
  </si>
  <si>
    <t>9763-20170724T164252.489297800.bin</t>
  </si>
  <si>
    <t>-486.451669125692 144.836919891948 -239.434326431509</t>
  </si>
  <si>
    <t>-522.714980009549 136.373519076949 -354.678353514118</t>
  </si>
  <si>
    <t>-534.629552322917 125.899853179924 -474.840210836433</t>
  </si>
  <si>
    <t>-535.24104848353 115.749946362045 -583.888255466394</t>
  </si>
  <si>
    <t>-525.786821149047 105.028254844105 -692.472432312728</t>
  </si>
  <si>
    <t>-502.205437485499 89.6144193439818 -842.159903514216</t>
  </si>
  <si>
    <t>-457.589943363107 82.168142982335 -933.467075284653</t>
  </si>
  <si>
    <t>-507.837660684126 127.766540721202 -778.397731307493</t>
  </si>
  <si>
    <t>-489.213718529019 272.665053610607 -761.510884435327</t>
  </si>
  <si>
    <t>-429.087642620713 312.362812401773 -453.298177069637</t>
  </si>
  <si>
    <t>-238.112841381784 236.078117591399 -294.077160943866</t>
  </si>
  <si>
    <t>-517.441259174529 65.102616263817 -773.45794863547</t>
  </si>
  <si>
    <t>-306.418636665204 28.9298033894717 -444.403648928456</t>
  </si>
  <si>
    <t>-471.276949954516 240.283484015042 -250.950248672265</t>
  </si>
  <si>
    <t>-481.787629665765 222.529747946312 204.277041201693</t>
  </si>
  <si>
    <t>-502.810874658389 172.010164772106 670.809694798248</t>
  </si>
  <si>
    <t>-350.525490704583 165.211592710283 758.596072536616</t>
  </si>
  <si>
    <t>-501.426235669838 49.3896299017914 -227.318750845461</t>
  </si>
  <si>
    <t>-426.576938844466 7.55074289432086 220.235473310264</t>
  </si>
  <si>
    <t>-583.23098562328 -119.274577885512 644.459938927658</t>
  </si>
  <si>
    <t>-429.487933682263 -141.774690342409 726.924147337808</t>
  </si>
  <si>
    <t>9763-20170724T164252.519516000.bin</t>
  </si>
  <si>
    <t>-486.442975805512 144.748775845575 -239.576896536903</t>
  </si>
  <si>
    <t>-522.717829109687 136.254967200973 -354.81489073018</t>
  </si>
  <si>
    <t>-534.625893793591 125.771111386438 -474.976726686831</t>
  </si>
  <si>
    <t>-535.22397262236 115.621817830339 -584.024766398058</t>
  </si>
  <si>
    <t>-525.74887869375 104.911091512645 -692.608229523409</t>
  </si>
  <si>
    <t>-502.130735215597 89.5241333513545 -842.292631911544</t>
  </si>
  <si>
    <t>-457.511785468393 82.1311444621252 -933.602324925264</t>
  </si>
  <si>
    <t>-507.799085845356 127.667653959953 -778.528498634466</t>
  </si>
  <si>
    <t>-489.226220945647 272.548289208819 -761.626234998595</t>
  </si>
  <si>
    <t>-428.149894209809 311.398759548677 -453.492269759824</t>
  </si>
  <si>
    <t>-236.783796514818 235.375393945514 -294.616552369577</t>
  </si>
  <si>
    <t>-517.362992961087 64.9971373100843 -773.595317918479</t>
  </si>
  <si>
    <t>-306.509173576418 28.9157467902228 -444.439484524969</t>
  </si>
  <si>
    <t>-471.284411394645 240.330377065337 -251.195495031737</t>
  </si>
  <si>
    <t>-481.615154531379 222.513662928639 204.033459356764</t>
  </si>
  <si>
    <t>-502.575942796521 171.982066283644 670.58508626868</t>
  </si>
  <si>
    <t>-350.47085326247 165.264028016661 758.689731921274</t>
  </si>
  <si>
    <t>-501.39770901329 49.1480499816478 -227.413366692706</t>
  </si>
  <si>
    <t>-426.389562007655 7.38929903573909 220.121682245295</t>
  </si>
  <si>
    <t>-583.186087750748 -119.738456097624 644.312691585982</t>
  </si>
  <si>
    <t>-429.245418624277 -141.036997091507 726.727286732996</t>
  </si>
  <si>
    <t>9763-20170724T164252.589203700.bin</t>
  </si>
  <si>
    <t>-486.651961079958 145.189144790328 -239.898320917018</t>
  </si>
  <si>
    <t>-523.049884201847 136.618853393678 -355.091843839814</t>
  </si>
  <si>
    <t>-534.945287582373 126.119675788614 -475.25350381276</t>
  </si>
  <si>
    <t>-535.474852635966 115.986220582967 -584.30346894606</t>
  </si>
  <si>
    <t>-525.87452509061 105.324268893887 -692.880647168231</t>
  </si>
  <si>
    <t>-502.024850246817 90.0420300106156 -842.539041917027</t>
  </si>
  <si>
    <t>-457.299441323129 82.7408785548553 -933.804113832775</t>
  </si>
  <si>
    <t>-507.789992335003 128.140609711947 -778.75686729117</t>
  </si>
  <si>
    <t>-489.051976574381 273.006671101001 -761.764961713972</t>
  </si>
  <si>
    <t>-426.683723709307 311.014149455141 -453.784705767033</t>
  </si>
  <si>
    <t>-234.354251261221 235.180408686321 -295.985331365183</t>
  </si>
  <si>
    <t>-517.365199284251 65.4672324492176 -773.882846302685</t>
  </si>
  <si>
    <t>-306.941015704111 29.5462188582466 -444.495256350938</t>
  </si>
  <si>
    <t>-471.397587162127 240.773319567328 -251.604451787621</t>
  </si>
  <si>
    <t>-481.828089983209 222.895758575088 203.619882636498</t>
  </si>
  <si>
    <t>-502.229034497682 172.083189917486 670.087185298797</t>
  </si>
  <si>
    <t>-350.454170397943 165.191327103194 758.746171608588</t>
  </si>
  <si>
    <t>-501.778939508018 49.6624148615314 -227.559708451169</t>
  </si>
  <si>
    <t>-426.20711236752 8.08862319243346 219.897735675445</t>
  </si>
  <si>
    <t>-583.390910455453 -118.981410812509 644.068581800357</t>
  </si>
  <si>
    <t>-429.771999481325 -142.846465600617 726.380129193005</t>
  </si>
  <si>
    <t>9763-20170724T164252.620302000.bin</t>
  </si>
  <si>
    <t>-486.731504362956 145.263770306351 -240.158769840591</t>
  </si>
  <si>
    <t>-523.19360437888 136.670097960302 -355.330235950564</t>
  </si>
  <si>
    <t>-535.079139932038 126.157373282594 -475.491665653608</t>
  </si>
  <si>
    <t>-535.568824053297 116.01671079579 -584.541015662509</t>
  </si>
  <si>
    <t>-525.897935539185 105.353223377244 -693.11194710698</t>
  </si>
  <si>
    <t>-501.918949345038 90.0755846279312 -842.750169838999</t>
  </si>
  <si>
    <t>-457.122116442232 82.7758664980974 -933.980262860451</t>
  </si>
  <si>
    <t>-507.716771885044 128.169149173252 -778.967708295409</t>
  </si>
  <si>
    <t>-488.786582406411 272.992471053755 -761.946164023584</t>
  </si>
  <si>
    <t>-425.8440674286 310.856014026448 -454.065054901383</t>
  </si>
  <si>
    <t>-233.549828706718 234.422613461942 -296.512133275555</t>
  </si>
  <si>
    <t>-517.341072450278 65.5018369395965 -774.111913262794</t>
  </si>
  <si>
    <t>-307.18481828368 29.7137884769894 -444.449652978061</t>
  </si>
  <si>
    <t>-471.297544443262 240.928772757783 -252.018361380431</t>
  </si>
  <si>
    <t>-481.710454188626 223.030944861948 203.205669786107</t>
  </si>
  <si>
    <t>-501.753223450686 172.17108562883 669.567447892721</t>
  </si>
  <si>
    <t>-350.399147264729 164.365161091396 758.867584214943</t>
  </si>
  <si>
    <t>-501.933155720867 49.6326605980583 -227.720798303273</t>
  </si>
  <si>
    <t>-426.042886868446 8.08892813722487 219.685564717086</t>
  </si>
  <si>
    <t>-583.463624527828 -118.985688583733 643.872865928559</t>
  </si>
  <si>
    <t>-429.745685909926 -142.486655881058 726.104391781644</t>
  </si>
  <si>
    <t>9763-20170724T164252.690996800.bin</t>
  </si>
  <si>
    <t>-486.852113740299 144.998432433769 -240.796065743631</t>
  </si>
  <si>
    <t>-523.508901853731 136.421384383763 -355.906947460709</t>
  </si>
  <si>
    <t>-535.438414723942 125.883206728217 -476.061820602238</t>
  </si>
  <si>
    <t>-535.903840296266 115.700443766789 -585.107447245891</t>
  </si>
  <si>
    <t>-526.144973739493 104.975244954068 -693.664307161605</t>
  </si>
  <si>
    <t>-501.978847684968 89.5906181984964 -843.261494544414</t>
  </si>
  <si>
    <t>-457.051726426961 82.2153294532114 -934.421475347743</t>
  </si>
  <si>
    <t>-507.761480598427 127.716337700804 -779.496965375074</t>
  </si>
  <si>
    <t>-488.382187838074 272.491097576414 -762.49237200249</t>
  </si>
  <si>
    <t>-424.51506276141 309.744005024514 -454.727264283729</t>
  </si>
  <si>
    <t>-232.574704445911 231.7821390057 -297.492062730731</t>
  </si>
  <si>
    <t>-517.581661764538 65.0793833036035 -774.641786854289</t>
  </si>
  <si>
    <t>-308.309208736835 29.2872656033354 -444.149846792279</t>
  </si>
  <si>
    <t>-471.24991742297 240.883346118359 -252.676862162959</t>
  </si>
  <si>
    <t>-481.556569596843 222.955211457159 202.548350115084</t>
  </si>
  <si>
    <t>-501.368274523127 172.418662902458 669.121930123454</t>
  </si>
  <si>
    <t>-350.352406339697 164.502007850958 758.983015953858</t>
  </si>
  <si>
    <t>-502.372230560278 49.1919690362547 -228.223253380518</t>
  </si>
  <si>
    <t>-425.606769837262 7.78998133876124 219.04686342496</t>
  </si>
  <si>
    <t>-583.41818413638 -119.230434790412 643.255854821777</t>
  </si>
  <si>
    <t>-429.702929758366 -142.061407519326 725.680872927999</t>
  </si>
  <si>
    <t>9763-20170724T164252.723084200.bin</t>
  </si>
  <si>
    <t>-487.046777950104 145.004587013788 -240.960039929012</t>
  </si>
  <si>
    <t>-523.643651238684 136.434064980091 -356.090463167009</t>
  </si>
  <si>
    <t>-535.543624158668 125.889518659073 -476.247801389505</t>
  </si>
  <si>
    <t>-535.995790157767 115.692549615393 -585.292078379794</t>
  </si>
  <si>
    <t>-526.237219424396 104.943248519489 -693.846506851417</t>
  </si>
  <si>
    <t>-502.085648549584 89.5129964150018 -843.4413387378</t>
  </si>
  <si>
    <t>-457.146107194298 82.0705689772938 -934.589851309165</t>
  </si>
  <si>
    <t>-507.805439828717 127.650011875546 -779.677937177424</t>
  </si>
  <si>
    <t>-488.231500625833 272.397749722383 -762.706121059273</t>
  </si>
  <si>
    <t>-424.156392034355 309.496064181308 -454.965522003422</t>
  </si>
  <si>
    <t>-232.291807340981 230.678909604503 -298.064661866276</t>
  </si>
  <si>
    <t>-517.738489278313 65.0308144747777 -774.822669318984</t>
  </si>
  <si>
    <t>-308.754525072354 29.1234608015615 -443.964243304259</t>
  </si>
  <si>
    <t>-471.348785585933 240.943228471145 -252.831872113879</t>
  </si>
  <si>
    <t>-481.76445202484 222.993411791327 202.390042376241</t>
  </si>
  <si>
    <t>-501.308344751245 172.375053275574 669.031616753996</t>
  </si>
  <si>
    <t>-350.338485116859 164.245515067406 758.951210814738</t>
  </si>
  <si>
    <t>-502.608958130846 49.2244420464234 -228.441748323762</t>
  </si>
  <si>
    <t>-425.564001405798 7.79431687403151 218.77780859307</t>
  </si>
  <si>
    <t>-583.422340279152 -119.163355621694 643.005525294395</t>
  </si>
  <si>
    <t>-429.886515966567 -142.916053385868 725.504406957272</t>
  </si>
  <si>
    <t>9763-20170724T164252.790768700.bin</t>
  </si>
  <si>
    <t>-487.363238992323 144.919720967637 -241.192127814453</t>
  </si>
  <si>
    <t>-524.012635649961 136.46437824272 -356.31436394986</t>
  </si>
  <si>
    <t>-535.933017339986 125.947887978212 -476.472162674217</t>
  </si>
  <si>
    <t>-536.389864383613 115.737585575177 -585.51521751354</t>
  </si>
  <si>
    <t>-526.622281788052 104.934670486193 -694.06352043744</t>
  </si>
  <si>
    <t>-502.444261599567 89.3870837848563 -843.641994755285</t>
  </si>
  <si>
    <t>-457.483057744182 81.765120645979 -934.76488879695</t>
  </si>
  <si>
    <t>-508.070308041653 127.558697659223 -779.890899633111</t>
  </si>
  <si>
    <t>-487.998358206824 272.228441947964 -762.884486970747</t>
  </si>
  <si>
    <t>-424.04647831392 308.634806810834 -455.035696997466</t>
  </si>
  <si>
    <t>-232.457482388602 227.793046954291 -298.8296397751</t>
  </si>
  <si>
    <t>-518.214361171641 64.974142693102 -775.025439046606</t>
  </si>
  <si>
    <t>-309.444491493182 28.2712578711247 -443.809611333212</t>
  </si>
  <si>
    <t>-471.468316702228 240.850537924847 -252.941260358383</t>
  </si>
  <si>
    <t>-481.974117305718 222.826014487424 202.275669635146</t>
  </si>
  <si>
    <t>-501.310463215524 172.215291297262 668.985611190396</t>
  </si>
  <si>
    <t>-350.269212172135 164.595120621803 758.829847744701</t>
  </si>
  <si>
    <t>-503.122730272077 49.156084116578 -228.706137187883</t>
  </si>
  <si>
    <t>-425.816871458797 7.54121866565977 218.451204664668</t>
  </si>
  <si>
    <t>-583.570817243872 -119.030926239667 642.785477388378</t>
  </si>
  <si>
    <t>-430.008687390228 -143.157259404548 725.126803301943</t>
  </si>
  <si>
    <t>9763-20170724T164252.825110800.bin</t>
  </si>
  <si>
    <t>-487.542030783157 144.946455259197 -241.253366123133</t>
  </si>
  <si>
    <t>-524.225053044068 136.578824545374 -356.371314750477</t>
  </si>
  <si>
    <t>-536.175224358465 126.106903945593 -476.530015863479</t>
  </si>
  <si>
    <t>-536.657174022807 115.915687765935 -585.574736571539</t>
  </si>
  <si>
    <t>-526.912580947798 105.108954434293 -694.124830958384</t>
  </si>
  <si>
    <t>-502.76439719649 89.5303966709834 -843.70480553651</t>
  </si>
  <si>
    <t>-457.801406698529 81.8143776716753 -934.818868114267</t>
  </si>
  <si>
    <t>-508.312177943612 127.705393913876 -779.94883039417</t>
  </si>
  <si>
    <t>-487.991872240779 272.335005773306 -762.886826339903</t>
  </si>
  <si>
    <t>-424.091078599879 308.032610854159 -454.944418389563</t>
  </si>
  <si>
    <t>-232.520556715884 226.594888522845 -299.025565248038</t>
  </si>
  <si>
    <t>-518.58623771283 65.1413897388976 -775.091546859521</t>
  </si>
  <si>
    <t>-309.877819092595 27.9412456844532 -443.740962076288</t>
  </si>
  <si>
    <t>-471.537556907404 240.963027761806 -252.940976153293</t>
  </si>
  <si>
    <t>-481.981396170625 222.883029086698 202.275204120954</t>
  </si>
  <si>
    <t>-501.375855464609 172.275212470335 668.994818031657</t>
  </si>
  <si>
    <t>-350.332700661245 164.137370284354 758.790457670224</t>
  </si>
  <si>
    <t>-503.420115860107 49.0857717412722 -228.811873045989</t>
  </si>
  <si>
    <t>-426.008206590456 7.28963174674391 218.310267191562</t>
  </si>
  <si>
    <t>-583.629903698071 -119.091911753254 642.728642768649</t>
  </si>
  <si>
    <t>-429.965166888533 -142.85284148673 724.984875974114</t>
  </si>
  <si>
    <t>9763-20170724T164252.888803700.bin</t>
  </si>
  <si>
    <t>-487.970336887258 144.931260315344 -241.28048705696</t>
  </si>
  <si>
    <t>-524.680018889056 136.750577252814 -356.403350833639</t>
  </si>
  <si>
    <t>-536.64726027358 126.377872816883 -476.568886989037</t>
  </si>
  <si>
    <t>-537.140220437776 116.238325933477 -585.618516302695</t>
  </si>
  <si>
    <t>-527.402328540916 105.444962267575 -694.170413453028</t>
  </si>
  <si>
    <t>-503.258818986374 89.8445054161028 -843.748834829969</t>
  </si>
  <si>
    <t>-458.291946718898 81.9592342777411 -934.846560931225</t>
  </si>
  <si>
    <t>-508.69604295519 128.0122920678 -779.979197064463</t>
  </si>
  <si>
    <t>-487.791771531003 272.558002131738 -762.821066245971</t>
  </si>
  <si>
    <t>-423.806845841116 307.128697853152 -454.767461292754</t>
  </si>
  <si>
    <t>-232.200363438492 224.456279145902 -299.544135129864</t>
  </si>
  <si>
    <t>-519.187078468442 65.4820969755274 -775.150956293421</t>
  </si>
  <si>
    <t>-310.485906236835 27.2846975403398 -443.942672562666</t>
  </si>
  <si>
    <t>-471.64443380366 241.011389282924 -252.926692829812</t>
  </si>
  <si>
    <t>-481.954417664268 222.826825301866 202.288218142825</t>
  </si>
  <si>
    <t>-501.45360310031 172.48784350762 668.920684684325</t>
  </si>
  <si>
    <t>-350.412359461619 164.467581618016 758.730114437947</t>
  </si>
  <si>
    <t>-504.146461262166 49.0111270156822 -228.940756925567</t>
  </si>
  <si>
    <t>-426.388108093191 6.68053041751982 218.070956841873</t>
  </si>
  <si>
    <t>-583.679448301851 -119.478364527309 642.657076227405</t>
  </si>
  <si>
    <t>-429.896720184779 -142.813837603938 724.814460825457</t>
  </si>
  <si>
    <t>9763-20170724T164252.922405200.bin</t>
  </si>
  <si>
    <t>-488.140933536432 145.016164631092 -241.379108681227</t>
  </si>
  <si>
    <t>-524.940505654306 136.929752150136 -356.479873305672</t>
  </si>
  <si>
    <t>-536.957285514459 126.595907301192 -476.643894025246</t>
  </si>
  <si>
    <t>-537.477557158772 116.467352009982 -585.69430351102</t>
  </si>
  <si>
    <t>-527.748907304964 105.660352477371 -694.245667021033</t>
  </si>
  <si>
    <t>-503.600007219042 90.0147656790934 -843.818532150901</t>
  </si>
  <si>
    <t>-458.629104343959 82.0568376991183 -934.908027595204</t>
  </si>
  <si>
    <t>-508.984254277589 128.1932385946 -780.050762042895</t>
  </si>
  <si>
    <t>-487.8293994107 272.688153404664 -762.861049235879</t>
  </si>
  <si>
    <t>-423.625279491442 306.951979583414 -454.818730595246</t>
  </si>
  <si>
    <t>-231.768967576931 223.892088952282 -300.111745714863</t>
  </si>
  <si>
    <t>-519.586091707258 65.6816772278311 -775.223747352665</t>
  </si>
  <si>
    <t>-310.958107440273 27.0181306274294 -444.096583514037</t>
  </si>
  <si>
    <t>-471.703362756927 241.199665200054 -252.993741588539</t>
  </si>
  <si>
    <t>-481.867786378512 222.960022162549 202.222437177379</t>
  </si>
  <si>
    <t>-501.426372817768 172.647623627491 668.841034827316</t>
  </si>
  <si>
    <t>-350.487105948039 163.985680833772 758.762174340359</t>
  </si>
  <si>
    <t>-504.414001126631 49.0107527008105 -229.048204469718</t>
  </si>
  <si>
    <t>-426.519634460668 6.51176252656963 217.923769536857</t>
  </si>
  <si>
    <t>-583.680236274756 -119.589301461345 642.585205106249</t>
  </si>
  <si>
    <t>-429.876533492197 -142.747705220501 724.753528422175</t>
  </si>
  <si>
    <t>9763-20170724T164252.989080200.bin</t>
  </si>
  <si>
    <t>-488.373063034706 144.992482951804 -241.491623088873</t>
  </si>
  <si>
    <t>-525.229924072596 137.014390652941 -356.58178956445</t>
  </si>
  <si>
    <t>-537.330728466294 126.714853850877 -476.740290721233</t>
  </si>
  <si>
    <t>-537.937045252194 116.582474808671 -585.789799491167</t>
  </si>
  <si>
    <t>-528.304373490314 105.734582203826 -694.34573022327</t>
  </si>
  <si>
    <t>-504.298003506691 89.9916434604382 -843.931398313592</t>
  </si>
  <si>
    <t>-459.379376933258 81.8733599119458 -935.032380004581</t>
  </si>
  <si>
    <t>-509.517230888975 128.19512727096 -780.164873364512</t>
  </si>
  <si>
    <t>-487.757897875845 272.603852547242 -762.970475300588</t>
  </si>
  <si>
    <t>-422.696094404886 306.363588828679 -455.052606635423</t>
  </si>
  <si>
    <t>-230.490658564494 222.604319929903 -301.158139597198</t>
  </si>
  <si>
    <t>-520.322958610498 65.7196035718201 -775.323794406954</t>
  </si>
  <si>
    <t>-311.702176225264 26.3699226279304 -444.177551784045</t>
  </si>
  <si>
    <t>-471.718889838754 241.035049307078 -253.08313770794</t>
  </si>
  <si>
    <t>-481.782503492688 222.752898984865 202.133488552266</t>
  </si>
  <si>
    <t>-501.286904321819 172.224140695105 668.769326930501</t>
  </si>
  <si>
    <t>-350.357065928987 164.116286057062 758.757980539082</t>
  </si>
  <si>
    <t>-504.861013553225 49.0934890314735 -229.217509718928</t>
  </si>
  <si>
    <t>-426.750895196653 6.36945757062469 217.69529945131</t>
  </si>
  <si>
    <t>-583.72901611203 -119.342332409201 642.47947017335</t>
  </si>
  <si>
    <t>-430.038569791562 -143.089984824664 724.691507491666</t>
  </si>
  <si>
    <t>9763-20170724T164253.020438100.bin</t>
  </si>
  <si>
    <t>-488.470324863506 144.919952322232 -241.573569053166</t>
  </si>
  <si>
    <t>-525.342380706552 136.981976265244 -356.661495925058</t>
  </si>
  <si>
    <t>-537.489880345996 126.691949859472 -476.816153980799</t>
  </si>
  <si>
    <t>-538.151360870694 116.551614393385 -585.864640589552</t>
  </si>
  <si>
    <t>-528.586260052198 105.677234827724 -694.423794859383</t>
  </si>
  <si>
    <t>-504.686559126593 89.8760347976278 -844.020319113731</t>
  </si>
  <si>
    <t>-459.809222130005 81.6734930543079 -935.134295572614</t>
  </si>
  <si>
    <t>-509.804752792346 128.095476856721 -780.255270485985</t>
  </si>
  <si>
    <t>-487.767812942566 272.460437617534 -763.089297652341</t>
  </si>
  <si>
    <t>-422.226958362284 305.939866472672 -455.242538058205</t>
  </si>
  <si>
    <t>-229.869423442208 221.97359857547 -301.650975167276</t>
  </si>
  <si>
    <t>-520.718057139062 65.6396020738051 -775.401870802152</t>
  </si>
  <si>
    <t>-311.998458790408 26.1126221775932 -444.165927092807</t>
  </si>
  <si>
    <t>-471.739114667346 240.869246053849 -253.195799472859</t>
  </si>
  <si>
    <t>-481.679109369732 222.574018990819 202.022996615417</t>
  </si>
  <si>
    <t>-501.071339565166 171.919740975181 668.607053052807</t>
  </si>
  <si>
    <t>-350.208495737586 164.53938070778 758.770464758021</t>
  </si>
  <si>
    <t>-504.986069551503 49.0653162797258 -229.325836308879</t>
  </si>
  <si>
    <t>-426.832947027339 6.28708484263561 217.574391942517</t>
  </si>
  <si>
    <t>-583.753818615175 -119.253352406527 642.416890784913</t>
  </si>
  <si>
    <t>-430.04843281918 -142.93097117294 724.621091344389</t>
  </si>
  <si>
    <t>9763-20170724T164253.092638200.bin</t>
  </si>
  <si>
    <t>-488.734463202115 145.036049377231 -241.787344038604</t>
  </si>
  <si>
    <t>-525.718233086525 137.163555768083 -356.844008981357</t>
  </si>
  <si>
    <t>-538.00072307545 126.873892323699 -476.984795413491</t>
  </si>
  <si>
    <t>-538.792241678795 116.705899807992 -586.029895717275</t>
  </si>
  <si>
    <t>-529.364147188144 105.775041891478 -694.595468544684</t>
  </si>
  <si>
    <t>-505.661115538378 89.8649945593116 -844.21178696248</t>
  </si>
  <si>
    <t>-460.896697288327 81.5024494270741 -935.366662007213</t>
  </si>
  <si>
    <t>-510.635688858207 128.121238225169 -780.457298078021</t>
  </si>
  <si>
    <t>-488.217991367609 272.440762570956 -763.337731381404</t>
  </si>
  <si>
    <t>-421.422175285923 305.47805997253 -455.712921920025</t>
  </si>
  <si>
    <t>-228.928794748592 221.428406327825 -302.337520666261</t>
  </si>
  <si>
    <t>-521.662281930762 65.6882330640552 -775.565065567158</t>
  </si>
  <si>
    <t>-312.583867670846 26.1122799403539 -444.165745173248</t>
  </si>
  <si>
    <t>-471.8721409914 241.013296189714 -253.451370399929</t>
  </si>
  <si>
    <t>-481.628573775354 222.638244626124 201.768275152542</t>
  </si>
  <si>
    <t>-500.835708466707 171.972703408449 668.33489818726</t>
  </si>
  <si>
    <t>-350.23567903255 163.902607913169 758.877852875243</t>
  </si>
  <si>
    <t>-505.488441983105 49.1832466281424 -229.4828256393</t>
  </si>
  <si>
    <t>-426.962569669083 6.16860324484578 217.329265220535</t>
  </si>
  <si>
    <t>-583.794234044307 -119.435723245771 642.278184218367</t>
  </si>
  <si>
    <t>-430.131580712344 -143.551796326527 724.434945733072</t>
  </si>
  <si>
    <t>9763-20170724T164253.124739700.bin</t>
  </si>
  <si>
    <t>-488.870241319523 145.162180713626 -241.982390424731</t>
  </si>
  <si>
    <t>-525.917539416624 137.317904420802 -357.020419018972</t>
  </si>
  <si>
    <t>-538.281339299471 127.02382284981 -477.152758273522</t>
  </si>
  <si>
    <t>-539.15277661464 116.836859894235 -586.195458177268</t>
  </si>
  <si>
    <t>-529.810467974626 105.871176067819 -694.764880670165</t>
  </si>
  <si>
    <t>-506.232186900389 89.8953732094907 -844.393806292372</t>
  </si>
  <si>
    <t>-461.535630873154 81.4602222840726 -935.575205066157</t>
  </si>
  <si>
    <t>-511.127075460127 128.175198992007 -780.647442547613</t>
  </si>
  <si>
    <t>-488.636744251603 272.485677800433 -763.557317248879</t>
  </si>
  <si>
    <t>-421.163620173756 305.237726520007 -456.049766151747</t>
  </si>
  <si>
    <t>-228.530216547671 221.19743433778 -302.845163837212</t>
  </si>
  <si>
    <t>-522.202716623451 65.7530447183802 -775.727858663302</t>
  </si>
  <si>
    <t>-313.11025537852 26.3469323276768 -444.341972336279</t>
  </si>
  <si>
    <t>-471.953294086647 241.150938518828 -253.664001354467</t>
  </si>
  <si>
    <t>-481.55146461696 222.74047435034 201.557515314432</t>
  </si>
  <si>
    <t>-500.601622018499 172.02973539783 668.07214407963</t>
  </si>
  <si>
    <t>-350.211318026853 163.700924513248 758.939678684611</t>
  </si>
  <si>
    <t>-505.617281863518 49.2998835441531 -229.656195529165</t>
  </si>
  <si>
    <t>-427.030078817273 6.2346725679861 217.140263919727</t>
  </si>
  <si>
    <t>-583.849402182009 -119.245827975545 642.152164832703</t>
  </si>
  <si>
    <t>-430.188012268101 -143.48571811542 724.274731706613</t>
  </si>
  <si>
    <t>9763-20170724T164253.188911100.bin</t>
  </si>
  <si>
    <t>-488.960578692334 145.170684772419 -242.249706139437</t>
  </si>
  <si>
    <t>-526.048196056133 137.341848059413 -357.27582866963</t>
  </si>
  <si>
    <t>-538.498466568115 127.023258166482 -477.396972892027</t>
  </si>
  <si>
    <t>-539.466744394875 116.794654987462 -586.435028056252</t>
  </si>
  <si>
    <t>-530.239033888354 105.766295796684 -695.007957568194</t>
  </si>
  <si>
    <t>-506.837831389075 89.6798128926645 -844.652796457297</t>
  </si>
  <si>
    <t>-462.269190674175 81.1384882610329 -935.886880205366</t>
  </si>
  <si>
    <t>-511.609439505962 127.998941569909 -780.920619131721</t>
  </si>
  <si>
    <t>-488.785711685473 272.268820272872 -763.912139652111</t>
  </si>
  <si>
    <t>-420.31147903116 304.611417667583 -456.582544970691</t>
  </si>
  <si>
    <t>-227.484335644434 220.520400392484 -303.649584656309</t>
  </si>
  <si>
    <t>-522.774883208724 65.5961990302673 -775.958540149549</t>
  </si>
  <si>
    <t>-313.457549907693 25.9398918799967 -444.794207508398</t>
  </si>
  <si>
    <t>-471.911265804389 241.060177151811 -253.899919146482</t>
  </si>
  <si>
    <t>-481.470087513456 222.56359695827 201.318842696198</t>
  </si>
  <si>
    <t>-500.4243280238 171.71990361057 667.964068892361</t>
  </si>
  <si>
    <t>-350.076554654508 164.252050168886 758.976667909545</t>
  </si>
  <si>
    <t>-505.859320694555 49.3580692534536 -229.922294514864</t>
  </si>
  <si>
    <t>-427.077488108427 6.1046043817035 216.821743332097</t>
  </si>
  <si>
    <t>-583.865130894911 -119.227279932624 641.877247118144</t>
  </si>
  <si>
    <t>-430.186688345921 -143.391990079753 723.989979406646</t>
  </si>
  <si>
    <t>9763-20170724T164253.224007700.bin</t>
  </si>
  <si>
    <t>-489.063380187634 145.287236034524 -242.330698469162</t>
  </si>
  <si>
    <t>-526.174108689541 137.480633197945 -357.350813702413</t>
  </si>
  <si>
    <t>-538.687133493847 127.162728736003 -477.465505526624</t>
  </si>
  <si>
    <t>-539.727952099465 116.923288428857 -586.501861008475</t>
  </si>
  <si>
    <t>-530.588389078022 105.870936685142 -695.079799579958</t>
  </si>
  <si>
    <t>-507.324975894044 89.7359829287811 -844.740999640535</t>
  </si>
  <si>
    <t>-462.823578838998 81.1342625684422 -936.002293349866</t>
  </si>
  <si>
    <t>-512.001880408014 128.069839182243 -781.010536127642</t>
  </si>
  <si>
    <t>-488.978530761427 272.306483498292 -764.02581469157</t>
  </si>
  <si>
    <t>-419.989153755906 304.543138385798 -456.80045984276</t>
  </si>
  <si>
    <t>-227.079515239151 220.305840639411 -304.052159901782</t>
  </si>
  <si>
    <t>-523.234655182495 65.6805619780897 -776.030427417673</t>
  </si>
  <si>
    <t>-313.730654114079 25.9026751908109 -445.078456984431</t>
  </si>
  <si>
    <t>-472.030064712975 241.269432083546 -253.947060870773</t>
  </si>
  <si>
    <t>-481.526663410931 222.693316077054 201.269757854113</t>
  </si>
  <si>
    <t>-500.476387351385 171.875333549891 667.941628242463</t>
  </si>
  <si>
    <t>-350.193820812971 163.473390206159 758.980462027786</t>
  </si>
  <si>
    <t>-505.939535443958 49.4227132216688 -230.033476380809</t>
  </si>
  <si>
    <t>-427.191635567715 6.13598966157316 216.713292164042</t>
  </si>
  <si>
    <t>-583.882705908423 -119.161425599301 641.7876416976</t>
  </si>
  <si>
    <t>-430.167852604682 -143.143668226332 723.885842589622</t>
  </si>
  <si>
    <t>9763-20170724T164253.289714800.bin</t>
  </si>
  <si>
    <t>-489.223665338768 145.387423526616 -242.44123307482</t>
  </si>
  <si>
    <t>-526.400235879282 137.61092760261 -357.442249603903</t>
  </si>
  <si>
    <t>-539.014914201657 127.276866999743 -477.544931038721</t>
  </si>
  <si>
    <t>-540.16151287656 117.000564457718 -586.576690414309</t>
  </si>
  <si>
    <t>-531.140929837171 105.887567680518 -695.158276819361</t>
  </si>
  <si>
    <t>-508.056011691181 89.6417056167797 -844.835212898575</t>
  </si>
  <si>
    <t>-463.664868704537 80.8975894275202 -936.136584150849</t>
  </si>
  <si>
    <t>-512.599424840247 128.013187762959 -781.117785486562</t>
  </si>
  <si>
    <t>-489.139943138763 272.183012332349 -764.18870268666</t>
  </si>
  <si>
    <t>-418.978559336551 304.013146514466 -457.186323193524</t>
  </si>
  <si>
    <t>-226.090471191624 219.506814393963 -304.559603629243</t>
  </si>
  <si>
    <t>-523.941398706762 65.6468206051839 -776.097888207926</t>
  </si>
  <si>
    <t>-314.163793330635 25.5626079900235 -445.465915473628</t>
  </si>
  <si>
    <t>-472.162438044496 241.386533078939 -254.050003365332</t>
  </si>
  <si>
    <t>-481.555364348723 222.759986844308 201.167050797212</t>
  </si>
  <si>
    <t>-500.429185530935 171.879520144588 667.82165114594</t>
  </si>
  <si>
    <t>-350.17976762277 163.732684548588 758.938391763218</t>
  </si>
  <si>
    <t>-506.118791523222 49.4619730917896 -230.157011181266</t>
  </si>
  <si>
    <t>-427.197562776476 6.21730705835409 216.563247301988</t>
  </si>
  <si>
    <t>-583.876074604347 -119.043785102693 641.60283946337</t>
  </si>
  <si>
    <t>-430.246107807613 -143.357036382514 723.762555606737</t>
  </si>
  <si>
    <t>9763-20170724T164253.333356800.bin</t>
  </si>
  <si>
    <t>-489.283044386957 145.386514641356 -242.480311086377</t>
  </si>
  <si>
    <t>-526.494763880136 137.630005867052 -357.471301586278</t>
  </si>
  <si>
    <t>-539.159242119905 127.31533527397 -477.570394799451</t>
  </si>
  <si>
    <t>-540.356772026153 117.053328574161 -586.602922765493</t>
  </si>
  <si>
    <t>-531.392506444947 105.949421912366 -695.190216259444</t>
  </si>
  <si>
    <t>-508.391274562791 89.7095163415299 -844.88062363846</t>
  </si>
  <si>
    <t>-464.052341829815 80.9122166869052 -936.202330991872</t>
  </si>
  <si>
    <t>-512.865655887302 128.072846722116 -781.15343561333</t>
  </si>
  <si>
    <t>-489.172139978674 272.207421510495 -764.218474458579</t>
  </si>
  <si>
    <t>-418.339543749774 303.80858166806 -457.346732239813</t>
  </si>
  <si>
    <t>-225.547503535671 219.041108657959 -304.743514772804</t>
  </si>
  <si>
    <t>-524.271616295632 65.7175576218742 -776.141225237717</t>
  </si>
  <si>
    <t>-314.329866729477 25.4110403761059 -445.567597212282</t>
  </si>
  <si>
    <t>-472.225602452405 241.419294535823 -254.091481610595</t>
  </si>
  <si>
    <t>-481.504551108112 222.729127479488 201.125159004156</t>
  </si>
  <si>
    <t>-500.4098980779 171.86011537665 667.776251515238</t>
  </si>
  <si>
    <t>-350.191358219718 163.60801429651 758.934284102237</t>
  </si>
  <si>
    <t>-506.192175855655 49.4734555888271 -230.213679673085</t>
  </si>
  <si>
    <t>-427.145947893999 6.26947930884891 216.488388679464</t>
  </si>
  <si>
    <t>-583.848777854731 -118.965538319258 641.505559980115</t>
  </si>
  <si>
    <t>-430.25635650783 -143.320565889163 723.723020879694</t>
  </si>
  <si>
    <t>9763-20170724T164253.390993800.bin</t>
  </si>
  <si>
    <t>-489.401041497068 145.126022112559 -242.539899672263</t>
  </si>
  <si>
    <t>-526.665187289167 137.359076203869 -357.513225376105</t>
  </si>
  <si>
    <t>-539.375273359077 127.040994292603 -477.607220588404</t>
  </si>
  <si>
    <t>-540.610788394064 116.773765247954 -586.638782495582</t>
  </si>
  <si>
    <t>-531.681350250106 105.659677451407 -695.22790937989</t>
  </si>
  <si>
    <t>-508.725212189342 89.3978484754395 -844.922925834082</t>
  </si>
  <si>
    <t>-464.445140346224 80.4878337553016 -936.2621839708</t>
  </si>
  <si>
    <t>-513.119086045339 127.760042850645 -781.189481801276</t>
  </si>
  <si>
    <t>-489.099985900695 271.834446388686 -764.249400171157</t>
  </si>
  <si>
    <t>-416.95432294339 302.516798501771 -457.590368242102</t>
  </si>
  <si>
    <t>-223.988229949614 217.621183115955 -305.278574088764</t>
  </si>
  <si>
    <t>-524.646059273281 65.4263930943082 -776.185544955522</t>
  </si>
  <si>
    <t>-314.714905862379 24.8819038596536 -445.768482556636</t>
  </si>
  <si>
    <t>-472.306960634854 241.238413433287 -254.184167235323</t>
  </si>
  <si>
    <t>-481.422526578451 222.544304888374 201.035779827568</t>
  </si>
  <si>
    <t>-500.282474774919 171.648432242485 667.657801869937</t>
  </si>
  <si>
    <t>-350.102734440616 163.799119371651 758.915358722416</t>
  </si>
  <si>
    <t>-506.301944432921 49.0573369482742 -230.255278140258</t>
  </si>
  <si>
    <t>-426.85616934896 6.02438326936603 216.392366202405</t>
  </si>
  <si>
    <t>-583.67800481068 -119.525038051969 641.325962925467</t>
  </si>
  <si>
    <t>-430.113462884399 -143.215477486179 723.789313256847</t>
  </si>
  <si>
    <t>9763-20170724T164253.423584000.bin</t>
  </si>
  <si>
    <t>-489.466872732672 144.963785166409 -242.592774484899</t>
  </si>
  <si>
    <t>-526.833214244912 137.205088813257 -357.533529309858</t>
  </si>
  <si>
    <t>-539.598512625813 126.891339563946 -477.622035602239</t>
  </si>
  <si>
    <t>-540.863877896498 116.622868959488 -586.653135064781</t>
  </si>
  <si>
    <t>-531.943890362747 105.500514234788 -695.242218632028</t>
  </si>
  <si>
    <t>-508.980135659017 89.2180594979664 -844.933698818987</t>
  </si>
  <si>
    <t>-464.712670172822 80.2563358951283 -936.274064297106</t>
  </si>
  <si>
    <t>-513.331008892289 127.58106202121 -781.197867266103</t>
  </si>
  <si>
    <t>-489.074217290165 271.627750589979 -764.227416240639</t>
  </si>
  <si>
    <t>-416.573641970636 301.99100693592 -457.620280106033</t>
  </si>
  <si>
    <t>-223.440429963956 216.914654107459 -305.621475260797</t>
  </si>
  <si>
    <t>-524.950741557925 65.2639358136626 -776.201966675122</t>
  </si>
  <si>
    <t>-314.995638751113 24.5308023513753 -445.745825550796</t>
  </si>
  <si>
    <t>-472.397439438487 241.16510157298 -254.233342230848</t>
  </si>
  <si>
    <t>-481.47341144113 222.453887453007 200.986555265131</t>
  </si>
  <si>
    <t>-500.242008479925 171.569319481853 667.615151063594</t>
  </si>
  <si>
    <t>-350.080480478509 163.787299953486 758.908377823288</t>
  </si>
  <si>
    <t>-506.389021641049 48.793083881467 -230.278712268806</t>
  </si>
  <si>
    <t>-426.747267207826 5.86662977682515 216.344333716413</t>
  </si>
  <si>
    <t>-583.598544580809 -119.856771608058 641.256250231795</t>
  </si>
  <si>
    <t>-429.978762930098 -142.906534208171 723.79819804197</t>
  </si>
  <si>
    <t>9763-20170724T164253.490261800.bin</t>
  </si>
  <si>
    <t>-489.769619327121 145.270667147497 -242.691708702426</t>
  </si>
  <si>
    <t>-527.096918356899 137.500064373625 -357.644411229635</t>
  </si>
  <si>
    <t>-539.837992012116 127.128812138062 -477.730405320679</t>
  </si>
  <si>
    <t>-541.08859148193 116.784465368308 -586.754670280164</t>
  </si>
  <si>
    <t>-532.161467591809 105.55965315032 -695.332582771348</t>
  </si>
  <si>
    <t>-509.196063540046 89.104269434171 -845.004870730189</t>
  </si>
  <si>
    <t>-464.933942981942 80.0264127232656 -936.336349682279</t>
  </si>
  <si>
    <t>-513.465226365583 127.526550587265 -781.299243869286</t>
  </si>
  <si>
    <t>-488.919320345761 271.518596537134 -764.442759249099</t>
  </si>
  <si>
    <t>-416.023630306493 301.676916832911 -457.909060294056</t>
  </si>
  <si>
    <t>-222.725338695805 216.294941154513 -306.292089469238</t>
  </si>
  <si>
    <t>-525.24996181576 65.2440260422428 -776.259935309916</t>
  </si>
  <si>
    <t>-315.568795206054 24.1805903197289 -445.635387218962</t>
  </si>
  <si>
    <t>-472.604777812595 241.524402857014 -254.344342969576</t>
  </si>
  <si>
    <t>-481.743191486547 222.778343462793 200.873027800439</t>
  </si>
  <si>
    <t>-500.365809781361 172.125028965254 667.540963971181</t>
  </si>
  <si>
    <t>-350.280488739324 163.485392568501 758.88244091398</t>
  </si>
  <si>
    <t>-506.79190558662 49.2323280170318 -230.377012147815</t>
  </si>
  <si>
    <t>-426.98828295016 6.42780833683034 216.228848391783</t>
  </si>
  <si>
    <t>-583.69531972082 -118.993385557872 641.212071870668</t>
  </si>
  <si>
    <t>-430.348099316448 -143.645333481954 723.798051822166</t>
  </si>
  <si>
    <t>9763-20170724T164253.520575600.bin</t>
  </si>
  <si>
    <t>-489.826704547451 145.175766744035 -242.719164376465</t>
  </si>
  <si>
    <t>-527.163167238684 137.446022918853 -357.671566710435</t>
  </si>
  <si>
    <t>-539.925199897573 127.093681390257 -477.757045731703</t>
  </si>
  <si>
    <t>-541.199595144844 116.754711577367 -586.781465739239</t>
  </si>
  <si>
    <t>-532.301201742104 105.521827515355 -695.360865249964</t>
  </si>
  <si>
    <t>-509.380643328871 89.0400273167438 -845.03717254554</t>
  </si>
  <si>
    <t>-465.131279006017 79.9210574346119 -936.370867534716</t>
  </si>
  <si>
    <t>-513.600205494381 127.468207699388 -781.331712331613</t>
  </si>
  <si>
    <t>-488.905959824125 271.441381727152 -764.461867549687</t>
  </si>
  <si>
    <t>-415.664479384141 301.390918616399 -457.990136026241</t>
  </si>
  <si>
    <t>-222.223657241155 216.083014069878 -306.513375636768</t>
  </si>
  <si>
    <t>-525.444379486326 65.197226529346 -776.288409380667</t>
  </si>
  <si>
    <t>-315.749096506037 24.0813986950956 -445.62629901482</t>
  </si>
  <si>
    <t>-472.60074996402 241.37407635413 -254.368671215261</t>
  </si>
  <si>
    <t>-481.703881642665 222.531053919023 200.845252002669</t>
  </si>
  <si>
    <t>-500.188461709619 171.569019145221 667.49829195908</t>
  </si>
  <si>
    <t>-350.067162988032 163.778860480006 758.85697232475</t>
  </si>
  <si>
    <t>-506.854114542706 49.1088018355442 -230.434379619488</t>
  </si>
  <si>
    <t>-427.086590984683 6.17737004349286 216.165821660972</t>
  </si>
  <si>
    <t>-583.660061731894 -119.466976615867 641.227120518912</t>
  </si>
  <si>
    <t>-430.178489494224 -143.3622469192 723.785825372903</t>
  </si>
  <si>
    <t>9763-20170724T164253.587292100.bin</t>
  </si>
  <si>
    <t>-490.065332076237 145.185023864292 -242.760902038762</t>
  </si>
  <si>
    <t>-527.456222272472 137.506925601667 -357.698979033127</t>
  </si>
  <si>
    <t>-540.284142422504 127.158657694323 -477.777978887676</t>
  </si>
  <si>
    <t>-541.622339348105 116.800299771368 -586.799818381064</t>
  </si>
  <si>
    <t>-532.791754188658 105.522695983988 -695.380033137123</t>
  </si>
  <si>
    <t>-509.969246191422 88.950479509566 -845.061336808224</t>
  </si>
  <si>
    <t>-465.756648197124 79.70151448049 -936.399737209363</t>
  </si>
  <si>
    <t>-514.098439605115 127.408541160372 -781.368072088941</t>
  </si>
  <si>
    <t>-489.142394302585 271.346288232185 -764.528869536955</t>
  </si>
  <si>
    <t>-415.375592800218 300.672760792185 -458.122840411979</t>
  </si>
  <si>
    <t>-221.021021195344 216.312836844104 -307.285910017757</t>
  </si>
  <si>
    <t>-526.036501926403 65.1577632709164 -776.295957066868</t>
  </si>
  <si>
    <t>-316.466207385888 23.607024517957 -445.594181566088</t>
  </si>
  <si>
    <t>-472.817042523119 241.358727241399 -254.384564037471</t>
  </si>
  <si>
    <t>-481.823484846841 222.488698217765 200.830122068194</t>
  </si>
  <si>
    <t>-500.162475091281 171.449270265196 667.49414474436</t>
  </si>
  <si>
    <t>-350.060404927759 163.537975878632 758.873949962933</t>
  </si>
  <si>
    <t>-507.184386812612 49.0527494363756 -230.472664630698</t>
  </si>
  <si>
    <t>-427.177902462653 6.13175397526562 216.085759808932</t>
  </si>
  <si>
    <t>-583.676941492494 -119.291741171728 641.207167089027</t>
  </si>
  <si>
    <t>-430.293245727882 -143.491479642225 723.858948831007</t>
  </si>
  <si>
    <t>9763-20170724T164253.628475000.bin</t>
  </si>
  <si>
    <t>-490.167214836031 145.263064972633 -242.767983111108</t>
  </si>
  <si>
    <t>-527.569241389041 137.604895252957 -357.703774940665</t>
  </si>
  <si>
    <t>-540.43963629548 127.268223608475 -477.779130089133</t>
  </si>
  <si>
    <t>-541.829045692317 116.914604127467 -586.800761941579</t>
  </si>
  <si>
    <t>-533.062160164795 105.635006976948 -695.386033081768</t>
  </si>
  <si>
    <t>-510.340879850764 89.0515536303764 -845.081485920258</t>
  </si>
  <si>
    <t>-466.157140956095 79.7493437665808 -936.428452212199</t>
  </si>
  <si>
    <t>-514.396042725842 127.508869292533 -781.382970206073</t>
  </si>
  <si>
    <t>-489.295616122597 271.406471205386 -764.554063901785</t>
  </si>
  <si>
    <t>-415.035863046426 300.573394063774 -458.252023186281</t>
  </si>
  <si>
    <t>-220.65493456483 216.001906477471 -307.567607458442</t>
  </si>
  <si>
    <t>-526.392684828622 65.2695231944502 -776.308842974177</t>
  </si>
  <si>
    <t>-316.62369754018 23.4544637552228 -445.761505899657</t>
  </si>
  <si>
    <t>-472.88255986783 241.464206338326 -254.391447459099</t>
  </si>
  <si>
    <t>-481.910118167325 222.535708188795 200.820516605086</t>
  </si>
  <si>
    <t>-500.179434336799 171.533104296524 667.47372978018</t>
  </si>
  <si>
    <t>-350.10813363262 163.294667116046 758.87521164188</t>
  </si>
  <si>
    <t>-507.264362577955 49.1335748534096 -230.490353651558</t>
  </si>
  <si>
    <t>-427.193395875445 6.17589561126739 216.05302885708</t>
  </si>
  <si>
    <t>-583.674977124642 -119.296871905359 641.182619470792</t>
  </si>
  <si>
    <t>-430.344786471998 -143.753373077066 723.858094146761</t>
  </si>
  <si>
    <t>9763-20170724T164253.689139600.bin</t>
  </si>
  <si>
    <t>-490.196153322049 145.309975432767 -242.732440218094</t>
  </si>
  <si>
    <t>-527.65888347994 137.71980601402 -357.652987030374</t>
  </si>
  <si>
    <t>-540.700713135309 127.417515689091 -477.712805749174</t>
  </si>
  <si>
    <t>-542.289973142388 117.07449750696 -586.732722554592</t>
  </si>
  <si>
    <t>-533.766637909232 105.781200570868 -695.335906675692</t>
  </si>
  <si>
    <t>-511.427394798824 89.1501272283683 -845.083680772222</t>
  </si>
  <si>
    <t>-467.37146805014 79.7512693181773 -936.482346374117</t>
  </si>
  <si>
    <t>-515.224111131191 127.610483222546 -781.370933440636</t>
  </si>
  <si>
    <t>-489.90492733927 271.497563592321 -764.681369852269</t>
  </si>
  <si>
    <t>-415.066742627175 300.257430733914 -458.481606256369</t>
  </si>
  <si>
    <t>-220.678772582804 215.565472361971 -307.874035555009</t>
  </si>
  <si>
    <t>-527.399451547309 65.4073078238012 -776.278982575134</t>
  </si>
  <si>
    <t>-317.554792609773 23.1101937578917 -446.192674738294</t>
  </si>
  <si>
    <t>-472.806907819553 241.4500156258 -254.330821205712</t>
  </si>
  <si>
    <t>-481.817822205945 222.453198883207 200.878502561123</t>
  </si>
  <si>
    <t>-500.181477837607 171.247016344091 667.556430633237</t>
  </si>
  <si>
    <t>-350.005292832756 163.693997037332 758.844836787935</t>
  </si>
  <si>
    <t>-507.442426244875 49.2168743233626 -230.472297628004</t>
  </si>
  <si>
    <t>-427.303766776954 6.06193626743311 216.039874141162</t>
  </si>
  <si>
    <t>-583.709861731601 -119.146424570726 641.192567061715</t>
  </si>
  <si>
    <t>-430.310912545155 -143.326269091284 723.821986634925</t>
  </si>
  <si>
    <t>9763-20170724T164253.721729800.bin</t>
  </si>
  <si>
    <t>-490.135837458246 145.263702892169 -242.689616243588</t>
  </si>
  <si>
    <t>-527.614233570055 137.739422751313 -357.609330343277</t>
  </si>
  <si>
    <t>-540.747323922952 127.460428113347 -477.66115291524</t>
  </si>
  <si>
    <t>-542.450011073239 117.117816800721 -586.679437669755</t>
  </si>
  <si>
    <t>-534.070328877927 105.802962732092 -695.291615498432</t>
  </si>
  <si>
    <t>-511.961166290201 89.1171879854778 -845.067279882788</t>
  </si>
  <si>
    <t>-468.01155997049 79.6496290073085 -936.510158791287</t>
  </si>
  <si>
    <t>-515.595933213537 127.589047331428 -781.352163968319</t>
  </si>
  <si>
    <t>-490.087852515564 271.463210316487 -764.778604244886</t>
  </si>
  <si>
    <t>-415.356062952823 300.177871666646 -458.548605684619</t>
  </si>
  <si>
    <t>-220.900503012082 216.140171987525 -307.661979698929</t>
  </si>
  <si>
    <t>-527.891610977542 65.4112069433639 -776.240254425839</t>
  </si>
  <si>
    <t>-317.983847780875 22.7994923286115 -446.347382441537</t>
  </si>
  <si>
    <t>-472.638898091278 241.450245784389 -254.241029653248</t>
  </si>
  <si>
    <t>-481.669249885328 222.387014098705 200.965096487908</t>
  </si>
  <si>
    <t>-500.293850967285 171.248811181299 667.6620368641</t>
  </si>
  <si>
    <t>-350.050056747303 163.56071410376 758.827858707187</t>
  </si>
  <si>
    <t>-507.492378504417 49.1077332146119 -230.455730771701</t>
  </si>
  <si>
    <t>-427.332094521637 5.88809574082761 216.046329625116</t>
  </si>
  <si>
    <t>-583.684629636541 -119.51355526806 641.22693208183</t>
  </si>
  <si>
    <t>-430.210545979089 -143.406539631048 723.800187632218</t>
  </si>
  <si>
    <t>9763-20170724T164253.788409700.bin</t>
  </si>
  <si>
    <t>-490.159568665732 145.64326728295 -242.363154463855</t>
  </si>
  <si>
    <t>-527.633178254436 138.221023630769 -357.291147085623</t>
  </si>
  <si>
    <t>-540.920283452319 127.967601920225 -477.328193433728</t>
  </si>
  <si>
    <t>-542.827713243728 117.611193407167 -586.341675138319</t>
  </si>
  <si>
    <t>-534.71687157122 106.242537971515 -694.968681464987</t>
  </si>
  <si>
    <t>-513.046222538062 89.4375869886642 -844.795268280045</t>
  </si>
  <si>
    <t>-469.341770628129 79.8077288502099 -936.338514196183</t>
  </si>
  <si>
    <t>-516.372472067484 127.937448211393 -781.080131286603</t>
  </si>
  <si>
    <t>-490.378277550501 271.732838344989 -764.608383188568</t>
  </si>
  <si>
    <t>-415.956405513656 301.034288679714 -458.358543554089</t>
  </si>
  <si>
    <t>-220.838281760026 218.487464884096 -307.504218360976</t>
  </si>
  <si>
    <t>-528.897197006424 65.8090439713225 -775.923060229679</t>
  </si>
  <si>
    <t>-318.735521987974 22.5616854055229 -447.048154281472</t>
  </si>
  <si>
    <t>-472.556466989933 241.970626539494 -253.825069789085</t>
  </si>
  <si>
    <t>-481.634620620426 222.770273890165 201.374466881832</t>
  </si>
  <si>
    <t>-500.894763646944 171.611473781969 668.131443835632</t>
  </si>
  <si>
    <t>-350.35567247471 162.957277492734 758.721702697834</t>
  </si>
  <si>
    <t>-507.598183793277 49.4585578982914 -230.216846665066</t>
  </si>
  <si>
    <t>-427.529899446524 5.88400130749434 216.267158401729</t>
  </si>
  <si>
    <t>-583.747805657506 -119.348804580294 641.462347673564</t>
  </si>
  <si>
    <t>-430.255121568887 -143.607219383439 723.894473411742</t>
  </si>
  <si>
    <t>9763-20170724T164253.822006000.bin</t>
  </si>
  <si>
    <t>-490.202449242069 145.732623902998 -242.154541177203</t>
  </si>
  <si>
    <t>-527.725871676913 138.388422218275 -357.071213362319</t>
  </si>
  <si>
    <t>-541.163731067526 128.148030025182 -477.092680303735</t>
  </si>
  <si>
    <t>-543.248555114491 117.771738287867 -586.100944193917</t>
  </si>
  <si>
    <t>-535.35535591113 106.348727013316 -694.738323230475</t>
  </si>
  <si>
    <t>-514.027337952083 89.4296718698818 -844.601223856771</t>
  </si>
  <si>
    <t>-470.49415910057 79.6634860954477 -936.211520233755</t>
  </si>
  <si>
    <t>-517.127011086851 127.962803262003 -780.894694021184</t>
  </si>
  <si>
    <t>-490.962999995237 271.747012879201 -764.54541198202</t>
  </si>
  <si>
    <t>-416.389895214232 300.966968802476 -458.324647560611</t>
  </si>
  <si>
    <t>-220.936547840259 218.987065541271 -307.595208974745</t>
  </si>
  <si>
    <t>-529.801606054652 65.8689532309544 -775.688267011991</t>
  </si>
  <si>
    <t>-319.201737932618 21.9283102007041 -447.650888213234</t>
  </si>
  <si>
    <t>-472.538315624273 242.049005346902 -253.583743849145</t>
  </si>
  <si>
    <t>-481.640392380952 222.805429923361 201.613529758959</t>
  </si>
  <si>
    <t>-501.120410948041 171.653347585567 668.323639825125</t>
  </si>
  <si>
    <t>-350.39600736008 163.224531468214 758.626736006201</t>
  </si>
  <si>
    <t>-507.715983776073 49.5181299299433 -230.040443118411</t>
  </si>
  <si>
    <t>-427.599912012489 5.85141537307993 216.425998014758</t>
  </si>
  <si>
    <t>-583.74785711707 -119.385225582632 641.610421067288</t>
  </si>
  <si>
    <t>-430.280246898389 -143.83503785273 724.032570739521</t>
  </si>
  <si>
    <t>9763-20170724T164253.889188000.bin</t>
  </si>
  <si>
    <t>-490.379966617403 145.678861095977 -241.576195436862</t>
  </si>
  <si>
    <t>-527.913369090656 138.457511513184 -356.497472884073</t>
  </si>
  <si>
    <t>-541.640860115667 128.156710011113 -476.480831342363</t>
  </si>
  <si>
    <t>-544.103107321979 117.639417128954 -585.467822098899</t>
  </si>
  <si>
    <t>-536.701276949347 105.982553150553 -694.11494499973</t>
  </si>
  <si>
    <t>-516.171626279478 88.6360269510197 -844.040434820022</t>
  </si>
  <si>
    <t>-473.019859753535 78.4726574480655 -935.78788707339</t>
  </si>
  <si>
    <t>-518.711976244828 127.30802379511 -780.393371300768</t>
  </si>
  <si>
    <t>-492.218630243079 271.074562014949 -764.55256513984</t>
  </si>
  <si>
    <t>-418.535708108219 301.119317109703 -458.195961553421</t>
  </si>
  <si>
    <t>-222.952488123794 219.405590149818 -307.490632373168</t>
  </si>
  <si>
    <t>-531.798720961456 65.3145594897917 -775.01273681582</t>
  </si>
  <si>
    <t>-320.854450700877 20.1126031625791 -448.212134430491</t>
  </si>
  <si>
    <t>-472.575508088464 241.89867485149 -252.919362638446</t>
  </si>
  <si>
    <t>-481.90556864664 222.634159649401 202.272276551054</t>
  </si>
  <si>
    <t>-501.839963064525 171.495152450347 669.137964050747</t>
  </si>
  <si>
    <t>-350.440960083218 163.740257727037 758.366437595073</t>
  </si>
  <si>
    <t>-508.035416158818 49.5105540025163 -229.541104865367</t>
  </si>
  <si>
    <t>-427.867006003238 5.71151997609343 216.903034499991</t>
  </si>
  <si>
    <t>-583.76714349898 -119.402068444543 642.071441852866</t>
  </si>
  <si>
    <t>-430.282837865765 -143.788528331434 724.481236538764</t>
  </si>
  <si>
    <t>9763-20170724T164253.919973600.bin</t>
  </si>
  <si>
    <t>-490.5464433381 145.838827414951 -241.126856054351</t>
  </si>
  <si>
    <t>-528.118581612963 138.726872233408 -356.042364028097</t>
  </si>
  <si>
    <t>-542.007952241104 128.394128177417 -476.004380122248</t>
  </si>
  <si>
    <t>-544.667233343594 117.785089421157 -584.977847785211</t>
  </si>
  <si>
    <t>-537.512057244234 105.971301596254 -693.624494870718</t>
  </si>
  <si>
    <t>-517.375960821829 88.3362001125157 -843.569630134514</t>
  </si>
  <si>
    <t>-474.420761241619 77.9116425536766 -935.380078718157</t>
  </si>
  <si>
    <t>-519.606660855029 127.102230473351 -779.968182305199</t>
  </si>
  <si>
    <t>-492.766602539049 270.861766009219 -764.527000998178</t>
  </si>
  <si>
    <t>-420.613614656705 302.020798032101 -457.917737987614</t>
  </si>
  <si>
    <t>-225.419464987074 219.761174839259 -307.005025623199</t>
  </si>
  <si>
    <t>-532.964440211863 65.1761613516766 -774.47892300717</t>
  </si>
  <si>
    <t>-322.10643402599 19.38358202013 -448.216567841634</t>
  </si>
  <si>
    <t>-472.616091932483 242.007061299189 -252.388735905791</t>
  </si>
  <si>
    <t>-482.157134887056 222.714487915248 202.797337294441</t>
  </si>
  <si>
    <t>-502.436703487747 171.514624272117 669.758326143597</t>
  </si>
  <si>
    <t>-350.598056976737 163.253211485957 758.190593047467</t>
  </si>
  <si>
    <t>-508.362196493088 49.78731991654 -229.130129373062</t>
  </si>
  <si>
    <t>-428.16014018482 5.91386264494079 217.300539224071</t>
  </si>
  <si>
    <t>-583.853474134587 -118.932112876928 642.449994628017</t>
  </si>
  <si>
    <t>-430.470742474348 -144.035865506413 724.833519332072</t>
  </si>
  <si>
    <t>9763-20170724T164253.991176500.bin</t>
  </si>
  <si>
    <t>-490.590314302282 145.60743821018 -240.11571179019</t>
  </si>
  <si>
    <t>-528.281960145004 138.818459930691 -355.011469669494</t>
  </si>
  <si>
    <t>-542.585796346742 128.454204892071 -474.922068433633</t>
  </si>
  <si>
    <t>-545.73987444463 117.665618459534 -583.864822102626</t>
  </si>
  <si>
    <t>-539.197384190321 105.518948056432 -692.513334585963</t>
  </si>
  <si>
    <t>-520.031731864981 87.2590279776299 -842.510839470615</t>
  </si>
  <si>
    <t>-477.571231161755 76.1711890115008 -934.473525248614</t>
  </si>
  <si>
    <t>-521.535731341764 126.224593178807 -779.010153974162</t>
  </si>
  <si>
    <t>-493.963020211881 269.897811963547 -764.401305462141</t>
  </si>
  <si>
    <t>-425.732472927363 303.422665819335 -457.144350834316</t>
  </si>
  <si>
    <t>-230.643202337936 221.530076441724 -305.89678149355</t>
  </si>
  <si>
    <t>-535.488134969003 64.4523052125838 -773.273070958413</t>
  </si>
  <si>
    <t>-324.114937827325 17.9017766074064 -447.52826274178</t>
  </si>
  <si>
    <t>-472.112204124324 241.900228424078 -251.316689197423</t>
  </si>
  <si>
    <t>-482.029010942891 222.611946312518 203.861516385915</t>
  </si>
  <si>
    <t>-503.487325739314 172.069625401878 670.711982211874</t>
  </si>
  <si>
    <t>-350.955555562351 162.956437514933 757.858493921611</t>
  </si>
  <si>
    <t>-508.95325674816 49.3837480741379 -228.225173629352</t>
  </si>
  <si>
    <t>-428.494912568071 5.28736015995456 218.137531301794</t>
  </si>
  <si>
    <t>-583.801905552447 -119.626484740379 643.317113064238</t>
  </si>
  <si>
    <t>-430.167752998462 -143.403200947388 725.625772794283</t>
  </si>
  <si>
    <t>9763-20170724T164254.024941300.bin</t>
  </si>
  <si>
    <t>-490.452901399208 145.523283608792 -239.672436617417</t>
  </si>
  <si>
    <t>-528.168171241485 138.947907607089 -354.572888971345</t>
  </si>
  <si>
    <t>-542.63644953267 128.593257476978 -474.464658452003</t>
  </si>
  <si>
    <t>-545.996775850155 117.73040730485 -583.393749471278</t>
  </si>
  <si>
    <t>-539.716773717074 105.427843212967 -692.040280564551</t>
  </si>
  <si>
    <t>-520.972958746842 86.8668563192077 -842.054182766462</t>
  </si>
  <si>
    <t>-478.766837477822 75.412683034421 -934.089084381831</t>
  </si>
  <si>
    <t>-522.173563748667 125.933150389325 -778.608954500962</t>
  </si>
  <si>
    <t>-494.13152319496 269.582729116692 -764.360845827939</t>
  </si>
  <si>
    <t>-427.233358167797 303.728037408462 -456.879190529933</t>
  </si>
  <si>
    <t>-232.105250874932 221.886884834581 -305.653782911121</t>
  </si>
  <si>
    <t>-536.359432401862 64.2258688926667 -772.746418322264</t>
  </si>
  <si>
    <t>-324.216449649015 17.4859903530744 -446.973791597962</t>
  </si>
  <si>
    <t>-471.606209362555 241.643886672595 -250.877996651284</t>
  </si>
  <si>
    <t>-481.55681950411 222.247604538883 204.294985216974</t>
  </si>
  <si>
    <t>-503.672197477152 171.537250223932 671.110727040088</t>
  </si>
  <si>
    <t>-350.845392799631 162.926616121672 757.790238555451</t>
  </si>
  <si>
    <t>-509.092603341467 49.4896003426285 -227.88029263175</t>
  </si>
  <si>
    <t>-428.67236695292 4.9935208769962 218.449516015378</t>
  </si>
  <si>
    <t>-583.812297471886 -119.490941013043 643.750384544956</t>
  </si>
  <si>
    <t>-430.315366440263 -143.985106106228 726.104755155232</t>
  </si>
  <si>
    <t>9763-20170724T164254.087101700.bin</t>
  </si>
  <si>
    <t>-489.953933777721 145.410572280201 -239.006571195303</t>
  </si>
  <si>
    <t>-527.814945139171 139.186645047095 -353.878621336618</t>
  </si>
  <si>
    <t>-542.690966147732 128.825818825244 -473.719949062259</t>
  </si>
  <si>
    <t>-546.526438148359 117.806602590424 -582.617623768902</t>
  </si>
  <si>
    <t>-540.825866017691 105.19484536756 -691.260674106017</t>
  </si>
  <si>
    <t>-522.99288054096 86.0434167342464 -841.311296689505</t>
  </si>
  <si>
    <t>-481.307510323368 73.9028478301194 -933.495494728871</t>
  </si>
  <si>
    <t>-523.568399020543 125.306529589598 -777.978852994118</t>
  </si>
  <si>
    <t>-494.773911391238 268.850453823284 -764.287656005136</t>
  </si>
  <si>
    <t>-430.012112924147 301.91236286515 -456.230839702274</t>
  </si>
  <si>
    <t>-233.536358184573 221.859846886474 -305.795063019557</t>
  </si>
  <si>
    <t>-538.198426513774 63.7281356425974 -771.858236923529</t>
  </si>
  <si>
    <t>-324.970575456053 16.1298577673516 -445.799309128617</t>
  </si>
  <si>
    <t>-470.559007383107 241.453743641118 -250.202273400425</t>
  </si>
  <si>
    <t>-480.421421237894 221.983328453063 204.969497512963</t>
  </si>
  <si>
    <t>-504.048108698044 171.676528848565 671.60798794446</t>
  </si>
  <si>
    <t>-350.969827274785 162.773752621864 757.8129056246</t>
  </si>
  <si>
    <t>-509.110763739259 49.4617030099691 -227.238747754173</t>
  </si>
  <si>
    <t>-428.88896681515 4.37040938900051 219.067073959148</t>
  </si>
  <si>
    <t>-583.898849485498 -119.199839819415 644.637552928374</t>
  </si>
  <si>
    <t>-430.497522571111 -144.200661257281 727.017705091834</t>
  </si>
  <si>
    <t>9763-20170724T164254.124210800.bin</t>
  </si>
  <si>
    <t>-489.689037327518 145.338464324499 -238.742824846684</t>
  </si>
  <si>
    <t>-527.558599622149 139.189452402583 -353.616282864056</t>
  </si>
  <si>
    <t>-542.599853748671 128.790692530227 -473.433561166374</t>
  </si>
  <si>
    <t>-546.650071091151 117.683714454015 -582.314503171168</t>
  </si>
  <si>
    <t>-541.229476928673 104.926616103622 -690.954974228601</t>
  </si>
  <si>
    <t>-523.852492295032 85.5091776230036 -841.024955081616</t>
  </si>
  <si>
    <t>-482.419710221561 73.0586378490873 -933.281585695006</t>
  </si>
  <si>
    <t>-524.092181172301 124.852166472483 -777.739918053958</t>
  </si>
  <si>
    <t>-494.909591278826 268.350264292367 -764.312368058889</t>
  </si>
  <si>
    <t>-430.616970637126 301.073988084332 -456.12118299125</t>
  </si>
  <si>
    <t>-233.518673345579 221.96125057464 -306.002932081773</t>
  </si>
  <si>
    <t>-538.990403665787 63.3493646981756 -771.507188885004</t>
  </si>
  <si>
    <t>-325.211646687916 14.9587154156776 -445.284200458955</t>
  </si>
  <si>
    <t>-470.09031319449 241.476796221234 -250.006862647101</t>
  </si>
  <si>
    <t>-479.990070404437 222.013183642836 205.164336532734</t>
  </si>
  <si>
    <t>-504.186310952997 172.04023999033 671.732029754934</t>
  </si>
  <si>
    <t>-351.101258203875 162.569843791039 757.864492966511</t>
  </si>
  <si>
    <t>-509.060441241827 49.3031314726461 -226.934419969276</t>
  </si>
  <si>
    <t>-428.821354857318 4.0161248360193 219.348512267211</t>
  </si>
  <si>
    <t>-583.874250679175 -119.520286723196 644.995893941423</t>
  </si>
  <si>
    <t>-430.301989828155 -143.483318384115 727.365940760842</t>
  </si>
  <si>
    <t>9763-20170724T164254.187382100.bin</t>
  </si>
  <si>
    <t>-489.234559157699 145.036747401519 -238.309899337389</t>
  </si>
  <si>
    <t>-527.109735587823 138.917585437258 -353.183034618157</t>
  </si>
  <si>
    <t>-542.300800505319 128.360713261339 -472.967515145174</t>
  </si>
  <si>
    <t>-546.549840088198 117.012618015254 -581.816196801814</t>
  </si>
  <si>
    <t>-541.393097620096 103.904283245693 -690.427633104645</t>
  </si>
  <si>
    <t>-524.451983834583 83.8729015010908 -840.466784934685</t>
  </si>
  <si>
    <t>-483.369466249826 70.8051036630017 -932.794585821782</t>
  </si>
  <si>
    <t>-524.177684798607 123.397689721316 -777.295293186866</t>
  </si>
  <si>
    <t>-493.61942018003 266.634613196615 -764.354542796296</t>
  </si>
  <si>
    <t>-430.338555813663 301.224320879473 -456.157673689426</t>
  </si>
  <si>
    <t>-226.664508829419 231.687550651986 -310.131746678741</t>
  </si>
  <si>
    <t>-539.718056695895 62.0746237126408 -770.86283008943</t>
  </si>
  <si>
    <t>-325.852532493198 11.7715831317651 -445.531851149961</t>
  </si>
  <si>
    <t>-469.204539258625 240.854689272699 -249.747841354275</t>
  </si>
  <si>
    <t>-479.279166516684 221.552588150114 205.426441726196</t>
  </si>
  <si>
    <t>-504.029083217549 171.316460541243 671.932172957939</t>
  </si>
  <si>
    <t>-350.833226872835 162.871774800041 757.974223530403</t>
  </si>
  <si>
    <t>-509.026699288546 49.3028525298502 -226.365678171274</t>
  </si>
  <si>
    <t>-428.561462360871 4.15333017955625 219.890417412243</t>
  </si>
  <si>
    <t>-583.937274078616 -118.988684898036 645.530718527137</t>
  </si>
  <si>
    <t>-430.57204596573 -144.113939109898 727.940316160484</t>
  </si>
  <si>
    <t>9763-20170724T164254.222106400.bin</t>
  </si>
  <si>
    <t>-489.09861825799 144.865045937228 -238.20080024767</t>
  </si>
  <si>
    <t>-527.097158058637 138.751167653566 -353.03340499804</t>
  </si>
  <si>
    <t>-542.450845218436 128.078192003613 -472.787131788004</t>
  </si>
  <si>
    <t>-546.863191785874 116.56814067382 -581.612224736452</t>
  </si>
  <si>
    <t>-541.886515358094 103.236996072286 -690.204843298803</t>
  </si>
  <si>
    <t>-525.213187821764 82.8285972848338 -840.223234935008</t>
  </si>
  <si>
    <t>-484.304671236175 69.3966375317042 -932.576019039207</t>
  </si>
  <si>
    <t>-524.688518231192 122.478894354733 -777.131977151798</t>
  </si>
  <si>
    <t>-493.478890961829 265.644461850391 -764.551786470412</t>
  </si>
  <si>
    <t>-429.804630175569 301.282552371457 -456.555658258294</t>
  </si>
  <si>
    <t>-223.241898258023 235.716934517665 -312.767428097102</t>
  </si>
  <si>
    <t>-540.492765053249 61.2384023281091 -770.557421424093</t>
  </si>
  <si>
    <t>-326.436791621573 9.92653803747594 -445.68302126173</t>
  </si>
  <si>
    <t>-468.932844379722 240.647062541488 -249.695818724744</t>
  </si>
  <si>
    <t>-479.002255708807 221.391711676891 205.48056189376</t>
  </si>
  <si>
    <t>-504.010968267918 171.262386668255 671.99375971064</t>
  </si>
  <si>
    <t>-350.822347289413 162.6417274635 758.031260327007</t>
  </si>
  <si>
    <t>-509.107297541882 49.1033401017532 -226.151566262013</t>
  </si>
  <si>
    <t>-428.40973738632 4.06816734396278 220.074193042039</t>
  </si>
  <si>
    <t>-583.911561215462 -119.145200138185 645.72462536233</t>
  </si>
  <si>
    <t>-430.478205729885 -143.830305780293 728.140432627246</t>
  </si>
  <si>
    <t>9763-20170724T164254.289309200.bin</t>
  </si>
  <si>
    <t>-489.146968947395 144.587143787941 -238.100324137534</t>
  </si>
  <si>
    <t>-527.143007541449 138.528224324774 -352.936679394333</t>
  </si>
  <si>
    <t>-542.738656678428 127.626133178841 -472.638359877999</t>
  </si>
  <si>
    <t>-547.473858686955 115.77985454613 -581.4137846607</t>
  </si>
  <si>
    <t>-542.925183816269 101.975902342493 -689.966221221464</t>
  </si>
  <si>
    <t>-526.956066497185 80.7612495882425 -839.949242793969</t>
  </si>
  <si>
    <t>-486.320692162495 66.6034983350346 -932.314351154796</t>
  </si>
  <si>
    <t>-525.896721221392 120.69136174962 -777.041479046536</t>
  </si>
  <si>
    <t>-493.669789038606 263.635103982936 -764.997005911814</t>
  </si>
  <si>
    <t>-427.393299661163 301.46410661297 -457.812033598302</t>
  </si>
  <si>
    <t>-215.287986132467 243.537811187022 -318.89510272903</t>
  </si>
  <si>
    <t>-542.147082355863 59.6047963947297 -770.131190416378</t>
  </si>
  <si>
    <t>-327.577314654963 5.7956366889193 -446.110466534354</t>
  </si>
  <si>
    <t>-468.675046952072 240.24880056212 -249.640855917722</t>
  </si>
  <si>
    <t>-478.560499836003 221.076168883988 205.542960929617</t>
  </si>
  <si>
    <t>-503.922936655017 171.006837922221 672.069780328892</t>
  </si>
  <si>
    <t>-350.698875621638 162.890048412985 758.093161650565</t>
  </si>
  <si>
    <t>-509.400356474866 49.091335846667 -226.01457550672</t>
  </si>
  <si>
    <t>-428.685464316143 3.7987186081434 220.181919150443</t>
  </si>
  <si>
    <t>-584.002128431137 -118.699971550766 646.130763851257</t>
  </si>
  <si>
    <t>-430.658054372679 -143.922322231499 728.550156598992</t>
  </si>
  <si>
    <t>9763-20170724T164254.322189400.bin</t>
  </si>
  <si>
    <t>-489.306436127635 144.63937165134 -238.063099134058</t>
  </si>
  <si>
    <t>-527.367060106889 138.664093150561 -352.882561749642</t>
  </si>
  <si>
    <t>-543.066868996419 127.731125766539 -472.56775294158</t>
  </si>
  <si>
    <t>-547.913380429378 115.804411315656 -581.32938290602</t>
  </si>
  <si>
    <t>-543.493461406759 101.864385315471 -689.869722216216</t>
  </si>
  <si>
    <t>-527.722038123469 80.3998126433102 -839.838146417539</t>
  </si>
  <si>
    <t>-487.18215851849 65.9543635126914 -932.200714210138</t>
  </si>
  <si>
    <t>-526.481419890052 120.409969406616 -776.984610977595</t>
  </si>
  <si>
    <t>-493.664693252367 263.256929916124 -765.146176508792</t>
  </si>
  <si>
    <t>-426.434794574075 301.762013533392 -458.252575458805</t>
  </si>
  <si>
    <t>-214.696331581203 244.212271389251 -318.621168436206</t>
  </si>
  <si>
    <t>-542.919378212171 59.3844566828355 -769.97896578971</t>
  </si>
  <si>
    <t>-327.57325119005 4.21399654441478 -446.088369472061</t>
  </si>
  <si>
    <t>-468.741528853397 240.238468232172 -249.597716495584</t>
  </si>
  <si>
    <t>-478.413038402703 221.06331516593 205.590659947622</t>
  </si>
  <si>
    <t>-503.897401914722 170.95035882134 672.104240859737</t>
  </si>
  <si>
    <t>-350.71394188517 162.445323113991 758.162414789277</t>
  </si>
  <si>
    <t>-509.714923635329 49.2249543036859 -225.943983465534</t>
  </si>
  <si>
    <t>-428.970410072508 3.76347119327573 220.230062672598</t>
  </si>
  <si>
    <t>-584.106415948957 -118.46517117293 646.370044799874</t>
  </si>
  <si>
    <t>-430.958752100334 -144.902350878231 728.773785908741</t>
  </si>
  <si>
    <t>9763-20170724T164254.393379200.bin</t>
  </si>
  <si>
    <t>-489.774812240175 144.21073604876 -237.91469871805</t>
  </si>
  <si>
    <t>-528.070894894439 138.343441677494 -352.661370317367</t>
  </si>
  <si>
    <t>-544.041820047244 127.277889168016 -472.298540984788</t>
  </si>
  <si>
    <t>-549.146990436589 115.129251848698 -581.02384470998</t>
  </si>
  <si>
    <t>-544.998983714363 100.863497697791 -689.532435792153</t>
  </si>
  <si>
    <t>-529.619656918553 78.8364838171083 -839.460110993416</t>
  </si>
  <si>
    <t>-489.293178731901 63.7969699604505 -931.821246015753</t>
  </si>
  <si>
    <t>-528.073826010616 119.046161990926 -776.740749103883</t>
  </si>
  <si>
    <t>-494.571651643882 261.709958781821 -765.286260844236</t>
  </si>
  <si>
    <t>-425.215571930103 303.624899253309 -459.314072563068</t>
  </si>
  <si>
    <t>-212.33804625633 247.920802272138 -320.669709161261</t>
  </si>
  <si>
    <t>-544.775232642873 58.1193773391272 -769.502762129742</t>
  </si>
  <si>
    <t>-328.228786914139 0.995635542516808 -445.694272261543</t>
  </si>
  <si>
    <t>-469.042460965977 239.890261027183 -249.486576081852</t>
  </si>
  <si>
    <t>-478.251458833945 220.845598735924 205.71684748546</t>
  </si>
  <si>
    <t>-503.96197258016 171.108843987864 672.224923850052</t>
  </si>
  <si>
    <t>-350.775540335164 162.457916962891 758.263264668504</t>
  </si>
  <si>
    <t>-510.328744522982 48.6236508449636 -225.685058555144</t>
  </si>
  <si>
    <t>-429.23113256529 3.14099057044906 220.422795815509</t>
  </si>
  <si>
    <t>-584.224958046482 -118.924967223038 646.742883116245</t>
  </si>
  <si>
    <t>-430.79351257542 -144.15420123463 728.997252711498</t>
  </si>
  <si>
    <t>9763-20170724T164254.428477300.bin</t>
  </si>
  <si>
    <t>-490.056413587466 144.243377012832 -237.840716421013</t>
  </si>
  <si>
    <t>-528.424197534987 138.40719752783 -352.565054657171</t>
  </si>
  <si>
    <t>-544.447334649808 127.308136856733 -472.192129850393</t>
  </si>
  <si>
    <t>-549.591624186846 115.100216848448 -580.908999101081</t>
  </si>
  <si>
    <t>-545.475101268437 100.745288162508 -689.407104425617</t>
  </si>
  <si>
    <t>-530.131861306228 78.562054587574 -839.315409800511</t>
  </si>
  <si>
    <t>-489.83770561153 63.3150225596175 -931.656542947551</t>
  </si>
  <si>
    <t>-528.504034489049 118.819774901484 -776.628920619402</t>
  </si>
  <si>
    <t>-494.48871131724 261.424148006663 -765.10648520672</t>
  </si>
  <si>
    <t>-424.191196199551 305.441044348407 -459.644552092901</t>
  </si>
  <si>
    <t>-209.312295477801 251.933562265026 -323.240534489662</t>
  </si>
  <si>
    <t>-545.337504295379 57.9351447995526 -769.342263268559</t>
  </si>
  <si>
    <t>-469.319713167584 240.094812704646 -249.45304700697</t>
  </si>
  <si>
    <t>-478.37510984577 221.151005185114 205.75769773032</t>
  </si>
  <si>
    <t>-504.131186213781 171.784263645333 672.253132991578</t>
  </si>
  <si>
    <t>-351.083823165029 161.302979113036 758.335369236618</t>
  </si>
  <si>
    <t>-510.608927981569 48.5862540561212 -225.589561588268</t>
  </si>
  <si>
    <t>-429.285271202506 3.00907269229184 220.467433565013</t>
  </si>
  <si>
    <t>-584.257853322979 -118.932111186096 646.828130142178</t>
  </si>
  <si>
    <t>-430.791297302458 -143.994128502143 729.068000445336</t>
  </si>
  <si>
    <t>9763-20170724T164254.491153200.bin</t>
  </si>
  <si>
    <t>-490.579282121445 143.521995520839 -237.780277171964</t>
  </si>
  <si>
    <t>-529.066768164679 137.739186648486 -352.46703616548</t>
  </si>
  <si>
    <t>-545.172425505964 126.567903683714 -472.076391407948</t>
  </si>
  <si>
    <t>-550.376197526797 114.239078947586 -580.776745613158</t>
  </si>
  <si>
    <t>-546.304580371873 99.7055244709711 -689.252793256432</t>
  </si>
  <si>
    <t>-531.009968570848 77.2120449253885 -839.119814190646</t>
  </si>
  <si>
    <t>-490.705022833241 61.6231065801126 -931.399095789963</t>
  </si>
  <si>
    <t>-529.25861018864 117.572465639397 -776.502827586448</t>
  </si>
  <si>
    <t>-494.404316823819 259.862718192241 -764.463587128544</t>
  </si>
  <si>
    <t>-420.203091660755 309.526234753753 -460.796205935807</t>
  </si>
  <si>
    <t>-200.067600817186 260.523554428934 -331.25417569166</t>
  </si>
  <si>
    <t>-546.296164957151 56.7569679370337 -769.113837016563</t>
  </si>
  <si>
    <t>-469.687102648418 239.091586684641 -249.433801359155</t>
  </si>
  <si>
    <t>-478.344273899987 220.341250336031 205.792821514063</t>
  </si>
  <si>
    <t>-503.877967117644 170.828909694742 672.314814931563</t>
  </si>
  <si>
    <t>-350.704138606756 161.987857693157 758.356234900271</t>
  </si>
  <si>
    <t>-511.274627303528 48.0299049824749 -225.480998355546</t>
  </si>
  <si>
    <t>-429.498547054268 2.52693136826046 220.500890190233</t>
  </si>
  <si>
    <t>-584.35025127154 -118.81972791296 646.994277610756</t>
  </si>
  <si>
    <t>-430.893441632796 -143.98172711856 729.222076608006</t>
  </si>
  <si>
    <t>9763-20170724T164254.523358100.bin</t>
  </si>
  <si>
    <t>-490.929903626057 143.192759485995 -237.751985343767</t>
  </si>
  <si>
    <t>-529.475336515477 137.432209586218 -352.420463012131</t>
  </si>
  <si>
    <t>-545.542315901043 126.294986846608 -472.038110301414</t>
  </si>
  <si>
    <t>-550.670573402632 114.002599922528 -580.746146857864</t>
  </si>
  <si>
    <t>-546.482731533643 99.5119538534618 -689.223515553662</t>
  </si>
  <si>
    <t>-530.984671042672 77.0858053837628 -839.079740204005</t>
  </si>
  <si>
    <t>-490.596892643188 61.4826634531899 -931.320516571568</t>
  </si>
  <si>
    <t>-529.308660748247 117.415515879102 -776.440921691688</t>
  </si>
  <si>
    <t>-494.161416090748 259.648840195856 -763.882460965249</t>
  </si>
  <si>
    <t>-415.962505324888 314.845031402338 -462.179843399393</t>
  </si>
  <si>
    <t>-194.892288641527 264.83753761527 -334.628823107849</t>
  </si>
  <si>
    <t>-546.375505118705 56.6018142317932 -769.105077769594</t>
  </si>
  <si>
    <t>-469.999832235173 238.882392135504 -249.447334752338</t>
  </si>
  <si>
    <t>-478.445581016177 220.24020924778 205.78758740503</t>
  </si>
  <si>
    <t>-503.93163357622 171.126480389374 672.321155204777</t>
  </si>
  <si>
    <t>-350.830702428752 161.519945489711 758.410097554257</t>
  </si>
  <si>
    <t>-511.652725363752 47.5667793506019 -225.443590641606</t>
  </si>
  <si>
    <t>-429.601765842007 2.29514811364188 220.51131597208</t>
  </si>
  <si>
    <t>-584.397541414778 -119.052592758623 647.094487743601</t>
  </si>
  <si>
    <t>-430.899477831895 -144.096060992189 729.281366002504</t>
  </si>
  <si>
    <t>9763-20170724T164254.587544300.bin</t>
  </si>
  <si>
    <t>-491.73570789094 142.354900478073 -237.722007185609</t>
  </si>
  <si>
    <t>-530.451119497004 136.551766339503 -352.331028993357</t>
  </si>
  <si>
    <t>-546.515585191404 125.280808320452 -471.936457938279</t>
  </si>
  <si>
    <t>-551.567266605985 112.838928373176 -580.631180501457</t>
  </si>
  <si>
    <t>-547.227990666815 98.1757723685079 -689.079328403473</t>
  </si>
  <si>
    <t>-531.442264948787 75.4911801301805 -838.866597817703</t>
  </si>
  <si>
    <t>-490.798636896773 59.7860775995335 -930.977593130835</t>
  </si>
  <si>
    <t>-529.913091907128 115.935924367821 -776.298276645998</t>
  </si>
  <si>
    <t>-494.767051324373 258.224337061081 -764.229843310754</t>
  </si>
  <si>
    <t>-407.099959360005 325.92466551933 -467.721166990436</t>
  </si>
  <si>
    <t>-185.811578144479 273.256095208137 -341.627975711885</t>
  </si>
  <si>
    <t>-546.940813015659 55.1209129075362 -768.882639522681</t>
  </si>
  <si>
    <t>-470.755001844644 237.843233301898 -249.523380587221</t>
  </si>
  <si>
    <t>-478.710015315737 219.626859885945 205.737636642373</t>
  </si>
  <si>
    <t>-503.844483277361 170.903730891419 672.360645018366</t>
  </si>
  <si>
    <t>-350.71285050474 161.702525308336 758.439390862738</t>
  </si>
  <si>
    <t>-512.524343959068 46.9571049161916 -225.280590173661</t>
  </si>
  <si>
    <t>-429.826993733585 2.09029888277598 220.595784973597</t>
  </si>
  <si>
    <t>-584.646644920353 -118.521667719625 647.316006495087</t>
  </si>
  <si>
    <t>-431.185010042056 -144.19116624068 729.377672117614</t>
  </si>
  <si>
    <t>9763-20170724T164254.620636000.bin</t>
  </si>
  <si>
    <t>-492.175478655378 141.669832739467 -237.744287106085</t>
  </si>
  <si>
    <t>-531.015297686741 135.879547193168 -352.312010219064</t>
  </si>
  <si>
    <t>-547.119273305692 124.535532300331 -471.905233704081</t>
  </si>
  <si>
    <t>-552.17072405322 111.992826161491 -580.588339350652</t>
  </si>
  <si>
    <t>-547.795501766628 97.1944469606383 -689.016725942562</t>
  </si>
  <si>
    <t>-531.923240604001 74.2868181195569 -838.760887978265</t>
  </si>
  <si>
    <t>-491.183849212575 58.4851886993936 -930.813004297622</t>
  </si>
  <si>
    <t>-530.405204828198 114.818127958411 -776.248294972434</t>
  </si>
  <si>
    <t>-495.068456981796 257.044164147505 -764.393810274188</t>
  </si>
  <si>
    <t>-402.845030866755 333.191191093469 -471.336353455816</t>
  </si>
  <si>
    <t>-182.006768946354 277.888269406445 -345.582327121192</t>
  </si>
  <si>
    <t>-547.4871746765 54.0273627633291 -768.759145103587</t>
  </si>
  <si>
    <t>-471.192016520088 237.123125276323 -249.567016191339</t>
  </si>
  <si>
    <t>-478.872545984359 219.152639152421 205.708463800624</t>
  </si>
  <si>
    <t>-503.783450173054 170.680706738719 672.385888400038</t>
  </si>
  <si>
    <t>-350.644207149569 161.518574521888 758.455318045454</t>
  </si>
  <si>
    <t>-512.993818690058 46.2757994006452 -225.263436943025</t>
  </si>
  <si>
    <t>-429.953475662845 1.55883660505678 220.564245178165</t>
  </si>
  <si>
    <t>-584.696342269055 -118.775454012303 647.386388371757</t>
  </si>
  <si>
    <t>-431.110466398667 -143.89647103844 729.385249669658</t>
  </si>
  <si>
    <t>9763-20170724T164254.690326800.bin</t>
  </si>
  <si>
    <t>-493.213238715971 140.535042238592 -237.874468319561</t>
  </si>
  <si>
    <t>-532.169726316991 134.849818171704 -352.407812794292</t>
  </si>
  <si>
    <t>-548.210719397376 123.391420749376 -471.998489816881</t>
  </si>
  <si>
    <t>-553.129876710547 110.661002592946 -580.665874289972</t>
  </si>
  <si>
    <t>-548.54760511189 95.5946212058583 -689.048890876486</t>
  </si>
  <si>
    <t>-532.311907683125 72.2349686423716 -838.684143430983</t>
  </si>
  <si>
    <t>-491.341272041018 56.2400155200958 -930.600211837179</t>
  </si>
  <si>
    <t>-530.941040004056 112.953689864797 -776.289987581226</t>
  </si>
  <si>
    <t>-495.544695352946 255.244695504341 -765.260595322196</t>
  </si>
  <si>
    <t>-392.150205102214 348.36132983798 -480.963086163378</t>
  </si>
  <si>
    <t>-172.571221345523 287.726437472887 -355.462037693416</t>
  </si>
  <si>
    <t>-548.050312011799 52.188089721009 -768.66023407122</t>
  </si>
  <si>
    <t>-472.119980019979 236.018508063698 -249.712400326127</t>
  </si>
  <si>
    <t>-479.051920194358 218.436412848449 205.590241737522</t>
  </si>
  <si>
    <t>-503.77115961011 170.960800267709 672.337339277284</t>
  </si>
  <si>
    <t>-350.757539947256 160.971767151612 758.537999595766</t>
  </si>
  <si>
    <t>-514.112885258934 45.1841357849265 -225.437892224916</t>
  </si>
  <si>
    <t>-430.56000826577 0.728385456201892 220.320235797271</t>
  </si>
  <si>
    <t>-584.871838426641 -118.678425139847 647.535455896896</t>
  </si>
  <si>
    <t>-431.328167546299 -144.263553852989 729.469800349089</t>
  </si>
  <si>
    <t>9763-20170724T164254.720913900.bin</t>
  </si>
  <si>
    <t>-493.687386957692 139.872607997367 -237.977044557177</t>
  </si>
  <si>
    <t>-532.782933982128 134.26066577014 -352.46657150587</t>
  </si>
  <si>
    <t>-548.852436300386 122.800009273055 -472.053264848216</t>
  </si>
  <si>
    <t>-553.749325904475 110.040527622712 -580.71827428307</t>
  </si>
  <si>
    <t>-549.096484935315 94.9207826526159 -689.090724624248</t>
  </si>
  <si>
    <t>-532.712755837284 71.4641986584797 -838.694817099912</t>
  </si>
  <si>
    <t>-491.639595521994 55.4040446008933 -930.553618411536</t>
  </si>
  <si>
    <t>-531.413172001959 112.225819412071 -776.327197173574</t>
  </si>
  <si>
    <t>-495.990920773796 254.539613636403 -765.715782045001</t>
  </si>
  <si>
    <t>-386.564310539939 355.891951689982 -486.538963670327</t>
  </si>
  <si>
    <t>-168.377492413779 292.434770961724 -360.00926629556</t>
  </si>
  <si>
    <t>-548.510857163868 51.4601663878786 -768.672067021215</t>
  </si>
  <si>
    <t>-472.526191959069 235.310154557495 -249.801384425162</t>
  </si>
  <si>
    <t>-479.078206969915 217.930102520718 205.514633621535</t>
  </si>
  <si>
    <t>-503.650215938482 170.768010515225 672.290352248564</t>
  </si>
  <si>
    <t>-350.661705234254 161.185707387478 758.58170258547</t>
  </si>
  <si>
    <t>-514.697388679586 44.5281702777559 -225.506774820623</t>
  </si>
  <si>
    <t>-430.969286620602 0.250035197689854 220.236068267654</t>
  </si>
  <si>
    <t>-585.013233987924 -118.739222238713 647.682862584321</t>
  </si>
  <si>
    <t>-431.385826830655 -144.151280567785 729.514231661527</t>
  </si>
  <si>
    <t>9763-20170724T164254.791102000.bin</t>
  </si>
  <si>
    <t>-494.71543041949 138.793744196765 -238.325252328728</t>
  </si>
  <si>
    <t>-533.973163481012 133.322835543283 -352.766065105007</t>
  </si>
  <si>
    <t>-550.08749159223 121.786331722808 -472.339443848688</t>
  </si>
  <si>
    <t>-554.973494605361 108.877514501635 -580.987259425165</t>
  </si>
  <si>
    <t>-550.257901248942 93.5331519589264 -689.325385065443</t>
  </si>
  <si>
    <t>-533.733314718643 69.6913326369966 -838.853030302075</t>
  </si>
  <si>
    <t>-492.464604230234 53.4853789416524 -930.598544504977</t>
  </si>
  <si>
    <t>-532.487314840221 110.612158695949 -776.58871275296</t>
  </si>
  <si>
    <t>-497.042661667315 253.003245588166 -767.063225443539</t>
  </si>
  <si>
    <t>-374.721621412974 366.79257604773 -498.221664773563</t>
  </si>
  <si>
    <t>-159.017348713525 298.54189446585 -369.942487336449</t>
  </si>
  <si>
    <t>-549.602555954293 49.8690799766778 -768.794722444151</t>
  </si>
  <si>
    <t>-473.216885350889 234.117771676922 -250.247984310847</t>
  </si>
  <si>
    <t>-478.996504247687 217.090529742245 205.091872562207</t>
  </si>
  <si>
    <t>-503.101765413811 170.565837728032 671.768888430347</t>
  </si>
  <si>
    <t>-350.544138458189 160.662685083865 758.783930049314</t>
  </si>
  <si>
    <t>-516.028163815761 43.5972621127803 -225.783199215821</t>
  </si>
  <si>
    <t>-431.838663955467 -0.624485456590172 219.878366381241</t>
  </si>
  <si>
    <t>-585.35677408631 -118.632568646465 647.857940728847</t>
  </si>
  <si>
    <t>-431.675143995706 -144.477655043939 729.451523986266</t>
  </si>
  <si>
    <t>9763-20170724T164254.822868500.bin</t>
  </si>
  <si>
    <t>-495.209608163038 138.438051251216 -238.633161300901</t>
  </si>
  <si>
    <t>-534.574543627281 133.058635496529 -353.041488779243</t>
  </si>
  <si>
    <t>-550.732049831568 121.497501259773 -472.606770613753</t>
  </si>
  <si>
    <t>-555.629219627699 108.521693141681 -581.245962816994</t>
  </si>
  <si>
    <t>-550.896365794415 93.067775256796 -689.567966260246</t>
  </si>
  <si>
    <t>-534.318855057052 69.0314247448922 -839.058501139843</t>
  </si>
  <si>
    <t>-492.984446690145 52.7723359255661 -930.765060604879</t>
  </si>
  <si>
    <t>-533.076701073996 110.028433058016 -776.84417054028</t>
  </si>
  <si>
    <t>-497.507426021803 252.423472287504 -767.795608855073</t>
  </si>
  <si>
    <t>-369.472455440142 371.048054402109 -503.747364265129</t>
  </si>
  <si>
    <t>-154.957916011915 300.810475468699 -374.548744344405</t>
  </si>
  <si>
    <t>-550.231076866497 49.3051003853556 -768.982950444069</t>
  </si>
  <si>
    <t>-473.544530796057 233.887878179728 -250.597222474017</t>
  </si>
  <si>
    <t>-479.032144021325 217.009788758196 204.751821003733</t>
  </si>
  <si>
    <t>-502.865535678099 170.960483175359 671.479788184368</t>
  </si>
  <si>
    <t>-350.677765100842 159.533413357325 758.954427699844</t>
  </si>
  <si>
    <t>-516.710455987628 43.1243205314554 -226.054365216761</t>
  </si>
  <si>
    <t>-432.257092151244 -0.967560670748007 219.570190490967</t>
  </si>
  <si>
    <t>-585.529517262487 -118.608855563604 647.847926725638</t>
  </si>
  <si>
    <t>-431.713083060224 -144.15532727653 729.281246731871</t>
  </si>
  <si>
    <t>9763-20170724T164254.888043400.bin</t>
  </si>
  <si>
    <t>-496.167550267724 137.440824773943 -239.196024218723</t>
  </si>
  <si>
    <t>-535.668033511781 132.225386270649 -353.565253484238</t>
  </si>
  <si>
    <t>-551.841695343199 120.533052081597 -473.115527254202</t>
  </si>
  <si>
    <t>-556.702232701061 107.324313503061 -581.728442711778</t>
  </si>
  <si>
    <t>-551.881669571257 91.5280883609872 -689.99701508331</t>
  </si>
  <si>
    <t>-535.130470175387 66.9069925734964 -839.373046544673</t>
  </si>
  <si>
    <t>-493.689380477793 50.4920361737261 -931.003654148612</t>
  </si>
  <si>
    <t>-533.906897519826 108.133046508369 -777.309909023639</t>
  </si>
  <si>
    <t>-498.037070326441 250.504790881237 -769.129358975524</t>
  </si>
  <si>
    <t>-360.967542831974 375.339817549109 -512.586171783781</t>
  </si>
  <si>
    <t>-148.743477968261 302.524773383239 -381.053154125909</t>
  </si>
  <si>
    <t>-551.177796968972 47.4690917078781 -769.247644644805</t>
  </si>
  <si>
    <t>-474.217166758731 232.860578333578 -251.191801871519</t>
  </si>
  <si>
    <t>-479.207899873034 216.206972460226 204.171114683297</t>
  </si>
  <si>
    <t>-502.272935012131 170.707375628007 670.891619620769</t>
  </si>
  <si>
    <t>-350.506576158742 159.8269819006 759.164543391688</t>
  </si>
  <si>
    <t>-517.94049018926 41.9679946172381 -226.621491771583</t>
  </si>
  <si>
    <t>-433.05451075465 -1.80834251797827 218.951959209857</t>
  </si>
  <si>
    <t>-585.837330969557 -118.728966549106 647.72419141507</t>
  </si>
  <si>
    <t>-431.789451250751 -143.91488537948 728.83177118924</t>
  </si>
  <si>
    <t>9763-20170724T164254.924939900.bin</t>
  </si>
  <si>
    <t>-496.505759908466 136.80012901353 -239.656068362884</t>
  </si>
  <si>
    <t>-536.162081098084 131.696480652858 -353.976396830266</t>
  </si>
  <si>
    <t>-552.374753552706 119.95517158887 -473.516536655777</t>
  </si>
  <si>
    <t>-557.221046772262 106.636223232196 -582.116629614207</t>
  </si>
  <si>
    <t>-552.337271736878 90.6643020740669 -690.356608327549</t>
  </si>
  <si>
    <t>-535.448891126849 65.7317704529386 -839.66556311518</t>
  </si>
  <si>
    <t>-493.931195594326 49.2194778934321 -931.24405560928</t>
  </si>
  <si>
    <t>-534.215754428551 107.069536740903 -777.676962908466</t>
  </si>
  <si>
    <t>-498.047034962392 249.385902477233 -769.827452336259</t>
  </si>
  <si>
    <t>-358.310385346806 376.228909626937 -515.719820588259</t>
  </si>
  <si>
    <t>-147.351290373016 301.973716693646 -382.962607079574</t>
  </si>
  <si>
    <t>-551.627204264433 46.4577575359488 -769.525045536272</t>
  </si>
  <si>
    <t>-474.342113672231 232.298522504212 -251.718887225146</t>
  </si>
  <si>
    <t>-478.894228587719 215.697052210559 203.650583507824</t>
  </si>
  <si>
    <t>-501.650764151629 170.483251019888 670.329346114688</t>
  </si>
  <si>
    <t>-350.317625687563 159.57474757848 759.339439053192</t>
  </si>
  <si>
    <t>-518.497272551086 41.2632847053844 -227.013566579046</t>
  </si>
  <si>
    <t>-433.305926718516 -2.30766257184909 218.521718790839</t>
  </si>
  <si>
    <t>-585.947655189038 -118.997048788797 647.53173962648</t>
  </si>
  <si>
    <t>-431.745791094079 -143.695805764665 728.496336969427</t>
  </si>
  <si>
    <t>9763-20170724T164254.986607600.bin</t>
  </si>
  <si>
    <t>-497.209075580004 136.525598782638 -240.536262327314</t>
  </si>
  <si>
    <t>-537.187441608413 131.621981750867 -354.753209115688</t>
  </si>
  <si>
    <t>-553.45124433315 119.72240350405 -474.270837623</t>
  </si>
  <si>
    <t>-558.230569370189 106.109478627748 -582.837381427977</t>
  </si>
  <si>
    <t>-553.169085515633 89.6923329290983 -691.002568829441</t>
  </si>
  <si>
    <t>-535.923094756734 63.9838222367326 -840.138787483682</t>
  </si>
  <si>
    <t>-494.212813224551 47.1851053237736 -931.577608457235</t>
  </si>
  <si>
    <t>-534.635236846524 105.588776142415 -778.330408720383</t>
  </si>
  <si>
    <t>-497.912870472993 247.793133519931 -771.054411294598</t>
  </si>
  <si>
    <t>-358.531236955611 374.645469890361 -516.756462021371</t>
  </si>
  <si>
    <t>-158.754101298941 297.957513757274 -368.938588856958</t>
  </si>
  <si>
    <t>-552.47262495254 45.1293159078334 -769.970859147894</t>
  </si>
  <si>
    <t>-474.562070723934 232.08906740648 -252.600209840714</t>
  </si>
  <si>
    <t>-478.463227558849 215.45419913893 202.774087795597</t>
  </si>
  <si>
    <t>-500.905030714299 170.336849923965 669.590804359261</t>
  </si>
  <si>
    <t>-350.27236612387 158.507951916101 759.665204872584</t>
  </si>
  <si>
    <t>-519.73153890175 41.1060594064487 -227.732370450962</t>
  </si>
  <si>
    <t>-433.53549906048 -2.49785444343897 217.606417718472</t>
  </si>
  <si>
    <t>-586.147822777462 -118.544798099897 646.891435155941</t>
  </si>
  <si>
    <t>-432.090623682687 -144.342071256362 727.788773736228</t>
  </si>
  <si>
    <t>9763-20170724T164255.022908500.bin</t>
  </si>
  <si>
    <t>-497.400419237647 136.534965348204 -240.934530053196</t>
  </si>
  <si>
    <t>-537.410723837805 131.683065657918 -355.142398685612</t>
  </si>
  <si>
    <t>-553.716509747351 119.700040174102 -474.646015485582</t>
  </si>
  <si>
    <t>-558.539282237086 105.952552414041 -583.193583137597</t>
  </si>
  <si>
    <t>-553.52760018968 89.3400321774076 -691.33124565767</t>
  </si>
  <si>
    <t>-536.35864501661 63.2950858461411 -840.418194477565</t>
  </si>
  <si>
    <t>-494.631382477463 46.2867063131396 -931.810337982669</t>
  </si>
  <si>
    <t>-534.904994451402 105.002622442274 -778.682624842234</t>
  </si>
  <si>
    <t>-497.65460932135 247.075435816834 -771.428342022575</t>
  </si>
  <si>
    <t>-361.776018561873 371.882688406992 -514.238921054521</t>
  </si>
  <si>
    <t>-168.864966417735 291.826062243598 -359.260658144702</t>
  </si>
  <si>
    <t>-553.005749213838 44.6357134827767 -770.221197206338</t>
  </si>
  <si>
    <t>-474.405815647342 232.06610976843 -253.058157071108</t>
  </si>
  <si>
    <t>-478.171734235145 215.423623396483 202.317038041977</t>
  </si>
  <si>
    <t>-500.509980030887 170.354395713107 669.139751425687</t>
  </si>
  <si>
    <t>-350.267580618045 157.685085669207 759.750000967307</t>
  </si>
  <si>
    <t>-520.190476880405 41.0551326932616 -228.100572343577</t>
  </si>
  <si>
    <t>-433.563873307632 -2.63197805513116 217.146517215432</t>
  </si>
  <si>
    <t>-586.205057522255 -118.431123518373 646.531248880807</t>
  </si>
  <si>
    <t>-432.128401879831 -144.125356527846 727.424422350847</t>
  </si>
  <si>
    <t>9763-20170724T164255.088588000.bin</t>
  </si>
  <si>
    <t>-497.468393119818 136.2613425152 -241.289880446834</t>
  </si>
  <si>
    <t>-537.705214211938 131.575963356613 -355.425172263248</t>
  </si>
  <si>
    <t>-554.194187218777 119.543799700889 -474.89858496644</t>
  </si>
  <si>
    <t>-559.162810587619 105.661853165497 -583.42262332822</t>
  </si>
  <si>
    <t>-554.276812074263 88.8257782188365 -691.531376429674</t>
  </si>
  <si>
    <t>-537.262384264545 62.377767132986 -840.565087640233</t>
  </si>
  <si>
    <t>-495.632107868088 44.9951821238617 -931.931144919303</t>
  </si>
  <si>
    <t>-535.506899396114 104.18533471562 -778.904941392803</t>
  </si>
  <si>
    <t>-497.68730479363 246.085404771689 -771.594977320549</t>
  </si>
  <si>
    <t>-371.854962135885 361.302880980729 -504.991719584098</t>
  </si>
  <si>
    <t>-188.642289592233 274.535845784769 -342.060270475348</t>
  </si>
  <si>
    <t>-554.074541071663 43.9750285385998 -770.339631083528</t>
  </si>
  <si>
    <t>-473.875580473904 231.711596843607 -253.421011727817</t>
  </si>
  <si>
    <t>-477.605701462593 214.988378943729 201.9514212001</t>
  </si>
  <si>
    <t>-500.302271464083 169.752499058085 669.025074766707</t>
  </si>
  <si>
    <t>-350.028424063816 158.023166179406 759.70973553567</t>
  </si>
  <si>
    <t>-520.907223168312 40.8889989294774 -228.33471106713</t>
  </si>
  <si>
    <t>-433.31619234148 -3.04220432468264 216.699655575275</t>
  </si>
  <si>
    <t>-586.326457813195 -118.650812603141 646.047975207905</t>
  </si>
  <si>
    <t>-432.124795133022 -143.856609420663 726.856511731478</t>
  </si>
  <si>
    <t>9763-20170724T164255.120774500.bin</t>
  </si>
  <si>
    <t>-497.495510523112 136.392820295854 -241.172954839684</t>
  </si>
  <si>
    <t>-537.856199791862 131.752222628902 -355.266219092047</t>
  </si>
  <si>
    <t>-554.458152291675 119.739410660146 -474.725893211762</t>
  </si>
  <si>
    <t>-559.522281672935 105.865721609104 -583.246551577855</t>
  </si>
  <si>
    <t>-554.72386569208 89.0302718432348 -691.359468278977</t>
  </si>
  <si>
    <t>-537.821900402583 62.5765677008403 -840.404872159782</t>
  </si>
  <si>
    <t>-496.286631462569 45.056360647059 -931.787830948817</t>
  </si>
  <si>
    <t>-535.912720315782 104.355715645576 -778.730097995036</t>
  </si>
  <si>
    <t>-498.004885568791 246.232840000089 -771.344461155212</t>
  </si>
  <si>
    <t>-377.033013811233 357.296190024489 -500.758213707371</t>
  </si>
  <si>
    <t>-200.260743193006 264.07872582725 -334.312504325399</t>
  </si>
  <si>
    <t>-554.688276752911 44.2072909637883 -770.183713886608</t>
  </si>
  <si>
    <t>-473.660432814009 231.812198642935 -253.312591889126</t>
  </si>
  <si>
    <t>-477.552594483833 215.134858666035 202.060167910503</t>
  </si>
  <si>
    <t>-500.594739092572 169.988486864614 669.215500687772</t>
  </si>
  <si>
    <t>-350.167974502698 157.796813298466 759.585010912499</t>
  </si>
  <si>
    <t>-521.232505289503 41.0807764213386 -228.153368648575</t>
  </si>
  <si>
    <t>-433.02772346921 -2.87330460283962 216.75741724573</t>
  </si>
  <si>
    <t>-586.392032649498 -118.426894997868 645.891569786533</t>
  </si>
  <si>
    <t>-432.261092844349 -144.086923660117 726.692074642354</t>
  </si>
  <si>
    <t>9763-20170724T164255.190460800.bin</t>
  </si>
  <si>
    <t>-497.356884229114 136.775886848308 -240.57575576626</t>
  </si>
  <si>
    <t>-537.796926285926 132.097899619763 -354.639432068161</t>
  </si>
  <si>
    <t>-554.396879340909 120.083915271494 -474.099391795382</t>
  </si>
  <si>
    <t>-559.42140787442 106.234831859564 -582.624966938989</t>
  </si>
  <si>
    <t>-554.54335806516 89.4572724583604 -690.743301286543</t>
  </si>
  <si>
    <t>-537.487137041216 63.1250569119947 -839.792540346781</t>
  </si>
  <si>
    <t>-496.010101135831 45.4992891369707 -931.181761482326</t>
  </si>
  <si>
    <t>-535.583872121723 104.837148233746 -778.07230381759</t>
  </si>
  <si>
    <t>-497.565586363868 246.694444508878 -770.588143276117</t>
  </si>
  <si>
    <t>-384.388472093994 354.995881175167 -495.546430946056</t>
  </si>
  <si>
    <t>-221.164785738498 247.100705622936 -324.202551804845</t>
  </si>
  <si>
    <t>-554.48406135743 44.7153403043584 -769.613606010816</t>
  </si>
  <si>
    <t>-473.251407687493 232.206928372929 -252.787438336026</t>
  </si>
  <si>
    <t>-477.463535876989 215.510588132792 202.581754170867</t>
  </si>
  <si>
    <t>-501.317858295228 170.22911030572 669.744702637875</t>
  </si>
  <si>
    <t>-350.394334760043 157.665417005358 759.230881917751</t>
  </si>
  <si>
    <t>-521.287359126893 41.5657055226685 -227.563930433522</t>
  </si>
  <si>
    <t>-432.192368558776 -2.42054534699597 217.166251872219</t>
  </si>
  <si>
    <t>-586.354762059883 -118.173623004628 645.716268709869</t>
  </si>
  <si>
    <t>-432.418512230157 -144.540616322735 726.660175529807</t>
  </si>
  <si>
    <t>9763-20170724T164255.226057500.bin</t>
  </si>
  <si>
    <t>-497.251264491191 136.82215138145 -240.261010979788</t>
  </si>
  <si>
    <t>-537.715757833221 132.143729849385 -354.316063787283</t>
  </si>
  <si>
    <t>-554.203222116412 120.172065819767 -473.795893384715</t>
  </si>
  <si>
    <t>-559.068263461718 106.382358537291 -582.336310502436</t>
  </si>
  <si>
    <t>-553.973062422807 89.6876718441654 -690.457291431714</t>
  </si>
  <si>
    <t>-536.556056233836 63.4972739397457 -839.489976931861</t>
  </si>
  <si>
    <t>-495.013158325701 45.9009616262167 -930.85484994221</t>
  </si>
  <si>
    <t>-534.840004637082 105.161543579617 -777.731974707327</t>
  </si>
  <si>
    <t>-496.521802000042 246.899261951963 -769.980345055762</t>
  </si>
  <si>
    <t>-387.985082385809 353.89660725792 -492.568114923213</t>
  </si>
  <si>
    <t>-228.941080485228 240.612555677122 -320.77215820108</t>
  </si>
  <si>
    <t>-553.684968026413 45.0098262696415 -769.363424358244</t>
  </si>
  <si>
    <t>-473.169219365224 232.286390036104 -252.535791781589</t>
  </si>
  <si>
    <t>-477.230192522481 215.453757961398 202.829857823136</t>
  </si>
  <si>
    <t>-501.386790045317 169.840872371439 669.86196264178</t>
  </si>
  <si>
    <t>-350.298812832542 157.8205867339 759.144925398449</t>
  </si>
  <si>
    <t>-521.13232779469 41.4918872156406 -227.317685074752</t>
  </si>
  <si>
    <t>-431.820433206794 -2.43173335632147 217.375165275508</t>
  </si>
  <si>
    <t>-586.285605879613 -118.346484567295 645.712650364692</t>
  </si>
  <si>
    <t>-432.316698415315 -144.230725982627 726.750245522668</t>
  </si>
  <si>
    <t>9763-20170724T164255.290918900.bin</t>
  </si>
  <si>
    <t>-497.009655629269 137.376369700096 -240.308518946251</t>
  </si>
  <si>
    <t>-537.584031227164 132.579363578376 -354.319572030476</t>
  </si>
  <si>
    <t>-553.948307939996 120.75383130303 -473.8308544691</t>
  </si>
  <si>
    <t>-558.604801008925 107.201083527031 -582.410123709306</t>
  </si>
  <si>
    <t>-553.204561930836 90.8450619973907 -690.568358161286</t>
  </si>
  <si>
    <t>-535.26513900198 65.2292437321575 -839.638823105801</t>
  </si>
  <si>
    <t>-493.602433133899 47.8384094626332 -930.988462443769</t>
  </si>
  <si>
    <t>-533.956091419671 106.709829895741 -777.747142562838</t>
  </si>
  <si>
    <t>-496.086195754345 248.476519265887 -768.947757864049</t>
  </si>
  <si>
    <t>-396.066011836051 350.993323558266 -486.684585863272</t>
  </si>
  <si>
    <t>-241.023467176987 229.513928504354 -316.841715703963</t>
  </si>
  <si>
    <t>-552.449365529014 46.417059059885 -769.61225101354</t>
  </si>
  <si>
    <t>-473.435165891013 233.124444449071 -252.661685816112</t>
  </si>
  <si>
    <t>-476.430356740526 215.932180790442 202.698716533846</t>
  </si>
  <si>
    <t>-500.975501057233 170.222775355351 669.313041833862</t>
  </si>
  <si>
    <t>-350.362955805709 157.688358840427 759.325626332913</t>
  </si>
  <si>
    <t>-520.319984688212 41.8582182103978 -227.372546300266</t>
  </si>
  <si>
    <t>-431.328452281019 -1.94160590986575 217.396775421941</t>
  </si>
  <si>
    <t>-586.204922120786 -118.373238768826 645.547631991051</t>
  </si>
  <si>
    <t>-432.385322593082 -144.489225786965 726.79409632785</t>
  </si>
  <si>
    <t>9763-20170724T164255.318596200.bin</t>
  </si>
  <si>
    <t>-496.842769558944 137.801537863235 -240.58509770167</t>
  </si>
  <si>
    <t>-537.382935723608 132.887036035182 -354.603274862327</t>
  </si>
  <si>
    <t>-553.679753027081 121.182382859282 -474.135748976054</t>
  </si>
  <si>
    <t>-558.262420644107 107.83135245928 -582.74317084253</t>
  </si>
  <si>
    <t>-552.776039318559 91.7656525924484 -690.940459645059</t>
  </si>
  <si>
    <t>-534.704253078016 66.6418432477669 -840.078632439327</t>
  </si>
  <si>
    <t>-492.985055661454 49.4565326176042 -931.44149425655</t>
  </si>
  <si>
    <t>-533.565768827594 107.950616674722 -778.068911699546</t>
  </si>
  <si>
    <t>-496.28359707601 249.885593899298 -768.528686657016</t>
  </si>
  <si>
    <t>-398.689988868474 348.714101317461 -484.10890622552</t>
  </si>
  <si>
    <t>-243.775872904369 223.91324134786 -316.572526893045</t>
  </si>
  <si>
    <t>-551.835150010469 47.5660858847539 -770.11029054013</t>
  </si>
  <si>
    <t>-473.52416301933 233.457043040583 -252.991086478209</t>
  </si>
  <si>
    <t>-476.064449351752 216.127205187726 202.366797725086</t>
  </si>
  <si>
    <t>-500.41998549011 169.946977129436 668.837953717618</t>
  </si>
  <si>
    <t>-350.172000915371 157.774170077616 759.507047391623</t>
  </si>
  <si>
    <t>-519.88226831474 42.4197935170257 -227.604554482884</t>
  </si>
  <si>
    <t>-431.239687715813 -1.4088716964569 217.231607536737</t>
  </si>
  <si>
    <t>-586.226277097379 -117.955457728955 645.323705478155</t>
  </si>
  <si>
    <t>-432.539176662008 -144.607602141783 726.646825582973</t>
  </si>
  <si>
    <t>9763-20170724T164255.390288500.bin</t>
  </si>
  <si>
    <t>-496.750726752454 138.426688986229 -241.16566964518</t>
  </si>
  <si>
    <t>-537.237409559902 133.223628145428 -355.190217404332</t>
  </si>
  <si>
    <t>-553.401684629512 121.669611894542 -474.755069940172</t>
  </si>
  <si>
    <t>-557.83173863718 108.632967332482 -583.407266457583</t>
  </si>
  <si>
    <t>-552.159609758946 93.0570411363929 -691.666498688322</t>
  </si>
  <si>
    <t>-533.794691575343 68.7940876345489 -840.911315404477</t>
  </si>
  <si>
    <t>-491.815844179314 52.1221337412421 -932.250330814826</t>
  </si>
  <si>
    <t>-533.011102743798 109.808883015143 -778.701311152462</t>
  </si>
  <si>
    <t>-496.847050498168 251.965362482533 -768.191515924145</t>
  </si>
  <si>
    <t>-403.731788106851 342.935136152585 -479.677571992196</t>
  </si>
  <si>
    <t>-245.889839382071 214.356875099996 -317.827209437647</t>
  </si>
  <si>
    <t>-550.830081861686 49.2504707390884 -771.049006463334</t>
  </si>
  <si>
    <t>-474.012725187011 234.098066051456 -253.636124202978</t>
  </si>
  <si>
    <t>-476.232228106762 216.608911881906 201.717372643407</t>
  </si>
  <si>
    <t>-499.853068669462 170.018437554734 668.36673488571</t>
  </si>
  <si>
    <t>-350.075555234497 157.503403051865 759.764671397458</t>
  </si>
  <si>
    <t>-519.372465378523 42.8001985855509 -228.097714818675</t>
  </si>
  <si>
    <t>-431.045767272613 -0.643129578435712 216.839105820007</t>
  </si>
  <si>
    <t>-586.243980972083 -118.082524565931 644.802047093789</t>
  </si>
  <si>
    <t>-432.412382227306 -144.050396861392 726.073311094582</t>
  </si>
  <si>
    <t>9763-20170724T164255.422416900.bin</t>
  </si>
  <si>
    <t>-496.87043788476 138.566686153695 -241.38030966443</t>
  </si>
  <si>
    <t>-537.431896034004 133.277973213254 -355.374129044254</t>
  </si>
  <si>
    <t>-553.604002292641 121.76878088171 -474.942367994034</t>
  </si>
  <si>
    <t>-558.010962730999 108.830865080669 -583.60718959409</t>
  </si>
  <si>
    <t>-552.284188727777 93.41446698447 -691.886398708213</t>
  </si>
  <si>
    <t>-533.809798089956 69.438903151149 -841.164171268814</t>
  </si>
  <si>
    <t>-491.699358845804 53.0551300933798 -932.494782244352</t>
  </si>
  <si>
    <t>-533.175797770418 110.362056521929 -778.892210042932</t>
  </si>
  <si>
    <t>-497.625747190395 252.643662534274 -768.068336285029</t>
  </si>
  <si>
    <t>-405.76726172328 340.363080512372 -478.148471293055</t>
  </si>
  <si>
    <t>-245.836079172605 210.780667391507 -319.175214189764</t>
  </si>
  <si>
    <t>-550.792538418942 49.7325862272783 -771.334673992508</t>
  </si>
  <si>
    <t>-474.31107020423 234.127794174163 -253.783305625784</t>
  </si>
  <si>
    <t>-476.573350201332 216.612520702097 201.569024696207</t>
  </si>
  <si>
    <t>-499.718486839589 169.632028518708 668.309488967164</t>
  </si>
  <si>
    <t>-349.903180957003 157.743785173842 759.729233354865</t>
  </si>
  <si>
    <t>-519.377261415328 43.0863945065864 -228.249257489823</t>
  </si>
  <si>
    <t>-430.997120891215 -0.452808289360476 216.667570905463</t>
  </si>
  <si>
    <t>-586.260296563156 -117.958874815525 644.530372454072</t>
  </si>
  <si>
    <t>-432.419349653358 -143.932284056287 725.782193807004</t>
  </si>
  <si>
    <t>9763-20170724T164255.488094600.bin</t>
  </si>
  <si>
    <t>-497.024980477223 138.498903330168 -241.64718499331</t>
  </si>
  <si>
    <t>-537.498993743078 133.142584950115 -355.668922827653</t>
  </si>
  <si>
    <t>-553.502252404349 121.720840663734 -475.268288769698</t>
  </si>
  <si>
    <t>-557.719129429519 108.946272107523 -583.959990116059</t>
  </si>
  <si>
    <t>-551.762562475355 93.7891699312572 -692.263455424716</t>
  </si>
  <si>
    <t>-532.925304606331 70.2845485584884 -841.5707801811</t>
  </si>
  <si>
    <t>-490.506540009926 54.610768317002 -932.883190640305</t>
  </si>
  <si>
    <t>-532.715408348291 111.083412604843 -779.214376799977</t>
  </si>
  <si>
    <t>-498.313329634629 253.594953375057 -767.944497131285</t>
  </si>
  <si>
    <t>-407.738932163214 335.861043592265 -476.028823878511</t>
  </si>
  <si>
    <t>-243.320002611581 205.637681645875 -322.241959399216</t>
  </si>
  <si>
    <t>-549.80498041033 50.2857485075134 -771.799445561629</t>
  </si>
  <si>
    <t>-474.628706711139 234.08061462224 -253.962634919265</t>
  </si>
  <si>
    <t>-476.84592112519 216.554899352956 201.389536327878</t>
  </si>
  <si>
    <t>-499.630919573139 169.578423659594 668.184189702058</t>
  </si>
  <si>
    <t>-349.822626622301 157.790921922336 759.628309488805</t>
  </si>
  <si>
    <t>-519.183505611781 42.9739208718722 -228.662650041284</t>
  </si>
  <si>
    <t>-431.18303365905 -0.665222354979676 216.319612412949</t>
  </si>
  <si>
    <t>-586.347672065864 -118.283949506774 644.253517823225</t>
  </si>
  <si>
    <t>-432.315637595085 -143.487134432469 725.385711009202</t>
  </si>
  <si>
    <t>9763-20170724T164255.522748400.bin</t>
  </si>
  <si>
    <t>-497.010694753064 138.477738320496 -241.814189131609</t>
  </si>
  <si>
    <t>-537.521127653907 133.174381665888 -355.825684068846</t>
  </si>
  <si>
    <t>-553.518560827495 121.864993947342 -475.436304758364</t>
  </si>
  <si>
    <t>-557.709078131416 109.227704783669 -584.145107493223</t>
  </si>
  <si>
    <t>-551.703478367791 94.2500599248115 -692.470794991759</t>
  </si>
  <si>
    <t>-532.772734129955 71.0449637502873 -841.813256877375</t>
  </si>
  <si>
    <t>-490.229886265882 55.7651129686075 -933.134610373115</t>
  </si>
  <si>
    <t>-532.748045888211 111.75650019574 -779.399377546175</t>
  </si>
  <si>
    <t>-499.073572643817 254.403595367964 -767.858010975671</t>
  </si>
  <si>
    <t>-407.582798019711 336.030121428859 -476.048670372791</t>
  </si>
  <si>
    <t>-241.496383058322 205.01199093091 -324.748813794444</t>
  </si>
  <si>
    <t>-549.549935986898 50.8684992938638 -772.068289988797</t>
  </si>
  <si>
    <t>-474.680612628496 234.032749958078 -254.020621114133</t>
  </si>
  <si>
    <t>-476.826298976742 216.512449862875 201.33215636948</t>
  </si>
  <si>
    <t>-499.605926291885 169.647772010572 668.13253714803</t>
  </si>
  <si>
    <t>-349.801291024155 157.924636040339 759.591036847545</t>
  </si>
  <si>
    <t>-519.147426785839 43.1218057370779 -228.85891770616</t>
  </si>
  <si>
    <t>-431.358396654746 -0.586603915279184 216.158265310732</t>
  </si>
  <si>
    <t>-586.456017793683 -117.861047718906 644.13564214481</t>
  </si>
  <si>
    <t>-432.610941696728 -144.137212494013 725.282143115207</t>
  </si>
  <si>
    <t>9763-20170724T164255.589428300.bin</t>
  </si>
  <si>
    <t>-496.814914655507 138.205477446403 -241.923124916338</t>
  </si>
  <si>
    <t>-537.118770176398 132.811759668546 -356.003410829822</t>
  </si>
  <si>
    <t>-552.876373334782 121.651052160196 -475.660007748587</t>
  </si>
  <si>
    <t>-556.835615877774 109.2605802676 -584.405765027593</t>
  </si>
  <si>
    <t>-550.583515665976 94.6497478837425 -692.767592100607</t>
  </si>
  <si>
    <t>-531.293116783663 72.0861591004429 -842.162229328657</t>
  </si>
  <si>
    <t>-488.453469304096 57.6391486662707 -933.480685390031</t>
  </si>
  <si>
    <t>-531.689574794527 112.597476049468 -779.619516347914</t>
  </si>
  <si>
    <t>-499.053096791788 255.482745373372 -767.636554407714</t>
  </si>
  <si>
    <t>-405.534100342926 337.283878294017 -476.519728836947</t>
  </si>
  <si>
    <t>-237.327470020189 207.155123376038 -326.803102886964</t>
  </si>
  <si>
    <t>-547.967484564327 51.5422267817425 -772.49997763199</t>
  </si>
  <si>
    <t>-474.811369859598 233.600671990547 -254.015400829901</t>
  </si>
  <si>
    <t>-476.9786151174 216.223156275163 201.342769340811</t>
  </si>
  <si>
    <t>-499.568045004469 169.170402375566 668.213274020697</t>
  </si>
  <si>
    <t>-349.659846887505 157.747392599726 759.539961478146</t>
  </si>
  <si>
    <t>-518.570744535571 42.9272433527669 -229.130593697105</t>
  </si>
  <si>
    <t>-431.537961833104 -0.797871010478872 216.03346526675</t>
  </si>
  <si>
    <t>-586.602296892627 -117.909395913995 644.004052347309</t>
  </si>
  <si>
    <t>-432.62585153914 -143.735359570672 725.045906301116</t>
  </si>
  <si>
    <t>9763-20170724T164255.623819000.bin</t>
  </si>
  <si>
    <t>-496.755661574114 138.069522246497 -241.97612483407</t>
  </si>
  <si>
    <t>-536.967434155361 132.629395120107 -356.086719246821</t>
  </si>
  <si>
    <t>-552.624031159079 121.531666304626 -475.762433853072</t>
  </si>
  <si>
    <t>-556.489382051788 109.242976447593 -584.523242431147</t>
  </si>
  <si>
    <t>-550.141486423389 94.7781417741019 -692.899067466848</t>
  </si>
  <si>
    <t>-530.716025230326 72.4633662612814 -842.313539593369</t>
  </si>
  <si>
    <t>-487.757651461275 58.3422224341934 -933.627116187222</t>
  </si>
  <si>
    <t>-531.253848291264 112.89131533464 -779.717911657894</t>
  </si>
  <si>
    <t>-498.959798481562 255.833032074841 -767.540357608543</t>
  </si>
  <si>
    <t>-404.166814284826 338.162430618407 -476.985186099353</t>
  </si>
  <si>
    <t>-235.402304795382 208.730606754251 -327.292116251769</t>
  </si>
  <si>
    <t>-547.368514257844 51.7825966217567 -772.68658805296</t>
  </si>
  <si>
    <t>-474.957678765937 233.571823214703 -254.034264765942</t>
  </si>
  <si>
    <t>-477.159011280159 216.314437112639 201.328272927064</t>
  </si>
  <si>
    <t>-499.621400819419 169.458165600244 668.173169658516</t>
  </si>
  <si>
    <t>-349.794471253086 157.229262636306 759.528855617941</t>
  </si>
  <si>
    <t>-518.343675919529 42.6830781420865 -229.254382041347</t>
  </si>
  <si>
    <t>-431.546008740194 -0.909223006807238 215.968593159717</t>
  </si>
  <si>
    <t>-586.619975507808 -117.959689102603 643.900424964169</t>
  </si>
  <si>
    <t>-432.575606353703 -143.477277779628 724.91094603958</t>
  </si>
  <si>
    <t>9763-20170724T164255.654900100.bin</t>
  </si>
  <si>
    <t>-496.547717103086 137.564605514204 -242.057935601954</t>
  </si>
  <si>
    <t>-536.732728480953 132.072205261988 -356.175519884694</t>
  </si>
  <si>
    <t>-552.329137301029 121.039359111867 -475.864940399283</t>
  </si>
  <si>
    <t>-556.127000130188 108.855368200316 -584.639826696715</t>
  </si>
  <si>
    <t>-549.698943717736 94.539676036221 -693.030890689999</t>
  </si>
  <si>
    <t>-530.149444116524 72.4768938558559 -842.466600681067</t>
  </si>
  <si>
    <t>-487.079454153168 58.6331262214751 -933.770077989135</t>
  </si>
  <si>
    <t>-530.806282287744 112.815539329843 -779.814539689633</t>
  </si>
  <si>
    <t>-498.837509229978 255.810669543097 -767.397467388619</t>
  </si>
  <si>
    <t>-403.187386057804 338.946822565658 -477.353297152323</t>
  </si>
  <si>
    <t>-234.011483386777 210.169931077599 -327.55985690617</t>
  </si>
  <si>
    <t>-546.792708650633 51.6624046958941 -772.877271223599</t>
  </si>
  <si>
    <t>-474.907685575618 232.915167946886 -254.050526537941</t>
  </si>
  <si>
    <t>-476.997293471703 215.777014717911 201.316986964376</t>
  </si>
  <si>
    <t>-499.472893161247 168.819019155344 668.197305879004</t>
  </si>
  <si>
    <t>-349.456047701442 158.511777694001 759.478239551516</t>
  </si>
  <si>
    <t>-517.988747182487 42.2138426630929 -229.38526872041</t>
  </si>
  <si>
    <t>-431.414678062767 -1.09351608825546 215.90912309779</t>
  </si>
  <si>
    <t>-586.622100070546 -117.969391424265 643.788879205725</t>
  </si>
  <si>
    <t>-432.560826228945 -143.421645596799 724.787776135543</t>
  </si>
  <si>
    <t>9763-20170724T164255.719737200.bin</t>
  </si>
  <si>
    <t>-496.103259043157 137.062393822211 -242.071102646687</t>
  </si>
  <si>
    <t>-536.184280921692 131.422850212439 -356.218051964444</t>
  </si>
  <si>
    <t>-551.498638569205 120.467985653181 -475.951121031194</t>
  </si>
  <si>
    <t>-554.969548234333 108.447871586369 -584.755361129929</t>
  </si>
  <si>
    <t>-548.144469853241 94.389837632811 -693.155591755812</t>
  </si>
  <si>
    <t>-527.972794118001 72.7828825525657 -842.575297404543</t>
  </si>
  <si>
    <t>-484.632696756431 59.4185854180251 -933.822332831264</t>
  </si>
  <si>
    <t>-529.040565097878 112.966307767048 -779.829213633647</t>
  </si>
  <si>
    <t>-497.574625189624 256.0502453253 -767.015778225791</t>
  </si>
  <si>
    <t>-400.53308169397 340.945210913481 -477.944945582966</t>
  </si>
  <si>
    <t>-230.585629587938 214.486258544126 -327.054048111414</t>
  </si>
  <si>
    <t>-544.755696667245 51.7202754069466 -773.094280352474</t>
  </si>
  <si>
    <t>-474.833866659536 232.43654288092 -254.002690232703</t>
  </si>
  <si>
    <t>-476.772987371078 215.585023806381 201.376270647206</t>
  </si>
  <si>
    <t>-499.586842321434 168.798623876302 668.299377639533</t>
  </si>
  <si>
    <t>-349.516685773405 158.060216074659 759.442839818709</t>
  </si>
  <si>
    <t>-517.180712873247 41.7371666138343 -229.468699821829</t>
  </si>
  <si>
    <t>-430.971393476144 -1.17696350754899 215.934585470402</t>
  </si>
  <si>
    <t>-586.624507332197 -117.979432252383 643.660230954274</t>
  </si>
  <si>
    <t>-432.726439125324 -144.22190578609 724.71712205874</t>
  </si>
  <si>
    <t>9763-20170724T164255.791428100.bin</t>
  </si>
  <si>
    <t>-495.650528029409 136.499522631173 -242.106047994621</t>
  </si>
  <si>
    <t>-535.540611662264 130.642594161737 -356.308855120805</t>
  </si>
  <si>
    <t>-550.612718051494 119.669640508619 -476.071084792731</t>
  </si>
  <si>
    <t>-553.847710520612 107.707926522533 -584.888903894889</t>
  </si>
  <si>
    <t>-546.772532395642 93.7775401943702 -693.289626938031</t>
  </si>
  <si>
    <t>-526.240527803823 72.4158804180844 -842.695533562449</t>
  </si>
  <si>
    <t>-482.722742898469 59.3257138623015 -933.897678276334</t>
  </si>
  <si>
    <t>-527.564596935231 112.52104228158 -779.904250612208</t>
  </si>
  <si>
    <t>-496.736148024589 255.693896555622 -766.822071683669</t>
  </si>
  <si>
    <t>-397.722092271787 342.255658146947 -478.916743250875</t>
  </si>
  <si>
    <t>-227.369712492938 219.106840742993 -325.761606654733</t>
  </si>
  <si>
    <t>-543.085998011833 51.2144599332347 -773.271864798323</t>
  </si>
  <si>
    <t>-474.854294882206 232.02664500078 -253.998934234517</t>
  </si>
  <si>
    <t>-476.668454575695 215.459768432145 201.390826235973</t>
  </si>
  <si>
    <t>-499.638082054903 168.861236755508 668.324449975891</t>
  </si>
  <si>
    <t>-349.514939174185 158.24556860208 759.395098202416</t>
  </si>
  <si>
    <t>-516.195816367769 41.0083505338447 -229.578852215565</t>
  </si>
  <si>
    <t>-430.52429821188 -1.43101589928761 215.973548572053</t>
  </si>
  <si>
    <t>-586.592665265897 -118.182111692506 643.567573595545</t>
  </si>
  <si>
    <t>-432.57994190552 -143.634748997536 724.658670591615</t>
  </si>
  <si>
    <t>9763-20170724T164255.818806400.bin</t>
  </si>
  <si>
    <t>-495.393297635609 136.272899807514 -242.108770812083</t>
  </si>
  <si>
    <t>-535.208632563091 130.312975776666 -356.332201929126</t>
  </si>
  <si>
    <t>-550.159704458366 119.303248346062 -476.106315798338</t>
  </si>
  <si>
    <t>-553.268516630753 107.329634368648 -584.926420730368</t>
  </si>
  <si>
    <t>-546.052103742558 93.4048687997772 -693.318653972669</t>
  </si>
  <si>
    <t>-525.310106664812 72.0659069730806 -842.698730362151</t>
  </si>
  <si>
    <t>-481.704684535224 59.0575908526428 -933.870747313774</t>
  </si>
  <si>
    <t>-526.763225533022 112.171042847806 -779.910390510519</t>
  </si>
  <si>
    <t>-496.125829998756 255.395343736868 -766.74386260019</t>
  </si>
  <si>
    <t>-395.580783357694 342.849049485288 -479.639683373293</t>
  </si>
  <si>
    <t>-224.979478187197 222.178908301512 -324.79801154799</t>
  </si>
  <si>
    <t>-542.21233953016 50.8444229444754 -773.294947526818</t>
  </si>
  <si>
    <t>-474.878058932766 231.838484411902 -253.972495285287</t>
  </si>
  <si>
    <t>-476.756306926552 215.355225413707 201.42015128539</t>
  </si>
  <si>
    <t>-499.67287715729 168.834593861111 668.366918541214</t>
  </si>
  <si>
    <t>-349.510443253754 158.20320638093 759.370914757939</t>
  </si>
  <si>
    <t>-515.75409456184 40.8159283639412 -229.591483428541</t>
  </si>
  <si>
    <t>-430.290805766842 -1.54207260745703 216.00872614192</t>
  </si>
  <si>
    <t>-586.55948465203 -118.199344280412 643.516939137367</t>
  </si>
  <si>
    <t>-432.528992599702 -143.391899381109 724.655505413565</t>
  </si>
  <si>
    <t>9763-20170724T164255.894021300.bin</t>
  </si>
  <si>
    <t>-495.198986377465 136.018867340641 -242.137033068601</t>
  </si>
  <si>
    <t>-534.853411591957 129.809309916992 -356.403305888837</t>
  </si>
  <si>
    <t>-549.587955346647 118.626794191841 -476.188098514014</t>
  </si>
  <si>
    <t>-552.482750802331 106.518798547317 -584.999327783596</t>
  </si>
  <si>
    <t>-545.037418942755 92.4746407297332 -693.360601952052</t>
  </si>
  <si>
    <t>-523.964892801744 70.9791981677336 -842.672044581906</t>
  </si>
  <si>
    <t>-480.184988197958 58.0126389718705 -933.766384037963</t>
  </si>
  <si>
    <t>-525.621963507874 111.165232681704 -779.94037672825</t>
  </si>
  <si>
    <t>-495.273387082867 254.477066990833 -766.994738957006</t>
  </si>
  <si>
    <t>-391.833719033299 345.196133275877 -481.939691731846</t>
  </si>
  <si>
    <t>-218.488714698713 229.921983484359 -326.037585831653</t>
  </si>
  <si>
    <t>-540.955699328171 49.8152827089154 -773.272314653589</t>
  </si>
  <si>
    <t>-475.143724381588 231.600673585061 -253.989418252806</t>
  </si>
  <si>
    <t>-477.03776408779 215.31460425164 201.410206951335</t>
  </si>
  <si>
    <t>-499.666555879632 168.896862547576 668.338885685961</t>
  </si>
  <si>
    <t>-349.472676915843 158.529022877936 759.321416880609</t>
  </si>
  <si>
    <t>-515.114979286035 40.4980755711293 -229.632569523892</t>
  </si>
  <si>
    <t>-430.134313701809 -1.41284775228085 216.102124525234</t>
  </si>
  <si>
    <t>-586.539209964109 -118.25998048769 643.500590318212</t>
  </si>
  <si>
    <t>-432.471102595342 -143.067671550778 724.686188893917</t>
  </si>
  <si>
    <t>9763-20170724T164255.926106700.bin</t>
  </si>
  <si>
    <t>-495.200293231623 136.025610872864 -242.175089278226</t>
  </si>
  <si>
    <t>-534.824884718985 129.757468315343 -356.448488511743</t>
  </si>
  <si>
    <t>-549.499219924526 118.475130942491 -476.23148193231</t>
  </si>
  <si>
    <t>-552.32800820637 106.260046935993 -585.032262356788</t>
  </si>
  <si>
    <t>-544.805834015681 92.0917165577531 -693.372052920107</t>
  </si>
  <si>
    <t>-523.6163923374 70.405828205797 -842.63943517415</t>
  </si>
  <si>
    <t>-479.749462753542 57.3856534393053 -933.684190537583</t>
  </si>
  <si>
    <t>-525.354523226284 110.679174971292 -779.96607986125</t>
  </si>
  <si>
    <t>-495.147714388613 254.01445412312 -767.25822377649</t>
  </si>
  <si>
    <t>-390.602424971003 346.157550333834 -483.064519708109</t>
  </si>
  <si>
    <t>-216.191908543018 233.549287500375 -326.404448082933</t>
  </si>
  <si>
    <t>-540.629624751392 49.3231184626221 -773.220499786862</t>
  </si>
  <si>
    <t>-475.285109652655 231.520432468218 -254.036400929434</t>
  </si>
  <si>
    <t>-477.13485912694 215.249400081234 201.363997564695</t>
  </si>
  <si>
    <t>-499.543715499901 168.544976248981 668.311828919562</t>
  </si>
  <si>
    <t>-349.328941847169 158.596740164714 759.306731745021</t>
  </si>
  <si>
    <t>-515.022885583897 40.5827585446099 -229.667300463595</t>
  </si>
  <si>
    <t>-430.109857540935 -1.17931781931715 216.094224992767</t>
  </si>
  <si>
    <t>-586.512820879905 -118.041857059921 643.432443314494</t>
  </si>
  <si>
    <t>-432.631323675833 -143.682760585787 724.713057243909</t>
  </si>
  <si>
    <t>9763-20170724T164255.988277600.bin</t>
  </si>
  <si>
    <t>-495.320527769761 136.223285952634 -242.257086322105</t>
  </si>
  <si>
    <t>-534.81940250191 129.821504194969 -356.566559794392</t>
  </si>
  <si>
    <t>-549.352415185321 118.330024973384 -476.346819955895</t>
  </si>
  <si>
    <t>-552.048882227 105.898550749026 -585.126659377481</t>
  </si>
  <si>
    <t>-544.391368300175 91.4883130367062 -693.425075953632</t>
  </si>
  <si>
    <t>-523.0120102918 69.4414013983314 -842.612329400678</t>
  </si>
  <si>
    <t>-479.01560137366 56.2452096627096 -933.569219514841</t>
  </si>
  <si>
    <t>-524.905871252841 109.883631691865 -780.052383420821</t>
  </si>
  <si>
    <t>-495.071003628801 253.354467840151 -767.70162787269</t>
  </si>
  <si>
    <t>-388.642214142164 347.814857321858 -484.971490787344</t>
  </si>
  <si>
    <t>-211.704073510542 240.372814862115 -327.519331065376</t>
  </si>
  <si>
    <t>-540.037538480572 48.5093547007364 -773.150824451258</t>
  </si>
  <si>
    <t>-475.546423287526 231.738222407577 -254.136196339042</t>
  </si>
  <si>
    <t>-477.393003360396 215.445977459569 201.263326351588</t>
  </si>
  <si>
    <t>-499.445251857666 168.61612463544 668.203668022456</t>
  </si>
  <si>
    <t>-349.299998733738 158.599585452518 759.305635668507</t>
  </si>
  <si>
    <t>-514.912126665398 40.8224871585904 -229.743367328342</t>
  </si>
  <si>
    <t>-430.277680369012 -1.03090920146086 216.06256088495</t>
  </si>
  <si>
    <t>-586.573527947051 -117.820741204907 643.471471870344</t>
  </si>
  <si>
    <t>-432.631841989745 -143.157277173875 724.733575875008</t>
  </si>
  <si>
    <t>9763-20170724T164256.026385700.bin</t>
  </si>
  <si>
    <t>-495.347436649891 136.353439792882 -242.284126176774</t>
  </si>
  <si>
    <t>-534.796503398731 129.893127812359 -356.607595501384</t>
  </si>
  <si>
    <t>-549.288529587938 118.291996868789 -476.382212470421</t>
  </si>
  <si>
    <t>-551.952788290039 105.740649894363 -585.149010306321</t>
  </si>
  <si>
    <t>-544.268555122904 91.1897274181871 -693.426721100822</t>
  </si>
  <si>
    <t>-522.858083254823 68.9257008838813 -842.577383482542</t>
  </si>
  <si>
    <t>-478.836998642647 55.5907632621366 -933.502180892987</t>
  </si>
  <si>
    <t>-524.789198721141 109.464376319615 -780.080924748841</t>
  </si>
  <si>
    <t>-495.035957860739 252.954623721215 -767.944051482119</t>
  </si>
  <si>
    <t>-388.090895699297 347.734636823959 -485.515886380474</t>
  </si>
  <si>
    <t>-210.33844382475 242.074161405107 -327.775482636714</t>
  </si>
  <si>
    <t>-539.87394266078 48.0893035129332 -773.084707214403</t>
  </si>
  <si>
    <t>-475.688283025832 231.939918549061 -254.18845679199</t>
  </si>
  <si>
    <t>-477.592192772323 215.645850353689 201.210853297574</t>
  </si>
  <si>
    <t>-499.457202872656 168.9179522682 668.140498736417</t>
  </si>
  <si>
    <t>-349.357112440765 158.766147924109 759.301954896111</t>
  </si>
  <si>
    <t>-514.836260996694 40.8761474262393 -229.758935438445</t>
  </si>
  <si>
    <t>-430.303369963449 -1.03691507537745 216.060733902446</t>
  </si>
  <si>
    <t>-586.572953398565 -118.09990554507 643.485124229138</t>
  </si>
  <si>
    <t>-432.627993885601 -143.479115161275 724.727659716113</t>
  </si>
  <si>
    <t>9763-20170724T164256.088547100.bin</t>
  </si>
  <si>
    <t>-495.454448761567 136.487163036155 -242.34584159764</t>
  </si>
  <si>
    <t>-534.810349473707 129.860972098128 -356.691853504542</t>
  </si>
  <si>
    <t>-549.25052674303 118.029062180442 -476.450185901262</t>
  </si>
  <si>
    <t>-551.88771729218 105.238262323165 -585.189724840307</t>
  </si>
  <si>
    <t>-544.197761239916 90.4140970180272 -693.429931131983</t>
  </si>
  <si>
    <t>-522.80265276621 67.7323052947564 -842.519886014741</t>
  </si>
  <si>
    <t>-478.761709345083 54.0877437849559 -933.389068456616</t>
  </si>
  <si>
    <t>-524.740991922273 108.449048023003 -780.139439824443</t>
  </si>
  <si>
    <t>-495.032593211943 251.974497531606 -768.298392695692</t>
  </si>
  <si>
    <t>-386.982714851446 347.831989741333 -486.655394184177</t>
  </si>
  <si>
    <t>-205.286050524873 249.130548727223 -328.901115570502</t>
  </si>
  <si>
    <t>-539.797660904028 47.0876248774587 -772.965052394475</t>
  </si>
  <si>
    <t>-475.969980703749 231.953200905778 -254.291100132491</t>
  </si>
  <si>
    <t>-478.037088796611 215.555624605102 201.103732532437</t>
  </si>
  <si>
    <t>-499.19499130024 168.35757518967 668.047935887819</t>
  </si>
  <si>
    <t>-349.062623922964 159.353883358277 759.276976048012</t>
  </si>
  <si>
    <t>-514.769566081112 41.1374847013482 -229.779314044184</t>
  </si>
  <si>
    <t>-430.38344995806 -0.92452418551246 216.054068422626</t>
  </si>
  <si>
    <t>-586.619316533048 -117.923053390256 643.441129688998</t>
  </si>
  <si>
    <t>-432.579828536154 -142.888149555942 724.632979803776</t>
  </si>
  <si>
    <t>9763-20170724T164256.123642000.bin</t>
  </si>
  <si>
    <t>-495.481773456166 136.598131195628 -242.390298097712</t>
  </si>
  <si>
    <t>-534.775082643097 129.903704285 -356.753753407523</t>
  </si>
  <si>
    <t>-549.190540494728 117.972373504085 -476.505146508369</t>
  </si>
  <si>
    <t>-551.822750381235 105.075396252444 -585.232370785807</t>
  </si>
  <si>
    <t>-544.146033412666 90.1260685827925 -693.456352141122</t>
  </si>
  <si>
    <t>-522.789065725146 67.2484996979852 -842.521867764032</t>
  </si>
  <si>
    <t>-478.725075363179 53.46036948254 -933.358049766897</t>
  </si>
  <si>
    <t>-524.707288045304 108.046115810246 -780.193704354082</t>
  </si>
  <si>
    <t>-494.999555990059 251.587398929777 -768.53629220253</t>
  </si>
  <si>
    <t>-386.139880657053 347.73634570416 -487.304778660361</t>
  </si>
  <si>
    <t>-203.273463510706 251.140359694275 -329.598787693558</t>
  </si>
  <si>
    <t>-539.770398132807 46.6960625244429 -772.936286231197</t>
  </si>
  <si>
    <t>-476.076218267933 232.067121937939 -254.34282907191</t>
  </si>
  <si>
    <t>-478.167365645034 215.654520697037 201.051560931479</t>
  </si>
  <si>
    <t>-499.138427035292 168.363465470396 668.003647824986</t>
  </si>
  <si>
    <t>-349.025835198474 159.440004068492 759.27306602873</t>
  </si>
  <si>
    <t>-514.675723053 41.2759786939318 -229.815908479995</t>
  </si>
  <si>
    <t>-430.429534395523 -0.843521647541152 216.038550812731</t>
  </si>
  <si>
    <t>-586.615913778861 -118.065951823291 643.421025199166</t>
  </si>
  <si>
    <t>-432.55945918409 -142.975741238918 724.597690916084</t>
  </si>
  <si>
    <t>9763-20170724T164256.187816900.bin</t>
  </si>
  <si>
    <t>-495.668771400962 137.311993512588 -242.433996521217</t>
  </si>
  <si>
    <t>-534.965548685901 130.551970290464 -356.792491495704</t>
  </si>
  <si>
    <t>-549.396926472769 118.417178953182 -476.521500393594</t>
  </si>
  <si>
    <t>-552.050202546864 105.277211702441 -585.219086586417</t>
  </si>
  <si>
    <t>-544.402086440105 90.0243639663836 -693.402769679848</t>
  </si>
  <si>
    <t>-523.093977519671 66.6606699582806 -842.399729148138</t>
  </si>
  <si>
    <t>-479.000107354729 52.5855548733115 -933.177533574417</t>
  </si>
  <si>
    <t>-524.970616780852 107.656658176036 -780.200653518779</t>
  </si>
  <si>
    <t>-495.14296387663 251.203845250896 -768.956271804127</t>
  </si>
  <si>
    <t>-384.532454779498 348.976073903644 -488.970524265113</t>
  </si>
  <si>
    <t>-197.586756839397 258.489593374657 -332.427982555215</t>
  </si>
  <si>
    <t>-540.073718654887 46.3401218552648 -772.745700178605</t>
  </si>
  <si>
    <t>-476.273106036721 232.618142328684 -254.424175817891</t>
  </si>
  <si>
    <t>-478.392636997071 216.045123838975 200.964064722294</t>
  </si>
  <si>
    <t>-499.079609958787 168.523835747979 667.92103185003</t>
  </si>
  <si>
    <t>-349.056165116053 159.208199513435 759.297743413068</t>
  </si>
  <si>
    <t>-514.932086978892 42.0620094704483 -229.790584517082</t>
  </si>
  <si>
    <t>-430.494489497393 -0.553776201400915 215.980415103563</t>
  </si>
  <si>
    <t>-586.646957564075 -118.055177295356 643.338320821185</t>
  </si>
  <si>
    <t>-432.661904810612 -143.497192733253 724.485309277698</t>
  </si>
  <si>
    <t>9763-20170724T164256.223939300.bin</t>
  </si>
  <si>
    <t>-495.757007526062 137.519580180519 -242.47202442272</t>
  </si>
  <si>
    <t>-535.090875408352 130.776489055957 -356.818884767676</t>
  </si>
  <si>
    <t>-549.575089427122 118.552135210121 -476.532375989319</t>
  </si>
  <si>
    <t>-552.282139020872 105.289565179842 -585.213727349992</t>
  </si>
  <si>
    <t>-544.693653494535 89.8736619884669 -693.378395056931</t>
  </si>
  <si>
    <t>-523.474387105939 66.2422332221387 -842.345920803132</t>
  </si>
  <si>
    <t>-479.382964251971 52.0499877087743 -933.106607287709</t>
  </si>
  <si>
    <t>-525.306583820386 107.348243682649 -780.218161448422</t>
  </si>
  <si>
    <t>-495.500135376822 250.92966838512 -769.261122518045</t>
  </si>
  <si>
    <t>-383.810674997648 349.274335583358 -489.904723218119</t>
  </si>
  <si>
    <t>-196.405217511942 259.56344955758 -333.465602068064</t>
  </si>
  <si>
    <t>-540.419990427981 46.0485283734136 -772.646697847691</t>
  </si>
  <si>
    <t>-476.350017193679 232.825078515195 -254.437902968056</t>
  </si>
  <si>
    <t>-478.439917447456 216.159852307969 200.947154673883</t>
  </si>
  <si>
    <t>-499.104183841648 168.654224707372 667.913201651782</t>
  </si>
  <si>
    <t>-349.084675728695 159.300021788662 759.292385900601</t>
  </si>
  <si>
    <t>-515.018724673794 42.2683085781523 -229.850262904644</t>
  </si>
  <si>
    <t>-430.605420915803 -0.440986024909627 215.916537488673</t>
  </si>
  <si>
    <t>-586.674716332587 -117.842582744405 643.294651637677</t>
  </si>
  <si>
    <t>-432.694593871225 -143.31046212778 724.442871400838</t>
  </si>
  <si>
    <t>9763-20170724T164256.293630900.bin</t>
  </si>
  <si>
    <t>-496.025523878635 137.881917920102 -242.501910368001</t>
  </si>
  <si>
    <t>-535.3572280615 131.148853346497 -356.849946356319</t>
  </si>
  <si>
    <t>-549.883285333115 118.760014698337 -476.541465577657</t>
  </si>
  <si>
    <t>-552.646314217777 105.281032294421 -585.194806982685</t>
  </si>
  <si>
    <t>-545.132001681385 89.5834737662443 -693.324349030025</t>
  </si>
  <si>
    <t>-524.03445393161 65.4950926043067 -842.235780083346</t>
  </si>
  <si>
    <t>-479.932519630879 51.1316556211266 -932.964430854773</t>
  </si>
  <si>
    <t>-525.797111279152 106.787306030455 -780.229602158715</t>
  </si>
  <si>
    <t>-495.856823467608 250.374508969093 -769.747289704334</t>
  </si>
  <si>
    <t>-382.818089439161 349.99382992612 -491.386979345952</t>
  </si>
  <si>
    <t>-195.358580060649 261.423640822989 -334.363877869981</t>
  </si>
  <si>
    <t>-540.941784807105 45.519564448003 -772.46453597006</t>
  </si>
  <si>
    <t>-476.603560788104 233.373142736173 -254.491051084433</t>
  </si>
  <si>
    <t>-478.612370197538 216.548249482494 200.888473084683</t>
  </si>
  <si>
    <t>-499.09927463638 168.910909397428 667.835066441107</t>
  </si>
  <si>
    <t>-349.241744113309 158.085346439735 759.317528354473</t>
  </si>
  <si>
    <t>-515.279407835825 42.4160924631251 -229.875673552742</t>
  </si>
  <si>
    <t>-430.893121334342 -0.521147525719471 215.874360029428</t>
  </si>
  <si>
    <t>-586.715489756747 -118.106703857353 643.317048426475</t>
  </si>
  <si>
    <t>-432.602779576978 -142.934749898476 724.411740227744</t>
  </si>
  <si>
    <t>9763-20170724T164256.320818400.bin</t>
  </si>
  <si>
    <t>-496.160556264193 137.920881319329 -242.552452709461</t>
  </si>
  <si>
    <t>-535.535333635444 131.202212136541 -356.88656710596</t>
  </si>
  <si>
    <t>-550.111176443848 118.782903292025 -476.569005069958</t>
  </si>
  <si>
    <t>-552.922351519844 105.254501953401 -585.214814818477</t>
  </si>
  <si>
    <t>-545.45941415396 89.4835734073746 -693.337105131267</t>
  </si>
  <si>
    <t>-524.437411371391 65.2665216522999 -842.238478982605</t>
  </si>
  <si>
    <t>-480.328371373655 50.8489769695326 -932.955183033238</t>
  </si>
  <si>
    <t>-526.145607439828 106.60716759775 -780.262999356605</t>
  </si>
  <si>
    <t>-496.093175796669 250.16697106575 -769.889378944282</t>
  </si>
  <si>
    <t>-382.426043982334 349.125174578104 -491.549182222282</t>
  </si>
  <si>
    <t>-195.486187486532 260.630587271535 -333.865140598745</t>
  </si>
  <si>
    <t>-541.332425916537 45.3564871666957 -772.445438751418</t>
  </si>
  <si>
    <t>-476.788880021239 233.43018312702 -254.532763436776</t>
  </si>
  <si>
    <t>-478.59176929899 216.482825476326 200.843165904472</t>
  </si>
  <si>
    <t>-498.980408388705 168.696028764774 667.762979792214</t>
  </si>
  <si>
    <t>-349.125905402031 158.404564825237 759.311969667539</t>
  </si>
  <si>
    <t>-515.33288397844 42.4430189229833 -229.945205189094</t>
  </si>
  <si>
    <t>-430.953319464932 -0.383798627331245 215.816662816268</t>
  </si>
  <si>
    <t>-586.70463182025 -117.991561884678 643.264634419293</t>
  </si>
  <si>
    <t>-432.653872824795 -143.015904390714 724.41678961481</t>
  </si>
  <si>
    <t>9763-20170724T164256.363933600.bin</t>
  </si>
  <si>
    <t>-496.268284772149 137.81852215611 -242.64869958776</t>
  </si>
  <si>
    <t>-535.608903497959 131.020395227408 -356.989887427296</t>
  </si>
  <si>
    <t>-550.185332017879 118.585816516142 -476.6705881612</t>
  </si>
  <si>
    <t>-553.013133091032 105.061794866625 -585.316656960999</t>
  </si>
  <si>
    <t>-545.584111713316 89.3082894188983 -693.44380783468</t>
  </si>
  <si>
    <t>-524.627395718505 65.1241665686631 -842.359710002876</t>
  </si>
  <si>
    <t>-480.499825065984 50.7294141343116 -933.070898005839</t>
  </si>
  <si>
    <t>-526.275995096805 106.443757063057 -780.368693460675</t>
  </si>
  <si>
    <t>-495.962527090193 249.94760150358 -769.957499012575</t>
  </si>
  <si>
    <t>-382.217146556881 348.005850163982 -491.330856416858</t>
  </si>
  <si>
    <t>-196.172175012236 259.024351321594 -332.864462698898</t>
  </si>
  <si>
    <t>-541.52422367046 45.2060277302566 -772.569340909445</t>
  </si>
  <si>
    <t>-476.970422606671 233.361346834825 -254.658039087553</t>
  </si>
  <si>
    <t>-478.63605087824 216.40138871073 200.717922322181</t>
  </si>
  <si>
    <t>-498.841889460782 168.769068105354 667.580660039577</t>
  </si>
  <si>
    <t>-349.054479801387 159.174999310593 759.315053424847</t>
  </si>
  <si>
    <t>-515.308272843913 42.3383170032477 -230.030379962297</t>
  </si>
  <si>
    <t>-430.850038592178 -0.307973221771945 215.733801096987</t>
  </si>
  <si>
    <t>-586.588924349382 -117.821142909946 643.106163457511</t>
  </si>
  <si>
    <t>-432.62609104519 -142.495029522661 724.532030995772</t>
  </si>
  <si>
    <t>9763-20170724T164256.423205000.bin</t>
  </si>
  <si>
    <t>-496.590304269626 137.88169332391 -242.899907440894</t>
  </si>
  <si>
    <t>-535.915523361506 130.905279988525 -357.235753752821</t>
  </si>
  <si>
    <t>-550.456906527166 118.451508832147 -476.918676702242</t>
  </si>
  <si>
    <t>-553.247136421758 104.964084054383 -585.570250633804</t>
  </si>
  <si>
    <t>-545.775994702634 89.2939512304799 -693.706651120749</t>
  </si>
  <si>
    <t>-524.757011551553 65.2680268595192 -842.639342973572</t>
  </si>
  <si>
    <t>-480.571683073945 50.9590821280691 -933.336072397257</t>
  </si>
  <si>
    <t>-526.408770974311 106.51662131438 -780.601031450513</t>
  </si>
  <si>
    <t>-495.828636443922 249.933508011031 -769.90538573492</t>
  </si>
  <si>
    <t>-382.641886867608 344.287255575176 -489.776411657658</t>
  </si>
  <si>
    <t>-198.821410179714 253.211161024396 -329.910104277668</t>
  </si>
  <si>
    <t>-541.705695825595 45.2809231765739 -772.881277387298</t>
  </si>
  <si>
    <t>-477.54569462365 233.533661261155 -254.977287151759</t>
  </si>
  <si>
    <t>-479.175293747159 216.561430379744 200.3983869117</t>
  </si>
  <si>
    <t>-498.586053916169 168.861849641357 667.305345661913</t>
  </si>
  <si>
    <t>-348.999200964779 158.904097276794 759.327735163853</t>
  </si>
  <si>
    <t>-515.452927567903 42.3893095044796 -230.197623829685</t>
  </si>
  <si>
    <t>-430.614277900003 0.356308800976393 215.552588017546</t>
  </si>
  <si>
    <t>-586.426292679648 -117.617238904186 642.843061410283</t>
  </si>
  <si>
    <t>-432.812936407425 -142.843577777184 724.758148074173</t>
  </si>
  <si>
    <t>9763-20170724T164256.488379500.bin</t>
  </si>
  <si>
    <t>-496.942425099657 137.932539936916 -243.211341913398</t>
  </si>
  <si>
    <t>-536.208906967371 130.753204199453 -357.55461117395</t>
  </si>
  <si>
    <t>-550.595936978 118.366533289606 -477.263259387523</t>
  </si>
  <si>
    <t>-553.207910101483 105.047684234687 -585.940083459138</t>
  </si>
  <si>
    <t>-545.520259642499 89.6517448374664 -694.100639638362</t>
  </si>
  <si>
    <t>-524.161632575676 66.1149082716652 -843.063248261613</t>
  </si>
  <si>
    <t>-479.779554411961 52.1558280259347 -933.718334969657</t>
  </si>
  <si>
    <t>-526.018955585922 107.174060446126 -780.905243170005</t>
  </si>
  <si>
    <t>-495.562066205127 250.607368949054 -769.641459263973</t>
  </si>
  <si>
    <t>-383.583260246906 341.982848102866 -488.043436756239</t>
  </si>
  <si>
    <t>-199.314297010635 251.176059758342 -328.540626943306</t>
  </si>
  <si>
    <t>-541.205413632341 45.884422707399 -773.398550442933</t>
  </si>
  <si>
    <t>-478.048133422482 233.5698327944 -255.424902125758</t>
  </si>
  <si>
    <t>-479.68803536054 216.654762062248 199.952852157788</t>
  </si>
  <si>
    <t>-498.049489757653 168.600569139689 666.837170764085</t>
  </si>
  <si>
    <t>-348.75508586912 158.467953357608 759.314274314852</t>
  </si>
  <si>
    <t>-515.59058534112 42.352280357305 -230.3717604287</t>
  </si>
  <si>
    <t>-430.321977627101 0.657039283275452 215.328119034401</t>
  </si>
  <si>
    <t>-586.330159077297 -117.59130757584 642.541970462423</t>
  </si>
  <si>
    <t>-432.823841252544 -142.886413402124 724.636210039676</t>
  </si>
  <si>
    <t>9763-20170724T164256.519964900.bin</t>
  </si>
  <si>
    <t>-497.032372569007 137.859877994833 -243.438263836672</t>
  </si>
  <si>
    <t>-536.347224893576 130.649609617371 -357.763020957197</t>
  </si>
  <si>
    <t>-550.695683798291 118.317484938027 -477.48192376648</t>
  </si>
  <si>
    <t>-553.236010097623 105.082574350546 -586.170509167242</t>
  </si>
  <si>
    <t>-545.440194418162 89.8051668661145 -694.340304337169</t>
  </si>
  <si>
    <t>-523.893946115572 66.468846301942 -843.307277442135</t>
  </si>
  <si>
    <t>-479.379699813348 52.6985741184819 -933.926506806182</t>
  </si>
  <si>
    <t>-525.866002692288 107.452575873021 -781.102980079611</t>
  </si>
  <si>
    <t>-495.545410886381 250.881225812465 -769.588369199755</t>
  </si>
  <si>
    <t>-384.311111820294 340.52916436885 -487.141298912183</t>
  </si>
  <si>
    <t>-199.75793075952 249.546717897831 -328.067734250109</t>
  </si>
  <si>
    <t>-540.989010340996 46.1364293163658 -773.68497249429</t>
  </si>
  <si>
    <t>-478.252094775477 233.554158229301 -255.623756537314</t>
  </si>
  <si>
    <t>-479.922361767337 216.633268239835 199.753551391732</t>
  </si>
  <si>
    <t>-497.982732738705 168.814840679511 666.729953259648</t>
  </si>
  <si>
    <t>-348.717127439617 158.987105821349 759.286415325649</t>
  </si>
  <si>
    <t>-515.690894470098 42.2914439091336 -230.569346588735</t>
  </si>
  <si>
    <t>-430.27745095701 0.742318704475835 215.116467880296</t>
  </si>
  <si>
    <t>-586.250507894947 -117.593117060322 642.36944543322</t>
  </si>
  <si>
    <t>-432.860269887836 -142.99424702326 724.647770816298</t>
  </si>
  <si>
    <t>9763-20170724T164256.588147600.bin</t>
  </si>
  <si>
    <t>-497.290482775614 137.660427965873 -243.65560365443</t>
  </si>
  <si>
    <t>-536.482763379859 130.398289758553 -358.019115466662</t>
  </si>
  <si>
    <t>-550.689649968496 118.248205226255 -477.77355593314</t>
  </si>
  <si>
    <t>-553.094511909106 105.274515574314 -586.496832737316</t>
  </si>
  <si>
    <t>-545.155703009028 90.3549918970146 -694.706141402551</t>
  </si>
  <si>
    <t>-523.402291745609 67.6164768169868 -843.735389009081</t>
  </si>
  <si>
    <t>-478.660841060359 54.3271413996626 -934.314551598098</t>
  </si>
  <si>
    <t>-525.562932021767 108.373028812112 -781.388466681164</t>
  </si>
  <si>
    <t>-495.506411101501 251.825267011851 -769.303781926234</t>
  </si>
  <si>
    <t>-384.970279765597 338.806849002612 -485.751043583005</t>
  </si>
  <si>
    <t>-199.890006582075 246.969751006937 -327.78504872588</t>
  </si>
  <si>
    <t>-540.492031659125 46.9820585811309 -774.200710168472</t>
  </si>
  <si>
    <t>-478.691854364402 233.468818326178 -255.778704527325</t>
  </si>
  <si>
    <t>-480.253840076143 216.609688278662 199.601376045486</t>
  </si>
  <si>
    <t>-497.919390693916 168.897408825976 666.64533669475</t>
  </si>
  <si>
    <t>-348.721873271093 158.559780214859 759.256013702378</t>
  </si>
  <si>
    <t>-515.703167037587 42.0728526361326 -230.846003208495</t>
  </si>
  <si>
    <t>-430.406365212056 0.72769747174295 214.881182332526</t>
  </si>
  <si>
    <t>-586.315316546822 -117.441706491428 642.268054281476</t>
  </si>
  <si>
    <t>-432.941606956706 -142.860927250179 724.571617441242</t>
  </si>
  <si>
    <t>9763-20170724T164256.619946600.bin</t>
  </si>
  <si>
    <t>-497.402288328271 137.476707795688 -243.688997833022</t>
  </si>
  <si>
    <t>-536.625680433459 130.202766879775 -358.041237728276</t>
  </si>
  <si>
    <t>-550.829059621551 118.155814466278 -477.806504572207</t>
  </si>
  <si>
    <t>-553.215448944783 105.322482673072 -586.546804503235</t>
  </si>
  <si>
    <t>-545.24219388246 90.5903957372526 -694.779120090518</t>
  </si>
  <si>
    <t>-523.42421944863 68.1611980350459 -843.845909936882</t>
  </si>
  <si>
    <t>-478.605046027643 55.1074664661797 -934.420833120084</t>
  </si>
  <si>
    <t>-525.653984652682 108.797643560717 -781.422897257757</t>
  </si>
  <si>
    <t>-495.697563001545 252.231992217451 -769.088816114758</t>
  </si>
  <si>
    <t>-385.290358988019 338.077036378934 -485.139849663184</t>
  </si>
  <si>
    <t>-199.921792315449 245.983272978901 -327.661988840371</t>
  </si>
  <si>
    <t>-540.502081258895 47.3731677452261 -774.353958434444</t>
  </si>
  <si>
    <t>-478.863078558273 233.191835272803 -255.785264385362</t>
  </si>
  <si>
    <t>-480.380345487128 216.459872885357 199.599679289618</t>
  </si>
  <si>
    <t>-497.845049507137 168.662456131937 666.640387877559</t>
  </si>
  <si>
    <t>-348.59893772712 158.857309035985 759.230659678417</t>
  </si>
  <si>
    <t>-515.822649960086 41.9233543461198 -230.847708726389</t>
  </si>
  <si>
    <t>-430.292107327576 0.558992557257497 214.83286350848</t>
  </si>
  <si>
    <t>-586.318224890823 -117.526693630306 642.181435472513</t>
  </si>
  <si>
    <t>-432.943844735151 -142.960945803103 724.47918345699</t>
  </si>
  <si>
    <t>9763-20170724T164256.691138200.bin</t>
  </si>
  <si>
    <t>-497.485276240397 137.000338021504 -243.685892730964</t>
  </si>
  <si>
    <t>-536.668147795769 129.744137360187 -358.053116067992</t>
  </si>
  <si>
    <t>-550.833014040907 117.950795795127 -477.84815682082</t>
  </si>
  <si>
    <t>-553.184395681479 105.445203102394 -586.627493044281</t>
  </si>
  <si>
    <t>-545.174656964291 91.1398240943736 -694.914263748377</t>
  </si>
  <si>
    <t>-523.30291132694 69.4073036422688 -844.076425327945</t>
  </si>
  <si>
    <t>-478.40342216997 56.8523012728745 -934.682091391509</t>
  </si>
  <si>
    <t>-525.625652911583 109.767167277026 -781.477612016853</t>
  </si>
  <si>
    <t>-495.805701458557 253.180253541637 -768.588183627464</t>
  </si>
  <si>
    <t>-385.551016018821 336.913237662016 -483.949918075311</t>
  </si>
  <si>
    <t>-200.047483850379 244.091409566495 -327.059520012233</t>
  </si>
  <si>
    <t>-540.335379641282 48.2793150200032 -774.675994505681</t>
  </si>
  <si>
    <t>-479.017841473307 232.790124977159 -255.761252907584</t>
  </si>
  <si>
    <t>-480.689805699176 216.226129806059 199.629272164626</t>
  </si>
  <si>
    <t>-497.912723864996 168.838972732546 666.690767509036</t>
  </si>
  <si>
    <t>-348.659162574049 158.64923168742 759.227556630084</t>
  </si>
  <si>
    <t>-515.800786542027 41.3674135271729 -230.942420366437</t>
  </si>
  <si>
    <t>-430.275074366785 0.0838562039058957 214.746611258666</t>
  </si>
  <si>
    <t>-586.357148588455 -117.882521837667 642.10673420813</t>
  </si>
  <si>
    <t>-432.826463553305 -142.576466536397 724.338474748745</t>
  </si>
  <si>
    <t>9763-20170724T164256.722817700.bin</t>
  </si>
  <si>
    <t>-497.461325172264 136.901248528081 -243.717727194483</t>
  </si>
  <si>
    <t>-536.627006534998 129.654912386205 -358.091473438019</t>
  </si>
  <si>
    <t>-550.77096924728 117.993347405288 -477.901824417</t>
  </si>
  <si>
    <t>-553.101019818247 105.658841376378 -586.701110886341</t>
  </si>
  <si>
    <t>-545.067031257899 91.577821209854 -695.015587737144</t>
  </si>
  <si>
    <t>-523.157543920255 70.2134064112039 -844.225319629801</t>
  </si>
  <si>
    <t>-478.23896425162 57.9332052394616 -934.859132063641</t>
  </si>
  <si>
    <t>-525.531987957966 110.426618884414 -781.53412664332</t>
  </si>
  <si>
    <t>-495.762052865246 253.822663570539 -768.353331732607</t>
  </si>
  <si>
    <t>-385.874766667362 336.365506572614 -483.225991328434</t>
  </si>
  <si>
    <t>-200.126088491003 243.457246953125 -326.677070028084</t>
  </si>
  <si>
    <t>-540.17164703564 48.9063835774202 -774.875163985293</t>
  </si>
  <si>
    <t>-478.977746821251 232.616355194782 -255.770507745098</t>
  </si>
  <si>
    <t>-480.629854106796 216.148215225 199.623581222058</t>
  </si>
  <si>
    <t>-497.883701046066 168.762818499885 666.685068144307</t>
  </si>
  <si>
    <t>-348.61222506722 158.843793817533 759.22241536517</t>
  </si>
  <si>
    <t>-515.777878324654 41.3378145026923 -230.987949649969</t>
  </si>
  <si>
    <t>-430.305122701342 -0.0742601415228137 214.699288745309</t>
  </si>
  <si>
    <t>-586.384659490319 -117.929677162375 642.071092694617</t>
  </si>
  <si>
    <t>-432.902803381192 -142.859853026474 724.322673386995</t>
  </si>
  <si>
    <t>9763-20170724T164256.790524700.bin</t>
  </si>
  <si>
    <t>-497.278602024942 136.48681624293 -243.728595436265</t>
  </si>
  <si>
    <t>-536.444170316897 129.337453061702 -358.108439480019</t>
  </si>
  <si>
    <t>-550.615557579752 117.973578526995 -477.944159718544</t>
  </si>
  <si>
    <t>-552.980002174548 105.992937279656 -586.782161372105</t>
  </si>
  <si>
    <t>-544.988149693026 92.3520884748921 -695.156127894192</t>
  </si>
  <si>
    <t>-523.143358368728 71.6902860947461 -844.474220053529</t>
  </si>
  <si>
    <t>-478.24202669034 59.9089800856493 -935.182898771686</t>
  </si>
  <si>
    <t>-525.542796542315 111.619355152535 -781.602697345965</t>
  </si>
  <si>
    <t>-495.925703873933 255.001130325438 -767.857112408539</t>
  </si>
  <si>
    <t>-386.885151431542 335.370622494858 -481.785262844856</t>
  </si>
  <si>
    <t>-200.317056211268 242.672626963551 -326.088476419702</t>
  </si>
  <si>
    <t>-540.075130583666 50.0455959769797 -775.208501203235</t>
  </si>
  <si>
    <t>-478.790979130536 232.230121428575 -255.719465676191</t>
  </si>
  <si>
    <t>-480.484805602271 215.918166813562 199.679965646677</t>
  </si>
  <si>
    <t>-497.934115033888 168.818300850444 666.747825860085</t>
  </si>
  <si>
    <t>-348.678786823941 158.504000591426 759.267913293808</t>
  </si>
  <si>
    <t>-515.616517493954 40.8346711410583 -231.070680675654</t>
  </si>
  <si>
    <t>-430.19656424209 -0.565006163665871 214.627752430498</t>
  </si>
  <si>
    <t>-586.462293816216 -118.160086171906 642.028526497252</t>
  </si>
  <si>
    <t>-432.908575774031 -142.890641078119 724.206206781068</t>
  </si>
  <si>
    <t>9763-20170724T164256.824654200.bin</t>
  </si>
  <si>
    <t>-497.106556436863 136.135834466147 -243.732697769218</t>
  </si>
  <si>
    <t>-536.209977895634 128.987526254969 -358.13386048287</t>
  </si>
  <si>
    <t>-550.342903676361 117.735202636336 -477.984644169159</t>
  </si>
  <si>
    <t>-552.682098058766 105.902779593397 -586.839486758122</t>
  </si>
  <si>
    <t>-544.674179570834 92.4587587980745 -695.236780302581</t>
  </si>
  <si>
    <t>-522.815645322793 72.1220455528083 -844.597499541187</t>
  </si>
  <si>
    <t>-477.904072720236 60.5755306650747 -935.331328132646</t>
  </si>
  <si>
    <t>-525.253059432899 111.921172005295 -781.645114450286</t>
  </si>
  <si>
    <t>-495.63571196219 255.273592496656 -767.630145435246</t>
  </si>
  <si>
    <t>-387.182126667886 334.735653505501 -481.082134636261</t>
  </si>
  <si>
    <t>-200.621590651235 241.545715650734 -325.670097073805</t>
  </si>
  <si>
    <t>-539.72158219127 50.3196727211031 -775.374896355944</t>
  </si>
  <si>
    <t>-478.5966143793 231.891650968543 -255.699545096702</t>
  </si>
  <si>
    <t>-480.395713698552 215.662076366924 199.702470001199</t>
  </si>
  <si>
    <t>-497.910061917074 168.592503827687 666.787334490959</t>
  </si>
  <si>
    <t>-348.616479720335 158.542670797879 759.274894004175</t>
  </si>
  <si>
    <t>-515.430559288733 40.3990921503871 -231.096296184353</t>
  </si>
  <si>
    <t>-430.114378713788 -1.04313423010868 214.61822565149</t>
  </si>
  <si>
    <t>-586.497218547543 -118.473649091219 642.022526060422</t>
  </si>
  <si>
    <t>-432.707232912997 -142.168980725922 724.063305588379</t>
  </si>
  <si>
    <t>9763-20170724T164256.887823700.bin</t>
  </si>
  <si>
    <t>-496.707919518081 135.919170426468 -243.735839731818</t>
  </si>
  <si>
    <t>-535.736648608246 128.801876745032 -358.164439203351</t>
  </si>
  <si>
    <t>-549.850979929838 117.786282098969 -478.039490151791</t>
  </si>
  <si>
    <t>-552.196630966056 106.251250186981 -586.926169878102</t>
  </si>
  <si>
    <t>-544.217419159456 93.1870680160656 -695.371930640028</t>
  </si>
  <si>
    <t>-522.420450345463 73.4630387569562 -844.823773720384</t>
  </si>
  <si>
    <t>-477.508904725244 62.3231006993737 -935.608335313457</t>
  </si>
  <si>
    <t>-524.884611434919 113.015078863721 -781.716949442109</t>
  </si>
  <si>
    <t>-495.344389588936 256.33658013564 -767.210172567958</t>
  </si>
  <si>
    <t>-387.515628139267 334.107999902081 -479.963348022918</t>
  </si>
  <si>
    <t>-201.42591827685 240.233694841667 -324.399025084512</t>
  </si>
  <si>
    <t>-539.245356316901 51.3655084338648 -775.67523681405</t>
  </si>
  <si>
    <t>-478.292762514557 231.691740444562 -255.650300655503</t>
  </si>
  <si>
    <t>-480.234162890561 215.596427555206 199.755974973755</t>
  </si>
  <si>
    <t>-498.018611103789 168.758077241189 666.843655332874</t>
  </si>
  <si>
    <t>-348.716974339029 158.503100906518 759.295637844886</t>
  </si>
  <si>
    <t>-514.914532874122 40.2707962301366 -231.173324559091</t>
  </si>
  <si>
    <t>-429.980282648537 -1.24142874067591 214.607506685931</t>
  </si>
  <si>
    <t>-586.606520093325 -118.419671298843 641.959385782698</t>
  </si>
  <si>
    <t>-432.856553845083 -143.040476432739 723.802409187977</t>
  </si>
  <si>
    <t>9763-20170724T164256.927431100.bin</t>
  </si>
  <si>
    <t>-496.430876905737 135.621608870514 -243.738867059098</t>
  </si>
  <si>
    <t>-535.418250618091 128.477273547189 -358.179980835151</t>
  </si>
  <si>
    <t>-549.495806925738 117.535772998116 -478.066067369418</t>
  </si>
  <si>
    <t>-551.810273583482 106.108396284047 -586.964650993725</t>
  </si>
  <si>
    <t>-543.802006387882 93.1917721495084 -695.42602554445</t>
  </si>
  <si>
    <t>-521.96655032313 73.713946338797 -844.904650638322</t>
  </si>
  <si>
    <t>-477.046288927306 62.7480480918224 -935.705983593809</t>
  </si>
  <si>
    <t>-524.471072242206 113.167209372496 -781.737312628619</t>
  </si>
  <si>
    <t>-494.916953061581 256.467328848095 -767.024501950997</t>
  </si>
  <si>
    <t>-387.481135125852 333.216637239314 -479.355834877756</t>
  </si>
  <si>
    <t>-201.484945395271 239.168950613731 -323.784255849983</t>
  </si>
  <si>
    <t>-538.784987647404 51.4973358288625 -775.792408542194</t>
  </si>
  <si>
    <t>-478.049043608832 231.223092731935 -255.63894557361</t>
  </si>
  <si>
    <t>-480.107518981808 215.234614601666 199.770584500855</t>
  </si>
  <si>
    <t>-497.90139598062 168.213174725409 666.866569017229</t>
  </si>
  <si>
    <t>-348.49071109766 159.216975323064 759.273389471359</t>
  </si>
  <si>
    <t>-514.623788604874 39.9878253874679 -231.201745260668</t>
  </si>
  <si>
    <t>-429.839982220627 -1.37557494957343 214.621518234493</t>
  </si>
  <si>
    <t>-586.626815501385 -118.488300278919 641.922657095855</t>
  </si>
  <si>
    <t>-432.882745443809 -143.320499645782 723.712823987829</t>
  </si>
  <si>
    <t>9763-20170724T164256.988596000.bin</t>
  </si>
  <si>
    <t>-496.008792204405 135.403839680842 -243.732660329992</t>
  </si>
  <si>
    <t>-534.939713894803 128.211483053667 -358.189847018508</t>
  </si>
  <si>
    <t>-548.973427936736 117.402021557153 -478.09302917181</t>
  </si>
  <si>
    <t>-551.253427330985 106.167920961473 -587.012563746707</t>
  </si>
  <si>
    <t>-543.215288463634 93.5185423391016 -695.503254386481</t>
  </si>
  <si>
    <t>-521.342697267278 74.4885300172207 -845.033940246869</t>
  </si>
  <si>
    <t>-476.422595761036 63.8305174188651 -935.872107261462</t>
  </si>
  <si>
    <t>-523.911494437231 113.762812062471 -781.757965712114</t>
  </si>
  <si>
    <t>-494.45651033217 257.039466910293 -766.622281173085</t>
  </si>
  <si>
    <t>-387.435660829028 332.342511689121 -478.417160032962</t>
  </si>
  <si>
    <t>-201.395915197905 237.843381808616 -323.171713874142</t>
  </si>
  <si>
    <t>-538.129813457108 52.0546088995263 -775.984565013726</t>
  </si>
  <si>
    <t>-477.75035981597 231.102960032296 -255.621769027275</t>
  </si>
  <si>
    <t>-480.097010263756 215.221209294947 199.790032448162</t>
  </si>
  <si>
    <t>-498.00969638918 168.464020186748 666.899707964853</t>
  </si>
  <si>
    <t>-348.606970692206 158.977335392172 759.270400442356</t>
  </si>
  <si>
    <t>-514.092974020489 39.8374119880401 -231.178317521603</t>
  </si>
  <si>
    <t>-429.477994290259 -1.43635185312523 214.685311318347</t>
  </si>
  <si>
    <t>-586.661214599994 -118.409844910742 641.819571278456</t>
  </si>
  <si>
    <t>-432.798617918698 -142.815725214361 723.515045963676</t>
  </si>
  <si>
    <t>9763-20170724T164257.023694800.bin</t>
  </si>
  <si>
    <t>-495.829278386957 135.562762553255 -243.698399794321</t>
  </si>
  <si>
    <t>-534.656747265774 128.319753602626 -358.187593776558</t>
  </si>
  <si>
    <t>-548.606261517528 117.542076263499 -478.103413225215</t>
  </si>
  <si>
    <t>-550.819254832703 106.370375293191 -587.030722268183</t>
  </si>
  <si>
    <t>-542.723654251109 93.8166576020546 -695.528199680212</t>
  </si>
  <si>
    <t>-520.781031726009 74.9542520875576 -845.069944963594</t>
  </si>
  <si>
    <t>-475.83370869252 64.4381994521648 -935.911184728935</t>
  </si>
  <si>
    <t>-523.400797784041 114.162197459481 -781.755015307778</t>
  </si>
  <si>
    <t>-494.00869353453 257.430063680528 -766.45392937496</t>
  </si>
  <si>
    <t>-387.535237069547 332.025639604105 -477.862483250734</t>
  </si>
  <si>
    <t>-201.474287269619 236.806211759727 -323.083176077086</t>
  </si>
  <si>
    <t>-537.579059783382 52.4383656806612 -776.04983240939</t>
  </si>
  <si>
    <t>-477.612607823701 231.25062601248 -255.607828123545</t>
  </si>
  <si>
    <t>-480.12130993793 215.448651815913 199.805916690594</t>
  </si>
  <si>
    <t>-498.062013005537 168.57306977696 666.919575966142</t>
  </si>
  <si>
    <t>-348.691649883093 158.495378486969 759.279918911621</t>
  </si>
  <si>
    <t>-513.852151141864 39.9751060613423 -231.161381313585</t>
  </si>
  <si>
    <t>-429.356511600806 -1.16857891152541 214.736964056081</t>
  </si>
  <si>
    <t>-586.706345970878 -118.257815756256 641.789182520358</t>
  </si>
  <si>
    <t>-432.999396379075 -143.753127088169 723.445001520393</t>
  </si>
  <si>
    <t>9763-20170724T164257.090894800.bin</t>
  </si>
  <si>
    <t>-495.362436884133 135.629028262526 -243.686273520514</t>
  </si>
  <si>
    <t>-534.107057047529 128.378889685042 -358.203113348706</t>
  </si>
  <si>
    <t>-547.943652900922 117.697711776932 -478.140629036082</t>
  </si>
  <si>
    <t>-550.042406369625 106.660567130574 -587.083889581413</t>
  </si>
  <si>
    <t>-541.820501356864 94.2913915510163 -695.593217811173</t>
  </si>
  <si>
    <t>-519.690016359175 75.7400013921002 -845.146065516927</t>
  </si>
  <si>
    <t>-474.636420033147 65.4734309474643 -935.963264964125</t>
  </si>
  <si>
    <t>-522.473213699527 114.834052656573 -781.767663239111</t>
  </si>
  <si>
    <t>-493.330145687036 258.118564208275 -766.159426597433</t>
  </si>
  <si>
    <t>-387.299557795339 331.947822467564 -477.207940892021</t>
  </si>
  <si>
    <t>-199.899585776785 237.938420983992 -323.306959013492</t>
  </si>
  <si>
    <t>-536.490902923534 53.0628362616941 -776.179463235832</t>
  </si>
  <si>
    <t>-477.217026974017 231.338550890172 -255.554764784284</t>
  </si>
  <si>
    <t>-479.975168671716 215.564155922519 199.858470116175</t>
  </si>
  <si>
    <t>-498.173504983981 168.744244528161 666.970532742424</t>
  </si>
  <si>
    <t>-348.7754930366 158.460742924937 759.263517056731</t>
  </si>
  <si>
    <t>-513.341390014744 40.0185284244604 -231.183159866162</t>
  </si>
  <si>
    <t>-429.115474863341 -1.12188398062764 214.766499679666</t>
  </si>
  <si>
    <t>-586.71879909117 -118.329784554628 641.692117661389</t>
  </si>
  <si>
    <t>-432.869831475049 -143.331859397663 723.233012646302</t>
  </si>
  <si>
    <t>9763-20170724T164257.124007700.bin</t>
  </si>
  <si>
    <t>-495.052267010015 135.55423335418 -243.700783868086</t>
  </si>
  <si>
    <t>-533.719099025828 128.264311932259 -358.241485409719</t>
  </si>
  <si>
    <t>-547.489142176859 117.603638069166 -478.188424945016</t>
  </si>
  <si>
    <t>-549.533209345574 106.609842508161 -587.137098235188</t>
  </si>
  <si>
    <t>-541.262384941697 94.3084339208511 -695.650401077291</t>
  </si>
  <si>
    <t>-519.070035260178 75.8765013199789 -845.208937616742</t>
  </si>
  <si>
    <t>-473.958837181953 65.7088141902062 -936.008571163173</t>
  </si>
  <si>
    <t>-521.919746696063 114.928379585347 -781.807388287885</t>
  </si>
  <si>
    <t>-492.929184320164 258.235942206828 -766.099206325944</t>
  </si>
  <si>
    <t>-386.915419870483 331.767166656705 -477.065570960368</t>
  </si>
  <si>
    <t>-199.30771136304 237.427388707463 -323.620495863374</t>
  </si>
  <si>
    <t>-535.859116627856 53.1357631619879 -776.260256141423</t>
  </si>
  <si>
    <t>-476.928838026842 231.095521189912 -255.530311538039</t>
  </si>
  <si>
    <t>-479.755776768779 215.327575210258 199.88278733503</t>
  </si>
  <si>
    <t>-498.052893476885 168.173276693096 666.99737749678</t>
  </si>
  <si>
    <t>-348.563128610072 158.832055134522 759.241982448955</t>
  </si>
  <si>
    <t>-512.966468822168 40.038932964784 -231.223699607235</t>
  </si>
  <si>
    <t>-429.007327993937 -1.18174849963914 214.768947250188</t>
  </si>
  <si>
    <t>-586.717967171294 -118.265636411349 641.648599184194</t>
  </si>
  <si>
    <t>-432.896815055559 -143.437204100037 723.189766195641</t>
  </si>
  <si>
    <t>9763-20170724T164257.189170200.bin</t>
  </si>
  <si>
    <t>-494.515704388319 135.607969066813 -243.673499304121</t>
  </si>
  <si>
    <t>-533.038360866597 128.256114766934 -358.258718557009</t>
  </si>
  <si>
    <t>-546.625286093806 117.598955201088 -478.22692639839</t>
  </si>
  <si>
    <t>-548.489813781058 106.635563820611 -587.181882389186</t>
  </si>
  <si>
    <t>-540.026783127794 94.3919733574907 -695.686818405517</t>
  </si>
  <si>
    <t>-517.555503701228 76.0686649630957 -845.217066872153</t>
  </si>
  <si>
    <t>-472.321672441903 66.0379660683888 -935.970936544435</t>
  </si>
  <si>
    <t>-520.591381527819 115.08865014747 -781.804568412971</t>
  </si>
  <si>
    <t>-491.798212438906 258.407415215178 -765.919319800065</t>
  </si>
  <si>
    <t>-385.926128608029 331.601921392136 -476.748377669178</t>
  </si>
  <si>
    <t>-197.347415373873 237.385783778933 -324.421553473863</t>
  </si>
  <si>
    <t>-534.405294581398 53.2636727332905 -776.304526530175</t>
  </si>
  <si>
    <t>-476.567932297892 231.262906751288 -255.477976374704</t>
  </si>
  <si>
    <t>-479.59224549266 215.454915354411 199.932428177655</t>
  </si>
  <si>
    <t>-498.152220432164 168.325638399851 667.029712929216</t>
  </si>
  <si>
    <t>-348.652873672217 158.69595824003 759.229097030021</t>
  </si>
  <si>
    <t>-512.313217539019 39.9936577315573 -231.248902720811</t>
  </si>
  <si>
    <t>-428.76010969782 -1.2031172909255 214.822104340752</t>
  </si>
  <si>
    <t>-586.681284283437 -118.390747185146 641.613824183999</t>
  </si>
  <si>
    <t>-432.765046082915 -142.961870537127 723.158594546462</t>
  </si>
  <si>
    <t>9763-20170724T164257.224820900.bin</t>
  </si>
  <si>
    <t>-494.283857161558 135.682408539863 -243.681524044633</t>
  </si>
  <si>
    <t>-532.820708636379 128.299889656947 -358.259939456308</t>
  </si>
  <si>
    <t>-546.369221567954 117.627063343857 -478.23118413834</t>
  </si>
  <si>
    <t>-548.177238561117 106.656154110513 -587.186342870406</t>
  </si>
  <si>
    <t>-539.636349147343 94.4116151264593 -695.685057084706</t>
  </si>
  <si>
    <t>-517.035324894374 76.0942094315515 -845.19640229138</t>
  </si>
  <si>
    <t>-471.741298695032 66.1067706826119 -935.925207551934</t>
  </si>
  <si>
    <t>-520.15378714876 115.117428582779 -781.79001630048</t>
  </si>
  <si>
    <t>-491.51268566374 258.474196272317 -765.854808224156</t>
  </si>
  <si>
    <t>-385.340115435124 331.491192463515 -476.749168103315</t>
  </si>
  <si>
    <t>-196.428444411641 237.338972656663 -324.795850890739</t>
  </si>
  <si>
    <t>-533.917371193504 53.2808362418146 -776.294748383295</t>
  </si>
  <si>
    <t>-476.398566970475 231.281911103487 -255.46322101667</t>
  </si>
  <si>
    <t>-479.475369730886 215.470843810239 199.946710208021</t>
  </si>
  <si>
    <t>-498.122281169659 168.196599423455 667.025684936349</t>
  </si>
  <si>
    <t>-348.58893653729 159.028902116307 759.217011113758</t>
  </si>
  <si>
    <t>-512.04298115708 40.1507393449532 -231.223143278192</t>
  </si>
  <si>
    <t>-428.578185919187 -0.989222665094218 214.869661514286</t>
  </si>
  <si>
    <t>-586.682568295186 -118.102827701505 641.564183803674</t>
  </si>
  <si>
    <t>-432.879095635298 -143.239884532943 723.149397672276</t>
  </si>
  <si>
    <t>9763-20170724T164257.291005300.bin</t>
  </si>
  <si>
    <t>-493.844262631505 135.828889893981 -243.646761880664</t>
  </si>
  <si>
    <t>-532.228168685841 128.35501112671 -358.270504878485</t>
  </si>
  <si>
    <t>-545.614190685074 117.605283696153 -478.253125302344</t>
  </si>
  <si>
    <t>-547.273939006532 106.569595401332 -587.204063915303</t>
  </si>
  <si>
    <t>-538.584871153685 94.2638850585958 -695.684103371614</t>
  </si>
  <si>
    <t>-515.779165042159 75.8644772289836 -845.154414338628</t>
  </si>
  <si>
    <t>-470.391896373596 65.9047264915068 -935.839502995606</t>
  </si>
  <si>
    <t>-519.006884106326 114.927047542513 -781.777671480969</t>
  </si>
  <si>
    <t>-490.408548883855 258.275655634842 -765.788720677962</t>
  </si>
  <si>
    <t>-383.979984071094 331.029922726673 -476.710903345343</t>
  </si>
  <si>
    <t>-194.965251194853 236.330982824878 -325.226302144119</t>
  </si>
  <si>
    <t>-532.733018354188 53.0842102856409 -776.2592456497</t>
  </si>
  <si>
    <t>-476.03084480218 231.323217549768 -255.442989978738</t>
  </si>
  <si>
    <t>-479.360612280177 215.453505778826 199.963161267937</t>
  </si>
  <si>
    <t>-498.060896279947 167.857184803611 667.038293820906</t>
  </si>
  <si>
    <t>-348.43962278347 159.565252789894 759.169911282396</t>
  </si>
  <si>
    <t>-511.505954162907 40.3771945657137 -231.213897875735</t>
  </si>
  <si>
    <t>-428.388650487439 -0.806296482642452 214.939762425005</t>
  </si>
  <si>
    <t>-586.640075009914 -118.11041467367 641.52172441978</t>
  </si>
  <si>
    <t>-432.883383399787 -143.454594759852 723.130875903997</t>
  </si>
  <si>
    <t>9763-20170724T164257.323619600.bin</t>
  </si>
  <si>
    <t>-493.698422302507 136.155861317552 -243.651104044119</t>
  </si>
  <si>
    <t>-532.010262474234 128.636940549985 -358.295997885065</t>
  </si>
  <si>
    <t>-545.352534669247 117.848706177961 -478.280184445395</t>
  </si>
  <si>
    <t>-546.985703023975 106.77801027791 -587.227898324104</t>
  </si>
  <si>
    <t>-538.283524315295 94.43555449959 -695.702733803868</t>
  </si>
  <si>
    <t>-515.474048502046 75.9813545412523 -845.165729838919</t>
  </si>
  <si>
    <t>-470.069739698455 65.9994933482968 -935.839755669989</t>
  </si>
  <si>
    <t>-518.705286645633 115.067542329159 -781.803613584992</t>
  </si>
  <si>
    <t>-490.086962872529 258.415742894184 -765.822559971221</t>
  </si>
  <si>
    <t>-383.380111104485 331.034182411911 -476.813341033705</t>
  </si>
  <si>
    <t>-194.287184854508 236.403722000199 -325.383482475661</t>
  </si>
  <si>
    <t>-532.427853570064 53.2259766636481 -776.262251208156</t>
  </si>
  <si>
    <t>-475.988797330821 231.792401680005 -255.449437439843</t>
  </si>
  <si>
    <t>-479.436927923783 215.878316245488 199.954296644007</t>
  </si>
  <si>
    <t>-498.187628242327 168.369189859621 667.006519832001</t>
  </si>
  <si>
    <t>-348.672117673877 158.825326245056 759.188608191606</t>
  </si>
  <si>
    <t>-511.23185232492 40.6574199719634 -231.25194265879</t>
  </si>
  <si>
    <t>-428.403482796216 -0.539712904997785 214.954177062947</t>
  </si>
  <si>
    <t>-586.654723371223 -117.801294463988 641.517240495265</t>
  </si>
  <si>
    <t>-432.963087973407 -143.435838558772 723.158372417837</t>
  </si>
  <si>
    <t>9763-20170724T164257.391803000.bin</t>
  </si>
  <si>
    <t>-493.382112706395 136.464323763394 -243.657774271152</t>
  </si>
  <si>
    <t>-531.633317522096 128.920242464816 -358.321339090481</t>
  </si>
  <si>
    <t>-544.919250125974 118.102485439561 -478.308972843525</t>
  </si>
  <si>
    <t>-546.504671130289 106.999026994246 -587.25413425454</t>
  </si>
  <si>
    <t>-537.758818887502 94.6149471339608 -695.720804797877</t>
  </si>
  <si>
    <t>-514.893509232724 76.0913285061243 -845.166585237138</t>
  </si>
  <si>
    <t>-469.476029307436 66.0267508960619 -935.825001176347</t>
  </si>
  <si>
    <t>-518.129196090909 115.20299286714 -781.820452480634</t>
  </si>
  <si>
    <t>-489.354681808901 258.524617029889 -765.832111827008</t>
  </si>
  <si>
    <t>-382.397915849408 330.218712348673 -476.684435447561</t>
  </si>
  <si>
    <t>-193.314313307176 235.361513579126 -325.384825723603</t>
  </si>
  <si>
    <t>-531.892235550772 53.3719376992074 -776.262293289191</t>
  </si>
  <si>
    <t>-475.728341233445 232.116481685874 -255.425152697571</t>
  </si>
  <si>
    <t>-479.451576632197 216.085952460605 199.97228207194</t>
  </si>
  <si>
    <t>-498.214185024457 168.38000007638 667.025182702525</t>
  </si>
  <si>
    <t>-348.695297937279 158.695996467437 759.187181285382</t>
  </si>
  <si>
    <t>-510.898774585223 40.8771172230679 -231.213535359511</t>
  </si>
  <si>
    <t>-428.237993497544 -0.453981299692465 215.011363026218</t>
  </si>
  <si>
    <t>-586.569507556684 -118.113045539109 641.473764543658</t>
  </si>
  <si>
    <t>-432.81030513693 -143.173460386617 723.165902654686</t>
  </si>
  <si>
    <t>9763-20170724T164257.425946200.bin</t>
  </si>
  <si>
    <t>-493.17635382339 136.54432720204 -243.619510767244</t>
  </si>
  <si>
    <t>-531.385954769236 128.992595018269 -358.296438488647</t>
  </si>
  <si>
    <t>-544.630512775111 118.169547499408 -478.288198986725</t>
  </si>
  <si>
    <t>-546.179325745824 107.062168366225 -587.233566411253</t>
  </si>
  <si>
    <t>-537.397987864989 94.6747609723034 -695.696752794255</t>
  </si>
  <si>
    <t>-514.484703301457 76.1470968603993 -845.134702887302</t>
  </si>
  <si>
    <t>-469.066743868609 66.0448585780329 -935.78879512915</t>
  </si>
  <si>
    <t>-517.730952306192 115.258519371276 -781.789050427237</t>
  </si>
  <si>
    <t>-488.884891202354 258.550866036336 -765.758754213683</t>
  </si>
  <si>
    <t>-381.685958723766 329.712804331231 -476.569283352204</t>
  </si>
  <si>
    <t>-192.537909020119 234.906115896534 -325.318610031622</t>
  </si>
  <si>
    <t>-531.515278661104 53.4315762513951 -776.237089947988</t>
  </si>
  <si>
    <t>-475.465696086435 232.11023731988 -255.406076064649</t>
  </si>
  <si>
    <t>-479.313997784003 216.030306836819 199.988504325028</t>
  </si>
  <si>
    <t>-498.146170171666 168.113305794476 667.014036409574</t>
  </si>
  <si>
    <t>-348.568420025949 159.229279487859 759.161114515472</t>
  </si>
  <si>
    <t>-510.680166784321 41.0281489260555 -231.188939814206</t>
  </si>
  <si>
    <t>-428.137342728992 -0.441770178645776 215.044813191982</t>
  </si>
  <si>
    <t>-586.546888002937 -118.179173153715 641.470312140781</t>
  </si>
  <si>
    <t>-432.831294881394 -143.382136368188 723.200736900206</t>
  </si>
  <si>
    <t>9763-20170724T164257.494630000.bin</t>
  </si>
  <si>
    <t>-492.760635269704 136.999099511222 -243.60854574206</t>
  </si>
  <si>
    <t>-530.96626746876 129.47881113613 -358.288884467807</t>
  </si>
  <si>
    <t>-544.161525565158 118.670189682621 -478.28724050187</t>
  </si>
  <si>
    <t>-545.647234341399 107.568473302012 -587.233973734363</t>
  </si>
  <si>
    <t>-536.785028127048 95.179686696875 -695.690666419696</t>
  </si>
  <si>
    <t>-513.741607150781 76.6427970854016 -845.107402724523</t>
  </si>
  <si>
    <t>-468.278277343679 66.5057137072524 -935.734738913275</t>
  </si>
  <si>
    <t>-517.012316462757 115.751722850471 -781.761445515422</t>
  </si>
  <si>
    <t>-488.010812031688 259.014176172738 -765.678303788672</t>
  </si>
  <si>
    <t>-380.495554758107 329.191826115362 -476.365650044075</t>
  </si>
  <si>
    <t>-191.288175990768 234.186010207055 -325.314276323986</t>
  </si>
  <si>
    <t>-530.862803975586 53.9378820704864 -776.228874761175</t>
  </si>
  <si>
    <t>-474.996739966242 232.645189622297 -255.392391970498</t>
  </si>
  <si>
    <t>-479.034906281426 216.456076351197 199.996765322552</t>
  </si>
  <si>
    <t>-498.238424355197 168.526649593663 666.997066510812</t>
  </si>
  <si>
    <t>-348.742328850999 158.647862198305 759.175313168646</t>
  </si>
  <si>
    <t>-510.38410654752 41.437053984217 -231.167297939088</t>
  </si>
  <si>
    <t>-427.942783069289 -0.0492203965710161 215.083718763519</t>
  </si>
  <si>
    <t>-586.534152963928 -117.825876855423 641.426237502884</t>
  </si>
  <si>
    <t>-433.006676607737 -143.890566427677 723.239784415672</t>
  </si>
  <si>
    <t>9763-20170724T164257.519706700.bin</t>
  </si>
  <si>
    <t>-492.570342048155 137.013515694881 -243.58048099708</t>
  </si>
  <si>
    <t>-530.743773284044 129.516434897163 -358.273141213277</t>
  </si>
  <si>
    <t>-543.90854959112 118.716874778074 -478.275715911582</t>
  </si>
  <si>
    <t>-545.368174954147 107.617086921016 -587.223041099216</t>
  </si>
  <si>
    <t>-536.481338383893 95.2239061701809 -695.677066086989</t>
  </si>
  <si>
    <t>-513.405759528862 76.6741258570821 -845.087402688959</t>
  </si>
  <si>
    <t>-467.926078197004 66.5199147099115 -935.704506715377</t>
  </si>
  <si>
    <t>-516.667501066169 115.783815993066 -781.741410952635</t>
  </si>
  <si>
    <t>-487.52557615324 259.011856273214 -765.645841310811</t>
  </si>
  <si>
    <t>-379.938338730263 328.814589303693 -476.269369399732</t>
  </si>
  <si>
    <t>-190.633919689544 233.6852273651 -325.417525765222</t>
  </si>
  <si>
    <t>-530.564546444948 53.9799035623927 -776.214542231289</t>
  </si>
  <si>
    <t>-474.736944916797 232.719263197021 -255.369433971753</t>
  </si>
  <si>
    <t>-478.924478278932 216.47284874479 200.016261478742</t>
  </si>
  <si>
    <t>-498.278001660945 168.648313311133 666.990752476637</t>
  </si>
  <si>
    <t>-348.750088250942 159.139805318075 759.156314650946</t>
  </si>
  <si>
    <t>-510.243044113696 41.3756531806148 -231.151728910854</t>
  </si>
  <si>
    <t>-427.81566377966 -0.156079519821319 215.097585846343</t>
  </si>
  <si>
    <t>-586.471950462079 -118.138687114371 641.408608142766</t>
  </si>
  <si>
    <t>-432.889616664218 -143.757049223215 723.260150633885</t>
  </si>
  <si>
    <t>9763-20170724T164257.589395500.bin</t>
  </si>
  <si>
    <t>-492.250581681637 137.22098499489 -243.581079811749</t>
  </si>
  <si>
    <t>-530.376964218779 129.767110414496 -358.29220015467</t>
  </si>
  <si>
    <t>-543.496592281078 119.003249107931 -478.302844264624</t>
  </si>
  <si>
    <t>-544.916992059111 107.931684779335 -587.253573082756</t>
  </si>
  <si>
    <t>-535.993088286089 95.5619522705859 -695.707266452919</t>
  </si>
  <si>
    <t>-512.868277703192 77.0395082758732 -845.113392890732</t>
  </si>
  <si>
    <t>-467.352873613002 66.8687427412048 -935.710814595042</t>
  </si>
  <si>
    <t>-516.113187506323 116.129676246275 -781.754439333781</t>
  </si>
  <si>
    <t>-486.759697283647 259.310321806267 -765.545245581636</t>
  </si>
  <si>
    <t>-379.049938946661 328.252775804692 -476.00812414072</t>
  </si>
  <si>
    <t>-189.836548394084 232.90420750243 -325.180370803743</t>
  </si>
  <si>
    <t>-530.087409052807 54.3405733761676 -776.257124702387</t>
  </si>
  <si>
    <t>-474.324889849681 233.01907726729 -255.359872943223</t>
  </si>
  <si>
    <t>-478.686708122176 216.702909210075 200.021824811534</t>
  </si>
  <si>
    <t>-498.288333484051 168.744131700993 666.970500638281</t>
  </si>
  <si>
    <t>-348.844114007079 158.395644435998 759.181448414653</t>
  </si>
  <si>
    <t>-510.007939435072 41.596875910643 -231.157830444612</t>
  </si>
  <si>
    <t>-427.687851131507 -0.125111624575602 215.093646663171</t>
  </si>
  <si>
    <t>-586.475288931862 -117.767859125809 641.397228444725</t>
  </si>
  <si>
    <t>-432.973559822858 -143.66110665167 723.313432270861</t>
  </si>
  <si>
    <t>9763-20170724T164257.619979000.bin</t>
  </si>
  <si>
    <t>-492.08742501363 137.188276628148 -243.569610151414</t>
  </si>
  <si>
    <t>-530.21411663709 129.757279323809 -358.282133446983</t>
  </si>
  <si>
    <t>-543.315168060214 119.016053057507 -478.296911589832</t>
  </si>
  <si>
    <t>-544.71117015175 107.963405003343 -587.2498099797</t>
  </si>
  <si>
    <t>-535.75541477436 95.6106787219206 -695.702832222527</t>
  </si>
  <si>
    <t>-512.579181662903 77.1089479297164 -845.103441551731</t>
  </si>
  <si>
    <t>-467.055534339648 66.9317008904189 -935.695983639691</t>
  </si>
  <si>
    <t>-515.826602623098 116.186251174202 -781.736755322852</t>
  </si>
  <si>
    <t>-486.366596325286 259.326912160731 -765.464940474686</t>
  </si>
  <si>
    <t>-378.612377360573 327.845099489954 -475.843751719036</t>
  </si>
  <si>
    <t>-189.399152880466 232.388773161125 -325.083860496632</t>
  </si>
  <si>
    <t>-529.841280559633 54.4044997429477 -776.259832574893</t>
  </si>
  <si>
    <t>-474.123972315061 232.930162161292 -255.334788502012</t>
  </si>
  <si>
    <t>-478.568038765727 216.579970627524 200.044810191007</t>
  </si>
  <si>
    <t>-498.204769514231 168.383279109658 666.984644778437</t>
  </si>
  <si>
    <t>-348.699320318031 158.727646403948 759.171453137652</t>
  </si>
  <si>
    <t>-509.885307262649 41.5357924283972 -231.148467308782</t>
  </si>
  <si>
    <t>-427.627164572378 -0.195082939340075 215.113516350926</t>
  </si>
  <si>
    <t>-586.458964586251 -117.993670834941 641.416694878874</t>
  </si>
  <si>
    <t>-432.914496804443 -143.64994780845 723.327426326158</t>
  </si>
  <si>
    <t>9763-20170724T164257.686158500.bin</t>
  </si>
  <si>
    <t>-491.862543182388 137.057179029562 -243.53981261154</t>
  </si>
  <si>
    <t>-529.938578966752 129.636231953429 -358.269746121941</t>
  </si>
  <si>
    <t>-542.9825519433 118.924161987211 -478.293217373572</t>
  </si>
  <si>
    <t>-544.32538845983 107.90219201704 -587.249944231696</t>
  </si>
  <si>
    <t>-535.31555338673 95.5824021483539 -695.702361312327</t>
  </si>
  <si>
    <t>-512.063938811278 77.127224222684 -845.096966622166</t>
  </si>
  <si>
    <t>-466.505901492813 66.9284121092446 -935.669779677215</t>
  </si>
  <si>
    <t>-515.308428700036 116.177392451089 -781.713470292444</t>
  </si>
  <si>
    <t>-485.61529602619 259.258391924757 -765.303682496315</t>
  </si>
  <si>
    <t>-377.653446264618 326.783162561875 -475.52633304228</t>
  </si>
  <si>
    <t>-188.683406039688 230.998901171232 -324.66966571956</t>
  </si>
  <si>
    <t>-529.395710534314 54.4086739336819 -776.275503797096</t>
  </si>
  <si>
    <t>-473.82039217797 232.723257426183 -255.296848850793</t>
  </si>
  <si>
    <t>-478.451430059682 216.312958264587 200.078715603063</t>
  </si>
  <si>
    <t>-498.070906896557 167.7727366078 667.005028285009</t>
  </si>
  <si>
    <t>-348.502906549457 158.809245253706 759.160331867163</t>
  </si>
  <si>
    <t>-509.733558428921 41.4370992802018 -231.113178859492</t>
  </si>
  <si>
    <t>-427.486123024732 -0.462736840431887 215.135037560784</t>
  </si>
  <si>
    <t>-586.42448432722 -118.162930616291 641.408839570551</t>
  </si>
  <si>
    <t>-432.737929612479 -142.947551005917 723.321539481335</t>
  </si>
  <si>
    <t>9763-20170724T164257.723966500.bin</t>
  </si>
  <si>
    <t>-491.738358314989 137.115575426233 -243.527983436572</t>
  </si>
  <si>
    <t>-529.815641591158 129.708142869405 -358.258447638066</t>
  </si>
  <si>
    <t>-542.843039689927 119.012357701547 -478.285217046879</t>
  </si>
  <si>
    <t>-544.163751178512 108.004991079748 -587.243806595218</t>
  </si>
  <si>
    <t>-535.124843578654 95.6991822041272 -695.695259406851</t>
  </si>
  <si>
    <t>-511.825915667815 77.2622060557295 -845.084753619052</t>
  </si>
  <si>
    <t>-466.249561100113 67.0586869722401 -935.647828599314</t>
  </si>
  <si>
    <t>-515.077863691522 116.301973266106 -781.695122438504</t>
  </si>
  <si>
    <t>-485.288402444518 259.353038726444 -765.215394237754</t>
  </si>
  <si>
    <t>-377.269078198445 326.37986400361 -475.343958683728</t>
  </si>
  <si>
    <t>-188.327413023429 230.609244626012 -324.443136405489</t>
  </si>
  <si>
    <t>-529.192114805353 54.5379801229822 -776.273800832225</t>
  </si>
  <si>
    <t>-473.66131849295 232.729312804998 -255.282883938166</t>
  </si>
  <si>
    <t>-478.412327225372 216.278472130176 200.090042708156</t>
  </si>
  <si>
    <t>-498.052992707194 167.704342818691 666.99651128642</t>
  </si>
  <si>
    <t>-348.443156997507 159.380983685798 759.143772176091</t>
  </si>
  <si>
    <t>-509.641212853281 41.5748712586022 -231.114392989709</t>
  </si>
  <si>
    <t>-427.474956299045 -0.356712789393477 215.145743376532</t>
  </si>
  <si>
    <t>-586.435590446902 -118.02814864851 641.414749636815</t>
  </si>
  <si>
    <t>-432.891120200704 -143.585802309274 723.35625702449</t>
  </si>
  <si>
    <t>9763-20170724T164257.787133200.bin</t>
  </si>
  <si>
    <t>-491.51133194647 137.419950958886 -243.546706760651</t>
  </si>
  <si>
    <t>-529.506536149072 130.028129626454 -358.305283978673</t>
  </si>
  <si>
    <t>-542.487984730431 119.347322875381 -478.338545336585</t>
  </si>
  <si>
    <t>-543.783184327502 108.352712121858 -587.298459913686</t>
  </si>
  <si>
    <t>-534.735088181257 96.0581625085881 -695.750508659336</t>
  </si>
  <si>
    <t>-511.4402833043 77.6349272174155 -845.142393508014</t>
  </si>
  <si>
    <t>-465.841392693224 67.4210246335907 -935.692929085329</t>
  </si>
  <si>
    <t>-514.678351907508 116.666324480135 -781.747056103142</t>
  </si>
  <si>
    <t>-484.813802714686 259.688050204946 -765.234291602193</t>
  </si>
  <si>
    <t>-376.974235995604 325.883494978335 -475.105112289772</t>
  </si>
  <si>
    <t>-188.318391335459 230.327315037247 -323.711301762954</t>
  </si>
  <si>
    <t>-528.816718095917 54.9069604652224 -776.335268080973</t>
  </si>
  <si>
    <t>-473.411613874472 233.111660777383 -255.268198643305</t>
  </si>
  <si>
    <t>-478.342447095261 216.549701443231 200.098756975962</t>
  </si>
  <si>
    <t>-498.113884404399 167.88806662824 667.004111654192</t>
  </si>
  <si>
    <t>-348.556904479056 158.773012113273 759.162256542294</t>
  </si>
  <si>
    <t>-509.449865882674 41.7878853079269 -231.16183398722</t>
  </si>
  <si>
    <t>-427.584019626766 -0.334164697723054 215.135625033945</t>
  </si>
  <si>
    <t>-586.444925736035 -118.177709220046 641.456129645726</t>
  </si>
  <si>
    <t>-432.815222559889 -143.362015153844 723.353452896913</t>
  </si>
  <si>
    <t>9763-20170724T164257.824810700.bin</t>
  </si>
  <si>
    <t>-491.355567183209 137.644239224496 -243.535815602018</t>
  </si>
  <si>
    <t>-529.323988382666 130.300368930365 -358.306334858473</t>
  </si>
  <si>
    <t>-542.300141928625 119.644866196382 -478.342353863467</t>
  </si>
  <si>
    <t>-543.599398112548 108.665026456317 -587.303831279142</t>
  </si>
  <si>
    <t>-534.56445824906 96.3779507167521 -695.757802026272</t>
  </si>
  <si>
    <t>-511.29684654393 77.9582108875321 -845.154320162219</t>
  </si>
  <si>
    <t>-465.690749472514 67.731915610997 -935.699795590634</t>
  </si>
  <si>
    <t>-514.519149503151 116.987201739306 -781.756542554408</t>
  </si>
  <si>
    <t>-484.615295454543 260.01719990891 -765.255616628512</t>
  </si>
  <si>
    <t>-376.850415285977 326.153466797935 -475.085117666727</t>
  </si>
  <si>
    <t>-188.341700991911 231.004476341956 -323.25234446462</t>
  </si>
  <si>
    <t>-528.664959358284 55.2295321671375 -776.345268884114</t>
  </si>
  <si>
    <t>-473.175766818089 233.300403290866 -255.235962497469</t>
  </si>
  <si>
    <t>-478.263450275036 216.679810072333 200.127153298272</t>
  </si>
  <si>
    <t>-498.168481252377 168.00594631047 667.02023942621</t>
  </si>
  <si>
    <t>-348.617130259604 158.684231554359 759.166883398624</t>
  </si>
  <si>
    <t>-509.368263948341 42.0797631922813 -231.172788193379</t>
  </si>
  <si>
    <t>-427.637433804344 -0.168785732960963 215.137363989412</t>
  </si>
  <si>
    <t>-586.470259530131 -117.945924054037 641.455113554682</t>
  </si>
  <si>
    <t>-432.942328166114 -143.738592591097 723.354071256225</t>
  </si>
  <si>
    <t>9763-20170724T164257.891501500.bin</t>
  </si>
  <si>
    <t>-490.97893094028 137.961964024915 -243.477742449857</t>
  </si>
  <si>
    <t>-528.889030881954 130.668607366392 -358.270654096259</t>
  </si>
  <si>
    <t>-541.827142681727 120.052319702847 -478.314335671523</t>
  </si>
  <si>
    <t>-543.101148832049 109.104625810818 -587.279312854403</t>
  </si>
  <si>
    <t>-534.049996796869 96.8476586393979 -695.735318198516</t>
  </si>
  <si>
    <t>-510.769186506804 78.4682457235515 -845.134748168558</t>
  </si>
  <si>
    <t>-465.167254006512 68.2120930884492 -935.67898264907</t>
  </si>
  <si>
    <t>-513.980560368097 117.476627942073 -781.723775964308</t>
  </si>
  <si>
    <t>-483.903195049844 260.450278168397 -765.117818693879</t>
  </si>
  <si>
    <t>-376.232080287901 325.653646315981 -474.701465315154</t>
  </si>
  <si>
    <t>-187.681666725811 231.677144922921 -322.191832047816</t>
  </si>
  <si>
    <t>-528.15981451073 55.7244897465076 -776.336515838407</t>
  </si>
  <si>
    <t>-472.709584822389 233.535434455854 -255.152669522024</t>
  </si>
  <si>
    <t>-478.053913036933 216.82009485351 200.204010777823</t>
  </si>
  <si>
    <t>-498.224326949367 167.973135241518 667.072612627023</t>
  </si>
  <si>
    <t>-348.631766879668 158.886264897141 759.175828232148</t>
  </si>
  <si>
    <t>-509.075066605705 42.4694958529295 -231.128096907881</t>
  </si>
  <si>
    <t>-427.527215406313 -0.108791538718222 215.18428054023</t>
  </si>
  <si>
    <t>-586.496683374792 -117.687207620011 641.46285550499</t>
  </si>
  <si>
    <t>-433.060874442241 -143.968922151734 723.378899055618</t>
  </si>
  <si>
    <t>9763-20170724T164257.923097100.bin</t>
  </si>
  <si>
    <t>-490.751506338103 137.974614188812 -243.429916895568</t>
  </si>
  <si>
    <t>-528.631636538198 130.688256765434 -358.233332393868</t>
  </si>
  <si>
    <t>-541.545118460873 120.095191848635 -478.281618226693</t>
  </si>
  <si>
    <t>-542.799448372324 109.175309667572 -587.249672427569</t>
  </si>
  <si>
    <t>-533.731180927651 96.9526383675913 -695.708090513661</t>
  </si>
  <si>
    <t>-510.429401727849 78.6278004403674 -845.111051659155</t>
  </si>
  <si>
    <t>-464.831424033663 68.3697595467357 -935.656934569768</t>
  </si>
  <si>
    <t>-513.648633208924 117.612740899393 -781.685914878807</t>
  </si>
  <si>
    <t>-483.498271483545 260.576933957314 -765.028762065802</t>
  </si>
  <si>
    <t>-375.63759546463 324.990840892571 -474.506657894304</t>
  </si>
  <si>
    <t>-186.758243871144 231.36084335344 -322.190841249685</t>
  </si>
  <si>
    <t>-527.830900738446 55.8591650119392 -776.323683679211</t>
  </si>
  <si>
    <t>-472.455029345882 233.576113784233 -255.126147408054</t>
  </si>
  <si>
    <t>-477.895821073437 216.819521989897 200.227824115809</t>
  </si>
  <si>
    <t>-498.203141994663 167.917552878654 667.05780388898</t>
  </si>
  <si>
    <t>-348.610115249063 159.020973134917 759.178863925231</t>
  </si>
  <si>
    <t>-508.854097526078 42.4569949856511 -231.096048427094</t>
  </si>
  <si>
    <t>-427.350684024022 -0.220361916130059 215.2149243186</t>
  </si>
  <si>
    <t>-586.452508731526 -117.926575515279 641.440336667468</t>
  </si>
  <si>
    <t>-432.933724086712 -143.684251318671 723.367376846545</t>
  </si>
  <si>
    <t>9763-20170724T164257.985252900.bin</t>
  </si>
  <si>
    <t>-490.276883676431 138.292425805361 -243.415589533553</t>
  </si>
  <si>
    <t>-528.128877005594 130.974555671367 -358.226244325713</t>
  </si>
  <si>
    <t>-540.982730035296 120.374815152472 -478.280360570756</t>
  </si>
  <si>
    <t>-542.17071584953 109.458064489187 -587.249343272168</t>
  </si>
  <si>
    <t>-533.024278118733 97.247276417193 -695.702596779958</t>
  </si>
  <si>
    <t>-509.602282549836 78.9473580079156 -845.089718307883</t>
  </si>
  <si>
    <t>-463.965012609605 68.6963557193384 -935.61674176129</t>
  </si>
  <si>
    <t>-512.882117098597 117.923866347718 -781.662746784153</t>
  </si>
  <si>
    <t>-482.721664553096 260.867940433825 -764.982851906523</t>
  </si>
  <si>
    <t>-374.054450088883 324.273450007851 -474.539454395822</t>
  </si>
  <si>
    <t>-183.887639769434 231.673634041034 -323.19901396136</t>
  </si>
  <si>
    <t>-527.049463725316 56.1652566388075 -776.318508158081</t>
  </si>
  <si>
    <t>-472.067172791035 233.967579668398 -255.106248855239</t>
  </si>
  <si>
    <t>-477.617882579412 217.163980422484 200.244647077197</t>
  </si>
  <si>
    <t>-498.31874683954 168.320024666702 667.049582197697</t>
  </si>
  <si>
    <t>-348.778642461404 158.840179008561 759.198397626462</t>
  </si>
  <si>
    <t>-508.34456223952 42.7543363675344 -231.088183789605</t>
  </si>
  <si>
    <t>-426.964891244865 0.139857950151047 215.251358048003</t>
  </si>
  <si>
    <t>-586.376988264085 -117.59941496085 641.309164098356</t>
  </si>
  <si>
    <t>-433.087540724063 -144.226993431885 723.387322197165</t>
  </si>
  <si>
    <t>9763-20170724T164258.022357700.bin</t>
  </si>
  <si>
    <t>-490.031231640064 138.304928014432 -243.398942568821</t>
  </si>
  <si>
    <t>-527.842562318072 130.965875122858 -358.221741763571</t>
  </si>
  <si>
    <t>-540.678018331418 120.33883567878 -478.275345694338</t>
  </si>
  <si>
    <t>-541.859367903473 109.393964852375 -587.241674546422</t>
  </si>
  <si>
    <t>-532.716303235787 97.1510189524238 -695.691459343167</t>
  </si>
  <si>
    <t>-509.309596077973 78.8017166470587 -845.075008368885</t>
  </si>
  <si>
    <t>-463.664326702224 68.5539805417668 -935.598359098889</t>
  </si>
  <si>
    <t>-512.579944211199 117.798457283936 -781.659980724495</t>
  </si>
  <si>
    <t>-482.404725860956 260.763155601614 -765.019470167575</t>
  </si>
  <si>
    <t>-373.172540971695 323.931123140747 -474.736266045909</t>
  </si>
  <si>
    <t>-182.829322352337 231.414462422277 -323.566765061424</t>
  </si>
  <si>
    <t>-526.752711976932 56.0429506707818 -776.294979807942</t>
  </si>
  <si>
    <t>-471.850304760427 233.9539216542 -255.096021433735</t>
  </si>
  <si>
    <t>-477.468859594915 217.109608571644 200.252618754019</t>
  </si>
  <si>
    <t>-498.2343814068 167.993721153141 667.049995346568</t>
  </si>
  <si>
    <t>-348.660785408784 158.956349288442 759.188930131511</t>
  </si>
  <si>
    <t>-508.038489668596 42.7318705112877 -231.080552924074</t>
  </si>
  <si>
    <t>-426.814122379426 0.249977672972108 215.299910330818</t>
  </si>
  <si>
    <t>-586.343668992066 -117.623574904024 641.285405763015</t>
  </si>
  <si>
    <t>-433.002828992001 -143.886737238259 723.38499025223</t>
  </si>
  <si>
    <t>9763-20170724T164258.088534400.bin</t>
  </si>
  <si>
    <t>-489.590560546348 138.342588739709 -243.343173206619</t>
  </si>
  <si>
    <t>-527.31117977191 130.933483580135 -358.191135098772</t>
  </si>
  <si>
    <t>-540.079674403665 120.212060528184 -478.243552902497</t>
  </si>
  <si>
    <t>-541.211791373872 109.16931879258 -587.20066013778</t>
  </si>
  <si>
    <t>-532.031942121301 96.8145007440755 -695.634581856391</t>
  </si>
  <si>
    <t>-508.587406401395 78.2934431848002 -844.990945730545</t>
  </si>
  <si>
    <t>-462.955504750413 68.020203341339 -935.51821618412</t>
  </si>
  <si>
    <t>-511.849820382295 117.357923083734 -781.617313504262</t>
  </si>
  <si>
    <t>-481.661659031311 260.317257422469 -765.106025383987</t>
  </si>
  <si>
    <t>-372.218717207747 323.810736888244 -474.973386639124</t>
  </si>
  <si>
    <t>-181.69705436343 231.704083646815 -323.778344168781</t>
  </si>
  <si>
    <t>-526.072023656556 55.6189049152144 -776.193684744285</t>
  </si>
  <si>
    <t>-471.468474039075 234.074062870754 -255.052672052052</t>
  </si>
  <si>
    <t>-477.430811733337 217.179529718495 200.289718848703</t>
  </si>
  <si>
    <t>-498.282909002325 167.978908705511 667.087622615448</t>
  </si>
  <si>
    <t>-348.669983571382 158.945692369218 759.163094794099</t>
  </si>
  <si>
    <t>-507.562962643516 42.7111790793693 -231.002950944485</t>
  </si>
  <si>
    <t>-426.572051590931 0.46317472514739 215.442211416528</t>
  </si>
  <si>
    <t>-586.302345163665 -117.577675118525 641.274349700465</t>
  </si>
  <si>
    <t>-432.965624617822 -143.804357739269 723.393362747206</t>
  </si>
  <si>
    <t>9763-20170724T164258.119175400.bin</t>
  </si>
  <si>
    <t>-489.360069175328 138.438899814399 -243.299818602248</t>
  </si>
  <si>
    <t>-527.076926067321 131.017079526348 -358.148212461118</t>
  </si>
  <si>
    <t>-539.848488318059 120.265451290863 -478.197586438607</t>
  </si>
  <si>
    <t>-540.986773833754 109.185752887524 -587.150887950338</t>
  </si>
  <si>
    <t>-531.816618344426 96.7826464589761 -695.58011540882</t>
  </si>
  <si>
    <t>-508.389494187067 78.1815414662345 -844.929273861344</t>
  </si>
  <si>
    <t>-462.779063998572 67.8493359360539 -935.460707986574</t>
  </si>
  <si>
    <t>-511.625647286345 117.276047962852 -781.572687096867</t>
  </si>
  <si>
    <t>-481.382339977112 260.236662565351 -765.097201348137</t>
  </si>
  <si>
    <t>-371.887252092261 323.840608302509 -475.008423774455</t>
  </si>
  <si>
    <t>-181.399266159628 231.747283195045 -323.762924367975</t>
  </si>
  <si>
    <t>-525.884797067565 55.5479159504124 -776.121275415646</t>
  </si>
  <si>
    <t>-471.246370825972 234.118963202378 -254.991274838544</t>
  </si>
  <si>
    <t>-477.272635976135 217.149267173203 200.347426234008</t>
  </si>
  <si>
    <t>-498.260032769513 167.580210189037 667.169559615983</t>
  </si>
  <si>
    <t>-348.563735216735 158.902092395872 759.143478676345</t>
  </si>
  <si>
    <t>-507.31814108557 42.8908533265084 -230.959749618705</t>
  </si>
  <si>
    <t>-426.504768097296 0.555357591338606 215.509330317675</t>
  </si>
  <si>
    <t>-586.296392810827 -117.514659722088 641.298444680776</t>
  </si>
  <si>
    <t>-432.949709001948 -143.69167262587 723.414617955041</t>
  </si>
  <si>
    <t>9763-20170724T164258.190369800.bin</t>
  </si>
  <si>
    <t>-489.112909804031 138.934277192964 -243.122187106356</t>
  </si>
  <si>
    <t>-526.745170526508 131.54523171005 -358.000422747785</t>
  </si>
  <si>
    <t>-539.437301760696 120.73498192364 -478.053096059019</t>
  </si>
  <si>
    <t>-540.507818187328 109.563347001696 -586.997601992843</t>
  </si>
  <si>
    <t>-531.275136489155 97.0283931238188 -695.406368780654</t>
  </si>
  <si>
    <t>-507.767449591179 78.2017954994365 -844.714594819669</t>
  </si>
  <si>
    <t>-462.144127363647 67.6894666320219 -935.218745615312</t>
  </si>
  <si>
    <t>-511.013797723522 117.386745268601 -781.41447471332</t>
  </si>
  <si>
    <t>-480.688228241336 260.339218658477 -765.043075025753</t>
  </si>
  <si>
    <t>-370.784342090031 323.911486627452 -475.101841283827</t>
  </si>
  <si>
    <t>-180.232178412934 231.942637978477 -323.861378789436</t>
  </si>
  <si>
    <t>-525.323905502411 55.6772287213776 -775.886351102873</t>
  </si>
  <si>
    <t>-470.969408123894 234.704470629891 -254.761842406121</t>
  </si>
  <si>
    <t>-477.057672364895 217.610456009912 200.571430198553</t>
  </si>
  <si>
    <t>-498.623766033527 168.140097262345 667.33792145643</t>
  </si>
  <si>
    <t>-348.862409443251 158.661836694786 759.126864852434</t>
  </si>
  <si>
    <t>-507.091017239257 43.3049689459222 -230.830505977541</t>
  </si>
  <si>
    <t>-426.518879563363 0.557452263534849 215.642827553788</t>
  </si>
  <si>
    <t>-586.252225779628 -117.839991702503 641.42355771514</t>
  </si>
  <si>
    <t>-432.910343040833 -144.035204939161 723.542847774727</t>
  </si>
  <si>
    <t>9763-20170724T164258.220216100.bin</t>
  </si>
  <si>
    <t>-488.976453783658 138.983130990804 -243.085323350677</t>
  </si>
  <si>
    <t>-526.661056361699 131.608237845293 -357.94747487923</t>
  </si>
  <si>
    <t>-539.37117341322 120.781614407333 -477.996554200136</t>
  </si>
  <si>
    <t>-540.443554734328 109.579574144042 -586.937931266447</t>
  </si>
  <si>
    <t>-531.198921419909 96.9968587508914 -695.340207194929</t>
  </si>
  <si>
    <t>-507.660808185848 78.0842714600445 -844.632857650165</t>
  </si>
  <si>
    <t>-462.002646221846 67.478069129038 -935.10844341345</t>
  </si>
  <si>
    <t>-510.896422868864 117.300608709925 -781.351350740513</t>
  </si>
  <si>
    <t>-480.450231711472 260.236736100421 -765.018344099304</t>
  </si>
  <si>
    <t>-370.224350718239 323.865984511979 -475.21193383244</t>
  </si>
  <si>
    <t>-179.561708903241 232.139600264864 -323.963534540894</t>
  </si>
  <si>
    <t>-525.254914312982 55.604468467339 -775.799503877907</t>
  </si>
  <si>
    <t>-470.868860452259 234.703433435026 -254.705461702873</t>
  </si>
  <si>
    <t>-476.899624805178 217.540605188884 200.625954341137</t>
  </si>
  <si>
    <t>-498.566724887819 167.870734607286 667.34505456576</t>
  </si>
  <si>
    <t>-348.741685624502 159.178121828095 759.107865497507</t>
  </si>
  <si>
    <t>-506.926561986583 43.3046018775914 -230.793785537981</t>
  </si>
  <si>
    <t>-426.436334313509 0.519262383717873 215.690664339658</t>
  </si>
  <si>
    <t>-586.200831711358 -118.002718769211 641.445481935516</t>
  </si>
  <si>
    <t>-432.831265025712 -143.935352901172 723.59656884826</t>
  </si>
  <si>
    <t>9763-20170724T164258.286394500.bin</t>
  </si>
  <si>
    <t>-488.880294695211 139.040474982319 -242.992949259532</t>
  </si>
  <si>
    <t>-526.473817883373 131.646040630779 -357.883586508289</t>
  </si>
  <si>
    <t>-539.077029363007 120.750503059608 -477.937773557787</t>
  </si>
  <si>
    <t>-540.048818112988 109.460224085371 -586.870859164695</t>
  </si>
  <si>
    <t>-530.701184746054 96.7602970174461 -695.250780535693</t>
  </si>
  <si>
    <t>-507.019067127876 77.651592572144 -844.495535832005</t>
  </si>
  <si>
    <t>-461.264536991274 66.8644369611266 -934.900916933364</t>
  </si>
  <si>
    <t>-510.26668377139 116.940331271613 -781.259850965068</t>
  </si>
  <si>
    <t>-479.610330664286 259.837402969991 -764.989926525396</t>
  </si>
  <si>
    <t>-368.94453536975 323.61251374087 -475.383399072876</t>
  </si>
  <si>
    <t>-178.134248318685 232.202152617841 -324.129790881909</t>
  </si>
  <si>
    <t>-524.728598511186 55.2728755075753 -775.658906009506</t>
  </si>
  <si>
    <t>-470.769475355849 234.766591856824 -254.657205315571</t>
  </si>
  <si>
    <t>-476.795930492347 217.59344889859 200.673884324558</t>
  </si>
  <si>
    <t>-498.561852407523 167.906583379633 667.330195054322</t>
  </si>
  <si>
    <t>-348.774595514809 159.056063758539 759.139572781313</t>
  </si>
  <si>
    <t>-506.817538634671 43.3952108584949 -230.698518868456</t>
  </si>
  <si>
    <t>-426.379430153667 0.616420593023932 215.79608389236</t>
  </si>
  <si>
    <t>-586.165546612172 -117.828399498217 641.487476121626</t>
  </si>
  <si>
    <t>-432.833016731635 -143.708688772222 723.724090877287</t>
  </si>
  <si>
    <t>9763-20170724T164258.324008500.bin</t>
  </si>
  <si>
    <t>-488.875393395187 139.098948692125 -242.988377846829</t>
  </si>
  <si>
    <t>-526.460728380393 131.705488500154 -357.881829706834</t>
  </si>
  <si>
    <t>-539.034279055291 120.789848634581 -477.937295523962</t>
  </si>
  <si>
    <t>-539.970807883238 109.471890831631 -586.867882969691</t>
  </si>
  <si>
    <t>-530.58011255355 96.7340904682042 -695.239465237097</t>
  </si>
  <si>
    <t>-506.830631951607 77.5617965463993 -844.465473018182</t>
  </si>
  <si>
    <t>-461.031904415092 66.7052234216561 -934.840280743009</t>
  </si>
  <si>
    <t>-510.089404072063 116.873723605814 -781.244748350485</t>
  </si>
  <si>
    <t>-479.360533924343 259.748531933657 -765.013224323315</t>
  </si>
  <si>
    <t>-368.853880579073 323.727320239779 -475.390835629759</t>
  </si>
  <si>
    <t>-177.770231251161 232.740911484034 -324.226650086241</t>
  </si>
  <si>
    <t>-524.588614582682 55.2161704611308 -775.630523817146</t>
  </si>
  <si>
    <t>-470.789307998458 235.023321726229 -254.658869859273</t>
  </si>
  <si>
    <t>-476.851102555654 217.835216593249 200.671192992577</t>
  </si>
  <si>
    <t>-498.689972636788 168.389921369113 667.328951058729</t>
  </si>
  <si>
    <t>-348.989077070225 158.469738974642 759.169810325307</t>
  </si>
  <si>
    <t>-506.801815682469 43.2544184742636 -230.68848361688</t>
  </si>
  <si>
    <t>-426.35751830837 0.541805485452947 215.811312771997</t>
  </si>
  <si>
    <t>-586.113364333389 -118.178919309222 641.517943395455</t>
  </si>
  <si>
    <t>-432.629844494503 -143.162809700185 723.750071354811</t>
  </si>
  <si>
    <t>9763-20170724T164258.388685200.bin</t>
  </si>
  <si>
    <t>-488.877143500209 139.123036709605 -242.989943275319</t>
  </si>
  <si>
    <t>-526.453120680038 131.772436419467 -357.889105856134</t>
  </si>
  <si>
    <t>-538.961736150236 120.841859432763 -477.950141456941</t>
  </si>
  <si>
    <t>-539.81669740184 109.490724332528 -586.877881898571</t>
  </si>
  <si>
    <t>-530.321979069825 96.7029360188662 -695.234528946781</t>
  </si>
  <si>
    <t>-506.40573796132 77.4461462734691 -844.423003792091</t>
  </si>
  <si>
    <t>-460.522528936076 66.4997677261643 -934.744078364149</t>
  </si>
  <si>
    <t>-509.737219656152 116.794301521288 -781.228602367058</t>
  </si>
  <si>
    <t>-479.069100542497 259.693781090732 -765.033556168054</t>
  </si>
  <si>
    <t>-369.323294174083 323.790613870942 -475.14798824993</t>
  </si>
  <si>
    <t>-177.517746838287 233.652249524859 -324.390653390362</t>
  </si>
  <si>
    <t>-524.238586465381 55.1390514715684 -775.594931906659</t>
  </si>
  <si>
    <t>-470.714121541554 235.015057001777 -254.625984945332</t>
  </si>
  <si>
    <t>-476.821155410454 217.763185542877 200.701167389513</t>
  </si>
  <si>
    <t>-498.704928535892 168.190936622178 667.399072053149</t>
  </si>
  <si>
    <t>-348.855124987588 158.938164218813 759.066594520285</t>
  </si>
  <si>
    <t>-506.899378506132 43.3678623697987 -230.678985811751</t>
  </si>
  <si>
    <t>-426.450597162235 0.604030659575962 215.81500102261</t>
  </si>
  <si>
    <t>-586.126797755815 -118.037757850609 641.595438295718</t>
  </si>
  <si>
    <t>-432.750310472216 -143.525482006037 723.872665956529</t>
  </si>
  <si>
    <t>9763-20170724T164258.423434500.bin</t>
  </si>
  <si>
    <t>-489.052616542016 139.13845471258 -242.889253439312</t>
  </si>
  <si>
    <t>-526.566880696372 131.801428655005 -357.80935315815</t>
  </si>
  <si>
    <t>-539.026218432829 120.872861453075 -477.875580780836</t>
  </si>
  <si>
    <t>-539.842782489798 109.518612285289 -586.803365082763</t>
  </si>
  <si>
    <t>-530.316200863617 96.7226999150452 -695.156406484418</t>
  </si>
  <si>
    <t>-506.362722604651 77.4491960242285 -844.336610871973</t>
  </si>
  <si>
    <t>-460.436270558804 66.4764717414583 -934.632528717967</t>
  </si>
  <si>
    <t>-509.705874797553 116.803549013759 -781.146595835399</t>
  </si>
  <si>
    <t>-479.123334212591 259.732472634128 -765.029551126163</t>
  </si>
  <si>
    <t>-370.196611587994 323.871508626945 -474.844661768035</t>
  </si>
  <si>
    <t>-177.465886373895 234.770897195877 -324.651429658324</t>
  </si>
  <si>
    <t>-524.21689862187 55.1506674781982 -775.511301762866</t>
  </si>
  <si>
    <t>-470.918461053223 234.980921569517 -254.483978763792</t>
  </si>
  <si>
    <t>-477.030911287791 217.676292304074 200.84098533197</t>
  </si>
  <si>
    <t>-498.831870791143 167.871521904579 667.642021557758</t>
  </si>
  <si>
    <t>-348.763201614459 158.960875424545 758.984784843897</t>
  </si>
  <si>
    <t>-507.024063207067 43.404626540743 -230.624699151677</t>
  </si>
  <si>
    <t>-426.61085541811 0.59499998931917 215.871282120483</t>
  </si>
  <si>
    <t>-586.138513522383 -118.007229503523 641.678307778576</t>
  </si>
  <si>
    <t>-432.761377291273 -143.510949023258 723.949378008163</t>
  </si>
  <si>
    <t>9763-20170724T164258.487605200.bin</t>
  </si>
  <si>
    <t>-489.966521455788 139.075529349271 -242.26454856154</t>
  </si>
  <si>
    <t>-527.455117081989 131.81981713166 -357.198282194574</t>
  </si>
  <si>
    <t>-539.974540357145 120.892338965904 -477.25840488715</t>
  </si>
  <si>
    <t>-540.881888088193 109.501036509951 -586.181501524203</t>
  </si>
  <si>
    <t>-531.482456607748 96.6271240449558 -694.536381967896</t>
  </si>
  <si>
    <t>-507.742926357148 77.199987338471 -843.730895828048</t>
  </si>
  <si>
    <t>-461.813072068204 66.0943429725608 -934.008903764158</t>
  </si>
  <si>
    <t>-510.914462193419 116.601635857019 -780.561594189157</t>
  </si>
  <si>
    <t>-481.073794819627 259.789693017467 -765.2052014936</t>
  </si>
  <si>
    <t>-375.212710791679 324.612486893246 -474.039182514618</t>
  </si>
  <si>
    <t>-180.620963905477 237.310477820946 -325.195392272645</t>
  </si>
  <si>
    <t>-525.579346463812 54.9901766805976 -774.872329511944</t>
  </si>
  <si>
    <t>-472.135752241019 234.733011404516 -253.578290728738</t>
  </si>
  <si>
    <t>-478.225060921281 217.141173350965 201.736076234526</t>
  </si>
  <si>
    <t>-500.053413098017 167.70440853879 668.964516541471</t>
  </si>
  <si>
    <t>-348.881538762808 159.781743367352 758.562585331997</t>
  </si>
  <si>
    <t>-507.780083072581 43.5756015234067 -230.169323611908</t>
  </si>
  <si>
    <t>-427.407167347842 0.694052044315406 216.327011195512</t>
  </si>
  <si>
    <t>-586.156960963081 -117.756741756131 642.125778248197</t>
  </si>
  <si>
    <t>-432.883397778867 -143.85594297524 724.403038481439</t>
  </si>
  <si>
    <t>9763-20170724T164258.526234400.bin</t>
  </si>
  <si>
    <t>-490.584448461395 138.895218599394 -241.751052053133</t>
  </si>
  <si>
    <t>-527.959817374258 131.702381784425 -356.725587390373</t>
  </si>
  <si>
    <t>-540.487994911939 120.760404576876 -476.783461878658</t>
  </si>
  <si>
    <t>-541.45593958492 109.318359918018 -585.700880937241</t>
  </si>
  <si>
    <t>-532.17000814633 96.3526616570172 -694.054564141921</t>
  </si>
  <si>
    <t>-508.64309266346 76.7521364663243 -843.260141615295</t>
  </si>
  <si>
    <t>-462.775244397486 65.5037847990114 -933.551803730348</t>
  </si>
  <si>
    <t>-511.603916925405 116.20030601611 -780.109479478236</t>
  </si>
  <si>
    <t>-482.124721119781 259.504728323843 -765.278328095151</t>
  </si>
  <si>
    <t>-379.615784575496 325.543623055744 -473.187556997525</t>
  </si>
  <si>
    <t>-184.990034929786 237.721765894234 -324.694653574977</t>
  </si>
  <si>
    <t>-526.502199353794 54.6492422707646 -774.372969531864</t>
  </si>
  <si>
    <t>-472.773682594992 234.578727267699 -252.939617114051</t>
  </si>
  <si>
    <t>-479.049826463634 217.043846974485 202.374389717019</t>
  </si>
  <si>
    <t>-500.829041690961 167.93611907164 669.650246050074</t>
  </si>
  <si>
    <t>-349.063148773326 159.655462506569 758.205697734045</t>
  </si>
  <si>
    <t>-508.322816064626 43.2676760863638 -229.785156694029</t>
  </si>
  <si>
    <t>-427.921469206183 0.466892455872554 216.713955501046</t>
  </si>
  <si>
    <t>-586.093191169218 -118.137510241604 642.526192340837</t>
  </si>
  <si>
    <t>-432.697037700315 -143.495220963839 724.806885953045</t>
  </si>
  <si>
    <t>9763-20170724T164258.589406800.bin</t>
  </si>
  <si>
    <t>-491.323752696082 138.320561386758 -240.62738231021</t>
  </si>
  <si>
    <t>-528.542296184954 131.426368531848 -355.671074679187</t>
  </si>
  <si>
    <t>-541.025935456314 120.521979228732 -475.737043381862</t>
  </si>
  <si>
    <t>-542.00225136786 109.009613578553 -584.64695508594</t>
  </si>
  <si>
    <t>-532.774043660763 95.8722722248044 -692.984778782271</t>
  </si>
  <si>
    <t>-509.37815766802 75.9302291219541 -842.165833344768</t>
  </si>
  <si>
    <t>-463.611379895414 64.3658448822618 -932.468852268411</t>
  </si>
  <si>
    <t>-512.080900887647 115.476677415612 -779.065197646135</t>
  </si>
  <si>
    <t>-482.974200678217 258.926161929147 -765.034999259411</t>
  </si>
  <si>
    <t>-389.495251034212 329.282203316265 -470.929717757874</t>
  </si>
  <si>
    <t>-197.823908645073 238.686770383998 -320.275784203465</t>
  </si>
  <si>
    <t>-527.379355446608 54.0312148557943 -773.250449557685</t>
  </si>
  <si>
    <t>-473.037699640508 233.960757799175 -251.776455123665</t>
  </si>
  <si>
    <t>-479.617907582951 216.426153676348 203.533263616425</t>
  </si>
  <si>
    <t>-501.86565789432 168.175993363329 670.698686635611</t>
  </si>
  <si>
    <t>-349.268771645799 159.526900100628 757.778501923103</t>
  </si>
  <si>
    <t>-509.385328133713 42.7428442065971 -228.880865831104</t>
  </si>
  <si>
    <t>-428.908576584333 -0.0253388437570337 217.607729177887</t>
  </si>
  <si>
    <t>-586.146756907922 -118.005880943361 643.622923319619</t>
  </si>
  <si>
    <t>-432.752323402617 -143.430686383029 725.88618597399</t>
  </si>
  <si>
    <t>9763-20170724T164258.622521700.bin</t>
  </si>
  <si>
    <t>-491.2826963625 137.872209197291 -240.245524572358</t>
  </si>
  <si>
    <t>-528.553069754413 131.218846178364 -355.286626190487</t>
  </si>
  <si>
    <t>-541.081676492795 120.391571850355 -475.354861063621</t>
  </si>
  <si>
    <t>-542.095184537108 108.886695541832 -584.265122187661</t>
  </si>
  <si>
    <t>-532.899933534449 95.6982993845249 -692.599570485402</t>
  </si>
  <si>
    <t>-509.545587278553 75.6276450574969 -841.769802623728</t>
  </si>
  <si>
    <t>-463.799667878732 63.8879585792255 -932.060848863699</t>
  </si>
  <si>
    <t>-512.12811339361 115.204606889058 -778.683276098373</t>
  </si>
  <si>
    <t>-482.938719967146 258.636746875946 -764.729463400601</t>
  </si>
  <si>
    <t>-395.458709382104 332.77505551271 -469.709298982342</t>
  </si>
  <si>
    <t>-206.252027443025 240.606678987161 -316.909113423252</t>
  </si>
  <si>
    <t>-527.63027021894 53.8119470731585 -772.84999233881</t>
  </si>
  <si>
    <t>-472.550082831122 233.383813936375 -251.402480315718</t>
  </si>
  <si>
    <t>-479.063934968252 215.933236634777 203.911421189127</t>
  </si>
  <si>
    <t>-502.022276264863 167.985745508487 670.997296264701</t>
  </si>
  <si>
    <t>-349.231784873539 159.527249809576 757.75569136523</t>
  </si>
  <si>
    <t>-509.723566570427 42.4529045844381 -228.489010888365</t>
  </si>
  <si>
    <t>-429.108367351575 -0.523525564695689 217.954623158202</t>
  </si>
  <si>
    <t>-586.192461279472 -117.999278461856 644.156458109672</t>
  </si>
  <si>
    <t>-432.836113893042 -143.606207588553 726.434279399206</t>
  </si>
  <si>
    <t>9763-20170724T164258.688696700.bin</t>
  </si>
  <si>
    <t>-490.774708606947 136.784533691429 -239.738650870558</t>
  </si>
  <si>
    <t>-528.191537623019 130.67038473593 -354.762079237071</t>
  </si>
  <si>
    <t>-540.750467947752 120.040588527472 -474.844705166318</t>
  </si>
  <si>
    <t>-541.741376177528 108.58176589258 -583.760179146952</t>
  </si>
  <si>
    <t>-532.473942646464 95.3141529823923 -692.078843550142</t>
  </si>
  <si>
    <t>-508.968667467763 75.0094400786468 -841.193654111369</t>
  </si>
  <si>
    <t>-463.18966936155 62.9281040298037 -931.422900805561</t>
  </si>
  <si>
    <t>-511.384094636839 114.630377517151 -778.127968631027</t>
  </si>
  <si>
    <t>-481.673528125622 257.954334701756 -763.906387924087</t>
  </si>
  <si>
    <t>-409.572245986067 336.970744614028 -466.007087110238</t>
  </si>
  <si>
    <t>-223.330617947535 246.930108170405 -308.372090038412</t>
  </si>
  <si>
    <t>-527.353897188271 53.3570138810254 -772.301782888394</t>
  </si>
  <si>
    <t>-471.124665754512 232.169896466469 -250.93930485299</t>
  </si>
  <si>
    <t>-477.482078193207 214.974318513783 204.38654721867</t>
  </si>
  <si>
    <t>-502.139779698311 168.097150597846 671.341912266316</t>
  </si>
  <si>
    <t>-349.301280179265 159.152400978682 757.966956603831</t>
  </si>
  <si>
    <t>-510.225312468297 41.4767007788221 -227.981709505079</t>
  </si>
  <si>
    <t>-429.199758933508 -1.73572778518427 218.364826736939</t>
  </si>
  <si>
    <t>-586.261754354863 -118.19989920281 644.997846657824</t>
  </si>
  <si>
    <t>-432.973556425621 -144.027412900684 727.333570489239</t>
  </si>
  <si>
    <t>9763-20170724T164258.723820200.bin</t>
  </si>
  <si>
    <t>-490.507049334657 136.169204586504 -239.580255559327</t>
  </si>
  <si>
    <t>-527.95589339037 130.288164473207 -354.605567956603</t>
  </si>
  <si>
    <t>-540.519157553916 119.750618396536 -474.695914813318</t>
  </si>
  <si>
    <t>-541.50115790005 108.325650169133 -583.614847960276</t>
  </si>
  <si>
    <t>-532.211319463702 95.0480774460774 -691.930386670613</t>
  </si>
  <si>
    <t>-508.660862352286 74.6890201925611 -841.030787596012</t>
  </si>
  <si>
    <t>-462.868601041579 62.4670288317207 -931.234338337418</t>
  </si>
  <si>
    <t>-511.024033988991 114.315472356983 -777.966573955472</t>
  </si>
  <si>
    <t>-481.339764984628 257.625499411302 -763.620331312727</t>
  </si>
  <si>
    <t>-417.679411530178 338.313686463198 -464.249360049595</t>
  </si>
  <si>
    <t>-233.481431433994 249.581845963721 -303.501680759143</t>
  </si>
  <si>
    <t>-527.138322854653 53.0790519686015 -772.150292202375</t>
  </si>
  <si>
    <t>-470.358824220979 231.494901321356 -250.781343677823</t>
  </si>
  <si>
    <t>-476.711175141454 214.489278361618 204.551606974412</t>
  </si>
  <si>
    <t>-502.106931899977 167.838756130128 671.490887322215</t>
  </si>
  <si>
    <t>-349.278298985327 158.859298788777 758.129794283406</t>
  </si>
  <si>
    <t>-510.419991703418 40.9008931189056 -227.813621898339</t>
  </si>
  <si>
    <t>-429.21814082053 -2.33427394870742 218.498657692661</t>
  </si>
  <si>
    <t>-586.333500536794 -118.126572138273 645.338013376649</t>
  </si>
  <si>
    <t>-433.048501201912 -143.980958898221 727.671248114089</t>
  </si>
  <si>
    <t>9763-20170724T164258.789522200.bin</t>
  </si>
  <si>
    <t>-489.952988052323 135.372594109185 -239.493664554081</t>
  </si>
  <si>
    <t>-527.546366412771 129.831896001133 -354.488757426146</t>
  </si>
  <si>
    <t>-540.104488877663 119.398071813152 -474.588658171576</t>
  </si>
  <si>
    <t>-541.016824462225 107.983148099446 -583.509293337428</t>
  </si>
  <si>
    <t>-531.591780850061 94.6414059965983 -691.80526424002</t>
  </si>
  <si>
    <t>-507.786167307424 74.1247144315215 -840.843410943641</t>
  </si>
  <si>
    <t>-461.90301529758 61.6882322330459 -930.971348379133</t>
  </si>
  <si>
    <t>-510.20440081223 113.804848830111 -777.815238154407</t>
  </si>
  <si>
    <t>-480.731048714652 257.129122597419 -763.352743389799</t>
  </si>
  <si>
    <t>-433.118918831817 342.993027540357 -462.442962616752</t>
  </si>
  <si>
    <t>-254.700467546294 256.299381792797 -294.237388878248</t>
  </si>
  <si>
    <t>-526.434369130456 52.6005782561905 -771.982137013787</t>
  </si>
  <si>
    <t>-469.200331466393 230.760016155988 -250.757333096264</t>
  </si>
  <si>
    <t>-475.305325933687 214.116279977608 204.592350578267</t>
  </si>
  <si>
    <t>-501.856335247203 168.01885026815 671.344587440921</t>
  </si>
  <si>
    <t>-349.414592795538 158.017886588793 758.551281317279</t>
  </si>
  <si>
    <t>-510.505812073218 40.1456919357052 -227.656626999173</t>
  </si>
  <si>
    <t>-429.050201348379 -3.04307786954622 218.61388583317</t>
  </si>
  <si>
    <t>-586.540764227189 -117.847087108474 645.809777203433</t>
  </si>
  <si>
    <t>-433.433873970715 -144.906019824752 728.087394720843</t>
  </si>
  <si>
    <t>9763-20170724T164258.822116400.bin</t>
  </si>
  <si>
    <t>-489.816782837957 135.204154589041 -239.532982258374</t>
  </si>
  <si>
    <t>-527.505025988277 129.709313437233 -354.499061024644</t>
  </si>
  <si>
    <t>-540.027653364986 119.30365070627 -474.605165880282</t>
  </si>
  <si>
    <t>-540.852514375433 107.912845406528 -583.529202045927</t>
  </si>
  <si>
    <t>-531.284494026521 94.5973457365451 -691.815781263188</t>
  </si>
  <si>
    <t>-507.223621645033 74.123126607439 -840.818677160331</t>
  </si>
  <si>
    <t>-461.262783809131 61.697486356832 -930.908663118745</t>
  </si>
  <si>
    <t>-509.7944180161 113.796250210464 -777.792088804666</t>
  </si>
  <si>
    <t>-480.220160608848 257.086554976201 -763.275354243333</t>
  </si>
  <si>
    <t>-438.834428049316 346.173856885723 -462.381868018956</t>
  </si>
  <si>
    <t>-263.498543332776 259.812616556679 -290.797842932925</t>
  </si>
  <si>
    <t>-525.945224599282 52.5684382821782 -771.986959299407</t>
  </si>
  <si>
    <t>-468.954568731265 230.579360490144 -250.887479226858</t>
  </si>
  <si>
    <t>-474.764460323883 214.092675880698 204.47176199141</t>
  </si>
  <si>
    <t>-501.624025210079 168.144188672891 671.135904322072</t>
  </si>
  <si>
    <t>-349.477749618653 157.800876568577 758.817380380352</t>
  </si>
  <si>
    <t>-510.499682194838 40.031042275833 -227.61659381598</t>
  </si>
  <si>
    <t>-428.781919016016 -3.20182773786944 218.601727944895</t>
  </si>
  <si>
    <t>-586.640606097174 -117.663129959935 645.858609766207</t>
  </si>
  <si>
    <t>-433.582241834709 -145.053277624232 728.116895110399</t>
  </si>
  <si>
    <t>9763-20170724T164258.889825500.bin</t>
  </si>
  <si>
    <t>-489.578652329839 134.866856672135 -240.182278530282</t>
  </si>
  <si>
    <t>-527.616525124372 129.307482692933 -355.0300390001</t>
  </si>
  <si>
    <t>-540.323000159588 118.869550656236 -475.114148077724</t>
  </si>
  <si>
    <t>-541.240752256114 107.46551846577 -584.035837312605</t>
  </si>
  <si>
    <t>-531.691150375899 94.1542015233461 -692.324685219183</t>
  </si>
  <si>
    <t>-507.578888172432 73.7053472084926 -841.322787326767</t>
  </si>
  <si>
    <t>-461.525467044257 61.3740961719188 -931.378359384845</t>
  </si>
  <si>
    <t>-510.306242292813 113.40049194229 -778.316679720765</t>
  </si>
  <si>
    <t>-481.401611636334 256.793190461467 -763.773303884078</t>
  </si>
  <si>
    <t>-445.151502570044 350.225910428798 -463.536113368811</t>
  </si>
  <si>
    <t>-274.415679531697 259.877679453999 -289.385162129153</t>
  </si>
  <si>
    <t>-526.189320023834 52.106126014843 -772.474806653353</t>
  </si>
  <si>
    <t>-468.833238498446 230.331620057177 -251.747292448233</t>
  </si>
  <si>
    <t>-473.757932591919 213.961322507491 203.62662134015</t>
  </si>
  <si>
    <t>-500.398997405615 167.902647256802 670.007726715886</t>
  </si>
  <si>
    <t>-349.297988585226 157.322237976643 759.450712774731</t>
  </si>
  <si>
    <t>-510.139188354662 39.5808464950819 -228.063000601159</t>
  </si>
  <si>
    <t>-428.163394730223 -3.30264599226096 218.141685657355</t>
  </si>
  <si>
    <t>-586.710073998438 -117.762184647036 645.416822063783</t>
  </si>
  <si>
    <t>-433.545031569565 -144.652499731247 727.641427161008</t>
  </si>
  <si>
    <t>9763-20170724T164258.919919300.bin</t>
  </si>
  <si>
    <t>-489.445578824604 134.907189761132 -240.541932976071</t>
  </si>
  <si>
    <t>-527.513041189132 129.208942384754 -355.373112281674</t>
  </si>
  <si>
    <t>-540.327950461535 118.764097818036 -475.44495532939</t>
  </si>
  <si>
    <t>-541.374929439843 107.408724630154 -584.370769981035</t>
  </si>
  <si>
    <t>-531.984274419264 94.2006738875968 -692.686030505454</t>
  </si>
  <si>
    <t>-508.121405671771 73.951839185185 -841.751654904398</t>
  </si>
  <si>
    <t>-462.108969931408 61.7523014247133 -931.846031134242</t>
  </si>
  <si>
    <t>-510.830505254899 113.58324908478 -778.704676010292</t>
  </si>
  <si>
    <t>-482.335675833156 257.10004322061 -764.066438237851</t>
  </si>
  <si>
    <t>-445.521244605302 348.619649880051 -463.309017882614</t>
  </si>
  <si>
    <t>-272.661955181717 258.757535911182 -291.011116930396</t>
  </si>
  <si>
    <t>-526.52945864612 52.2393956836918 -772.884889605179</t>
  </si>
  <si>
    <t>-468.805577267634 230.328809861576 -252.171792475158</t>
  </si>
  <si>
    <t>-473.628622225616 214.035789169055 203.206029800599</t>
  </si>
  <si>
    <t>-500.032036985742 167.721163054507 669.770183875486</t>
  </si>
  <si>
    <t>-349.202123261864 157.148347205225 759.670472697352</t>
  </si>
  <si>
    <t>-509.941841304891 39.5742607520965 -228.381297578966</t>
  </si>
  <si>
    <t>-428.007476001484 -3.18601393304238 217.842782338142</t>
  </si>
  <si>
    <t>-586.714975998773 -118.059088781922 645.093191586603</t>
  </si>
  <si>
    <t>-433.438541274859 -144.459654353512 727.269020672606</t>
  </si>
  <si>
    <t>9763-20170724T164258.993624000.bin</t>
  </si>
  <si>
    <t>-489.540912621431 135.211556153754 -241.273254290027</t>
  </si>
  <si>
    <t>-527.803147391281 129.267285926921 -356.027232333777</t>
  </si>
  <si>
    <t>-540.981886111572 118.816337720472 -476.059089058263</t>
  </si>
  <si>
    <t>-542.421660377891 107.562693943271 -584.990889451777</t>
  </si>
  <si>
    <t>-533.482517241059 94.5673214011478 -693.370217664104</t>
  </si>
  <si>
    <t>-510.30248995114 74.7328817661 -842.599138687223</t>
  </si>
  <si>
    <t>-464.535801506053 62.8762810770433 -932.86447555163</t>
  </si>
  <si>
    <t>-512.948505646927 114.241789922315 -779.472688896331</t>
  </si>
  <si>
    <t>-485.086255625975 257.860651423605 -764.583061262877</t>
  </si>
  <si>
    <t>-441.320384453054 344.848638650844 -463.412375745925</t>
  </si>
  <si>
    <t>-261.644737997234 256.16027016643 -297.602040445068</t>
  </si>
  <si>
    <t>-528.169415054933 52.7761813456198 -773.667367307308</t>
  </si>
  <si>
    <t>-469.261546651246 230.60312144626 -252.907372670625</t>
  </si>
  <si>
    <t>-473.770844196432 214.333946966372 202.474421361457</t>
  </si>
  <si>
    <t>-499.395087407771 167.62909089125 669.00496916589</t>
  </si>
  <si>
    <t>-349.074212293692 157.552201121041 759.810290056198</t>
  </si>
  <si>
    <t>-509.713481452504 39.8199227453533 -228.995916766723</t>
  </si>
  <si>
    <t>-427.890604858054 -2.70525982541259 217.271221300963</t>
  </si>
  <si>
    <t>-586.784675363802 -117.90618007426 644.44891586737</t>
  </si>
  <si>
    <t>-433.460461986342 -144.248861805235 726.554164922567</t>
  </si>
  <si>
    <t>9763-20170724T164259.022298100.bin</t>
  </si>
  <si>
    <t>-489.427517864609 135.266305467191 -241.646929329591</t>
  </si>
  <si>
    <t>-527.846324737178 129.292461560162 -356.346941564099</t>
  </si>
  <si>
    <t>-541.239161336801 118.847747964605 -476.355830190317</t>
  </si>
  <si>
    <t>-542.892584560118 107.619192922514 -585.287131051396</t>
  </si>
  <si>
    <t>-534.184910111023 94.6709044586164 -693.690798977003</t>
  </si>
  <si>
    <t>-511.34239903614 74.926931583864 -842.983932260253</t>
  </si>
  <si>
    <t>-465.752143557481 63.2007852465905 -933.355396572986</t>
  </si>
  <si>
    <t>-513.931021440743 114.417095903463 -779.843146804136</t>
  </si>
  <si>
    <t>-485.953427780049 258.009122884906 -764.935512770683</t>
  </si>
  <si>
    <t>-437.600575932205 342.485530363157 -463.751265677255</t>
  </si>
  <si>
    <t>-255.234631113164 254.09915193658 -300.740312664111</t>
  </si>
  <si>
    <t>-528.968048956419 52.9089560965357 -774.009490223145</t>
  </si>
  <si>
    <t>-469.166917577176 230.554201620971 -253.302053067816</t>
  </si>
  <si>
    <t>-473.419514982491 214.200997606807 202.079237082316</t>
  </si>
  <si>
    <t>-498.964225860505 167.188009107625 668.682880744241</t>
  </si>
  <si>
    <t>-348.824459213573 157.821902368842 759.863124649005</t>
  </si>
  <si>
    <t>-509.584954641694 39.9933757298965 -229.312844155459</t>
  </si>
  <si>
    <t>-427.685473714353 -2.61226541064012 216.932566178824</t>
  </si>
  <si>
    <t>-586.789873425884 -117.791336619837 644.048365156451</t>
  </si>
  <si>
    <t>-433.466805116017 -144.037596212939 726.186595428337</t>
  </si>
  <si>
    <t>9763-20170724T164259.090486800.bin</t>
  </si>
  <si>
    <t>-489.378617561339 135.87159418674 -242.192214516216</t>
  </si>
  <si>
    <t>-527.978903328051 129.822994689728 -356.827368421767</t>
  </si>
  <si>
    <t>-541.669979977122 119.235282296917 -476.789966878266</t>
  </si>
  <si>
    <t>-543.637024328334 107.856521500211 -585.700533128069</t>
  </si>
  <si>
    <t>-535.284099024754 94.7404716873122 -694.112023865319</t>
  </si>
  <si>
    <t>-512.973871827861 74.7484427056855 -843.452466936463</t>
  </si>
  <si>
    <t>-467.723072195254 63.0826547902743 -934.00219101225</t>
  </si>
  <si>
    <t>-515.435453938911 114.365504827427 -780.386295894615</t>
  </si>
  <si>
    <t>-486.633166378161 257.865236441131 -765.872502140206</t>
  </si>
  <si>
    <t>-431.982380327103 339.285673624739 -464.923765014394</t>
  </si>
  <si>
    <t>-246.729182006631 254.4762833429 -303.273961091921</t>
  </si>
  <si>
    <t>-530.255420296211 52.8230574431565 -774.3615751485</t>
  </si>
  <si>
    <t>-469.262719499017 231.231313053799 -253.786243662761</t>
  </si>
  <si>
    <t>-472.746576472166 214.610185647757 201.592014026445</t>
  </si>
  <si>
    <t>-498.784603473011 167.501562642228 668.252480006457</t>
  </si>
  <si>
    <t>-348.947478095512 157.591845906162 759.871931198113</t>
  </si>
  <si>
    <t>-509.37216569309 40.6055348154429 -229.886688343312</t>
  </si>
  <si>
    <t>-427.617775895255 -2.2700530501624 216.359385525408</t>
  </si>
  <si>
    <t>-586.797475657008 -117.522462341658 643.415170729098</t>
  </si>
  <si>
    <t>-433.63044750546 -144.400224549117 725.640213265177</t>
  </si>
  <si>
    <t>9763-20170724T164259.123424400.bin</t>
  </si>
  <si>
    <t>-489.425067881097 136.078708178743 -242.402622419613</t>
  </si>
  <si>
    <t>-528.119591016873 130.005555518186 -357.004804925212</t>
  </si>
  <si>
    <t>-541.928786872965 119.34513157376 -476.94745012121</t>
  </si>
  <si>
    <t>-544.010900645093 107.88314128626 -585.847076498417</t>
  </si>
  <si>
    <t>-535.780184858818 94.6674798548466 -694.255774989973</t>
  </si>
  <si>
    <t>-513.646432480857 74.5210623425457 -843.601677454965</t>
  </si>
  <si>
    <t>-468.52942196477 62.8292474912651 -934.214879224995</t>
  </si>
  <si>
    <t>-516.08503987963 114.214723570724 -780.582897463847</t>
  </si>
  <si>
    <t>-487.195559717794 257.683248594216 -766.310130597875</t>
  </si>
  <si>
    <t>-431.271052036611 338.265930536518 -465.369809820722</t>
  </si>
  <si>
    <t>-245.667113774075 255.098212345967 -303.269929532935</t>
  </si>
  <si>
    <t>-530.794831822104 52.6557497205704 -774.458746501529</t>
  </si>
  <si>
    <t>-469.405066591605 231.646483440917 -253.983229347124</t>
  </si>
  <si>
    <t>-472.337686854115 214.819086438262 201.391187659619</t>
  </si>
  <si>
    <t>-498.63173724329 167.564586714637 668.015044077964</t>
  </si>
  <si>
    <t>-348.98256302409 157.116697721188 759.881620902976</t>
  </si>
  <si>
    <t>-509.256271243507 40.5552218127515 -230.121104117994</t>
  </si>
  <si>
    <t>-427.592799200298 -2.26196218644387 216.147186219306</t>
  </si>
  <si>
    <t>-586.733264830008 -118.00808745669 643.160962556601</t>
  </si>
  <si>
    <t>-433.453635896253 -144.11915625025 725.423241723355</t>
  </si>
  <si>
    <t>9763-20170724T164259.190104700.bin</t>
  </si>
  <si>
    <t>-489.63111960634 136.55252794217 -242.853133949212</t>
  </si>
  <si>
    <t>-528.435548577091 130.266730791914 -357.406637165368</t>
  </si>
  <si>
    <t>-542.376855366343 119.50047438818 -477.3246105684</t>
  </si>
  <si>
    <t>-544.585222746773 107.98992464031 -586.216684989527</t>
  </si>
  <si>
    <t>-536.486200318355 94.7740644905552 -694.635194314369</t>
  </si>
  <si>
    <t>-514.53971450541 74.6785724826083 -844.015749664332</t>
  </si>
  <si>
    <t>-469.572049501189 62.9536752641125 -934.698677637011</t>
  </si>
  <si>
    <t>-517.042403937641 114.38209088413 -781.005478703158</t>
  </si>
  <si>
    <t>-488.296326091011 257.897819465659 -766.88597831826</t>
  </si>
  <si>
    <t>-430.048273200415 338.233992186832 -466.320784880753</t>
  </si>
  <si>
    <t>-242.310631641265 258.669354230185 -304.870801254515</t>
  </si>
  <si>
    <t>-531.458347046808 52.7583172354543 -774.833443764735</t>
  </si>
  <si>
    <t>-469.865688547901 232.276474433752 -254.525120071132</t>
  </si>
  <si>
    <t>-472.359277963835 215.286999357082 200.845915658977</t>
  </si>
  <si>
    <t>-498.065374963802 167.552726234011 667.267137628751</t>
  </si>
  <si>
    <t>-348.89425111964 156.866262729882 759.880783803081</t>
  </si>
  <si>
    <t>-509.18113811685 40.8933132828163 -230.494922146913</t>
  </si>
  <si>
    <t>-427.257320829942 -1.71389697734324 215.745827413816</t>
  </si>
  <si>
    <t>-586.615900882235 -117.750829389875 642.559682702535</t>
  </si>
  <si>
    <t>-433.480302855488 -143.845676721165 725.094942852949</t>
  </si>
  <si>
    <t>9763-20170724T164259.225264800.bin</t>
  </si>
  <si>
    <t>-489.716547806031 136.981524896193 -243.110115564781</t>
  </si>
  <si>
    <t>-528.525909119828 130.519800623965 -357.652187337433</t>
  </si>
  <si>
    <t>-542.517444084216 119.676945025186 -477.557249920127</t>
  </si>
  <si>
    <t>-544.790266439036 108.134397077728 -586.444580441834</t>
  </si>
  <si>
    <t>-536.774620090642 94.9210542861166 -694.869767984461</t>
  </si>
  <si>
    <t>-514.96277631133 74.8625438380307 -844.274867438402</t>
  </si>
  <si>
    <t>-470.030699575807 63.1071048157661 -934.971689826625</t>
  </si>
  <si>
    <t>-517.453746941309 114.560103567956 -781.260461975182</t>
  </si>
  <si>
    <t>-488.72598369507 258.083213077944 -767.147466143561</t>
  </si>
  <si>
    <t>-429.081669428918 338.246318140039 -466.809986132941</t>
  </si>
  <si>
    <t>-240.61764835034 259.187027105887 -305.959020884758</t>
  </si>
  <si>
    <t>-531.773974865818 52.9154340300232 -775.075011353641</t>
  </si>
  <si>
    <t>-470.189500641858 232.784890266945 -254.875044034878</t>
  </si>
  <si>
    <t>-472.73874712067 215.758509152854 200.494377836439</t>
  </si>
  <si>
    <t>-497.829764760975 167.834248451686 666.951413140687</t>
  </si>
  <si>
    <t>-348.899735686344 156.493037325143 759.87473387667</t>
  </si>
  <si>
    <t>-509.015613059616 41.2940478163292 -230.711110279639</t>
  </si>
  <si>
    <t>-426.963088052648 -0.952816420173235 215.540170398967</t>
  </si>
  <si>
    <t>-586.545885155754 -117.409484399221 642.210614111463</t>
  </si>
  <si>
    <t>-433.751396177612 -144.425280714649 725.080978958615</t>
  </si>
  <si>
    <t>9763-20170724T164259.288431900.bin</t>
  </si>
  <si>
    <t>-490.192335049202 137.205001647208 -243.426696898648</t>
  </si>
  <si>
    <t>-528.930632609813 130.407170242628 -357.973371006319</t>
  </si>
  <si>
    <t>-542.940888952555 119.398435219983 -477.861145275605</t>
  </si>
  <si>
    <t>-545.268889542862 107.772164495609 -586.73839481738</t>
  </si>
  <si>
    <t>-537.346582984523 94.5379227699748 -695.167996784971</t>
  </si>
  <si>
    <t>-515.703138432496 74.5131001632517 -844.602122890415</t>
  </si>
  <si>
    <t>-470.804943493457 62.7710616249323 -935.317393123182</t>
  </si>
  <si>
    <t>-518.182356024095 114.209167386725 -781.586258954725</t>
  </si>
  <si>
    <t>-489.358486416599 257.701843118041 -767.51192180377</t>
  </si>
  <si>
    <t>-427.578263601395 336.079926661739 -467.135000889708</t>
  </si>
  <si>
    <t>-237.808340344562 258.157809486918 -307.267555475731</t>
  </si>
  <si>
    <t>-532.376950330156 52.5377164869083 -775.377908998414</t>
  </si>
  <si>
    <t>-471.085784366823 232.964552509021 -255.317531624468</t>
  </si>
  <si>
    <t>-474.090798753001 215.815946881113 200.044591818545</t>
  </si>
  <si>
    <t>-497.485950488616 167.384728573912 666.669600886538</t>
  </si>
  <si>
    <t>-348.536589550041 157.312575567029 759.707975592095</t>
  </si>
  <si>
    <t>-509.161946200666 41.4547080282447 -230.847678363917</t>
  </si>
  <si>
    <t>-426.49754571681 -0.427094938424389 215.325109450892</t>
  </si>
  <si>
    <t>-586.349332850952 -117.620548677166 641.599917190001</t>
  </si>
  <si>
    <t>-433.565635866064 -143.420063414575 724.876722304823</t>
  </si>
  <si>
    <t>9763-20170724T164259.320078600.bin</t>
  </si>
  <si>
    <t>-490.556002560161 137.54244541905 -243.630912620851</t>
  </si>
  <si>
    <t>-529.342652100393 130.632558956035 -358.154590143181</t>
  </si>
  <si>
    <t>-543.387158190099 119.572557321306 -478.033684871219</t>
  </si>
  <si>
    <t>-545.740206019159 107.92177653987 -586.907750319606</t>
  </si>
  <si>
    <t>-537.83700724202 94.682943454154 -695.338038702643</t>
  </si>
  <si>
    <t>-516.214225477166 74.670209910323 -844.776869528461</t>
  </si>
  <si>
    <t>-471.3189296865 62.9652078216789 -935.498318570234</t>
  </si>
  <si>
    <t>-518.712545202743 114.367076815492 -781.762312537404</t>
  </si>
  <si>
    <t>-489.884259483406 257.88658223994 -767.66691424089</t>
  </si>
  <si>
    <t>-426.723005311202 335.516013770807 -467.382774853714</t>
  </si>
  <si>
    <t>-236.726924638661 257.520867337826 -307.819937706344</t>
  </si>
  <si>
    <t>-532.850726527787 52.6833359002128 -775.547325445268</t>
  </si>
  <si>
    <t>-323.337069170614 0.402263563701808 -431.656074982303</t>
  </si>
  <si>
    <t>-471.691228361329 233.481174871969 -255.522682649315</t>
  </si>
  <si>
    <t>-474.595998487939 216.261905962532 199.837296513934</t>
  </si>
  <si>
    <t>-497.429103416053 167.739312573177 666.479924751818</t>
  </si>
  <si>
    <t>-348.63174200375 156.587896363064 759.638279598523</t>
  </si>
  <si>
    <t>-509.2846724613 41.7457079673745 -231.051115417657</t>
  </si>
  <si>
    <t>-426.560603449975 0.169961617555558 215.139240131005</t>
  </si>
  <si>
    <t>-586.285964534525 -117.384211177638 641.348059830992</t>
  </si>
  <si>
    <t>-433.718664366857 -143.863317896194 724.808134776963</t>
  </si>
  <si>
    <t>9763-20170724T164259.385251800.bin</t>
  </si>
  <si>
    <t>-491.272260048372 137.688030881051 -243.917763025898</t>
  </si>
  <si>
    <t>-530.027519984888 130.647188578748 -358.444044432465</t>
  </si>
  <si>
    <t>-544.009824164458 119.521895987174 -478.324329658908</t>
  </si>
  <si>
    <t>-546.295880223668 107.83051113827 -587.195468390342</t>
  </si>
  <si>
    <t>-538.316117735188 94.5638599324152 -695.616756693227</t>
  </si>
  <si>
    <t>-516.578475682604 74.5209521038314 -845.034794713002</t>
  </si>
  <si>
    <t>-471.614631374401 62.853115730219 -935.727168299846</t>
  </si>
  <si>
    <t>-519.152615669763 114.236367160442 -782.035024356479</t>
  </si>
  <si>
    <t>-490.190817700636 257.723269672025 -767.989068972129</t>
  </si>
  <si>
    <t>-425.260412112419 334.071741257279 -467.753804235833</t>
  </si>
  <si>
    <t>-235.13908081417 255.633213479261 -308.558027541863</t>
  </si>
  <si>
    <t>-533.240819464537 52.5423080499658 -775.808947053837</t>
  </si>
  <si>
    <t>-324.086413494372 0.612283514880254 -431.755733069792</t>
  </si>
  <si>
    <t>-472.670102488509 233.792363705478 -255.741170572</t>
  </si>
  <si>
    <t>-475.375999918794 216.354331850549 199.611762910879</t>
  </si>
  <si>
    <t>-497.318759319338 167.712169676949 666.327945567278</t>
  </si>
  <si>
    <t>-348.483815880783 157.071938443091 759.486126478385</t>
  </si>
  <si>
    <t>-509.789840056037 41.6782669232292 -231.365738332587</t>
  </si>
  <si>
    <t>-426.735483091856 0.480325207200544 214.798354939684</t>
  </si>
  <si>
    <t>-586.02821021099 -118.024913582578 640.962675966784</t>
  </si>
  <si>
    <t>-433.391475767046 -142.455222116078 724.91905515366</t>
  </si>
  <si>
    <t>9763-20170724T164259.422366100.bin</t>
  </si>
  <si>
    <t>-491.690555252938 137.890883514869 -243.98910494341</t>
  </si>
  <si>
    <t>-530.384924823252 130.803657996935 -358.53312051244</t>
  </si>
  <si>
    <t>-544.306498151304 119.656272580427 -478.418409563208</t>
  </si>
  <si>
    <t>-546.539180748776 107.950558143085 -587.289230761428</t>
  </si>
  <si>
    <t>-538.508634981457 94.6720711802996 -695.705284657258</t>
  </si>
  <si>
    <t>-516.703852830808 74.612674085731 -845.111337526985</t>
  </si>
  <si>
    <t>-471.690091341995 62.930780087082 -935.777132680799</t>
  </si>
  <si>
    <t>-519.30662899474 114.335098300852 -782.117091080759</t>
  </si>
  <si>
    <t>-490.235693632263 257.794224571471 -768.07585950317</t>
  </si>
  <si>
    <t>-424.844589486594 333.524861054165 -467.784184853741</t>
  </si>
  <si>
    <t>-234.68801414836 254.569396542859 -308.886260621096</t>
  </si>
  <si>
    <t>-533.397061126126 52.6416195708146 -775.890461358244</t>
  </si>
  <si>
    <t>-324.396267480119 0.813879174147033 -431.670654007362</t>
  </si>
  <si>
    <t>-473.193167550279 234.04915346936 -255.795017831662</t>
  </si>
  <si>
    <t>-475.854558339228 216.49939464235 199.553834190894</t>
  </si>
  <si>
    <t>-497.285144798349 167.68142471307 666.272104753097</t>
  </si>
  <si>
    <t>-348.42850868277 157.251795275746 759.419480076687</t>
  </si>
  <si>
    <t>-510.006301649413 41.8799443175892 -231.498535832822</t>
  </si>
  <si>
    <t>-426.820397357499 0.829764029454907 214.654543500705</t>
  </si>
  <si>
    <t>-585.99510687654 -117.839061133774 640.836481017954</t>
  </si>
  <si>
    <t>-433.616127459484 -143.294420233444 724.956559123027</t>
  </si>
  <si>
    <t>9763-20170724T164259.492571400.bin</t>
  </si>
  <si>
    <t>-492.381803796564 138.094064559975 -244.079690874933</t>
  </si>
  <si>
    <t>-530.960332776809 130.936568461678 -358.658233476775</t>
  </si>
  <si>
    <t>-544.740943713977 119.775900765462 -478.558631432764</t>
  </si>
  <si>
    <t>-546.838545122038 108.074754624716 -587.432695869663</t>
  </si>
  <si>
    <t>-538.667006195898 94.8131944629561 -695.8402831655</t>
  </si>
  <si>
    <t>-516.661528382755 74.7862283754892 -845.221273819757</t>
  </si>
  <si>
    <t>-471.489759149551 63.0757463983824 -935.804777093827</t>
  </si>
  <si>
    <t>-519.346882433368 114.49453278744 -782.221597941101</t>
  </si>
  <si>
    <t>-490.134666807531 257.912818837373 -768.077519713272</t>
  </si>
  <si>
    <t>-423.993400765416 331.8296537249 -467.498491407129</t>
  </si>
  <si>
    <t>-233.846748413658 252.275229468795 -308.887630336924</t>
  </si>
  <si>
    <t>-533.449637147877 52.8005420475824 -776.028002775252</t>
  </si>
  <si>
    <t>-324.868056934939 1.10596102976876 -431.520424000706</t>
  </si>
  <si>
    <t>-474.056626407105 234.123948043386 -255.839492310464</t>
  </si>
  <si>
    <t>-476.798255482763 216.567047429925 199.508550167529</t>
  </si>
  <si>
    <t>-497.21182088323 167.366766799046 666.263417656651</t>
  </si>
  <si>
    <t>-348.228715919558 157.762638589297 759.297253610118</t>
  </si>
  <si>
    <t>-510.564995178268 42.158601526075 -231.606714590206</t>
  </si>
  <si>
    <t>-426.922546256676 1.27435275374044 214.476328003506</t>
  </si>
  <si>
    <t>-585.878532344298 -117.684127929383 640.556757002282</t>
  </si>
  <si>
    <t>-433.681892030848 -143.643651227339 724.852623945597</t>
  </si>
  <si>
    <t>9763-20170724T164259.522708200.bin</t>
  </si>
  <si>
    <t>-492.703386265354 137.987678921876 -244.094141816629</t>
  </si>
  <si>
    <t>-531.20741770503 130.808069348381 -358.696557045333</t>
  </si>
  <si>
    <t>-544.897644354147 119.668080400408 -478.609170747346</t>
  </si>
  <si>
    <t>-546.908534168613 107.999131931934 -587.488150748875</t>
  </si>
  <si>
    <t>-538.646314567521 94.7809777142478 -695.89422377262</t>
  </si>
  <si>
    <t>-516.511717777946 74.8238620445984 -845.265425634898</t>
  </si>
  <si>
    <t>-471.236873208 63.1344673925269 -935.800140963003</t>
  </si>
  <si>
    <t>-519.244495997952 114.501253156234 -782.24830969382</t>
  </si>
  <si>
    <t>-489.944062804972 257.890968236827 -767.98663462796</t>
  </si>
  <si>
    <t>-423.321487165558 331.025509064453 -467.322488122485</t>
  </si>
  <si>
    <t>-233.28756041804 250.975041029035 -308.826190276234</t>
  </si>
  <si>
    <t>-533.366705925154 52.8073480821211 -776.098266385446</t>
  </si>
  <si>
    <t>-325.274122209236 1.1491434790256 -431.354929347272</t>
  </si>
  <si>
    <t>-474.433586455964 234.052258273139 -255.846318532936</t>
  </si>
  <si>
    <t>-477.202686528146 216.441329545471 199.499543182917</t>
  </si>
  <si>
    <t>-497.170880335807 167.167056249321 666.257759971208</t>
  </si>
  <si>
    <t>-348.137386139973 158.055889259263 759.260435931927</t>
  </si>
  <si>
    <t>-510.817682268195 42.0196378221321 -231.661753394437</t>
  </si>
  <si>
    <t>-426.9654306836 1.19779214247934 214.387570911248</t>
  </si>
  <si>
    <t>-585.804724367021 -117.890340156905 640.45839733525</t>
  </si>
  <si>
    <t>-433.415046930177 -142.778312774277 724.728607037014</t>
  </si>
  <si>
    <t>9763-20170724T164259.587883100.bin</t>
  </si>
  <si>
    <t>-493.337017311191 137.946308715707 -244.122551688553</t>
  </si>
  <si>
    <t>-531.691947231043 130.646968759392 -358.767329431251</t>
  </si>
  <si>
    <t>-545.173947523713 119.49758144998 -478.702751013</t>
  </si>
  <si>
    <t>-546.975901742932 107.85496501831 -587.588208391259</t>
  </si>
  <si>
    <t>-538.486482296179 94.6914489546432 -695.983272106201</t>
  </si>
  <si>
    <t>-516.019595475319 74.8337575908526 -845.318295716048</t>
  </si>
  <si>
    <t>-470.498403773558 63.1689310019245 -935.732462393319</t>
  </si>
  <si>
    <t>-518.862813764462 114.462806635992 -782.275614154046</t>
  </si>
  <si>
    <t>-489.284627570143 257.761123007203 -767.739296926328</t>
  </si>
  <si>
    <t>-421.294041911985 329.214244931734 -466.977073502312</t>
  </si>
  <si>
    <t>-231.85800172765 248.435982946011 -308.13470916595</t>
  </si>
  <si>
    <t>-533.058110707382 52.7774348839494 -776.208629951517</t>
  </si>
  <si>
    <t>-325.947567162146 1.23647987321421 -430.83014321076</t>
  </si>
  <si>
    <t>-475.115858128282 233.848358443672 -255.8579425887</t>
  </si>
  <si>
    <t>-477.958741074614 216.376588228878 199.49278154124</t>
  </si>
  <si>
    <t>-497.138103795445 166.851446400392 666.285945475453</t>
  </si>
  <si>
    <t>-347.958441819793 158.868182593598 759.158005349926</t>
  </si>
  <si>
    <t>-511.392905042893 42.1935700330015 -231.719086268217</t>
  </si>
  <si>
    <t>-427.18403752126 1.73831617153709 214.2965484713</t>
  </si>
  <si>
    <t>-585.770001639819 -117.451332963034 640.356297207728</t>
  </si>
  <si>
    <t>-433.456273591439 -142.714749995969 724.652319756657</t>
  </si>
  <si>
    <t>9763-20170724T164259.622017900.bin</t>
  </si>
  <si>
    <t>-493.684203585491 138.052685119038 -244.119003899119</t>
  </si>
  <si>
    <t>-531.942815243372 130.708997157021 -358.793066644079</t>
  </si>
  <si>
    <t>-545.280634903382 119.572374166432 -478.745811613232</t>
  </si>
  <si>
    <t>-546.93455155157 107.958891533501 -587.636664286786</t>
  </si>
  <si>
    <t>-538.281179092113 94.8383916969627 -696.024089670584</t>
  </si>
  <si>
    <t>-515.571718632076 75.0520368194751 -845.331821269794</t>
  </si>
  <si>
    <t>-469.918459142468 63.4195614011236 -935.683581943126</t>
  </si>
  <si>
    <t>-518.483848750441 114.64386148071 -782.268839847264</t>
  </si>
  <si>
    <t>-488.720687962452 257.893015141743 -767.531421942637</t>
  </si>
  <si>
    <t>-420.161966829592 328.413525424756 -466.678190857026</t>
  </si>
  <si>
    <t>-230.877284159518 247.528266587242 -307.7097765041</t>
  </si>
  <si>
    <t>-532.756089773301 52.9699407747617 -776.266646210594</t>
  </si>
  <si>
    <t>-326.179185220398 1.32184596719031 -430.543239392034</t>
  </si>
  <si>
    <t>-475.476568795119 234.031290061718 -255.864221605115</t>
  </si>
  <si>
    <t>-478.432151446786 216.611545117942 199.487765396883</t>
  </si>
  <si>
    <t>-497.225724342891 167.123928775047 666.290839212887</t>
  </si>
  <si>
    <t>-348.07900262089 158.2913959713 759.138711743437</t>
  </si>
  <si>
    <t>-511.702226761901 42.2680042838865 -231.716631596997</t>
  </si>
  <si>
    <t>-427.223301954852 1.98954365956922 214.2638690559</t>
  </si>
  <si>
    <t>-585.692482329945 -117.467813580914 640.286409365617</t>
  </si>
  <si>
    <t>-433.343931435255 -142.32656560387 724.63964707471</t>
  </si>
  <si>
    <t>9763-20170724T164259.689197400.bin</t>
  </si>
  <si>
    <t>-494.252265153781 138.011409399385 -244.12569863999</t>
  </si>
  <si>
    <t>-532.439079136743 130.623634235272 -358.821048346123</t>
  </si>
  <si>
    <t>-545.610965027628 119.512108745537 -478.794377152223</t>
  </si>
  <si>
    <t>-547.078557049025 107.941369049777 -587.692417375943</t>
  </si>
  <si>
    <t>-538.20448364331 94.8791661146579 -696.069062224857</t>
  </si>
  <si>
    <t>-515.155102876573 75.1855420290171 -845.336808991841</t>
  </si>
  <si>
    <t>-469.303811181927 63.5922247946695 -935.593446621897</t>
  </si>
  <si>
    <t>-518.154923285406 114.726195886068 -782.245933297336</t>
  </si>
  <si>
    <t>-488.167235537008 257.889035233043 -767.150887031677</t>
  </si>
  <si>
    <t>-418.4432799222 326.639913684998 -466.155762807551</t>
  </si>
  <si>
    <t>-229.357010622674 245.569762074447 -307.045534462642</t>
  </si>
  <si>
    <t>-532.552559342852 53.0726114499684 -776.335033623398</t>
  </si>
  <si>
    <t>-326.875108273408 1.19315313909853 -430.056257101163</t>
  </si>
  <si>
    <t>-476.151583051463 234.081143500214 -255.834276734583</t>
  </si>
  <si>
    <t>-479.422414275193 216.85208483279 199.522910040162</t>
  </si>
  <si>
    <t>-497.503603450981 167.666869920531 666.404527428504</t>
  </si>
  <si>
    <t>-348.299473774205 158.082307522415 759.085589763444</t>
  </si>
  <si>
    <t>-512.241034400779 42.1584515843671 -231.703010584375</t>
  </si>
  <si>
    <t>-427.328324515754 2.04357206141557 214.209894337719</t>
  </si>
  <si>
    <t>-585.657351707223 -117.256057542565 640.328396121486</t>
  </si>
  <si>
    <t>-433.343427227667 -142.012836870216 724.774155151506</t>
  </si>
  <si>
    <t>9763-20170724T164259.720843700.bin</t>
  </si>
  <si>
    <t>-494.43178683419 137.72513094448 -244.041999580785</t>
  </si>
  <si>
    <t>-532.468017737725 130.335524194294 -358.787101352298</t>
  </si>
  <si>
    <t>-545.503043440308 119.247100620827 -478.777627933733</t>
  </si>
  <si>
    <t>-546.854545296929 107.707115415869 -587.680475420498</t>
  </si>
  <si>
    <t>-537.873181499158 94.6852788605361 -696.05305765056</t>
  </si>
  <si>
    <t>-514.684264190347 75.057606438129 -845.307985572637</t>
  </si>
  <si>
    <t>-468.753532201783 63.4940034068225 -935.528049012565</t>
  </si>
  <si>
    <t>-517.72464476339 114.566395208431 -782.199153338902</t>
  </si>
  <si>
    <t>-487.586466615881 257.678006553736 -766.961864144985</t>
  </si>
  <si>
    <t>-417.624064302625 325.962952028196 -465.916046735631</t>
  </si>
  <si>
    <t>-228.133747721185 245.076868613315 -307.193295233712</t>
  </si>
  <si>
    <t>-532.164646364898 52.918149565501 -776.33553174083</t>
  </si>
  <si>
    <t>-326.813721251752 0.615707344516878 -429.78137153608</t>
  </si>
  <si>
    <t>-476.267350247745 233.672972791248 -255.789721904634</t>
  </si>
  <si>
    <t>-479.85598929894 216.524224113703 199.568056638119</t>
  </si>
  <si>
    <t>-497.453736769011 167.279879393507 666.458783277091</t>
  </si>
  <si>
    <t>-348.158896116174 158.395779448802 759.063392824189</t>
  </si>
  <si>
    <t>-512.414490449873 41.8798674922013 -231.647079889332</t>
  </si>
  <si>
    <t>-427.481786985978 1.71323065063449 214.257287421551</t>
  </si>
  <si>
    <t>-585.763202903939 -117.354425740028 640.496859696935</t>
  </si>
  <si>
    <t>-433.356815895963 -141.922462157798 724.830735333082</t>
  </si>
  <si>
    <t>9763-20170724T164259.785013700.bin</t>
  </si>
  <si>
    <t>-494.687513761576 137.267355710721 -244.057137809158</t>
  </si>
  <si>
    <t>-532.678772123532 130.024211480701 -358.826385676173</t>
  </si>
  <si>
    <t>-545.604702517884 119.019108934368 -478.836320476788</t>
  </si>
  <si>
    <t>-546.83170349732 107.531475819797 -587.746384717852</t>
  </si>
  <si>
    <t>-537.700885433626 94.5410496319152 -696.110172126509</t>
  </si>
  <si>
    <t>-514.279611403375 74.9372248934809 -845.331893205371</t>
  </si>
  <si>
    <t>-468.197584498765 63.4027121275875 -935.478413487725</t>
  </si>
  <si>
    <t>-517.413953989838 114.434980700744 -782.220730178632</t>
  </si>
  <si>
    <t>-487.202291126548 257.525470635917 -766.827390682929</t>
  </si>
  <si>
    <t>-416.180874409592 325.273609158606 -465.908227574275</t>
  </si>
  <si>
    <t>-226.168787981202 244.452211529459 -307.777461494015</t>
  </si>
  <si>
    <t>-531.871663521085 52.7876693146105 -776.391089896856</t>
  </si>
  <si>
    <t>-326.847744676636 0.224415203925091 -429.649793202733</t>
  </si>
  <si>
    <t>-476.494173378903 233.146250781759 -255.766494072854</t>
  </si>
  <si>
    <t>-480.022751590789 216.055800326416 199.59393275563</t>
  </si>
  <si>
    <t>-497.468947657109 167.235791037125 666.525238727367</t>
  </si>
  <si>
    <t>-348.150052947302 158.497651256185 759.105168211362</t>
  </si>
  <si>
    <t>-512.719806382143 41.5591202133561 -231.689183100123</t>
  </si>
  <si>
    <t>-427.928435364791 0.831719919918271 214.191232055774</t>
  </si>
  <si>
    <t>-585.995986606913 -117.524621822492 640.770692641642</t>
  </si>
  <si>
    <t>-433.773564449831 -143.690375255236 724.956140763163</t>
  </si>
  <si>
    <t>9763-20170724T164259.821664000.bin</t>
  </si>
  <si>
    <t>-494.773281520703 136.9074051474 -244.055494719952</t>
  </si>
  <si>
    <t>-532.774224341791 129.73119509079 -358.825793836479</t>
  </si>
  <si>
    <t>-545.675993959506 118.764656437903 -478.841790644787</t>
  </si>
  <si>
    <t>-546.867523660333 107.299099304693 -587.754610712916</t>
  </si>
  <si>
    <t>-537.687972405831 94.317555276265 -696.115308385632</t>
  </si>
  <si>
    <t>-514.185861008628 74.7117446130697 -845.324166453297</t>
  </si>
  <si>
    <t>-468.06707287679 63.1722131416721 -935.451200130506</t>
  </si>
  <si>
    <t>-517.350465524429 114.209415402485 -782.214509728609</t>
  </si>
  <si>
    <t>-487.086839090616 257.284548598913 -766.774593881514</t>
  </si>
  <si>
    <t>-415.332783272312 324.692314800032 -465.952872599866</t>
  </si>
  <si>
    <t>-224.931442882606 244.107104054538 -308.170141178168</t>
  </si>
  <si>
    <t>-531.819225119158 52.5639357429678 -776.393325090159</t>
  </si>
  <si>
    <t>-476.564488039975 232.730798037626 -255.718951174871</t>
  </si>
  <si>
    <t>-479.967936878604 215.709916022927 199.644996225056</t>
  </si>
  <si>
    <t>-497.406399727921 166.886844314362 666.581230711788</t>
  </si>
  <si>
    <t>-348.047339355245 158.662488203488 759.143375908586</t>
  </si>
  <si>
    <t>-512.812608539516 41.1765504929541 -231.738058114839</t>
  </si>
  <si>
    <t>-428.155826528725 0.225991018384313 214.147498294915</t>
  </si>
  <si>
    <t>-586.122664708792 -117.659170971037 640.904815411591</t>
  </si>
  <si>
    <t>-433.775111542122 -143.486110848445 724.96855418402</t>
  </si>
  <si>
    <t>9763-20170724T164259.898875500.bin</t>
  </si>
  <si>
    <t>-494.968537938037 136.462685678627 -244.055592752115</t>
  </si>
  <si>
    <t>-532.924073577834 129.333013966395 -358.843826166035</t>
  </si>
  <si>
    <t>-545.761561081328 118.356038382728 -478.865846340473</t>
  </si>
  <si>
    <t>-546.888708456385 106.855885842972 -587.775550833558</t>
  </si>
  <si>
    <t>-537.639170605291 93.8137038450758 -696.123040690372</t>
  </si>
  <si>
    <t>-514.035190445229 74.0955980399045 -845.301072012775</t>
  </si>
  <si>
    <t>-467.894548628484 62.4878219966946 -935.408143050553</t>
  </si>
  <si>
    <t>-517.239053120099 113.639962560696 -782.222583965549</t>
  </si>
  <si>
    <t>-486.924985380296 256.700041903892 -766.761948375166</t>
  </si>
  <si>
    <t>-413.838066495579 323.61387315914 -466.150927821972</t>
  </si>
  <si>
    <t>-222.49036301426 242.867131837992 -309.600317045393</t>
  </si>
  <si>
    <t>-531.719299655009 52.0005112603198 -776.36620129903</t>
  </si>
  <si>
    <t>-476.832361165548 232.362417281039 -255.666998218312</t>
  </si>
  <si>
    <t>-480.080020931827 215.438073223325 199.701672389607</t>
  </si>
  <si>
    <t>-497.47770724375 167.083292636065 666.625790746987</t>
  </si>
  <si>
    <t>-348.160456640114 158.389023401319 759.212468070526</t>
  </si>
  <si>
    <t>-512.915292011233 40.669693569524 -231.796993654613</t>
  </si>
  <si>
    <t>-428.429310591778 -0.668498710984863 214.085116933998</t>
  </si>
  <si>
    <t>-586.328489475506 -117.734029197903 641.018238693834</t>
  </si>
  <si>
    <t>-433.808242293023 -143.209584698757 724.875811711446</t>
  </si>
  <si>
    <t>9763-20170724T164259.921448900.bin</t>
  </si>
  <si>
    <t>-495.036346541923 136.483746129668 -244.079517708043</t>
  </si>
  <si>
    <t>-533.020798291068 129.358013483424 -358.85840638276</t>
  </si>
  <si>
    <t>-545.916587487121 118.351896984134 -478.871568899579</t>
  </si>
  <si>
    <t>-547.108162301676 106.810009909303 -587.776048407636</t>
  </si>
  <si>
    <t>-537.934915439172 93.709182590221 -696.12310624133</t>
  </si>
  <si>
    <t>-514.448840113101 73.8911161768902 -845.306428990066</t>
  </si>
  <si>
    <t>-468.362834644582 62.2258332116199 -935.434012353588</t>
  </si>
  <si>
    <t>-517.588997455526 113.474774162248 -782.249331197882</t>
  </si>
  <si>
    <t>-487.31368516283 256.55902181283 -766.90351477418</t>
  </si>
  <si>
    <t>-413.676292969987 323.307333143379 -466.390038517294</t>
  </si>
  <si>
    <t>-222.046031461831 242.298483608613 -310.321241615994</t>
  </si>
  <si>
    <t>-532.092446955755 51.8452586038923 -776.345462750597</t>
  </si>
  <si>
    <t>-476.966084088075 232.399642313876 -255.671420490797</t>
  </si>
  <si>
    <t>-480.182510877527 215.607594563719 199.702398154599</t>
  </si>
  <si>
    <t>-497.564924187843 167.403111585587 666.640335460188</t>
  </si>
  <si>
    <t>-348.298852056128 157.969836726 759.23703966959</t>
  </si>
  <si>
    <t>-512.942287770168 40.741395734897 -231.807147622584</t>
  </si>
  <si>
    <t>-428.444110848569 -0.490503648177906 214.082571741669</t>
  </si>
  <si>
    <t>-586.418106414983 -117.343978105448 640.996682387811</t>
  </si>
  <si>
    <t>-434.119142032519 -144.157841777282 724.839047111613</t>
  </si>
  <si>
    <t>9763-20170724T164259.987624200.bin</t>
  </si>
  <si>
    <t>-495.020138873126 136.12444051401 -243.959577931582</t>
  </si>
  <si>
    <t>-533.022458480169 128.962971258719 -358.730555338752</t>
  </si>
  <si>
    <t>-545.996359591318 117.798909853527 -478.720393829299</t>
  </si>
  <si>
    <t>-547.283579879135 106.06508984651 -587.603405813695</t>
  </si>
  <si>
    <t>-538.230829471587 92.7240890213655 -695.931348631729</t>
  </si>
  <si>
    <t>-514.937447246252 72.5223731067928 -845.093318685435</t>
  </si>
  <si>
    <t>-469.006891140239 60.6737739487536 -935.27636203032</t>
  </si>
  <si>
    <t>-517.963148255192 112.260795266246 -782.128181234632</t>
  </si>
  <si>
    <t>-487.722107823322 255.388252302162 -767.239546181496</t>
  </si>
  <si>
    <t>-414.364435066342 322.877976597282 -466.823221062874</t>
  </si>
  <si>
    <t>-222.109620396513 241.083286703062 -311.93696695203</t>
  </si>
  <si>
    <t>-532.524993600768 50.6611017866375 -776.059399742694</t>
  </si>
  <si>
    <t>-476.927310541011 231.9712105652 -255.598904349007</t>
  </si>
  <si>
    <t>-480.268386540211 215.319216208256 199.779271908867</t>
  </si>
  <si>
    <t>-497.63946918804 167.179639673516 666.791065101643</t>
  </si>
  <si>
    <t>-348.268871319055 157.80242440129 759.224918008848</t>
  </si>
  <si>
    <t>-513.015186770702 40.3063659587634 -231.656770872804</t>
  </si>
  <si>
    <t>-428.250424874651 -0.752190504569924 214.198325418737</t>
  </si>
  <si>
    <t>-586.473190527111 -117.787163493919 640.980759541822</t>
  </si>
  <si>
    <t>-433.913085990939 -143.705376726023 724.629763454435</t>
  </si>
  <si>
    <t>9763-20170724T164300.021778400.bin</t>
  </si>
  <si>
    <t>-494.920934163166 135.880694416172 -243.857027640882</t>
  </si>
  <si>
    <t>-532.999284780567 128.757522796386 -358.605023744227</t>
  </si>
  <si>
    <t>-546.084423613978 117.527435928017 -478.576901007639</t>
  </si>
  <si>
    <t>-547.48569154697 105.693317483156 -587.447614682893</t>
  </si>
  <si>
    <t>-538.559643199174 92.21271143686 -695.768577413623</t>
  </si>
  <si>
    <t>-515.454843795118 71.7775094909358 -844.928154680929</t>
  </si>
  <si>
    <t>-469.621142254445 59.7787341316112 -935.140679721404</t>
  </si>
  <si>
    <t>-518.371709232244 111.608115240072 -782.016110365724</t>
  </si>
  <si>
    <t>-488.141315755357 254.772109734462 -767.437113573672</t>
  </si>
  <si>
    <t>-415.165351626149 323.090546680295 -467.115040842196</t>
  </si>
  <si>
    <t>-222.602935442977 240.742006818769 -312.905952540556</t>
  </si>
  <si>
    <t>-532.984306886306 50.0307953441878 -775.843347296211</t>
  </si>
  <si>
    <t>-476.739399801886 231.654123990852 -255.453189322139</t>
  </si>
  <si>
    <t>-480.123517072694 214.967890108961 199.923294788533</t>
  </si>
  <si>
    <t>-497.730234588018 166.728161967419 667.019350172218</t>
  </si>
  <si>
    <t>-348.099668897427 158.760754570397 759.164438280601</t>
  </si>
  <si>
    <t>-512.969737522671 40.1542641727115 -231.558550360525</t>
  </si>
  <si>
    <t>-428.134246178112 -0.992473315032498 214.275028731051</t>
  </si>
  <si>
    <t>-586.487699835369 -118.074169872482 640.987448269045</t>
  </si>
  <si>
    <t>-433.817725033772 -143.766313904079 724.50568812216</t>
  </si>
  <si>
    <t>9763-20170724T164300.090970300.bin</t>
  </si>
  <si>
    <t>-494.943978931664 135.78683090499 -243.298861979124</t>
  </si>
  <si>
    <t>-533.078898102596 128.739510397063 -358.032804477861</t>
  </si>
  <si>
    <t>-546.374900549107 117.318556626294 -477.963330683724</t>
  </si>
  <si>
    <t>-548.029192926334 105.210461451897 -586.800431869892</t>
  </si>
  <si>
    <t>-539.4165653872 91.3596094752857 -695.100060388084</t>
  </si>
  <si>
    <t>-516.80804460011 70.3141638155267 -844.250857837748</t>
  </si>
  <si>
    <t>-471.221078993205 57.8310458638367 -934.522599557637</t>
  </si>
  <si>
    <t>-519.443542936926 110.385987321107 -781.479647350704</t>
  </si>
  <si>
    <t>-489.185310109766 253.646353313118 -767.779526160357</t>
  </si>
  <si>
    <t>-417.67447811013 323.468634027521 -467.450912000346</t>
  </si>
  <si>
    <t>-224.490685525069 240.120476743666 -314.561499946914</t>
  </si>
  <si>
    <t>-534.179696074802 48.8662567983911 -775.032852838325</t>
  </si>
  <si>
    <t>-476.675607376249 231.640487220548 -254.796162493796</t>
  </si>
  <si>
    <t>-480.531944968137 214.920135895595 200.575418076382</t>
  </si>
  <si>
    <t>-498.669463866817 166.962690347496 667.873732443058</t>
  </si>
  <si>
    <t>-348.367618417405 158.759009639241 758.898764273676</t>
  </si>
  <si>
    <t>-513.158184629522 40.0456920120085 -231.077329248621</t>
  </si>
  <si>
    <t>-428.136452199654 -1.40100481404987 214.692980769163</t>
  </si>
  <si>
    <t>-586.545446393484 -118.226612094784 641.24857669532</t>
  </si>
  <si>
    <t>-433.644787961998 -143.428174743668 724.49381126361</t>
  </si>
  <si>
    <t>9763-20170724T164300.120610900.bin</t>
  </si>
  <si>
    <t>-495.232397975744 135.855172373989 -242.846079393864</t>
  </si>
  <si>
    <t>-533.418314199542 128.83241039784 -357.564422080365</t>
  </si>
  <si>
    <t>-546.851932091566 117.279894708476 -477.467134597077</t>
  </si>
  <si>
    <t>-548.665592121373 104.992008427308 -586.281571144407</t>
  </si>
  <si>
    <t>-540.246334486489 90.9024417428969 -694.565682938439</t>
  </si>
  <si>
    <t>-517.940687465963 69.4657899254576 -843.706243696587</t>
  </si>
  <si>
    <t>-472.522695723869 56.6535569152327 -934.017073249203</t>
  </si>
  <si>
    <t>-520.403470388511 109.692140268627 -781.026946393989</t>
  </si>
  <si>
    <t>-490.196503665254 253.008530311765 -767.837485297432</t>
  </si>
  <si>
    <t>-419.390094280973 323.662195019731 -467.536319884071</t>
  </si>
  <si>
    <t>-226.093931073214 239.784681772936 -315.079107756776</t>
  </si>
  <si>
    <t>-535.217031627566 48.2095363573301 -774.405222690977</t>
  </si>
  <si>
    <t>-477.069112228892 231.560196458195 -254.270468226928</t>
  </si>
  <si>
    <t>-481.033004261562 214.781126638196 201.097934600591</t>
  </si>
  <si>
    <t>-499.261207367253 166.667130225655 668.555125903381</t>
  </si>
  <si>
    <t>-348.327810072531 159.202503389322 758.593584827705</t>
  </si>
  <si>
    <t>-513.363627696438 40.2895140910049 -230.651339994474</t>
  </si>
  <si>
    <t>-428.293995912125 -1.36519809209718 215.090362951269</t>
  </si>
  <si>
    <t>-586.604824652253 -118.094561509531 641.556530932217</t>
  </si>
  <si>
    <t>-433.840450811583 -144.222179051751 724.766390821487</t>
  </si>
  <si>
    <t>9763-20170724T164300.191312400.bin</t>
  </si>
  <si>
    <t>-496.304624707904 135.884258547676 -241.558921211499</t>
  </si>
  <si>
    <t>-534.500276172853 128.829572718021 -356.27223459577</t>
  </si>
  <si>
    <t>-548.142900844242 116.999468094638 -476.124090810504</t>
  </si>
  <si>
    <t>-550.228815105656 104.355944320119 -584.892963644846</t>
  </si>
  <si>
    <t>-542.164928716719 89.8035637462815 -693.142851999076</t>
  </si>
  <si>
    <t>-520.438253957433 67.6097615933178 -842.258260430107</t>
  </si>
  <si>
    <t>-475.387232163747 54.1378311752569 -932.656723299783</t>
  </si>
  <si>
    <t>-522.570503250806 108.134415561818 -779.759196352244</t>
  </si>
  <si>
    <t>-492.229207034491 251.474671579577 -767.426858722306</t>
  </si>
  <si>
    <t>-423.644819042364 322.387843919804 -466.671714138384</t>
  </si>
  <si>
    <t>-230.263634215364 237.487815537807 -314.889798901061</t>
  </si>
  <si>
    <t>-537.532780032592 46.7252280967304 -772.799292041511</t>
  </si>
  <si>
    <t>-478.510875218583 231.604932628852 -252.863015800624</t>
  </si>
  <si>
    <t>-482.200693753414 214.740679805729 202.504487507217</t>
  </si>
  <si>
    <t>-500.84717650053 167.087497043672 670.029762892187</t>
  </si>
  <si>
    <t>-348.681273005738 159.364034310507 757.946713817218</t>
  </si>
  <si>
    <t>-513.923690504671 40.2892120783803 -229.537263817318</t>
  </si>
  <si>
    <t>-429.01108295698 -1.56098364982637 216.216164302919</t>
  </si>
  <si>
    <t>-586.686315865288 -118.055409803292 642.549204948124</t>
  </si>
  <si>
    <t>-433.686619448854 -143.23541735503 725.618875965687</t>
  </si>
  <si>
    <t>9763-20170724T164300.222898100.bin</t>
  </si>
  <si>
    <t>-496.756668118654 135.930592450495 -241.141914250771</t>
  </si>
  <si>
    <t>-535.001990823369 128.883620609328 -355.839018575222</t>
  </si>
  <si>
    <t>-548.740516663721 116.968239289548 -475.671635502183</t>
  </si>
  <si>
    <t>-550.933061619251 104.203508259931 -584.424048966593</t>
  </si>
  <si>
    <t>-542.996141522961 89.4820860453438 -692.660486878157</t>
  </si>
  <si>
    <t>-521.467278445683 67.0002701185576 -841.761463502525</t>
  </si>
  <si>
    <t>-476.569126723868 53.2600730372609 -932.195808565095</t>
  </si>
  <si>
    <t>-523.468797576184 107.634876992938 -779.329642602592</t>
  </si>
  <si>
    <t>-493.041509651338 250.992093509825 -767.264146357944</t>
  </si>
  <si>
    <t>-425.718932800361 320.059080840281 -465.795007069744</t>
  </si>
  <si>
    <t>-231.41642394725 235.691605883607 -314.895349101172</t>
  </si>
  <si>
    <t>-538.517421236434 46.260701261642 -772.248327020458</t>
  </si>
  <si>
    <t>-479.009294493924 231.712302839971 -252.525907042287</t>
  </si>
  <si>
    <t>-482.302927217787 214.745331860889 202.840889889018</t>
  </si>
  <si>
    <t>-500.887611483514 167.217752032347 669.990715452963</t>
  </si>
  <si>
    <t>-348.659430094263 159.430043506067 757.794212860787</t>
  </si>
  <si>
    <t>-514.302122848404 40.3097671367524 -229.118228803582</t>
  </si>
  <si>
    <t>-429.384050019959 -1.59986803149057 216.628578709306</t>
  </si>
  <si>
    <t>-586.677173162109 -118.317399954462 643.014208942588</t>
  </si>
  <si>
    <t>-433.65805066705 -143.468242093197 726.057060219043</t>
  </si>
  <si>
    <t>9763-20170724T164300.292587200.bin</t>
  </si>
  <si>
    <t>-497.382240051544 135.767659930495 -240.785333277503</t>
  </si>
  <si>
    <t>-535.729769849633 128.637492603891 -355.443235428756</t>
  </si>
  <si>
    <t>-549.689646561996 116.542402131774 -475.232207971783</t>
  </si>
  <si>
    <t>-552.131600819777 103.568584114485 -583.954674269421</t>
  </si>
  <si>
    <t>-544.493005968583 88.5869680256044 -692.176901855407</t>
  </si>
  <si>
    <t>-523.428958322272 65.6860490432503 -841.280362381118</t>
  </si>
  <si>
    <t>-478.822726774402 51.5097080404531 -931.791726902332</t>
  </si>
  <si>
    <t>-525.163330025869 106.479567815693 -778.944227946672</t>
  </si>
  <si>
    <t>-494.623238082604 249.828329152033 -767.118765305781</t>
  </si>
  <si>
    <t>-427.938159555693 314.458443523957 -464.526314472833</t>
  </si>
  <si>
    <t>-232.894302070184 229.624517879672 -314.84942345329</t>
  </si>
  <si>
    <t>-540.335063905412 45.1583971143683 -771.669179768968</t>
  </si>
  <si>
    <t>-479.459124045162 231.38038834897 -252.507217726623</t>
  </si>
  <si>
    <t>-482.179336470643 214.564453018976 202.869088640119</t>
  </si>
  <si>
    <t>-500.491046137563 167.066000396397 669.849126687396</t>
  </si>
  <si>
    <t>-348.400766809678 159.94423830375 757.947610132835</t>
  </si>
  <si>
    <t>-515.015293416406 40.1182290943811 -228.590866948722</t>
  </si>
  <si>
    <t>-429.796047455305 -1.73182921639179 217.103948096403</t>
  </si>
  <si>
    <t>-586.74375138167 -118.569457506473 643.717777244687</t>
  </si>
  <si>
    <t>-433.551683083045 -142.966642234058 726.66652839287</t>
  </si>
  <si>
    <t>9763-20170724T164300.323708100.bin</t>
  </si>
  <si>
    <t>-497.662938411351 135.729389910783 -240.793773167466</t>
  </si>
  <si>
    <t>-536.127842429231 128.570933584875 -355.410595571492</t>
  </si>
  <si>
    <t>-550.229471400702 116.409877037273 -475.176265743061</t>
  </si>
  <si>
    <t>-552.808448509035 103.359728012664 -583.886460381108</t>
  </si>
  <si>
    <t>-545.315049302708 88.2845057818055 -692.1057278607</t>
  </si>
  <si>
    <t>-524.460606260996 65.2347455010991 -841.215824824478</t>
  </si>
  <si>
    <t>-479.963864651211 50.919286944307 -931.759187481517</t>
  </si>
  <si>
    <t>-526.071529579795 106.082330392459 -778.91183716728</t>
  </si>
  <si>
    <t>-495.426762382229 249.429829632074 -767.238451436749</t>
  </si>
  <si>
    <t>-428.700556419519 312.409886150531 -464.307201400811</t>
  </si>
  <si>
    <t>-233.962235981165 227.061912242079 -314.524857187472</t>
  </si>
  <si>
    <t>-541.304606493411 44.7847018112302 -771.566798778013</t>
  </si>
  <si>
    <t>-479.633970671065 231.248716227653 -252.653430360539</t>
  </si>
  <si>
    <t>-482.104601954596 214.57196259341 202.729267735876</t>
  </si>
  <si>
    <t>-500.264144504932 167.114187282554 669.752654668835</t>
  </si>
  <si>
    <t>-348.301705325619 159.757802297015 758.052166435013</t>
  </si>
  <si>
    <t>-515.455692181266 40.3029385857003 -228.474484059802</t>
  </si>
  <si>
    <t>-429.96163345763 -1.77233227891673 217.146521930394</t>
  </si>
  <si>
    <t>-586.861465431081 -118.16527838202 643.958829502302</t>
  </si>
  <si>
    <t>-433.814282537911 -143.584602266993 726.868006171037</t>
  </si>
  <si>
    <t>9763-20170724T164300.392886600.bin</t>
  </si>
  <si>
    <t>-498.574078477841 135.354066771428 -240.940687831977</t>
  </si>
  <si>
    <t>-537.358187078647 128.207923896395 -355.450622644324</t>
  </si>
  <si>
    <t>-551.763704411806 115.968418219048 -475.172114166885</t>
  </si>
  <si>
    <t>-554.607244010728 102.809743751233 -583.862595396157</t>
  </si>
  <si>
    <t>-547.366441908483 87.5886397058036 -692.07876097805</t>
  </si>
  <si>
    <t>-526.849585422587 64.2974713108732 -841.198170562379</t>
  </si>
  <si>
    <t>-482.494943492302 49.7521625367152 -931.774575427303</t>
  </si>
  <si>
    <t>-528.226844179354 105.224724973671 -778.940702599928</t>
  </si>
  <si>
    <t>-497.507684084417 248.579828347935 -767.519351539545</t>
  </si>
  <si>
    <t>-430.88948576217 308.98401061552 -464.040295272056</t>
  </si>
  <si>
    <t>-242.168207823667 213.775099327243 -312.509409537752</t>
  </si>
  <si>
    <t>-543.628578248711 43.9814652412583 -771.494086334978</t>
  </si>
  <si>
    <t>-480.332281420146 230.914320712517 -252.923997775356</t>
  </si>
  <si>
    <t>-482.032552549464 214.592616439773 202.475163663521</t>
  </si>
  <si>
    <t>-500.041318400798 167.492248740749 669.590617858939</t>
  </si>
  <si>
    <t>-348.288109316889 159.427383693159 758.187608732161</t>
  </si>
  <si>
    <t>-516.676831427168 39.855617868188 -228.431279741022</t>
  </si>
  <si>
    <t>-430.693808363934 -2.14230395619052 217.102941819366</t>
  </si>
  <si>
    <t>-587.104897273725 -117.988145478061 644.411064991731</t>
  </si>
  <si>
    <t>-433.885560759822 -143.23756840315 727.053753912075</t>
  </si>
  <si>
    <t>9763-20170724T164300.426389100.bin</t>
  </si>
  <si>
    <t>-499.082553523609 134.897379506096 -241.003041035758</t>
  </si>
  <si>
    <t>-538.047210788166 127.771918974767 -355.453045678544</t>
  </si>
  <si>
    <t>-552.587974282499 115.472212200758 -475.15196944816</t>
  </si>
  <si>
    <t>-555.532880860745 102.22696153684 -583.829219916151</t>
  </si>
  <si>
    <t>-548.371923715443 86.8880153681422 -692.034098397851</t>
  </si>
  <si>
    <t>-527.943609825243 63.4017710124442 -841.135022089061</t>
  </si>
  <si>
    <t>-483.668538610623 48.7063008846187 -931.726118126557</t>
  </si>
  <si>
    <t>-529.244984273738 104.401453226557 -778.923637628331</t>
  </si>
  <si>
    <t>-498.5941719546 247.802988227427 -767.67746141921</t>
  </si>
  <si>
    <t>-432.15023179508 307.638771580399 -464.047706428136</t>
  </si>
  <si>
    <t>-247.67592401408 204.602637165321 -312.407286187967</t>
  </si>
  <si>
    <t>-544.719957805717 43.1859759388358 -771.401220824646</t>
  </si>
  <si>
    <t>-480.691099888132 230.388695307147 -253.011767846248</t>
  </si>
  <si>
    <t>-481.805305181718 214.288058134975 202.396950800286</t>
  </si>
  <si>
    <t>-499.924893827435 167.286337260277 669.605352374958</t>
  </si>
  <si>
    <t>-348.200889705425 159.285843752836 758.25818271364</t>
  </si>
  <si>
    <t>-517.289533963533 39.4789225853937 -228.392915929403</t>
  </si>
  <si>
    <t>-430.877574236157 -2.48625073234705 217.061434039696</t>
  </si>
  <si>
    <t>-587.190825463589 -118.07883656167 644.582738061481</t>
  </si>
  <si>
    <t>-433.996421655739 -143.736873754714 727.145821128852</t>
  </si>
  <si>
    <t>9763-20170724T164300.485545900.bin</t>
  </si>
  <si>
    <t>-499.91983626369 133.510288566647 -241.170844742226</t>
  </si>
  <si>
    <t>-539.283920646111 126.396612663269 -355.484754579072</t>
  </si>
  <si>
    <t>-554.083967022508 114.037629986877 -475.145802727029</t>
  </si>
  <si>
    <t>-557.20137255019 100.705451796934 -583.807572691987</t>
  </si>
  <si>
    <t>-550.150194235701 85.2447880702503 -692.00234494386</t>
  </si>
  <si>
    <t>-529.810002331049 61.5514774721835 -841.082549831343</t>
  </si>
  <si>
    <t>-485.6176628961 46.6987465062235 -931.6884198154</t>
  </si>
  <si>
    <t>-530.967824358188 102.61257295685 -778.908959058104</t>
  </si>
  <si>
    <t>-500.21411304935 245.940395573179 -767.862268027951</t>
  </si>
  <si>
    <t>-434.554796839076 305.02364195712 -463.914505621785</t>
  </si>
  <si>
    <t>-253.631612100186 196.84785403141 -311.576736113219</t>
  </si>
  <si>
    <t>-546.651998763299 41.4574274300556 -771.329511183207</t>
  </si>
  <si>
    <t>-481.248293018122 228.804773503619 -253.302824864112</t>
  </si>
  <si>
    <t>-481.437563690322 213.43307224726 202.132509108396</t>
  </si>
  <si>
    <t>-499.467023232465 167.015567290681 669.265020392236</t>
  </si>
  <si>
    <t>-348.015070246835 159.226976788636 758.400652906772</t>
  </si>
  <si>
    <t>-518.364385308063 38.2275993492416 -228.366718536307</t>
  </si>
  <si>
    <t>-431.123830562441 -3.50031417773934 216.948360252867</t>
  </si>
  <si>
    <t>-587.402866925085 -117.878979551917 644.814037312636</t>
  </si>
  <si>
    <t>-434.092142112731 -143.388574063338 727.206915808452</t>
  </si>
  <si>
    <t>9763-20170724T164300.520502900.bin</t>
  </si>
  <si>
    <t>-500.317475492928 132.641882550376 -241.425075519786</t>
  </si>
  <si>
    <t>-539.733375203879 125.543219247403 -355.722146465301</t>
  </si>
  <si>
    <t>-554.571114736757 113.280353095095 -475.388378096747</t>
  </si>
  <si>
    <t>-557.716134423701 100.064717503182 -584.063635426557</t>
  </si>
  <si>
    <t>-550.685942740498 84.7483434414006 -692.280257043347</t>
  </si>
  <si>
    <t>-530.367378887111 61.2825946052531 -841.399472202241</t>
  </si>
  <si>
    <t>-486.188579020318 46.4919687681761 -932.022024391778</t>
  </si>
  <si>
    <t>-531.482820724822 102.240961707148 -779.157288290516</t>
  </si>
  <si>
    <t>-500.237746284278 245.462786311111 -767.689481047899</t>
  </si>
  <si>
    <t>-434.131135927439 303.906832463926 -463.715108427394</t>
  </si>
  <si>
    <t>-250.169447914442 204.629557674686 -308.976104245962</t>
  </si>
  <si>
    <t>-547.23260742331 41.0899763008885 -771.680358570403</t>
  </si>
  <si>
    <t>-481.508043932573 228.063749743826 -253.630106040745</t>
  </si>
  <si>
    <t>-481.36739826225 213.067430526716 201.817769208618</t>
  </si>
  <si>
    <t>-499.2941143394 167.596223085867 668.951415930146</t>
  </si>
  <si>
    <t>-348.176781910438 158.6934447843 758.549342322995</t>
  </si>
  <si>
    <t>-518.953942784195 37.286702307136 -228.605325951007</t>
  </si>
  <si>
    <t>-431.540828241263 -4.33666407400241 216.685776118679</t>
  </si>
  <si>
    <t>-587.485106465089 -118.261937945283 644.902424505154</t>
  </si>
  <si>
    <t>-433.957346200976 -142.953822439823 727.140192372693</t>
  </si>
  <si>
    <t>9763-20170724T164300.587682500.bin</t>
  </si>
  <si>
    <t>-501.183821438492 130.730822119132 -242.14721482368</t>
  </si>
  <si>
    <t>-540.677045896501 123.888589456812 -356.433182149458</t>
  </si>
  <si>
    <t>-555.684624000216 111.90764491069 -476.106837130074</t>
  </si>
  <si>
    <t>-559.019912691399 98.9530784199956 -584.807843848857</t>
  </si>
  <si>
    <t>-552.21490126061 83.9019917847299 -693.075977802676</t>
  </si>
  <si>
    <t>-532.243779052017 60.8072844589251 -842.300118575703</t>
  </si>
  <si>
    <t>-488.216297903446 46.0280167295244 -932.998055793238</t>
  </si>
  <si>
    <t>-533.109305328328 101.58567866144 -779.935938479243</t>
  </si>
  <si>
    <t>-501.225405755941 244.6321477789 -767.704946225494</t>
  </si>
  <si>
    <t>-431.960245866333 300.337659083774 -463.919727418335</t>
  </si>
  <si>
    <t>-236.314232429144 225.119101843337 -309.949438484251</t>
  </si>
  <si>
    <t>-549.05147503098 40.4662884842122 -772.610304880952</t>
  </si>
  <si>
    <t>-481.975469959321 226.228533301011 -254.323806534836</t>
  </si>
  <si>
    <t>-481.381622808037 211.901239831551 201.145293503598</t>
  </si>
  <si>
    <t>-498.828578577914 167.759086800053 668.511236451022</t>
  </si>
  <si>
    <t>-348.155472919805 158.23492386308 758.790896903394</t>
  </si>
  <si>
    <t>-520.248646572392 35.3971596220733 -229.351815183842</t>
  </si>
  <si>
    <t>-432.912327976164 -5.7043323800826 216.002844369936</t>
  </si>
  <si>
    <t>-587.945352325788 -117.83487400902 645.192136985285</t>
  </si>
  <si>
    <t>-434.349279503835 -143.183679961368 727.101745316289</t>
  </si>
  <si>
    <t>9763-20170724T164300.621881400.bin</t>
  </si>
  <si>
    <t>-501.642638563596 129.544561327717 -242.351228575215</t>
  </si>
  <si>
    <t>-541.264354284693 122.879764212884 -356.603315691085</t>
  </si>
  <si>
    <t>-556.428627289169 111.054378698671 -476.272604917157</t>
  </si>
  <si>
    <t>-559.914655910607 98.2331419463032 -584.984794847391</t>
  </si>
  <si>
    <t>-553.267600316925 83.3097804772842 -693.280339688638</t>
  </si>
  <si>
    <t>-533.521838895525 60.3880269373372 -842.561063292036</t>
  </si>
  <si>
    <t>-489.592791408077 45.6328547835533 -933.310764197693</t>
  </si>
  <si>
    <t>-534.237208779398 101.080620672515 -780.138822692763</t>
  </si>
  <si>
    <t>-501.878900617441 243.930901986814 -767.337424851503</t>
  </si>
  <si>
    <t>-430.101369380651 298.942717428982 -464.009396704162</t>
  </si>
  <si>
    <t>-227.489371653892 235.288656262642 -313.880828040602</t>
  </si>
  <si>
    <t>-550.280159548374 39.9797569658871 -772.879029999895</t>
  </si>
  <si>
    <t>-482.15743407919 224.994596244882 -254.472918312246</t>
  </si>
  <si>
    <t>-481.301679557226 211.076237197024 201.008447600018</t>
  </si>
  <si>
    <t>-498.720821317823 167.483330310451 668.494104168888</t>
  </si>
  <si>
    <t>-348.038580220484 158.518869297035 758.815758000199</t>
  </si>
  <si>
    <t>-520.981281151374 34.181920826548 -229.564675009268</t>
  </si>
  <si>
    <t>-433.370057849693 -6.66620366553875 215.759287331514</t>
  </si>
  <si>
    <t>-588.135899615527 -117.938530655867 645.308310544564</t>
  </si>
  <si>
    <t>-434.382755212498 -142.970818568448 727.020362678077</t>
  </si>
  <si>
    <t>9763-20170724T164300.690056000.bin</t>
  </si>
  <si>
    <t>-502.590062371776 127.101002041743 -242.552499525403</t>
  </si>
  <si>
    <t>-542.614718133881 120.768558308257 -356.68285374872</t>
  </si>
  <si>
    <t>-558.096086546406 109.211757379096 -476.337845124857</t>
  </si>
  <si>
    <t>-561.824516572659 96.6199730659797 -585.068670273435</t>
  </si>
  <si>
    <t>-555.371206001488 81.9215265429245 -693.406798889479</t>
  </si>
  <si>
    <t>-535.840955300049 59.315931305219 -842.764073360152</t>
  </si>
  <si>
    <t>-492.040461394913 44.7771185601054 -933.610720667586</t>
  </si>
  <si>
    <t>-536.411792884131 99.8629882025996 -780.24582963754</t>
  </si>
  <si>
    <t>-503.283523932036 242.439982828063 -766.331434354467</t>
  </si>
  <si>
    <t>-423.544063100045 301.69834642269 -465.804836859256</t>
  </si>
  <si>
    <t>-210.333158430283 256.465610319183 -323.89928187636</t>
  </si>
  <si>
    <t>-552.553150194509 38.7733919617673 -773.11043056985</t>
  </si>
  <si>
    <t>-482.624765648599 222.536836471702 -254.611750271817</t>
  </si>
  <si>
    <t>-480.801168897021 209.467841696266 200.89179174639</t>
  </si>
  <si>
    <t>-498.7361742279 167.297433818828 668.537948390072</t>
  </si>
  <si>
    <t>-348.08102113109 157.842209863883 758.854775854196</t>
  </si>
  <si>
    <t>-522.311388752992 31.8356618413807 -229.755132625991</t>
  </si>
  <si>
    <t>-433.697143962026 -8.32548846184822 215.432828284072</t>
  </si>
  <si>
    <t>-588.443071266546 -117.548127608713 645.394047373059</t>
  </si>
  <si>
    <t>-434.764161416832 -143.639137880616 726.914349655037</t>
  </si>
  <si>
    <t>9763-20170724T164300.719678300.bin</t>
  </si>
  <si>
    <t>-503.021452171116 125.717918739019 -242.506960473348</t>
  </si>
  <si>
    <t>-543.207886807839 119.531041953875 -356.588419968294</t>
  </si>
  <si>
    <t>-558.761111237141 108.008447219706 -476.237459225233</t>
  </si>
  <si>
    <t>-562.512704782046 95.4164058359974 -584.9674687074</t>
  </si>
  <si>
    <t>-556.038663942434 80.6957242843596 -693.301502543739</t>
  </si>
  <si>
    <t>-536.432897781014 58.0449317842048 -842.64186299186</t>
  </si>
  <si>
    <t>-492.630570681507 43.6310998496904 -933.507508963612</t>
  </si>
  <si>
    <t>-537.057177016464 98.6162475135974 -780.139816002832</t>
  </si>
  <si>
    <t>-503.910177374148 241.207323447178 -766.180112313056</t>
  </si>
  <si>
    <t>-418.866346119137 307.325476715532 -468.552702799418</t>
  </si>
  <si>
    <t>-202.807924829778 267.035546015358 -329.493229356509</t>
  </si>
  <si>
    <t>-553.158527022452 37.518143352847 -772.986791293942</t>
  </si>
  <si>
    <t>-482.801592766713 221.129705875912 -254.595412201464</t>
  </si>
  <si>
    <t>-480.584472787018 208.617254956826 200.92202881767</t>
  </si>
  <si>
    <t>-498.813640057633 167.290610380348 668.610655981998</t>
  </si>
  <si>
    <t>-348.13630212469 157.607801904913 758.866431357475</t>
  </si>
  <si>
    <t>-523.012756750479 30.3483766535161 -229.733476238828</t>
  </si>
  <si>
    <t>-433.622722117406 -9.45081328795747 215.33179177763</t>
  </si>
  <si>
    <t>-588.488260229531 -117.905046322356 645.419734386635</t>
  </si>
  <si>
    <t>-434.759278875179 -143.755222618255 726.922392720621</t>
  </si>
  <si>
    <t>9763-20170724T164300.788861100.bin</t>
  </si>
  <si>
    <t>-503.920198988781 123.227267988016 -242.621178820721</t>
  </si>
  <si>
    <t>-544.445557537358 117.073698482792 -356.58451679256</t>
  </si>
  <si>
    <t>-560.316836885652 105.189846985153 -476.15632038426</t>
  </si>
  <si>
    <t>-564.339765061985 92.1308462588705 -584.821586218168</t>
  </si>
  <si>
    <t>-558.117729137451 76.8161837745132 -693.087962232577</t>
  </si>
  <si>
    <t>-538.839575318876 53.2200012348053 -842.324519319902</t>
  </si>
  <si>
    <t>-495.055829910514 38.6676503756813 -933.177215224178</t>
  </si>
  <si>
    <t>-539.372997292935 94.1974653601245 -780.087255274516</t>
  </si>
  <si>
    <t>-506.432698272927 236.993241399621 -767.714169924701</t>
  </si>
  <si>
    <t>-409.723040397792 320.305945005259 -478.072133408465</t>
  </si>
  <si>
    <t>-190.998817800608 281.120398116212 -342.919530774385</t>
  </si>
  <si>
    <t>-555.366054425046 33.1236543778211 -772.496678385234</t>
  </si>
  <si>
    <t>-483.572941711689 218.765219012374 -254.772937784129</t>
  </si>
  <si>
    <t>-480.270043452503 207.116053879417 200.760935606039</t>
  </si>
  <si>
    <t>-498.840392439258 167.406421713691 668.551368966971</t>
  </si>
  <si>
    <t>-348.280069432692 156.911338804564 758.911418611272</t>
  </si>
  <si>
    <t>-524.04626394255 27.7518969011576 -229.785237412075</t>
  </si>
  <si>
    <t>-433.682829029524 -11.4098951763022 215.139982149904</t>
  </si>
  <si>
    <t>-588.717137906166 -117.971714052211 645.654753139223</t>
  </si>
  <si>
    <t>-434.891808260557 -143.621526406182 727.038808640117</t>
  </si>
  <si>
    <t>9763-20170724T164300.820966800.bin</t>
  </si>
  <si>
    <t>-504.418843531398 122.008903254174 -242.701813465854</t>
  </si>
  <si>
    <t>-545.081810509822 115.853727718312 -356.615952090656</t>
  </si>
  <si>
    <t>-561.085836848287 103.750415490215 -476.148313993637</t>
  </si>
  <si>
    <t>-565.224283061235 90.4111261824796 -584.775087936515</t>
  </si>
  <si>
    <t>-559.112164305138 74.7387634260134 -692.996512912767</t>
  </si>
  <si>
    <t>-539.980808763626 50.5693272796292 -842.160186409356</t>
  </si>
  <si>
    <t>-496.206250132487 35.8549145815102 -932.991133112131</t>
  </si>
  <si>
    <t>-540.480183703566 91.7921218586104 -780.084904637689</t>
  </si>
  <si>
    <t>-507.600479065075 234.603043200724 -768.532961805701</t>
  </si>
  <si>
    <t>-404.838518136447 326.427428270752 -483.586659424195</t>
  </si>
  <si>
    <t>-186.360952011112 285.253857018416 -348.626033324328</t>
  </si>
  <si>
    <t>-556.411466512167 30.7349958223874 -772.234937207952</t>
  </si>
  <si>
    <t>-484.094522781855 217.667715803276 -254.867328676689</t>
  </si>
  <si>
    <t>-480.382277106437 206.503534043513 200.675589759948</t>
  </si>
  <si>
    <t>-498.910502736742 167.669447267829 668.531529482484</t>
  </si>
  <si>
    <t>-348.428814556679 156.565827469564 758.950013966501</t>
  </si>
  <si>
    <t>-524.57363343478 26.4526500872707 -229.827094746703</t>
  </si>
  <si>
    <t>-433.977401222339 -12.0736498985839 215.106365819255</t>
  </si>
  <si>
    <t>-588.86998357622 -117.855480342815 645.830326036122</t>
  </si>
  <si>
    <t>-434.998512655626 -143.585396455379 727.101775910856</t>
  </si>
  <si>
    <t>9763-20170724T164300.891160200.bin</t>
  </si>
  <si>
    <t>-505.730575210082 119.593920018331 -242.973585573423</t>
  </si>
  <si>
    <t>-546.382056833861 113.251991088313 -356.881733745257</t>
  </si>
  <si>
    <t>-562.466381345355 100.644552307309 -476.350965794304</t>
  </si>
  <si>
    <t>-566.715238831422 86.729361009109 -584.9011756993</t>
  </si>
  <si>
    <t>-560.751399111372 70.3660491895141 -693.02858714501</t>
  </si>
  <si>
    <t>-541.865094908487 45.1216055800908 -842.045414514033</t>
  </si>
  <si>
    <t>-498.172941645249 30.1071214850122 -932.866889451195</t>
  </si>
  <si>
    <t>-542.354193850513 86.8125401868525 -780.283463242284</t>
  </si>
  <si>
    <t>-509.943529498027 229.897843308497 -770.339019064468</t>
  </si>
  <si>
    <t>-396.905484666703 332.250705346298 -492.972038301363</t>
  </si>
  <si>
    <t>-180.42268377142 288.538979783293 -355.616464426255</t>
  </si>
  <si>
    <t>-558.089175868651 25.7704159914391 -771.936846177253</t>
  </si>
  <si>
    <t>-485.533139432046 215.246957425129 -255.177167349384</t>
  </si>
  <si>
    <t>-480.718448119082 204.501699271958 200.365385793876</t>
  </si>
  <si>
    <t>-498.606170265258 166.643796999566 668.383310614815</t>
  </si>
  <si>
    <t>-348.135313774312 156.960286686963 758.982786872468</t>
  </si>
  <si>
    <t>-525.84563613274 24.0238851782977 -230.184162551367</t>
  </si>
  <si>
    <t>-435.655737979006 -12.9784962598547 214.961004126381</t>
  </si>
  <si>
    <t>-589.143295067153 -117.770784624437 646.322913626587</t>
  </si>
  <si>
    <t>-435.000714018728 -143.39610894112 727.112290733974</t>
  </si>
  <si>
    <t>9763-20170724T164300.923149300.bin</t>
  </si>
  <si>
    <t>-506.398437659034 118.682545998128 -243.157334189152</t>
  </si>
  <si>
    <t>-546.948381552811 112.248312609461 -357.096467007084</t>
  </si>
  <si>
    <t>-562.998123490964 99.470747585254 -476.55224672038</t>
  </si>
  <si>
    <t>-567.245179081028 85.371758365164 -585.078850233391</t>
  </si>
  <si>
    <t>-561.309240881763 68.7952884329353 -693.175280295779</t>
  </si>
  <si>
    <t>-542.492870432099 43.2246285070179 -842.145412541994</t>
  </si>
  <si>
    <t>-498.812219590449 28.1504494767381 -932.962584647801</t>
  </si>
  <si>
    <t>-543.001905416407 85.0620781575726 -780.482742345361</t>
  </si>
  <si>
    <t>-510.835820662025 228.21318914616 -771.021549275082</t>
  </si>
  <si>
    <t>-394.916350722678 332.683741905881 -495.640278438803</t>
  </si>
  <si>
    <t>-179.825469491607 288.369538868795 -356.305436883301</t>
  </si>
  <si>
    <t>-558.635178702425 24.015560061599 -771.978781565539</t>
  </si>
  <si>
    <t>-486.31371785355 214.496690737807 -255.373006309817</t>
  </si>
  <si>
    <t>-480.845243113187 203.900438074837 200.165667981807</t>
  </si>
  <si>
    <t>-498.611926163588 166.839028143293 668.298304696742</t>
  </si>
  <si>
    <t>-348.238677338232 156.724425925515 759.012663876977</t>
  </si>
  <si>
    <t>-526.275985048614 23.0060832823966 -230.396887850148</t>
  </si>
  <si>
    <t>-436.593876057014 -13.5940896116254 214.884127114992</t>
  </si>
  <si>
    <t>-589.260634113261 -118.106978049593 646.6770991222</t>
  </si>
  <si>
    <t>-434.781235068802 -142.740083542545 727.130995794117</t>
  </si>
  <si>
    <t>9763-20170724T164300.990327700.bin</t>
  </si>
  <si>
    <t>-507.66081967331 117.403649492506 -243.457159996342</t>
  </si>
  <si>
    <t>-548.426283333041 110.957632603175 -357.318525644762</t>
  </si>
  <si>
    <t>-564.686932281476 97.9578544083345 -476.721924335193</t>
  </si>
  <si>
    <t>-569.118333495064 83.5809821050485 -585.204757326408</t>
  </si>
  <si>
    <t>-563.358817807324 66.6545218084113 -693.256422146998</t>
  </si>
  <si>
    <t>-544.778088775054 40.5274498040698 -842.159530222948</t>
  </si>
  <si>
    <t>-501.126090231552 25.3714244593671 -932.976879807484</t>
  </si>
  <si>
    <t>-545.313302745962 82.6234536915638 -780.673310769464</t>
  </si>
  <si>
    <t>-513.669295902611 225.983685899153 -771.863645617955</t>
  </si>
  <si>
    <t>-397.388010267328 329.581905668818 -496.305600671418</t>
  </si>
  <si>
    <t>-194.890416429184 276.140845596208 -342.095188414721</t>
  </si>
  <si>
    <t>-560.685697878664 21.552293220471 -771.875832319252</t>
  </si>
  <si>
    <t>-487.837233779732 213.317661339695 -255.53156288076</t>
  </si>
  <si>
    <t>-481.541880129118 203.079945318723 200.004653715768</t>
  </si>
  <si>
    <t>-498.72389244131 166.89852680908 668.280742144875</t>
  </si>
  <si>
    <t>-348.375860091231 156.392669931247 758.992397456971</t>
  </si>
  <si>
    <t>-527.434809201655 21.7049733299138 -230.655254913994</t>
  </si>
  <si>
    <t>-438.218866637688 -13.8138556805263 214.806925676094</t>
  </si>
  <si>
    <t>-589.447621862927 -117.638899908633 647.177241938049</t>
  </si>
  <si>
    <t>-434.804565698758 -142.488600412057 727.249284735543</t>
  </si>
  <si>
    <t>9763-20170724T164301.021957800.bin</t>
  </si>
  <si>
    <t>-508.082304323539 116.784495433153 -243.53447023795</t>
  </si>
  <si>
    <t>-548.769262056684 110.27764587252 -357.420430619667</t>
  </si>
  <si>
    <t>-565.080935007928 97.1615495624641 -476.804178540634</t>
  </si>
  <si>
    <t>-569.613454466393 82.6556759300547 -585.265667263657</t>
  </si>
  <si>
    <t>-564.010146890295 65.5752811185852 -693.301273759679</t>
  </si>
  <si>
    <t>-545.703080830284 39.2070625798294 -842.195774599135</t>
  </si>
  <si>
    <t>-502.115419930772 23.9858237760437 -933.033109388525</t>
  </si>
  <si>
    <t>-546.142695658512 81.4065799765399 -780.77981208051</t>
  </si>
  <si>
    <t>-514.390145543849 224.716988506061 -772.216230443784</t>
  </si>
  <si>
    <t>-401.661689675145 328.067338612977 -495.093094243918</t>
  </si>
  <si>
    <t>-207.639782676859 266.108058915558 -333.356942926874</t>
  </si>
  <si>
    <t>-561.46405315788 20.3417826551151 -771.849506531912</t>
  </si>
  <si>
    <t>-488.400136533076 212.70263647655 -255.585338708823</t>
  </si>
  <si>
    <t>-481.817729321846 202.622369716371 199.950321587382</t>
  </si>
  <si>
    <t>-498.771312476688 166.80422607295 668.306533453278</t>
  </si>
  <si>
    <t>-348.36242990324 156.430190725867 758.932425387296</t>
  </si>
  <si>
    <t>-527.572597359309 21.0632107478937 -230.798679438587</t>
  </si>
  <si>
    <t>-438.908544683551 -14.1344828154346 214.799265256524</t>
  </si>
  <si>
    <t>-589.527228599529 -117.775905369981 647.505636279624</t>
  </si>
  <si>
    <t>-434.671337453217 -142.041927966663 727.344883278172</t>
  </si>
  <si>
    <t>9763-20170724T164301.091142700.bin</t>
  </si>
  <si>
    <t>-508.509013266578 115.949013138565 -243.378143566047</t>
  </si>
  <si>
    <t>-549.17157341943 109.470405806397 -357.274504048811</t>
  </si>
  <si>
    <t>-565.729802332001 96.3319631317382 -476.621722589758</t>
  </si>
  <si>
    <t>-570.596439569476 81.785819034724 -585.063344630238</t>
  </si>
  <si>
    <t>-565.436140068834 64.6451242519593 -693.111567111279</t>
  </si>
  <si>
    <t>-547.854210999023 38.1721450568522 -842.074817725087</t>
  </si>
  <si>
    <t>-504.565873670532 22.9051382572272 -933.047437862352</t>
  </si>
  <si>
    <t>-547.943938557127 80.4032321352512 -780.679060508803</t>
  </si>
  <si>
    <t>-516.661775486697 223.869882162764 -772.713029290313</t>
  </si>
  <si>
    <t>-416.978049348703 326.490381789295 -490.368545168897</t>
  </si>
  <si>
    <t>-232.01935722478 250.887920423909 -323.885541696712</t>
  </si>
  <si>
    <t>-563.323454175195 19.3680210447365 -771.647378667392</t>
  </si>
  <si>
    <t>-488.66087075286 211.844448369528 -255.474638179164</t>
  </si>
  <si>
    <t>-482.286470612417 202.30443522009 200.075628051854</t>
  </si>
  <si>
    <t>-499.09650064571 167.322693176406 668.448550271205</t>
  </si>
  <si>
    <t>-348.670945136067 155.554475262344 758.876339433009</t>
  </si>
  <si>
    <t>-528.278502372113 20.1269723201494 -230.49836490464</t>
  </si>
  <si>
    <t>-439.500666155008 -14.6020748946932 215.113669970186</t>
  </si>
  <si>
    <t>-589.648759525659 -117.906116759901 648.030101738007</t>
  </si>
  <si>
    <t>-434.518936645248 -141.834376661342 727.438459760927</t>
  </si>
  <si>
    <t>9763-20170724T164301.122749500.bin</t>
  </si>
  <si>
    <t>-508.365974302949 115.553740949397 -243.27171533042</t>
  </si>
  <si>
    <t>-549.033999212983 109.167258314329 -357.171355639702</t>
  </si>
  <si>
    <t>-565.727302664242 96.1046452478685 -476.508252458821</t>
  </si>
  <si>
    <t>-570.766440060691 81.6295527258992 -584.951323956378</t>
  </si>
  <si>
    <t>-565.826216051307 64.568009196859 -693.022501283379</t>
  </si>
  <si>
    <t>-548.595946447913 38.218070774679 -842.048676805504</t>
  </si>
  <si>
    <t>-505.503112509924 22.9668973458294 -933.116629002669</t>
  </si>
  <si>
    <t>-548.535699129488 80.3972963959796 -780.617062972716</t>
  </si>
  <si>
    <t>-518.08013245163 224.043477696801 -772.751522507643</t>
  </si>
  <si>
    <t>-425.956778114943 326.039093670411 -487.626434964532</t>
  </si>
  <si>
    <t>-244.654270338723 242.790668724928 -320.769640467936</t>
  </si>
  <si>
    <t>-563.903946856691 19.3569214432777 -771.601165805256</t>
  </si>
  <si>
    <t>-488.26117932477 211.318862216598 -255.414072185534</t>
  </si>
  <si>
    <t>-482.123868476597 201.977383278453 200.143480581394</t>
  </si>
  <si>
    <t>-499.160791146411 167.228481798368 668.536775469441</t>
  </si>
  <si>
    <t>-348.653047309992 155.711482816266 758.859941747723</t>
  </si>
  <si>
    <t>-528.341281304433 19.8712414302256 -230.385646678816</t>
  </si>
  <si>
    <t>-439.51230183788 -14.9081052689444 215.212266936853</t>
  </si>
  <si>
    <t>-589.713856505738 -117.739162032964 648.245722026962</t>
  </si>
  <si>
    <t>-434.461365083519 -141.373705708382 727.502088386066</t>
  </si>
  <si>
    <t>9763-20170724T164301.192436500.bin</t>
  </si>
  <si>
    <t>-507.68433454745 115.09633662833 -242.879397813031</t>
  </si>
  <si>
    <t>-548.550377414074 108.993071759059 -356.723623699018</t>
  </si>
  <si>
    <t>-565.433162894008 96.3322347815795 -476.077025533437</t>
  </si>
  <si>
    <t>-570.630874478965 82.2885356369123 -584.569561261708</t>
  </si>
  <si>
    <t>-565.83038623574 65.7391459528005 -692.726554621634</t>
  </si>
  <si>
    <t>-548.769433671641 40.196173565562 -841.912642273987</t>
  </si>
  <si>
    <t>-505.845135900982 25.1817473217116 -933.099489369631</t>
  </si>
  <si>
    <t>-548.700182445645 82.0562365788434 -780.263155640998</t>
  </si>
  <si>
    <t>-518.49598825619 225.677491941831 -771.44938307576</t>
  </si>
  <si>
    <t>-441.237102520577 322.81370020359 -480.27620576019</t>
  </si>
  <si>
    <t>-265.96605345614 227.142206023046 -313.635537227379</t>
  </si>
  <si>
    <t>-563.936597153792 20.9401102035241 -771.54154003185</t>
  </si>
  <si>
    <t>-487.17286095319 210.671269979573 -255.16138396401</t>
  </si>
  <si>
    <t>-480.773891388537 201.4543155359 200.395165457286</t>
  </si>
  <si>
    <t>-499.106009670881 166.73203539022 668.666168341473</t>
  </si>
  <si>
    <t>-348.645705925881 155.13767117756 759.058422550984</t>
  </si>
  <si>
    <t>-528.007698070782 19.723709403383 -229.954093511663</t>
  </si>
  <si>
    <t>-438.896077063943 -15.5243395393748 215.55051229392</t>
  </si>
  <si>
    <t>-589.826417395332 -117.370617962548 648.53389299108</t>
  </si>
  <si>
    <t>-434.711019113107 -141.9313649497 727.777283335505</t>
  </si>
  <si>
    <t>9763-20170724T164301.227100200.bin</t>
  </si>
  <si>
    <t>-507.273454415227 114.974478209946 -242.750943813963</t>
  </si>
  <si>
    <t>-548.443860418048 108.95188825436 -356.489797562947</t>
  </si>
  <si>
    <t>-565.407700753545 96.5063885662215 -475.854421041548</t>
  </si>
  <si>
    <t>-570.579483102912 82.7224708921401 -584.381451038809</t>
  </si>
  <si>
    <t>-565.651254812962 66.5043646197607 -692.582762412797</t>
  </si>
  <si>
    <t>-548.305844300629 41.5025376479031 -841.82767718267</t>
  </si>
  <si>
    <t>-505.373396491498 26.7379457345329 -933.051575538909</t>
  </si>
  <si>
    <t>-548.440835053491 83.1583376047373 -780.040098542052</t>
  </si>
  <si>
    <t>-518.570825826993 226.871157731971 -770.760293032896</t>
  </si>
  <si>
    <t>-447.039437838922 321.180417334117 -477.204236647999</t>
  </si>
  <si>
    <t>-273.799190771306 219.655917559376 -311.908509307301</t>
  </si>
  <si>
    <t>-563.520396870673 21.9717852054755 -771.542659317778</t>
  </si>
  <si>
    <t>-486.706893437634 210.394967304778 -255.047884438987</t>
  </si>
  <si>
    <t>-479.956915857538 201.2602826709 200.505204537318</t>
  </si>
  <si>
    <t>-499.067710383441 166.556781639196 668.733131327415</t>
  </si>
  <si>
    <t>-348.60366902892 155.410724407634 759.175722078195</t>
  </si>
  <si>
    <t>-527.715444717242 19.6581699978088 -229.740213716264</t>
  </si>
  <si>
    <t>-438.380724219036 -15.6095222768468 215.718222368678</t>
  </si>
  <si>
    <t>-589.81490354786 -117.483387891225 648.569140908494</t>
  </si>
  <si>
    <t>-434.830233781155 -142.506610024561 727.923476756763</t>
  </si>
  <si>
    <t>9763-20170724T164301.286258100.bin</t>
  </si>
  <si>
    <t>-507.044706316834 115.41708671547 -242.591846122085</t>
  </si>
  <si>
    <t>-548.553757999958 109.196420141158 -356.196981714195</t>
  </si>
  <si>
    <t>-565.760141635428 97.0032517787021 -475.552814491664</t>
  </si>
  <si>
    <t>-571.106256759703 83.6316173305131 -584.122915583625</t>
  </si>
  <si>
    <t>-566.304412972831 68.0090462588446 -692.417554467116</t>
  </si>
  <si>
    <t>-549.082410146066 44.0245770960387 -841.843661239076</t>
  </si>
  <si>
    <t>-506.176553759772 29.7144587618917 -933.152377815874</t>
  </si>
  <si>
    <t>-549.33883325303 85.2969911742104 -779.799828374321</t>
  </si>
  <si>
    <t>-521.046728287754 229.209897799297 -769.826487730564</t>
  </si>
  <si>
    <t>-456.153702790837 313.063547963477 -471.592290082673</t>
  </si>
  <si>
    <t>-283.511689523726 203.240704266545 -311.04401853989</t>
  </si>
  <si>
    <t>-564.066405657381 23.9769040568737 -771.654757712074</t>
  </si>
  <si>
    <t>-486.970221083849 210.643022285061 -255.017736651558</t>
  </si>
  <si>
    <t>-478.86649681469 201.45294899381 200.512249096307</t>
  </si>
  <si>
    <t>-498.764144350105 166.195102111184 668.576435299799</t>
  </si>
  <si>
    <t>-348.550133719729 154.73543951477 759.394509923213</t>
  </si>
  <si>
    <t>-526.942953001592 20.3423504456631 -229.492506781384</t>
  </si>
  <si>
    <t>-437.57251382935 -14.863857400514 215.963546777501</t>
  </si>
  <si>
    <t>-589.841008688339 -116.713256457989 648.436295281642</t>
  </si>
  <si>
    <t>-435.193669841947 -143.092725128488 728.009154341429</t>
  </si>
  <si>
    <t>9763-20170724T164301.323862900.bin</t>
  </si>
  <si>
    <t>-507.091626985999 115.55427959745 -242.56478211559</t>
  </si>
  <si>
    <t>-548.666546079944 109.149423398318 -356.135567810702</t>
  </si>
  <si>
    <t>-565.991160641811 97.0625751244699 -475.485099749289</t>
  </si>
  <si>
    <t>-571.466444826224 83.8971959294095 -584.074049673735</t>
  </si>
  <si>
    <t>-566.815600619608 68.5848950651274 -692.419614739145</t>
  </si>
  <si>
    <t>-549.825127485672 45.1338828431883 -841.956829577692</t>
  </si>
  <si>
    <t>-506.952651683867 31.0314706154442 -933.313557716782</t>
  </si>
  <si>
    <t>-550.041588684721 86.197011641315 -779.774029422715</t>
  </si>
  <si>
    <t>-522.226270751215 230.216698172391 -769.256369161663</t>
  </si>
  <si>
    <t>-458.381524110932 309.837026807074 -469.638881861574</t>
  </si>
  <si>
    <t>-285.060385335989 195.026536557337 -313.368621580306</t>
  </si>
  <si>
    <t>-564.644163896022 24.8234927395218 -771.808329496805</t>
  </si>
  <si>
    <t>-487.358144518139 210.801207563026 -255.04775217358</t>
  </si>
  <si>
    <t>-479.06581588761 201.680308558017 200.480307993791</t>
  </si>
  <si>
    <t>-498.721107858554 166.350361172946 668.534074572819</t>
  </si>
  <si>
    <t>-348.600992341741 154.446570762973 759.450301401436</t>
  </si>
  <si>
    <t>-526.673052500117 20.2872523655354 -229.470902686527</t>
  </si>
  <si>
    <t>-437.463062761947 -14.5970691162339 216.042646003711</t>
  </si>
  <si>
    <t>-589.796304259744 -117.073027091467 648.369260393605</t>
  </si>
  <si>
    <t>-434.987062887998 -142.493404946639 727.939466512735</t>
  </si>
  <si>
    <t>9763-20170724T164301.390040600.bin</t>
  </si>
  <si>
    <t>-507.355013826189 115.656888111069 -242.712031887049</t>
  </si>
  <si>
    <t>-548.865787123878 108.922357522104 -356.287151952316</t>
  </si>
  <si>
    <t>-566.271996069762 96.8799682195325 -475.629419970316</t>
  </si>
  <si>
    <t>-571.88454554137 83.8934793131352 -584.232724532246</t>
  </si>
  <si>
    <t>-567.435134136072 68.8882413098085 -692.629818842614</t>
  </si>
  <si>
    <t>-550.79036487318 45.9876691349409 -842.291061270532</t>
  </si>
  <si>
    <t>-507.989255427476 32.1760742076477 -933.725703879493</t>
  </si>
  <si>
    <t>-550.946742252227 86.8399569107674 -779.969470231077</t>
  </si>
  <si>
    <t>-523.705938012721 230.943344078179 -769.173899029786</t>
  </si>
  <si>
    <t>-462.306971237955 305.589357461783 -467.769958087823</t>
  </si>
  <si>
    <t>-287.010829233696 185.676414206698 -317.656081662826</t>
  </si>
  <si>
    <t>-565.363561786719 25.4009568342347 -772.171774376148</t>
  </si>
  <si>
    <t>-488.20005883202 211.015598545446 -255.239339284355</t>
  </si>
  <si>
    <t>-480.263072279889 201.895926765512 200.294876217548</t>
  </si>
  <si>
    <t>-498.643719218184 166.707777453101 668.372751728992</t>
  </si>
  <si>
    <t>-348.569722052866 155.050540624876 759.397052250634</t>
  </si>
  <si>
    <t>-526.390227570429 20.2318649805462 -229.597460161809</t>
  </si>
  <si>
    <t>-437.501877575132 -14.2324239184463 216.013107887166</t>
  </si>
  <si>
    <t>-589.785613097358 -117.223357934667 648.256728986743</t>
  </si>
  <si>
    <t>-434.841152866567 -141.652169327297 727.874306032755</t>
  </si>
  <si>
    <t>9763-20170724T164301.421658400.bin</t>
  </si>
  <si>
    <t>-507.500310498772 115.665351428644 -242.87790963907</t>
  </si>
  <si>
    <t>-549.013812747964 108.903439695842 -356.450494287078</t>
  </si>
  <si>
    <t>-566.560183999289 96.8388848769109 -475.769851671863</t>
  </si>
  <si>
    <t>-572.356663250039 83.8316473330821 -584.361213323924</t>
  </si>
  <si>
    <t>-568.147527509464 68.8027876830938 -692.764363433104</t>
  </si>
  <si>
    <t>-551.893747901802 45.8641719621651 -842.462819797933</t>
  </si>
  <si>
    <t>-509.197721723561 32.0984166038321 -933.95355653838</t>
  </si>
  <si>
    <t>-551.897064543658 86.734388322746 -780.152879451919</t>
  </si>
  <si>
    <t>-524.901825230606 230.899377271588 -769.445777105155</t>
  </si>
  <si>
    <t>-463.652091184814 303.649846142367 -467.548417926651</t>
  </si>
  <si>
    <t>-286.641390286379 183.93947437168 -319.29619377899</t>
  </si>
  <si>
    <t>-566.274103688869 25.293185661563 -772.299094707734</t>
  </si>
  <si>
    <t>-488.469594681906 210.988564117673 -255.367814497949</t>
  </si>
  <si>
    <t>-480.659728836534 201.767706940091 200.166654202123</t>
  </si>
  <si>
    <t>-498.455100796254 166.273477350761 668.292755974352</t>
  </si>
  <si>
    <t>-348.367136373115 155.146904336708 759.360346873987</t>
  </si>
  <si>
    <t>-526.406983818155 20.3147455152366 -229.776671539931</t>
  </si>
  <si>
    <t>-437.728211657715 -14.2712636902159 215.86618374783</t>
  </si>
  <si>
    <t>-589.747355093376 -117.034350865879 648.162853461253</t>
  </si>
  <si>
    <t>-434.956770372048 -141.581836997059 728.042776312957</t>
  </si>
  <si>
    <t>9763-20170724T164301.491845400.bin</t>
  </si>
  <si>
    <t>-507.731982567374 115.7606874899 -243.191401174689</t>
  </si>
  <si>
    <t>-549.176593762262 109.100530120747 -356.795023863381</t>
  </si>
  <si>
    <t>-566.725595962362 97.0477452405052 -476.115309733417</t>
  </si>
  <si>
    <t>-572.554108965172 84.0170262791217 -584.70204646577</t>
  </si>
  <si>
    <t>-568.406648458379 68.9322626420366 -693.099966213546</t>
  </si>
  <si>
    <t>-552.268601685941 45.8838546536128 -842.794141937997</t>
  </si>
  <si>
    <t>-509.650475578893 32.2563426671201 -934.341734815679</t>
  </si>
  <si>
    <t>-552.228983387466 86.8008917822572 -780.514824328845</t>
  </si>
  <si>
    <t>-525.191639607514 230.981049150402 -770.188813828428</t>
  </si>
  <si>
    <t>-462.706475229578 304.591443009363 -468.753438167167</t>
  </si>
  <si>
    <t>-282.088325600313 186.60553750049 -323.500424878449</t>
  </si>
  <si>
    <t>-566.58940239345 25.3632268203754 -772.603426283746</t>
  </si>
  <si>
    <t>-488.663222950521 211.235035580033 -255.659322890658</t>
  </si>
  <si>
    <t>-480.626236466418 201.71455562473 199.865055064568</t>
  </si>
  <si>
    <t>-498.220789157299 166.362133067559 668.039088121632</t>
  </si>
  <si>
    <t>-348.271687783435 155.403169354919 759.35539950785</t>
  </si>
  <si>
    <t>-526.600235763955 20.327844365414 -230.177101869077</t>
  </si>
  <si>
    <t>-438.203924251087 -14.8433425180147 215.476102300866</t>
  </si>
  <si>
    <t>-589.62772817127 -117.36705919203 648.126155036333</t>
  </si>
  <si>
    <t>-435.225355346477 -141.951055143377 728.742815816495</t>
  </si>
  <si>
    <t>9763-20170724T164301.522946900.bin</t>
  </si>
  <si>
    <t>-507.922857666243 115.868662882426 -243.317551468045</t>
  </si>
  <si>
    <t>-549.563709522828 109.313411917405 -356.855481986038</t>
  </si>
  <si>
    <t>-567.257142574075 97.2459272163655 -476.152890323391</t>
  </si>
  <si>
    <t>-573.191106563957 84.1584393672244 -584.72722561358</t>
  </si>
  <si>
    <t>-569.122439667945 68.9770506383017 -693.114535133506</t>
  </si>
  <si>
    <t>-553.065250945454 45.7563387948984 -842.790682855774</t>
  </si>
  <si>
    <t>-510.469473878057 32.0990115043242 -934.344342177127</t>
  </si>
  <si>
    <t>-553.002016057153 86.747264036982 -780.559934356414</t>
  </si>
  <si>
    <t>-526.095069123425 230.991997715316 -770.672384444446</t>
  </si>
  <si>
    <t>-461.831885663054 305.12690762895 -469.739698008068</t>
  </si>
  <si>
    <t>-279.21692819521 190.662597640154 -324.165799348665</t>
  </si>
  <si>
    <t>-567.338057882793 25.3143871603992 -772.567277078173</t>
  </si>
  <si>
    <t>-488.776030858927 211.494059218038 -255.738800752468</t>
  </si>
  <si>
    <t>-480.598599547224 201.857804782378 199.780685856215</t>
  </si>
  <si>
    <t>-498.112832568811 166.501991277015 667.8940278019</t>
  </si>
  <si>
    <t>-348.308629232239 154.948866326394 759.374784334987</t>
  </si>
  <si>
    <t>-527.009588961144 20.3206354289093 -230.20544656398</t>
  </si>
  <si>
    <t>-438.209231339342 -14.998307600281 215.355690363405</t>
  </si>
  <si>
    <t>-589.580004085074 -117.47584569784 648.082088854719</t>
  </si>
  <si>
    <t>-435.259673810403 -141.68014403377 728.970156558625</t>
  </si>
  <si>
    <t>9763-20170724T164301.590122600.bin</t>
  </si>
  <si>
    <t>-508.302040368386 116.525407832381 -243.375499270965</t>
  </si>
  <si>
    <t>-549.909633279083 109.866019411504 -356.9195638552</t>
  </si>
  <si>
    <t>-567.648337083616 97.5974292450048 -476.18983227631</t>
  </si>
  <si>
    <t>-573.65627021629 84.2898902151222 -584.733240908673</t>
  </si>
  <si>
    <t>-569.694443224136 68.8511634959193 -693.088175837432</t>
  </si>
  <si>
    <t>-553.819670558158 45.2346133792604 -842.721895074755</t>
  </si>
  <si>
    <t>-511.210330356234 31.4599051881414 -934.25153673378</t>
  </si>
  <si>
    <t>-553.644936140255 86.3822773858893 -780.594903375246</t>
  </si>
  <si>
    <t>-526.47222914039 230.616405527259 -771.4805018421</t>
  </si>
  <si>
    <t>-458.020819469288 309.240438716128 -472.617897660093</t>
  </si>
  <si>
    <t>-273.472847219657 199.152893235297 -326.109107063062</t>
  </si>
  <si>
    <t>-568.042623559477 24.986177199658 -772.432257666831</t>
  </si>
  <si>
    <t>-489.026508300651 212.159063689172 -255.914770494222</t>
  </si>
  <si>
    <t>-480.984855885904 202.298192262871 199.602359302529</t>
  </si>
  <si>
    <t>-497.852938731402 166.405769823847 667.712018936216</t>
  </si>
  <si>
    <t>-348.226433030657 154.35797537633 759.419670649583</t>
  </si>
  <si>
    <t>-527.361732767593 21.0346534444625 -230.158889911317</t>
  </si>
  <si>
    <t>-438.051739579991 -14.9190257431648 215.249590480126</t>
  </si>
  <si>
    <t>-589.614305310069 -117.508420274037 648.012988479942</t>
  </si>
  <si>
    <t>-435.575347364872 -141.807878214502 729.40736896544</t>
  </si>
  <si>
    <t>9763-20170724T164301.622715700.bin</t>
  </si>
  <si>
    <t>-508.495527458674 117.029303758136 -243.405720157766</t>
  </si>
  <si>
    <t>-550.039571053997 110.282296258593 -356.967826967943</t>
  </si>
  <si>
    <t>-567.727851995547 97.8720825588894 -476.231023974986</t>
  </si>
  <si>
    <t>-573.697745272162 84.4105035533215 -584.757339619498</t>
  </si>
  <si>
    <t>-569.706790639681 68.7892061966849 -693.085132243344</t>
  </si>
  <si>
    <t>-553.801896135284 44.8869795746359 -842.670410975329</t>
  </si>
  <si>
    <t>-511.129286566955 31.0140186854233 -934.155757459336</t>
  </si>
  <si>
    <t>-553.610282991874 86.1468368373794 -780.617857379711</t>
  </si>
  <si>
    <t>-526.108602323623 230.334471518793 -771.825011405766</t>
  </si>
  <si>
    <t>-456.6735098225 310.306419987669 -473.547611058137</t>
  </si>
  <si>
    <t>-272.145488977824 203.123614294892 -324.875807192765</t>
  </si>
  <si>
    <t>-568.068288204795 24.7791193144211 -772.349209829464</t>
  </si>
  <si>
    <t>-489.261015865425 212.741103385122 -255.99360506242</t>
  </si>
  <si>
    <t>-481.419446146788 202.818373400935 199.525489531482</t>
  </si>
  <si>
    <t>-497.808177814837 166.731920985538 667.605809331155</t>
  </si>
  <si>
    <t>-348.322126384785 153.759946779207 759.416360770017</t>
  </si>
  <si>
    <t>-527.543741110266 21.4152452867329 -230.134880229663</t>
  </si>
  <si>
    <t>-438.017612054043 -14.6510077095651 215.221084271302</t>
  </si>
  <si>
    <t>-589.638522212161 -117.522913734234 647.931303852164</t>
  </si>
  <si>
    <t>-435.676234800989 -141.920516663403 729.441226372156</t>
  </si>
  <si>
    <t>9763-20170724T164301.687887800.bin</t>
  </si>
  <si>
    <t>-508.995895651814 117.799047042585 -243.383873855028</t>
  </si>
  <si>
    <t>-550.531989882888 110.754818375997 -356.930999745408</t>
  </si>
  <si>
    <t>-568.228378605871 98.1563044893535 -476.173066529368</t>
  </si>
  <si>
    <t>-574.216131852411 84.5536305706821 -584.681018468577</t>
  </si>
  <si>
    <t>-570.255606953605 68.8101523307405 -692.99218043784</t>
  </si>
  <si>
    <t>-554.408069584703 44.7490132925916 -842.557891276906</t>
  </si>
  <si>
    <t>-511.702148582425 30.7193049652605 -934.003798665376</t>
  </si>
  <si>
    <t>-554.13410142657 86.0620244671215 -780.541157894026</t>
  </si>
  <si>
    <t>-525.697497906006 230.06746864317 -771.654107248265</t>
  </si>
  <si>
    <t>-455.403852787002 310.41761642442 -473.6796064775</t>
  </si>
  <si>
    <t>-272.647982912092 202.832362270106 -323.121420037775</t>
  </si>
  <si>
    <t>-568.706165870901 24.7286502107198 -772.218291502011</t>
  </si>
  <si>
    <t>-489.918300945868 213.423671356457 -256.106183150291</t>
  </si>
  <si>
    <t>-482.147041958609 203.297951345115 199.40969394837</t>
  </si>
  <si>
    <t>-497.628245442389 166.685857136614 667.489851166095</t>
  </si>
  <si>
    <t>-348.046785875962 155.220985765689 759.34555191585</t>
  </si>
  <si>
    <t>-527.88869654547 22.1939271981965 -229.899978370972</t>
  </si>
  <si>
    <t>-437.675537573973 -14.4590261486831 215.269445024292</t>
  </si>
  <si>
    <t>-589.699334785036 -117.931984561521 647.785602876096</t>
  </si>
  <si>
    <t>-435.689967187182 -141.489506509139 729.453612186051</t>
  </si>
  <si>
    <t>9763-20170724T164301.725567700.bin</t>
  </si>
  <si>
    <t>-509.254038898819 118.2785868857 -243.274886736384</t>
  </si>
  <si>
    <t>-550.728840105182 111.056929849172 -356.833262866513</t>
  </si>
  <si>
    <t>-568.353862927615 98.3961374717976 -476.079357525538</t>
  </si>
  <si>
    <t>-574.276321975066 84.7719245354537 -584.588087741681</t>
  </si>
  <si>
    <t>-570.251865719514 69.0343914868084 -692.897718969147</t>
  </si>
  <si>
    <t>-554.318555408431 45.0028177933739 -842.459206907352</t>
  </si>
  <si>
    <t>-511.583716794182 30.8897234097786 -933.878675430206</t>
  </si>
  <si>
    <t>-554.020195493924 86.2904083936794 -780.425599898345</t>
  </si>
  <si>
    <t>-524.957756179705 230.125834437327 -771.185935895879</t>
  </si>
  <si>
    <t>-454.342374523133 308.442406403388 -472.746254537121</t>
  </si>
  <si>
    <t>-271.90272559205 201.444754919913 -321.388144292512</t>
  </si>
  <si>
    <t>-568.716957213393 24.9817274164421 -772.140154142464</t>
  </si>
  <si>
    <t>-490.259789887293 213.822124041951 -256.092004035811</t>
  </si>
  <si>
    <t>-482.660290126296 203.608480450622 199.424751385504</t>
  </si>
  <si>
    <t>-497.591715290162 166.617682413312 667.492736084868</t>
  </si>
  <si>
    <t>-347.958154292229 155.600891784421 759.31829641767</t>
  </si>
  <si>
    <t>-528.045434091369 22.833875772461 -229.743530118909</t>
  </si>
  <si>
    <t>-437.553162284953 -14.1174742558242 215.344618055903</t>
  </si>
  <si>
    <t>-589.831581299895 -117.751559441236 647.773356843662</t>
  </si>
  <si>
    <t>-435.947240522628 -142.023708422942 729.467731771182</t>
  </si>
  <si>
    <t>9763-20170724T164301.789739100.bin</t>
  </si>
  <si>
    <t>-510.012617860865 118.917868994052 -243.063548202691</t>
  </si>
  <si>
    <t>-551.494980009656 111.521195006171 -356.607796363894</t>
  </si>
  <si>
    <t>-569.065293280494 98.878300626474 -475.863814871707</t>
  </si>
  <si>
    <t>-574.91519383638 85.3346849008812 -584.386578147491</t>
  </si>
  <si>
    <t>-570.796702363775 69.733525560907 -692.712476693133</t>
  </si>
  <si>
    <t>-554.712209161117 45.9416304372832 -842.296094723206</t>
  </si>
  <si>
    <t>-511.886387237956 31.6958692070756 -933.652458259959</t>
  </si>
  <si>
    <t>-554.353961983048 87.1024335132706 -780.178646334684</t>
  </si>
  <si>
    <t>-524.154494309656 230.71113172016 -770.346510830265</t>
  </si>
  <si>
    <t>-452.798611619455 305.367201975357 -471.145811254463</t>
  </si>
  <si>
    <t>-269.657209958937 198.62501247697 -320.456121848583</t>
  </si>
  <si>
    <t>-569.304190748447 25.8351917041314 -772.041380773493</t>
  </si>
  <si>
    <t>-491.041992149355 214.532364584992 -256.047677582972</t>
  </si>
  <si>
    <t>-483.660588870492 204.181633820687 199.46972096235</t>
  </si>
  <si>
    <t>-497.623201505182 166.898005994996 667.508871037989</t>
  </si>
  <si>
    <t>-348.04072695969 154.928416031927 759.298393448589</t>
  </si>
  <si>
    <t>-528.868770358905 23.3701617969836 -229.398574410743</t>
  </si>
  <si>
    <t>-437.486095927068 -13.5518695428845 215.510028134519</t>
  </si>
  <si>
    <t>-589.98842704659 -117.774699113569 647.603827987837</t>
  </si>
  <si>
    <t>-435.944853727466 -141.240807660622 729.233661377109</t>
  </si>
  <si>
    <t>9763-20170724T164301.823360400.bin</t>
  </si>
  <si>
    <t>-510.381933152724 119.062416011629 -243.111413995614</t>
  </si>
  <si>
    <t>-551.89582507495 111.680190828023 -356.64519975344</t>
  </si>
  <si>
    <t>-569.451069496454 99.0628929905872 -475.906157288187</t>
  </si>
  <si>
    <t>-575.268523810839 85.5420965619406 -584.433665914417</t>
  </si>
  <si>
    <t>-571.09960175567 69.960793882569 -692.760345200587</t>
  </si>
  <si>
    <t>-554.92718127092 46.1909498873818 -842.33804381411</t>
  </si>
  <si>
    <t>-512.009469599445 31.8831186519659 -933.64148796261</t>
  </si>
  <si>
    <t>-554.548533169424 87.3297537272483 -780.205987314299</t>
  </si>
  <si>
    <t>-523.992674059293 230.825746415254 -770.229116634721</t>
  </si>
  <si>
    <t>-452.166888956351 303.41511874471 -470.63260554659</t>
  </si>
  <si>
    <t>-268.002938950855 197.697507966631 -320.46782496385</t>
  </si>
  <si>
    <t>-569.61737204417 26.0870341992585 -772.103052024172</t>
  </si>
  <si>
    <t>-491.324941123947 214.722018183378 -256.062213855004</t>
  </si>
  <si>
    <t>-483.978539650489 204.253188750609 199.452998459494</t>
  </si>
  <si>
    <t>-497.674962189482 167.061008959697 667.537703891701</t>
  </si>
  <si>
    <t>-348.054571309328 155.089012670666 759.265095801904</t>
  </si>
  <si>
    <t>-529.27435581148 23.5198888898205 -229.508894584649</t>
  </si>
  <si>
    <t>-437.808297321838 -13.3693295802189 215.385302429025</t>
  </si>
  <si>
    <t>-590.023225914298 -117.906376679972 647.541776663299</t>
  </si>
  <si>
    <t>-436.041334514608 -141.867117007394 729.144256830845</t>
  </si>
  <si>
    <t>9763-20170724T164301.893061500.bin</t>
  </si>
  <si>
    <t>-510.90308584704 118.669908911964 -243.245328428491</t>
  </si>
  <si>
    <t>-552.251988487607 111.471093046583 -356.850997141488</t>
  </si>
  <si>
    <t>-569.625544066247 98.9781814354893 -476.151762985471</t>
  </si>
  <si>
    <t>-575.27473174443 85.5427820443416 -584.698598842865</t>
  </si>
  <si>
    <t>-570.935027935861 70.0187570481029 -693.026901426902</t>
  </si>
  <si>
    <t>-554.524406446396 46.2980603618308 -842.586265863889</t>
  </si>
  <si>
    <t>-511.356034576904 31.9612917299806 -933.767028435202</t>
  </si>
  <si>
    <t>-554.194288008429 87.4049641553541 -780.432918968375</t>
  </si>
  <si>
    <t>-523.168095069076 230.818282970308 -770.456536014735</t>
  </si>
  <si>
    <t>-450.31322486503 301.263013234141 -470.596822325457</t>
  </si>
  <si>
    <t>-263.329074214964 200.864813149759 -320.266533036475</t>
  </si>
  <si>
    <t>-569.376889485821 26.182569314296 -772.388694911305</t>
  </si>
  <si>
    <t>-491.732306613943 214.373283297276 -256.047530063746</t>
  </si>
  <si>
    <t>-484.188298681283 203.824051313701 199.462556923213</t>
  </si>
  <si>
    <t>-497.662664689072 166.809526950714 667.582022663407</t>
  </si>
  <si>
    <t>-347.991537997193 154.949125597895 759.24111025885</t>
  </si>
  <si>
    <t>-529.848067184554 23.0066681397807 -229.851109541708</t>
  </si>
  <si>
    <t>-438.592658522165 -14.0079893045078 215.075869493183</t>
  </si>
  <si>
    <t>-590.143211167332 -118.128625380176 647.559382419747</t>
  </si>
  <si>
    <t>-436.076434252937 -141.758270531426 729.098325451112</t>
  </si>
  <si>
    <t>9763-20170724T164301.923640800.bin</t>
  </si>
  <si>
    <t>-511.213442658988 118.522399081734 -243.351719918103</t>
  </si>
  <si>
    <t>-552.52434100231 111.420136486896 -356.977323767911</t>
  </si>
  <si>
    <t>-569.800999173779 98.9687718411294 -476.296418352652</t>
  </si>
  <si>
    <t>-575.338622052518 85.5492702980245 -584.850961734637</t>
  </si>
  <si>
    <t>-570.864374852665 70.0199214214718 -693.173083688571</t>
  </si>
  <si>
    <t>-554.243919007083 46.2705515735825 -842.704869558388</t>
  </si>
  <si>
    <t>-510.940024724561 31.9358631099311 -933.821508226548</t>
  </si>
  <si>
    <t>-554.020132347407 87.3936948971645 -780.561765718401</t>
  </si>
  <si>
    <t>-523.098830752556 230.817391612567 -770.614593318099</t>
  </si>
  <si>
    <t>-449.529573607081 300.882676604882 -470.840344424707</t>
  </si>
  <si>
    <t>-260.893443456106 203.916625828929 -320.321187876187</t>
  </si>
  <si>
    <t>-569.175838621453 26.1641244625121 -772.521605165615</t>
  </si>
  <si>
    <t>-492.091446112635 214.354453012252 -256.048938527517</t>
  </si>
  <si>
    <t>-484.314288100214 203.815098457816 199.457525553173</t>
  </si>
  <si>
    <t>-497.75012472589 167.182644378346 667.578757372016</t>
  </si>
  <si>
    <t>-348.127565375555 154.809338407305 759.249389496582</t>
  </si>
  <si>
    <t>-530.153930649922 22.8724997139958 -230.007039468414</t>
  </si>
  <si>
    <t>-438.879202402635 -14.3168384386923 214.90141404398</t>
  </si>
  <si>
    <t>-590.238492152424 -117.88978657043 647.563478973857</t>
  </si>
  <si>
    <t>-436.236139525775 -141.923741378469 729.105906559489</t>
  </si>
  <si>
    <t>9763-20170724T164301.988820300.bin</t>
  </si>
  <si>
    <t>-511.719645735134 117.995854660457 -243.373898987203</t>
  </si>
  <si>
    <t>-552.926521855464 110.819477919942 -357.032667808765</t>
  </si>
  <si>
    <t>-569.985638152479 98.2494502836599 -476.370640034822</t>
  </si>
  <si>
    <t>-575.281652123958 84.7054703431193 -584.921789995104</t>
  </si>
  <si>
    <t>-570.523071174925 69.0348198964542 -693.211422002187</t>
  </si>
  <si>
    <t>-553.46540708759 45.0721262772756 -842.659808721109</t>
  </si>
  <si>
    <t>-509.90931500477 30.7712587855983 -933.661582849045</t>
  </si>
  <si>
    <t>-553.505995548225 86.3026441821137 -780.587551064355</t>
  </si>
  <si>
    <t>-523.009150770713 229.831353755167 -770.909616076583</t>
  </si>
  <si>
    <t>-447.257394234814 303.32087757585 -472.501883470619</t>
  </si>
  <si>
    <t>-256.627229174202 210.022427725819 -322.177125847249</t>
  </si>
  <si>
    <t>-568.519759439469 25.0470934310869 -772.47938484729</t>
  </si>
  <si>
    <t>-492.871799162112 213.839091699093 -255.994183849955</t>
  </si>
  <si>
    <t>-484.821934371449 203.540880313769 199.513114437423</t>
  </si>
  <si>
    <t>-497.886151363807 167.29981321067 667.709009073985</t>
  </si>
  <si>
    <t>-348.186025607882 154.926257874216 759.252850502271</t>
  </si>
  <si>
    <t>-530.365658721573 22.3832344228729 -230.05679056511</t>
  </si>
  <si>
    <t>-439.070401959142 -14.903888524887 214.839281939375</t>
  </si>
  <si>
    <t>-590.363125162972 -117.991323903474 647.600109640573</t>
  </si>
  <si>
    <t>-436.255437217624 -141.699766389518 729.038670936547</t>
  </si>
  <si>
    <t>9763-20170724T164302.027431900.bin</t>
  </si>
  <si>
    <t>-511.974735134962 117.734617101427 -243.390130885235</t>
  </si>
  <si>
    <t>-553.128912960913 110.511864016462 -357.065003792961</t>
  </si>
  <si>
    <t>-570.168284228619 97.8584419249766 -476.396865051455</t>
  </si>
  <si>
    <t>-575.461199315229 84.2238067686669 -584.936990976045</t>
  </si>
  <si>
    <t>-570.71461775857 68.4467925698242 -693.211633367207</t>
  </si>
  <si>
    <t>-553.689552263322 44.319547890358 -842.63726986925</t>
  </si>
  <si>
    <t>-510.064276330054 30.0154034302136 -933.60546019363</t>
  </si>
  <si>
    <t>-553.763162023721 85.6288597856961 -780.617464531804</t>
  </si>
  <si>
    <t>-523.67114089695 229.24979271804 -771.221725427564</t>
  </si>
  <si>
    <t>-445.984500288237 304.246077063797 -473.687760572833</t>
  </si>
  <si>
    <t>-255.060482770423 212.379430387828 -322.854743706748</t>
  </si>
  <si>
    <t>-568.682128769221 24.3614208740041 -772.424594473614</t>
  </si>
  <si>
    <t>-493.345200283043 213.585805827007 -255.963761361584</t>
  </si>
  <si>
    <t>-485.123343598302 203.345372339448 199.541614768951</t>
  </si>
  <si>
    <t>-497.916477010044 167.156178470044 667.76795342016</t>
  </si>
  <si>
    <t>-348.1356272503 155.062664656988 759.217187451396</t>
  </si>
  <si>
    <t>-530.509079645743 22.085433864327 -230.109692762254</t>
  </si>
  <si>
    <t>-439.212925396404 -15.1784710750707 214.788164111609</t>
  </si>
  <si>
    <t>-590.366367909126 -118.309272387588 647.589825599325</t>
  </si>
  <si>
    <t>-436.111437558747 -141.26801393112 728.964528608524</t>
  </si>
  <si>
    <t>9763-20170724T164302.086585500.bin</t>
  </si>
  <si>
    <t>-512.303436315198 117.76709908046 -243.347915469095</t>
  </si>
  <si>
    <t>-553.359180749128 110.412628215413 -357.049892216875</t>
  </si>
  <si>
    <t>-570.405948705061 97.627296038355 -476.36678977162</t>
  </si>
  <si>
    <t>-575.752930735357 83.8631991843893 -584.887693003118</t>
  </si>
  <si>
    <t>-571.109482022585 67.9395334919749 -693.145499279071</t>
  </si>
  <si>
    <t>-554.279558940036 43.5843317221591 -842.556308462926</t>
  </si>
  <si>
    <t>-510.674802908835 29.2692829340718 -933.532556978132</t>
  </si>
  <si>
    <t>-554.275606595483 84.9889733339589 -780.599943140314</t>
  </si>
  <si>
    <t>-524.455958469005 228.69439482621 -771.539833894819</t>
  </si>
  <si>
    <t>-442.76966454758 305.982692927602 -475.668120402523</t>
  </si>
  <si>
    <t>-252.845850220171 214.574611603169 -323.301555968891</t>
  </si>
  <si>
    <t>-569.176964385216 23.732570229759 -772.293229682844</t>
  </si>
  <si>
    <t>-493.981677877205 213.464581145892 -255.896653757569</t>
  </si>
  <si>
    <t>-485.578759598799 203.289844600453 199.606900882794</t>
  </si>
  <si>
    <t>-497.926510420794 166.845902569386 667.84232980944</t>
  </si>
  <si>
    <t>-348.05184121273 154.913243209853 759.158818558292</t>
  </si>
  <si>
    <t>-530.490536617106 22.148938864539 -230.226680197606</t>
  </si>
  <si>
    <t>-439.647933993607 -14.850000732692 214.786182117529</t>
  </si>
  <si>
    <t>-590.451640179978 -117.99402992711 647.612157313964</t>
  </si>
  <si>
    <t>-436.390131505492 -142.256938427052 728.974732276616</t>
  </si>
  <si>
    <t>9763-20170724T164302.122190600.bin</t>
  </si>
  <si>
    <t>-512.260833219887 117.618062708606 -243.376311109948</t>
  </si>
  <si>
    <t>-553.368687751087 110.261888351003 -357.059564415834</t>
  </si>
  <si>
    <t>-570.456704381454 97.4642863052674 -476.369100771788</t>
  </si>
  <si>
    <t>-575.836934431914 83.6799828803454 -584.885905324906</t>
  </si>
  <si>
    <t>-571.222965096212 67.7240776444666 -693.140061762599</t>
  </si>
  <si>
    <t>-554.430721002103 43.309181694996 -842.545286915943</t>
  </si>
  <si>
    <t>-510.885198427666 28.9534218321232 -933.543641138958</t>
  </si>
  <si>
    <t>-554.377289889449 84.7309617630172 -780.60059902204</t>
  </si>
  <si>
    <t>-524.282051375505 228.364061187157 -771.467958843903</t>
  </si>
  <si>
    <t>-440.901477192855 305.645209844209 -476.067512399634</t>
  </si>
  <si>
    <t>-251.817060684526 213.494727401455 -323.105144635421</t>
  </si>
  <si>
    <t>-569.344214404102 23.4930636482165 -772.275673973016</t>
  </si>
  <si>
    <t>-493.954160950428 213.291823289916 -255.899506924757</t>
  </si>
  <si>
    <t>-485.598194643429 203.059104514392 199.603621644973</t>
  </si>
  <si>
    <t>-497.890396609481 166.693009572838 667.84215055482</t>
  </si>
  <si>
    <t>-347.918371811025 155.613630881413 759.106370236741</t>
  </si>
  <si>
    <t>-530.444754987471 21.8886605038488 -230.231822626111</t>
  </si>
  <si>
    <t>-439.682807024393 -15.0833515876683 214.799633968815</t>
  </si>
  <si>
    <t>-590.413191718433 -118.419033320239 647.637698828938</t>
  </si>
  <si>
    <t>-436.199528547134 -141.812376742239 728.966711354183</t>
  </si>
  <si>
    <t>9763-20170724T164302.189370200.bin</t>
  </si>
  <si>
    <t>-512.171825201856 117.743618003137 -243.384746703861</t>
  </si>
  <si>
    <t>-553.24708170534 110.461387957135 -357.084445227461</t>
  </si>
  <si>
    <t>-570.294780613017 97.7324412305435 -476.407207448561</t>
  </si>
  <si>
    <t>-575.637289143114 84.0002789175919 -584.932467660289</t>
  </si>
  <si>
    <t>-570.985527804503 68.0826722025268 -693.190590131836</t>
  </si>
  <si>
    <t>-554.141992753592 43.7027966790147 -842.595896639849</t>
  </si>
  <si>
    <t>-510.689294833801 29.2236472557713 -933.618906961209</t>
  </si>
  <si>
    <t>-553.96792776945 85.0779183255425 -780.620196414054</t>
  </si>
  <si>
    <t>-522.901387135423 228.49683845621 -771.083379504131</t>
  </si>
  <si>
    <t>-438.582412800499 302.238732147733 -475.045051763369</t>
  </si>
  <si>
    <t>-250.122339304228 208.556570000738 -322.242913587815</t>
  </si>
  <si>
    <t>-569.221568040153 23.9023569288306 -772.357273111424</t>
  </si>
  <si>
    <t>-493.61162663332 213.475867386564 -255.936739642175</t>
  </si>
  <si>
    <t>-485.392925652989 203.153476995833 199.566898798796</t>
  </si>
  <si>
    <t>-497.870874827383 166.715668237048 667.806208181929</t>
  </si>
  <si>
    <t>-347.954241599856 155.119840491889 759.097295113211</t>
  </si>
  <si>
    <t>-530.577391786256 22.0800599423342 -230.215610356024</t>
  </si>
  <si>
    <t>-439.943509374529 -15.0377342458209 214.829805815458</t>
  </si>
  <si>
    <t>-590.550405781978 -118.056963023979 647.785189676085</t>
  </si>
  <si>
    <t>-436.440925926488 -142.148929106086 729.107658782813</t>
  </si>
  <si>
    <t>9763-20170724T164302.219474200.bin</t>
  </si>
  <si>
    <t>-512.054027860353 117.816684681882 -243.390463282005</t>
  </si>
  <si>
    <t>-553.186464179563 110.648338801894 -357.076465497522</t>
  </si>
  <si>
    <t>-570.244177124909 98.0088737730553 -476.407293488076</t>
  </si>
  <si>
    <t>-575.575902627356 84.3443187761507 -584.941789617624</t>
  </si>
  <si>
    <t>-570.893883490478 68.480004852288 -693.206546706797</t>
  </si>
  <si>
    <t>-553.988785628742 44.1579625789311 -842.61419439763</t>
  </si>
  <si>
    <t>-510.553510289885 29.6205640628311 -933.636273572404</t>
  </si>
  <si>
    <t>-553.741257242667 85.4862083884439 -780.607416634302</t>
  </si>
  <si>
    <t>-522.090280657833 228.754951719359 -770.836517298701</t>
  </si>
  <si>
    <t>-438.143100883784 301.073945702039 -474.342010399287</t>
  </si>
  <si>
    <t>-250.218931899532 206.428330714964 -321.473678875466</t>
  </si>
  <si>
    <t>-569.196234135502 24.3531606418248 -772.404351627751</t>
  </si>
  <si>
    <t>-493.249881817041 213.698116043939 -255.947841156576</t>
  </si>
  <si>
    <t>-485.11319224912 203.267045311218 199.554718310725</t>
  </si>
  <si>
    <t>-497.935688381712 167.063922818545 667.784309168236</t>
  </si>
  <si>
    <t>-348.119608553185 154.578798291327 759.123138895645</t>
  </si>
  <si>
    <t>-530.729459367015 21.9865922007898 -230.204105187011</t>
  </si>
  <si>
    <t>-440.074232563529 -15.2373968504448 214.828129326854</t>
  </si>
  <si>
    <t>-590.588875799141 -118.204524478885 647.876625202357</t>
  </si>
  <si>
    <t>-436.35663679361 -141.636815092956 729.159197499177</t>
  </si>
  <si>
    <t>9763-20170724T164302.289654100.bin</t>
  </si>
  <si>
    <t>-511.704106116681 117.81145875139 -243.384785479867</t>
  </si>
  <si>
    <t>-552.888696676143 111.01165783771 -357.074602310759</t>
  </si>
  <si>
    <t>-569.938985478486 98.6243440137847 -476.43298262694</t>
  </si>
  <si>
    <t>-575.238692464876 85.1395822515353 -584.991313886128</t>
  </si>
  <si>
    <t>-570.499121536157 69.4080844417421 -693.27305370315</t>
  </si>
  <si>
    <t>-553.488050289198 45.2230859532908 -842.6908044368</t>
  </si>
  <si>
    <t>-510.03318334694 30.5385970529296 -933.680043006043</t>
  </si>
  <si>
    <t>-553.079842738181 86.4461003979523 -780.61498538819</t>
  </si>
  <si>
    <t>-520.377460988825 229.437584290237 -770.277690003544</t>
  </si>
  <si>
    <t>-439.099451111094 298.604098482764 -472.291078747809</t>
  </si>
  <si>
    <t>-251.697126940661 204.028720386659 -318.739973450604</t>
  </si>
  <si>
    <t>-568.950018453443 25.4023008221576 -772.541199013689</t>
  </si>
  <si>
    <t>-492.202034194102 213.83267350106 -255.920418575332</t>
  </si>
  <si>
    <t>-484.177799059431 203.186913534583 199.579215431656</t>
  </si>
  <si>
    <t>-497.953457873446 167.318383724078 667.749089195214</t>
  </si>
  <si>
    <t>-348.293170373497 154.039318567309 759.231163850553</t>
  </si>
  <si>
    <t>-531.076292378648 21.9715463913897 -230.211289847174</t>
  </si>
  <si>
    <t>-440.502111353628 -15.7432029651062 214.796048272102</t>
  </si>
  <si>
    <t>-590.866079564636 -118.036636887729 648.187528326024</t>
  </si>
  <si>
    <t>-436.569343935421 -141.604481661208 729.308326823782</t>
  </si>
  <si>
    <t>9763-20170724T164302.323816700.bin</t>
  </si>
  <si>
    <t>-511.438543277881 117.700857638007 -243.340170980867</t>
  </si>
  <si>
    <t>-552.604508799759 111.096236220987 -357.048354581672</t>
  </si>
  <si>
    <t>-569.601914362435 98.8517284065951 -476.42892997898</t>
  </si>
  <si>
    <t>-574.839289916486 85.4772454646147 -585.0039829746</t>
  </si>
  <si>
    <t>-570.022695743585 69.8398345557159 -693.295842652158</t>
  </si>
  <si>
    <t>-552.889324474579 45.7706413156031 -842.718494652414</t>
  </si>
  <si>
    <t>-509.401384555786 31.0409864725633 -933.68444967177</t>
  </si>
  <si>
    <t>-552.447491223059 86.9251896833109 -780.597460856969</t>
  </si>
  <si>
    <t>-519.328457846319 229.808509170241 -769.945737905549</t>
  </si>
  <si>
    <t>-439.413519264302 298.17852280672 -471.407116204938</t>
  </si>
  <si>
    <t>-252.076592642071 204.059359777635 -317.496364596185</t>
  </si>
  <si>
    <t>-568.49311885387 25.915861203747 -772.609776780084</t>
  </si>
  <si>
    <t>-491.471975806683 213.607239474747 -255.884832855564</t>
  </si>
  <si>
    <t>-483.55425006306 202.864129051091 199.61442379152</t>
  </si>
  <si>
    <t>-497.801127149621 166.801087542632 667.74321443064</t>
  </si>
  <si>
    <t>-348.128860240982 154.177438843092 759.298537941234</t>
  </si>
  <si>
    <t>-531.184110700084 21.9076823578698 -230.169797722811</t>
  </si>
  <si>
    <t>-440.67857133312 -16.2437271504749 214.814310939523</t>
  </si>
  <si>
    <t>-591.02887831523 -118.19962717653 648.346119430472</t>
  </si>
  <si>
    <t>-436.707009575124 -141.981529864367 729.356613595941</t>
  </si>
  <si>
    <t>9763-20170724T164302.390008200.bin</t>
  </si>
  <si>
    <t>-510.866059170034 117.818206924391 -243.327362851006</t>
  </si>
  <si>
    <t>-552.05023212116 111.488795340855 -357.044561066088</t>
  </si>
  <si>
    <t>-568.967713950011 99.4644334029851 -476.45883930546</t>
  </si>
  <si>
    <t>-574.090830516629 86.2708257827816 -585.061604982023</t>
  </si>
  <si>
    <t>-569.117596576648 70.7999979630107 -693.370213390339</t>
  </si>
  <si>
    <t>-551.723024337546 46.9511009893036 -842.79796236847</t>
  </si>
  <si>
    <t>-508.084885943465 32.1744022880311 -933.684445337734</t>
  </si>
  <si>
    <t>-551.293488115158 87.9904017725079 -780.600621103524</t>
  </si>
  <si>
    <t>-517.71834207657 230.741208097535 -769.609474820277</t>
  </si>
  <si>
    <t>-438.798895681032 297.588542254684 -470.461787815506</t>
  </si>
  <si>
    <t>-251.13571798409 206.518144997581 -315.121083868371</t>
  </si>
  <si>
    <t>-567.545673692668 27.0165925407064 -772.761023468135</t>
  </si>
  <si>
    <t>-490.353285667194 213.63168753696 -255.871248507466</t>
  </si>
  <si>
    <t>-482.514078392045 202.89780459833 199.629487966392</t>
  </si>
  <si>
    <t>-497.744975660755 166.924078285069 667.677319666405</t>
  </si>
  <si>
    <t>-348.335618717368 153.142588678084 759.494673869141</t>
  </si>
  <si>
    <t>-531.1242716081 22.1411861215244 -230.125784179597</t>
  </si>
  <si>
    <t>-440.784235383542 -16.7375397261357 214.829019617828</t>
  </si>
  <si>
    <t>-591.464753979332 -117.729867596341 648.57831508807</t>
  </si>
  <si>
    <t>-437.266049832354 -142.850109991385 729.419145869338</t>
  </si>
  <si>
    <t>9763-20170724T164302.425091500.bin</t>
  </si>
  <si>
    <t>-510.612607719938 117.491829440828 -243.335154713931</t>
  </si>
  <si>
    <t>-551.847036590857 111.222175967283 -357.037455041421</t>
  </si>
  <si>
    <t>-568.743597641372 99.277244183619 -476.462711688739</t>
  </si>
  <si>
    <t>-573.81785784263 86.1621900432106 -585.07716614802</t>
  </si>
  <si>
    <t>-568.765835741919 70.7761074749056 -693.394261863252</t>
  </si>
  <si>
    <t>-551.231389323626 47.0511367185972 -842.825403001348</t>
  </si>
  <si>
    <t>-507.517634255855 32.3037365467144 -933.680299634881</t>
  </si>
  <si>
    <t>-550.830885243829 88.0315683931289 -780.58920017121</t>
  </si>
  <si>
    <t>-517.115516268871 230.720311482225 -769.39983961214</t>
  </si>
  <si>
    <t>-437.883554044761 297.530151588223 -470.326424662066</t>
  </si>
  <si>
    <t>-249.899146091197 207.722794356002 -314.638998441856</t>
  </si>
  <si>
    <t>-567.148759679512 27.0657742011558 -772.824354818088</t>
  </si>
  <si>
    <t>-489.971813177271 213.310982012908 -255.849136030458</t>
  </si>
  <si>
    <t>-482.156386247362 202.608806326049 199.652879155227</t>
  </si>
  <si>
    <t>-497.705586188869 166.805439863359 667.673402464659</t>
  </si>
  <si>
    <t>-348.277740286032 153.740313686693 759.565401059599</t>
  </si>
  <si>
    <t>-531.118108523432 21.699809587661 -230.036845344695</t>
  </si>
  <si>
    <t>-440.714517223024 -17.2128253341953 214.902148099415</t>
  </si>
  <si>
    <t>-591.677514694003 -118.198640981348 648.693181840215</t>
  </si>
  <si>
    <t>-437.313488083106 -142.787520278187 729.381781183267</t>
  </si>
  <si>
    <t>9763-20170724T164302.489260700.bin</t>
  </si>
  <si>
    <t>-510.270079710895 117.24857219705 -242.999322162827</t>
  </si>
  <si>
    <t>-551.353642583999 110.895216609293 -356.751646152805</t>
  </si>
  <si>
    <t>-568.094429241087 99.0607483279962 -476.209723195393</t>
  </si>
  <si>
    <t>-573.027417851505 86.1233371005288 -584.852144406903</t>
  </si>
  <si>
    <t>-567.834423690329 70.9918456931504 -693.198341797563</t>
  </si>
  <si>
    <t>-550.104224006456 47.6994153540346 -842.674495247634</t>
  </si>
  <si>
    <t>-506.286892846298 33.1677177936846 -933.514207174831</t>
  </si>
  <si>
    <t>-549.791130641965 88.5010930002049 -780.320300341448</t>
  </si>
  <si>
    <t>-515.897643745531 231.105578134423 -768.629154562287</t>
  </si>
  <si>
    <t>-435.453265860101 296.621842282541 -469.593160870111</t>
  </si>
  <si>
    <t>-245.591375015804 210.559933629721 -314.068637913457</t>
  </si>
  <si>
    <t>-566.107433892893 27.5101445506924 -772.751607484387</t>
  </si>
  <si>
    <t>-489.37777202742 212.802888459331 -255.701953000664</t>
  </si>
  <si>
    <t>-481.813888659707 202.303763713285 199.809026427783</t>
  </si>
  <si>
    <t>-497.466848375553 166.089013677274 667.696822204079</t>
  </si>
  <si>
    <t>-348.059684874412 153.47525835179 759.68545023096</t>
  </si>
  <si>
    <t>-530.954089339984 21.865367139666 -229.496192085533</t>
  </si>
  <si>
    <t>-440.558212508607 -17.4734483572726 215.406801726549</t>
  </si>
  <si>
    <t>-592.554106502723 -118.045294033444 649.133728179519</t>
  </si>
  <si>
    <t>-437.807844220957 -142.918269233003 728.998869804304</t>
  </si>
  <si>
    <t>9763-20170724T164302.519913700.bin</t>
  </si>
  <si>
    <t>-510.005515128346 117.488198824103 -242.861934433289</t>
  </si>
  <si>
    <t>-551.127438718032 111.080815754275 -356.597303879134</t>
  </si>
  <si>
    <t>-567.834584798751 99.2741639646701 -476.062977983233</t>
  </si>
  <si>
    <t>-572.705801278911 86.3998816550406 -584.715452202488</t>
  </si>
  <si>
    <t>-567.418912031909 71.3719637204777 -693.071613136524</t>
  </si>
  <si>
    <t>-549.524801970421 48.2680157607034 -842.557362205158</t>
  </si>
  <si>
    <t>-505.651538189719 33.9040331282952 -933.396891609017</t>
  </si>
  <si>
    <t>-549.332895954383 89.0040299130594 -780.159942287287</t>
  </si>
  <si>
    <t>-515.522443539385 231.621077893433 -768.292215794011</t>
  </si>
  <si>
    <t>-434.115015136664 297.052435345184 -469.498318850842</t>
  </si>
  <si>
    <t>-243.470232813823 212.75332104017 -313.966112001093</t>
  </si>
  <si>
    <t>-565.551861479827 27.9775390499381 -772.669290939098</t>
  </si>
  <si>
    <t>-489.144694607199 213.203217853729 -255.62224748107</t>
  </si>
  <si>
    <t>-481.938402807059 202.69560560774 199.894286683813</t>
  </si>
  <si>
    <t>-497.579075719384 166.61244409416 667.729453754205</t>
  </si>
  <si>
    <t>-348.306769504427 152.730371904975 759.754276665996</t>
  </si>
  <si>
    <t>-530.728508676037 21.9309525503684 -229.266200446059</t>
  </si>
  <si>
    <t>-440.349543683401 -17.6813564584655 215.615959220997</t>
  </si>
  <si>
    <t>-592.799348911772 -118.582323520581 649.094332324785</t>
  </si>
  <si>
    <t>-437.686636365284 -142.467036122419 728.549093068464</t>
  </si>
  <si>
    <t>9763-20170724T164302.589101800.bin</t>
  </si>
  <si>
    <t>-509.403989597443 117.959186654021 -242.648072771135</t>
  </si>
  <si>
    <t>-550.2312774027 111.27900380736 -356.473887590581</t>
  </si>
  <si>
    <t>-566.690447910519 99.4254427858509 -475.969318388877</t>
  </si>
  <si>
    <t>-571.361214895775 86.5972815311393 -584.636153966086</t>
  </si>
  <si>
    <t>-565.899489320566 71.7005989612618 -693.001750040674</t>
  </si>
  <si>
    <t>-547.789694378157 48.8642995822784 -842.502791377503</t>
  </si>
  <si>
    <t>-503.810270225238 34.8402284834118 -933.343942879769</t>
  </si>
  <si>
    <t>-547.772298296552 89.5092604634485 -780.045490389721</t>
  </si>
  <si>
    <t>-514.228720820615 232.174495544245 -768.03497134092</t>
  </si>
  <si>
    <t>-431.539716874805 298.084414956192 -469.698659321499</t>
  </si>
  <si>
    <t>-240.627571020791 214.711789325973 -313.994980818983</t>
  </si>
  <si>
    <t>-563.833173054872 28.4280592718297 -772.660926611493</t>
  </si>
  <si>
    <t>-488.780711124993 213.565588741731 -255.497072666949</t>
  </si>
  <si>
    <t>-482.072139747479 203.227925704116 200.030993711743</t>
  </si>
  <si>
    <t>-497.606262617457 166.423248049866 667.844114926911</t>
  </si>
  <si>
    <t>-348.223044426054 153.063126785866 759.766235108482</t>
  </si>
  <si>
    <t>-529.801248565907 22.4600486775464 -229.137959279867</t>
  </si>
  <si>
    <t>-439.609333665722 -17.3954097595496 215.760520901463</t>
  </si>
  <si>
    <t>-593.037977080844 -118.8955106464 648.616704290977</t>
  </si>
  <si>
    <t>-437.796681485216 -142.817397910796 727.808859300971</t>
  </si>
  <si>
    <t>9763-20170724T164302.621191700.bin</t>
  </si>
  <si>
    <t>-508.871160457798 118.127570948237 -242.633475429885</t>
  </si>
  <si>
    <t>-549.626938198546 111.357458639818 -356.479448049993</t>
  </si>
  <si>
    <t>-565.997143776025 99.4868108409872 -475.985512152852</t>
  </si>
  <si>
    <t>-570.581160203191 86.6727362748737 -584.657555614094</t>
  </si>
  <si>
    <t>-565.026929883491 71.8192625882875 -693.024506510068</t>
  </si>
  <si>
    <t>-546.783047796189 49.0729880568217 -842.522900758797</t>
  </si>
  <si>
    <t>-502.756843239472 35.1544782419186 -933.357634107302</t>
  </si>
  <si>
    <t>-546.861023990016 89.6899551264796 -780.047410822206</t>
  </si>
  <si>
    <t>-513.557148920297 232.404550232761 -768.00320765287</t>
  </si>
  <si>
    <t>-430.74221451347 298.834476984168 -469.817167945435</t>
  </si>
  <si>
    <t>-240.095156171436 214.760999908287 -314.165435421218</t>
  </si>
  <si>
    <t>-562.849729932876 28.5851508925983 -772.701446946605</t>
  </si>
  <si>
    <t>-488.355104792729 213.389037264965 -255.447032541168</t>
  </si>
  <si>
    <t>-482.188566636321 203.074940258767 200.089257486653</t>
  </si>
  <si>
    <t>-497.494870713899 165.799036668114 667.890763713213</t>
  </si>
  <si>
    <t>-347.930431538313 153.897239440019 759.718549278502</t>
  </si>
  <si>
    <t>-529.186009347073 22.9332984049284 -229.184083716869</t>
  </si>
  <si>
    <t>-439.12734053275 -16.8479293379401 215.747968839411</t>
  </si>
  <si>
    <t>-593.003546986702 -118.351116268676 648.169628957206</t>
  </si>
  <si>
    <t>-438.010018765557 -143.171734217761 727.570292612067</t>
  </si>
  <si>
    <t>9763-20170724T164302.689370500.bin</t>
  </si>
  <si>
    <t>-507.832960897344 119.156815500467 -242.842473665726</t>
  </si>
  <si>
    <t>-548.316376996507 112.21053478985 -356.775157450295</t>
  </si>
  <si>
    <t>-564.34409869856 100.320467540862 -476.325581448718</t>
  </si>
  <si>
    <t>-568.592896350971 87.5557545797815 -585.017141093022</t>
  </si>
  <si>
    <t>-562.679757878213 72.8196165646839 -693.381048196983</t>
  </si>
  <si>
    <t>-543.914001704358 50.3080457358874 -842.850381031898</t>
  </si>
  <si>
    <t>-499.672030658829 36.5986136073727 -933.612108851431</t>
  </si>
  <si>
    <t>-544.299003098255 90.8482838446872 -780.326368489945</t>
  </si>
  <si>
    <t>-511.384907012888 233.626138419449 -767.858583636733</t>
  </si>
  <si>
    <t>-429.4774451711 298.635227010121 -469.109238021407</t>
  </si>
  <si>
    <t>-238.015878621464 214.506986172715 -314.49042482881</t>
  </si>
  <si>
    <t>-560.135536151464 29.6892006404507 -773.103279110496</t>
  </si>
  <si>
    <t>-487.604508060543 214.467655803783 -255.586706875647</t>
  </si>
  <si>
    <t>-482.194569855486 203.873603438611 199.952798392466</t>
  </si>
  <si>
    <t>-497.563133508159 166.032223787003 667.815568033041</t>
  </si>
  <si>
    <t>-348.029819024025 153.577438559838 759.620606848796</t>
  </si>
  <si>
    <t>-527.893716110537 23.9502576984399 -229.552982070582</t>
  </si>
  <si>
    <t>-438.154470025725 -16.1783900675899 215.412458577109</t>
  </si>
  <si>
    <t>-592.6840879805 -118.599569124753 647.353997014343</t>
  </si>
  <si>
    <t>-437.93230672817 -143.674929267117 727.145102516998</t>
  </si>
  <si>
    <t>9763-20170724T164302.725038100.bin</t>
  </si>
  <si>
    <t>-507.191091838592 119.843561378804 -242.97483027705</t>
  </si>
  <si>
    <t>-547.692680866878 112.850986275657 -356.898234764911</t>
  </si>
  <si>
    <t>-563.646494399709 100.975381752544 -476.460024864953</t>
  </si>
  <si>
    <t>-567.789480105505 88.2517942176974 -585.160439962703</t>
  </si>
  <si>
    <t>-561.73178784394 73.5868040121153 -693.525881219463</t>
  </si>
  <si>
    <t>-542.725377785737 51.207120105333 -842.984605777331</t>
  </si>
  <si>
    <t>-498.357024382133 37.6076225202858 -933.701139918388</t>
  </si>
  <si>
    <t>-543.267980771319 91.7057663441877 -780.434766272749</t>
  </si>
  <si>
    <t>-510.552674905492 234.515515009218 -767.713396954833</t>
  </si>
  <si>
    <t>-428.948580899505 298.105536337311 -468.575723658719</t>
  </si>
  <si>
    <t>-236.948450273204 214.176945270383 -314.517467133465</t>
  </si>
  <si>
    <t>-559.00226806002 30.5131512979057 -773.272833621455</t>
  </si>
  <si>
    <t>-487.052526271156 215.170109283227 -255.662973984319</t>
  </si>
  <si>
    <t>-482.16440205274 204.566384254876 199.882049685965</t>
  </si>
  <si>
    <t>-497.640390298752 166.442304644117 667.737422071499</t>
  </si>
  <si>
    <t>-348.218184433387 153.042430282968 759.59036144089</t>
  </si>
  <si>
    <t>-527.196407134531 24.6407070747275 -229.631896054416</t>
  </si>
  <si>
    <t>-437.59787732207 -15.7245990641723 215.340390215045</t>
  </si>
  <si>
    <t>-592.578049277768 -118.477830644469 647.029832112893</t>
  </si>
  <si>
    <t>-437.956319887542 -143.770869975026 727.00406031699</t>
  </si>
  <si>
    <t>9763-20170724T164302.792219000.bin</t>
  </si>
  <si>
    <t>-505.643477138496 120.399517779922 -243.237542112793</t>
  </si>
  <si>
    <t>-545.797534362603 113.141535448796 -357.267227231671</t>
  </si>
  <si>
    <t>-561.390951491468 101.17440581266 -476.86747781192</t>
  </si>
  <si>
    <t>-565.207574834342 88.4392904040162 -585.57852667403</t>
  </si>
  <si>
    <t>-558.825444794184 73.8328914444995 -693.933276149926</t>
  </si>
  <si>
    <t>-539.372017040553 51.6066861885351 -843.357485475332</t>
  </si>
  <si>
    <t>-494.729768440029 38.2394929748291 -933.974166603861</t>
  </si>
  <si>
    <t>-540.238575240547 92.0733644016653 -780.79053633511</t>
  </si>
  <si>
    <t>-508.010225893159 234.968849453687 -767.803162282283</t>
  </si>
  <si>
    <t>-425.79197395045 298.09510559108 -468.735496423103</t>
  </si>
  <si>
    <t>-234.356904823046 213.300191621323 -314.448431772945</t>
  </si>
  <si>
    <t>-555.720521822586 30.8088240919982 -773.693334746184</t>
  </si>
  <si>
    <t>-485.990981973398 215.701621148467 -255.851595784458</t>
  </si>
  <si>
    <t>-482.099448893628 204.896769488548 199.698461745825</t>
  </si>
  <si>
    <t>-497.539441395694 166.046075844305 667.631580817252</t>
  </si>
  <si>
    <t>-348.012190274896 153.693374465741 759.460419360192</t>
  </si>
  <si>
    <t>-525.135537499592 25.133573770651 -229.94612921396</t>
  </si>
  <si>
    <t>-436.221150939778 -15.1537068834594 215.170522372812</t>
  </si>
  <si>
    <t>-592.192977017996 -118.599186255999 646.323380138002</t>
  </si>
  <si>
    <t>-437.811715863535 -143.698794935517 726.821459840861</t>
  </si>
  <si>
    <t>9763-20170724T164302.825416200.bin</t>
  </si>
  <si>
    <t>-504.966667590968 120.734560614956 -243.276701520073</t>
  </si>
  <si>
    <t>-544.926789991067 113.334095237517 -357.365399485343</t>
  </si>
  <si>
    <t>-560.341201592502 101.305122106857 -476.982491160976</t>
  </si>
  <si>
    <t>-564.005845092407 88.542718779314 -585.695618612833</t>
  </si>
  <si>
    <t>-557.483161865085 73.9340549672098 -694.041906329068</t>
  </si>
  <si>
    <t>-537.847604230215 51.7279281391241 -843.4451125784</t>
  </si>
  <si>
    <t>-493.093755255873 38.4450222280996 -934.019122838329</t>
  </si>
  <si>
    <t>-538.827985938391 92.1949296371453 -780.880058750426</t>
  </si>
  <si>
    <t>-506.675383306616 235.081514383496 -767.830440600282</t>
  </si>
  <si>
    <t>-424.152932776023 298.068204829259 -468.817159014624</t>
  </si>
  <si>
    <t>-233.15209966302 212.427269976837 -314.459324034323</t>
  </si>
  <si>
    <t>-554.243473913566 30.9119932233708 -773.797437140982</t>
  </si>
  <si>
    <t>-485.507205062715 216.065192500764 -255.896924712925</t>
  </si>
  <si>
    <t>-482.133983072357 205.21679649893 199.656117901308</t>
  </si>
  <si>
    <t>-497.557873105713 166.077801858472 667.592566211054</t>
  </si>
  <si>
    <t>-347.989828471395 154.11312431227 759.406395604685</t>
  </si>
  <si>
    <t>-524.242854216181 25.5056641196808 -230.012979728677</t>
  </si>
  <si>
    <t>-435.647432344505 -14.6634297093026 215.177970990107</t>
  </si>
  <si>
    <t>-591.987204782493 -118.528622392924 645.999896660205</t>
  </si>
  <si>
    <t>-437.717578190392 -143.505992280993 726.74958968012</t>
  </si>
  <si>
    <t>9763-20170724T164302.889585400.bin</t>
  </si>
  <si>
    <t>-503.539844825332 121.590226194753 -243.626264332933</t>
  </si>
  <si>
    <t>-543.319227117885 114.037877762189 -357.768153004873</t>
  </si>
  <si>
    <t>-558.488615437416 101.986721489491 -477.414402202311</t>
  </si>
  <si>
    <t>-561.908982908877 89.2491229103533 -586.138381338876</t>
  </si>
  <si>
    <t>-555.121891548159 74.7046635571013 -694.477026148089</t>
  </si>
  <si>
    <t>-535.100712365614 52.6240013677236 -843.847653012752</t>
  </si>
  <si>
    <t>-490.166440076918 39.4769634535556 -934.352111156995</t>
  </si>
  <si>
    <t>-536.282162284381 93.0476493244466 -781.258142732286</t>
  </si>
  <si>
    <t>-504.284999508926 235.943511087281 -767.869520674535</t>
  </si>
  <si>
    <t>-421.484579907261 296.906009487487 -468.51377211197</t>
  </si>
  <si>
    <t>-230.510901030848 210.902043228329 -314.324266027566</t>
  </si>
  <si>
    <t>-551.63672992642 31.7404299424377 -774.253542434939</t>
  </si>
  <si>
    <t>-484.599207594547 216.872013314784 -256.074928351497</t>
  </si>
  <si>
    <t>-482.025177361859 205.760331322074 199.476973768679</t>
  </si>
  <si>
    <t>-497.543740722524 165.833809773282 667.495503510627</t>
  </si>
  <si>
    <t>-347.924138509927 154.211542967066 759.269110060808</t>
  </si>
  <si>
    <t>-522.361448516359 26.3711352245228 -230.530231898069</t>
  </si>
  <si>
    <t>-434.407401066848 -13.4754928102506 214.816804803838</t>
  </si>
  <si>
    <t>-591.216526137412 -117.895741835959 644.981030132827</t>
  </si>
  <si>
    <t>-437.445649251392 -143.538079809956 726.470274232808</t>
  </si>
  <si>
    <t>9763-20170724T164302.920719000.bin</t>
  </si>
  <si>
    <t>-502.94982861666 122.024218979577 -243.615262092457</t>
  </si>
  <si>
    <t>-542.506531700291 114.355675578115 -357.826667894825</t>
  </si>
  <si>
    <t>-557.474716379207 102.282778653254 -477.496155727629</t>
  </si>
  <si>
    <t>-560.725215151851 89.5623803863736 -586.227345663218</t>
  </si>
  <si>
    <t>-553.781704621533 75.0709378892726 -694.563098092751</t>
  </si>
  <si>
    <t>-533.557787888221 53.099562768825 -843.922584070177</t>
  </si>
  <si>
    <t>-488.529581161831 40.0181105279 -934.389773107619</t>
  </si>
  <si>
    <t>-534.846245450148 93.4824233747759 -781.308789982806</t>
  </si>
  <si>
    <t>-502.941318512537 236.392503859416 -767.757356949598</t>
  </si>
  <si>
    <t>-420.191336720325 296.323525329639 -468.179542026776</t>
  </si>
  <si>
    <t>-229.297920844397 210.45052433598 -313.817664346518</t>
  </si>
  <si>
    <t>-550.166292533836 32.1599821225115 -774.362449464592</t>
  </si>
  <si>
    <t>-484.08146701265 217.259521514683 -256.113475724942</t>
  </si>
  <si>
    <t>-481.876842473646 206.055271154195 199.43813822718</t>
  </si>
  <si>
    <t>-497.511153883524 165.740973761296 667.430492988965</t>
  </si>
  <si>
    <t>-347.898044206854 154.159544532062 759.219989061028</t>
  </si>
  <si>
    <t>-521.607241054216 26.785275762525 -230.523016095878</t>
  </si>
  <si>
    <t>-433.755932611899 -12.9396805901837 214.855124486553</t>
  </si>
  <si>
    <t>-591.054437855285 -117.940286984006 644.878953247026</t>
  </si>
  <si>
    <t>-437.358720219009 -143.472117191796 726.544448544102</t>
  </si>
  <si>
    <t>9763-20170724T164302.991911300.bin</t>
  </si>
  <si>
    <t>-501.666932209206 122.622723255775 -243.461188906976</t>
  </si>
  <si>
    <t>-541.198361795653 114.850062072249 -357.674296065094</t>
  </si>
  <si>
    <t>-555.912616093735 102.764646260778 -477.374099487403</t>
  </si>
  <si>
    <t>-558.840105513921 90.0691967321662 -586.117307405221</t>
  </si>
  <si>
    <t>-551.482469670693 75.6384305015546 -694.433823467314</t>
  </si>
  <si>
    <t>-530.591739260139 53.7882933464373 -843.719380703135</t>
  </si>
  <si>
    <t>-485.293172205965 40.8075596459319 -934.066031185973</t>
  </si>
  <si>
    <t>-532.165799295349 94.1216994395623 -781.080104468149</t>
  </si>
  <si>
    <t>-500.270593071529 237.001513572901 -767.166303213724</t>
  </si>
  <si>
    <t>-418.476997802378 294.78417427662 -466.904424595561</t>
  </si>
  <si>
    <t>-227.848549014338 209.452723417699 -311.916176143072</t>
  </si>
  <si>
    <t>-547.504620337268 32.7908753378418 -774.250075028877</t>
  </si>
  <si>
    <t>-483.07180786623 217.919524177924 -256.083373005891</t>
  </si>
  <si>
    <t>-481.88826382144 206.592087725225 199.46899002379</t>
  </si>
  <si>
    <t>-497.493423306059 165.953674184162 667.341880307944</t>
  </si>
  <si>
    <t>-347.928028623203 154.143486286168 759.179964531783</t>
  </si>
  <si>
    <t>-520.14556170671 27.3691478298731 -230.159549622876</t>
  </si>
  <si>
    <t>-432.280574604231 -12.3008571772244 215.220925669098</t>
  </si>
  <si>
    <t>-590.862320730399 -117.992534183624 644.640103836431</t>
  </si>
  <si>
    <t>-437.250298515105 -143.517956386144 726.464923289777</t>
  </si>
  <si>
    <t>9763-20170724T164303.022999500.bin</t>
  </si>
  <si>
    <t>-501.23156354844 123.071550989216 -243.401709649712</t>
  </si>
  <si>
    <t>-540.680975206843 115.19659704289 -357.636322866005</t>
  </si>
  <si>
    <t>-555.271495931052 103.095125799041 -477.349465846764</t>
  </si>
  <si>
    <t>-558.071282086059 90.4189976994388 -586.098340798831</t>
  </si>
  <si>
    <t>-550.570964382066 76.0404169667042 -694.412075076131</t>
  </si>
  <si>
    <t>-529.467179259577 54.2962542868711 -843.682983448252</t>
  </si>
  <si>
    <t>-484.027741818047 41.3546259130276 -933.964645866669</t>
  </si>
  <si>
    <t>-531.120855946439 94.5828651045383 -781.015835327073</t>
  </si>
  <si>
    <t>-499.264130581487 237.453863923424 -766.985990508869</t>
  </si>
  <si>
    <t>-418.085085199521 294.455194801238 -466.408167677571</t>
  </si>
  <si>
    <t>-227.615022172329 209.695200533657 -310.912364315918</t>
  </si>
  <si>
    <t>-546.488981655155 33.2518132745895 -774.254541792519</t>
  </si>
  <si>
    <t>-482.671151284503 218.1840127327 -256.086602145546</t>
  </si>
  <si>
    <t>-481.836931103516 206.793842234209 199.464836863091</t>
  </si>
  <si>
    <t>-497.414653188913 165.755335696513 667.34291595236</t>
  </si>
  <si>
    <t>-347.765540740323 154.804704653891 759.151066132499</t>
  </si>
  <si>
    <t>-519.669227515652 28.028680462153 -229.988007668852</t>
  </si>
  <si>
    <t>-431.666029145487 -11.7232188921792 215.35780920866</t>
  </si>
  <si>
    <t>-590.817808162943 -117.591885068331 644.477873996952</t>
  </si>
  <si>
    <t>-437.554397600139 -144.735238637642 726.435668367996</t>
  </si>
  <si>
    <t>9763-20170724T164303.092184000.bin</t>
  </si>
  <si>
    <t>-500.387278087971 123.344096445652 -243.106509209006</t>
  </si>
  <si>
    <t>-539.77974033087 115.539280174857 -357.365473210269</t>
  </si>
  <si>
    <t>-554.240031602581 103.421888028937 -477.092919102713</t>
  </si>
  <si>
    <t>-556.891994396918 90.7039294110843 -585.840562223147</t>
  </si>
  <si>
    <t>-549.214494283123 76.2616431417384 -694.133396638074</t>
  </si>
  <si>
    <t>-527.834987104493 54.4109963104462 -843.349516242722</t>
  </si>
  <si>
    <t>-482.156021668171 41.3694456476929 -933.495745438532</t>
  </si>
  <si>
    <t>-529.564511435794 94.733136172908 -780.707220651876</t>
  </si>
  <si>
    <t>-498.251328315532 237.780757510814 -767.017020226763</t>
  </si>
  <si>
    <t>-419.497312530941 294.409482138531 -465.72431787963</t>
  </si>
  <si>
    <t>-229.517547387642 210.467006862795 -309.188767907618</t>
  </si>
  <si>
    <t>-545.025007869903 33.4253858413067 -773.944734470129</t>
  </si>
  <si>
    <t>-481.603500884845 218.44290313572 -255.864728924098</t>
  </si>
  <si>
    <t>-481.820579499657 206.965706639688 199.685310874747</t>
  </si>
  <si>
    <t>-497.511033708844 165.665397810649 667.554377470579</t>
  </si>
  <si>
    <t>-347.743718703776 154.950695710533 759.19744960636</t>
  </si>
  <si>
    <t>-519.069633276469 28.4219453839829 -229.680423084568</t>
  </si>
  <si>
    <t>-430.869460997366 -11.2998247684128 215.629124034323</t>
  </si>
  <si>
    <t>-590.792150476795 -117.398213305983 644.315078710508</t>
  </si>
  <si>
    <t>-437.548830051071 -144.685754884864 726.262498197803</t>
  </si>
  <si>
    <t>9763-20170724T164303.123316500.bin</t>
  </si>
  <si>
    <t>-499.956762749534 123.487191772762 -242.992357015937</t>
  </si>
  <si>
    <t>-539.350984926788 115.769908755493 -357.256695291846</t>
  </si>
  <si>
    <t>-553.804412108803 103.616128660553 -476.981171280467</t>
  </si>
  <si>
    <t>-556.447011617942 90.8163386985869 -585.719690842961</t>
  </si>
  <si>
    <t>-548.757273480073 76.2449664771081 -693.994162423573</t>
  </si>
  <si>
    <t>-527.358296479403 54.1670892524425 -843.174136780183</t>
  </si>
  <si>
    <t>-481.624788111906 40.9589393240728 -933.26835487274</t>
  </si>
  <si>
    <t>-529.011682527807 94.5648600744501 -780.578622649207</t>
  </si>
  <si>
    <t>-497.811769602461 237.64257932999 -767.102681502228</t>
  </si>
  <si>
    <t>-421.467692746812 294.744225268008 -465.279624347155</t>
  </si>
  <si>
    <t>-231.512642594692 211.001667445439 -308.606971959586</t>
  </si>
  <si>
    <t>-544.641634970558 33.3068605329357 -773.754737723325</t>
  </si>
  <si>
    <t>-481.009308310528 218.74823103046 -255.724213032298</t>
  </si>
  <si>
    <t>-481.914292387764 207.277001490603 199.825281989977</t>
  </si>
  <si>
    <t>-497.761303484334 166.254862036807 667.658313621577</t>
  </si>
  <si>
    <t>-348.036917776538 154.415858386278 759.2331612461</t>
  </si>
  <si>
    <t>-518.821100332402 28.3747049431382 -229.540114995913</t>
  </si>
  <si>
    <t>-430.572325546381 -11.2402073174993 215.769340444038</t>
  </si>
  <si>
    <t>-590.796098782864 -117.774793499507 644.292092910852</t>
  </si>
  <si>
    <t>-437.249397748831 -144.009856894358 726.015028683426</t>
  </si>
  <si>
    <t>9763-20170724T164303.189493600.bin</t>
  </si>
  <si>
    <t>-498.979905487054 123.382271116263 -242.690558192909</t>
  </si>
  <si>
    <t>-538.234089079948 115.988049386291 -357.024551732234</t>
  </si>
  <si>
    <t>-552.640274775869 103.841457344364 -476.755374634575</t>
  </si>
  <si>
    <t>-555.280640127536 90.9240351034965 -585.479859934014</t>
  </si>
  <si>
    <t>-547.629538021215 76.1156964190583 -693.725081812035</t>
  </si>
  <si>
    <t>-526.326893379885 53.5884846885028 -842.851622859848</t>
  </si>
  <si>
    <t>-480.578728980954 39.9867768882612 -932.879931215695</t>
  </si>
  <si>
    <t>-527.702687816851 94.117947286405 -780.334512455726</t>
  </si>
  <si>
    <t>-496.139202751494 237.107757009874 -767.119478549459</t>
  </si>
  <si>
    <t>-425.614773234328 296.189205545522 -464.263283852495</t>
  </si>
  <si>
    <t>-235.511115936706 212.358021976228 -307.818473949356</t>
  </si>
  <si>
    <t>-543.802570866516 32.994167607317 -773.400960477129</t>
  </si>
  <si>
    <t>-479.135200175946 218.291550735442 -255.450616211305</t>
  </si>
  <si>
    <t>-481.357697063069 206.893192802668 200.096097271028</t>
  </si>
  <si>
    <t>-497.744780668838 165.415364913598 667.946120077508</t>
  </si>
  <si>
    <t>-347.776441894027 154.654998603825 759.254420664882</t>
  </si>
  <si>
    <t>-518.714086181118 28.5752407907921 -229.23602718172</t>
  </si>
  <si>
    <t>-430.03408396126 -11.1928305034762 215.974006437222</t>
  </si>
  <si>
    <t>-590.92267935499 -117.498118494155 644.228930758013</t>
  </si>
  <si>
    <t>-437.420363412505 -144.947042035866 725.635933787185</t>
  </si>
  <si>
    <t>9763-20170724T164303.223093800.bin</t>
  </si>
  <si>
    <t>-498.559539234028 123.535220358086 -242.498645794934</t>
  </si>
  <si>
    <t>-537.770639489684 116.30375654918 -356.857728128757</t>
  </si>
  <si>
    <t>-552.126341499977 104.149356366112 -476.593912058171</t>
  </si>
  <si>
    <t>-554.718601374681 91.15937142204 -585.310853815843</t>
  </si>
  <si>
    <t>-547.01730447577 76.2164717897849 -693.534018260034</t>
  </si>
  <si>
    <t>-525.64345512694 53.4407902736336 -842.612629920502</t>
  </si>
  <si>
    <t>-479.913083772003 39.6298070894173 -932.618102307244</t>
  </si>
  <si>
    <t>-526.953065850135 94.0508695628718 -780.146473373366</t>
  </si>
  <si>
    <t>-494.910381820142 236.967786418931 -767.102796274324</t>
  </si>
  <si>
    <t>-425.97794583569 296.901881664383 -464.04769906841</t>
  </si>
  <si>
    <t>-236.176118295921 212.776043269207 -307.394668884357</t>
  </si>
  <si>
    <t>-543.248482230418 32.9857429286961 -773.153516753549</t>
  </si>
  <si>
    <t>-478.359367394499 218.285758421178 -255.222470068502</t>
  </si>
  <si>
    <t>-480.857984532609 206.826641711518 200.321263071669</t>
  </si>
  <si>
    <t>-497.919802255179 165.182211136932 668.19993789412</t>
  </si>
  <si>
    <t>-347.832412961903 154.245764883524 759.291606685346</t>
  </si>
  <si>
    <t>-518.623943333438 28.8760532366749 -229.125438963138</t>
  </si>
  <si>
    <t>-429.916768714224 -11.1984918896607 216.05172346341</t>
  </si>
  <si>
    <t>-591.035926417619 -117.27612359282 644.28495474106</t>
  </si>
  <si>
    <t>-437.561569831166 -145.48077506837 725.486112213683</t>
  </si>
  <si>
    <t>9763-20170724T164303.286261600.bin</t>
  </si>
  <si>
    <t>-497.539392834805 123.592718423312 -242.342649661976</t>
  </si>
  <si>
    <t>-536.788597325134 116.657574494339 -356.707023455577</t>
  </si>
  <si>
    <t>-551.273856791324 104.543948719301 -476.431733944303</t>
  </si>
  <si>
    <t>-554.020680812574 91.4872005377826 -585.137002125669</t>
  </si>
  <si>
    <t>-546.510862042484 76.3753600351974 -693.350206898247</t>
  </si>
  <si>
    <t>-525.440468533607 53.2601116552402 -842.419699976037</t>
  </si>
  <si>
    <t>-479.870360026677 39.0281147072283 -932.44069506476</t>
  </si>
  <si>
    <t>-526.468869091738 93.9741192594884 -780.016001003634</t>
  </si>
  <si>
    <t>-493.764808972053 236.762494810563 -767.215765387212</t>
  </si>
  <si>
    <t>-425.390303827382 296.786324700233 -464.052093989864</t>
  </si>
  <si>
    <t>-236.520212338468 212.198540798455 -306.524153286959</t>
  </si>
  <si>
    <t>-543.058045477575 33.0016799605398 -772.906056789715</t>
  </si>
  <si>
    <t>-476.782255959194 218.289471670985 -254.993719886056</t>
  </si>
  <si>
    <t>-479.328506252414 206.776582195393 200.548408592992</t>
  </si>
  <si>
    <t>-497.96734189268 165.113847276813 668.245428095674</t>
  </si>
  <si>
    <t>-347.911172888934 154.03923698326 759.371811026992</t>
  </si>
  <si>
    <t>-518.044381149448 28.9550548858143 -229.043092925316</t>
  </si>
  <si>
    <t>-429.742332594714 -11.8277890153678 216.150366281938</t>
  </si>
  <si>
    <t>-591.161406956696 -117.246409446301 644.34866599384</t>
  </si>
  <si>
    <t>-437.512600175988 -145.321876036418 725.264165911302</t>
  </si>
  <si>
    <t>9763-20170724T164303.318928000.bin</t>
  </si>
  <si>
    <t>-496.851366388077 123.7407901575 -242.306343932232</t>
  </si>
  <si>
    <t>-536.101378856638 116.894217405386 -356.675722968126</t>
  </si>
  <si>
    <t>-550.628975364897 104.782768743019 -476.395586171346</t>
  </si>
  <si>
    <t>-553.431436535636 91.6920502029564 -585.095270794768</t>
  </si>
  <si>
    <t>-545.994413395928 76.5107980927762 -693.303748692499</t>
  </si>
  <si>
    <t>-525.043034743053 53.261970631045 -842.36924320863</t>
  </si>
  <si>
    <t>-479.605147244474 38.8893588955985 -932.434967711116</t>
  </si>
  <si>
    <t>-525.959593869969 94.0163043758382 -779.990107869667</t>
  </si>
  <si>
    <t>-493.053015910003 236.775385016963 -767.306074437017</t>
  </si>
  <si>
    <t>-425.40490981103 296.74913044719 -463.969425156132</t>
  </si>
  <si>
    <t>-236.781993444293 212.21524473918 -306.116736664744</t>
  </si>
  <si>
    <t>-542.667087857408 33.0813904393959 -772.834670741395</t>
  </si>
  <si>
    <t>-475.928508229292 218.367564870543 -254.949339512952</t>
  </si>
  <si>
    <t>-478.723027921682 206.85273012814 200.591309475704</t>
  </si>
  <si>
    <t>-497.991615666153 165.238191725606 668.23620006989</t>
  </si>
  <si>
    <t>-348.003139270099 153.795797387732 759.428514064945</t>
  </si>
  <si>
    <t>-517.594419370397 29.2284334792203 -229.011790860276</t>
  </si>
  <si>
    <t>-429.562403834581 -11.6956578151266 216.222103981724</t>
  </si>
  <si>
    <t>-591.201102511858 -117.011214533658 644.354284465346</t>
  </si>
  <si>
    <t>-437.736478570317 -145.949922918268 725.315189545885</t>
  </si>
  <si>
    <t>9763-20170724T164303.388111800.bin</t>
  </si>
  <si>
    <t>-495.372979742525 123.724490954325 -242.268962095386</t>
  </si>
  <si>
    <t>-534.457313713877 116.965887898306 -356.700343045773</t>
  </si>
  <si>
    <t>-548.997837230186 104.873935876555 -476.420597046778</t>
  </si>
  <si>
    <t>-551.886325078746 91.7789475063021 -585.117537992368</t>
  </si>
  <si>
    <t>-544.608386430637 76.575414851149 -693.333597456229</t>
  </si>
  <si>
    <t>-523.95186428023 53.2801459641333 -842.432984427706</t>
  </si>
  <si>
    <t>-478.739011315706 38.780269750132 -932.591470663104</t>
  </si>
  <si>
    <t>-524.657950904607 94.0317447831218 -780.049285181633</t>
  </si>
  <si>
    <t>-491.319774564076 236.687461836579 -767.436212126856</t>
  </si>
  <si>
    <t>-426.977144279293 296.746428237718 -463.398206023733</t>
  </si>
  <si>
    <t>-237.969870874909 214.555260810906 -304.770034315625</t>
  </si>
  <si>
    <t>-541.525497055198 33.1434159142371 -772.873020403074</t>
  </si>
  <si>
    <t>-473.865061769065 218.270455100998 -254.963111811877</t>
  </si>
  <si>
    <t>-477.59007291352 206.985460833278 200.576704818161</t>
  </si>
  <si>
    <t>-497.990659543993 165.511887447351 668.186385740439</t>
  </si>
  <si>
    <t>-348.161350780196 152.967960694404 759.495376147094</t>
  </si>
  <si>
    <t>-516.671024412408 29.1231856559188 -228.957365509197</t>
  </si>
  <si>
    <t>-428.981425449229 -12.042884147974 216.321831115926</t>
  </si>
  <si>
    <t>-591.241367907353 -117.208157318269 644.387104193259</t>
  </si>
  <si>
    <t>-437.72570257747 -145.836457145755 725.361667697502</t>
  </si>
  <si>
    <t>9763-20170724T164303.424212100.bin</t>
  </si>
  <si>
    <t>-494.614682670372 123.525909660589 -242.260982135966</t>
  </si>
  <si>
    <t>-533.738087243634 116.907654407944 -356.687154283229</t>
  </si>
  <si>
    <t>-548.259122586853 104.829792862608 -476.411121214412</t>
  </si>
  <si>
    <t>-551.103798362282 91.705620204839 -585.105826080608</t>
  </si>
  <si>
    <t>-543.755275913113 76.4373653273383 -693.307987984955</t>
  </si>
  <si>
    <t>-522.972511938182 53.0214374606782 -842.371086628675</t>
  </si>
  <si>
    <t>-477.766249171576 38.4626624023503 -932.52326185146</t>
  </si>
  <si>
    <t>-523.744085876963 93.8267117145598 -780.023185958149</t>
  </si>
  <si>
    <t>-490.315529519534 236.482889833743 -767.455923485264</t>
  </si>
  <si>
    <t>-426.225304431777 297.205794465844 -463.496415350398</t>
  </si>
  <si>
    <t>-235.686398269881 219.767595067946 -304.310082139177</t>
  </si>
  <si>
    <t>-540.592443730744 32.9378181623353 -772.807380279781</t>
  </si>
  <si>
    <t>-472.84624060096 218.017699876824 -254.9659061433</t>
  </si>
  <si>
    <t>-476.683673765992 206.653912394096 200.570904172945</t>
  </si>
  <si>
    <t>-497.878177681818 165.150657298182 668.161858656219</t>
  </si>
  <si>
    <t>-348.016403065262 153.45753673471 759.530510993032</t>
  </si>
  <si>
    <t>-516.172411421776 29.0004196803739 -228.915587961462</t>
  </si>
  <si>
    <t>-428.729510019692 -12.3391772344402 216.396014052887</t>
  </si>
  <si>
    <t>-591.262655079209 -117.328073694424 644.377274425025</t>
  </si>
  <si>
    <t>-437.724110104054 -145.747254799029 725.381973032128</t>
  </si>
  <si>
    <t>9763-20170724T164303.493396200.bin</t>
  </si>
  <si>
    <t>-493.349635207959 123.561207847354 -242.405319927878</t>
  </si>
  <si>
    <t>-532.474274757597 116.961456305465 -356.832328272461</t>
  </si>
  <si>
    <t>-546.821170003656 104.854998819008 -476.574266659596</t>
  </si>
  <si>
    <t>-549.437035798692 91.6859180282893 -585.269150443259</t>
  </si>
  <si>
    <t>-541.790417252976 76.3537894036142 -693.441804381044</t>
  </si>
  <si>
    <t>-520.524302198426 52.82972085207 -842.41957491222</t>
  </si>
  <si>
    <t>-475.142423154482 38.2258113373372 -932.476229677531</t>
  </si>
  <si>
    <t>-521.543439273378 93.6918157659319 -780.112428085271</t>
  </si>
  <si>
    <t>-487.936162616065 236.314692713384 -767.609244543833</t>
  </si>
  <si>
    <t>-419.047379257239 298.460079347681 -464.989886803629</t>
  </si>
  <si>
    <t>-226.512866433736 226.262308002434 -305.741702663027</t>
  </si>
  <si>
    <t>-538.324373318298 32.7849722197411 -772.890598387607</t>
  </si>
  <si>
    <t>-471.743978614352 218.221289678097 -255.026130803945</t>
  </si>
  <si>
    <t>-474.992555937798 206.837879292867 200.514896518727</t>
  </si>
  <si>
    <t>-497.771923261739 165.443280470959 668.000383462564</t>
  </si>
  <si>
    <t>-348.13533964835 153.298934228763 759.678671967518</t>
  </si>
  <si>
    <t>-514.748416079495 29.0962504218908 -229.030425352914</t>
  </si>
  <si>
    <t>-428.198386966611 -12.603254581267 216.422083619838</t>
  </si>
  <si>
    <t>-591.286687701636 -117.513202896575 644.328568433816</t>
  </si>
  <si>
    <t>-437.951945293668 -146.016310705937 725.689072827967</t>
  </si>
  <si>
    <t>9763-20170724T164303.525028400.bin</t>
  </si>
  <si>
    <t>-492.902069823744 123.603684075469 -242.418330475326</t>
  </si>
  <si>
    <t>-531.79317353684 116.845243914631 -356.915480846242</t>
  </si>
  <si>
    <t>-545.931288856813 104.641812218279 -476.672610384396</t>
  </si>
  <si>
    <t>-548.374199707686 91.4001467672954 -585.36272428502</t>
  </si>
  <si>
    <t>-540.573397933371 76.0041783422059 -693.515259789429</t>
  </si>
  <si>
    <t>-519.114886801336 52.3944811900443 -842.451966979906</t>
  </si>
  <si>
    <t>-473.623716690483 37.7514930183427 -932.446974997819</t>
  </si>
  <si>
    <t>-520.217526081569 93.2931195033358 -780.17016306355</t>
  </si>
  <si>
    <t>-486.386895934147 235.847888259812 -767.707454281091</t>
  </si>
  <si>
    <t>-414.728798546853 298.642130772196 -465.866224012723</t>
  </si>
  <si>
    <t>-220.770010049055 229.398344971565 -307.035110577964</t>
  </si>
  <si>
    <t>-537.001627961334 32.3889596594759 -772.933748631066</t>
  </si>
  <si>
    <t>-471.559612612523 218.038809375276 -255.108391283654</t>
  </si>
  <si>
    <t>-474.551444825463 206.714620817693 200.435781101715</t>
  </si>
  <si>
    <t>-497.495645264833 165.093385501239 667.792181904641</t>
  </si>
  <si>
    <t>-347.93700154623 154.059965549167 759.737633224388</t>
  </si>
  <si>
    <t>-513.963808291477 29.2375369181814 -229.081083956431</t>
  </si>
  <si>
    <t>-427.948394955365 -12.8300578847507 216.440266751172</t>
  </si>
  <si>
    <t>-591.328040939187 -117.540906536691 644.26498680718</t>
  </si>
  <si>
    <t>-438.103802251878 -146.223362476784 725.770440021098</t>
  </si>
  <si>
    <t>9763-20170724T164303.589198000.bin</t>
  </si>
  <si>
    <t>-492.38724396015 123.401177074998 -242.770489930967</t>
  </si>
  <si>
    <t>-531.340353311495 116.517049172374 -357.239007664217</t>
  </si>
  <si>
    <t>-545.341228915841 104.285097036745 -477.009400038253</t>
  </si>
  <si>
    <t>-547.578199428235 91.0542483484222 -585.705141348367</t>
  </si>
  <si>
    <t>-539.491587439305 75.7029074872402 -693.843095183945</t>
  </si>
  <si>
    <t>-517.555937636804 52.1885516516747 -842.725371397466</t>
  </si>
  <si>
    <t>-471.833133771886 37.7025939441459 -932.628330566627</t>
  </si>
  <si>
    <t>-518.985312891262 93.079387209512 -780.44515559907</t>
  </si>
  <si>
    <t>-485.144626225847 235.621623090382 -767.764521073587</t>
  </si>
  <si>
    <t>-410.237512463759 298.633047688467 -466.75846951849</t>
  </si>
  <si>
    <t>-214.856623433381 231.48705383987 -308.771731882461</t>
  </si>
  <si>
    <t>-535.538225792702 32.1065492000771 -773.253874324327</t>
  </si>
  <si>
    <t>-471.572400132019 218.144788482887 -255.455082508049</t>
  </si>
  <si>
    <t>-473.32994896441 206.863650503313 200.096531536991</t>
  </si>
  <si>
    <t>-497.336918810086 165.815681726576 667.505610731248</t>
  </si>
  <si>
    <t>-348.276475802507 153.109142543851 760.042356983016</t>
  </si>
  <si>
    <t>-513.132410800458 28.6419268908943 -229.408256476329</t>
  </si>
  <si>
    <t>-427.75704073764 -12.9886855761642 216.277334403649</t>
  </si>
  <si>
    <t>-591.300494893327 -118.094395587931 643.99444242358</t>
  </si>
  <si>
    <t>-438.080218392474 -145.602591713046 725.91113980433</t>
  </si>
  <si>
    <t>9763-20170724T164303.623808800.bin</t>
  </si>
  <si>
    <t>-492.251863337319 123.329635422482 -242.819291910498</t>
  </si>
  <si>
    <t>-531.194462467967 116.447308797844 -357.291641942528</t>
  </si>
  <si>
    <t>-545.110024800785 104.231596097478 -477.073475770644</t>
  </si>
  <si>
    <t>-547.237563131358 91.0304717092587 -585.775110540898</t>
  </si>
  <si>
    <t>-539.008897391928 75.729515488366 -693.909361412935</t>
  </si>
  <si>
    <t>-516.841929240205 52.3116011315345 -842.772506971673</t>
  </si>
  <si>
    <t>-471.005123527942 37.9621437648216 -932.63940761095</t>
  </si>
  <si>
    <t>-518.467564916988 93.1866919701942 -780.486881701759</t>
  </si>
  <si>
    <t>-484.953752319941 235.79339429783 -767.725411901033</t>
  </si>
  <si>
    <t>-409.608947008344 298.818314666646 -466.831384769401</t>
  </si>
  <si>
    <t>-214.359104995896 232.123621292384 -308.491872658673</t>
  </si>
  <si>
    <t>-534.832669633625 32.1598999342319 -773.323571469211</t>
  </si>
  <si>
    <t>-471.506296400676 218.168010737611 -255.46406830067</t>
  </si>
  <si>
    <t>-472.827268473942 206.889344269091 200.089091335279</t>
  </si>
  <si>
    <t>-497.307111012927 165.766566947353 667.494978049451</t>
  </si>
  <si>
    <t>-348.32151652467 152.731958987179 760.106560502853</t>
  </si>
  <si>
    <t>-512.965540199731 28.5248474247745 -229.483621517313</t>
  </si>
  <si>
    <t>-427.621924955371 -13.0766931074084 216.210738654046</t>
  </si>
  <si>
    <t>-591.355099387319 -118.182383643701 643.907366550559</t>
  </si>
  <si>
    <t>-438.251172759699 -146.089115617807 725.90687952383</t>
  </si>
  <si>
    <t>9763-20170724T164303.687979500.bin</t>
  </si>
  <si>
    <t>-491.673178417287 123.019057201509 -242.803034852215</t>
  </si>
  <si>
    <t>-530.616891050423 116.166333556476 -357.27674064612</t>
  </si>
  <si>
    <t>-544.375511262032 103.98056061615 -477.079939780221</t>
  </si>
  <si>
    <t>-546.292394429223 90.8277337778316 -585.791336225307</t>
  </si>
  <si>
    <t>-537.783420560935 75.6086435888169 -693.91550986108</t>
  </si>
  <si>
    <t>-515.154389484024 52.3515774024147 -842.734216050376</t>
  </si>
  <si>
    <t>-469.042542977825 38.2530660676556 -932.50004825496</t>
  </si>
  <si>
    <t>-517.164004004168 93.2056509426331 -780.44614555833</t>
  </si>
  <si>
    <t>-484.277316789228 235.954158539247 -767.560048794798</t>
  </si>
  <si>
    <t>-409.078546283298 299.405109431238 -466.718969842027</t>
  </si>
  <si>
    <t>-214.307986044994 231.838754312722 -308.158892600673</t>
  </si>
  <si>
    <t>-533.170105642949 32.0785766208452 -773.327020214604</t>
  </si>
  <si>
    <t>-471.000861179558 217.760309954529 -255.371343671804</t>
  </si>
  <si>
    <t>-472.361029030326 206.514081231005 200.182576956577</t>
  </si>
  <si>
    <t>-497.409453803671 165.137979224046 667.514388097875</t>
  </si>
  <si>
    <t>-348.276491565119 153.400903643231 760.062395491537</t>
  </si>
  <si>
    <t>-512.224218065724 28.4188028871968 -229.542735448454</t>
  </si>
  <si>
    <t>-427.323748448141 -13.5005209205729 216.206512040381</t>
  </si>
  <si>
    <t>-591.614489274167 -117.635581666755 643.812041397493</t>
  </si>
  <si>
    <t>-438.722788456748 -146.787979715423 725.774154111164</t>
  </si>
  <si>
    <t>9763-20170724T164303.719080600.bin</t>
  </si>
  <si>
    <t>-491.363474136836 123.005388583459 -242.779495553469</t>
  </si>
  <si>
    <t>-530.240681687785 116.049465799074 -357.269683609313</t>
  </si>
  <si>
    <t>-543.895529570912 103.852068738289 -477.083433723717</t>
  </si>
  <si>
    <t>-545.703677027067 90.7285214118052 -585.800199709629</t>
  </si>
  <si>
    <t>-537.071551344642 75.5797189052371 -693.924527756769</t>
  </si>
  <si>
    <t>-514.256749390625 52.4638182550248 -842.736799127792</t>
  </si>
  <si>
    <t>-468.020279338309 38.4667297206243 -932.454480420727</t>
  </si>
  <si>
    <t>-516.398923754323 93.2718897507116 -780.422935944816</t>
  </si>
  <si>
    <t>-483.697263259228 236.034418159213 -767.383610052705</t>
  </si>
  <si>
    <t>-408.437229326923 299.141100267906 -466.48556225445</t>
  </si>
  <si>
    <t>-213.562136064596 230.826781278873 -308.375044430704</t>
  </si>
  <si>
    <t>-532.304302670193 32.1118868314332 -773.361019039841</t>
  </si>
  <si>
    <t>-470.753827667255 217.797186687301 -255.370001754233</t>
  </si>
  <si>
    <t>-472.320696316627 206.638807134282 200.185331485524</t>
  </si>
  <si>
    <t>-497.40259098147 165.311860495718 667.510384556737</t>
  </si>
  <si>
    <t>-348.275188234138 153.30691386059 760.032873528379</t>
  </si>
  <si>
    <t>-511.780899359488 28.3488408755225 -229.459995060177</t>
  </si>
  <si>
    <t>-427.019085481372 -13.7234529446565 216.301191721179</t>
  </si>
  <si>
    <t>-591.685814226724 -117.910562271406 643.760415606787</t>
  </si>
  <si>
    <t>-438.674411528042 -146.668141666733 725.638609623951</t>
  </si>
  <si>
    <t>9763-20170724T164303.786259100.bin</t>
  </si>
  <si>
    <t>-490.786108451207 122.893815973858 -242.745874683511</t>
  </si>
  <si>
    <t>-529.554775558646 115.806288646683 -357.2647443208</t>
  </si>
  <si>
    <t>-543.041751094348 103.717674009366 -477.108519813993</t>
  </si>
  <si>
    <t>-544.675459761875 90.7878103329889 -585.851382013558</t>
  </si>
  <si>
    <t>-535.847239684075 75.9255511045895 -693.999453912306</t>
  </si>
  <si>
    <t>-512.73836614739 53.3020674406344 -842.842207995848</t>
  </si>
  <si>
    <t>-466.298582099604 39.5860833262265 -932.498348006487</t>
  </si>
  <si>
    <t>-515.088656665289 93.9238581737031 -780.41425956425</t>
  </si>
  <si>
    <t>-482.60310707541 236.703229009474 -766.839970775688</t>
  </si>
  <si>
    <t>-407.012346039605 297.638221598676 -465.577294504666</t>
  </si>
  <si>
    <t>-212.043070682561 227.400400211791 -308.428783819053</t>
  </si>
  <si>
    <t>-530.837984141212 32.7006363378778 -773.553696922975</t>
  </si>
  <si>
    <t>-470.487208647702 217.770553077476 -255.374513738997</t>
  </si>
  <si>
    <t>-472.356986083569 206.740219899932 200.182840928421</t>
  </si>
  <si>
    <t>-497.384248582749 165.469685957432 667.507349297757</t>
  </si>
  <si>
    <t>-348.277571045468 153.010759859755 760.003238216112</t>
  </si>
  <si>
    <t>-510.941886858928 28.154232238094 -229.400317501132</t>
  </si>
  <si>
    <t>-426.417776185534 -13.734377578106 216.423276953282</t>
  </si>
  <si>
    <t>-591.797668801869 -118.167871077264 643.534887557576</t>
  </si>
  <si>
    <t>-438.750317742964 -146.888544653903 725.358745506298</t>
  </si>
  <si>
    <t>9763-20170724T164303.821271500.bin</t>
  </si>
  <si>
    <t>-490.615958631634 122.863751438034 -242.743022241777</t>
  </si>
  <si>
    <t>-529.317634077889 115.698654903617 -357.27968882284</t>
  </si>
  <si>
    <t>-542.703645410009 103.642494992805 -477.138047764361</t>
  </si>
  <si>
    <t>-544.233660320616 90.7827224972327 -585.89076506402</t>
  </si>
  <si>
    <t>-535.290351137218 76.0286490893247 -694.04427770431</t>
  </si>
  <si>
    <t>-512.010786760125 53.5926082177489 -842.888652816332</t>
  </si>
  <si>
    <t>-465.482616382484 40.0190757905831 -932.520569172285</t>
  </si>
  <si>
    <t>-514.443669124619 94.1383784784307 -780.41442099944</t>
  </si>
  <si>
    <t>-481.861151121496 236.858060218516 -766.60295485702</t>
  </si>
  <si>
    <t>-406.306104895449 296.687834606004 -465.110084351819</t>
  </si>
  <si>
    <t>-211.076842983331 225.92209691873 -308.522125412424</t>
  </si>
  <si>
    <t>-530.178797170213 32.9013349779235 -773.644797705218</t>
  </si>
  <si>
    <t>-470.44714049128 217.646331961615 -255.364328627085</t>
  </si>
  <si>
    <t>-472.453671832931 206.68560926393 200.194150316814</t>
  </si>
  <si>
    <t>-497.428981921643 165.172727374588 667.528700647039</t>
  </si>
  <si>
    <t>-348.258523708574 153.213732498993 759.987687562275</t>
  </si>
  <si>
    <t>-510.693627931008 28.1188253692367 -229.414236981534</t>
  </si>
  <si>
    <t>-426.304019958068 -13.6660936377076 216.44457601268</t>
  </si>
  <si>
    <t>-591.852354556101 -118.236877184749 643.444663147259</t>
  </si>
  <si>
    <t>-438.851081949844 -147.252077798149 725.250788843736</t>
  </si>
  <si>
    <t>9763-20170724T164303.890456400.bin</t>
  </si>
  <si>
    <t>-490.120777221117 122.691019571907 -242.779689305298</t>
  </si>
  <si>
    <t>-528.744292858007 115.522967346827 -357.342595792558</t>
  </si>
  <si>
    <t>-541.999652976879 103.57343092261 -477.226205737329</t>
  </si>
  <si>
    <t>-543.391822523173 90.8497803417134 -585.996715043443</t>
  </si>
  <si>
    <t>-534.292097332437 76.2684013207095 -694.160642184609</t>
  </si>
  <si>
    <t>-510.777315409218 54.1076605523989 -843.009449483843</t>
  </si>
  <si>
    <t>-464.112682632484 40.7364517639231 -932.60061252195</t>
  </si>
  <si>
    <t>-513.27722158975 94.5302769657401 -780.457904528992</t>
  </si>
  <si>
    <t>-480.334994872746 237.135903322411 -766.212827731238</t>
  </si>
  <si>
    <t>-405.510747860117 293.79498204461 -463.926083160547</t>
  </si>
  <si>
    <t>-209.937207934972 221.672755788018 -308.390156388672</t>
  </si>
  <si>
    <t>-529.086527085871 33.2959020468868 -773.838847428919</t>
  </si>
  <si>
    <t>-469.956788796267 217.566008926076 -255.367161571062</t>
  </si>
  <si>
    <t>-472.523553500307 206.691299404212 200.190527460384</t>
  </si>
  <si>
    <t>-497.41981672976 165.303077340964 667.551780300671</t>
  </si>
  <si>
    <t>-348.23693492938 153.046652914821 759.95165914494</t>
  </si>
  <si>
    <t>-510.183915527017 27.816330955548 -229.480011105254</t>
  </si>
  <si>
    <t>-426.080056805079 -14.0164363812973 216.428319643195</t>
  </si>
  <si>
    <t>-591.961737237876 -118.603839353786 643.303037165737</t>
  </si>
  <si>
    <t>-438.727069114562 -146.863402250272 724.936687811452</t>
  </si>
  <si>
    <t>9763-20170724T164303.921547000.bin</t>
  </si>
  <si>
    <t>-489.902884740836 122.609161398815 -242.755492467219</t>
  </si>
  <si>
    <t>-528.404089751099 115.44545246455 -357.359799711381</t>
  </si>
  <si>
    <t>-541.570484403103 103.514738284471 -477.25504177905</t>
  </si>
  <si>
    <t>-542.897795576792 90.8124390923842 -586.028949537749</t>
  </si>
  <si>
    <t>-533.749747255097 76.2555648352044 -694.191986714087</t>
  </si>
  <si>
    <t>-510.185100332778 54.1312321956738 -843.038293614043</t>
  </si>
  <si>
    <t>-463.458189386824 40.7826894532402 -932.600541213757</t>
  </si>
  <si>
    <t>-512.678886885527 94.5321090238583 -780.472503130802</t>
  </si>
  <si>
    <t>-479.592190755623 237.100591726737 -766.149461955056</t>
  </si>
  <si>
    <t>-404.533693686848 293.759348104248 -463.920622524441</t>
  </si>
  <si>
    <t>-209.35214366505 220.606341171213 -308.373692327783</t>
  </si>
  <si>
    <t>-528.54463460078 33.309017049638 -773.884249429552</t>
  </si>
  <si>
    <t>-469.670498327035 217.428846432633 -255.354267845123</t>
  </si>
  <si>
    <t>-472.413904342964 206.576785190261 200.202992609719</t>
  </si>
  <si>
    <t>-497.451587353671 165.128143746652 667.573472144682</t>
  </si>
  <si>
    <t>-348.207389685842 153.330276106072 759.934142217429</t>
  </si>
  <si>
    <t>-509.988179165841 27.8217348348421 -229.541597517492</t>
  </si>
  <si>
    <t>-426.067695555544 -14.1214283482408 216.390864100536</t>
  </si>
  <si>
    <t>-592.038890805762 -118.471045533673 643.248029060922</t>
  </si>
  <si>
    <t>-438.813433366733 -147.012677799335 724.80072232568</t>
  </si>
  <si>
    <t>9763-20170724T164303.988723700.bin</t>
  </si>
  <si>
    <t>-489.232812485216 122.454507816018 -242.824919839692</t>
  </si>
  <si>
    <t>-527.708169902543 115.421705424828 -357.445849549108</t>
  </si>
  <si>
    <t>-540.84968316827 103.57924418261 -477.352668164111</t>
  </si>
  <si>
    <t>-542.156286524506 90.9328903942334 -586.133308140037</t>
  </si>
  <si>
    <t>-532.990027062142 76.4053586419647 -694.298797604472</t>
  </si>
  <si>
    <t>-509.403662686875 54.2909212547126 -843.143172583183</t>
  </si>
  <si>
    <t>-462.586181016038 40.8465709092952 -932.643689320174</t>
  </si>
  <si>
    <t>-511.809044152991 94.6641986624027 -780.556216466359</t>
  </si>
  <si>
    <t>-478.293550978549 237.12139177384 -766.165290857389</t>
  </si>
  <si>
    <t>-403.146026852972 293.453495730674 -463.897621584397</t>
  </si>
  <si>
    <t>-208.510514812196 219.094573597519 -308.238271670882</t>
  </si>
  <si>
    <t>-527.870777666111 33.4874821774448 -774.012096576442</t>
  </si>
  <si>
    <t>-468.767203652156 217.335398178443 -255.364611842141</t>
  </si>
  <si>
    <t>-471.752829263632 206.498134268561 200.191404271505</t>
  </si>
  <si>
    <t>-497.37431160891 165.333589683693 667.512997198393</t>
  </si>
  <si>
    <t>-348.19193808135 153.161158704593 759.924927579826</t>
  </si>
  <si>
    <t>-509.567193586573 27.7321344682478 -229.654003551833</t>
  </si>
  <si>
    <t>-426.073753331273 -14.4430838598752 216.336737884965</t>
  </si>
  <si>
    <t>-592.188989541043 -118.509010249348 643.185962507937</t>
  </si>
  <si>
    <t>-438.752930396774 -146.755042519107 724.445118084318</t>
  </si>
  <si>
    <t>9763-20170724T164304.024826400.bin</t>
  </si>
  <si>
    <t>-488.833089827939 122.656290167329 -242.85884137491</t>
  </si>
  <si>
    <t>-527.295241545252 115.664942940715 -357.486742688386</t>
  </si>
  <si>
    <t>-540.438674177298 103.84075438403 -477.395162124127</t>
  </si>
  <si>
    <t>-541.754015185708 91.198785439255 -586.176214734331</t>
  </si>
  <si>
    <t>-532.603682466677 76.6617332939743 -694.341770533197</t>
  </si>
  <si>
    <t>-509.047356133984 54.5184280139009 -843.186590440166</t>
  </si>
  <si>
    <t>-462.210116745953 40.9689532704228 -932.660917191668</t>
  </si>
  <si>
    <t>-511.379322377288 94.88911918114 -780.595049990128</t>
  </si>
  <si>
    <t>-477.682883605653 237.291071757773 -766.163036228547</t>
  </si>
  <si>
    <t>-402.472968893622 293.428153172941 -463.87458111412</t>
  </si>
  <si>
    <t>-207.765133796805 219.193087963336 -308.246684373865</t>
  </si>
  <si>
    <t>-527.561374670167 33.7431737491856 -774.059572987867</t>
  </si>
  <si>
    <t>-468.222240861779 217.445906321913 -255.382564324331</t>
  </si>
  <si>
    <t>-471.313029513118 206.635416244843 200.17335721869</t>
  </si>
  <si>
    <t>-497.36132565664 165.30948774137 667.492811564623</t>
  </si>
  <si>
    <t>-348.212675192592 152.890736680206 759.92638240666</t>
  </si>
  <si>
    <t>-509.302032897862 28.0057505866931 -229.6888254856</t>
  </si>
  <si>
    <t>-425.961122431612 -14.3717398552503 216.311328360473</t>
  </si>
  <si>
    <t>-592.255056764057 -118.291546175451 643.118404812814</t>
  </si>
  <si>
    <t>-438.843438662393 -146.951616438381 724.278673502399</t>
  </si>
  <si>
    <t>9763-20170724T164304.092005900.bin</t>
  </si>
  <si>
    <t>-487.984924589592 122.97833509143 -242.885832617835</t>
  </si>
  <si>
    <t>-526.406857336042 116.072024023697 -357.532610028092</t>
  </si>
  <si>
    <t>-539.560154383981 104.294044376887 -477.444378642461</t>
  </si>
  <si>
    <t>-540.905557651306 91.6774427961224 -586.227810242804</t>
  </si>
  <si>
    <t>-531.806210406363 77.1494359338029 -694.398891805372</t>
  </si>
  <si>
    <t>-508.341900609545 55.0018835773868 -843.257742470587</t>
  </si>
  <si>
    <t>-461.509316510281 41.2893914958405 -932.709721949231</t>
  </si>
  <si>
    <t>-510.56002150511 95.3559404444404 -780.651446805353</t>
  </si>
  <si>
    <t>-476.398950291154 237.664908369211 -766.201753572216</t>
  </si>
  <si>
    <t>-401.405246542665 293.733819177885 -463.846898533584</t>
  </si>
  <si>
    <t>-205.907243578474 220.687410280322 -308.647549387625</t>
  </si>
  <si>
    <t>-526.888303939803 34.2470718198762 -774.13326917015</t>
  </si>
  <si>
    <t>-467.091789731475 217.672380046217 -255.388007116294</t>
  </si>
  <si>
    <t>-470.521432345589 206.841879905918 200.16503175951</t>
  </si>
  <si>
    <t>-497.302745165569 165.472363751944 667.434136011165</t>
  </si>
  <si>
    <t>-348.176035683994 153.03625940636 759.900866621332</t>
  </si>
  <si>
    <t>-508.696533374784 28.3306278997649 -229.729582412214</t>
  </si>
  <si>
    <t>-425.713581963306 -14.3425481617932 216.309052556581</t>
  </si>
  <si>
    <t>-592.38902720517 -117.977166174345 643.044607381089</t>
  </si>
  <si>
    <t>-439.007362011968 -147.164716878771 724.073461354045</t>
  </si>
  <si>
    <t>9763-20170724T164304.122094400.bin</t>
  </si>
  <si>
    <t>-487.587774043122 123.345239424382 -242.927055250839</t>
  </si>
  <si>
    <t>-526.041920415061 116.455009318905 -357.563874931447</t>
  </si>
  <si>
    <t>-539.233324705525 104.658906583141 -477.46971540033</t>
  </si>
  <si>
    <t>-540.615307994045 92.0117229995749 -586.249167331375</t>
  </si>
  <si>
    <t>-531.554476954164 77.4389758262909 -694.417566470269</t>
  </si>
  <si>
    <t>-508.145414076207 55.2145697334788 -843.273465770077</t>
  </si>
  <si>
    <t>-461.314771719598 41.4177436602972 -932.713544127923</t>
  </si>
  <si>
    <t>-510.327768162666 95.59795072196 -780.684774940637</t>
  </si>
  <si>
    <t>-476.085303651288 237.876742315397 -766.268834040386</t>
  </si>
  <si>
    <t>-400.81956878878 294.077408514248 -464.006240817291</t>
  </si>
  <si>
    <t>-205.052899961571 221.242919800868 -309.046266294106</t>
  </si>
  <si>
    <t>-526.678542966946 34.4985087475141 -774.13390784682</t>
  </si>
  <si>
    <t>-466.65560444343 217.900219053456 -255.39805862212</t>
  </si>
  <si>
    <t>-470.194300172754 207.070735203298 200.154184236466</t>
  </si>
  <si>
    <t>-497.292311731509 165.39703563638 667.409623961358</t>
  </si>
  <si>
    <t>-348.199878243947 152.747057709776 759.902520915451</t>
  </si>
  <si>
    <t>-508.347970888934 28.9599763701627 -229.747595703504</t>
  </si>
  <si>
    <t>-425.571968589748 -14.0052140045563 216.301489496683</t>
  </si>
  <si>
    <t>-592.494692513543 -117.246905137454 643.001041919276</t>
  </si>
  <si>
    <t>-439.447179074059 -148.085484627832 724.050022318585</t>
  </si>
  <si>
    <t>9763-20170724T164304.191278500.bin</t>
  </si>
  <si>
    <t>-487.04256872866 123.480136411437 -242.910484509702</t>
  </si>
  <si>
    <t>-525.448976402211 116.552889888183 -357.561080939757</t>
  </si>
  <si>
    <t>-538.652509712819 104.680145749852 -477.45802882232</t>
  </si>
  <si>
    <t>-540.071592305138 91.9437928332875 -586.226676722074</t>
  </si>
  <si>
    <t>-531.074366101448 77.2597888856523 -694.385250080693</t>
  </si>
  <si>
    <t>-507.781416645372 54.8552011654102 -843.232449096426</t>
  </si>
  <si>
    <t>-460.971382093033 40.9460168139442 -932.665765561782</t>
  </si>
  <si>
    <t>-509.915906631653 95.3144869215149 -780.691146796161</t>
  </si>
  <si>
    <t>-475.608305152961 237.597505785436 -766.477351334848</t>
  </si>
  <si>
    <t>-399.515014131704 294.208477265069 -464.498542474553</t>
  </si>
  <si>
    <t>-203.313025056665 221.753987544111 -309.911516398734</t>
  </si>
  <si>
    <t>-526.259634003621 34.2225697934032 -774.053105764236</t>
  </si>
  <si>
    <t>-466.189283470138 218.062506666504 -255.383248838706</t>
  </si>
  <si>
    <t>-469.811562475594 207.07004201071 200.164408318774</t>
  </si>
  <si>
    <t>-497.285586361108 165.242865024158 667.385440390891</t>
  </si>
  <si>
    <t>-348.152273944475 153.119530987789 759.882874974975</t>
  </si>
  <si>
    <t>-507.770841395374 28.9214584142089 -229.733405183135</t>
  </si>
  <si>
    <t>-425.300386578669 -14.2662054746894 216.350847933433</t>
  </si>
  <si>
    <t>-592.518583336155 -117.842022547713 642.914872309603</t>
  </si>
  <si>
    <t>-439.152765011693 -147.179466484332 723.919547389092</t>
  </si>
  <si>
    <t>9763-20170724T164304.222366000.bin</t>
  </si>
  <si>
    <t>-486.872497360652 123.772930693942 -242.897672573473</t>
  </si>
  <si>
    <t>-525.259104010149 116.820169621113 -357.553469642618</t>
  </si>
  <si>
    <t>-538.465589793496 104.883289792449 -477.443617056102</t>
  </si>
  <si>
    <t>-539.897381863949 92.0719689769043 -586.203270759651</t>
  </si>
  <si>
    <t>-530.923255891525 77.2949246961582 -694.35106820614</t>
  </si>
  <si>
    <t>-507.673384066335 54.7416533049444 -843.182624706603</t>
  </si>
  <si>
    <t>-460.867013124204 40.7651323499559 -932.607449357556</t>
  </si>
  <si>
    <t>-509.792660229947 95.2641019873915 -780.681760845288</t>
  </si>
  <si>
    <t>-475.527554152776 237.576925553173 -766.59696447864</t>
  </si>
  <si>
    <t>-399.055750617995 294.03297863136 -464.684780666127</t>
  </si>
  <si>
    <t>-202.690528231385 221.79056502842 -310.205769634027</t>
  </si>
  <si>
    <t>-526.128812966223 34.1774807802547 -773.976914137606</t>
  </si>
  <si>
    <t>-466.082046740427 218.391582695961 -255.352266022033</t>
  </si>
  <si>
    <t>-469.80627910486 207.325206714457 200.192755111097</t>
  </si>
  <si>
    <t>-497.290039102329 165.325651185832 667.399091995052</t>
  </si>
  <si>
    <t>-348.169826528321 152.913480546724 759.879425500646</t>
  </si>
  <si>
    <t>-507.543849036774 29.2557939034295 -229.716570903252</t>
  </si>
  <si>
    <t>-425.255772423107 -14.0663927358016 216.388213079989</t>
  </si>
  <si>
    <t>-592.550942648942 -117.863094562072 642.87438021136</t>
  </si>
  <si>
    <t>-439.339611836613 -147.905780843735 723.912834292259</t>
  </si>
  <si>
    <t>9763-20170724T164304.290550500.bin</t>
  </si>
  <si>
    <t>-486.570046465341 124.411399297601 -242.840194381182</t>
  </si>
  <si>
    <t>-524.829982748594 117.336843186555 -357.530860888266</t>
  </si>
  <si>
    <t>-538.003201822985 105.270541336965 -477.41168037643</t>
  </si>
  <si>
    <t>-539.445642689991 92.3369126109226 -586.156857693258</t>
  </si>
  <si>
    <t>-530.523384505334 77.4301332914823 -694.291245132227</t>
  </si>
  <si>
    <t>-507.388397590137 54.6870619907459 -843.111710211519</t>
  </si>
  <si>
    <t>-460.49072464008 40.6747317018698 -932.483014206442</t>
  </si>
  <si>
    <t>-509.503075704544 95.2998530653843 -780.669171445328</t>
  </si>
  <si>
    <t>-475.483783849754 237.695320102053 -766.794796968232</t>
  </si>
  <si>
    <t>-398.274602963354 294.138031907292 -465.067866213908</t>
  </si>
  <si>
    <t>-201.316111676412 222.977551586753 -310.842117460924</t>
  </si>
  <si>
    <t>-525.746770228273 34.2004767819758 -773.857036671831</t>
  </si>
  <si>
    <t>-465.960909799881 219.029132100875 -255.286047298521</t>
  </si>
  <si>
    <t>-470.04478971252 207.737161948928 200.250412570031</t>
  </si>
  <si>
    <t>-497.316650394643 165.361677334781 667.4293058554</t>
  </si>
  <si>
    <t>-348.101024934218 153.418285595951 759.817348980295</t>
  </si>
  <si>
    <t>-507.044875589197 29.9121988854296 -229.718202373958</t>
  </si>
  <si>
    <t>-425.282599826238 -13.6842541606481 216.456612508695</t>
  </si>
  <si>
    <t>-592.57336883536 -117.926668012151 642.798382410534</t>
  </si>
  <si>
    <t>-439.397203932693 -148.1039756498 723.853233797463</t>
  </si>
  <si>
    <t>9763-20170724T164304.321176300.bin</t>
  </si>
  <si>
    <t>-486.523873772884 124.828168501781 -242.798283405833</t>
  </si>
  <si>
    <t>-524.732790535109 117.686960515625 -357.501873473228</t>
  </si>
  <si>
    <t>-537.900157011177 105.550833734905 -477.376305638719</t>
  </si>
  <si>
    <t>-539.356856010211 92.5515674068835 -586.113395505622</t>
  </si>
  <si>
    <t>-530.468737724338 77.5757525533854 -694.240994905146</t>
  </si>
  <si>
    <t>-507.401532000795 54.7320976593287 -843.056636074204</t>
  </si>
  <si>
    <t>-460.32571362884 40.7297642460248 -932.335808762212</t>
  </si>
  <si>
    <t>-509.52504518385 95.3961779872811 -780.647907404392</t>
  </si>
  <si>
    <t>-475.635208723642 237.821661285029 -766.927600255462</t>
  </si>
  <si>
    <t>-397.887613751068 294.247996362727 -465.335766238468</t>
  </si>
  <si>
    <t>-200.678741911155 223.771839214642 -311.115801074266</t>
  </si>
  <si>
    <t>-525.691055879823 34.2832542362047 -773.772667271607</t>
  </si>
  <si>
    <t>-466.057847294525 219.496168960821 -255.240301752337</t>
  </si>
  <si>
    <t>-470.235246019278 208.05288585414 200.291512568221</t>
  </si>
  <si>
    <t>-497.35601658185 165.378943851069 667.487830128621</t>
  </si>
  <si>
    <t>-348.105356263703 153.294392951858 759.801029289267</t>
  </si>
  <si>
    <t>-506.855497876332 30.2870108617251 -229.700675321994</t>
  </si>
  <si>
    <t>-425.293990659351 -13.467559669765 216.495400306391</t>
  </si>
  <si>
    <t>-592.57377707268 -118.032271615192 642.774476653432</t>
  </si>
  <si>
    <t>-439.344894505689 -147.932240576938 723.832444896864</t>
  </si>
  <si>
    <t>9763-20170724T164304.390361500.bin</t>
  </si>
  <si>
    <t>-486.704034246622 125.681201331351 -242.735838435449</t>
  </si>
  <si>
    <t>-524.87471496263 118.381041301601 -357.442015803697</t>
  </si>
  <si>
    <t>-538.143032480656 106.132921373453 -477.294058576809</t>
  </si>
  <si>
    <t>-539.749417970284 93.0458482607612 -586.01839849843</t>
  </si>
  <si>
    <t>-531.069069214897 77.9909841147386 -694.151958611706</t>
  </si>
  <si>
    <t>-508.349626920033 55.0423945174375 -843.004935550769</t>
  </si>
  <si>
    <t>-460.558574842348 41.1007609648501 -931.912882422275</t>
  </si>
  <si>
    <t>-510.404412746562 95.7690267771681 -780.634712683758</t>
  </si>
  <si>
    <t>-476.836549332694 238.308266780098 -767.200266462611</t>
  </si>
  <si>
    <t>-397.222238182886 294.758548345268 -466.100412604334</t>
  </si>
  <si>
    <t>-199.685737105953 225.320972312114 -311.82866833364</t>
  </si>
  <si>
    <t>-526.400163938585 34.6238318674619 -773.649295015805</t>
  </si>
  <si>
    <t>-466.67122546082 220.312726138348 -255.160851181671</t>
  </si>
  <si>
    <t>-470.688178387334 208.547201631777 200.364243073318</t>
  </si>
  <si>
    <t>-497.389529989607 165.162436701679 667.495019674247</t>
  </si>
  <si>
    <t>-348.060383578699 153.705438177866 759.761212827282</t>
  </si>
  <si>
    <t>-506.616695245691 31.0788083873539 -229.663287734986</t>
  </si>
  <si>
    <t>-425.297678827667 -12.7521494766514 216.569578127124</t>
  </si>
  <si>
    <t>-592.504234672376 -118.120058752047 642.635972311235</t>
  </si>
  <si>
    <t>-439.326472944321 -147.856953837039 723.850619538628</t>
  </si>
  <si>
    <t>9763-20170724T164304.422065000.bin</t>
  </si>
  <si>
    <t>-486.852950176959 126.12805057032 -242.710998229732</t>
  </si>
  <si>
    <t>-525.046311011423 118.748435567596 -357.404546753384</t>
  </si>
  <si>
    <t>-538.40048580724 106.464466998333 -477.243306366766</t>
  </si>
  <si>
    <t>-540.110161763186 93.3608245536774 -585.964121294186</t>
  </si>
  <si>
    <t>-531.558035988629 78.3034343537888 -694.107556688928</t>
  </si>
  <si>
    <t>-509.041749846497 55.3643638935827 -842.992765202502</t>
  </si>
  <si>
    <t>-460.804163011107 41.4712665892353 -931.666906425058</t>
  </si>
  <si>
    <t>-511.053944707347 96.0972515196735 -780.625282907114</t>
  </si>
  <si>
    <t>-477.68689149998 238.681576977747 -767.344122565176</t>
  </si>
  <si>
    <t>-397.103002300364 295.259893347313 -466.526369183846</t>
  </si>
  <si>
    <t>-199.535396597126 225.838376125711 -312.287015650114</t>
  </si>
  <si>
    <t>-526.955073667487 34.9312122612617 -773.606008370239</t>
  </si>
  <si>
    <t>-466.996999262131 220.762821409919 -255.161433105436</t>
  </si>
  <si>
    <t>-470.893094045149 208.815161634507 200.359913502531</t>
  </si>
  <si>
    <t>-497.343836760492 165.229833298012 667.462721533117</t>
  </si>
  <si>
    <t>-348.078321786368 153.232095826633 759.763112655576</t>
  </si>
  <si>
    <t>-506.586735221827 31.4908658668086 -229.652340145383</t>
  </si>
  <si>
    <t>-425.255218674356 -12.2702747875406 216.585104502855</t>
  </si>
  <si>
    <t>-592.438190688023 -118.157021561848 642.544000130403</t>
  </si>
  <si>
    <t>-439.421610474883 -148.371019980784 723.886103444378</t>
  </si>
  <si>
    <t>9763-20170724T164304.491251200.bin</t>
  </si>
  <si>
    <t>-487.086918332724 126.749221956341 -242.669175593376</t>
  </si>
  <si>
    <t>-525.329827644296 119.258399264665 -357.339034412885</t>
  </si>
  <si>
    <t>-538.743281427198 106.896428034276 -477.163188693675</t>
  </si>
  <si>
    <t>-540.509715179981 93.7368680381412 -585.876378951651</t>
  </si>
  <si>
    <t>-532.016883271649 78.6381678276051 -694.018688901802</t>
  </si>
  <si>
    <t>-509.584901415448 55.6570979692031 -842.910189534072</t>
  </si>
  <si>
    <t>-460.619245858849 41.8564729342548 -931.19881205478</t>
  </si>
  <si>
    <t>-511.642457672032 96.4266648845859 -780.568164389472</t>
  </si>
  <si>
    <t>-478.637097104179 239.12757974611 -767.50300259654</t>
  </si>
  <si>
    <t>-396.771805449945 295.777166206725 -467.044914763345</t>
  </si>
  <si>
    <t>-198.850468082243 226.376626403538 -313.250343992575</t>
  </si>
  <si>
    <t>-527.378164097635 35.224342492777 -773.492327251668</t>
  </si>
  <si>
    <t>-467.441738214097 221.424744302505 -255.14384682957</t>
  </si>
  <si>
    <t>-471.165026725854 209.090319985331 200.368746249367</t>
  </si>
  <si>
    <t>-497.254399710169 165.029367066008 667.443543771445</t>
  </si>
  <si>
    <t>-347.904843728355 153.987984270568 759.727394558272</t>
  </si>
  <si>
    <t>-506.562530522867 32.1168338576474 -229.590515597733</t>
  </si>
  <si>
    <t>-425.216563388316 -11.74430569936 216.634386837662</t>
  </si>
  <si>
    <t>-592.367497492627 -118.282937238694 642.419856851122</t>
  </si>
  <si>
    <t>-439.279053310869 -147.899298259197 723.846517955</t>
  </si>
  <si>
    <t>9763-20170724T164304.520919700.bin</t>
  </si>
  <si>
    <t>-487.248976552445 127.111171076781 -242.693730556856</t>
  </si>
  <si>
    <t>-525.524585902847 119.609444035219 -357.351917339376</t>
  </si>
  <si>
    <t>-538.962989985517 107.242952263896 -477.172767996459</t>
  </si>
  <si>
    <t>-540.747959005197 94.0834886873611 -585.885679483563</t>
  </si>
  <si>
    <t>-532.269339908564 78.9896563260682 -694.029688717488</t>
  </si>
  <si>
    <t>-509.8524598084 56.0213409119077 -842.925615905134</t>
  </si>
  <si>
    <t>-460.621637999162 42.248347937568 -931.070963378154</t>
  </si>
  <si>
    <t>-511.936484196298 96.7933072188046 -780.585901183</t>
  </si>
  <si>
    <t>-479.086662120523 239.530160659279 -767.587535626478</t>
  </si>
  <si>
    <t>-396.733784905464 296.008526326552 -467.230397979529</t>
  </si>
  <si>
    <t>-198.615098905512 226.907445973292 -313.55510932157</t>
  </si>
  <si>
    <t>-527.606086377335 35.5750430618794 -773.501721500329</t>
  </si>
  <si>
    <t>-467.701266496498 221.876427164001 -255.160344401165</t>
  </si>
  <si>
    <t>-471.345559678524 209.3626710869 200.347940482836</t>
  </si>
  <si>
    <t>-497.213417135312 165.064514440211 667.406103721603</t>
  </si>
  <si>
    <t>-347.884983238021 153.970005376923 759.71777640213</t>
  </si>
  <si>
    <t>-506.656656420835 32.4034721112368 -229.599722229838</t>
  </si>
  <si>
    <t>-425.260469289638 -11.5469361396387 216.607216375736</t>
  </si>
  <si>
    <t>-592.323029072745 -118.536880614222 642.361243037292</t>
  </si>
  <si>
    <t>-439.171112628623 -147.760758675566 723.81041488483</t>
  </si>
  <si>
    <t>9763-20170724T164304.589103200.bin</t>
  </si>
  <si>
    <t>-487.67628843699 127.799394275455 -242.790840480484</t>
  </si>
  <si>
    <t>-525.931330682208 120.307609901785 -357.456647524253</t>
  </si>
  <si>
    <t>-539.361749088185 107.951698375473 -477.2795016817</t>
  </si>
  <si>
    <t>-541.144939580631 94.801910488795 -585.993566788</t>
  </si>
  <si>
    <t>-532.670132984223 79.7177103406118 -694.139266302357</t>
  </si>
  <si>
    <t>-510.264198073331 56.7620526747889 -843.038663295133</t>
  </si>
  <si>
    <t>-460.718836667533 42.9523210710279 -931.001791546059</t>
  </si>
  <si>
    <t>-512.36095136925 97.5327256029782 -780.698594400336</t>
  </si>
  <si>
    <t>-479.577221720039 240.299573154498 -767.790654045725</t>
  </si>
  <si>
    <t>-396.614187242106 296.333372168905 -467.518147916507</t>
  </si>
  <si>
    <t>-198.503328005006 227.174629532865 -313.858772195414</t>
  </si>
  <si>
    <t>-527.995323914671 36.3057304046511 -773.612011512015</t>
  </si>
  <si>
    <t>-468.116774836112 222.741146490351 -255.207988085756</t>
  </si>
  <si>
    <t>-471.704799604383 209.912628981169 200.292086009233</t>
  </si>
  <si>
    <t>-497.207351502799 165.367501926035 667.333639894003</t>
  </si>
  <si>
    <t>-347.973276595895 153.520007584939 759.704348632625</t>
  </si>
  <si>
    <t>-507.081170837464 32.9819463271858 -229.709401152856</t>
  </si>
  <si>
    <t>-425.58347440983 -11.2357840289804 216.452560283755</t>
  </si>
  <si>
    <t>-592.310960952232 -118.603890189066 642.280656912891</t>
  </si>
  <si>
    <t>-439.050274345391 -147.25343978924 723.729231161872</t>
  </si>
  <si>
    <t>9763-20170724T164304.627983800.bin</t>
  </si>
  <si>
    <t>-487.855672540275 128.121083838263 -242.826758412882</t>
  </si>
  <si>
    <t>-526.076740632119 120.657740753799 -357.505687579007</t>
  </si>
  <si>
    <t>-539.496402123833 108.307772676846 -477.330406695158</t>
  </si>
  <si>
    <t>-541.280196864017 95.1527635315451 -586.043834500468</t>
  </si>
  <si>
    <t>-532.816573003961 80.0517724662693 -694.188122453177</t>
  </si>
  <si>
    <t>-510.437216628867 57.0603865116985 -843.085840700851</t>
  </si>
  <si>
    <t>-460.818837713261 43.1817959771937 -930.99717928663</t>
  </si>
  <si>
    <t>-512.511429212823 97.84336685537 -780.753091124664</t>
  </si>
  <si>
    <t>-479.664915748326 240.605392619366 -767.911738533613</t>
  </si>
  <si>
    <t>-396.256390541084 296.407840807413 -467.719649699256</t>
  </si>
  <si>
    <t>-198.278834172998 227.153910374396 -313.931355504803</t>
  </si>
  <si>
    <t>-528.167298403814 36.623370498875 -773.653221106909</t>
  </si>
  <si>
    <t>-468.238952611879 222.85337307122 -255.228206836171</t>
  </si>
  <si>
    <t>-471.759609020618 209.800565089068 200.265947260851</t>
  </si>
  <si>
    <t>-497.033366395155 164.789804456733 667.324741202282</t>
  </si>
  <si>
    <t>-347.678067564419 154.325833271756 759.666516902473</t>
  </si>
  <si>
    <t>-507.303030285607 33.5054132497926 -229.788041964517</t>
  </si>
  <si>
    <t>-425.81368042111 -10.9976141277528 216.347148398606</t>
  </si>
  <si>
    <t>-592.354754051922 -118.222092574145 642.254967090498</t>
  </si>
  <si>
    <t>-439.204303030522 -147.438230225182 723.709636789003</t>
  </si>
  <si>
    <t>9763-20170724T164304.694158700.bin</t>
  </si>
  <si>
    <t>-488.180481535363 128.754895965061 -242.866436251074</t>
  </si>
  <si>
    <t>-526.398434824453 121.39296945766 -357.552837304862</t>
  </si>
  <si>
    <t>-539.843193061995 109.078791198979 -477.378408455044</t>
  </si>
  <si>
    <t>-541.662059697988 95.9252069553899 -586.091500814498</t>
  </si>
  <si>
    <t>-533.246361756131 80.7929211585097 -694.235060679633</t>
  </si>
  <si>
    <t>-510.947275513097 57.7218935712632 -843.132672746041</t>
  </si>
  <si>
    <t>-461.242068682767 43.6940705565649 -930.971070974208</t>
  </si>
  <si>
    <t>-512.92211471512 98.5227204229083 -780.808474078778</t>
  </si>
  <si>
    <t>-479.802362980569 241.219225598788 -768.06316222358</t>
  </si>
  <si>
    <t>-395.733955347332 296.905956449434 -468.033769632494</t>
  </si>
  <si>
    <t>-198.250860350369 227.319305272428 -313.760551946118</t>
  </si>
  <si>
    <t>-528.705764332164 37.3374977002196 -773.691792432191</t>
  </si>
  <si>
    <t>-468.502695527837 223.5671948183 -255.215035265788</t>
  </si>
  <si>
    <t>-472.058243290963 210.231372782566 200.270691471991</t>
  </si>
  <si>
    <t>-497.052759943835 164.990795516917 667.295289452762</t>
  </si>
  <si>
    <t>-347.76115528416 153.858173600871 759.661846218229</t>
  </si>
  <si>
    <t>-507.698580217243 34.0305952732242 -229.881059723143</t>
  </si>
  <si>
    <t>-426.155238900462 -10.8370733930961 216.207813667228</t>
  </si>
  <si>
    <t>-592.369591347769 -118.426412095874 642.219848197308</t>
  </si>
  <si>
    <t>-439.215646069585 -147.64412232711 723.667443134785</t>
  </si>
  <si>
    <t>9763-20170724T164304.721255200.bin</t>
  </si>
  <si>
    <t>-488.286166356899 129.064499951992 -242.882091959642</t>
  </si>
  <si>
    <t>-526.503561036783 121.767826182115 -357.57297675313</t>
  </si>
  <si>
    <t>-539.958578750406 109.491164763633 -477.401304541485</t>
  </si>
  <si>
    <t>-541.791455941485 96.3593320450349 -586.11675978215</t>
  </si>
  <si>
    <t>-533.394443124705 81.2362164583584 -694.263067317899</t>
  </si>
  <si>
    <t>-511.126147934931 58.1646000917712 -843.165087247342</t>
  </si>
  <si>
    <t>-461.408334501954 44.0779499922463 -930.987095056507</t>
  </si>
  <si>
    <t>-513.051540479085 98.9570611008759 -780.833859459057</t>
  </si>
  <si>
    <t>-479.719309140252 241.61290349307 -768.078851586614</t>
  </si>
  <si>
    <t>-395.295889568539 297.152925456114 -468.121938888741</t>
  </si>
  <si>
    <t>-198.044085944344 227.6699334123 -313.506560763807</t>
  </si>
  <si>
    <t>-528.90675119236 37.7891241236619 -773.727317389483</t>
  </si>
  <si>
    <t>-468.548926446994 223.95104251947 -255.224989672931</t>
  </si>
  <si>
    <t>-472.088699419614 210.43224370807 200.255428043823</t>
  </si>
  <si>
    <t>-497.038203843009 165.100094923673 667.275198132692</t>
  </si>
  <si>
    <t>-347.771033407942 153.838070292499 759.665611634656</t>
  </si>
  <si>
    <t>-507.8821300352 34.2455377239224 -229.907933832963</t>
  </si>
  <si>
    <t>-426.258715860615 -10.8333028573626 216.144931901698</t>
  </si>
  <si>
    <t>-592.365130236542 -118.544247788551 642.175712469784</t>
  </si>
  <si>
    <t>-439.17424539444 -147.484968600506 723.652768158519</t>
  </si>
  <si>
    <t>9763-20170724T164304.790438700.bin</t>
  </si>
  <si>
    <t>-488.272085375707 129.491779270657 -242.880979970642</t>
  </si>
  <si>
    <t>-526.510987620958 122.314154787753 -357.572247865412</t>
  </si>
  <si>
    <t>-540.005271367307 110.10619732652 -477.402957896128</t>
  </si>
  <si>
    <t>-541.881165711657 97.012400761635 -586.122359260146</t>
  </si>
  <si>
    <t>-533.534729696429 81.9016798279785 -694.274410786299</t>
  </si>
  <si>
    <t>-511.345065722481 58.8191010512557 -843.186488913571</t>
  </si>
  <si>
    <t>-461.634660811749 44.6226540719684 -930.994805524566</t>
  </si>
  <si>
    <t>-513.146979920949 99.5944361637033 -780.840219604163</t>
  </si>
  <si>
    <t>-479.398700370462 242.15055014454 -768.094504730196</t>
  </si>
  <si>
    <t>-393.959509352266 297.503304006796 -468.390639323664</t>
  </si>
  <si>
    <t>-197.2427023582 228.177171549149 -313.025232345732</t>
  </si>
  <si>
    <t>-529.179645522989 38.4704080027877 -773.754695500051</t>
  </si>
  <si>
    <t>-468.301323130264 224.388926681085 -255.184706859308</t>
  </si>
  <si>
    <t>-471.916667055323 210.634720898385 200.288092565493</t>
  </si>
  <si>
    <t>-496.999500537232 165.012891961877 667.274622930867</t>
  </si>
  <si>
    <t>-347.653214064583 154.522533280819 759.628054300827</t>
  </si>
  <si>
    <t>-508.042710316871 34.6751919707461 -229.94897719099</t>
  </si>
  <si>
    <t>-426.363717165593 -10.6056954549332 216.073279066968</t>
  </si>
  <si>
    <t>-592.436722985034 -118.14829133473 642.146845498955</t>
  </si>
  <si>
    <t>-439.330914002007 -147.500550712039 723.636504333748</t>
  </si>
  <si>
    <t>9763-20170724T164304.827575200.bin</t>
  </si>
  <si>
    <t>-488.31407552968 129.894313840294 -242.881214440385</t>
  </si>
  <si>
    <t>-526.587074854265 122.76194295079 -357.563904048196</t>
  </si>
  <si>
    <t>-540.125559485498 110.581150894602 -477.392510946323</t>
  </si>
  <si>
    <t>-542.045975054181 97.5006363152465 -586.112635769531</t>
  </si>
  <si>
    <t>-533.748535597072 82.3897835041402 -694.268470167241</t>
  </si>
  <si>
    <t>-511.63175471352 59.2914539849643 -843.188857734951</t>
  </si>
  <si>
    <t>-461.95267006171 45.0404620835878 -931.006233405537</t>
  </si>
  <si>
    <t>-513.348371190988 100.060128688463 -780.835998394805</t>
  </si>
  <si>
    <t>-479.297622480174 242.550388412606 -768.104987409734</t>
  </si>
  <si>
    <t>-393.602146787135 297.696698482432 -468.436193672051</t>
  </si>
  <si>
    <t>-197.194700576389 228.243452225181 -312.736392553458</t>
  </si>
  <si>
    <t>-529.487051375753 38.9633398529146 -773.756354075049</t>
  </si>
  <si>
    <t>-468.289483897752 224.86050610639 -255.167431548554</t>
  </si>
  <si>
    <t>-471.937811647416 210.946498000907 200.300280503868</t>
  </si>
  <si>
    <t>-497.072781436472 165.33870298789 667.275002840963</t>
  </si>
  <si>
    <t>-347.792920340421 154.07983180426 759.645311613747</t>
  </si>
  <si>
    <t>-508.231718234356 35.1197681040667 -229.94381792085</t>
  </si>
  <si>
    <t>-426.453764731405 -10.4069941740675 216.035225920697</t>
  </si>
  <si>
    <t>-592.476993531291 -117.833880744274 642.126984541594</t>
  </si>
  <si>
    <t>-439.517995427938 -147.913657600788 723.627040595499</t>
  </si>
  <si>
    <t>9763-20170724T164304.889720800.bin</t>
  </si>
  <si>
    <t>-488.294488375122 130.354987238522 -242.862599628301</t>
  </si>
  <si>
    <t>-526.50530094535 123.329059027444 -357.57254202928</t>
  </si>
  <si>
    <t>-540.062571678931 111.241208956561 -477.408381746639</t>
  </si>
  <si>
    <t>-542.034325521348 98.235539623896 -586.136603777399</t>
  </si>
  <si>
    <t>-533.822726555699 83.1886143876072 -694.307738127492</t>
  </si>
  <si>
    <t>-511.860330811106 60.1652073285345 -843.262802821096</t>
  </si>
  <si>
    <t>-462.305157330428 45.8477130054753 -931.139225633992</t>
  </si>
  <si>
    <t>-513.443144400958 100.885701373859 -780.874833443085</t>
  </si>
  <si>
    <t>-478.996432633207 243.265117521316 -768.063560945469</t>
  </si>
  <si>
    <t>-392.787674084292 297.876580527161 -468.444241909179</t>
  </si>
  <si>
    <t>-196.972439904986 228.369518021835 -312.024168337784</t>
  </si>
  <si>
    <t>-529.712908368175 39.8190434517498 -773.834840785738</t>
  </si>
  <si>
    <t>-468.08938259245 225.324952299923 -255.093270602964</t>
  </si>
  <si>
    <t>-471.970526322659 211.136564213478 200.363983337571</t>
  </si>
  <si>
    <t>-497.05707914971 165.22519141889 667.290665159442</t>
  </si>
  <si>
    <t>-347.708942583851 154.532434593838 759.617830035794</t>
  </si>
  <si>
    <t>-508.316777499696 35.5177112444409 -229.994545626468</t>
  </si>
  <si>
    <t>-426.576079502848 -10.4192920126673 215.949324971136</t>
  </si>
  <si>
    <t>-592.459584350389 -118.142682391958 642.091288799297</t>
  </si>
  <si>
    <t>-439.555006394715 -148.367935426966 723.639691045595</t>
  </si>
  <si>
    <t>9763-20170724T164304.920804000.bin</t>
  </si>
  <si>
    <t>-488.325985073936 130.76165168936 -242.89616831664</t>
  </si>
  <si>
    <t>-526.552503646719 123.771601427635 -357.603199970143</t>
  </si>
  <si>
    <t>-540.11304188198 111.729220534435 -477.443334407122</t>
  </si>
  <si>
    <t>-542.083105801814 98.7641280744974 -586.176393674871</t>
  </si>
  <si>
    <t>-533.865666635871 83.7547663038797 -694.35231453787</t>
  </si>
  <si>
    <t>-511.891387145226 60.7783278143774 -843.31272870134</t>
  </si>
  <si>
    <t>-462.38802454844 46.459122445625 -931.218088995195</t>
  </si>
  <si>
    <t>-513.441238673717 101.469788049413 -780.905042428862</t>
  </si>
  <si>
    <t>-478.795075156158 243.796331498612 -768.009645378686</t>
  </si>
  <si>
    <t>-392.368019771473 297.741916917703 -468.3323374458</t>
  </si>
  <si>
    <t>-196.86120321153 228.318515939413 -311.490068318984</t>
  </si>
  <si>
    <t>-529.787382400128 40.4195815739917 -773.899681199534</t>
  </si>
  <si>
    <t>-468.137792250533 225.807894166615 -255.091761515798</t>
  </si>
  <si>
    <t>-471.988151369851 211.467918690751 200.360908628345</t>
  </si>
  <si>
    <t>-497.11834439064 165.586629763093 667.263280341347</t>
  </si>
  <si>
    <t>-347.836810662404 154.433885399881 759.643795627225</t>
  </si>
  <si>
    <t>-508.388253481531 35.9096224647053 -230.011389988697</t>
  </si>
  <si>
    <t>-426.642097993396 -10.3263399708446 215.900551283423</t>
  </si>
  <si>
    <t>-592.477316559336 -118.034032250438 642.074823367583</t>
  </si>
  <si>
    <t>-439.587309924315 -148.239838847599 723.657722764633</t>
  </si>
  <si>
    <t>9763-20170724T164304.990988900.bin</t>
  </si>
  <si>
    <t>-488.338487077721 131.242827683771 -242.889700674545</t>
  </si>
  <si>
    <t>-526.537194067798 124.327570338352 -357.610465207487</t>
  </si>
  <si>
    <t>-540.059545915616 112.365573092366 -477.462937719407</t>
  </si>
  <si>
    <t>-541.992432250604 99.46856691585 -586.204700714963</t>
  </si>
  <si>
    <t>-533.736091956885 84.5188657239523 -694.386003130459</t>
  </si>
  <si>
    <t>-511.707194412827 61.6132292158519 -843.34919894853</t>
  </si>
  <si>
    <t>-462.309802063285 47.3193368473742 -931.318429600584</t>
  </si>
  <si>
    <t>-513.201185802231 102.255492948093 -780.90817502925</t>
  </si>
  <si>
    <t>-478.174879130379 244.479622908095 -767.854828803347</t>
  </si>
  <si>
    <t>-391.224700295343 297.717788604019 -468.202477931436</t>
  </si>
  <si>
    <t>-196.485974395809 228.150761582849 -310.470685675081</t>
  </si>
  <si>
    <t>-529.707426825456 41.2410556294573 -773.967125162407</t>
  </si>
  <si>
    <t>-468.027612375666 226.136125331632 -255.0662368859</t>
  </si>
  <si>
    <t>-472.050952642702 211.595552186286 200.378619872011</t>
  </si>
  <si>
    <t>-497.021286911202 165.277747170556 667.266238151664</t>
  </si>
  <si>
    <t>-347.684197305684 154.877818309349 759.644720418943</t>
  </si>
  <si>
    <t>-508.511707924404 36.4495340045643 -230.048541554551</t>
  </si>
  <si>
    <t>-426.759484914912 -10.0731351734384 215.832493959878</t>
  </si>
  <si>
    <t>-592.469935661894 -117.966819429178 641.981029143324</t>
  </si>
  <si>
    <t>-439.840587577428 -149.105164539072 723.701225167846</t>
  </si>
  <si>
    <t>9763-20170724T164305.024662100.bin</t>
  </si>
  <si>
    <t>-488.32702133046 131.39521036524 -242.90671142586</t>
  </si>
  <si>
    <t>-526.462375225963 124.494361263666 -357.649407123652</t>
  </si>
  <si>
    <t>-539.929448275833 112.547527171866 -477.509557350814</t>
  </si>
  <si>
    <t>-541.81714896132 99.6612739286156 -586.253406110094</t>
  </si>
  <si>
    <t>-533.521366052388 84.717489542189 -694.432443574669</t>
  </si>
  <si>
    <t>-511.444063785171 61.813239820936 -843.388811947135</t>
  </si>
  <si>
    <t>-462.083568866782 47.5214902356353 -931.379042592487</t>
  </si>
  <si>
    <t>-512.920815100791 102.44560468929 -780.94081791612</t>
  </si>
  <si>
    <t>-477.733838764573 244.620540401279 -767.830305642273</t>
  </si>
  <si>
    <t>-390.537989149263 297.521872696146 -468.189679117688</t>
  </si>
  <si>
    <t>-196.170469210712 227.864048959686 -310.04060126286</t>
  </si>
  <si>
    <t>-529.504394485753 41.4497920117943 -774.019757294744</t>
  </si>
  <si>
    <t>-467.997415306007 226.311095586375 -255.067164934547</t>
  </si>
  <si>
    <t>-472.052106031121 211.62099903349 200.37260189901</t>
  </si>
  <si>
    <t>-496.97861155833 165.098970176647 667.278503986475</t>
  </si>
  <si>
    <t>-347.647161259344 154.576374593547 759.652206504313</t>
  </si>
  <si>
    <t>-508.501798752375 36.5499537735474 -230.100395008988</t>
  </si>
  <si>
    <t>-426.894960028814 -10.0852758312837 215.79549385769</t>
  </si>
  <si>
    <t>-592.487222399043 -118.066842447095 641.985449505326</t>
  </si>
  <si>
    <t>-439.749301026697 -148.729297344242 723.682784947608</t>
  </si>
  <si>
    <t>9763-20170724T164305.087832300.bin</t>
  </si>
  <si>
    <t>-488.09941947944 131.635950770592 -242.898182250927</t>
  </si>
  <si>
    <t>-526.180936947352 124.829372746056 -357.664365114999</t>
  </si>
  <si>
    <t>-539.547550415233 112.954464428157 -477.543099262076</t>
  </si>
  <si>
    <t>-541.326834261369 100.120938221312 -586.294955905519</t>
  </si>
  <si>
    <t>-532.906235821338 85.2159694715274 -694.469772179019</t>
  </si>
  <si>
    <t>-510.639996164401 62.3501127428982 -843.403989728175</t>
  </si>
  <si>
    <t>-461.342744905808 48.0916074472104 -931.434974549592</t>
  </si>
  <si>
    <t>-512.142177879432 102.952788101717 -780.937154766142</t>
  </si>
  <si>
    <t>-476.649277822856 245.040979077045 -767.610523443621</t>
  </si>
  <si>
    <t>-389.445338590928 297.594189573543 -467.910853807095</t>
  </si>
  <si>
    <t>-195.368799536438 227.830108131102 -309.451625433134</t>
  </si>
  <si>
    <t>-528.84206048482 41.9823073469116 -774.073128303787</t>
  </si>
  <si>
    <t>-467.64754820496 226.665654213185 -254.986024448724</t>
  </si>
  <si>
    <t>-472.024733280549 211.811719687526 200.445490909975</t>
  </si>
  <si>
    <t>-496.995429147755 165.022075600522 667.307421021878</t>
  </si>
  <si>
    <t>-347.661249092597 154.277814620824 759.651185459554</t>
  </si>
  <si>
    <t>-508.413180139842 36.6875465879288 -230.116869362115</t>
  </si>
  <si>
    <t>-426.919298720723 -10.264100126634 215.766437992372</t>
  </si>
  <si>
    <t>-592.533601489317 -118.193724073062 641.994840995416</t>
  </si>
  <si>
    <t>-439.713791969252 -148.503204479268 723.670885502527</t>
  </si>
  <si>
    <t>9763-20170724T164305.119954700.bin</t>
  </si>
  <si>
    <t>-487.949345969105 131.830742169446 -242.879774359639</t>
  </si>
  <si>
    <t>-525.966817947793 125.05764640047 -357.669233489364</t>
  </si>
  <si>
    <t>-539.272271020717 113.205816260666 -477.556899360567</t>
  </si>
  <si>
    <t>-540.998535362328 100.38737854878 -586.311465704987</t>
  </si>
  <si>
    <t>-532.52796374975 85.4910520537608 -694.483596257455</t>
  </si>
  <si>
    <t>-510.195969180419 62.6294051734581 -843.408484826646</t>
  </si>
  <si>
    <t>-460.914489276335 48.358097851049 -931.446303445146</t>
  </si>
  <si>
    <t>-511.699723130232 103.223703136463 -780.936503169762</t>
  </si>
  <si>
    <t>-476.059855255023 245.25686632423 -767.501135070003</t>
  </si>
  <si>
    <t>-388.920453556736 297.563721058507 -467.739803078012</t>
  </si>
  <si>
    <t>-195.005966994594 227.61910843118 -309.16188597355</t>
  </si>
  <si>
    <t>-528.454576626005 42.2661812002165 -774.091276495147</t>
  </si>
  <si>
    <t>-467.463950873889 227.010610517163 -254.956753540503</t>
  </si>
  <si>
    <t>-471.995658746656 212.058189241631 200.470103028323</t>
  </si>
  <si>
    <t>-497.085971603468 165.417806953005 667.292172898852</t>
  </si>
  <si>
    <t>-347.811654853177 154.091480086184 759.663248289014</t>
  </si>
  <si>
    <t>-508.267676880734 36.7822009241861 -230.127013403845</t>
  </si>
  <si>
    <t>-426.817282165794 -10.4495124185849 215.734655053584</t>
  </si>
  <si>
    <t>-592.530082640201 -118.452625988461 641.961100438688</t>
  </si>
  <si>
    <t>-439.578834629962 -148.047258294977 723.653023117284</t>
  </si>
  <si>
    <t>9763-20170724T164305.188143400.bin</t>
  </si>
  <si>
    <t>-487.534275345535 132.370253455762 -242.831085392308</t>
  </si>
  <si>
    <t>-525.454998653326 125.677761120376 -357.657293425856</t>
  </si>
  <si>
    <t>-538.636671674481 113.916762879752 -477.567629798867</t>
  </si>
  <si>
    <t>-540.241963317741 101.181592064335 -586.333831928818</t>
  </si>
  <si>
    <t>-531.642295819152 86.3683917078549 -694.507004551769</t>
  </si>
  <si>
    <t>-509.123816046822 63.620889945975 -843.421402562547</t>
  </si>
  <si>
    <t>-459.848847478018 49.3754976999784 -931.467079353736</t>
  </si>
  <si>
    <t>-510.668706723343 104.157842254237 -780.913105914988</t>
  </si>
  <si>
    <t>-474.760195890597 246.092117025792 -767.217867130462</t>
  </si>
  <si>
    <t>-387.892886408807 297.962726422136 -467.301734213833</t>
  </si>
  <si>
    <t>-194.044889328857 227.430931270121 -308.902527054427</t>
  </si>
  <si>
    <t>-527.506390773763 43.214021692602 -774.14986877827</t>
  </si>
  <si>
    <t>-467.027339683242 227.593550478338 -254.872978733733</t>
  </si>
  <si>
    <t>-471.816995098285 212.392418271415 200.542938157179</t>
  </si>
  <si>
    <t>-497.052822592848 165.291187041328 667.320909153381</t>
  </si>
  <si>
    <t>-347.825104902225 153.543630676634 759.714658413412</t>
  </si>
  <si>
    <t>-507.874112543942 37.2711542472681 -230.1079836423</t>
  </si>
  <si>
    <t>-426.770038806398 -10.4013194850345 215.769948279282</t>
  </si>
  <si>
    <t>-592.604216092631 -118.497452589621 641.931521340954</t>
  </si>
  <si>
    <t>-439.731222662612 -148.329668727337 723.683569368337</t>
  </si>
  <si>
    <t>9763-20170724T164305.223232300.bin</t>
  </si>
  <si>
    <t>-487.326355292783 132.638500304974 -242.796393211526</t>
  </si>
  <si>
    <t>-525.170410722442 125.989585684099 -357.65029154605</t>
  </si>
  <si>
    <t>-538.277628919908 114.266758602243 -477.572591897292</t>
  </si>
  <si>
    <t>-539.81773264649 101.562735646021 -586.343420597638</t>
  </si>
  <si>
    <t>-531.155775195609 86.7766489039019 -694.5153997108</t>
  </si>
  <si>
    <t>-508.554241317282 64.0620961725759 -843.422263529786</t>
  </si>
  <si>
    <t>-459.282856367964 49.8298270021423 -931.47192307958</t>
  </si>
  <si>
    <t>-510.115576188875 104.580511756104 -780.902309998124</t>
  </si>
  <si>
    <t>-474.093456650869 246.483585949533 -767.102393345047</t>
  </si>
  <si>
    <t>-387.359949703799 298.122798166579 -467.107636852764</t>
  </si>
  <si>
    <t>-193.602255877284 227.349294787369 -308.705849244247</t>
  </si>
  <si>
    <t>-526.993936959625 43.6446885530043 -774.168758582359</t>
  </si>
  <si>
    <t>-466.756104149103 227.775004437301 -254.815287907833</t>
  </si>
  <si>
    <t>-471.663678733808 212.458758937887 200.595402515224</t>
  </si>
  <si>
    <t>-497.010288640284 165.102683242547 667.335082100125</t>
  </si>
  <si>
    <t>-347.726696753626 154.058314502274 759.725239168666</t>
  </si>
  <si>
    <t>-507.718822532652 37.5562505985552 -230.10723521646</t>
  </si>
  <si>
    <t>-426.685699037394 -10.3224701480125 215.761410917691</t>
  </si>
  <si>
    <t>-592.601751303594 -118.666383896027 641.862051961232</t>
  </si>
  <si>
    <t>-439.902845243369 -149.164461524192 723.693806052976</t>
  </si>
  <si>
    <t>9763-20170724T164305.286401900.bin</t>
  </si>
  <si>
    <t>-486.894901112919 133.116657433271 -242.78349437417</t>
  </si>
  <si>
    <t>-524.667866225136 126.536963110698 -357.664842111541</t>
  </si>
  <si>
    <t>-537.689308281998 114.896440387484 -477.604489221742</t>
  </si>
  <si>
    <t>-539.147202520114 102.269584419248 -586.385328131611</t>
  </si>
  <si>
    <t>-530.399065795843 87.5619823064239 -694.561134914687</t>
  </si>
  <si>
    <t>-507.674726736058 64.9568222602398 -843.465918962087</t>
  </si>
  <si>
    <t>-458.434781935604 50.7802726674683 -931.542109102141</t>
  </si>
  <si>
    <t>-509.256362771388 105.421283817095 -780.911560913514</t>
  </si>
  <si>
    <t>-473.002319445525 247.242355550475 -766.93569646462</t>
  </si>
  <si>
    <t>-386.413591970389 298.3393939475 -466.806328896437</t>
  </si>
  <si>
    <t>-192.746830675288 227.143675432917 -308.482448183901</t>
  </si>
  <si>
    <t>-526.202740695767 44.4965187602247 -774.248722734297</t>
  </si>
  <si>
    <t>-466.265089341959 228.281941004834 -254.731558687751</t>
  </si>
  <si>
    <t>-471.522399854366 212.741359761803 200.667749789988</t>
  </si>
  <si>
    <t>-497.019799097956 165.061044208134 667.358079893874</t>
  </si>
  <si>
    <t>-347.76112995625 153.837835613722 759.766905036885</t>
  </si>
  <si>
    <t>-507.388683343137 38.0519895440832 -230.165450447239</t>
  </si>
  <si>
    <t>-426.635979610144 -10.2250257786191 215.711232468732</t>
  </si>
  <si>
    <t>-592.604649543749 -118.565149747396 641.719112460671</t>
  </si>
  <si>
    <t>-439.940438271243 -148.957728371029 723.654560116729</t>
  </si>
  <si>
    <t>9763-20170724T164305.324507500.bin</t>
  </si>
  <si>
    <t>-486.65069964043 133.385174760097 -242.770664084351</t>
  </si>
  <si>
    <t>-524.360152616432 126.83118463278 -357.674224302975</t>
  </si>
  <si>
    <t>-537.334399279106 115.22058209569 -477.621871288279</t>
  </si>
  <si>
    <t>-538.75701723533 102.622435361066 -586.406720774297</t>
  </si>
  <si>
    <t>-529.981459288118 87.9452529534877 -694.584350516135</t>
  </si>
  <si>
    <t>-507.226971149145 65.3838656085513 -843.491012272969</t>
  </si>
  <si>
    <t>-458.015792754725 51.2226811454576 -931.585999144484</t>
  </si>
  <si>
    <t>-508.811003547127 105.827274115267 -780.923227516459</t>
  </si>
  <si>
    <t>-472.440403991616 247.614298201316 -766.869476363388</t>
  </si>
  <si>
    <t>-385.834799535734 298.587779942516 -466.723875757238</t>
  </si>
  <si>
    <t>-192.230472384824 227.152688356025 -308.431678692862</t>
  </si>
  <si>
    <t>-525.77923134976 44.9058251322995 -774.285731387875</t>
  </si>
  <si>
    <t>-465.956013522193 228.569229450842 -254.708319038256</t>
  </si>
  <si>
    <t>-471.42181161087 212.866656224839 200.682985561255</t>
  </si>
  <si>
    <t>-497.011304755056 165.035688514573 667.352865735133</t>
  </si>
  <si>
    <t>-347.708201771896 154.342363279229 759.752808643053</t>
  </si>
  <si>
    <t>-507.18029437572 38.267959119141 -230.199630433139</t>
  </si>
  <si>
    <t>-426.641843649779 -10.132103633628 215.702510065097</t>
  </si>
  <si>
    <t>-592.613769203929 -118.767010100547 641.696135133023</t>
  </si>
  <si>
    <t>-439.948370329543 -149.187510798141 723.619233546291</t>
  </si>
  <si>
    <t>9763-20170724T164305.389682000.bin</t>
  </si>
  <si>
    <t>-486.191788239034 134.115569650735 -242.796405089603</t>
  </si>
  <si>
    <t>-523.823664946847 127.583330616208 -357.7266046994</t>
  </si>
  <si>
    <t>-536.72648179078 116.005083866278 -477.685112727603</t>
  </si>
  <si>
    <t>-538.088544343652 103.437728523357 -586.474173848043</t>
  </si>
  <si>
    <t>-529.257276478383 88.7911920202015 -694.651566018811</t>
  </si>
  <si>
    <t>-506.430949016026 66.2709781878811 -843.553557018278</t>
  </si>
  <si>
    <t>-457.288123134934 52.1329838447384 -931.690340279298</t>
  </si>
  <si>
    <t>-508.023993143597 106.691620592465 -780.971217309023</t>
  </si>
  <si>
    <t>-471.514605429144 248.431525198784 -766.806681721828</t>
  </si>
  <si>
    <t>-384.962460613882 298.910990477556 -466.562237166198</t>
  </si>
  <si>
    <t>-191.427388024078 227.028271823871 -308.388037357469</t>
  </si>
  <si>
    <t>-525.037865621625 45.7793322979775 -774.36680496179</t>
  </si>
  <si>
    <t>-465.487779926885 229.454691152616 -254.690826107926</t>
  </si>
  <si>
    <t>-471.267107506304 213.460155713071 200.68642778597</t>
  </si>
  <si>
    <t>-497.032417463893 165.304821015259 667.273694106788</t>
  </si>
  <si>
    <t>-347.809101332987 154.190633377132 759.752832560669</t>
  </si>
  <si>
    <t>-506.769659387605 38.9005531926452 -230.246466325902</t>
  </si>
  <si>
    <t>-426.453526836642 -9.78450826057888 215.664718543481</t>
  </si>
  <si>
    <t>-592.585210428485 -118.684285747966 641.537489483489</t>
  </si>
  <si>
    <t>-439.977806668569 -149.238793529837 723.518671877171</t>
  </si>
  <si>
    <t>9763-20170724T164305.430400500.bin</t>
  </si>
  <si>
    <t>-485.86203455226 134.402673045302 -242.770706748384</t>
  </si>
  <si>
    <t>-523.462486888112 127.882703507171 -357.711956240651</t>
  </si>
  <si>
    <t>-536.330193898213 116.32112134088 -477.675763347482</t>
  </si>
  <si>
    <t>-537.659951449438 103.768839515794 -586.467054349523</t>
  </si>
  <si>
    <t>-528.796169269938 89.1363068154421 -694.643480891555</t>
  </si>
  <si>
    <t>-505.92494858854 66.6333642197292 -843.5413531424</t>
  </si>
  <si>
    <t>-456.817975484246 52.5051914987591 -931.69960471925</t>
  </si>
  <si>
    <t>-507.521926977045 107.042942240803 -780.951885890566</t>
  </si>
  <si>
    <t>-470.873129827286 248.738561687882 -766.735059364171</t>
  </si>
  <si>
    <t>-384.423919516646 299.057040038872 -466.433971149886</t>
  </si>
  <si>
    <t>-190.916449380331 226.983745150535 -308.312557050683</t>
  </si>
  <si>
    <t>-524.567519019942 46.1375469044627 -774.365471535072</t>
  </si>
  <si>
    <t>-465.103918260469 229.595792566166 -254.665897826351</t>
  </si>
  <si>
    <t>-471.034510260384 213.457438367665 200.704391184972</t>
  </si>
  <si>
    <t>-496.91866359517 164.875381232885 667.280508290041</t>
  </si>
  <si>
    <t>-347.62803611332 154.619167829054 759.750115100415</t>
  </si>
  <si>
    <t>-506.477587090516 39.281190988706 -230.239817496142</t>
  </si>
  <si>
    <t>-426.261280014232 -9.45887541474509 215.683223731554</t>
  </si>
  <si>
    <t>-592.588537116393 -118.434893604331 641.44846487102</t>
  </si>
  <si>
    <t>-440.072890567746 -149.27410869659 723.493773531407</t>
  </si>
  <si>
    <t>9763-20170724T164305.488554100.bin</t>
  </si>
  <si>
    <t>-485.031089021434 135.220025400934 -242.725066111204</t>
  </si>
  <si>
    <t>-522.462587082058 128.709836933297 -357.722124703205</t>
  </si>
  <si>
    <t>-535.21732554323 117.157619953157 -477.698904879418</t>
  </si>
  <si>
    <t>-536.470669389109 104.612212565234 -586.491689793138</t>
  </si>
  <si>
    <t>-527.556799720116 89.9841032832771 -694.664842892917</t>
  </si>
  <si>
    <t>-504.643845103694 67.4837429069917 -843.556416874387</t>
  </si>
  <si>
    <t>-455.589359339971 53.3591388602527 -931.744566452846</t>
  </si>
  <si>
    <t>-506.241827764619 107.887869984325 -780.963604751091</t>
  </si>
  <si>
    <t>-469.494375582049 249.553224562581 -766.697070926654</t>
  </si>
  <si>
    <t>-383.129391761684 299.557911192241 -466.319279274901</t>
  </si>
  <si>
    <t>-189.712741251995 227.026975140192 -308.296048529845</t>
  </si>
  <si>
    <t>-523.322430918431 46.9909891393095 -774.389370443291</t>
  </si>
  <si>
    <t>-464.183106720381 230.541870001222 -254.57418516682</t>
  </si>
  <si>
    <t>-470.491139780354 214.08748401635 200.779681259638</t>
  </si>
  <si>
    <t>-496.989768385825 165.088200425592 667.274972042367</t>
  </si>
  <si>
    <t>-347.753169890738 154.130388699332 759.751295070448</t>
  </si>
  <si>
    <t>-505.658887717847 39.9987076217114 -230.247637251882</t>
  </si>
  <si>
    <t>-425.952775276881 -9.10428310834163 215.727077271302</t>
  </si>
  <si>
    <t>-592.54451734907 -118.60493162688 641.305636317424</t>
  </si>
  <si>
    <t>-440.029481942247 -149.186643897057 723.448431015411</t>
  </si>
  <si>
    <t>9763-20170724T164305.526299300.bin</t>
  </si>
  <si>
    <t>-484.529235487822 135.562142479532 -242.676117990247</t>
  </si>
  <si>
    <t>-521.944185812486 129.057449652146 -357.678837298794</t>
  </si>
  <si>
    <t>-534.692962535434 117.520693799126 -477.657547225886</t>
  </si>
  <si>
    <t>-535.945558710975 104.991285397506 -586.452337190677</t>
  </si>
  <si>
    <t>-527.035976744947 90.3802175603624 -694.62807792877</t>
  </si>
  <si>
    <t>-504.134304890022 67.9037190405525 -843.525093972982</t>
  </si>
  <si>
    <t>-455.099449569216 53.7805213174449 -931.724443518992</t>
  </si>
  <si>
    <t>-505.717920804658 108.29535948761 -780.923926352091</t>
  </si>
  <si>
    <t>-468.92732906019 249.948156993497 -766.640021848868</t>
  </si>
  <si>
    <t>-382.635485863443 299.799573257334 -466.215857394567</t>
  </si>
  <si>
    <t>-189.283158562739 227.160757523127 -308.163553586668</t>
  </si>
  <si>
    <t>-522.817179007277 47.4023645333504 -774.361841894346</t>
  </si>
  <si>
    <t>-463.660489853675 230.910691473606 -254.494297564807</t>
  </si>
  <si>
    <t>-470.026276668983 214.282399943369 200.852392411527</t>
  </si>
  <si>
    <t>-496.979733351398 164.928032845096 667.299905503865</t>
  </si>
  <si>
    <t>-347.704916968681 154.256505507999 759.748112832063</t>
  </si>
  <si>
    <t>-505.221668503679 40.2463160532029 -230.195467475793</t>
  </si>
  <si>
    <t>-425.70004933109 -8.94885296250044 215.802055898603</t>
  </si>
  <si>
    <t>-592.497538726179 -118.827478079646 641.250001756592</t>
  </si>
  <si>
    <t>-440.009695370671 -149.338064665823 723.469652585735</t>
  </si>
  <si>
    <t>9763-20170724T164305.588463500.bin</t>
  </si>
  <si>
    <t>-483.834520750555 136.226504806626 -242.586427570148</t>
  </si>
  <si>
    <t>-521.153480770173 129.79230336227 -357.624339523705</t>
  </si>
  <si>
    <t>-533.826339888811 118.307600022932 -477.616258684818</t>
  </si>
  <si>
    <t>-535.019743359076 105.818687432751 -586.416427023549</t>
  </si>
  <si>
    <t>-526.060853290181 91.2419960713819 -694.592530653713</t>
  </si>
  <si>
    <t>-503.101039009195 68.8072099884946 -843.486976297687</t>
  </si>
  <si>
    <t>-454.05720863174 54.7024958375434 -931.684158331378</t>
  </si>
  <si>
    <t>-504.707009182041 109.180713099769 -780.874565936199</t>
  </si>
  <si>
    <t>-467.93368537111 250.841603878792 -766.57901495661</t>
  </si>
  <si>
    <t>-381.921900449614 300.414571743953 -466.028426170496</t>
  </si>
  <si>
    <t>-188.569216183332 227.871828782956 -307.932417887276</t>
  </si>
  <si>
    <t>-521.813070959911 48.2870343126205 -774.337152007227</t>
  </si>
  <si>
    <t>-462.869037921039 231.584003096594 -254.360982836197</t>
  </si>
  <si>
    <t>-469.489224695765 214.575166912487 200.968209541328</t>
  </si>
  <si>
    <t>-496.943489752933 164.627800548392 667.308602926641</t>
  </si>
  <si>
    <t>-347.617691665047 154.528107578699 759.738642647841</t>
  </si>
  <si>
    <t>-504.649841035427 40.9824846536181 -230.197254421291</t>
  </si>
  <si>
    <t>-425.398526754008 -8.47690054616341 215.819096523678</t>
  </si>
  <si>
    <t>-592.421091621427 -118.507405196054 641.074388983789</t>
  </si>
  <si>
    <t>-439.969883347192 -148.886598145486 723.410628049103</t>
  </si>
  <si>
    <t>9763-20170724T164305.627581500.bin</t>
  </si>
  <si>
    <t>-483.655694487452 136.510396460769 -242.606815312927</t>
  </si>
  <si>
    <t>-520.959937182681 130.098875316653 -357.650682448795</t>
  </si>
  <si>
    <t>-533.61888959702 118.614198272403 -477.644065635814</t>
  </si>
  <si>
    <t>-534.800214476776 106.117495341327 -586.443366220596</t>
  </si>
  <si>
    <t>-525.829656682082 91.5259680122398 -694.616583023502</t>
  </si>
  <si>
    <t>-502.853936579683 69.0641107601953 -843.504447987914</t>
  </si>
  <si>
    <t>-453.788185723167 54.9596043608192 -931.689449846299</t>
  </si>
  <si>
    <t>-504.469680290682 109.449817537447 -780.900180170838</t>
  </si>
  <si>
    <t>-467.859856943325 251.159381014183 -766.742445337916</t>
  </si>
  <si>
    <t>-382.190935489862 301.150504407031 -466.163204296409</t>
  </si>
  <si>
    <t>-189.028287538989 228.775556609983 -307.758343757998</t>
  </si>
  <si>
    <t>-521.570317310244 48.5556917607891 -774.352315123538</t>
  </si>
  <si>
    <t>-462.739349950827 231.755289255731 -254.353323653013</t>
  </si>
  <si>
    <t>-469.431486719618 214.448063956802 200.963430201258</t>
  </si>
  <si>
    <t>-496.883131035375 164.352758606301 667.305946081386</t>
  </si>
  <si>
    <t>-347.484259750676 155.096533531152 759.70623802211</t>
  </si>
  <si>
    <t>-504.471536312279 41.364747271126 -230.238108203923</t>
  </si>
  <si>
    <t>-425.439352661752 -8.1824036313616 215.80753015766</t>
  </si>
  <si>
    <t>-592.335963070376 -118.525840707186 640.972470059931</t>
  </si>
  <si>
    <t>-439.883646880767 -148.729622698761 723.371018974882</t>
  </si>
  <si>
    <t>9763-20170724T164305.686720300.bin</t>
  </si>
  <si>
    <t>-484.015197596945 137.048638602708 -242.605438162817</t>
  </si>
  <si>
    <t>-521.047936366455 130.739388267636 -357.742661626669</t>
  </si>
  <si>
    <t>-533.601716495342 119.208982897412 -477.742757624092</t>
  </si>
  <si>
    <t>-534.760737975903 106.609011113886 -586.530419850539</t>
  </si>
  <si>
    <t>-525.842028789583 91.8515784027638 -694.685434521139</t>
  </si>
  <si>
    <t>-503.015569243225 69.0930382224413 -843.551188955455</t>
  </si>
  <si>
    <t>-453.848334865712 54.8785408040909 -931.662032544575</t>
  </si>
  <si>
    <t>-504.511424978592 109.58858928917 -781.01488244228</t>
  </si>
  <si>
    <t>-468.52813961776 251.594261391874 -767.783156226738</t>
  </si>
  <si>
    <t>-385.677093357658 304.068322399806 -466.837398309232</t>
  </si>
  <si>
    <t>-193.818539830589 231.819694219984 -306.79827708143</t>
  </si>
  <si>
    <t>-521.719695647274 48.7374136590072 -774.350554257372</t>
  </si>
  <si>
    <t>-462.943889094373 232.107172236814 -254.044548825703</t>
  </si>
  <si>
    <t>-469.853553698347 214.427226698093 201.254755279631</t>
  </si>
  <si>
    <t>-497.719837393087 164.465485410058 668.079736551279</t>
  </si>
  <si>
    <t>-347.579133082275 154.924756517209 759.240260232978</t>
  </si>
  <si>
    <t>-504.954160225274 42.161760332525 -230.577554430536</t>
  </si>
  <si>
    <t>-426.17289947704 -7.23386292490705 215.529233827004</t>
  </si>
  <si>
    <t>-591.791476569905 -118.128048770422 640.618960580301</t>
  </si>
  <si>
    <t>-439.580458188757 -148.438111092643 723.423699989346</t>
  </si>
  <si>
    <t>9763-20170724T164305.721820100.bin</t>
  </si>
  <si>
    <t>-484.492807421273 137.015793017241 -242.436198459231</t>
  </si>
  <si>
    <t>-521.494669966972 130.796190709792 -357.588174349932</t>
  </si>
  <si>
    <t>-534.060915199302 119.21322229808 -477.581908721907</t>
  </si>
  <si>
    <t>-535.25055783243 106.50678720474 -586.356738378213</t>
  </si>
  <si>
    <t>-526.382290265979 91.5837714169093 -694.49324140488</t>
  </si>
  <si>
    <t>-503.647132837311 68.5336344813476 -843.32816056214</t>
  </si>
  <si>
    <t>-454.362426351119 54.2432495694785 -931.361105496491</t>
  </si>
  <si>
    <t>-505.038063974828 109.13409307422 -780.857461441852</t>
  </si>
  <si>
    <t>-469.300729946993 251.189375746866 -767.965102309686</t>
  </si>
  <si>
    <t>-389.17523434286 305.562195674279 -466.618700234604</t>
  </si>
  <si>
    <t>-199.645239935004 230.712061273475 -305.008362024626</t>
  </si>
  <si>
    <t>-522.375310889496 48.331081446751 -774.089125021845</t>
  </si>
  <si>
    <t>-463.441330651702 231.894778327602 -253.579808366741</t>
  </si>
  <si>
    <t>-470.427232562416 214.146713606118 201.715575370337</t>
  </si>
  <si>
    <t>-498.440314938436 164.339572813253 668.70526058577</t>
  </si>
  <si>
    <t>-347.582021264832 155.414221461137 758.736532842705</t>
  </si>
  <si>
    <t>-505.517789980335 42.1808430813368 -230.628396556626</t>
  </si>
  <si>
    <t>-426.913088962233 -6.68684053515807 215.567707355097</t>
  </si>
  <si>
    <t>-591.428622643982 -118.000437963947 640.749661513086</t>
  </si>
  <si>
    <t>-439.308440211902 -148.03026522248 723.822945784992</t>
  </si>
  <si>
    <t>9763-20170724T164305.789000400.bin</t>
  </si>
  <si>
    <t>-485.186408058218 136.222336212172 -242.336511150957</t>
  </si>
  <si>
    <t>-521.782317035815 130.130161956109 -357.625031676426</t>
  </si>
  <si>
    <t>-533.979053769635 118.561941780684 -477.658184396135</t>
  </si>
  <si>
    <t>-534.855744489183 105.822540061248 -586.432270456716</t>
  </si>
  <si>
    <t>-525.699091408732 90.8208849260701 -694.533800678927</t>
  </si>
  <si>
    <t>-502.591049664707 67.6141470127618 -843.286901399586</t>
  </si>
  <si>
    <t>-452.767331826824 53.5783182300116 -931.056914011527</t>
  </si>
  <si>
    <t>-504.058421556832 108.259140432216 -780.846996450361</t>
  </si>
  <si>
    <t>-468.728893647982 250.443198805821 -768.150017419232</t>
  </si>
  <si>
    <t>-393.895519946339 308.095798109773 -466.053401257206</t>
  </si>
  <si>
    <t>-208.770305282142 228.184885477613 -301.782460859945</t>
  </si>
  <si>
    <t>-521.572815151358 47.50568837739 -774.089685676635</t>
  </si>
  <si>
    <t>-463.526589224148 231.049472309309 -253.366201734059</t>
  </si>
  <si>
    <t>-470.194544872055 213.402824576237 201.937894421676</t>
  </si>
  <si>
    <t>-498.506068398924 163.968716889824 668.631168774158</t>
  </si>
  <si>
    <t>-347.261161178143 155.832229049418 758.08674473549</t>
  </si>
  <si>
    <t>-506.445777796067 41.3661210772504 -230.876646851933</t>
  </si>
  <si>
    <t>-427.812255783543 -6.79955205526861 215.390626785405</t>
  </si>
  <si>
    <t>-590.52638090843 -118.152446954915 641.1101986392</t>
  </si>
  <si>
    <t>-438.614854618093 -147.031611607409 724.969457308142</t>
  </si>
  <si>
    <t>9763-20170724T164305.818971000.bin</t>
  </si>
  <si>
    <t>-485.052297076505 135.969388214895 -242.314740230026</t>
  </si>
  <si>
    <t>-521.796233502704 129.997634038174 -357.562418783132</t>
  </si>
  <si>
    <t>-533.961270746827 118.464914998302 -477.602310887811</t>
  </si>
  <si>
    <t>-534.734035037373 105.724999230361 -586.377083498523</t>
  </si>
  <si>
    <t>-525.399041880328 90.6917912792764 -694.458905772428</t>
  </si>
  <si>
    <t>-501.968199118492 67.4109420725442 -843.150000762543</t>
  </si>
  <si>
    <t>-451.82030016687 53.5542305052706 -930.763682640646</t>
  </si>
  <si>
    <t>-503.563264386807 108.084944939281 -780.732000118257</t>
  </si>
  <si>
    <t>-468.57173815857 250.371419041255 -768.106472410618</t>
  </si>
  <si>
    <t>-396.344757549531 308.480886602746 -465.4634479114</t>
  </si>
  <si>
    <t>-211.791552023207 228.102943564237 -300.777225653278</t>
  </si>
  <si>
    <t>-521.10793949406 47.3390103985948 -773.985666324947</t>
  </si>
  <si>
    <t>-463.366566290375 230.919714606431 -253.356163181978</t>
  </si>
  <si>
    <t>-469.746577422528 213.315954514073 201.953685496738</t>
  </si>
  <si>
    <t>-498.602445672611 164.29644948777 668.689558328295</t>
  </si>
  <si>
    <t>-347.369705520402 155.216602712198 758.07478623418</t>
  </si>
  <si>
    <t>-506.474420090013 41.103620340643 -230.751088616428</t>
  </si>
  <si>
    <t>-427.682146625867 -6.89099668527303 215.506645266552</t>
  </si>
  <si>
    <t>-590.294525181434 -118.064437450591 641.505070697055</t>
  </si>
  <si>
    <t>-438.541580889834 -147.033969921826 725.620150262459</t>
  </si>
  <si>
    <t>9763-20170724T164305.891163700.bin</t>
  </si>
  <si>
    <t>-485.10202536576 135.178252353323 -241.947794367721</t>
  </si>
  <si>
    <t>-521.665491618949 129.302324551031 -357.257755857927</t>
  </si>
  <si>
    <t>-533.583202594384 117.767774229218 -477.322251181604</t>
  </si>
  <si>
    <t>-534.107299651567 104.991578683871 -586.094197411523</t>
  </si>
  <si>
    <t>-524.500453410891 89.8913296819801 -694.143073778907</t>
  </si>
  <si>
    <t>-500.66943396967 66.4888756445352 -842.751348161757</t>
  </si>
  <si>
    <t>-449.874966437936 52.9718626486437 -930.045133432736</t>
  </si>
  <si>
    <t>-502.43045410702 107.213346237563 -780.370810990249</t>
  </si>
  <si>
    <t>-468.262430767918 249.699834209221 -767.833430953219</t>
  </si>
  <si>
    <t>-401.621326792321 309.638497672069 -464.267080957228</t>
  </si>
  <si>
    <t>-218.210762196298 225.368340945268 -300.251454851326</t>
  </si>
  <si>
    <t>-519.997385574622 46.4741039930639 -773.62276324783</t>
  </si>
  <si>
    <t>-463.210392632695 229.867064838039 -253.008721629948</t>
  </si>
  <si>
    <t>-469.576077368618 212.698671181595 202.317977679228</t>
  </si>
  <si>
    <t>-498.928550336615 164.519345518014 669.138456732423</t>
  </si>
  <si>
    <t>-347.382381059481 155.687300091632 758.016326370601</t>
  </si>
  <si>
    <t>-506.740284198305 40.6593497878767 -230.248337463472</t>
  </si>
  <si>
    <t>-427.860280999928 -7.67225998661155 215.957560150938</t>
  </si>
  <si>
    <t>-590.114532005044 -118.336406759372 642.447406850303</t>
  </si>
  <si>
    <t>-438.377077476547 -146.758846105938 726.776562328473</t>
  </si>
  <si>
    <t>9763-20170724T164305.921764500.bin</t>
  </si>
  <si>
    <t>-485.180017785574 134.887909593569 -241.710052259995</t>
  </si>
  <si>
    <t>-521.636855107549 129.073593965711 -357.056949729173</t>
  </si>
  <si>
    <t>-533.424062672994 117.55726730983 -477.13622453804</t>
  </si>
  <si>
    <t>-533.82126397175 104.783618328165 -585.909001552731</t>
  </si>
  <si>
    <t>-524.079413243785 89.6743439794498 -693.944414352508</t>
  </si>
  <si>
    <t>-500.053039883802 66.2497055911836 -842.517676084787</t>
  </si>
  <si>
    <t>-448.977561418555 52.9266538318107 -929.677198944335</t>
  </si>
  <si>
    <t>-501.918887231042 106.989594240714 -780.150224654827</t>
  </si>
  <si>
    <t>-468.145172249168 249.573897087239 -767.679405962816</t>
  </si>
  <si>
    <t>-405.195550932903 309.800355697831 -463.382874318891</t>
  </si>
  <si>
    <t>-222.336610166739 223.23171165712 -299.949318779519</t>
  </si>
  <si>
    <t>-519.449074990201 46.2391351906295 -773.406974617607</t>
  </si>
  <si>
    <t>-463.286413552375 229.517019636251 -252.765253511863</t>
  </si>
  <si>
    <t>-469.573097275266 212.470636540011 202.567130697542</t>
  </si>
  <si>
    <t>-499.070468078197 164.671299531987 669.330461491738</t>
  </si>
  <si>
    <t>-347.441761363026 155.688327643684 758.052222270871</t>
  </si>
  <si>
    <t>-506.870163570997 40.4524101338978 -230.006297647938</t>
  </si>
  <si>
    <t>-428.221773724308 -7.84704458272975 216.243929026276</t>
  </si>
  <si>
    <t>-590.162805505508 -118.167748433457 642.949034695445</t>
  </si>
  <si>
    <t>-438.455532727957 -146.89885373664 727.227976514833</t>
  </si>
  <si>
    <t>9763-20170724T164305.992944200.bin</t>
  </si>
  <si>
    <t>-485.547051889766 133.936462537637 -241.365798283718</t>
  </si>
  <si>
    <t>-522.022160684933 128.332941938975 -356.717386545766</t>
  </si>
  <si>
    <t>-533.632503699056 116.977164683927 -476.828997776386</t>
  </si>
  <si>
    <t>-533.786826653762 104.343220698793 -585.618681497054</t>
  </si>
  <si>
    <t>-523.718699071072 89.3776629463639 -693.644323063847</t>
  </si>
  <si>
    <t>-499.153533269769 66.1658147282384 -842.162921550509</t>
  </si>
  <si>
    <t>-447.542556683008 53.296142308477 -929.074628438373</t>
  </si>
  <si>
    <t>-501.37602644831 106.850733333566 -779.771158511568</t>
  </si>
  <si>
    <t>-468.55813805317 249.640906462395 -767.142698951266</t>
  </si>
  <si>
    <t>-413.521822776328 309.888091948723 -461.320005152273</t>
  </si>
  <si>
    <t>-231.768576696785 219.709697885172 -298.606529551372</t>
  </si>
  <si>
    <t>-518.669635781536 46.0218863658917 -773.124675546509</t>
  </si>
  <si>
    <t>-463.508972304976 228.441634818986 -252.414408496569</t>
  </si>
  <si>
    <t>-469.254471536624 211.749238642841 202.938257707513</t>
  </si>
  <si>
    <t>-498.987355879089 164.323197159585 669.553018485344</t>
  </si>
  <si>
    <t>-347.291629967037 156.045729603334 758.228819582012</t>
  </si>
  <si>
    <t>-507.495126102663 39.4884473849355 -229.650709488349</t>
  </si>
  <si>
    <t>-428.687547665113 -8.33581379519219 216.622612911301</t>
  </si>
  <si>
    <t>-590.227590163167 -118.397757887777 643.653788982791</t>
  </si>
  <si>
    <t>-438.32148047348 -146.465050397242 727.79822114107</t>
  </si>
  <si>
    <t>9763-20170724T164306.024043600.bin</t>
  </si>
  <si>
    <t>-485.790568959654 133.399084179467 -241.225471606635</t>
  </si>
  <si>
    <t>-522.321901433284 127.843787295273 -356.561549691614</t>
  </si>
  <si>
    <t>-533.899729744092 116.54203212954 -476.681480560558</t>
  </si>
  <si>
    <t>-533.985827138341 103.966403267923 -585.478026381186</t>
  </si>
  <si>
    <t>-523.810301241334 89.0731723341574 -693.503443853991</t>
  </si>
  <si>
    <t>-499.05509878691 65.9806846561349 -842.009115213161</t>
  </si>
  <si>
    <t>-447.238059161308 53.2893010241141 -928.824488913598</t>
  </si>
  <si>
    <t>-501.442761164387 106.637691150896 -779.605401204703</t>
  </si>
  <si>
    <t>-469.230181026231 249.570352725551 -766.981017377281</t>
  </si>
  <si>
    <t>-417.614777795732 309.521336890922 -460.504345804405</t>
  </si>
  <si>
    <t>-236.321154142354 218.21641065251 -297.906388590139</t>
  </si>
  <si>
    <t>-518.574227405492 45.7590890593015 -772.994525484334</t>
  </si>
  <si>
    <t>-463.71829167106 227.908163186479 -252.337379081966</t>
  </si>
  <si>
    <t>-469.07409783028 211.372486699391 203.025823892392</t>
  </si>
  <si>
    <t>-498.825707974074 164.084596405324 669.572323865386</t>
  </si>
  <si>
    <t>-347.151934471144 156.486659967014 758.346384109875</t>
  </si>
  <si>
    <t>-507.684800285864 38.954449719509 -229.526886303253</t>
  </si>
  <si>
    <t>-428.743396668302 -8.69765324235081 216.741222585799</t>
  </si>
  <si>
    <t>-590.223632458897 -118.87118690284 643.872320474512</t>
  </si>
  <si>
    <t>-438.207182707359 -146.486730260881 727.966825800539</t>
  </si>
  <si>
    <t>9763-20170724T164306.087210700.bin</t>
  </si>
  <si>
    <t>-486.504449591663 133.288801650339 -241.274808738356</t>
  </si>
  <si>
    <t>-523.280516787334 127.700653966845 -356.531401239877</t>
  </si>
  <si>
    <t>-534.916765726677 116.474221312477 -476.652717891004</t>
  </si>
  <si>
    <t>-534.973691841863 104.020082375538 -585.463389901688</t>
  </si>
  <si>
    <t>-524.685720493905 89.3066643591366 -693.502746460541</t>
  </si>
  <si>
    <t>-499.687356223128 66.5297537972703 -842.016432292173</t>
  </si>
  <si>
    <t>-447.551813385842 54.1892469949884 -928.691565824633</t>
  </si>
  <si>
    <t>-502.345972575452 107.097350432304 -779.565513071123</t>
  </si>
  <si>
    <t>-471.461660657232 250.303660876829 -766.873905871918</t>
  </si>
  <si>
    <t>-424.850434584942 310.30949599774 -459.60718885147</t>
  </si>
  <si>
    <t>-245.280542939182 216.504414849517 -296.520200583462</t>
  </si>
  <si>
    <t>-519.150760045257 46.1183240216623 -773.042041041541</t>
  </si>
  <si>
    <t>-464.646219993734 227.763367334807 -252.497643121655</t>
  </si>
  <si>
    <t>-469.143249353202 211.56123369379 202.886789589458</t>
  </si>
  <si>
    <t>-498.477482225455 164.521717578132 669.149127789982</t>
  </si>
  <si>
    <t>-347.31083598394 156.154910606442 758.715666428366</t>
  </si>
  <si>
    <t>-508.343920460175 38.9423512043073 -229.491952449236</t>
  </si>
  <si>
    <t>-429.5881754946 -8.6077276199024 216.819800965062</t>
  </si>
  <si>
    <t>-590.492983460854 -118.557509447358 644.265924956766</t>
  </si>
  <si>
    <t>-438.3223430309 -146.448617348821 727.989785260208</t>
  </si>
  <si>
    <t>9763-20170724T164306.121985100.bin</t>
  </si>
  <si>
    <t>-486.77054985819 133.072088938195 -241.61900507337</t>
  </si>
  <si>
    <t>-523.583660630398 127.515746882979 -356.865366223932</t>
  </si>
  <si>
    <t>-535.227566079279 116.368077806815 -476.993347557858</t>
  </si>
  <si>
    <t>-535.278095598554 104.00703284077 -585.814457485989</t>
  </si>
  <si>
    <t>-524.969603261829 89.4098648279904 -693.867754416601</t>
  </si>
  <si>
    <t>-499.927608315306 66.8200250754962 -842.402559905876</t>
  </si>
  <si>
    <t>-447.667791792654 54.6518859803329 -929.027230245123</t>
  </si>
  <si>
    <t>-502.676674608223 107.327130194009 -779.916335937467</t>
  </si>
  <si>
    <t>-472.361888771186 250.640719097385 -767.128762322945</t>
  </si>
  <si>
    <t>-428.281370896049 310.498738204417 -459.459911789536</t>
  </si>
  <si>
    <t>-249.752667203033 214.124775921832 -296.728099327277</t>
  </si>
  <si>
    <t>-519.339115340632 46.3035351215483 -773.444767031793</t>
  </si>
  <si>
    <t>-464.823258256185 227.585419574672 -252.950179460974</t>
  </si>
  <si>
    <t>-468.78191736586 211.451586547589 202.441692285455</t>
  </si>
  <si>
    <t>-497.846765764047 164.435252029294 668.684414571961</t>
  </si>
  <si>
    <t>-347.115337401721 156.027397031584 758.977617677586</t>
  </si>
  <si>
    <t>-508.531905488266 38.6588572316863 -229.870664593361</t>
  </si>
  <si>
    <t>-430.412048183475 -8.60308611614012 216.583464875637</t>
  </si>
  <si>
    <t>-590.7266626517 -118.635638506715 644.438712347963</t>
  </si>
  <si>
    <t>-438.311887596659 -146.191020702489 727.829164067943</t>
  </si>
  <si>
    <t>9763-20170724T164306.186156100.bin</t>
  </si>
  <si>
    <t>-487.652025875417 132.959458861855 -242.091956562398</t>
  </si>
  <si>
    <t>-524.750195159671 127.706684560809 -357.261054041932</t>
  </si>
  <si>
    <t>-536.510067512133 116.806891321043 -477.400442350065</t>
  </si>
  <si>
    <t>-536.587864585525 104.665265030111 -586.246360229728</t>
  </si>
  <si>
    <t>-526.226172614353 90.2944885175345 -694.324881252578</t>
  </si>
  <si>
    <t>-501.02539281545 68.037092895203 -842.883003084298</t>
  </si>
  <si>
    <t>-448.560250592543 56.2119333212949 -929.430974124147</t>
  </si>
  <si>
    <t>-503.99517821712 108.442545271764 -780.341133684385</t>
  </si>
  <si>
    <t>-474.501313310872 251.908604986593 -767.281058178807</t>
  </si>
  <si>
    <t>-435.765540438464 310.838087267881 -458.715023632448</t>
  </si>
  <si>
    <t>-258.897119345459 209.098447762821 -297.4430435031</t>
  </si>
  <si>
    <t>-520.356785288487 47.3280747835812 -773.96033046533</t>
  </si>
  <si>
    <t>-465.660446270974 227.443156428998 -253.138600977278</t>
  </si>
  <si>
    <t>-468.745541552977 211.242480678333 202.25761133752</t>
  </si>
  <si>
    <t>-497.846076980059 164.06044698838 668.907135896825</t>
  </si>
  <si>
    <t>-347.159643602312 155.765956895016 759.285910510435</t>
  </si>
  <si>
    <t>-509.729310866373 38.4889813243609 -230.357448179662</t>
  </si>
  <si>
    <t>-431.997293054792 -8.72243239988049 216.16972385887</t>
  </si>
  <si>
    <t>-591.179316625494 -118.393625834971 644.63508485765</t>
  </si>
  <si>
    <t>-438.516922044992 -146.290731669987 727.456969431702</t>
  </si>
  <si>
    <t>9763-20170724T164306.222262300.bin</t>
  </si>
  <si>
    <t>-488.14357420652 132.933691808744 -242.146238498606</t>
  </si>
  <si>
    <t>-525.3439391751 127.820168671574 -357.288651124261</t>
  </si>
  <si>
    <t>-537.167703447102 117.006310986045 -477.429615303058</t>
  </si>
  <si>
    <t>-537.283670823657 104.93199845741 -586.28292920238</t>
  </si>
  <si>
    <t>-526.938701049145 90.6251293609959 -694.371589618168</t>
  </si>
  <si>
    <t>-501.737214008085 68.4597666911112 -842.943223556703</t>
  </si>
  <si>
    <t>-449.182110245243 56.7539613426726 -929.453022196132</t>
  </si>
  <si>
    <t>-504.763215370465 108.840213605855 -780.387905270164</t>
  </si>
  <si>
    <t>-475.539039687712 252.369030211508 -767.242841877572</t>
  </si>
  <si>
    <t>-438.969723616369 310.733255715199 -458.305068319096</t>
  </si>
  <si>
    <t>-262.751500854574 206.404310499423 -297.978366965453</t>
  </si>
  <si>
    <t>-521.012973754796 47.6943322596624 -774.021972904362</t>
  </si>
  <si>
    <t>-466.078148183748 227.515227207941 -253.060275742718</t>
  </si>
  <si>
    <t>-468.833205227958 211.340243318047 202.338927486785</t>
  </si>
  <si>
    <t>-498.057364537953 164.3107183835 669.007711867816</t>
  </si>
  <si>
    <t>-347.325046843201 155.37147730374 759.248330830774</t>
  </si>
  <si>
    <t>-510.169040777468 38.3264792060876 -230.512285133599</t>
  </si>
  <si>
    <t>-432.594065148976 -8.74454963701751 216.056961572934</t>
  </si>
  <si>
    <t>-591.32757210743 -118.30938745632 644.706660821266</t>
  </si>
  <si>
    <t>-438.67452794771 -146.833584924832 727.331913957685</t>
  </si>
  <si>
    <t>9763-20170724T164306.292444700.bin</t>
  </si>
  <si>
    <t>-488.519392731616 132.64062762577 -241.997417545472</t>
  </si>
  <si>
    <t>-525.869565393366 127.656681075316 -357.097072443451</t>
  </si>
  <si>
    <t>-537.834054431029 116.967642560975 -477.235189012215</t>
  </si>
  <si>
    <t>-538.068471547371 105.01587585247 -586.101895155787</t>
  </si>
  <si>
    <t>-527.8300109931 90.8488162154526 -694.219081686285</t>
  </si>
  <si>
    <t>-502.761543411348 68.9023889253037 -842.845905087724</t>
  </si>
  <si>
    <t>-450.085529700929 57.4067624510054 -929.310078028852</t>
  </si>
  <si>
    <t>-505.757397100292 109.196893521713 -780.233461042076</t>
  </si>
  <si>
    <t>-476.770754366474 252.737141631847 -766.901625692257</t>
  </si>
  <si>
    <t>-443.747088863387 311.16663352818 -457.577273765131</t>
  </si>
  <si>
    <t>-268.265981122213 203.453529760444 -298.686326496519</t>
  </si>
  <si>
    <t>-521.949751842926 48.0290739737652 -773.932655325692</t>
  </si>
  <si>
    <t>-466.215734649764 227.290498673373 -252.847039106307</t>
  </si>
  <si>
    <t>-468.575494435524 211.127076835851 202.554746930261</t>
  </si>
  <si>
    <t>-498.381650123944 164.373482772641 669.206158702109</t>
  </si>
  <si>
    <t>-347.479801236203 154.988736438341 759.117487758168</t>
  </si>
  <si>
    <t>-510.569089312654 38.0482677942746 -230.43439500017</t>
  </si>
  <si>
    <t>-433.142265847491 -9.52667644865565 216.107184258485</t>
  </si>
  <si>
    <t>-591.494952755608 -118.486545979348 644.914447098262</t>
  </si>
  <si>
    <t>-438.458526128426 -145.887528760691 727.209994038698</t>
  </si>
  <si>
    <t>9763-20170724T164306.323414700.bin</t>
  </si>
  <si>
    <t>-488.620508933219 132.716825818742 -241.8700811388</t>
  </si>
  <si>
    <t>-526.12854430523 127.800059218959 -356.921324900796</t>
  </si>
  <si>
    <t>-538.199250698525 117.187217114244 -477.055513014654</t>
  </si>
  <si>
    <t>-538.505542682952 105.310242527159 -585.930208375163</t>
  </si>
  <si>
    <t>-528.313754916159 91.2255648755348 -694.062559089027</t>
  </si>
  <si>
    <t>-503.283316993144 69.4030120016854 -842.713925564434</t>
  </si>
  <si>
    <t>-450.565207904082 58.0007045168036 -929.164986544887</t>
  </si>
  <si>
    <t>-506.250376135061 109.642210896305 -780.064727552072</t>
  </si>
  <si>
    <t>-477.131819438134 253.127846706286 -766.460649882933</t>
  </si>
  <si>
    <t>-445.351269599959 312.617280075892 -457.207928169188</t>
  </si>
  <si>
    <t>-270.12581611629 203.640780676586 -298.897519176629</t>
  </si>
  <si>
    <t>-522.466648083067 48.4753749506042 -773.815892381816</t>
  </si>
  <si>
    <t>-466.268844790961 227.393001364549 -252.719028862801</t>
  </si>
  <si>
    <t>-468.489811197298 211.189617282745 202.682181846933</t>
  </si>
  <si>
    <t>-498.565138771185 164.48276728734 669.336604235933</t>
  </si>
  <si>
    <t>-347.6127150141 154.489456067764 759.097448647404</t>
  </si>
  <si>
    <t>-510.807415178352 38.1378702050256 -230.283408932343</t>
  </si>
  <si>
    <t>-433.141378900761 -9.40689416346414 216.219873583474</t>
  </si>
  <si>
    <t>-591.569309062461 -118.071474800049 644.986146970321</t>
  </si>
  <si>
    <t>-438.645033376254 -146.236788941552 727.231936693006</t>
  </si>
  <si>
    <t>9763-20170724T164306.389583700.bin</t>
  </si>
  <si>
    <t>-488.804315443188 132.557585089249 -242.057887815506</t>
  </si>
  <si>
    <t>-526.636772573361 127.749167214033 -357.007399556076</t>
  </si>
  <si>
    <t>-538.842385916018 117.316475994903 -477.143837371645</t>
  </si>
  <si>
    <t>-539.187585932243 105.633625520063 -586.039261911492</t>
  </si>
  <si>
    <t>-528.950454521512 91.7763405519637 -694.196831013226</t>
  </si>
  <si>
    <t>-503.769891202403 70.3063950335164 -842.87426928136</t>
  </si>
  <si>
    <t>-450.871281334668 59.270708873707 -929.262513681153</t>
  </si>
  <si>
    <t>-506.775011898778 110.390669283093 -780.127590295437</t>
  </si>
  <si>
    <t>-477.471320576494 253.813432513961 -766.130380614774</t>
  </si>
  <si>
    <t>-448.210346349476 313.969981612216 -456.758131618079</t>
  </si>
  <si>
    <t>-273.415049509582 208.137454602806 -295.860311300019</t>
  </si>
  <si>
    <t>-523.048057266677 49.2216373572343 -774.05058150163</t>
  </si>
  <si>
    <t>-466.1648931015 227.376097608738 -253.056658366511</t>
  </si>
  <si>
    <t>-468.053329345445 210.977080057325 202.338991661939</t>
  </si>
  <si>
    <t>-497.986920900919 164.520514367433 668.582948878886</t>
  </si>
  <si>
    <t>-347.591748313263 154.474161175175 759.268505748811</t>
  </si>
  <si>
    <t>-511.333491417286 37.7079658034366 -230.439697156244</t>
  </si>
  <si>
    <t>-433.56816653403 -9.42346815356629 216.090101082566</t>
  </si>
  <si>
    <t>-591.653193160156 -118.136149559093 645.073358314096</t>
  </si>
  <si>
    <t>-438.493768628205 -145.713878495284 727.080452450199</t>
  </si>
  <si>
    <t>9763-20170724T164306.422651000.bin</t>
  </si>
  <si>
    <t>-488.70664907962 132.439646603093 -242.336261337107</t>
  </si>
  <si>
    <t>-526.456567743754 127.767574717094 -357.31849899412</t>
  </si>
  <si>
    <t>-538.564804561395 117.487169780762 -477.477940581592</t>
  </si>
  <si>
    <t>-538.815626266205 105.953275719542 -586.389707237451</t>
  </si>
  <si>
    <t>-528.477664210157 92.2594384268461 -694.558210802617</t>
  </si>
  <si>
    <t>-503.15043916147 71.0346920024864 -843.246026558931</t>
  </si>
  <si>
    <t>-450.083558093555 60.2450094394813 -929.562095624654</t>
  </si>
  <si>
    <t>-506.215484534293 111.014953222236 -780.435945331327</t>
  </si>
  <si>
    <t>-476.846576084771 254.37632329368 -766.110115351769</t>
  </si>
  <si>
    <t>-448.260889226419 314.213236197593 -456.612876348375</t>
  </si>
  <si>
    <t>-273.491010218905 211.403821860156 -293.739357225841</t>
  </si>
  <si>
    <t>-522.498508450661 49.8369584536098 -774.476640421393</t>
  </si>
  <si>
    <t>-465.730703327006 227.301565679497 -253.365200224519</t>
  </si>
  <si>
    <t>-467.516073557107 210.880940990925 202.030002794767</t>
  </si>
  <si>
    <t>-497.787357624782 164.609403393736 668.441628561184</t>
  </si>
  <si>
    <t>-347.62303899445 154.231329138993 759.471810265763</t>
  </si>
  <si>
    <t>-511.322829050959 37.6125654511647 -230.784368740599</t>
  </si>
  <si>
    <t>-434.016511572193 -9.58414215039372 215.818287712042</t>
  </si>
  <si>
    <t>-591.784520014141 -117.953989168116 645.120570554339</t>
  </si>
  <si>
    <t>-438.595719688906 -145.75166153611 726.998474979562</t>
  </si>
  <si>
    <t>9763-20170724T164306.488825600.bin</t>
  </si>
  <si>
    <t>-488.632898725546 132.486154439644 -242.732297417503</t>
  </si>
  <si>
    <t>-526.440015487679 128.318650357028 -357.715201732843</t>
  </si>
  <si>
    <t>-538.378424762298 118.546226744879 -477.93390914858</t>
  </si>
  <si>
    <t>-538.378548002718 107.486006051612 -586.895078357816</t>
  </si>
  <si>
    <t>-527.692493356104 94.2893606147185 -695.091670306782</t>
  </si>
  <si>
    <t>-501.781501606858 73.7887064980958 -843.780417936745</t>
  </si>
  <si>
    <t>-448.242769643046 63.6467909980124 -929.883448298093</t>
  </si>
  <si>
    <t>-505.118348395694 113.468848706712 -780.794066314468</t>
  </si>
  <si>
    <t>-475.716940459645 256.746600296316 -765.438687458808</t>
  </si>
  <si>
    <t>-446.529151882284 314.694037618232 -455.63815461558</t>
  </si>
  <si>
    <t>-274.803053851037 222.028316154739 -283.69271569174</t>
  </si>
  <si>
    <t>-521.374239198443 52.2503684922139 -775.186358539148</t>
  </si>
  <si>
    <t>-465.291926763342 227.351562778566 -253.477054008586</t>
  </si>
  <si>
    <t>-466.624184158209 210.609809966235 201.908017400878</t>
  </si>
  <si>
    <t>-497.661853539156 164.269553715523 668.346924149847</t>
  </si>
  <si>
    <t>-347.722481763272 153.67297329205 759.72202498279</t>
  </si>
  <si>
    <t>-511.888778315658 37.7780074609333 -231.246604568825</t>
  </si>
  <si>
    <t>-434.563245808924 -10.5388740819281 215.232871188759</t>
  </si>
  <si>
    <t>-591.981606578342 -118.01867282722 645.106585530217</t>
  </si>
  <si>
    <t>-438.858466517454 -146.5546701654 726.853242701462</t>
  </si>
  <si>
    <t>9763-20170724T164306.527519000.bin</t>
  </si>
  <si>
    <t>-488.621726449845 132.288592724322 -242.799096502862</t>
  </si>
  <si>
    <t>-526.421367419964 128.402915865229 -357.794273673834</t>
  </si>
  <si>
    <t>-538.199279971684 118.922142148423 -478.052222371681</t>
  </si>
  <si>
    <t>-537.990641815114 108.133303913771 -587.040384650035</t>
  </si>
  <si>
    <t>-527.033236967889 95.2189887330734 -695.243942602687</t>
  </si>
  <si>
    <t>-500.682078599601 75.1251746733536 -843.910840681195</t>
  </si>
  <si>
    <t>-446.822458965641 65.318991909699 -929.852451514549</t>
  </si>
  <si>
    <t>-504.18086147946 114.626753809421 -780.821125086599</t>
  </si>
  <si>
    <t>-474.478844670793 257.736652408915 -764.687993910139</t>
  </si>
  <si>
    <t>-443.558901094074 314.878027615012 -454.905827767894</t>
  </si>
  <si>
    <t>-274.878852521083 228.6797264642 -276.695436950317</t>
  </si>
  <si>
    <t>-520.502389820059 53.4054750528547 -775.439412040499</t>
  </si>
  <si>
    <t>-464.957472496179 227.14373350886 -253.408647867056</t>
  </si>
  <si>
    <t>-466.123125813427 210.428491351556 201.977896574778</t>
  </si>
  <si>
    <t>-497.707623315546 164.190293752013 668.420620900353</t>
  </si>
  <si>
    <t>-347.781063938906 153.50176471437 759.805909149265</t>
  </si>
  <si>
    <t>-512.128095154559 37.454890020657 -231.411732166254</t>
  </si>
  <si>
    <t>-434.670491100258 -11.1132307208644 215.017640447567</t>
  </si>
  <si>
    <t>-592.053822674838 -118.29673589814 645.045917813815</t>
  </si>
  <si>
    <t>-438.910209600786 -146.692752325419 726.803008649439</t>
  </si>
  <si>
    <t>9763-20170724T164306.589684600.bin</t>
  </si>
  <si>
    <t>-488.334029241862 131.971957278159 -242.876011184118</t>
  </si>
  <si>
    <t>-526.180563570947 128.54919985159 -357.870526361554</t>
  </si>
  <si>
    <t>-537.425105965354 119.785218253646 -478.233643166327</t>
  </si>
  <si>
    <t>-536.497488555078 109.741985601173 -587.289322108328</t>
  </si>
  <si>
    <t>-524.5908965702 97.6695812668945 -695.489785674224</t>
  </si>
  <si>
    <t>-496.691149274611 78.8450244116491 -844.040181744093</t>
  </si>
  <si>
    <t>-441.91636588208 70.0265580184787 -929.509205128182</t>
  </si>
  <si>
    <t>-500.695499347384 117.767541328283 -780.621763976321</t>
  </si>
  <si>
    <t>-469.927148753636 260.416017829174 -762.521976292668</t>
  </si>
  <si>
    <t>-435.208614621975 313.607460703608 -452.439017939419</t>
  </si>
  <si>
    <t>-269.25593916198 243.631385468869 -264.808857624749</t>
  </si>
  <si>
    <t>-517.376426906942 56.5810330379235 -776.001015103676</t>
  </si>
  <si>
    <t>-464.052745998603 226.7961816302 -253.410761585763</t>
  </si>
  <si>
    <t>-464.898749163807 210.09327410865 201.976897031229</t>
  </si>
  <si>
    <t>-497.450186976867 163.992155539419 668.140004646452</t>
  </si>
  <si>
    <t>-347.872203754505 152.466128339451 759.993623836927</t>
  </si>
  <si>
    <t>-512.393677131826 37.1141645003063 -231.645033222008</t>
  </si>
  <si>
    <t>-434.483282797041 -12.1546199782509 214.628680826078</t>
  </si>
  <si>
    <t>-592.218376405588 -118.354327503512 644.791010353862</t>
  </si>
  <si>
    <t>-439.095330124456 -146.826720574416 726.560126679257</t>
  </si>
  <si>
    <t>9763-20170724T164306.620770700.bin</t>
  </si>
  <si>
    <t>-488.158531182784 131.662275712353 -242.914658931195</t>
  </si>
  <si>
    <t>-526.153104239663 128.523986179755 -357.868426714114</t>
  </si>
  <si>
    <t>-537.091949765127 120.235260688546 -478.2935362518</t>
  </si>
  <si>
    <t>-535.701080601111 110.696264531679 -587.389441274706</t>
  </si>
  <si>
    <t>-523.148584998261 99.2022472340635 -695.579920814649</t>
  </si>
  <si>
    <t>-494.169162037823 81.2587116734807 -844.03279267462</t>
  </si>
  <si>
    <t>-438.824654095427 73.0705679316001 -929.196836685309</t>
  </si>
  <si>
    <t>-498.555792626099 119.783837736802 -780.397047848072</t>
  </si>
  <si>
    <t>-467.542198613413 262.211497410189 -761.030976710032</t>
  </si>
  <si>
    <t>-429.368864869848 313.30190887018 -451.000707987086</t>
  </si>
  <si>
    <t>-263.174713640002 251.969499828758 -260.580430087584</t>
  </si>
  <si>
    <t>-515.427481509084 58.6125128277403 -776.296849119171</t>
  </si>
  <si>
    <t>-463.487851240661 226.299763370404 -253.370975454137</t>
  </si>
  <si>
    <t>-464.07976660896 209.635427394714 202.018531389646</t>
  </si>
  <si>
    <t>-497.368402583444 163.544401063496 668.20138673849</t>
  </si>
  <si>
    <t>-347.697435163232 153.382990109754 760.064716787965</t>
  </si>
  <si>
    <t>-512.702949451422 36.9864579667972 -231.699957965502</t>
  </si>
  <si>
    <t>-434.125629796315 -12.720738771334 214.408122767817</t>
  </si>
  <si>
    <t>-592.28006675941 -118.372335805056 644.568670076483</t>
  </si>
  <si>
    <t>-439.304569882179 -147.382983443178 726.424484483349</t>
  </si>
  <si>
    <t>9763-20170724T164306.689960500.bin</t>
  </si>
  <si>
    <t>-488.053934234234 131.080090439193 -243.002884847959</t>
  </si>
  <si>
    <t>-526.058517131373 128.448337802032 -357.966041650404</t>
  </si>
  <si>
    <t>-536.077745062812 121.208976194555 -478.538705345216</t>
  </si>
  <si>
    <t>-533.479130503224 112.824201845956 -587.707310528199</t>
  </si>
  <si>
    <t>-519.356028826446 102.682667560587 -695.839315002582</t>
  </si>
  <si>
    <t>-487.8362623986 86.8181355621525 -844.010913911345</t>
  </si>
  <si>
    <t>-431.153577203313 80.0085532351247 -928.412931786278</t>
  </si>
  <si>
    <t>-493.194614856578 124.415445630513 -779.896673137256</t>
  </si>
  <si>
    <t>-462.092754035622 266.429466893461 -757.705480003243</t>
  </si>
  <si>
    <t>-414.761940532887 315.804815885756 -448.661734220384</t>
  </si>
  <si>
    <t>-248.848669603272 271.352304977941 -253.370134036529</t>
  </si>
  <si>
    <t>-510.370967999908 63.2599453908968 -777.002650617489</t>
  </si>
  <si>
    <t>-462.829063588145 225.60672526511 -253.160082800164</t>
  </si>
  <si>
    <t>-462.654251777989 209.162768388291 202.2378779911</t>
  </si>
  <si>
    <t>-497.486323098864 163.207164692194 668.333255939754</t>
  </si>
  <si>
    <t>-347.910537405596 151.822989330339 760.208170549685</t>
  </si>
  <si>
    <t>-513.014504253208 36.5519717834864 -232.148923254814</t>
  </si>
  <si>
    <t>-434.057037785922 -14.0548564368434 213.790917877703</t>
  </si>
  <si>
    <t>-592.468947425962 -118.456216419059 644.267374690997</t>
  </si>
  <si>
    <t>-439.698438834145 -148.229219179633 726.23231312631</t>
  </si>
  <si>
    <t>9763-20170724T164306.719596500.bin</t>
  </si>
  <si>
    <t>-488.267035103974 130.352125895974 -243.126972731202</t>
  </si>
  <si>
    <t>-526.128409781122 127.977688117245 -358.14295680117</t>
  </si>
  <si>
    <t>-535.485117271523 121.33653630047 -478.803224135728</t>
  </si>
  <si>
    <t>-532.081177180835 113.615385471557 -587.998697997091</t>
  </si>
  <si>
    <t>-516.957129260574 104.251286168794 -696.065530287027</t>
  </si>
  <si>
    <t>-483.856237173318 89.5774203258476 -844.014891904799</t>
  </si>
  <si>
    <t>-426.366342528362 83.4964824252788 -927.925062034755</t>
  </si>
  <si>
    <t>-489.818772371515 126.63580995784 -779.640714651041</t>
  </si>
  <si>
    <t>-458.464270750038 268.315731803575 -755.845710329756</t>
  </si>
  <si>
    <t>-405.586590685411 317.932324772139 -447.741359845949</t>
  </si>
  <si>
    <t>-242.607284730609 283.736798386452 -247.965319904597</t>
  </si>
  <si>
    <t>-507.18593947415 65.5044934254407 -777.463072189062</t>
  </si>
  <si>
    <t>-462.800162727984 224.788646240557 -253.051562764621</t>
  </si>
  <si>
    <t>-462.17815827276 208.619109249911 202.355839913804</t>
  </si>
  <si>
    <t>-497.653276047631 162.912825270047 668.461155998882</t>
  </si>
  <si>
    <t>-347.945297934094 152.162220721113 760.197005940562</t>
  </si>
  <si>
    <t>-513.507478107395 35.9067887001997 -232.497213490637</t>
  </si>
  <si>
    <t>-434.350922832434 -14.9984923738977 213.373313617484</t>
  </si>
  <si>
    <t>-592.517865262078 -118.414690500548 644.088799956699</t>
  </si>
  <si>
    <t>-439.885220513091 -148.391668632128 726.23600916364</t>
  </si>
  <si>
    <t>9763-20170724T164306.793794500.bin</t>
  </si>
  <si>
    <t>-489.545984491559 127.70470613648 -243.295432577957</t>
  </si>
  <si>
    <t>-527.022679232853 126.130537955586 -358.450997725787</t>
  </si>
  <si>
    <t>-534.703656413766 120.921916861502 -479.299847407383</t>
  </si>
  <si>
    <t>-529.274792032817 114.706927955738 -588.50962165304</t>
  </si>
  <si>
    <t>-511.644845888217 107.034844593915 -696.329737196858</t>
  </si>
  <si>
    <t>-474.599635196077 94.8826865205948 -843.570921883506</t>
  </si>
  <si>
    <t>-415.215493997129 90.260350124258 -926.245860941037</t>
  </si>
  <si>
    <t>-482.015009694038 130.759035815129 -778.680080606042</t>
  </si>
  <si>
    <t>-449.912214601906 271.585864334097 -751.074802210652</t>
  </si>
  <si>
    <t>-384.117763226206 321.838937527021 -445.572082825097</t>
  </si>
  <si>
    <t>-233.628778960302 320.698754775683 -233.454642900211</t>
  </si>
  <si>
    <t>-499.967085330969 69.7602695441649 -778.16241660326</t>
  </si>
  <si>
    <t>-463.623990085753 222.229641207151 -252.490152137158</t>
  </si>
  <si>
    <t>-462.175748435238 206.778531656292 202.940240265469</t>
  </si>
  <si>
    <t>-498.459041012156 162.682026274502 669.323860900259</t>
  </si>
  <si>
    <t>-348.158695391807 152.28016436393 760.126533535234</t>
  </si>
  <si>
    <t>-515.318170451391 33.1129970796116 -233.327673060047</t>
  </si>
  <si>
    <t>-435.678160366309 -18.0027412269289 212.432681740601</t>
  </si>
  <si>
    <t>-592.587309241779 -119.394444930711 644.064469832832</t>
  </si>
  <si>
    <t>-440.058939780901 -149.014447980318 726.534198723599</t>
  </si>
  <si>
    <t>9763-20170724T164306.818863500.bin</t>
  </si>
  <si>
    <t>-490.846295567011 125.804330533229 -243.157297466192</t>
  </si>
  <si>
    <t>-527.840419632998 124.61047280526 -358.473408321411</t>
  </si>
  <si>
    <t>-534.29188278545 120.209413912991 -479.426231877024</t>
  </si>
  <si>
    <t>-527.463516560123 114.863841132517 -588.603256015466</t>
  </si>
  <si>
    <t>-508.167858004884 108.180472246465 -696.203802737045</t>
  </si>
  <si>
    <t>-468.557590807617 97.5086120992375 -842.891060406123</t>
  </si>
  <si>
    <t>-408.012349823028 93.6735331976317 -924.760136348976</t>
  </si>
  <si>
    <t>-476.874835031658 132.660283079934 -777.713616577067</t>
  </si>
  <si>
    <t>-444.065286560378 272.887609898183 -747.963611818297</t>
  </si>
  <si>
    <t>-371.459867325432 323.832908149473 -444.122821497334</t>
  </si>
  <si>
    <t>-227.647262385722 342.253061944613 -228.204612759921</t>
  </si>
  <si>
    <t>-495.293000336173 71.8008950895488 -778.259484787681</t>
  </si>
  <si>
    <t>-464.632616986422 220.137070867025 -251.896039058548</t>
  </si>
  <si>
    <t>-463.191823081261 205.426448644197 203.558994610252</t>
  </si>
  <si>
    <t>-499.315103454294 161.992364010692 670.22854321007</t>
  </si>
  <si>
    <t>-348.297871052234 153.119659464964 759.998105677143</t>
  </si>
  <si>
    <t>-516.846232175316 31.2646364797117 -233.598204426952</t>
  </si>
  <si>
    <t>-436.800457041216 -19.9109416654251 212.082599665757</t>
  </si>
  <si>
    <t>-592.739250520203 -119.664914659101 644.340583283978</t>
  </si>
  <si>
    <t>-440.278372330262 -149.418982996776 726.886777843356</t>
  </si>
  <si>
    <t>9763-20170724T164306.888048000.bin</t>
  </si>
  <si>
    <t>-494.464288107956 121.241598428539 -242.854122563496</t>
  </si>
  <si>
    <t>-530.221953683298 121.189532371126 -358.565825154533</t>
  </si>
  <si>
    <t>-533.645702562249 118.614675029995 -479.694684202789</t>
  </si>
  <si>
    <t>-523.397058777537 115.11736608202 -588.679083804871</t>
  </si>
  <si>
    <t>-500.057897269141 110.435295564351 -695.581763986164</t>
  </si>
  <si>
    <t>-454.253383215418 102.663022697322 -840.638860387367</t>
  </si>
  <si>
    <t>-390.967340747247 100.334808595178 -920.466523259944</t>
  </si>
  <si>
    <t>-464.683531482205 136.299257279518 -774.967431194312</t>
  </si>
  <si>
    <t>-429.128228209674 274.639771681387 -740.126902941099</t>
  </si>
  <si>
    <t>-347.597555157702 327.219834743139 -438.839107083946</t>
  </si>
  <si>
    <t>-211.234943635066 369.738725932114 -221.492770657974</t>
  </si>
  <si>
    <t>-484.357311688127 75.9048384688573 -777.943826014782</t>
  </si>
  <si>
    <t>-466.88511006545 215.567449509187 -250.781231999823</t>
  </si>
  <si>
    <t>-466.030733779562 202.821865941189 204.73441424102</t>
  </si>
  <si>
    <t>-500.529943237864 161.990969065527 671.426707813795</t>
  </si>
  <si>
    <t>-348.380116279328 154.302635912092 759.37468232423</t>
  </si>
  <si>
    <t>-521.802780199204 26.6992489288478 -234.057459159095</t>
  </si>
  <si>
    <t>-439.397546177615 -24.7645385431353 211.159888057025</t>
  </si>
  <si>
    <t>-592.991207647494 -120.445685791503 645.03989419518</t>
  </si>
  <si>
    <t>-440.796801370843 -150.492054534362 727.971156197879</t>
  </si>
  <si>
    <t>9763-20170724T164306.919640700.bin</t>
  </si>
  <si>
    <t>-496.815271741555 118.896735809785 -242.95811496776</t>
  </si>
  <si>
    <t>-531.837702370966 119.61966131648 -358.89220133005</t>
  </si>
  <si>
    <t>-533.50506937653 118.042103180173 -480.075134067558</t>
  </si>
  <si>
    <t>-521.284717963376 115.489928469061 -588.88233773952</t>
  </si>
  <si>
    <t>-495.629388680914 111.771676874355 -695.291036192969</t>
  </si>
  <si>
    <t>-446.295691679599 105.335953530589 -839.252088779924</t>
  </si>
  <si>
    <t>-381.476725056101 103.689528804872 -917.857283142914</t>
  </si>
  <si>
    <t>-457.913102491023 138.215733427593 -773.397181811676</t>
  </si>
  <si>
    <t>-420.409679900904 275.354214852691 -735.803664098392</t>
  </si>
  <si>
    <t>-337.7836039278 328.439775690087 -434.903460286396</t>
  </si>
  <si>
    <t>-203.700462450512 378.885987158352 -217.834353113225</t>
  </si>
  <si>
    <t>-478.335494830076 78.1513948674605 -777.710465308549</t>
  </si>
  <si>
    <t>-468.425887616502 213.372458202302 -250.483206225449</t>
  </si>
  <si>
    <t>-467.61856938354 201.477511799014 205.055532001056</t>
  </si>
  <si>
    <t>-501.012122334345 162.392211650742 671.793599915518</t>
  </si>
  <si>
    <t>-348.555346739436 154.244912107432 759.166736547945</t>
  </si>
  <si>
    <t>-525.041586294929 24.3932076643314 -234.650463214777</t>
  </si>
  <si>
    <t>-441.413382486414 -27.4611255395664 210.293476330358</t>
  </si>
  <si>
    <t>-593.136006420134 -120.715020124532 645.354645051087</t>
  </si>
  <si>
    <t>-441.278270323058 -151.68386319621 728.563212920966</t>
  </si>
  <si>
    <t>9763-20170724T164306.988825900.bin</t>
  </si>
  <si>
    <t>-501.819971466696 113.46239811507 -243.749471527446</t>
  </si>
  <si>
    <t>-534.781484665117 115.873837487814 -360.26364600935</t>
  </si>
  <si>
    <t>-532.131151307943 116.257634474965 -481.438600383154</t>
  </si>
  <si>
    <t>-515.185761208736 115.473124676781 -589.637891075873</t>
  </si>
  <si>
    <t>-484.091749240085 113.455537419995 -694.632856063762</t>
  </si>
  <si>
    <t>-426.585287711833 109.258758403048 -835.613136788069</t>
  </si>
  <si>
    <t>-358.439074936654 108.763792674391 -911.368165007835</t>
  </si>
  <si>
    <t>-441.056645319109 140.738524056211 -769.639478872969</t>
  </si>
  <si>
    <t>-400.664061715696 275.190228807642 -726.03091446965</t>
  </si>
  <si>
    <t>-319.4798056766 327.470893855169 -424.597614021456</t>
  </si>
  <si>
    <t>-187.932235750159 388.80289467835 -208.783597101691</t>
  </si>
  <si>
    <t>-463.003609961695 81.4928194047855 -776.827997183205</t>
  </si>
  <si>
    <t>-470.944616050704 207.986448464142 -250.253448014534</t>
  </si>
  <si>
    <t>-469.519917222143 197.931759426012 205.328144799069</t>
  </si>
  <si>
    <t>-501.240670948248 162.160539988262 672.205437620195</t>
  </si>
  <si>
    <t>-348.436365874881 154.797993380816 759.039548400431</t>
  </si>
  <si>
    <t>-532.377017062978 18.9582428069045 -236.690854675105</t>
  </si>
  <si>
    <t>-446.979973744178 -33.9074926546702 207.797863868041</t>
  </si>
  <si>
    <t>-593.615405574769 -122.00352098709 646.141589426505</t>
  </si>
  <si>
    <t>-441.894907444201 -152.321757704253 729.838794752894</t>
  </si>
  <si>
    <t>9763-20170724T164307.019410900.bin</t>
  </si>
  <si>
    <t>-504.35341511537 110.43240108345 -244.446766630944</t>
  </si>
  <si>
    <t>-536.26217024108 114.038151847787 -361.222739262667</t>
  </si>
  <si>
    <t>-531.276633285095 115.596923425244 -482.314806747384</t>
  </si>
  <si>
    <t>-511.759866230612 115.808833306515 -590.082611470615</t>
  </si>
  <si>
    <t>-477.703279660543 114.693072013801 -694.16787075919</t>
  </si>
  <si>
    <t>-415.754098917421 111.626895569737 -833.282624477212</t>
  </si>
  <si>
    <t>-345.805013641501 111.653946741449 -907.377931933026</t>
  </si>
  <si>
    <t>-431.873505745979 142.380459474705 -767.348623921589</t>
  </si>
  <si>
    <t>-390.274152264529 275.322950429863 -720.247459411275</t>
  </si>
  <si>
    <t>-310.928429774097 326.08703610955 -418.066188121919</t>
  </si>
  <si>
    <t>-181.226697253426 390.159225488825 -201.931397950715</t>
  </si>
  <si>
    <t>-454.455871715262 83.5867517144938 -776.108830889965</t>
  </si>
  <si>
    <t>-471.866782573539 204.603451617535 -250.172605176757</t>
  </si>
  <si>
    <t>-470.024401984762 195.645775429481 205.430352322314</t>
  </si>
  <si>
    <t>-501.124404819825 161.459075028663 672.393821627404</t>
  </si>
  <si>
    <t>-348.200644796731 155.157572636423 759.101044538879</t>
  </si>
  <si>
    <t>-536.66514963851 16.2818382217605 -237.951994698297</t>
  </si>
  <si>
    <t>-450.526471185757 -37.6132496830487 206.269888565548</t>
  </si>
  <si>
    <t>-594.098635190301 -122.675593985532 646.646622906109</t>
  </si>
  <si>
    <t>-442.354872429156 -153.296529005434 730.191126428666</t>
  </si>
  <si>
    <t>9763-20170724T164307.093614200.bin</t>
  </si>
  <si>
    <t>-510.442798512967 105.581862104708 -245.889402191331</t>
  </si>
  <si>
    <t>-539.990900592937 111.584853240919 -363.186733764896</t>
  </si>
  <si>
    <t>-529.910073985745 115.383269348946 -483.911852834054</t>
  </si>
  <si>
    <t>-504.834461536021 117.445230582135 -590.503592501125</t>
  </si>
  <si>
    <t>-464.439511881942 117.952792124454 -692.301626364615</t>
  </si>
  <si>
    <t>-393.071769119045 116.863702950722 -826.858122948219</t>
  </si>
  <si>
    <t>-319.403194904123 117.964067197559 -897.247820615452</t>
  </si>
  <si>
    <t>-412.955236680868 146.301857406758 -761.352696812472</t>
  </si>
  <si>
    <t>-369.637777809599 276.08300187789 -707.405075842028</t>
  </si>
  <si>
    <t>-296.656499457799 327.310641373861 -403.701727636533</t>
  </si>
  <si>
    <t>-167.444307011342 394.474965952719 -188.213436572062</t>
  </si>
  <si>
    <t>-436.344416866581 88.3893112802756 -773.289408525686</t>
  </si>
  <si>
    <t>-474.631288399482 199.377878041147 -249.984359973353</t>
  </si>
  <si>
    <t>-470.615311960472 191.809652709027 205.629747576929</t>
  </si>
  <si>
    <t>-501.172910571296 161.934511995337 672.541172497576</t>
  </si>
  <si>
    <t>-348.297982640122 155.286750308582 759.308463770965</t>
  </si>
  <si>
    <t>-546.306378776674 12.0695152968461 -240.759910457024</t>
  </si>
  <si>
    <t>-459.499097063267 -44.6871750446667 202.975269602558</t>
  </si>
  <si>
    <t>-596.17305875799 -121.514947953409 648.056973650726</t>
  </si>
  <si>
    <t>-443.632650045711 -153.563372665809 729.591224173523</t>
  </si>
  <si>
    <t>9763-20170724T164307.156397300.bin</t>
  </si>
  <si>
    <t>-513.921627615482 103.293539352362 -247.994079960539</t>
  </si>
  <si>
    <t>-540.255974309892 111.25680915406 -365.938454757427</t>
  </si>
  <si>
    <t>-524.664840324248 116.709905864436 -486.012409161045</t>
  </si>
  <si>
    <t>-493.885102569943 120.035323389733 -591.066714032518</t>
  </si>
  <si>
    <t>-447.262379558988 121.524072196243 -690.157350225734</t>
  </si>
  <si>
    <t>-366.915279471165 121.466099578889 -819.557315472093</t>
  </si>
  <si>
    <t>-289.747756957824 123.190293080888 -886.079283541939</t>
  </si>
  <si>
    <t>-390.515535385086 150.007609594402 -754.893948017487</t>
  </si>
  <si>
    <t>-345.892995719939 276.609762613211 -694.931234438084</t>
  </si>
  <si>
    <t>-281.75270142399 334.154715757775 -390.36465135981</t>
  </si>
  <si>
    <t>-149.132354023914 402.128488765013 -177.213432419149</t>
  </si>
  <si>
    <t>-414.417258295224 92.976001645964 -769.709667256389</t>
  </si>
  <si>
    <t>-476.235712170001 195.054981152306 -250.306481188959</t>
  </si>
  <si>
    <t>-469.808622903158 189.301663230164 205.306566249025</t>
  </si>
  <si>
    <t>-500.817054046427 161.629118033603 672.355838665719</t>
  </si>
  <si>
    <t>-348.043848017225 155.933978374367 759.369729266925</t>
  </si>
  <si>
    <t>-550.829364626447 11.972137461172 -245.206818236145</t>
  </si>
  <si>
    <t>-465.208777809371 -47.3386260684534 198.424898109083</t>
  </si>
  <si>
    <t>-589.830911999492 -111.86118860516 647.128792302745</t>
  </si>
  <si>
    <t>-437.174717310567 -149.494021926536 726.017112245902</t>
  </si>
  <si>
    <t>9763-20170724T164307.190487600.bin</t>
  </si>
  <si>
    <t>-513.731158844056 103.557337648864 -249.782834092695</t>
  </si>
  <si>
    <t>-538.643727322015 112.58691199064 -367.959189892682</t>
  </si>
  <si>
    <t>-520.470027294897 118.761126737797 -487.634304370486</t>
  </si>
  <si>
    <t>-486.998634308784 122.55303183562 -591.846413268854</t>
  </si>
  <si>
    <t>-437.437067750277 124.305851897374 -689.495829775467</t>
  </si>
  <si>
    <t>-352.86982746865 124.393535572309 -816.178121540224</t>
  </si>
  <si>
    <t>-274.130631943266 126.408101451454 -880.823814485302</t>
  </si>
  <si>
    <t>-378.309966150785 152.694092695132 -752.109369515794</t>
  </si>
  <si>
    <t>-333.692202384467 278.195594103622 -689.742096548959</t>
  </si>
  <si>
    <t>-273.484489296542 338.05097900994 -384.818128291403</t>
  </si>
  <si>
    <t>-140.363190002158 405.179383384921 -171.711305009079</t>
  </si>
  <si>
    <t>-402.266393161729 96.0153821073768 -768.140897009774</t>
  </si>
  <si>
    <t>-476.344371819468 194.551901367802 -250.770208475285</t>
  </si>
  <si>
    <t>-468.398428400677 189.136856852484 204.823050028184</t>
  </si>
  <si>
    <t>-500.865660597512 162.369584626652 672.130225441348</t>
  </si>
  <si>
    <t>-348.275521593784 155.096673426535 759.347573159405</t>
  </si>
  <si>
    <t>-550.373249241112 13.2389865850648 -248.436501810358</t>
  </si>
  <si>
    <t>-466.100871606763 -47.25396186344 195.293665380243</t>
  </si>
  <si>
    <t>-584.765606496191 -107.209337342237 645.750502982769</t>
  </si>
  <si>
    <t>-432.579057420164 -148.26026249014 723.837659349369</t>
  </si>
  <si>
    <t>9763-20170724T164307.223149500.bin</t>
  </si>
  <si>
    <t>-514.03856786679 103.522505317131 -251.553254328602</t>
  </si>
  <si>
    <t>-537.183402581581 113.362162250981 -370.023872428351</t>
  </si>
  <si>
    <t>-516.487100974663 120.017647698676 -489.262872992691</t>
  </si>
  <si>
    <t>-480.54276720244 124.080308914568 -592.637592799965</t>
  </si>
  <si>
    <t>-428.410835104926 125.929888961527 -688.937693060523</t>
  </si>
  <si>
    <t>-340.270001328639 125.966453431408 -813.160086500564</t>
  </si>
  <si>
    <t>-260.14552372125 128.069246614993 -876.077747327383</t>
  </si>
  <si>
    <t>-367.27034532584 154.132541219773 -749.673274890667</t>
  </si>
  <si>
    <t>-322.77497065691 278.490764832748 -685.072477471717</t>
  </si>
  <si>
    <t>-266.142806830711 342.212599319214 -380.247104710097</t>
  </si>
  <si>
    <t>-133.418692252214 409.382563079889 -166.905719652801</t>
  </si>
  <si>
    <t>-391.268844199318 97.7680248774597 -766.717653032652</t>
  </si>
  <si>
    <t>-476.354032789201 193.829501605071 -251.359353703955</t>
  </si>
  <si>
    <t>-467.523808420917 188.564726072702 204.219375144203</t>
  </si>
  <si>
    <t>-500.75627728631 162.522637590125 671.863421446574</t>
  </si>
  <si>
    <t>-348.316377491282 154.621300442048 759.288614239233</t>
  </si>
  <si>
    <t>-551.365641081187 13.4825850651981 -251.444462480435</t>
  </si>
  <si>
    <t>-468.667001845275 -47.9100107678092 192.45808089267</t>
  </si>
  <si>
    <t>-581.909992349578 -104.149562015446 644.853445507308</t>
  </si>
  <si>
    <t>-430.323797526733 -148.463490158225 722.322173993466</t>
  </si>
  <si>
    <t>9763-20170724T164307.287319400.bin</t>
  </si>
  <si>
    <t>-516.219231883903 102.003927588822 -254.033157608101</t>
  </si>
  <si>
    <t>-536.376141385865 112.97754753249 -372.949502793801</t>
  </si>
  <si>
    <t>-511.82261507608 120.275024828666 -491.416611217585</t>
  </si>
  <si>
    <t>-472.217090139153 124.698067525055 -593.429752273057</t>
  </si>
  <si>
    <t>-416.387143633333 126.688530378003 -687.631115076707</t>
  </si>
  <si>
    <t>-323.208464680771 126.698226200367 -808.120678659231</t>
  </si>
  <si>
    <t>-241.006615782056 128.88174853488 -868.296012144934</t>
  </si>
  <si>
    <t>-352.512504183027 154.686279452798 -745.583776238113</t>
  </si>
  <si>
    <t>-307.000742176617 276.492000338486 -676.909541705193</t>
  </si>
  <si>
    <t>-255.2341365317 351.732286975392 -373.849555820073</t>
  </si>
  <si>
    <t>-126.034803236039 421.366398799633 -159.13886159835</t>
  </si>
  <si>
    <t>-376.36180227363 98.7016580808658 -764.031841676661</t>
  </si>
  <si>
    <t>-477.836740000999 191.572212996567 -251.997255189423</t>
  </si>
  <si>
    <t>-468.558617502263 186.600755170171 203.575828908523</t>
  </si>
  <si>
    <t>-500.546546138169 161.942395195675 671.659029602517</t>
  </si>
  <si>
    <t>-348.167116862024 154.790866984892 759.253941937041</t>
  </si>
  <si>
    <t>-554.986458741761 12.4839723046714 -255.614622663956</t>
  </si>
  <si>
    <t>-476.066727743024 -50.0354703189242 188.818293762137</t>
  </si>
  <si>
    <t>-579.35045955518 -101.740452068206 644.119109652613</t>
  </si>
  <si>
    <t>-429.279004042988 -150.385097986965 721.937939498939</t>
  </si>
  <si>
    <t>9763-20170724T164307.318407600.bin</t>
  </si>
  <si>
    <t>-517.652864066318 101.193321739722 -254.989596004549</t>
  </si>
  <si>
    <t>-536.547685054992 112.629284092458 -374.069458814721</t>
  </si>
  <si>
    <t>-510.726686572209 119.999454760839 -492.262149283255</t>
  </si>
  <si>
    <t>-470.02835992916 124.34033528282 -593.847914461826</t>
  </si>
  <si>
    <t>-413.190144620594 126.113491305553 -687.448626775967</t>
  </si>
  <si>
    <t>-318.725815070631 125.694159860143 -806.932268106331</t>
  </si>
  <si>
    <t>-235.754524210241 127.634742093103 -866.05067491321</t>
  </si>
  <si>
    <t>-348.541940775256 153.797650302744 -744.689897257357</t>
  </si>
  <si>
    <t>-302.028303760512 274.282034243651 -674.381797346552</t>
  </si>
  <si>
    <t>-251.190503604016 358.655325496334 -373.578030340512</t>
  </si>
  <si>
    <t>-123.510037542302 427.292959588208 -157.641434019474</t>
  </si>
  <si>
    <t>-372.504793165147 97.9617257496274 -763.439045763733</t>
  </si>
  <si>
    <t>-478.580698821107 190.307890486956 -252.229352963653</t>
  </si>
  <si>
    <t>-470.036178802309 185.670777894361 203.361630552435</t>
  </si>
  <si>
    <t>-500.488510890917 161.533657819391 671.63858804139</t>
  </si>
  <si>
    <t>-348.032832235344 155.610596523715 759.192584899811</t>
  </si>
  <si>
    <t>-557.19643989706 11.9324822197466 -257.210648254656</t>
  </si>
  <si>
    <t>-480.22296590934 -51.0103201654009 187.503797628111</t>
  </si>
  <si>
    <t>-578.616121597914 -101.661073837317 644.0924133527</t>
  </si>
  <si>
    <t>-429.283624880841 -151.286462440553 722.709331578337</t>
  </si>
  <si>
    <t>9763-20170724T164307.390612900.bin</t>
  </si>
  <si>
    <t>-519.623091135932 101.673023619647 -256.438222571566</t>
  </si>
  <si>
    <t>-536.810937272448 113.369769781457 -375.751119266039</t>
  </si>
  <si>
    <t>-509.930778959154 120.217284326392 -493.738970542108</t>
  </si>
  <si>
    <t>-468.564199376048 123.852632863757 -595.082223883989</t>
  </si>
  <si>
    <t>-411.334003863416 124.746430094422 -688.45658377658</t>
  </si>
  <si>
    <t>-316.585952328197 122.978600125986 -807.702791298536</t>
  </si>
  <si>
    <t>-232.890380618329 124.030555153989 -865.814252557356</t>
  </si>
  <si>
    <t>-346.373240396744 151.660641143623 -745.710994897168</t>
  </si>
  <si>
    <t>-299.542948066912 272.465780526136 -676.167583849975</t>
  </si>
  <si>
    <t>-255.796916033149 374.446345148359 -379.734826309191</t>
  </si>
  <si>
    <t>-126.715398482455 439.990172790319 -163.669943744193</t>
  </si>
  <si>
    <t>-370.64477890026 95.8609898316132 -764.168859446481</t>
  </si>
  <si>
    <t>-479.208010338859 190.29578296315 -253.051653743691</t>
  </si>
  <si>
    <t>-473.058087372359 185.711687525755 202.578517622839</t>
  </si>
  <si>
    <t>-500.493525885884 161.904026032395 671.312150031561</t>
  </si>
  <si>
    <t>-348.070527636997 155.240318763827 758.869761937984</t>
  </si>
  <si>
    <t>-560.501275039014 12.9698902375009 -259.060242621603</t>
  </si>
  <si>
    <t>-487.364594477536 -51.3039442617499 186.111188377735</t>
  </si>
  <si>
    <t>-577.947167936117 -101.194134609759 644.291448357434</t>
  </si>
  <si>
    <t>-429.183202851712 -151.696689778718 723.426060942324</t>
  </si>
  <si>
    <t>9763-20170724T164307.423710600.bin</t>
  </si>
  <si>
    <t>-519.915267788172 102.477375286267 -256.568730722339</t>
  </si>
  <si>
    <t>-536.654135856563 114.244825364655 -375.93850637619</t>
  </si>
  <si>
    <t>-509.681369402539 120.695471551289 -493.927602591088</t>
  </si>
  <si>
    <t>-468.368031149932 123.841744699395 -595.308860951134</t>
  </si>
  <si>
    <t>-411.309271378502 124.155217181876 -688.791720207061</t>
  </si>
  <si>
    <t>-316.898053145992 121.522644367293 -808.289118852583</t>
  </si>
  <si>
    <t>-233.177782832885 122.104950467615 -866.371406439256</t>
  </si>
  <si>
    <t>-346.510408415256 150.65312291409 -746.422757074127</t>
  </si>
  <si>
    <t>-300.17955770655 272.510601680518 -678.332498610352</t>
  </si>
  <si>
    <t>-261.092692194529 384.760786843409 -384.975460397392</t>
  </si>
  <si>
    <t>-130.712627148198 446.569111304779 -168.589730638083</t>
  </si>
  <si>
    <t>-370.833816904576 94.7218308487662 -764.407763858809</t>
  </si>
  <si>
    <t>-478.923678625419 191.126391892981 -253.159084487256</t>
  </si>
  <si>
    <t>-473.665131373945 186.195293591742 202.478571216583</t>
  </si>
  <si>
    <t>-500.535064998302 161.969553127675 671.268795537818</t>
  </si>
  <si>
    <t>-348.04861155549 155.462057592409 758.727534281326</t>
  </si>
  <si>
    <t>-560.976871306423 14.0098494027852 -259.356870617187</t>
  </si>
  <si>
    <t>-489.743951704186 -50.8575926677494 186.036937379643</t>
  </si>
  <si>
    <t>-577.914860278504 -101.017232272644 644.48422452923</t>
  </si>
  <si>
    <t>-429.105068134156 -151.441125953411 723.582784769041</t>
  </si>
  <si>
    <t>9763-20170724T164307.490890200.bin</t>
  </si>
  <si>
    <t>-519.15576074556 105.722347214154 -256.556826248106</t>
  </si>
  <si>
    <t>-536.011342980374 117.4313413992 -375.915964973726</t>
  </si>
  <si>
    <t>-509.628447591003 122.98924195332 -494.083681457848</t>
  </si>
  <si>
    <t>-469.00206205838 125.0816407857 -595.769289588937</t>
  </si>
  <si>
    <t>-412.74520329705 124.156169501525 -689.732824177662</t>
  </si>
  <si>
    <t>-319.524525493692 119.667210560118 -810.10633580401</t>
  </si>
  <si>
    <t>-236.092927584395 119.249581204509 -868.604119039408</t>
  </si>
  <si>
    <t>-348.579373470438 149.791600940969 -748.452083929614</t>
  </si>
  <si>
    <t>-303.729993797164 274.3895024666 -684.541625944802</t>
  </si>
  <si>
    <t>-277.203242345444 404.858015498253 -397.382230382804</t>
  </si>
  <si>
    <t>-139.730121076838 454.660454778789 -182.294091471833</t>
  </si>
  <si>
    <t>-372.964181932947 93.5152909271005 -765.237577740175</t>
  </si>
  <si>
    <t>-477.668793479127 194.322759438062 -253.237955899628</t>
  </si>
  <si>
    <t>-474.636281060616 188.056231011595 202.403602893727</t>
  </si>
  <si>
    <t>-500.575800687488 162.176329259114 671.137384862625</t>
  </si>
  <si>
    <t>-348.014308854002 155.515528870973 758.453654499563</t>
  </si>
  <si>
    <t>-560.540081890919 17.3798932218177 -259.261968000741</t>
  </si>
  <si>
    <t>-491.082186199742 -48.3658325804694 186.28348166094</t>
  </si>
  <si>
    <t>-577.786358357808 -100.272285754645 644.907769430822</t>
  </si>
  <si>
    <t>-429.616038547848 -152.550352221919 724.003096703806</t>
  </si>
  <si>
    <t>9763-20170724T164307.519508900.bin</t>
  </si>
  <si>
    <t>-518.803286057151 107.338217982781 -256.338935739701</t>
  </si>
  <si>
    <t>-535.863366053621 118.868988156908 -375.686333603098</t>
  </si>
  <si>
    <t>-509.91587972442 124.035112202668 -493.968313845547</t>
  </si>
  <si>
    <t>-469.752510455152 125.717507171976 -595.845338586118</t>
  </si>
  <si>
    <t>-414.005819177755 124.344769588074 -690.106962501626</t>
  </si>
  <si>
    <t>-321.518998652989 119.21264024383 -811.019612813555</t>
  </si>
  <si>
    <t>-238.296881438946 118.3552827744 -869.810048228131</t>
  </si>
  <si>
    <t>-350.286371862558 149.723581842336 -749.420519486399</t>
  </si>
  <si>
    <t>-306.129813069728 275.296363710403 -687.015412205478</t>
  </si>
  <si>
    <t>-284.825496057782 412.022908147284 -402.343480429384</t>
  </si>
  <si>
    <t>-144.417955106391 455.808713393513 -187.842613606154</t>
  </si>
  <si>
    <t>-374.596783794627 93.2432471870579 -765.618506634378</t>
  </si>
  <si>
    <t>-477.570453515189 195.75088098432 -253.134892138276</t>
  </si>
  <si>
    <t>-475.188637567344 189.571757389062 202.511752850533</t>
  </si>
  <si>
    <t>-500.599472870117 162.298806735455 671.105890967497</t>
  </si>
  <si>
    <t>-347.995206445366 155.760446963599 758.35662069263</t>
  </si>
  <si>
    <t>-560.046056746947 19.1289757836917 -258.8270957339</t>
  </si>
  <si>
    <t>-490.249772537369 -47.275163742052 186.567738506814</t>
  </si>
  <si>
    <t>-577.614772988648 -100.199520191925 644.912200288099</t>
  </si>
  <si>
    <t>-429.480452037902 -152.347228673412 724.160861013993</t>
  </si>
  <si>
    <t>9763-20170724T164307.588692700.bin</t>
  </si>
  <si>
    <t>-518.330517313005 110.781554393749 -255.84400392069</t>
  </si>
  <si>
    <t>-536.388337762733 121.944095283978 -375.079494065136</t>
  </si>
  <si>
    <t>-511.73925425895 126.552502095221 -493.661824575251</t>
  </si>
  <si>
    <t>-472.812135281171 127.687187578794 -596.025131759014</t>
  </si>
  <si>
    <t>-418.320452246164 125.7409556132 -691.007807201294</t>
  </si>
  <si>
    <t>-327.552704157351 119.801180987134 -813.17965577947</t>
  </si>
  <si>
    <t>-244.673600365519 118.219018633161 -872.43781086678</t>
  </si>
  <si>
    <t>-355.756929563196 150.918473391859 -751.623473093092</t>
  </si>
  <si>
    <t>-312.637542473257 278.176909675523 -691.882792291867</t>
  </si>
  <si>
    <t>-296.297530163857 421.387122178787 -410.084771730927</t>
  </si>
  <si>
    <t>-157.324875220404 460.368967855888 -193.730818824109</t>
  </si>
  <si>
    <t>-379.67226711305 93.9402669157226 -766.621214909191</t>
  </si>
  <si>
    <t>-478.395596257537 199.418215141729 -253.204262185239</t>
  </si>
  <si>
    <t>-476.294285661877 191.709808855527 202.420424074588</t>
  </si>
  <si>
    <t>-500.304081696926 162.178888780508 670.888765133988</t>
  </si>
  <si>
    <t>-347.647380497882 157.541806964617 758.169528210173</t>
  </si>
  <si>
    <t>-558.30811527222 22.2627526462322 -257.767439489956</t>
  </si>
  <si>
    <t>-486.937438899637 -44.7858680721752 187.28131790415</t>
  </si>
  <si>
    <t>-577.39978408238 -100.357908677887 644.82186712297</t>
  </si>
  <si>
    <t>-429.530165763339 -152.771989660459 724.388430143141</t>
  </si>
  <si>
    <t>9763-20170724T164307.619780500.bin</t>
  </si>
  <si>
    <t>-518.332282578196 112.401251383282 -255.614928427272</t>
  </si>
  <si>
    <t>-536.687429603271 123.12568790902 -374.845339882071</t>
  </si>
  <si>
    <t>-512.482582053104 127.34787955263 -493.533453162766</t>
  </si>
  <si>
    <t>-473.995888371319 128.16731966497 -596.066110285489</t>
  </si>
  <si>
    <t>-419.96618131311 125.943536094342 -691.306273254953</t>
  </si>
  <si>
    <t>-329.844296583908 119.660727841115 -813.938103455639</t>
  </si>
  <si>
    <t>-247.011826178262 117.936613908383 -873.25750807497</t>
  </si>
  <si>
    <t>-357.920771974545 151.071209918325 -752.472715469104</t>
  </si>
  <si>
    <t>-315.704910270654 279.490449960009 -694.55785298141</t>
  </si>
  <si>
    <t>-299.924582420857 421.675385457111 -412.209294205606</t>
  </si>
  <si>
    <t>-163.908606714605 462.157539469144 -194.257784603639</t>
  </si>
  <si>
    <t>-381.520101244326 93.8101182752826 -766.882137107035</t>
  </si>
  <si>
    <t>-479.157010967221 201.249978602127 -253.314987173701</t>
  </si>
  <si>
    <t>-477.362804105718 193.094535345098 202.303241543826</t>
  </si>
  <si>
    <t>-500.045074711191 162.28258334332 670.63082797691</t>
  </si>
  <si>
    <t>-347.502923642572 158.157427148116 758.137264312242</t>
  </si>
  <si>
    <t>-557.33123205519 23.4998102511574 -257.363819677124</t>
  </si>
  <si>
    <t>-484.969108376869 -43.4095249562639 187.545727824693</t>
  </si>
  <si>
    <t>-577.177273427491 -100.448026205007 644.512778745407</t>
  </si>
  <si>
    <t>-429.336211355479 -152.450176988147 724.402158039677</t>
  </si>
  <si>
    <t>9763-20170724T164307.688965000.bin</t>
  </si>
  <si>
    <t>-518.663192260414 115.948094760171 -255.28724279437</t>
  </si>
  <si>
    <t>-538.099694805485 126.11743026956 -374.394841788863</t>
  </si>
  <si>
    <t>-514.991888351978 130.167770686375 -493.307392299423</t>
  </si>
  <si>
    <t>-477.45436505795 131.014745887059 -596.191204087664</t>
  </si>
  <si>
    <t>-424.303590085359 129.008379716729 -691.929508896114</t>
  </si>
  <si>
    <t>-335.304032359771 123.229676616377 -815.402892206288</t>
  </si>
  <si>
    <t>-252.87801261605 121.943026831131 -875.296812959983</t>
  </si>
  <si>
    <t>-363.456143965997 154.759214060493 -754.032946829884</t>
  </si>
  <si>
    <t>-324.439893435074 285.069026018681 -698.376076309689</t>
  </si>
  <si>
    <t>-304.572003710792 413.255257416653 -409.655282590915</t>
  </si>
  <si>
    <t>-181.506683101113 457.689106296385 -184.882926200868</t>
  </si>
  <si>
    <t>-385.910905508074 96.8139385100604 -767.506415783595</t>
  </si>
  <si>
    <t>-481.797416540286 206.369796937825 -253.653285997645</t>
  </si>
  <si>
    <t>-479.64564724149 196.591780331687 201.931457342248</t>
  </si>
  <si>
    <t>-499.251677974584 162.963659992868 669.722107536135</t>
  </si>
  <si>
    <t>-347.39642646468 157.017708364235 758.311887547277</t>
  </si>
  <si>
    <t>-555.383649506195 25.7084265922978 -256.370520616777</t>
  </si>
  <si>
    <t>-479.764366644549 -40.5720909721378 188.091397653892</t>
  </si>
  <si>
    <t>-576.927907074805 -100.837015150291 643.802467000276</t>
  </si>
  <si>
    <t>-429.383217061049 -152.688548574024 724.335043386917</t>
  </si>
  <si>
    <t>9763-20170724T164307.722675200.bin</t>
  </si>
  <si>
    <t>-518.823723329897 117.094436559716 -255.404186390185</t>
  </si>
  <si>
    <t>-538.727022357229 126.952747268925 -374.460757339869</t>
  </si>
  <si>
    <t>-515.880405418856 131.177606287208 -493.417558451385</t>
  </si>
  <si>
    <t>-478.489560956181 132.355556458775 -596.351486674267</t>
  </si>
  <si>
    <t>-425.399678718341 130.832329309705 -692.132447141904</t>
  </si>
  <si>
    <t>-336.402568533063 125.863177601699 -815.642979770091</t>
  </si>
  <si>
    <t>-254.120789121693 124.981272617202 -875.742118223221</t>
  </si>
  <si>
    <t>-364.788560621515 157.120988831705 -754.241734137193</t>
  </si>
  <si>
    <t>-326.373295186324 287.29047776366 -697.587631726159</t>
  </si>
  <si>
    <t>-303.687337017981 405.394189723531 -404.802532530121</t>
  </si>
  <si>
    <t>-184.34931535381 453.127766205343 -178.700824339113</t>
  </si>
  <si>
    <t>-386.77346964561 99.0027850745724 -767.744993430249</t>
  </si>
  <si>
    <t>-482.915898408789 207.710316525889 -254.171085681342</t>
  </si>
  <si>
    <t>-480.374097587823 197.530969851956 201.402862016756</t>
  </si>
  <si>
    <t>-498.231005113289 162.458413196063 669.100730657902</t>
  </si>
  <si>
    <t>-346.774205323291 158.486844382875 758.479563713521</t>
  </si>
  <si>
    <t>-554.311609128348 26.4921357872994 -256.031734204592</t>
  </si>
  <si>
    <t>-476.527224620223 -39.3307579938521 188.124348715008</t>
  </si>
  <si>
    <t>-576.794282505709 -100.505335027411 643.103012124625</t>
  </si>
  <si>
    <t>-429.821678978914 -153.328485881878 724.049212869097</t>
  </si>
  <si>
    <t>9763-20170724T164307.788852300.bin</t>
  </si>
  <si>
    <t>-520.269308721279 118.532719087629 -255.544933224403</t>
  </si>
  <si>
    <t>-540.661919641122 127.665731522957 -374.576474765634</t>
  </si>
  <si>
    <t>-517.74958972791 132.22912866462 -493.508403977692</t>
  </si>
  <si>
    <t>-480.092114998093 134.048595881632 -596.335720661061</t>
  </si>
  <si>
    <t>-426.559262788052 133.433853973599 -691.879918843331</t>
  </si>
  <si>
    <t>-336.801098941442 129.93968611474 -814.889186133827</t>
  </si>
  <si>
    <t>-254.495405331507 129.757122693455 -874.961758736821</t>
  </si>
  <si>
    <t>-365.628020858459 160.495915371688 -753.34043368565</t>
  </si>
  <si>
    <t>-327.097945496701 289.777178222574 -694.664644090973</t>
  </si>
  <si>
    <t>-298.997374270566 392.248381094343 -396.509938614075</t>
  </si>
  <si>
    <t>-180.15358126136 442.791176232629 -170.758700641332</t>
  </si>
  <si>
    <t>-387.404554199908 102.475664464082 -767.582298180873</t>
  </si>
  <si>
    <t>-486.113187254754 209.032472811428 -254.580365872258</t>
  </si>
  <si>
    <t>-483.624660257064 198.440073183326 200.984450629177</t>
  </si>
  <si>
    <t>-497.96450100329 162.601934322338 669.135443147305</t>
  </si>
  <si>
    <t>-346.674430890994 158.688120771505 758.798740024874</t>
  </si>
  <si>
    <t>-554.644578849885 27.638902506817 -255.836110211985</t>
  </si>
  <si>
    <t>-471.698282361941 -38.1530375413061 187.389571103516</t>
  </si>
  <si>
    <t>-576.175992460181 -101.006034669013 641.070005275961</t>
  </si>
  <si>
    <t>-429.725324933078 -153.487334941612 723.176159134791</t>
  </si>
  <si>
    <t>9763-20170724T164307.820942200.bin</t>
  </si>
  <si>
    <t>-521.625426089312 117.912037443063 -255.670309536764</t>
  </si>
  <si>
    <t>-542.274310442569 127.105585490742 -374.653076825199</t>
  </si>
  <si>
    <t>-519.453189709041 132.064951738594 -493.586476014361</t>
  </si>
  <si>
    <t>-481.810163345267 134.351735516633 -596.409789962806</t>
  </si>
  <si>
    <t>-428.229064719843 134.294906516233 -691.928851915663</t>
  </si>
  <si>
    <t>-338.346818577621 131.651862012937 -814.868908893138</t>
  </si>
  <si>
    <t>-256.009796077293 131.706392679433 -874.898758644407</t>
  </si>
  <si>
    <t>-367.208143855849 161.765754210896 -753.118530724148</t>
  </si>
  <si>
    <t>-328.667178563263 290.518637178177 -693.341222062431</t>
  </si>
  <si>
    <t>-297.587751857062 384.683669268748 -392.753073460031</t>
  </si>
  <si>
    <t>-176.239222419481 434.938652595337 -168.273597364294</t>
  </si>
  <si>
    <t>-389.025685159838 103.876927112613 -767.824870693538</t>
  </si>
  <si>
    <t>-487.666729034286 208.387622494995 -254.568863828466</t>
  </si>
  <si>
    <t>-485.744427013164 198.086030835615 201.005278731069</t>
  </si>
  <si>
    <t>-498.075733940324 162.688571214583 669.325557160645</t>
  </si>
  <si>
    <t>-346.662741466272 158.944892263427 758.788467455505</t>
  </si>
  <si>
    <t>-555.982086842334 26.9082513318097 -255.878812618315</t>
  </si>
  <si>
    <t>-470.282132598475 -38.5247740339205 186.875832419088</t>
  </si>
  <si>
    <t>-576.108717691451 -101.69481437523 640.313429684803</t>
  </si>
  <si>
    <t>-429.986902172877 -154.334899602337 722.902457852746</t>
  </si>
  <si>
    <t>9763-20170724T164307.887118200.bin</t>
  </si>
  <si>
    <t>-525.002568215155 115.112404472282 -256.245269405244</t>
  </si>
  <si>
    <t>-545.446454846163 124.717219391744 -375.23106673935</t>
  </si>
  <si>
    <t>-522.25845090272 130.444663933097 -494.058948962405</t>
  </si>
  <si>
    <t>-484.233388151544 133.545482290238 -596.72023909698</t>
  </si>
  <si>
    <t>-430.233625411112 134.405794981979 -691.999457157468</t>
  </si>
  <si>
    <t>-339.746703910527 133.128018331796 -814.516732583958</t>
  </si>
  <si>
    <t>-257.033474183261 133.634395705766 -874.025097467253</t>
  </si>
  <si>
    <t>-368.789655434536 162.482467763552 -752.486598372947</t>
  </si>
  <si>
    <t>-328.982651093175 289.104353840477 -689.264672098404</t>
  </si>
  <si>
    <t>-291.165591033645 374.11325946551 -386.726202445543</t>
  </si>
  <si>
    <t>-159.886440528159 419.551490226129 -166.855356404709</t>
  </si>
  <si>
    <t>-390.779087478118 104.904328012717 -768.126758860121</t>
  </si>
  <si>
    <t>-490.554192663154 206.378927942038 -254.655474751263</t>
  </si>
  <si>
    <t>-488.736675452554 195.756400050381 200.911897927428</t>
  </si>
  <si>
    <t>-498.632430396243 163.680566447562 669.665817042701</t>
  </si>
  <si>
    <t>-346.836557655642 158.447823864279 758.402105106686</t>
  </si>
  <si>
    <t>-559.706816214678 23.7359981749701 -256.717823452287</t>
  </si>
  <si>
    <t>-471.723441054534 -41.7276227069888 185.584211209601</t>
  </si>
  <si>
    <t>-576.297384079387 -101.59206612866 640.019834723518</t>
  </si>
  <si>
    <t>-430.198139520225 -154.024875388457 722.780425473454</t>
  </si>
  <si>
    <t>9763-20170724T164307.923871800.bin</t>
  </si>
  <si>
    <t>-526.59619684932 114.1589636651 -256.207361347022</t>
  </si>
  <si>
    <t>-546.654015336494 123.943284458846 -375.244142087381</t>
  </si>
  <si>
    <t>-523.317113087759 129.898808795852 -494.031845573949</t>
  </si>
  <si>
    <t>-485.252021637155 133.240261592474 -596.670718806391</t>
  </si>
  <si>
    <t>-431.294894448266 134.384200701518 -691.971132391086</t>
  </si>
  <si>
    <t>-340.937092028105 133.5511444723 -814.587488183085</t>
  </si>
  <si>
    <t>-258.022979036975 134.260256455918 -873.813487212679</t>
  </si>
  <si>
    <t>-369.852179265968 162.64358222169 -752.374475287565</t>
  </si>
  <si>
    <t>-329.335716150133 288.362440845397 -687.838059294165</t>
  </si>
  <si>
    <t>-290.69066384198 377.262793602443 -386.525105880847</t>
  </si>
  <si>
    <t>-150.523123482317 421.046736681037 -171.866929640332</t>
  </si>
  <si>
    <t>-391.983065648175 105.19590832355 -768.292672822813</t>
  </si>
  <si>
    <t>-491.424680546689 205.52528598707 -254.451003290553</t>
  </si>
  <si>
    <t>-490.294334523774 195.503476870668 201.132191583435</t>
  </si>
  <si>
    <t>-499.126681070013 164.424614876671 669.98797814319</t>
  </si>
  <si>
    <t>-346.969248933973 158.318944403778 758.0467654964</t>
  </si>
  <si>
    <t>-561.885738535631 22.7780989886565 -256.959798412999</t>
  </si>
  <si>
    <t>-474.274205344886 -43.44928262114 185.302337344596</t>
  </si>
  <si>
    <t>-576.487827687488 -100.612982718178 640.504920271545</t>
  </si>
  <si>
    <t>-430.441107782519 -153.861092813627 722.836614995627</t>
  </si>
  <si>
    <t>9763-20170724T164307.989044200.bin</t>
  </si>
  <si>
    <t>-527.999574000637 112.796777151835 -256.087804639851</t>
  </si>
  <si>
    <t>-547.537113734085 123.170195477366 -375.161300539079</t>
  </si>
  <si>
    <t>-524.271238907142 129.0656463512 -493.965704241593</t>
  </si>
  <si>
    <t>-486.486887547532 132.2028389404 -596.714650421623</t>
  </si>
  <si>
    <t>-432.989229666001 133.067212468332 -692.276866297708</t>
  </si>
  <si>
    <t>-343.410154402391 131.834530115336 -815.45983060271</t>
  </si>
  <si>
    <t>-260.344282463048 132.577028937105 -874.472632332158</t>
  </si>
  <si>
    <t>-371.873601467348 161.095766398851 -753.117781046043</t>
  </si>
  <si>
    <t>-329.913153721765 286.097696196383 -688.023818099032</t>
  </si>
  <si>
    <t>-302.916105548113 381.110022818632 -387.308085068216</t>
  </si>
  <si>
    <t>-148.603451683787 424.388823064667 -182.474913543113</t>
  </si>
  <si>
    <t>-394.218646688984 103.664097176547 -768.792465507562</t>
  </si>
  <si>
    <t>-490.654407863093 203.542059994981 -254.062104860668</t>
  </si>
  <si>
    <t>-492.013850147867 194.696365626793 201.544739473406</t>
  </si>
  <si>
    <t>-499.89754704009 165.120727000781 670.567047952759</t>
  </si>
  <si>
    <t>-347.118430130462 158.329890477202 757.491886514489</t>
  </si>
  <si>
    <t>-565.129778560445 22.0550991033714 -257.408298829073</t>
  </si>
  <si>
    <t>-480.563698638793 -45.1191473104916 185.303543399389</t>
  </si>
  <si>
    <t>-576.731008533431 -98.8355657160619 641.621966182006</t>
  </si>
  <si>
    <t>-431.065111606209 -154.566953160899 722.97893210494</t>
  </si>
  <si>
    <t>9763-20170724T164308.028791200.bin</t>
  </si>
  <si>
    <t>-527.814660834889 113.036114429921 -255.885925143489</t>
  </si>
  <si>
    <t>-547.016736734022 123.59468237676 -374.997655499828</t>
  </si>
  <si>
    <t>-523.727844101569 129.147212892225 -493.814163225652</t>
  </si>
  <si>
    <t>-486.040813445367 131.814742497195 -596.612144015675</t>
  </si>
  <si>
    <t>-432.742196376732 132.08775826961 -692.288834013804</t>
  </si>
  <si>
    <t>-343.525060674676 129.942510133221 -815.721799972178</t>
  </si>
  <si>
    <t>-260.413404852122 130.461536613865 -874.672465638322</t>
  </si>
  <si>
    <t>-371.718670902771 159.613736602573 -753.450992759651</t>
  </si>
  <si>
    <t>-329.840178658783 285.464927290525 -689.92268933758</t>
  </si>
  <si>
    <t>-312.763105115985 386.800991687222 -390.54734465458</t>
  </si>
  <si>
    <t>-157.063581193877 431.06480648848 -186.978190846814</t>
  </si>
  <si>
    <t>-394.28317480431 102.169770249896 -768.762161418392</t>
  </si>
  <si>
    <t>-489.675055954304 203.748354958904 -253.816068952663</t>
  </si>
  <si>
    <t>-491.506892448552 194.59640381522 201.782991308073</t>
  </si>
  <si>
    <t>-499.967569414998 164.865719517274 670.719550136356</t>
  </si>
  <si>
    <t>-347.046863556117 158.838867991861 757.451606037479</t>
  </si>
  <si>
    <t>-565.693690630728 22.6886125908916 -257.295562936386</t>
  </si>
  <si>
    <t>-483.590804776963 -45.1321663503402 185.781310899293</t>
  </si>
  <si>
    <t>-577.641640083919 -98.6020898539456 642.971048560794</t>
  </si>
  <si>
    <t>-431.667194003968 -154.978525712253 723.32449678053</t>
  </si>
  <si>
    <t>9763-20170724T164308.086945500.bin</t>
  </si>
  <si>
    <t>-526.97675298659 115.061477431512 -255.223985113868</t>
  </si>
  <si>
    <t>-546.067154872294 126.121863027802 -374.308249439136</t>
  </si>
  <si>
    <t>-523.050841042567 131.181544978748 -493.199724180871</t>
  </si>
  <si>
    <t>-485.740705792605 133.095040658023 -596.151843041305</t>
  </si>
  <si>
    <t>-432.922342850309 132.373430323399 -692.092190562896</t>
  </si>
  <si>
    <t>-344.450245573519 128.659851180721 -816.023358668217</t>
  </si>
  <si>
    <t>-261.406874635991 128.526588601889 -875.072153120774</t>
  </si>
  <si>
    <t>-372.157320432967 159.054367447395 -753.882999335497</t>
  </si>
  <si>
    <t>-330.506186918888 286.373453071511 -693.175525101737</t>
  </si>
  <si>
    <t>-334.304418527009 401.912938503519 -398.519156651403</t>
  </si>
  <si>
    <t>-187.640212409295 449.683690216609 -189.116120748596</t>
  </si>
  <si>
    <t>-395.035385307045 101.551616401908 -768.492185871638</t>
  </si>
  <si>
    <t>-487.337095042768 205.435889406416 -253.283457622348</t>
  </si>
  <si>
    <t>-489.344688978674 195.598219771984 202.300607780828</t>
  </si>
  <si>
    <t>-499.750170327653 164.205747649707 670.862517771752</t>
  </si>
  <si>
    <t>-346.902635839991 158.195074697218 757.724525545045</t>
  </si>
  <si>
    <t>-566.506090621056 25.0293295206897 -256.557264415462</t>
  </si>
  <si>
    <t>-486.443229950421 -44.5238621762763 186.624326839328</t>
  </si>
  <si>
    <t>-578.45203507853 -98.1358602054211 644.166787897593</t>
  </si>
  <si>
    <t>-432.10283384085 -155.514795419785 723.116569553771</t>
  </si>
  <si>
    <t>9763-20170724T164308.123625100.bin</t>
  </si>
  <si>
    <t>-526.63980475922 116.098338050379 -255.066069845455</t>
  </si>
  <si>
    <t>-546.049559529059 127.338758765563 -374.081624396298</t>
  </si>
  <si>
    <t>-523.217158040534 132.185214764267 -493.017548621087</t>
  </si>
  <si>
    <t>-486.013083879109 133.768753575113 -596.013743258794</t>
  </si>
  <si>
    <t>-433.244373722482 132.599066297576 -691.97697195958</t>
  </si>
  <si>
    <t>-344.790267308617 128.158981348714 -815.896984498492</t>
  </si>
  <si>
    <t>-261.746263706759 127.609959235211 -874.942615776536</t>
  </si>
  <si>
    <t>-372.442725198914 158.890799474519 -753.898479189864</t>
  </si>
  <si>
    <t>-330.888017130876 286.723277385904 -694.221725320225</t>
  </si>
  <si>
    <t>-343.919284309597 405.424240937373 -401.089704466177</t>
  </si>
  <si>
    <t>-205.689668258425 453.774794804635 -186.155117663905</t>
  </si>
  <si>
    <t>-395.414064034782 101.356309761248 -768.233855692774</t>
  </si>
  <si>
    <t>-486.614708237643 206.215084755235 -253.20822831168</t>
  </si>
  <si>
    <t>-488.520397161751 196.511824460981 202.379136085502</t>
  </si>
  <si>
    <t>-499.572884766356 164.452178189844 670.693701361256</t>
  </si>
  <si>
    <t>-346.902797792237 157.959049329001 757.83270191506</t>
  </si>
  <si>
    <t>-566.57880467044 26.199046019523 -256.293587438723</t>
  </si>
  <si>
    <t>-485.884493985759 -44.1776039978917 186.643390040125</t>
  </si>
  <si>
    <t>-578.283690305811 -97.9035600723452 643.962066143006</t>
  </si>
  <si>
    <t>-432.196418724026 -155.917230901623 722.933231039321</t>
  </si>
  <si>
    <t>9763-20170724T164308.186791800.bin</t>
  </si>
  <si>
    <t>-526.054533099383 118.003666891064 -255.305553764501</t>
  </si>
  <si>
    <t>-545.672156418638 129.025613266141 -374.307411801999</t>
  </si>
  <si>
    <t>-522.682461441706 133.763862383401 -493.217478110076</t>
  </si>
  <si>
    <t>-485.203453295532 135.283218310835 -596.114804262768</t>
  </si>
  <si>
    <t>-432.050746592815 134.07512605021 -691.865455509457</t>
  </si>
  <si>
    <t>-342.977832414427 129.602759799886 -815.3401815462</t>
  </si>
  <si>
    <t>-259.821344673357 128.806025202297 -874.224494040549</t>
  </si>
  <si>
    <t>-371.10968553946 160.448879018711 -753.614718864105</t>
  </si>
  <si>
    <t>-331.206225629546 288.95538561924 -694.372249889162</t>
  </si>
  <si>
    <t>-350.676248300898 399.145203871289 -398.288946898136</t>
  </si>
  <si>
    <t>-230.629561970452 449.637035970437 -173.163561358683</t>
  </si>
  <si>
    <t>-393.669982543738 102.714470634718 -767.798176420606</t>
  </si>
  <si>
    <t>-486.735333744094 208.2702321689 -253.739487602977</t>
  </si>
  <si>
    <t>-487.606990006952 197.650390297369 201.830577654974</t>
  </si>
  <si>
    <t>-498.317236428901 163.862354803744 669.66625671647</t>
  </si>
  <si>
    <t>-346.364925462599 158.439288701799 758.123016070983</t>
  </si>
  <si>
    <t>-564.950811862632 28.0832914299054 -256.269159361909</t>
  </si>
  <si>
    <t>-483.02835279717 -43.2871981829457 186.283293905195</t>
  </si>
  <si>
    <t>-578.306890297493 -97.9023102435891 643.208011097218</t>
  </si>
  <si>
    <t>-432.651862651001 -156.793123209715 722.328236762536</t>
  </si>
  <si>
    <t>9763-20170724T164308.222084900.bin</t>
  </si>
  <si>
    <t>-526.053544204234 118.66046204087 -255.61009185374</t>
  </si>
  <si>
    <t>-545.685778145494 129.35362050142 -374.639700725778</t>
  </si>
  <si>
    <t>-522.576905867189 134.181457704008 -493.522885151706</t>
  </si>
  <si>
    <t>-484.946273373589 135.918542878235 -596.361425787848</t>
  </si>
  <si>
    <t>-431.608266587514 135.039597963106 -692.012592070237</t>
  </si>
  <si>
    <t>-342.253555921037 131.116206471607 -815.302369764791</t>
  </si>
  <si>
    <t>-259.046081344032 130.40658271688 -874.115449020655</t>
  </si>
  <si>
    <t>-370.66156821308 161.764885030273 -753.604956478191</t>
  </si>
  <si>
    <t>-331.741600551979 290.388484727185 -693.871090465113</t>
  </si>
  <si>
    <t>-347.48989929079 392.90154369947 -394.823859512901</t>
  </si>
  <si>
    <t>-236.60419373955 439.711211110669 -164.269519190214</t>
  </si>
  <si>
    <t>-392.918989418424 103.939497283738 -767.895865178714</t>
  </si>
  <si>
    <t>-487.48187595335 209.132575534138 -254.214503045332</t>
  </si>
  <si>
    <t>-488.073973898513 198.424096309302 201.353944462256</t>
  </si>
  <si>
    <t>-497.718083500419 163.995230546526 669.152130590837</t>
  </si>
  <si>
    <t>-346.086129764642 158.803206300747 758.170684960113</t>
  </si>
  <si>
    <t>-564.386462810292 28.3819764244087 -256.432647030664</t>
  </si>
  <si>
    <t>-481.679326226701 -42.5594258419133 186.042814719607</t>
  </si>
  <si>
    <t>-578.530943559114 -98.0740708465736 642.643612966132</t>
  </si>
  <si>
    <t>-432.573209438871 -156.18867672708 721.779897416467</t>
  </si>
  <si>
    <t>9763-20170724T164308.293282500.bin</t>
  </si>
  <si>
    <t>-526.712127859258 118.884158781446 -256.606521677535</t>
  </si>
  <si>
    <t>-546.682499414104 129.013214854968 -375.62911573575</t>
  </si>
  <si>
    <t>-523.541657246308 134.189822393 -494.491508413574</t>
  </si>
  <si>
    <t>-485.747347701699 136.524475843807 -597.258109516447</t>
  </si>
  <si>
    <t>-432.13283743459 136.461488681625 -692.758639635127</t>
  </si>
  <si>
    <t>-342.301641733868 133.8392030858 -815.736273162921</t>
  </si>
  <si>
    <t>-259.023826595728 133.623391304292 -874.453657926609</t>
  </si>
  <si>
    <t>-371.115190835475 163.930138252862 -753.952304531045</t>
  </si>
  <si>
    <t>-332.886716293625 292.125337269217 -692.914233406348</t>
  </si>
  <si>
    <t>-340.545708437713 379.282813223445 -388.724929738391</t>
  </si>
  <si>
    <t>-233.669232166168 423.212969795563 -155.72361459118</t>
  </si>
  <si>
    <t>-392.983143163925 106.068903602553 -768.692378237123</t>
  </si>
  <si>
    <t>-489.359520900804 209.296886012484 -255.365308298659</t>
  </si>
  <si>
    <t>-490.322709109517 199.52487795035 200.223728894617</t>
  </si>
  <si>
    <t>-496.96042460399 164.791737197977 668.272424489126</t>
  </si>
  <si>
    <t>-345.470097538488 159.404142039013 757.520188960254</t>
  </si>
  <si>
    <t>-564.324653770009 28.2728006312958 -257.262118182428</t>
  </si>
  <si>
    <t>-479.37691093873 -41.0541166422872 185.044688548762</t>
  </si>
  <si>
    <t>-578.256404207346 -98.0573794058372 641.127179806738</t>
  </si>
  <si>
    <t>-432.163191937094 -155.247573063299 720.685828219566</t>
  </si>
  <si>
    <t>9763-20170724T164308.318345100.bin</t>
  </si>
  <si>
    <t>-527.25681767912 118.789421867439 -256.979699090399</t>
  </si>
  <si>
    <t>-547.300288249703 128.804012903883 -375.999876891576</t>
  </si>
  <si>
    <t>-524.137602708724 134.16654084672 -494.849733109025</t>
  </si>
  <si>
    <t>-486.288794244156 136.765602137838 -597.589993868777</t>
  </si>
  <si>
    <t>-432.590349219995 137.044523310848 -693.04291229402</t>
  </si>
  <si>
    <t>-342.618409814993 134.960106798311 -815.927776015404</t>
  </si>
  <si>
    <t>-259.366462303792 135.076579006383 -874.682180888101</t>
  </si>
  <si>
    <t>-371.558548896718 164.812202998904 -754.087368951734</t>
  </si>
  <si>
    <t>-333.405750819556 292.806979303548 -692.604107831948</t>
  </si>
  <si>
    <t>-336.340549955885 373.582150937231 -386.576449562561</t>
  </si>
  <si>
    <t>-229.613455202938 414.439027921213 -152.948372796333</t>
  </si>
  <si>
    <t>-393.297866344676 106.952566923339 -769.022701293187</t>
  </si>
  <si>
    <t>-490.155004210332 209.223704970843 -255.673923077548</t>
  </si>
  <si>
    <t>-491.27565663423 199.780703080583 199.921564854388</t>
  </si>
  <si>
    <t>-496.902214262496 165.143966305977 668.218768745367</t>
  </si>
  <si>
    <t>-345.222440379404 160.031324053092 757.160495302035</t>
  </si>
  <si>
    <t>-564.640680953049 28.1827190294805 -257.630936802775</t>
  </si>
  <si>
    <t>-478.806264720724 -40.8069975196698 184.557359976506</t>
  </si>
  <si>
    <t>-578.305904775684 -98.196360257557 640.561258116883</t>
  </si>
  <si>
    <t>-432.110458254025 -154.934646026772 720.255508605367</t>
  </si>
  <si>
    <t>9763-20170724T164308.388073000.bin</t>
  </si>
  <si>
    <t>-527.626409840597 118.384336601994 -257.605188828622</t>
  </si>
  <si>
    <t>-547.600300510965 128.530789745536 -376.625640997898</t>
  </si>
  <si>
    <t>-524.30121309614 134.363486080352 -495.426740905996</t>
  </si>
  <si>
    <t>-486.308265879271 137.496879411239 -598.0989447378</t>
  </si>
  <si>
    <t>-432.450428686479 138.39898569937 -693.458162297978</t>
  </si>
  <si>
    <t>-342.246770682051 137.253359925029 -816.185393085074</t>
  </si>
  <si>
    <t>-259.099984804408 138.055925909149 -875.083117527728</t>
  </si>
  <si>
    <t>-371.352056198657 166.659726350722 -754.20908533743</t>
  </si>
  <si>
    <t>-333.363661404369 294.581712575102 -692.381937862483</t>
  </si>
  <si>
    <t>-324.049910339707 364.77621506849 -383.882053619208</t>
  </si>
  <si>
    <t>-213.090645584233 402.086441226806 -151.636361572224</t>
  </si>
  <si>
    <t>-392.966138895122 108.860845248363 -769.555673939767</t>
  </si>
  <si>
    <t>-490.423141354124 209.182642052614 -255.896550734859</t>
  </si>
  <si>
    <t>-491.786831668222 199.661088112073 199.696579241041</t>
  </si>
  <si>
    <t>-496.925186812232 165.494133298991 668.232427726182</t>
  </si>
  <si>
    <t>-345.126874703407 159.927175825906 756.944302650641</t>
  </si>
  <si>
    <t>-564.72705690395 27.5755054804586 -258.547414513091</t>
  </si>
  <si>
    <t>-479.903387075575 -41.1712940371965 183.873762830189</t>
  </si>
  <si>
    <t>-578.546871943939 -98.4261624823119 639.982083286937</t>
  </si>
  <si>
    <t>-431.846441649838 -153.888473490501 719.646576383876</t>
  </si>
  <si>
    <t>9763-20170724T164308.423187300.bin</t>
  </si>
  <si>
    <t>-527.150482042396 117.931792343498 -257.763375589266</t>
  </si>
  <si>
    <t>-546.945105893283 128.189834711971 -376.804300953609</t>
  </si>
  <si>
    <t>-523.564129591107 134.27054925657 -495.576807318236</t>
  </si>
  <si>
    <t>-485.53712882049 137.673791015274 -598.227831726365</t>
  </si>
  <si>
    <t>-431.681030610016 138.884198409455 -693.584495977289</t>
  </si>
  <si>
    <t>-341.510610347178 138.199539004977 -816.339657010531</t>
  </si>
  <si>
    <t>-258.51982754014 139.226473042285 -875.453546108565</t>
  </si>
  <si>
    <t>-370.580387175885 167.362157767744 -754.231693382136</t>
  </si>
  <si>
    <t>-332.471775117019 295.047226357466 -692.053402618524</t>
  </si>
  <si>
    <t>-317.940100689786 359.502863992739 -382.504547267823</t>
  </si>
  <si>
    <t>-203.090665265099 396.513463418014 -152.109494130052</t>
  </si>
  <si>
    <t>-392.236036894458 109.642784365628 -769.817023747991</t>
  </si>
  <si>
    <t>-489.75512653238 208.741482311061 -255.93551427617</t>
  </si>
  <si>
    <t>-491.056790348999 199.473702876299 199.663120706191</t>
  </si>
  <si>
    <t>-496.916672691165 165.74975263215 668.198674136702</t>
  </si>
  <si>
    <t>-345.179346950207 159.670511849453 756.981204194014</t>
  </si>
  <si>
    <t>-564.323292243147 26.9676627393287 -258.92410186875</t>
  </si>
  <si>
    <t>-480.882238934035 -41.6196767778214 183.784696348903</t>
  </si>
  <si>
    <t>-579.071729811334 -98.6903706351437 640.173192128121</t>
  </si>
  <si>
    <t>-432.204444370181 -154.244616047864 719.465241931799</t>
  </si>
  <si>
    <t>9763-20170724T164308.486350200.bin</t>
  </si>
  <si>
    <t>-525.705087437589 116.911374672426 -258.094667872271</t>
  </si>
  <si>
    <t>-545.109581428128 127.677168247438 -377.154900704184</t>
  </si>
  <si>
    <t>-521.487112260523 134.375842499111 -495.846466296868</t>
  </si>
  <si>
    <t>-483.307642308786 138.361768644635 -598.419908946034</t>
  </si>
  <si>
    <t>-429.361007361787 140.166206659577 -693.716042431122</t>
  </si>
  <si>
    <t>-339.122395718845 140.306728250926 -816.422987837677</t>
  </si>
  <si>
    <t>-256.362365097327 141.6884807518 -875.852214449318</t>
  </si>
  <si>
    <t>-368.14380663187 169.002801190786 -754.075379880359</t>
  </si>
  <si>
    <t>-329.188697808808 295.722936071099 -690.484099671211</t>
  </si>
  <si>
    <t>-302.563572014021 351.789593053176 -380.107155239162</t>
  </si>
  <si>
    <t>-178.635893427751 385.617409005037 -153.966309262187</t>
  </si>
  <si>
    <t>-389.956631000205 111.486218223497 -770.18224882843</t>
  </si>
  <si>
    <t>-487.700196694352 207.651197112759 -255.94478109005</t>
  </si>
  <si>
    <t>-489.190525050622 198.245575466202 199.650432494493</t>
  </si>
  <si>
    <t>-496.591778581438 165.235964605548 668.123180280581</t>
  </si>
  <si>
    <t>-345.185561374862 159.559195505308 757.495795330966</t>
  </si>
  <si>
    <t>-563.598842573843 26.1040773093343 -259.641260972625</t>
  </si>
  <si>
    <t>-482.77826814932 -43.2876111104451 183.428172039053</t>
  </si>
  <si>
    <t>-579.644823927709 -98.7730467335201 640.285817819578</t>
  </si>
  <si>
    <t>-432.13704292256 -153.572620190936 718.911435289202</t>
  </si>
  <si>
    <t>9763-20170724T164308.522985700.bin</t>
  </si>
  <si>
    <t>-525.129413711835 116.51694537625 -258.45251548462</t>
  </si>
  <si>
    <t>-544.70130921673 127.583547088711 -377.457794587536</t>
  </si>
  <si>
    <t>-521.237831036267 134.587062548668 -496.16334242221</t>
  </si>
  <si>
    <t>-483.19294295052 138.836622115331 -598.776027936623</t>
  </si>
  <si>
    <t>-429.368763871842 140.885419700921 -694.136526800901</t>
  </si>
  <si>
    <t>-339.285482693408 141.339323667672 -816.95675760465</t>
  </si>
  <si>
    <t>-256.679370274972 142.784473867011 -876.598292080641</t>
  </si>
  <si>
    <t>-368.171651046925 169.843108857342 -754.45828745808</t>
  </si>
  <si>
    <t>-328.390516103723 295.886172059795 -690.039712911275</t>
  </si>
  <si>
    <t>-295.015599960903 349.190449088909 -379.828499108721</t>
  </si>
  <si>
    <t>-166.601594832854 383.147729919277 -156.224306017687</t>
  </si>
  <si>
    <t>-390.117449011276 112.4339276298 -770.766807884494</t>
  </si>
  <si>
    <t>-486.879760266232 207.211358144526 -256.011339833971</t>
  </si>
  <si>
    <t>-488.063879628617 197.588113501351 199.580258333651</t>
  </si>
  <si>
    <t>-496.499340062191 164.809427935245 668.125689521376</t>
  </si>
  <si>
    <t>-345.255956849219 159.365998547711 757.788004858407</t>
  </si>
  <si>
    <t>-563.592897930026 25.8979450441206 -259.959361352952</t>
  </si>
  <si>
    <t>-483.755766727263 -44.1746131810021 183.181155936923</t>
  </si>
  <si>
    <t>-580.046340761739 -99.0715003890624 640.262339057633</t>
  </si>
  <si>
    <t>-432.294329046256 -153.584929217138 718.627654763665</t>
  </si>
  <si>
    <t>9763-20170724T164308.586153900.bin</t>
  </si>
  <si>
    <t>-523.681836062423 116.95215541218 -258.366371394805</t>
  </si>
  <si>
    <t>-543.173317506808 128.065606187068 -377.38049129962</t>
  </si>
  <si>
    <t>-519.924656926529 134.953714255056 -496.134973387984</t>
  </si>
  <si>
    <t>-482.181706418652 139.018540115262 -598.866631429142</t>
  </si>
  <si>
    <t>-428.748920267215 140.795448833607 -694.452278595757</t>
  </si>
  <si>
    <t>-339.280118508843 140.774766303517 -817.721701296599</t>
  </si>
  <si>
    <t>-256.963376699675 141.938787291891 -877.768153003902</t>
  </si>
  <si>
    <t>-367.685075471645 169.4198294933 -755.067553907449</t>
  </si>
  <si>
    <t>-326.339056369171 294.994712150529 -690.628085863233</t>
  </si>
  <si>
    <t>-282.484408105668 347.169708926536 -381.531464192409</t>
  </si>
  <si>
    <t>-146.072444151182 384.996202246929 -163.350393101438</t>
  </si>
  <si>
    <t>-390.049450389885 112.147986623749 -771.290026080706</t>
  </si>
  <si>
    <t>-484.670739594193 207.543863344871 -255.811963576293</t>
  </si>
  <si>
    <t>-486.006442642369 197.915071498206 199.779079843687</t>
  </si>
  <si>
    <t>-497.042748952359 165.116683755808 668.387915429501</t>
  </si>
  <si>
    <t>-345.679892948897 159.723780187917 757.851392688083</t>
  </si>
  <si>
    <t>-562.606395786934 26.53442317395 -259.968317148663</t>
  </si>
  <si>
    <t>-484.41834342514 -44.1794639897135 183.364300474307</t>
  </si>
  <si>
    <t>-580.628429263687 -99.3340956658791 640.418876138646</t>
  </si>
  <si>
    <t>-432.478844720699 -153.563430179183 718.228989724515</t>
  </si>
  <si>
    <t>9763-20170724T164308.623363400.bin</t>
  </si>
  <si>
    <t>-522.727468939114 117.350492248341 -258.099714390443</t>
  </si>
  <si>
    <t>-542.060442584013 128.407174652914 -377.145111326752</t>
  </si>
  <si>
    <t>-518.893686758634 135.059177791099 -495.928965958216</t>
  </si>
  <si>
    <t>-481.316084576115 138.838040971147 -598.732170338875</t>
  </si>
  <si>
    <t>-428.126911490653 140.258479638046 -694.459682709773</t>
  </si>
  <si>
    <t>-339.06174357149 139.670819735346 -818.019564375635</t>
  </si>
  <si>
    <t>-256.93875475061 140.496547380328 -878.336402573795</t>
  </si>
  <si>
    <t>-367.167032230507 168.547233090547 -755.336451059988</t>
  </si>
  <si>
    <t>-324.909028525931 294.021363460249 -691.383714510359</t>
  </si>
  <si>
    <t>-277.102962244419 347.732864921986 -383.13723682589</t>
  </si>
  <si>
    <t>-133.881299275443 391.929256794934 -170.590088859913</t>
  </si>
  <si>
    <t>-389.77364153745 111.314447886192 -771.3598323899</t>
  </si>
  <si>
    <t>-483.533611194976 207.813403312248 -255.589479176414</t>
  </si>
  <si>
    <t>-485.554385449077 197.87905888185 199.99239739727</t>
  </si>
  <si>
    <t>-497.287848214479 164.867872020209 668.53004225157</t>
  </si>
  <si>
    <t>-345.798766252599 159.867130032389 757.802412743252</t>
  </si>
  <si>
    <t>-561.681188384262 27.0086292450875 -259.857663438641</t>
  </si>
  <si>
    <t>-484.076592546541 -43.9518536301489 183.538199166081</t>
  </si>
  <si>
    <t>-580.479218864273 -99.2582169998571 640.253783935411</t>
  </si>
  <si>
    <t>-432.565782229672 -153.930861345933 718.20264009432</t>
  </si>
  <si>
    <t>9763-20170724T164308.694542700.bin</t>
  </si>
  <si>
    <t>-520.957573455821 117.454837938364 -258.032394944339</t>
  </si>
  <si>
    <t>-540.453988492705 128.387009595444 -377.062687831044</t>
  </si>
  <si>
    <t>-517.743424598103 134.518855999395 -495.962688485768</t>
  </si>
  <si>
    <t>-480.680510111298 137.649153761715 -598.974238547115</t>
  </si>
  <si>
    <t>-428.088543272518 138.236155809255 -695.039787342473</t>
  </si>
  <si>
    <t>-339.917125877581 136.293993074376 -819.225207571034</t>
  </si>
  <si>
    <t>-258.346972201772 136.110275115432 -880.292873983864</t>
  </si>
  <si>
    <t>-367.313064706633 165.701992186313 -756.475270805502</t>
  </si>
  <si>
    <t>-323.75519675244 291.453409488061 -694.06093553742</t>
  </si>
  <si>
    <t>-271.121453969772 353.071304659287 -388.088540847101</t>
  </si>
  <si>
    <t>-119.687991356679 399.185351693297 -181.731046291576</t>
  </si>
  <si>
    <t>-390.54743094353 108.604753335073 -772.078660630822</t>
  </si>
  <si>
    <t>-481.616311764018 207.779586942156 -255.610441809418</t>
  </si>
  <si>
    <t>-484.098114249322 197.744080198692 199.966982680062</t>
  </si>
  <si>
    <t>-497.224310940591 164.25164511192 668.337372123326</t>
  </si>
  <si>
    <t>-345.716325187134 160.405026467585 757.634941990336</t>
  </si>
  <si>
    <t>-560.267261534153 26.943287742927 -259.854402692447</t>
  </si>
  <si>
    <t>-482.928119043315 -43.7161437525362 183.635816228539</t>
  </si>
  <si>
    <t>-580.349843975485 -99.7488125497636 639.880401103399</t>
  </si>
  <si>
    <t>-432.275647949393 -153.123417066286 718.421528517981</t>
  </si>
  <si>
    <t>9763-20170724T164308.722162100.bin</t>
  </si>
  <si>
    <t>-520.111358943073 117.764149831713 -258.124496283896</t>
  </si>
  <si>
    <t>-539.557109614628 128.616776493449 -377.170256828621</t>
  </si>
  <si>
    <t>-517.137050313718 134.580690325343 -496.133836326536</t>
  </si>
  <si>
    <t>-480.457918503397 137.530358823306 -599.287990372852</t>
  </si>
  <si>
    <t>-428.348246405022 137.911772496828 -695.616960735017</t>
  </si>
  <si>
    <t>-340.922158297062 135.660967840709 -820.323260780127</t>
  </si>
  <si>
    <t>-259.685866317291 134.970074399324 -881.830679644786</t>
  </si>
  <si>
    <t>-367.8888621046 165.192777761154 -757.44558292243</t>
  </si>
  <si>
    <t>-323.594223750635 290.941547338428 -695.399279208698</t>
  </si>
  <si>
    <t>-267.492525437777 354.2370652443 -390.386983100601</t>
  </si>
  <si>
    <t>-119.714688907677 399.118657919947 -181.127842693498</t>
  </si>
  <si>
    <t>-391.322063114723 108.121025222656 -772.843614037186</t>
  </si>
  <si>
    <t>-480.534608981761 208.175323292151 -255.785457112806</t>
  </si>
  <si>
    <t>-483.86233015065 198.072680405475 199.7850442918</t>
  </si>
  <si>
    <t>-497.363660064566 164.748613150228 668.202964472406</t>
  </si>
  <si>
    <t>-345.915371160672 159.9105728861 757.553492940272</t>
  </si>
  <si>
    <t>-559.61943504773 27.3422222797204 -259.838272307494</t>
  </si>
  <si>
    <t>-482.448956732233 -43.672195210793 183.624598011546</t>
  </si>
  <si>
    <t>-580.258897542951 -99.7796790800376 639.930499355438</t>
  </si>
  <si>
    <t>-432.357457296267 -153.393988838061 718.633637481588</t>
  </si>
  <si>
    <t>9763-20170724T164308.788339500.bin</t>
  </si>
  <si>
    <t>-518.556579781292 118.546970680515 -258.031890310091</t>
  </si>
  <si>
    <t>-538.290128343861 128.955213981048 -377.070063851357</t>
  </si>
  <si>
    <t>-516.667086819616 134.221223120998 -496.213936055576</t>
  </si>
  <si>
    <t>-480.88413674908 136.417643897592 -599.701180423144</t>
  </si>
  <si>
    <t>-429.810637508685 135.912816023747 -696.582970658668</t>
  </si>
  <si>
    <t>-343.929272049597 132.282638673267 -822.325809578879</t>
  </si>
  <si>
    <t>-263.378015885442 130.317470211209 -884.700651479925</t>
  </si>
  <si>
    <t>-369.883600622423 162.365607730522 -759.283633327898</t>
  </si>
  <si>
    <t>-323.844300391487 288.065457299193 -698.398194783185</t>
  </si>
  <si>
    <t>-263.011931582153 352.647993817318 -394.564955508292</t>
  </si>
  <si>
    <t>-128.708941414923 404.637090763955 -177.996442629659</t>
  </si>
  <si>
    <t>-393.974535620426 105.412135787536 -774.09330450702</t>
  </si>
  <si>
    <t>-478.702214733309 209.508017641265 -256.155338770918</t>
  </si>
  <si>
    <t>-483.320454783481 198.651483775534 199.386597200528</t>
  </si>
  <si>
    <t>-497.255770118433 164.967952395517 667.7706808041</t>
  </si>
  <si>
    <t>-345.962240074423 159.748051988646 757.361554124882</t>
  </si>
  <si>
    <t>-558.455190675417 27.6337456272445 -259.352749860625</t>
  </si>
  <si>
    <t>-481.989018393628 -43.2376227498288 184.255069116953</t>
  </si>
  <si>
    <t>-580.416086553092 -99.9021932028628 640.405088617749</t>
  </si>
  <si>
    <t>-431.823595073597 -151.699834032141 719.023114167253</t>
  </si>
  <si>
    <t>9763-20170724T164308.819425600.bin</t>
  </si>
  <si>
    <t>-517.739467275161 118.773522112776 -257.997917960929</t>
  </si>
  <si>
    <t>-537.671157645569 128.903373238765 -377.026892472099</t>
  </si>
  <si>
    <t>-516.47656491291 133.746315351454 -496.265814055766</t>
  </si>
  <si>
    <t>-481.161893324772 135.475213270981 -599.922727101083</t>
  </si>
  <si>
    <t>-430.623189575319 134.40316213735 -697.080001787282</t>
  </si>
  <si>
    <t>-345.537631836055 129.868396491089 -823.333150831263</t>
  </si>
  <si>
    <t>-265.395086008245 127.224283600958 -886.207403078706</t>
  </si>
  <si>
    <t>-370.893277624397 160.282489771072 -760.206471216668</t>
  </si>
  <si>
    <t>-323.747233072847 285.855690762279 -699.861221476747</t>
  </si>
  <si>
    <t>-265.172953062959 349.017768736403 -395.286513480227</t>
  </si>
  <si>
    <t>-136.059442433033 403.123783192011 -176.096339033558</t>
  </si>
  <si>
    <t>-395.477443995827 103.467234697026 -774.733727660504</t>
  </si>
  <si>
    <t>-477.523698177738 209.933936671581 -256.371005979826</t>
  </si>
  <si>
    <t>-482.868257800093 198.661533520743 199.152824155512</t>
  </si>
  <si>
    <t>-497.231680333739 165.066897433667 667.577302061027</t>
  </si>
  <si>
    <t>-346.022312759685 159.913037436887 757.313985164526</t>
  </si>
  <si>
    <t>-557.89509887442 27.5489530913095 -259.181236630562</t>
  </si>
  <si>
    <t>-481.542501008696 -42.6280138511293 184.556367731906</t>
  </si>
  <si>
    <t>-580.418228945906 -100.064065816603 640.473550434562</t>
  </si>
  <si>
    <t>-431.496450821882 -150.549745867218 719.32167437748</t>
  </si>
  <si>
    <t>9763-20170724T164308.854563500.bin</t>
  </si>
  <si>
    <t>-516.542897761094 119.157753850616 -257.911777387076</t>
  </si>
  <si>
    <t>-536.938310517711 129.022633197336 -376.884602105543</t>
  </si>
  <si>
    <t>-516.450241604035 133.509188631995 -496.260700708762</t>
  </si>
  <si>
    <t>-481.847864210034 134.868754900712 -600.163014358533</t>
  </si>
  <si>
    <t>-432.072735641761 133.374518423441 -697.708125249458</t>
  </si>
  <si>
    <t>-348.078066905421 128.192482330836 -824.664999995047</t>
  </si>
  <si>
    <t>-268.468873139717 124.99331687505 -888.187614597242</t>
  </si>
  <si>
    <t>-372.779027912871 158.862433375544 -761.402498177195</t>
  </si>
  <si>
    <t>-325.275881829664 284.60240041992 -701.73235402377</t>
  </si>
  <si>
    <t>-271.746516322331 348.117521820886 -396.303691210206</t>
  </si>
  <si>
    <t>-143.687459946248 402.416897273111 -176.543611515946</t>
  </si>
  <si>
    <t>-397.707239578055 102.108335869314 -775.578462564646</t>
  </si>
  <si>
    <t>-476.458422564529 210.499129298581 -256.514640267311</t>
  </si>
  <si>
    <t>-482.113661285089 198.670166725387 198.991419018606</t>
  </si>
  <si>
    <t>-497.21278693439 164.850825276436 667.482583394639</t>
  </si>
  <si>
    <t>-346.068557190503 159.465063519497 757.315309788076</t>
  </si>
  <si>
    <t>-556.654083144584 27.8269710364001 -258.753781677007</t>
  </si>
  <si>
    <t>-479.939770064955 -41.8288625656072 185.003668473717</t>
  </si>
  <si>
    <t>-580.314161252556 -100.246013681372 640.447918851934</t>
  </si>
  <si>
    <t>-431.284703949871 -149.820046055889 719.669954365043</t>
  </si>
  <si>
    <t>9763-20170724T164308.921838200.bin</t>
  </si>
  <si>
    <t>-512.378232038816 120.044862981279 -257.345137379552</t>
  </si>
  <si>
    <t>-533.887469935703 129.110476836913 -376.185244308581</t>
  </si>
  <si>
    <t>-515.113465684924 132.915330962677 -495.866623533148</t>
  </si>
  <si>
    <t>-482.234445825212 133.731034785516 -600.332616661217</t>
  </si>
  <si>
    <t>-434.295933049165 131.774357977261 -698.785209879447</t>
  </si>
  <si>
    <t>-352.906342412766 126.04006649966 -827.404192344554</t>
  </si>
  <si>
    <t>-274.495871207066 121.970952768582 -892.352094131177</t>
  </si>
  <si>
    <t>-376.456387712121 157.068906067373 -763.878494773494</t>
  </si>
  <si>
    <t>-329.69549165619 283.992119800217 -706.180371783932</t>
  </si>
  <si>
    <t>-284.638232946332 348.967403483293 -399.693475376009</t>
  </si>
  <si>
    <t>-147.987180167609 399.234597602858 -184.190013010802</t>
  </si>
  <si>
    <t>-401.381005474192 100.085665637002 -777.110273012423</t>
  </si>
  <si>
    <t>-473.435468056047 211.715091165303 -256.630405116238</t>
  </si>
  <si>
    <t>-479.28907132305 199.38250599068 198.859814064674</t>
  </si>
  <si>
    <t>-497.253005350874 164.728751371158 667.271372527851</t>
  </si>
  <si>
    <t>-346.104151737849 160.199781186877 757.143638306894</t>
  </si>
  <si>
    <t>-550.736037550786 28.5115471692797 -257.402736275889</t>
  </si>
  <si>
    <t>-473.392242628978 -39.5914329072107 186.486450786686</t>
  </si>
  <si>
    <t>-579.246344110411 -99.4058846967229 640.315154404223</t>
  </si>
  <si>
    <t>-430.678220273878 -148.680948813592 720.583497615787</t>
  </si>
  <si>
    <t>9763-20170724T164308.989017800.bin</t>
  </si>
  <si>
    <t>-507.433518809649 120.074346146932 -256.605822225583</t>
  </si>
  <si>
    <t>-530.333848367032 128.233788312921 -375.251551981412</t>
  </si>
  <si>
    <t>-513.531183106361 131.246662022775 -495.248033752387</t>
  </si>
  <si>
    <t>-482.594881749125 131.4192800001 -600.308794131339</t>
  </si>
  <si>
    <t>-436.698386385428 128.900821194774 -699.717181155307</t>
  </si>
  <si>
    <t>-358.185025919353 122.476847621988 -830.079765580094</t>
  </si>
  <si>
    <t>-281.133938134289 117.756768941295 -896.591606506273</t>
  </si>
  <si>
    <t>-380.666238550599 154.041516236524 -766.430754832578</t>
  </si>
  <si>
    <t>-333.943122302135 282.099756832888 -711.272408853103</t>
  </si>
  <si>
    <t>-297.864472081525 350.656590633202 -404.37752776788</t>
  </si>
  <si>
    <t>-144.031357780434 391.249412756164 -198.635779203193</t>
  </si>
  <si>
    <t>-405.183162821616 96.5969947460899 -778.365877016608</t>
  </si>
  <si>
    <t>-471.184495482018 212.706321042605 -256.608022096956</t>
  </si>
  <si>
    <t>-476.484260075484 199.864238303695 198.874793822944</t>
  </si>
  <si>
    <t>-497.393605804245 164.721794896694 667.214639248948</t>
  </si>
  <si>
    <t>-346.239266268341 159.925785338891 757.063815333367</t>
  </si>
  <si>
    <t>-543.569229098842 27.4765708942202 -256.006552292412</t>
  </si>
  <si>
    <t>-466.265438479914 -37.9051569687675 188.298566982028</t>
  </si>
  <si>
    <t>-578.183533880742 -99.5346236777111 640.108960912354</t>
  </si>
  <si>
    <t>-430.614988080089 -149.873306911072 721.552412953209</t>
  </si>
  <si>
    <t>9763-20170724T164309.021038900.bin</t>
  </si>
  <si>
    <t>-505.722185070609 120.798969409311 -256.042225579293</t>
  </si>
  <si>
    <t>-529.224242842087 128.472735493439 -374.602657318207</t>
  </si>
  <si>
    <t>-513.584307343572 131.052232642862 -494.766268482676</t>
  </si>
  <si>
    <t>-483.880851444745 130.877441903105 -600.182210250709</t>
  </si>
  <si>
    <t>-439.354706277366 128.06524432163 -700.204118332681</t>
  </si>
  <si>
    <t>-362.839221966697 121.295459065673 -831.731765460291</t>
  </si>
  <si>
    <t>-286.685886765942 116.364479931639 -899.254669397569</t>
  </si>
  <si>
    <t>-384.570947129357 153.150185820434 -767.967207969981</t>
  </si>
  <si>
    <t>-338.520946239505 282.184716542468 -714.556732183626</t>
  </si>
  <si>
    <t>-310.696352194776 352.055116207165 -407.099192793636</t>
  </si>
  <si>
    <t>-147.465348805506 379.570824198263 -206.498624870236</t>
  </si>
  <si>
    <t>-408.819010046105 95.4315586543673 -779.102547459941</t>
  </si>
  <si>
    <t>-470.534436898742 213.486832457155 -256.401763007822</t>
  </si>
  <si>
    <t>-475.633733308166 200.5301311133 199.080206131756</t>
  </si>
  <si>
    <t>-497.509408321277 164.491786898327 667.360570852381</t>
  </si>
  <si>
    <t>-346.255174173651 160.204668018223 757.067263092142</t>
  </si>
  <si>
    <t>-540.909424233873 28.3715711485725 -255.134972901057</t>
  </si>
  <si>
    <t>-463.420117436999 -35.856229977136 189.305997888343</t>
  </si>
  <si>
    <t>-577.417849479441 -97.7346775503394 640.301855923679</t>
  </si>
  <si>
    <t>-430.250857088313 -148.452691438737 722.235175016535</t>
  </si>
  <si>
    <t>9763-20170724T164309.088217800.bin</t>
  </si>
  <si>
    <t>-503.560367875503 122.810875644592 -254.768027810911</t>
  </si>
  <si>
    <t>-528.595213989971 129.529264090756 -373.072337490288</t>
  </si>
  <si>
    <t>-515.485105495343 131.295305870188 -493.552882422237</t>
  </si>
  <si>
    <t>-488.378718388263 130.507032057735 -599.663508467054</t>
  </si>
  <si>
    <t>-446.674435053781 127.23201376288 -700.880654367955</t>
  </si>
  <si>
    <t>-374.221513897712 119.999182990699 -834.66494268651</t>
  </si>
  <si>
    <t>-299.932855642806 114.841811172738 -904.217701929445</t>
  </si>
  <si>
    <t>-394.574832157417 152.374358544732 -770.707973910526</t>
  </si>
  <si>
    <t>-350.086270182975 283.216102830792 -720.523512367589</t>
  </si>
  <si>
    <t>-339.523528826673 357.110321878618 -412.929163202232</t>
  </si>
  <si>
    <t>-156.369512669203 344.289563497703 -228.721934948217</t>
  </si>
  <si>
    <t>-417.98457541602 94.0246387525339 -780.231090959516</t>
  </si>
  <si>
    <t>-470.448052675255 215.574544964504 -255.999400525984</t>
  </si>
  <si>
    <t>-475.280145462288 202.320472756994 199.476948081974</t>
  </si>
  <si>
    <t>-497.698717503273 164.286838108218 667.571458870391</t>
  </si>
  <si>
    <t>-346.316409456214 160.311648039098 757.076296498716</t>
  </si>
  <si>
    <t>-536.813212957534 30.1646875964566 -252.950586670767</t>
  </si>
  <si>
    <t>-457.247182381202 -32.369284687977 191.365105296278</t>
  </si>
  <si>
    <t>-576.579129531075 -97.598227342501 640.712857707489</t>
  </si>
  <si>
    <t>-429.848105921801 -148.051205773103 723.586369504249</t>
  </si>
  <si>
    <t>9763-20170724T164309.119805500.bin</t>
  </si>
  <si>
    <t>-503.142038845305 124.036325381321 -254.145085524239</t>
  </si>
  <si>
    <t>-529.090046694864 130.421698689799 -372.270926182146</t>
  </si>
  <si>
    <t>-517.410909155536 131.842527728237 -492.903193631163</t>
  </si>
  <si>
    <t>-491.759857842754 130.762635596462 -599.372485341859</t>
  </si>
  <si>
    <t>-451.630169249421 127.228096974867 -701.215300193</t>
  </si>
  <si>
    <t>-381.442965301347 119.677728045904 -836.184817156838</t>
  </si>
  <si>
    <t>-308.16859239238 114.37332364942 -906.794388180863</t>
  </si>
  <si>
    <t>-400.955897929882 152.320019659599 -772.101722213181</t>
  </si>
  <si>
    <t>-356.89067793125 283.967084365763 -723.63290828788</t>
  </si>
  <si>
    <t>-354.721984606194 356.590452779034 -415.562477013302</t>
  </si>
  <si>
    <t>-163.960506244933 326.295256199253 -241.395021173347</t>
  </si>
  <si>
    <t>-424.041400227104 93.7171168604085 -780.828357705438</t>
  </si>
  <si>
    <t>-471.250366846537 216.793051121516 -255.836534082666</t>
  </si>
  <si>
    <t>-475.945223300655 203.219294884456 199.63176594521</t>
  </si>
  <si>
    <t>-497.504069292725 163.857281213581 667.566255131608</t>
  </si>
  <si>
    <t>-346.138031048281 160.272646791012 757.115023747735</t>
  </si>
  <si>
    <t>-535.322982559815 31.4020838326783 -251.835735590917</t>
  </si>
  <si>
    <t>-454.465320217401 -31.1348985547137 192.246249334858</t>
  </si>
  <si>
    <t>-576.197057534482 -97.461579315048 640.594608196819</t>
  </si>
  <si>
    <t>-429.953315326543 -148.40618498211 724.026788570187</t>
  </si>
  <si>
    <t>9763-20170724T164309.190078200.bin</t>
  </si>
  <si>
    <t>-502.148176687636 125.689322470671 -253.082782428256</t>
  </si>
  <si>
    <t>-529.959147245392 131.256028612419 -370.825663414858</t>
  </si>
  <si>
    <t>-521.19010503387 131.881331109754 -491.711065252637</t>
  </si>
  <si>
    <t>-498.503398300364 130.139187027859 -598.842445621792</t>
  </si>
  <si>
    <t>-461.590146255507 126.020961466161 -701.872923849062</t>
  </si>
  <si>
    <t>-396.046525272399 117.758525410041 -839.116441419674</t>
  </si>
  <si>
    <t>-324.887142716898 112.211444027573 -911.838848236613</t>
  </si>
  <si>
    <t>-413.767769826425 150.919989087689 -774.779959315775</t>
  </si>
  <si>
    <t>-370.374433648912 283.927585957197 -729.534368357305</t>
  </si>
  <si>
    <t>-384.60538339022 346.195470364031 -419.52416707317</t>
  </si>
  <si>
    <t>-187.006202036011 276.421537489292 -265.484410691797</t>
  </si>
  <si>
    <t>-436.327367091251 91.9087823556822 -782.001056893135</t>
  </si>
  <si>
    <t>-471.873261900931 218.670413496445 -255.780692664872</t>
  </si>
  <si>
    <t>-475.457728683682 204.857941992286 199.690556422885</t>
  </si>
  <si>
    <t>-497.542373901101 164.37973079434 667.619992545741</t>
  </si>
  <si>
    <t>-346.276105922869 159.120396086531 757.254540378177</t>
  </si>
  <si>
    <t>-532.319302839907 32.4430745495516 -249.961722572245</t>
  </si>
  <si>
    <t>-449.107721112639 -28.3098909427889 193.933001665196</t>
  </si>
  <si>
    <t>-575.381196732366 -96.5484109270649 640.2582549024</t>
  </si>
  <si>
    <t>-429.990717055809 -148.590336141879 724.500544854097</t>
  </si>
  <si>
    <t>9763-20170724T164309.222168500.bin</t>
  </si>
  <si>
    <t>-501.689251533519 126.448949755339 -252.7789207781</t>
  </si>
  <si>
    <t>-530.429259368269 131.518202618206 -370.3208030843</t>
  </si>
  <si>
    <t>-523.022141563455 131.772880140776 -491.298629148526</t>
  </si>
  <si>
    <t>-501.699091588153 129.784779823462 -598.705511678702</t>
  </si>
  <si>
    <t>-466.245364183582 125.527766815703 -702.241803003713</t>
  </si>
  <si>
    <t>-402.790793740237 117.19914665221 -840.459511339162</t>
  </si>
  <si>
    <t>-332.684460088354 111.722666758207 -914.203101674607</t>
  </si>
  <si>
    <t>-419.846409763037 150.526699793765 -776.029016665248</t>
  </si>
  <si>
    <t>-377.398442241466 284.26583718183 -732.123606296895</t>
  </si>
  <si>
    <t>-394.230143178531 339.754735381546 -420.958273706869</t>
  </si>
  <si>
    <t>-196.418525803183 254.573421672783 -275.161384655041</t>
  </si>
  <si>
    <t>-441.888493871472 91.2418779911608 -782.575959404625</t>
  </si>
  <si>
    <t>-472.225282515765 219.485666242554 -255.996246642676</t>
  </si>
  <si>
    <t>-474.427378271095 205.206510391429 199.469370146409</t>
  </si>
  <si>
    <t>-497.122338604143 164.345997567347 667.191540120037</t>
  </si>
  <si>
    <t>-346.183272637772 158.866777060966 757.362903566064</t>
  </si>
  <si>
    <t>-530.863701335682 33.3094052815431 -249.122018132758</t>
  </si>
  <si>
    <t>-446.706092513141 -26.8085402348325 194.680834113963</t>
  </si>
  <si>
    <t>-575.220862425204 -95.8622002581612 640.335951604604</t>
  </si>
  <si>
    <t>-430.35570272599 -149.130838647692 724.716420009961</t>
  </si>
  <si>
    <t>9763-20170724T164309.286338800.bin</t>
  </si>
  <si>
    <t>-501.503908640434 128.542899438603 -251.872139161799</t>
  </si>
  <si>
    <t>-532.420015026327 132.931552998933 -368.888236052463</t>
  </si>
  <si>
    <t>-527.960914183414 132.594196049032 -490.010310272501</t>
  </si>
  <si>
    <t>-509.528703397585 130.178110043705 -597.941928936443</t>
  </si>
  <si>
    <t>-477.122628056576 125.635856780753 -702.460362853277</t>
  </si>
  <si>
    <t>-417.994199267096 117.090248761145 -842.570341598128</t>
  </si>
  <si>
    <t>-350.031070268505 111.788373679226 -918.305845683895</t>
  </si>
  <si>
    <t>-433.711437633784 150.789208510075 -777.992614925068</t>
  </si>
  <si>
    <t>-393.880891348573 286.406158714911 -737.495526107078</t>
  </si>
  <si>
    <t>-403.62529173396 326.353256672424 -423.655597453766</t>
  </si>
  <si>
    <t>-206.824037151182 221.956154490003 -289.444618435526</t>
  </si>
  <si>
    <t>-454.601937145878 90.9536220865954 -783.159191097453</t>
  </si>
  <si>
    <t>-474.436939479481 222.510383592114 -256.136490933063</t>
  </si>
  <si>
    <t>-473.796581897974 206.992712359688 199.293516021867</t>
  </si>
  <si>
    <t>-496.424090352971 164.495393561874 666.738777528667</t>
  </si>
  <si>
    <t>-346.042812119911 156.819468750774 757.678693924548</t>
  </si>
  <si>
    <t>-528.586308704042 34.9229987647078 -247.223287593571</t>
  </si>
  <si>
    <t>-442.603949104471 -24.5142256771522 196.321411849091</t>
  </si>
  <si>
    <t>-575.24018407057 -95.1329364104795 640.366046829386</t>
  </si>
  <si>
    <t>-430.442517948839 -148.94683193745 724.516023885406</t>
  </si>
  <si>
    <t>9763-20170724T164309.321958800.bin</t>
  </si>
  <si>
    <t>-501.412176679028 129.847966790469 -251.575726592803</t>
  </si>
  <si>
    <t>-533.744167058854 133.61895533229 -368.230125843305</t>
  </si>
  <si>
    <t>-530.981619860592 132.854341686486 -489.400881538721</t>
  </si>
  <si>
    <t>-514.151801555072 130.145876585251 -597.587042032489</t>
  </si>
  <si>
    <t>-483.384541134666 125.411020171232 -702.591003599702</t>
  </si>
  <si>
    <t>-426.539527046337 116.705681694104 -843.632986777024</t>
  </si>
  <si>
    <t>-359.774944558615 111.428227766081 -920.428914361576</t>
  </si>
  <si>
    <t>-441.448847905553 150.57000980065 -778.950440490136</t>
  </si>
  <si>
    <t>-402.232608395879 286.797702139245 -739.852978791933</t>
  </si>
  <si>
    <t>-404.578146156628 320.721364205496 -425.162851476084</t>
  </si>
  <si>
    <t>-207.750739788431 215.201609489389 -291.87142855471</t>
  </si>
  <si>
    <t>-461.934590813247 90.5449481780978 -783.502188631661</t>
  </si>
  <si>
    <t>-475.450372025523 223.963032219464 -256.438939814185</t>
  </si>
  <si>
    <t>-473.821889054632 208.107662684189 198.976940576513</t>
  </si>
  <si>
    <t>-496.011820693837 165.186420220583 666.291811471811</t>
  </si>
  <si>
    <t>-345.959793734392 156.362716508666 757.670412657268</t>
  </si>
  <si>
    <t>-527.361296610177 35.8007754618059 -246.257656029153</t>
  </si>
  <si>
    <t>-440.055272317182 -22.9239078587696 197.123391309241</t>
  </si>
  <si>
    <t>-575.208468172707 -94.5920393997219 640.128707675027</t>
  </si>
  <si>
    <t>-430.445163693937 -148.798537256511 724.085610437303</t>
  </si>
  <si>
    <t>9763-20170724T164309.389141100.bin</t>
  </si>
  <si>
    <t>-500.710019476796 132.228757170731 -251.090606205466</t>
  </si>
  <si>
    <t>-535.327883864091 134.560510992232 -367.125021728317</t>
  </si>
  <si>
    <t>-535.663472847317 132.76052012142 -488.315704560501</t>
  </si>
  <si>
    <t>-521.889361376815 129.301198703258 -596.912158863438</t>
  </si>
  <si>
    <t>-494.370721951423 124.005448450319 -702.787132974162</t>
  </si>
  <si>
    <t>-442.175853474169 114.719984781657 -845.578896736041</t>
  </si>
  <si>
    <t>-377.897167402391 109.353977590581 -924.461356874252</t>
  </si>
  <si>
    <t>-455.2703976823 148.961079869808 -780.701995124047</t>
  </si>
  <si>
    <t>-416.877974083589 286.192596277244 -744.565223000117</t>
  </si>
  <si>
    <t>-404.671479568921 309.491707552445 -429.137964719945</t>
  </si>
  <si>
    <t>-208.721967452711 199.483985137552 -298.202343701287</t>
  </si>
  <si>
    <t>-475.270491055681 88.6959558749748 -784.093868384586</t>
  </si>
  <si>
    <t>-349.158199642571 0.231766780108146 -432.4031361091</t>
  </si>
  <si>
    <t>-476.846260466018 225.827173094506 -257.041079446176</t>
  </si>
  <si>
    <t>-474.698393065641 210.468038615602 198.389745201654</t>
  </si>
  <si>
    <t>-495.308157920738 165.502527783217 665.894582291126</t>
  </si>
  <si>
    <t>-345.57401651925 155.284197876505 757.648470579334</t>
  </si>
  <si>
    <t>-524.214668613596 38.5238555020013 -244.438254169858</t>
  </si>
  <si>
    <t>-434.442607384113 -20.9321177995447 198.352579307384</t>
  </si>
  <si>
    <t>-574.899744901703 -93.4251624724341 639.298662345498</t>
  </si>
  <si>
    <t>-431.066417828108 -149.643816712578 723.530254957706</t>
  </si>
  <si>
    <t>9763-20170724T164309.420723300.bin</t>
  </si>
  <si>
    <t>-500.305458915361 132.91924660004 -250.77399352721</t>
  </si>
  <si>
    <t>-535.780824159565 134.651999552214 -366.559658195628</t>
  </si>
  <si>
    <t>-537.452188335519 132.389961282503 -487.731606287662</t>
  </si>
  <si>
    <t>-525.051432706901 128.573031747155 -596.481371542888</t>
  </si>
  <si>
    <t>-499.044945878216 122.979416207706 -702.722770171221</t>
  </si>
  <si>
    <t>-449.065617272553 113.340913132002 -846.281567859884</t>
  </si>
  <si>
    <t>-386.078125770729 107.7967378846 -926.186700654065</t>
  </si>
  <si>
    <t>-461.199102990516 147.757402683924 -781.310818489907</t>
  </si>
  <si>
    <t>-422.481955830799 285.315233841389 -746.394277686124</t>
  </si>
  <si>
    <t>-405.155202335228 305.863351285403 -431.015730638639</t>
  </si>
  <si>
    <t>-210.798862360613 189.665741502232 -303.08681809208</t>
  </si>
  <si>
    <t>-481.160724876712 87.4539082814765 -784.211686712011</t>
  </si>
  <si>
    <t>-477.112194746963 226.36930006071 -257.269346166323</t>
  </si>
  <si>
    <t>-474.822031562183 210.702368012152 198.150152770287</t>
  </si>
  <si>
    <t>-495.251191532076 165.727689723419 665.976707288396</t>
  </si>
  <si>
    <t>-345.640590677567 154.086122573743 757.7625836067</t>
  </si>
  <si>
    <t>-523.220118594916 39.2648021004975 -243.441924741674</t>
  </si>
  <si>
    <t>-431.756284943567 -19.8679798519661 199.045666929594</t>
  </si>
  <si>
    <t>-574.702472457977 -92.9303791907742 638.880570377644</t>
  </si>
  <si>
    <t>-431.535748948944 -150.423541387374 723.386953586823</t>
  </si>
  <si>
    <t>9763-20170724T164309.492919100.bin</t>
  </si>
  <si>
    <t>-499.220735929183 132.150116213032 -250.044760668762</t>
  </si>
  <si>
    <t>-535.918647760162 132.977480814698 -365.458562750053</t>
  </si>
  <si>
    <t>-539.781658921838 129.746556645334 -486.558622651207</t>
  </si>
  <si>
    <t>-529.716255615421 125.038232070628 -595.514386683339</t>
  </si>
  <si>
    <t>-506.355188816268 118.54190945108 -702.317583422826</t>
  </si>
  <si>
    <t>-460.323752158793 107.63892429649 -847.101039302871</t>
  </si>
  <si>
    <t>-399.761575334371 101.431334831657 -928.811867171903</t>
  </si>
  <si>
    <t>-470.567477893951 142.587143760646 -782.088710726642</t>
  </si>
  <si>
    <t>-430.535788268463 280.33884587801 -749.780209950167</t>
  </si>
  <si>
    <t>-411.327098388124 304.064904940993 -434.733772880428</t>
  </si>
  <si>
    <t>-215.813587919796 186.172429991216 -310.162923762712</t>
  </si>
  <si>
    <t>-490.814974481145 82.3391414657952 -783.98895563352</t>
  </si>
  <si>
    <t>-476.590852023096 225.37445547185 -257.340617495709</t>
  </si>
  <si>
    <t>-474.576538076942 210.155095935354 198.095432513784</t>
  </si>
  <si>
    <t>-495.156450116743 165.617203552024 666.113326350173</t>
  </si>
  <si>
    <t>-345.480374582979 154.080819504225 757.8056989113</t>
  </si>
  <si>
    <t>-521.552806304983 38.5974300018811 -241.899080927619</t>
  </si>
  <si>
    <t>-427.831966769787 -19.5171448739426 200.251056126222</t>
  </si>
  <si>
    <t>-574.545564954861 -92.9864933156174 638.447937640495</t>
  </si>
  <si>
    <t>-431.144211379705 -149.627197776827 723.132061531482</t>
  </si>
  <si>
    <t>9763-20170724T164309.520493800.bin</t>
  </si>
  <si>
    <t>-498.923300531374 131.456597187757 -249.720185912664</t>
  </si>
  <si>
    <t>-536.049364416722 132.063358067058 -364.998425043624</t>
  </si>
  <si>
    <t>-540.864589622883 128.438162951536 -486.053143579308</t>
  </si>
  <si>
    <t>-531.857657967007 123.318057498061 -595.083073218627</t>
  </si>
  <si>
    <t>-509.732746390382 116.363543663973 -702.120359888825</t>
  </si>
  <si>
    <t>-465.580012589992 104.783005569622 -847.435222453016</t>
  </si>
  <si>
    <t>-406.135492583902 98.1925852256164 -929.933125641292</t>
  </si>
  <si>
    <t>-474.965946843965 140.029422773084 -782.454404387304</t>
  </si>
  <si>
    <t>-434.768591744643 278.067529187161 -751.52014878783</t>
  </si>
  <si>
    <t>-415.213668372376 302.800234630016 -436.572330280853</t>
  </si>
  <si>
    <t>-218.586260294024 188.317336473805 -310.582812202251</t>
  </si>
  <si>
    <t>-495.266524029431 79.7847531814743 -783.821387843779</t>
  </si>
  <si>
    <t>-476.2984180001 224.577783895814 -257.267120064968</t>
  </si>
  <si>
    <t>-474.366156783995 209.514606652856 198.174521007944</t>
  </si>
  <si>
    <t>-495.121450986722 165.18619592408 666.296657029118</t>
  </si>
  <si>
    <t>-345.440060367665 153.391410086199 757.947478464785</t>
  </si>
  <si>
    <t>-521.324814744823 38.2566061629722 -241.277313881646</t>
  </si>
  <si>
    <t>-426.799445735601 -19.3641017582401 200.766187986078</t>
  </si>
  <si>
    <t>-574.605085859251 -92.5139702733203 638.556157847236</t>
  </si>
  <si>
    <t>-431.374388067897 -149.842082042062 723.06619215606</t>
  </si>
  <si>
    <t>9763-20170724T164309.554669400.bin</t>
  </si>
  <si>
    <t>-499.07195242387 130.82449929289 -249.223054223197</t>
  </si>
  <si>
    <t>-536.445900467433 131.332714804036 -364.421804508467</t>
  </si>
  <si>
    <t>-542.001367555299 127.426124913377 -485.435968096761</t>
  </si>
  <si>
    <t>-533.852662268302 121.996463868106 -594.518399758941</t>
  </si>
  <si>
    <t>-512.758288072693 114.688270877821 -701.739888121183</t>
  </si>
  <si>
    <t>-470.196788990142 102.580150275571 -847.485990487731</t>
  </si>
  <si>
    <t>-411.717210228554 95.653258699392 -930.643404265797</t>
  </si>
  <si>
    <t>-478.912048233197 138.075500889382 -782.5472691422</t>
  </si>
  <si>
    <t>-438.621904578685 276.302434669001 -752.844021079501</t>
  </si>
  <si>
    <t>-418.606140589098 302.888508347296 -438.076188198458</t>
  </si>
  <si>
    <t>-220.791595487113 193.316964655838 -309.602337811292</t>
  </si>
  <si>
    <t>-499.145785910015 77.7996566251132 -783.448484161294</t>
  </si>
  <si>
    <t>-476.495230491379 223.822377361471 -257.004281635784</t>
  </si>
  <si>
    <t>-474.330672594362 208.597182637995 198.430876177467</t>
  </si>
  <si>
    <t>-495.28515255853 164.908661300481 666.650350922837</t>
  </si>
  <si>
    <t>-345.62589312828 152.959854158836 758.317494249655</t>
  </si>
  <si>
    <t>-521.490894716892 37.9354448018361 -240.662600167081</t>
  </si>
  <si>
    <t>-426.429966200627 -19.6185453591806 201.274726932258</t>
  </si>
  <si>
    <t>-574.768408323026 -92.5590741516938 638.743641212857</t>
  </si>
  <si>
    <t>-431.417742856242 -149.947703411418 723.008950588663</t>
  </si>
  <si>
    <t>9763-20170724T164309.624400100.bin</t>
  </si>
  <si>
    <t>-500.081843553293 129.824254556224 -248.530938264904</t>
  </si>
  <si>
    <t>-538.395902637482 130.465315055607 -363.41979820104</t>
  </si>
  <si>
    <t>-545.400788677397 126.166214770487 -484.345509606523</t>
  </si>
  <si>
    <t>-538.73924918169 120.21688089199 -593.50159872175</t>
  </si>
  <si>
    <t>-519.282788035905 112.25512347092 -700.98614194242</t>
  </si>
  <si>
    <t>-479.126343574676 99.1277379153026 -847.32525399177</t>
  </si>
  <si>
    <t>-422.218042337394 91.6704761965956 -931.520311059701</t>
  </si>
  <si>
    <t>-486.895296037271 135.1167421637 -782.538192095346</t>
  </si>
  <si>
    <t>-446.632806634359 273.795765275438 -754.72648188898</t>
  </si>
  <si>
    <t>-421.540644274487 302.940483459833 -440.549519575035</t>
  </si>
  <si>
    <t>-221.738905348439 202.427783142256 -307.814760483575</t>
  </si>
  <si>
    <t>-506.893408421456 74.7556390836889 -782.611061774819</t>
  </si>
  <si>
    <t>-477.606488252026 222.51751840983 -256.60383010187</t>
  </si>
  <si>
    <t>-474.30008310592 206.793636150608 198.807451507902</t>
  </si>
  <si>
    <t>-495.232307510167 163.946249340059 667.032868674216</t>
  </si>
  <si>
    <t>-345.885583118879 151.146791835175 759.093869729526</t>
  </si>
  <si>
    <t>-522.586229968423 37.1900817922675 -239.677309313055</t>
  </si>
  <si>
    <t>-425.967614395731 -20.0440328625952 201.963558191463</t>
  </si>
  <si>
    <t>-575.02966744727 -91.6012096721522 639.17453844906</t>
  </si>
  <si>
    <t>-431.732523544638 -149.891668214684 722.910203357168</t>
  </si>
  <si>
    <t>9763-20170724T164309.688560200.bin</t>
  </si>
  <si>
    <t>-501.375423124626 128.878575833864 -248.099040155799</t>
  </si>
  <si>
    <t>-540.162758855094 129.147549190891 -362.830323513286</t>
  </si>
  <si>
    <t>-548.188215276397 124.431640146548 -483.677087344842</t>
  </si>
  <si>
    <t>-542.655282050273 118.116194195119 -592.875583157565</t>
  </si>
  <si>
    <t>-524.513000872792 109.81545251713 -700.564099108346</t>
  </si>
  <si>
    <t>-486.351630527182 96.2586742768849 -847.397145166599</t>
  </si>
  <si>
    <t>-430.78869543924 88.509319361242 -932.459918011754</t>
  </si>
  <si>
    <t>-493.277550181789 132.450222505807 -782.627380109021</t>
  </si>
  <si>
    <t>-453.091353716393 271.387648513498 -756.161716616327</t>
  </si>
  <si>
    <t>-416.29618548708 297.54491142726 -442.875824963901</t>
  </si>
  <si>
    <t>-213.93872007531 206.566360046349 -307.168748310067</t>
  </si>
  <si>
    <t>-513.196188770156 72.0640049328876 -782.228717346511</t>
  </si>
  <si>
    <t>-478.549088558142 221.093727353639 -256.893881863724</t>
  </si>
  <si>
    <t>-474.219830063622 205.728607011586 198.521162102918</t>
  </si>
  <si>
    <t>-494.676504183484 163.922696249107 666.607525795586</t>
  </si>
  <si>
    <t>-345.934888893667 150.144127141434 759.503126876691</t>
  </si>
  <si>
    <t>-523.800346872292 36.6836961967479 -238.79376826875</t>
  </si>
  <si>
    <t>-425.37187789211 -20.6020604853594 202.440629390303</t>
  </si>
  <si>
    <t>-575.231918660241 -90.8692742023042 639.398783452699</t>
  </si>
  <si>
    <t>-432.155623658325 -149.851899634757 723.027351400167</t>
  </si>
  <si>
    <t>9763-20170724T164309.720647300.bin</t>
  </si>
  <si>
    <t>-501.970462313295 128.191882448502 -248.060751224406</t>
  </si>
  <si>
    <t>-541.068902981693 128.374077934805 -362.686554227732</t>
  </si>
  <si>
    <t>-549.666278281662 123.533134219357 -483.489021902397</t>
  </si>
  <si>
    <t>-544.74781374367 117.095273311507 -592.709975802131</t>
  </si>
  <si>
    <t>-527.307735850192 108.666277499975 -700.504368070192</t>
  </si>
  <si>
    <t>-490.202483009117 94.9277557370976 -847.591019322677</t>
  </si>
  <si>
    <t>-435.390362015758 86.990998583428 -933.122458538217</t>
  </si>
  <si>
    <t>-496.613663601907 131.183232296096 -782.804024626389</t>
  </si>
  <si>
    <t>-456.110856314779 270.131452762046 -756.777077511009</t>
  </si>
  <si>
    <t>-412.272683162409 294.601737004598 -444.262168344587</t>
  </si>
  <si>
    <t>-209.837494831238 204.615072021263 -308.010702558123</t>
  </si>
  <si>
    <t>-516.627149429654 70.8299773146587 -782.215426458028</t>
  </si>
  <si>
    <t>-479.087489816223 220.425398275091 -257.15724197348</t>
  </si>
  <si>
    <t>-474.07310844092 205.340809932493 198.260002609615</t>
  </si>
  <si>
    <t>-494.37439014974 164.105347695326 666.387383364524</t>
  </si>
  <si>
    <t>-346.011178896951 149.092535332915 759.696024199233</t>
  </si>
  <si>
    <t>-524.560557923739 35.9605263569898 -238.456132386148</t>
  </si>
  <si>
    <t>-425.033882057825 -20.8566806639906 202.592465241715</t>
  </si>
  <si>
    <t>-575.393116279011 -90.973346534901 639.462762976589</t>
  </si>
  <si>
    <t>-432.267345795507 -149.810064428052 723.109353895583</t>
  </si>
  <si>
    <t>9763-20170724T164309.788928400.bin</t>
  </si>
  <si>
    <t>-503.397942913608 126.375641708819 -248.370586163734</t>
  </si>
  <si>
    <t>-542.79409586148 126.216581198355 -362.894450181207</t>
  </si>
  <si>
    <t>-552.288444212131 121.044075010109 -483.61593962895</t>
  </si>
  <si>
    <t>-548.417304902024 114.309674275788 -592.861113103681</t>
  </si>
  <si>
    <t>-532.245572448607 105.585911703756 -700.829781113383</t>
  </si>
  <si>
    <t>-497.113039446645 91.4371081707467 -848.361275390697</t>
  </si>
  <si>
    <t>-444.247206919418 83.1176099900962 -935.073217941942</t>
  </si>
  <si>
    <t>-502.49901350626 127.820977028482 -783.552880798317</t>
  </si>
  <si>
    <t>-461.125716914409 266.725296041933 -758.721375986288</t>
  </si>
  <si>
    <t>-407.576076304386 286.017578190826 -447.359098401295</t>
  </si>
  <si>
    <t>-205.149189860181 193.610569406423 -312.724826457657</t>
  </si>
  <si>
    <t>-522.817165740951 67.5741325027569 -782.613394212595</t>
  </si>
  <si>
    <t>-480.060971967004 218.257842723886 -257.815249807702</t>
  </si>
  <si>
    <t>-474.338701633528 203.53413360395 197.605592595111</t>
  </si>
  <si>
    <t>-493.640696255324 163.570606979691 665.962095436061</t>
  </si>
  <si>
    <t>-345.53601744488 149.144780184592 759.772543777203</t>
  </si>
  <si>
    <t>-526.628154353802 34.3628531013131 -238.304807293622</t>
  </si>
  <si>
    <t>-424.969974316629 -21.1014725648316 202.429797318699</t>
  </si>
  <si>
    <t>-575.544569867529 -90.6283156099216 639.398465231606</t>
  </si>
  <si>
    <t>-432.484266834901 -149.442952661472 723.172544388727</t>
  </si>
  <si>
    <t>9763-20170724T164309.822025100.bin</t>
  </si>
  <si>
    <t>-503.993698830923 125.564546894923 -248.496990005979</t>
  </si>
  <si>
    <t>-543.378860065561 125.359776138604 -363.024520734936</t>
  </si>
  <si>
    <t>-553.222530158013 120.06992181207 -483.712856476796</t>
  </si>
  <si>
    <t>-549.813171735953 113.201424588703 -592.965133903175</t>
  </si>
  <si>
    <t>-534.242367917361 104.31597709692 -701.008801079451</t>
  </si>
  <si>
    <t>-500.079842261829 89.9136614648646 -848.743352612673</t>
  </si>
  <si>
    <t>-448.449319837794 81.3587496459259 -936.173925441486</t>
  </si>
  <si>
    <t>-504.960252968008 126.382117381882 -783.94259267885</t>
  </si>
  <si>
    <t>-463.298438032159 265.321114729977 -759.751615499492</t>
  </si>
  <si>
    <t>-405.483917814155 280.954511666549 -448.947418865741</t>
  </si>
  <si>
    <t>-203.661505550699 188.111315520142 -313.707369715628</t>
  </si>
  <si>
    <t>-525.43117341282 66.1903271602068 -782.808265019996</t>
  </si>
  <si>
    <t>-480.390621082171 217.45053636634 -258.031195405982</t>
  </si>
  <si>
    <t>-474.825415371623 203.087892969449 197.402998541392</t>
  </si>
  <si>
    <t>-493.477329964464 163.704854981092 665.864841472083</t>
  </si>
  <si>
    <t>-345.492486731321 148.694936883079 759.772707150993</t>
  </si>
  <si>
    <t>-527.34542762924 33.764428082749 -238.325859148794</t>
  </si>
  <si>
    <t>-425.250656370716 -21.4842637159348 202.334832619331</t>
  </si>
  <si>
    <t>-575.732158787999 -90.7438921158224 639.503005381059</t>
  </si>
  <si>
    <t>-432.689403220133 -149.604044626311 723.27503647957</t>
  </si>
  <si>
    <t>9763-20170724T164309.894218800.bin</t>
  </si>
  <si>
    <t>-504.77150598746 124.131574625146 -248.802961313739</t>
  </si>
  <si>
    <t>-544.294536103091 123.946316058611 -363.283143129947</t>
  </si>
  <si>
    <t>-554.865371599837 118.471427909225 -483.901721768728</t>
  </si>
  <si>
    <t>-552.350288873104 111.349173883968 -593.162007613702</t>
  </si>
  <si>
    <t>-537.899084477201 102.121684891517 -701.332433556352</t>
  </si>
  <si>
    <t>-505.511046321396 87.1497417629199 -849.40978906625</t>
  </si>
  <si>
    <t>-456.405770996815 78.0439211803066 -938.228307294278</t>
  </si>
  <si>
    <t>-509.480185012796 123.822532326928 -784.661987407634</t>
  </si>
  <si>
    <t>-467.086791422153 262.746071497662 -761.652518519618</t>
  </si>
  <si>
    <t>-403.618540930764 269.178481339724 -451.625823772652</t>
  </si>
  <si>
    <t>-205.787176939797 176.875529255055 -310.257600983218</t>
  </si>
  <si>
    <t>-530.203379323863 63.7262626680651 -783.118345261294</t>
  </si>
  <si>
    <t>-480.905614301021 216.079995937407 -258.363146827921</t>
  </si>
  <si>
    <t>-474.846047424246 202.079424865131 197.076151216977</t>
  </si>
  <si>
    <t>-493.145524582089 163.765877767164 665.717175122268</t>
  </si>
  <si>
    <t>-345.226014228671 148.592637280805 759.701781600757</t>
  </si>
  <si>
    <t>-528.553637209838 32.2590800044963 -238.418129338356</t>
  </si>
  <si>
    <t>-426.072613470399 -22.8455129324036 202.170994152214</t>
  </si>
  <si>
    <t>-576.155142512545 -90.7074799946717 639.836644673466</t>
  </si>
  <si>
    <t>-432.997469851896 -149.36802946985 723.552358334877</t>
  </si>
  <si>
    <t>9763-20170724T164309.923297400.bin</t>
  </si>
  <si>
    <t>-505.087275298491 123.630556805558 -248.741942623035</t>
  </si>
  <si>
    <t>-544.593461647911 123.49955433874 -363.227947310354</t>
  </si>
  <si>
    <t>-555.459125534263 117.955841664392 -483.817194031436</t>
  </si>
  <si>
    <t>-553.338062802451 110.717373865248 -593.078102350051</t>
  </si>
  <si>
    <t>-539.4038311605 101.317315828088 -701.301636967384</t>
  </si>
  <si>
    <t>-507.85533531389 86.0445579459668 -849.52925040968</t>
  </si>
  <si>
    <t>-459.844414244772 76.5829741669939 -938.907229315094</t>
  </si>
  <si>
    <t>-511.355513437367 122.814117543483 -784.809239146939</t>
  </si>
  <si>
    <t>-468.372355831605 261.619709777372 -762.242200438841</t>
  </si>
  <si>
    <t>-402.78614782205 264.861584622447 -452.606758246972</t>
  </si>
  <si>
    <t>-206.617767983223 171.796280668542 -309.432463855142</t>
  </si>
  <si>
    <t>-532.273669881051 62.7905607136708 -783.076921339169</t>
  </si>
  <si>
    <t>-480.980851301463 215.625076779681 -258.388510251295</t>
  </si>
  <si>
    <t>-474.759488311006 201.791720021103 197.053759006638</t>
  </si>
  <si>
    <t>-493.055189850157 164.024405229646 665.692495822872</t>
  </si>
  <si>
    <t>-345.249675739653 147.9762599832 759.711073966798</t>
  </si>
  <si>
    <t>-529.051277777094 31.7905381907447 -238.319842415407</t>
  </si>
  <si>
    <t>-426.418094094664 -23.4078018531528 202.222084314375</t>
  </si>
  <si>
    <t>-576.429285073708 -90.892483538786 640.051636609221</t>
  </si>
  <si>
    <t>-433.247715721959 -149.563982044169 723.71889899118</t>
  </si>
  <si>
    <t>9763-20170724T164309.988470900.bin</t>
  </si>
  <si>
    <t>-505.253642863017 122.975613129652 -248.536991150776</t>
  </si>
  <si>
    <t>-544.931712235414 122.843410841245 -362.963567362524</t>
  </si>
  <si>
    <t>-556.435099131824 117.008379734998 -483.479922242913</t>
  </si>
  <si>
    <t>-555.078106294456 109.384047723787 -592.726827058836</t>
  </si>
  <si>
    <t>-542.087472179304 99.4740811533758 -701.022113779178</t>
  </si>
  <si>
    <t>-512.026045985121 83.3613150795296 -849.469760563649</t>
  </si>
  <si>
    <t>-465.666680173901 73.0983160569188 -939.627810913291</t>
  </si>
  <si>
    <t>-514.664233412115 120.42333567995 -784.875834713043</t>
  </si>
  <si>
    <t>-470.29229440338 258.973982352542 -763.396603862615</t>
  </si>
  <si>
    <t>-404.217082516092 261.630573020414 -453.859628447704</t>
  </si>
  <si>
    <t>-209.772318208464 164.678865915418 -310.913268916058</t>
  </si>
  <si>
    <t>-535.990354295114 60.5580937663844 -782.696695333283</t>
  </si>
  <si>
    <t>-480.615642391337 214.855009342075 -258.406664380259</t>
  </si>
  <si>
    <t>-474.219815633748 201.201666087576 197.038615172561</t>
  </si>
  <si>
    <t>-492.802636840011 164.182626136561 665.683741179433</t>
  </si>
  <si>
    <t>-345.001729717726 148.178907415564 759.717189577326</t>
  </si>
  <si>
    <t>-529.800540983322 31.094232610454 -237.982695078273</t>
  </si>
  <si>
    <t>-426.892731169203 -24.0079954479334 202.507274898679</t>
  </si>
  <si>
    <t>-576.840389006447 -90.6141976610148 640.439542702459</t>
  </si>
  <si>
    <t>-433.761683003581 -149.638300869485 724.034748061705</t>
  </si>
  <si>
    <t>9763-20170724T164310.027624400.bin</t>
  </si>
  <si>
    <t>-505.254107154625 122.711838162419 -248.465657403026</t>
  </si>
  <si>
    <t>-545.112282798307 122.632380778266 -362.829680548887</t>
  </si>
  <si>
    <t>-556.977836209197 116.650258462155 -483.303642844718</t>
  </si>
  <si>
    <t>-556.018331855155 108.817347049975 -592.539997044536</t>
  </si>
  <si>
    <t>-543.490362588056 98.6270334774017 -700.863833668692</t>
  </si>
  <si>
    <t>-514.134289329254 82.0538731377537 -849.40192975209</t>
  </si>
  <si>
    <t>-468.351698331049 71.4320950799242 -939.812695143884</t>
  </si>
  <si>
    <t>-516.420640523405 119.300306953576 -784.900796545734</t>
  </si>
  <si>
    <t>-471.796814397011 257.8279656977 -763.939912408001</t>
  </si>
  <si>
    <t>-404.522765718347 261.531363424165 -454.671981103682</t>
  </si>
  <si>
    <t>-212.12147288469 160.107980009109 -312.063713150302</t>
  </si>
  <si>
    <t>-537.826224324886 59.4737167426103 -782.456034985841</t>
  </si>
  <si>
    <t>-480.379952635574 214.590463364916 -258.405142922267</t>
  </si>
  <si>
    <t>-473.763558427111 200.89920128527 197.035737671932</t>
  </si>
  <si>
    <t>-492.597391096256 163.923507228471 665.665881322257</t>
  </si>
  <si>
    <t>-344.783994621168 148.17144867427 759.722261253944</t>
  </si>
  <si>
    <t>-530.065221453743 30.9928117976521 -237.797228972854</t>
  </si>
  <si>
    <t>-427.002738335324 -24.3573014557053 202.625516126169</t>
  </si>
  <si>
    <t>-577.034462212408 -90.6175612387076 640.617352927622</t>
  </si>
  <si>
    <t>-433.948301453245 -149.647529196855 724.195713606394</t>
  </si>
  <si>
    <t>9763-20170724T164310.085784000.bin</t>
  </si>
  <si>
    <t>-505.28250668821 122.931589308004 -248.233486939481</t>
  </si>
  <si>
    <t>-545.324979713124 122.789160249628 -362.533085305157</t>
  </si>
  <si>
    <t>-557.699625334948 116.542721164233 -482.942486319503</t>
  </si>
  <si>
    <t>-557.330854713558 108.383852740088 -592.158549807675</t>
  </si>
  <si>
    <t>-545.518918223672 97.7777044595863 -700.522845166764</t>
  </si>
  <si>
    <t>-517.281371344647 80.5302164113897 -849.200885193591</t>
  </si>
  <si>
    <t>-472.249620363649 69.3311832432835 -939.918683338439</t>
  </si>
  <si>
    <t>-518.977685349806 118.03231692145 -784.829853816309</t>
  </si>
  <si>
    <t>-473.432274455095 256.387230195511 -764.741349025872</t>
  </si>
  <si>
    <t>-403.480380517959 262.320996798019 -456.102830262544</t>
  </si>
  <si>
    <t>-214.316316344486 149.881506500233 -317.479761390388</t>
  </si>
  <si>
    <t>-540.573541077377 58.2910899470955 -782.001155090163</t>
  </si>
  <si>
    <t>-480.101056239695 214.894097954052 -258.36377586859</t>
  </si>
  <si>
    <t>-472.791637185292 201.005533926855 197.060515462335</t>
  </si>
  <si>
    <t>-492.31534082957 164.158538183959 665.617390885737</t>
  </si>
  <si>
    <t>-344.667680238936 147.544465384084 759.785636159684</t>
  </si>
  <si>
    <t>-530.288907224914 31.074383839306 -237.467563029344</t>
  </si>
  <si>
    <t>-427.27512406121 -24.4662629511786 202.94259703113</t>
  </si>
  <si>
    <t>-577.419976250232 -90.6663506688265 640.981193280795</t>
  </si>
  <si>
    <t>-434.354912913926 -149.712972823219 724.58375941523</t>
  </si>
  <si>
    <t>9763-20170724T164310.121374300.bin</t>
  </si>
  <si>
    <t>-505.26657519875 123.293137108545 -248.137060920976</t>
  </si>
  <si>
    <t>-545.448488055952 123.095216215213 -362.387546648423</t>
  </si>
  <si>
    <t>-558.063820473858 116.744066169707 -482.766432258624</t>
  </si>
  <si>
    <t>-557.953253808403 108.462525050981 -591.973777640828</t>
  </si>
  <si>
    <t>-546.438979369876 97.7008071734876 -700.35490816742</t>
  </si>
  <si>
    <t>-518.65396019621 80.1984781364734 -849.088499559859</t>
  </si>
  <si>
    <t>-473.92112015194 68.7676136537315 -939.925081501391</t>
  </si>
  <si>
    <t>-520.092454683022 117.789038668255 -784.762725083157</t>
  </si>
  <si>
    <t>-474.076196217998 256.040193227539 -764.952906466081</t>
  </si>
  <si>
    <t>-403.344286937713 261.026762139499 -456.475522976086</t>
  </si>
  <si>
    <t>-214.00126428237 145.650159223034 -320.536204215609</t>
  </si>
  <si>
    <t>-541.803472639611 58.0963268103094 -781.794099403998</t>
  </si>
  <si>
    <t>-480.084477755253 215.188434900277 -258.31729214154</t>
  </si>
  <si>
    <t>-472.384552665992 201.131407442159 197.095572696713</t>
  </si>
  <si>
    <t>-492.133608476143 164.048848330383 665.616719552922</t>
  </si>
  <si>
    <t>-344.486864987691 147.550332419693 759.806740014291</t>
  </si>
  <si>
    <t>-530.315503796373 31.5094284741685 -237.273700267702</t>
  </si>
  <si>
    <t>-427.300798601489 -24.1298963830408 203.123686060309</t>
  </si>
  <si>
    <t>-577.569036482236 -90.4163577141019 641.143456600328</t>
  </si>
  <si>
    <t>-434.836592594377 -150.183097796667 724.802841709998</t>
  </si>
  <si>
    <t>9763-20170724T164310.189558100.bin</t>
  </si>
  <si>
    <t>-505.540682329872 123.923829210128 -247.799306105073</t>
  </si>
  <si>
    <t>-545.834798385799 123.581165577081 -362.009959677962</t>
  </si>
  <si>
    <t>-558.684683390658 117.081504574764 -482.356130981194</t>
  </si>
  <si>
    <t>-558.836901889276 108.653392505599 -591.552304233293</t>
  </si>
  <si>
    <t>-547.634812411538 97.7262095482854 -699.949520890373</t>
  </si>
  <si>
    <t>-520.333485014765 79.9676842811657 -848.742184498134</t>
  </si>
  <si>
    <t>-476.018847279519 68.1712950709771 -939.736913532878</t>
  </si>
  <si>
    <t>-521.458056552328 117.631864777885 -784.453368362539</t>
  </si>
  <si>
    <t>-475.000425316258 255.77602680266 -764.896202095189</t>
  </si>
  <si>
    <t>-403.185934137343 259.812597660436 -456.655091773889</t>
  </si>
  <si>
    <t>-213.231227907263 143.897672801812 -322.033542788845</t>
  </si>
  <si>
    <t>-543.368891797965 58.0186581416214 -781.358864303733</t>
  </si>
  <si>
    <t>-480.234433077595 215.892461244445 -258.17296946483</t>
  </si>
  <si>
    <t>-472.302797224558 201.516967589513 197.225888997678</t>
  </si>
  <si>
    <t>-491.8542353171 164.054119960733 665.635151990119</t>
  </si>
  <si>
    <t>-344.148290313979 147.983719672564 759.806317273043</t>
  </si>
  <si>
    <t>-530.69679763774 32.0397022437988 -236.712877092361</t>
  </si>
  <si>
    <t>-427.262776487588 -24.0920937192334 203.523655002219</t>
  </si>
  <si>
    <t>-577.942492189376 -91.0537445506441 641.32725143161</t>
  </si>
  <si>
    <t>-434.597483795567 -149.338160237686 724.985114908119</t>
  </si>
  <si>
    <t>9763-20170724T164310.224666100.bin</t>
  </si>
  <si>
    <t>-505.629929486453 124.583256554817 -247.635978252103</t>
  </si>
  <si>
    <t>-545.912961417199 124.097627726506 -361.850004637415</t>
  </si>
  <si>
    <t>-558.754726644991 117.459754523745 -482.189542347455</t>
  </si>
  <si>
    <t>-558.902272469973 108.906102509889 -591.375849841294</t>
  </si>
  <si>
    <t>-547.698698585216 97.851167795897 -699.759980809991</t>
  </si>
  <si>
    <t>-520.39925750487 79.9115230685248 -848.531418160822</t>
  </si>
  <si>
    <t>-476.182805853006 67.9128852446595 -939.547346836095</t>
  </si>
  <si>
    <t>-521.483790426172 117.640034167912 -784.279537887825</t>
  </si>
  <si>
    <t>-474.664961176849 255.702813323784 -764.907969458495</t>
  </si>
  <si>
    <t>-403.316462442025 260.7776928719 -456.574024525421</t>
  </si>
  <si>
    <t>-213.609001550391 142.278131555562 -323.86752732316</t>
  </si>
  <si>
    <t>-543.47297762487 58.0585174141117 -781.129798652233</t>
  </si>
  <si>
    <t>-480.267215459908 216.492664813672 -258.133083093899</t>
  </si>
  <si>
    <t>-472.520428026633 202.003369342758 197.265360272355</t>
  </si>
  <si>
    <t>-491.704891196572 164.159533218332 665.617639127785</t>
  </si>
  <si>
    <t>-344.023112778444 147.897248590198 759.793705083611</t>
  </si>
  <si>
    <t>-530.782950850975 32.6800098569251 -236.454805649334</t>
  </si>
  <si>
    <t>-427.033411511435 -23.6146032055318 203.686827929025</t>
  </si>
  <si>
    <t>-578.03774725004 -90.8269595354802 641.341904556924</t>
  </si>
  <si>
    <t>-435.010157900516 -149.802861492022 725.058491617281</t>
  </si>
  <si>
    <t>9763-20170724T164310.289839200.bin</t>
  </si>
  <si>
    <t>-505.682289412752 125.383597661824 -247.513300606914</t>
  </si>
  <si>
    <t>-545.985079313433 124.795668403066 -361.719862880036</t>
  </si>
  <si>
    <t>-559.067985494072 117.914631025377 -482.019746853687</t>
  </si>
  <si>
    <t>-559.52497554068 109.081118453808 -591.18303361489</t>
  </si>
  <si>
    <t>-548.720503212998 97.6846654107789 -699.572250349818</t>
  </si>
  <si>
    <t>-522.065238064289 79.2043027766941 -848.394360559462</t>
  </si>
  <si>
    <t>-478.114221928359 66.6739045118547 -939.467206205477</t>
  </si>
  <si>
    <t>-522.820979165345 117.147820076768 -784.264415841073</t>
  </si>
  <si>
    <t>-475.927000445623 255.265048765018 -765.66495549994</t>
  </si>
  <si>
    <t>-406.081271742482 264.548051270168 -457.084940311794</t>
  </si>
  <si>
    <t>-217.635484475458 139.830991493818 -328.337711105684</t>
  </si>
  <si>
    <t>-544.897754911633 57.6147224630801 -780.825916701386</t>
  </si>
  <si>
    <t>-480.292649438827 217.431698785108 -258.092683686233</t>
  </si>
  <si>
    <t>-472.890181085913 202.612726206173 197.30091423113</t>
  </si>
  <si>
    <t>-491.381186928549 164.140685621508 665.631323713779</t>
  </si>
  <si>
    <t>-343.636577892721 148.102091444338 759.747218445343</t>
  </si>
  <si>
    <t>-530.937368408983 33.4042674189752 -236.231647548718</t>
  </si>
  <si>
    <t>-426.973719098923 -23.1038496547545 203.832025372571</t>
  </si>
  <si>
    <t>-578.332831151119 -90.9090916131235 641.4193125574</t>
  </si>
  <si>
    <t>-435.240351595062 -149.674394536929 725.173148219723</t>
  </si>
  <si>
    <t>9763-20170724T164310.321424200.bin</t>
  </si>
  <si>
    <t>-505.712308252722 125.783787064997 -247.354388630357</t>
  </si>
  <si>
    <t>-545.870763120063 125.11870435486 -361.611394949824</t>
  </si>
  <si>
    <t>-558.954244374679 118.122501594095 -481.904537590816</t>
  </si>
  <si>
    <t>-559.474212336019 109.168368877007 -591.057669716227</t>
  </si>
  <si>
    <t>-548.79479480108 97.6335951852968 -699.444760347891</t>
  </si>
  <si>
    <t>-522.37686286081 78.9414596580996 -848.282486819341</t>
  </si>
  <si>
    <t>-478.510335556572 66.1976274655119 -939.366596627422</t>
  </si>
  <si>
    <t>-523.015278733321 116.970828309111 -784.20235622983</t>
  </si>
  <si>
    <t>-476.082257100509 255.162905094339 -766.095911618195</t>
  </si>
  <si>
    <t>-408.18102909211 265.170372435905 -457.104835578997</t>
  </si>
  <si>
    <t>-219.640971507579 140.314714008537 -328.630225259345</t>
  </si>
  <si>
    <t>-545.116695578549 57.453487161563 -780.650485328314</t>
  </si>
  <si>
    <t>-480.180167865741 217.856530281879 -258.006918776045</t>
  </si>
  <si>
    <t>-472.995409582328 202.915728714054 197.386142099643</t>
  </si>
  <si>
    <t>-491.224284321549 163.968175379756 665.678031517239</t>
  </si>
  <si>
    <t>-343.451327696402 147.959306773303 759.754452250744</t>
  </si>
  <si>
    <t>-531.034043241269 33.706784882039 -236.068999508331</t>
  </si>
  <si>
    <t>-426.88387681245 -22.9396936547664 203.932825704238</t>
  </si>
  <si>
    <t>-578.498059395315 -91.0623091402812 641.438906365216</t>
  </si>
  <si>
    <t>-435.314045196998 -149.612010279561 725.187204976577</t>
  </si>
  <si>
    <t>9763-20170724T164310.387624500.bin</t>
  </si>
  <si>
    <t>-505.35533690871 126.782184692249 -247.14662850226</t>
  </si>
  <si>
    <t>-545.671665529271 126.123459335685 -361.348057062212</t>
  </si>
  <si>
    <t>-559.095656064436 118.97714133616 -481.59484716882</t>
  </si>
  <si>
    <t>-559.994635949937 109.828574276528 -590.729378201217</t>
  </si>
  <si>
    <t>-549.761629961089 98.0436755607475 -699.132517981544</t>
  </si>
  <si>
    <t>-524.029459817322 78.9486400770589 -848.039445276437</t>
  </si>
  <si>
    <t>-480.423323124532 65.7791684928571 -939.188004050849</t>
  </si>
  <si>
    <t>-524.373788852331 117.151560515596 -784.06020967127</t>
  </si>
  <si>
    <t>-477.797581754222 255.554116711709 -766.859495142949</t>
  </si>
  <si>
    <t>-414.848684983675 265.711773178326 -456.826543168198</t>
  </si>
  <si>
    <t>-223.658140888428 146.211710766398 -327.181080125147</t>
  </si>
  <si>
    <t>-546.456543901322 57.6435868309273 -780.245186055136</t>
  </si>
  <si>
    <t>-479.616307597495 218.861914620514 -257.867649000227</t>
  </si>
  <si>
    <t>-472.641821205811 203.599443913503 197.518008435409</t>
  </si>
  <si>
    <t>-490.881455185773 163.780925116534 665.698419623227</t>
  </si>
  <si>
    <t>-343.037196891901 148.262262670929 759.744988968953</t>
  </si>
  <si>
    <t>-530.937234697226 34.7272859267996 -235.728368911172</t>
  </si>
  <si>
    <t>-426.311101687037 -22.4684899970294 204.089467385748</t>
  </si>
  <si>
    <t>-578.743090892636 -91.2020291934349 641.341802018112</t>
  </si>
  <si>
    <t>-435.777632930087 -150.165898598452 725.172776118567</t>
  </si>
  <si>
    <t>9763-20170724T164310.423906300.bin</t>
  </si>
  <si>
    <t>-505.063356909857 127.406861019822 -246.956308807618</t>
  </si>
  <si>
    <t>-545.476745626008 126.708768844079 -361.123083888955</t>
  </si>
  <si>
    <t>-559.085151883287 119.473899357732 -481.343918591459</t>
  </si>
  <si>
    <t>-560.183466583371 110.232476054714 -590.468728821014</t>
  </si>
  <si>
    <t>-550.179532782297 98.3461700223576 -698.882281653231</t>
  </si>
  <si>
    <t>-524.793517338422 79.1051780068401 -847.829631476012</t>
  </si>
  <si>
    <t>-481.336142400198 65.7786373507814 -939.026460707018</t>
  </si>
  <si>
    <t>-525.005048096002 117.376482298466 -783.890794115846</t>
  </si>
  <si>
    <t>-478.726977739408 255.956831565589 -767.168817110618</t>
  </si>
  <si>
    <t>-418.267904590009 265.895510597973 -456.633601017211</t>
  </si>
  <si>
    <t>-225.258560357677 150.244722625859 -326.1944803172</t>
  </si>
  <si>
    <t>-547.047066385234 57.8609874790466 -779.959472060671</t>
  </si>
  <si>
    <t>-479.177079366348 219.427453072338 -257.771078351894</t>
  </si>
  <si>
    <t>-472.323537459173 204.052790436827 197.612624811657</t>
  </si>
  <si>
    <t>-490.761152166229 163.793817277297 665.739154058219</t>
  </si>
  <si>
    <t>-342.873171795553 148.500076939731 759.753849526388</t>
  </si>
  <si>
    <t>-530.823434208426 35.4006592670206 -235.440826299932</t>
  </si>
  <si>
    <t>-425.815535743457 -22.0681966105722 204.250415842425</t>
  </si>
  <si>
    <t>-578.824993031974 -90.9459266963113 641.26948640863</t>
  </si>
  <si>
    <t>-435.924362429078 -149.995884721012 725.150378014141</t>
  </si>
  <si>
    <t>9763-20170724T164310.488075900.bin</t>
  </si>
  <si>
    <t>-504.425112880705 128.870268604505 -246.662087362132</t>
  </si>
  <si>
    <t>-545.195757686025 128.132920987809 -360.701547878236</t>
  </si>
  <si>
    <t>-559.358156612022 120.713355313426 -480.847077594549</t>
  </si>
  <si>
    <t>-561.028142280523 111.261637595995 -589.946778473044</t>
  </si>
  <si>
    <t>-551.659297625917 99.1313695456923 -698.389853572426</t>
  </si>
  <si>
    <t>-527.213872882293 79.5244933527347 -847.446909422102</t>
  </si>
  <si>
    <t>-484.13944415602 65.9085174880663 -938.7824938615</t>
  </si>
  <si>
    <t>-527.083105734723 117.974268755962 -783.615048092588</t>
  </si>
  <si>
    <t>-481.357524315916 256.811619984162 -767.765120054749</t>
  </si>
  <si>
    <t>-421.609974102008 267.240270619356 -457.108261642796</t>
  </si>
  <si>
    <t>-228.545874738552 156.176371073057 -322.820939666169</t>
  </si>
  <si>
    <t>-548.977359362013 58.4256194119145 -779.37260817346</t>
  </si>
  <si>
    <t>-478.366529809677 220.963637273001 -257.691384847255</t>
  </si>
  <si>
    <t>-471.651465855037 205.053520694444 197.675956876078</t>
  </si>
  <si>
    <t>-490.465715183829 164.105282091519 665.666123511927</t>
  </si>
  <si>
    <t>-342.63617829722 148.779521748862 759.767513503069</t>
  </si>
  <si>
    <t>-530.432860992589 36.9205873622965 -234.986481782914</t>
  </si>
  <si>
    <t>-424.905650870485 -21.3208353163781 204.478706152023</t>
  </si>
  <si>
    <t>-579.043185107924 -91.0044230348547 641.093724329669</t>
  </si>
  <si>
    <t>-436.377900315218 -150.439348966401 725.103342090193</t>
  </si>
  <si>
    <t>9763-20170724T164310.521166200.bin</t>
  </si>
  <si>
    <t>-504.260412155592 129.832750526961 -246.568546655956</t>
  </si>
  <si>
    <t>-545.200503400394 129.088065666363 -360.547414378308</t>
  </si>
  <si>
    <t>-559.633113226364 121.603497975834 -480.656623913565</t>
  </si>
  <si>
    <t>-561.58495748073 112.073438982614 -589.744807833454</t>
  </si>
  <si>
    <t>-552.532515630451 99.8470982551547 -698.204049529142</t>
  </si>
  <si>
    <t>-528.559169948466 80.090219012335 -847.317921991158</t>
  </si>
  <si>
    <t>-485.678243160313 66.3472278863391 -938.725505647013</t>
  </si>
  <si>
    <t>-528.254278147487 118.613994717209 -783.531216772678</t>
  </si>
  <si>
    <t>-482.542305819778 257.495523368915 -767.985634028953</t>
  </si>
  <si>
    <t>-421.528047734686 267.58367862762 -457.563758394079</t>
  </si>
  <si>
    <t>-230.119489160291 159.42731172537 -318.613938414944</t>
  </si>
  <si>
    <t>-550.07893697422 59.0500226910139 -779.148127014253</t>
  </si>
  <si>
    <t>-478.130451144736 221.964602421752 -257.662368303122</t>
  </si>
  <si>
    <t>-471.360754025693 205.676844037476 197.690779587649</t>
  </si>
  <si>
    <t>-490.29829130117 164.124273577748 665.634373092417</t>
  </si>
  <si>
    <t>-342.581132404605 148.197097770411 759.812277005779</t>
  </si>
  <si>
    <t>-530.316234036912 37.8446659294606 -234.861733358273</t>
  </si>
  <si>
    <t>-424.619752328024 -20.5406140342297 204.543687627458</t>
  </si>
  <si>
    <t>-579.074908521404 -90.5554274606988 640.978704419326</t>
  </si>
  <si>
    <t>-436.798749063224 -150.728928012789 725.122325775994</t>
  </si>
  <si>
    <t>9763-20170724T164310.590355000.bin</t>
  </si>
  <si>
    <t>-504.164831178041 131.181601335821 -246.458930612325</t>
  </si>
  <si>
    <t>-545.347231873305 130.341373281743 -360.349658348196</t>
  </si>
  <si>
    <t>-560.239701755186 122.785856594962 -480.398303806225</t>
  </si>
  <si>
    <t>-562.69327189272 113.197631976507 -589.471201663803</t>
  </si>
  <si>
    <t>-554.224317665262 100.915740563133 -697.971377675562</t>
  </si>
  <si>
    <t>-531.141835453736 81.0811728467419 -847.215458641295</t>
  </si>
  <si>
    <t>-488.712528478239 67.1627267659039 -938.807020874503</t>
  </si>
  <si>
    <t>-530.461015585758 119.639842252465 -783.452759968435</t>
  </si>
  <si>
    <t>-484.640209982049 258.550663284478 -768.37341782036</t>
  </si>
  <si>
    <t>-419.551011058922 268.821391916358 -458.786389842602</t>
  </si>
  <si>
    <t>-229.557869597966 169.31950998897 -311.667220067581</t>
  </si>
  <si>
    <t>-552.24929055625 60.0747953814416 -778.906337291699</t>
  </si>
  <si>
    <t>-477.951835680644 223.350098531102 -257.639753652108</t>
  </si>
  <si>
    <t>-471.047102022307 206.343136966512 197.685119103557</t>
  </si>
  <si>
    <t>-489.843274468822 163.82391265038 665.497515932536</t>
  </si>
  <si>
    <t>-342.124488038325 148.688816622512 759.803322629916</t>
  </si>
  <si>
    <t>-530.164890927376 38.9477034227706 -234.676527867865</t>
  </si>
  <si>
    <t>-424.470380344049 -19.5557047138483 204.713579679917</t>
  </si>
  <si>
    <t>-579.336895244197 -91.1382605824811 640.842014536151</t>
  </si>
  <si>
    <t>-436.722283129482 -150.305209028186 725.126464949936</t>
  </si>
  <si>
    <t>9763-20170724T164310.622996700.bin</t>
  </si>
  <si>
    <t>-504.086572008938 131.935833253217 -246.413977639654</t>
  </si>
  <si>
    <t>-545.375914297505 130.991518005304 -360.265194297953</t>
  </si>
  <si>
    <t>-560.465065047148 123.370104965873 -480.28507649128</t>
  </si>
  <si>
    <t>-563.132335916721 113.734902300183 -589.348993734392</t>
  </si>
  <si>
    <t>-554.911476265205 101.416658589932 -697.86392731765</t>
  </si>
  <si>
    <t>-532.207376558945 81.5402737383759 -847.160598906274</t>
  </si>
  <si>
    <t>-490.037717861412 67.519340687522 -938.856292009613</t>
  </si>
  <si>
    <t>-531.342674211346 120.109134202165 -783.406162684267</t>
  </si>
  <si>
    <t>-485.256887040749 258.954535173274 -768.5057805857</t>
  </si>
  <si>
    <t>-418.296125459174 269.919681144162 -459.341987338372</t>
  </si>
  <si>
    <t>-229.908905049729 167.911151422844 -311.874954052262</t>
  </si>
  <si>
    <t>-553.163812892152 60.5608595755443 -778.79668872447</t>
  </si>
  <si>
    <t>-477.844771315444 224.135358718645 -257.701762650751</t>
  </si>
  <si>
    <t>-471.045500301617 206.862146956692 197.614723449619</t>
  </si>
  <si>
    <t>-489.599277270751 163.906716596148 665.347582845338</t>
  </si>
  <si>
    <t>-342.089588269401 147.9774935265 759.849749948101</t>
  </si>
  <si>
    <t>-530.117072813314 39.6546880378295 -234.489888005477</t>
  </si>
  <si>
    <t>-424.184854569224 -18.7018642408833 204.862487056916</t>
  </si>
  <si>
    <t>-579.445756063724 -90.945744834453 640.788611315824</t>
  </si>
  <si>
    <t>-436.966550489305 -150.331274544356 725.148167778753</t>
  </si>
  <si>
    <t>9763-20170724T164310.692180900.bin</t>
  </si>
  <si>
    <t>-504.043067656484 133.031188814789 -246.239661473714</t>
  </si>
  <si>
    <t>-545.575949280995 131.96972695736 -360.001190333969</t>
  </si>
  <si>
    <t>-561.161863091846 124.220961294857 -479.949655892992</t>
  </si>
  <si>
    <t>-564.378652513666 114.46549005907 -588.987892321221</t>
  </si>
  <si>
    <t>-556.802783559753 102.020738394472 -697.535480405505</t>
  </si>
  <si>
    <t>-535.088676337802 81.9608736994963 -846.954603547473</t>
  </si>
  <si>
    <t>-493.439689899087 67.6545684520889 -938.844085143591</t>
  </si>
  <si>
    <t>-533.71439967389 120.57730128182 -783.238072412956</t>
  </si>
  <si>
    <t>-487.106624457074 259.288281517017 -768.837829745872</t>
  </si>
  <si>
    <t>-417.009059132128 270.00597814459 -460.361507169885</t>
  </si>
  <si>
    <t>-232.774278345006 156.332185010414 -316.216297203986</t>
  </si>
  <si>
    <t>-555.678583468108 61.0962878544691 -778.444413981397</t>
  </si>
  <si>
    <t>-477.506181628854 225.330136994442 -257.788945465118</t>
  </si>
  <si>
    <t>-471.347313508262 207.632202737089 197.520333073639</t>
  </si>
  <si>
    <t>-489.263836215456 164.285381298593 665.225550935346</t>
  </si>
  <si>
    <t>-341.879930721059 148.248210178954 759.905460372711</t>
  </si>
  <si>
    <t>-530.495283484511 40.7554930188844 -233.967047996393</t>
  </si>
  <si>
    <t>-423.699281092753 -17.2435839310471 205.223503299773</t>
  </si>
  <si>
    <t>-579.887346460446 -90.9482151188004 640.765370456443</t>
  </si>
  <si>
    <t>-437.395000115683 -150.41023591536 725.048891300496</t>
  </si>
  <si>
    <t>9763-20170724T164310.722261900.bin</t>
  </si>
  <si>
    <t>-504.056077880983 133.553961814535 -246.099364638905</t>
  </si>
  <si>
    <t>-545.553388247426 132.44748805533 -359.873500085469</t>
  </si>
  <si>
    <t>-561.26677663237 124.631396300962 -479.800839505959</t>
  </si>
  <si>
    <t>-564.667118344859 114.804251836043 -588.827002663506</t>
  </si>
  <si>
    <t>-557.34197374267 102.275949114797 -697.382117325768</t>
  </si>
  <si>
    <t>-536.043803279659 82.0858485139634 -846.843762572094</t>
  </si>
  <si>
    <t>-494.561249226874 67.6176531239406 -938.783223099357</t>
  </si>
  <si>
    <t>-534.415340831533 120.73048386647 -783.15024186024</t>
  </si>
  <si>
    <t>-487.172606595395 259.227928770848 -768.782246011362</t>
  </si>
  <si>
    <t>-415.566133318036 268.964717753641 -460.620117486677</t>
  </si>
  <si>
    <t>-232.965605385429 148.532694939686 -319.924607568505</t>
  </si>
  <si>
    <t>-556.519798935502 61.3082082880078 -778.273087158006</t>
  </si>
  <si>
    <t>-477.308309964743 226.012629600457 -257.800058263396</t>
  </si>
  <si>
    <t>-471.475701855803 208.096899767619 197.504983410491</t>
  </si>
  <si>
    <t>-489.150286258357 164.696339455646 665.143831915864</t>
  </si>
  <si>
    <t>-341.915463250124 147.927354303713 759.928938780275</t>
  </si>
  <si>
    <t>-530.62388353661 41.1622006581995 -233.76141507048</t>
  </si>
  <si>
    <t>-423.579748795515 -16.8438273281017 205.367853295894</t>
  </si>
  <si>
    <t>-580.140564830454 -90.9852870967188 640.752718572618</t>
  </si>
  <si>
    <t>-437.354210285784 -149.924543385675 724.905738240998</t>
  </si>
  <si>
    <t>9763-20170724T164310.789474300.bin</t>
  </si>
  <si>
    <t>-503.920327633122 134.547497423449 -245.947900913277</t>
  </si>
  <si>
    <t>-545.484274834035 133.498013010582 -359.698251262634</t>
  </si>
  <si>
    <t>-561.265550466857 125.731375099462 -479.619905108961</t>
  </si>
  <si>
    <t>-564.729671455934 115.932931397079 -588.646617389143</t>
  </si>
  <si>
    <t>-557.471898644471 103.410607426466 -697.207099100407</t>
  </si>
  <si>
    <t>-536.272327304589 83.1988672879933 -846.67967688154</t>
  </si>
  <si>
    <t>-494.900343677068 68.5061013408497 -938.633372505062</t>
  </si>
  <si>
    <t>-534.404863721347 121.78179082921 -782.955369143287</t>
  </si>
  <si>
    <t>-485.697411913977 259.771049452122 -768.466090890114</t>
  </si>
  <si>
    <t>-412.358082529468 267.866727574676 -460.664235319086</t>
  </si>
  <si>
    <t>-227.652387355041 151.126094766642 -319.605799340309</t>
  </si>
  <si>
    <t>-556.900087283943 62.5021404027657 -778.130109950786</t>
  </si>
  <si>
    <t>-476.68675672342 226.891712088631 -257.762353289753</t>
  </si>
  <si>
    <t>-471.17137945013 208.62069267346 197.532512234321</t>
  </si>
  <si>
    <t>-488.718559091245 164.381246909676 665.076073273964</t>
  </si>
  <si>
    <t>-341.529441578889 147.994953168496 759.998961211259</t>
  </si>
  <si>
    <t>-530.884670573391 42.2974931956479 -233.437482641357</t>
  </si>
  <si>
    <t>-423.458428262388 -16.5297686447937 205.489124653732</t>
  </si>
  <si>
    <t>-580.69940315887 -91.0923594284572 640.691333545901</t>
  </si>
  <si>
    <t>-437.774784800758 -150.085070476823 724.57187178829</t>
  </si>
  <si>
    <t>9763-20170724T164310.829124300.bin</t>
  </si>
  <si>
    <t>-503.899976190967 135.110563207771 -245.9048103952</t>
  </si>
  <si>
    <t>-545.50331893923 134.062424791463 -359.640865822392</t>
  </si>
  <si>
    <t>-561.356842109459 126.287559628085 -479.552341264628</t>
  </si>
  <si>
    <t>-564.899995949185 116.474893737037 -588.575333840337</t>
  </si>
  <si>
    <t>-557.734534946478 103.930019988813 -697.139248146774</t>
  </si>
  <si>
    <t>-536.676798419243 83.6768265465075 -846.626384336132</t>
  </si>
  <si>
    <t>-495.37242245059 68.8164579535164 -938.58340052288</t>
  </si>
  <si>
    <t>-534.67214110352 122.249333186671 -782.89989622364</t>
  </si>
  <si>
    <t>-485.475382697332 260.053592474627 -768.242249017467</t>
  </si>
  <si>
    <t>-410.462992167231 266.812325144356 -460.811500516696</t>
  </si>
  <si>
    <t>-224.556696506321 152.398016895703 -319.424539696226</t>
  </si>
  <si>
    <t>-557.316247573653 63.0270836902167 -778.066070911486</t>
  </si>
  <si>
    <t>-476.473045469509 227.334578580695 -257.759617079358</t>
  </si>
  <si>
    <t>-471.174322979299 208.996095285989 197.53511898327</t>
  </si>
  <si>
    <t>-488.628370127777 164.718605266819 665.01714244285</t>
  </si>
  <si>
    <t>-341.565408387701 147.780395460852 760.038785491473</t>
  </si>
  <si>
    <t>-531.206726059269 42.9280803413378 -233.305146893296</t>
  </si>
  <si>
    <t>-423.474328077636 -16.3517335637071 205.485578365915</t>
  </si>
  <si>
    <t>-580.899889698653 -90.8448031450445 640.564753790203</t>
  </si>
  <si>
    <t>-438.248578954384 -150.592842756296 724.375796022328</t>
  </si>
  <si>
    <t>9763-20170724T164310.888272300.bin</t>
  </si>
  <si>
    <t>-503.967799316793 135.566835960665 -245.954387618639</t>
  </si>
  <si>
    <t>-545.406912343788 134.609936695615 -359.751069067787</t>
  </si>
  <si>
    <t>-561.080380142055 126.808829718486 -479.684689926866</t>
  </si>
  <si>
    <t>-564.460925914762 116.909236108831 -588.704888913805</t>
  </si>
  <si>
    <t>-557.137751019032 104.206258050356 -697.239909169811</t>
  </si>
  <si>
    <t>-535.870095670134 83.6516720111577 -846.6561577127</t>
  </si>
  <si>
    <t>-494.453095728084 68.4031389685827 -938.499014259384</t>
  </si>
  <si>
    <t>-533.772960546382 122.285353560356 -782.969704773439</t>
  </si>
  <si>
    <t>-483.276024189933 259.636554134919 -768.277763033252</t>
  </si>
  <si>
    <t>-405.407635489019 263.337630795357 -461.506041910956</t>
  </si>
  <si>
    <t>-216.76243020816 157.167743676398 -317.342827197518</t>
  </si>
  <si>
    <t>-556.787725602234 63.2075295471841 -778.118511700978</t>
  </si>
  <si>
    <t>-476.167316480175 227.832797719449 -257.773054687015</t>
  </si>
  <si>
    <t>-471.080930617398 209.264012094756 197.514746512087</t>
  </si>
  <si>
    <t>-488.35475912794 164.667732972688 665.018896010608</t>
  </si>
  <si>
    <t>-341.363198992263 147.524922477883 760.114200359937</t>
  </si>
  <si>
    <t>-531.49403077661 43.2833203381564 -233.444654822668</t>
  </si>
  <si>
    <t>-423.824563072889 -16.2872227791038 205.322133442627</t>
  </si>
  <si>
    <t>-581.546432143085 -91.1310914208928 640.548486034112</t>
  </si>
  <si>
    <t>-438.724879579794 -150.92187735508 724.038483196601</t>
  </si>
  <si>
    <t>9763-20170724T164310.921864000.bin</t>
  </si>
  <si>
    <t>-503.962692275986 135.508742313544 -245.934331978741</t>
  </si>
  <si>
    <t>-545.30266640772 134.597753478212 -359.767487643952</t>
  </si>
  <si>
    <t>-560.930907120119 126.776132419479 -479.705486946807</t>
  </si>
  <si>
    <t>-564.297444466839 116.82002732361 -588.721130418054</t>
  </si>
  <si>
    <t>-556.989308389238 104.016180454569 -697.245343156121</t>
  </si>
  <si>
    <t>-535.774882570461 83.2698089500846 -846.642587342793</t>
  </si>
  <si>
    <t>-494.326067349752 67.8099105917101 -938.435822128237</t>
  </si>
  <si>
    <t>-533.53599196082 121.940467207962 -782.983494258544</t>
  </si>
  <si>
    <t>-482.416694340089 259.022837339716 -768.270082271561</t>
  </si>
  <si>
    <t>-403.586431244823 260.703564943441 -461.726157296812</t>
  </si>
  <si>
    <t>-213.927621508316 159.240038074445 -315.518268551106</t>
  </si>
  <si>
    <t>-556.787206787515 62.9584426257945 -778.094366256874</t>
  </si>
  <si>
    <t>-476.004072396083 227.880846040439 -257.710166363661</t>
  </si>
  <si>
    <t>-471.203811642027 209.306067618103 197.580509274334</t>
  </si>
  <si>
    <t>-488.353826223522 164.937946703328 665.056809568097</t>
  </si>
  <si>
    <t>-341.402876670793 147.406733953918 760.144165400333</t>
  </si>
  <si>
    <t>-531.681604838335 43.0911396181893 -233.414593066249</t>
  </si>
  <si>
    <t>-424.108240492311 -16.6948596557436 205.346456762469</t>
  </si>
  <si>
    <t>-581.895296024144 -91.5583646987915 640.516262818337</t>
  </si>
  <si>
    <t>-438.523795389985 -150.236717381585 723.852706878942</t>
  </si>
  <si>
    <t>9763-20170724T164310.987557200.bin</t>
  </si>
  <si>
    <t>-503.765756632514 135.46241517409 -245.925420711468</t>
  </si>
  <si>
    <t>-544.741874163955 134.641236085494 -359.89065461355</t>
  </si>
  <si>
    <t>-560.027209281779 126.741641336612 -479.867811493783</t>
  </si>
  <si>
    <t>-563.102311891428 116.634650805264 -588.878103398283</t>
  </si>
  <si>
    <t>-555.527062538324 103.593597581955 -697.355642549494</t>
  </si>
  <si>
    <t>-533.971862643227 82.4219410171729 -846.644449037404</t>
  </si>
  <si>
    <t>-492.346962104688 66.5931121363498 -938.294932845347</t>
  </si>
  <si>
    <t>-531.676999019039 121.196895036239 -783.050948458091</t>
  </si>
  <si>
    <t>-479.330820710717 257.816622596281 -768.232391880422</t>
  </si>
  <si>
    <t>-400.047081774123 255.486030751067 -461.809696766976</t>
  </si>
  <si>
    <t>-208.145391783213 163.05500833163 -312.570635689208</t>
  </si>
  <si>
    <t>-555.341848855272 62.3825482138399 -778.126779813942</t>
  </si>
  <si>
    <t>-475.411007103528 227.76131422601 -257.687773898277</t>
  </si>
  <si>
    <t>-471.346644258806 209.22039562676 197.611478058844</t>
  </si>
  <si>
    <t>-488.110633205449 164.734500834217 665.060769596096</t>
  </si>
  <si>
    <t>-341.157098924524 147.110500609895 760.126845294126</t>
  </si>
  <si>
    <t>-531.895911963918 43.1676200474569 -233.544470605398</t>
  </si>
  <si>
    <t>-424.56848601283 -16.6464113088933 205.272958082123</t>
  </si>
  <si>
    <t>-582.468653714282 -91.1232307710665 640.490517149463</t>
  </si>
  <si>
    <t>-439.447164632638 -151.03420711076 723.551096078898</t>
  </si>
  <si>
    <t>9763-20170724T164311.019129100.bin</t>
  </si>
  <si>
    <t>-503.644646276566 135.325733666522 -245.938289663916</t>
  </si>
  <si>
    <t>-544.578184506243 134.605312194976 -359.919567042777</t>
  </si>
  <si>
    <t>-559.663507641553 126.705155983826 -479.921904123543</t>
  </si>
  <si>
    <t>-562.494012389997 116.557276157922 -588.935101801607</t>
  </si>
  <si>
    <t>-554.612676358911 103.436810674537 -697.381322331372</t>
  </si>
  <si>
    <t>-532.571290779114 82.1166089195308 -846.577926514966</t>
  </si>
  <si>
    <t>-490.742380317813 66.1946625621457 -938.119270710918</t>
  </si>
  <si>
    <t>-530.424865278179 120.932185548439 -783.003811790931</t>
  </si>
  <si>
    <t>-477.656500970442 257.347244560127 -767.926456840316</t>
  </si>
  <si>
    <t>-398.67525220753 254.058080152019 -461.434480744636</t>
  </si>
  <si>
    <t>-205.377048027993 164.698876662154 -312.126771885148</t>
  </si>
  <si>
    <t>-554.22296594972 62.1680945308801 -778.122276184327</t>
  </si>
  <si>
    <t>-474.990068359696 227.631030816484 -257.667657115648</t>
  </si>
  <si>
    <t>-471.376968632535 209.191060957785 197.639522740774</t>
  </si>
  <si>
    <t>-488.014689903646 164.701077528408 665.067877711205</t>
  </si>
  <si>
    <t>-341.043769893916 147.13418390925 760.117729160035</t>
  </si>
  <si>
    <t>-532.166068825095 43.0767967054501 -233.496708924498</t>
  </si>
  <si>
    <t>-424.653934435879 -16.9324844763873 205.248900086151</t>
  </si>
  <si>
    <t>-582.715173773354 -91.1407540506741 640.390878812347</t>
  </si>
  <si>
    <t>-439.59512686961 -150.932474960686 723.367422109129</t>
  </si>
  <si>
    <t>9763-20170724T164311.090428000.bin</t>
  </si>
  <si>
    <t>-503.355198368653 135.286715295986 -245.865345427886</t>
  </si>
  <si>
    <t>-544.083003751314 134.587986198375 -359.920441188003</t>
  </si>
  <si>
    <t>-558.723121530248 126.607143206181 -479.972652909209</t>
  </si>
  <si>
    <t>-561.055090702343 116.352569354303 -588.987592635342</t>
  </si>
  <si>
    <t>-552.582729461539 103.097677227047 -697.372987458097</t>
  </si>
  <si>
    <t>-529.629273722949 81.5679625256916 -846.40183455529</t>
  </si>
  <si>
    <t>-487.294915187666 65.4411476246711 -937.674578038686</t>
  </si>
  <si>
    <t>-527.845465082935 120.462671543842 -782.86499809107</t>
  </si>
  <si>
    <t>-474.74408470451 256.699130653174 -767.347247763353</t>
  </si>
  <si>
    <t>-394.850395384652 254.162530425047 -461.084643932992</t>
  </si>
  <si>
    <t>-199.345788933249 170.233127339048 -311.498960638311</t>
  </si>
  <si>
    <t>-551.725448188467 61.7256884978551 -778.057381936689</t>
  </si>
  <si>
    <t>-474.317258495613 227.630009432339 -257.627363260603</t>
  </si>
  <si>
    <t>-471.244703353008 209.372281789202 197.691017828072</t>
  </si>
  <si>
    <t>-487.900717598296 164.854897039759 665.119688205114</t>
  </si>
  <si>
    <t>-340.927554011076 147.076125694756 760.126673737445</t>
  </si>
  <si>
    <t>-532.173416718408 43.0360067648965 -233.424224782799</t>
  </si>
  <si>
    <t>-424.243822834579 -17.6052831028602 205.131928729693</t>
  </si>
  <si>
    <t>-583.229857268312 -91.4313827821929 640.186623982421</t>
  </si>
  <si>
    <t>-440.165596251027 -151.509742098378 723.052284880547</t>
  </si>
  <si>
    <t>9763-20170724T164311.122005900.bin</t>
  </si>
  <si>
    <t>-503.133245336929 135.199735444428 -245.726559516984</t>
  </si>
  <si>
    <t>-543.710589280652 134.481170341204 -359.835178814446</t>
  </si>
  <si>
    <t>-558.094737368045 126.450720401497 -479.915039264959</t>
  </si>
  <si>
    <t>-560.154082088214 116.141435397164 -588.930349951022</t>
  </si>
  <si>
    <t>-551.370640129167 102.824044887326 -697.283180844154</t>
  </si>
  <si>
    <t>-527.947598206024 81.2010371834154 -846.225481683503</t>
  </si>
  <si>
    <t>-485.288106651372 64.9783159470485 -937.329593430097</t>
  </si>
  <si>
    <t>-526.376044822959 120.140179770802 -782.710292701391</t>
  </si>
  <si>
    <t>-473.137212056636 256.3205934862 -767.041295761851</t>
  </si>
  <si>
    <t>-392.6333311551 254.039907576947 -460.936506086185</t>
  </si>
  <si>
    <t>-195.459385770934 173.247404257005 -311.815499222614</t>
  </si>
  <si>
    <t>-550.247062625528 61.3968540955909 -777.936068254575</t>
  </si>
  <si>
    <t>-474.071878089667 227.549711355778 -257.514361852353</t>
  </si>
  <si>
    <t>-471.15398534287 209.370819664481 197.808232051204</t>
  </si>
  <si>
    <t>-487.860600420457 164.702578376067 665.223705388269</t>
  </si>
  <si>
    <t>-340.794698500342 147.22391654547 760.142728041151</t>
  </si>
  <si>
    <t>-531.923547129302 42.9544260096824 -233.277504743693</t>
  </si>
  <si>
    <t>-424.083233693566 -17.8948481055087 205.271756430108</t>
  </si>
  <si>
    <t>-583.641736556219 -91.8011244612335 640.259968551684</t>
  </si>
  <si>
    <t>-440.417114612497 -151.742481095892 722.947643870513</t>
  </si>
  <si>
    <t>9763-20170724T164311.192697100.bin</t>
  </si>
  <si>
    <t>-502.813158580083 134.39494573714 -245.583453812259</t>
  </si>
  <si>
    <t>-543.185166308387 133.666073307268 -359.764852086084</t>
  </si>
  <si>
    <t>-557.207514117017 125.560050921685 -479.882389699878</t>
  </si>
  <si>
    <t>-558.879654619187 115.157025311865 -588.895379737355</t>
  </si>
  <si>
    <t>-549.652844364873 101.721765397609 -697.196924819266</t>
  </si>
  <si>
    <t>-525.56028509483 79.9114938135665 -846.004955737487</t>
  </si>
  <si>
    <t>-482.387125902824 63.5460089794616 -936.841292652905</t>
  </si>
  <si>
    <t>-524.288646888346 118.936160959415 -782.535501072342</t>
  </si>
  <si>
    <t>-471.368630675852 255.224729313569 -766.675587715281</t>
  </si>
  <si>
    <t>-391.101953578369 253.343907945383 -460.50580457592</t>
  </si>
  <si>
    <t>-191.637114623775 176.70516032428 -312.241544817021</t>
  </si>
  <si>
    <t>-548.15233689039 60.1875850234927 -777.788650905034</t>
  </si>
  <si>
    <t>-473.654189634194 227.103953355256 -257.322829494052</t>
  </si>
  <si>
    <t>-470.993046406701 209.055692661405 198.006524332488</t>
  </si>
  <si>
    <t>-487.789055828039 164.813619674831 665.337292947925</t>
  </si>
  <si>
    <t>-340.68992292537 147.206091208869 760.1810054911</t>
  </si>
  <si>
    <t>-531.829166112805 41.718082506287 -233.168881582626</t>
  </si>
  <si>
    <t>-423.770339634877 -18.5666846856304 205.40459800744</t>
  </si>
  <si>
    <t>-584.107017735124 -92.914442533876 639.801164252984</t>
  </si>
  <si>
    <t>-440.583557911277 -151.988952753537 722.594502516231</t>
  </si>
  <si>
    <t>9763-20170724T164311.223281400.bin</t>
  </si>
  <si>
    <t>-502.369739371274 134.034538467012 -245.614341511322</t>
  </si>
  <si>
    <t>-542.552631679267 133.209750555782 -359.861585742251</t>
  </si>
  <si>
    <t>-556.391916898083 125.027419980251 -479.995264375482</t>
  </si>
  <si>
    <t>-557.903758070982 114.567340797791 -589.005131995707</t>
  </si>
  <si>
    <t>-548.522716739964 101.088874050291 -697.288041461691</t>
  </si>
  <si>
    <t>-524.223212821724 79.2347817657616 -846.056049300769</t>
  </si>
  <si>
    <t>-480.905204797431 62.8454122162551 -936.819157297705</t>
  </si>
  <si>
    <t>-523.06311309852 118.287145184303 -782.601456143216</t>
  </si>
  <si>
    <t>-470.311153602143 254.601591285037 -766.717486302383</t>
  </si>
  <si>
    <t>-390.316064569396 254.764499089694 -460.471055590371</t>
  </si>
  <si>
    <t>-191.193994226908 177.700054680863 -311.966577442549</t>
  </si>
  <si>
    <t>-546.886919387452 59.5220055370405 -777.860238138999</t>
  </si>
  <si>
    <t>-473.028895598647 226.7243662498 -257.349096548564</t>
  </si>
  <si>
    <t>-470.589275463136 208.849832996837 197.988399657793</t>
  </si>
  <si>
    <t>-487.593788696523 164.42941405455 665.295779920403</t>
  </si>
  <si>
    <t>-340.471264687717 147.240578237589 760.179996221937</t>
  </si>
  <si>
    <t>-531.460881717459 41.4095110688819 -233.302507659536</t>
  </si>
  <si>
    <t>-423.232064389284 -18.5319700925553 205.276200645028</t>
  </si>
  <si>
    <t>-584.007502217363 -92.830424897197 639.357051335639</t>
  </si>
  <si>
    <t>-440.74909544248 -152.149096994672 722.434402652747</t>
  </si>
  <si>
    <t>9763-20170724T164311.289488400.bin</t>
  </si>
  <si>
    <t>-500.890320180944 133.431820495417 -245.931361625431</t>
  </si>
  <si>
    <t>-540.731858859671 132.480526457068 -360.29716398527</t>
  </si>
  <si>
    <t>-554.404493573944 124.084168626939 -480.435106357487</t>
  </si>
  <si>
    <t>-555.845013207299 113.390914811402 -589.423324466877</t>
  </si>
  <si>
    <t>-546.474841931234 99.6368385343157 -697.672368195764</t>
  </si>
  <si>
    <t>-522.27637340004 77.3527439204382 -846.393115027307</t>
  </si>
  <si>
    <t>-478.861983277052 60.7701884775902 -937.074968281866</t>
  </si>
  <si>
    <t>-520.983276181047 116.553447265857 -783.032683791478</t>
  </si>
  <si>
    <t>-468.558687759682 253.139178442882 -767.525835763943</t>
  </si>
  <si>
    <t>-392.053728789107 261.788009953289 -460.510565074687</t>
  </si>
  <si>
    <t>-198.373609044293 175.34013469419 -309.988731879094</t>
  </si>
  <si>
    <t>-544.983599192656 57.8720900565834 -778.145124300623</t>
  </si>
  <si>
    <t>-471.392876962722 225.982984102254 -257.345156552753</t>
  </si>
  <si>
    <t>-470.076644086855 208.453777645016 198.010395468684</t>
  </si>
  <si>
    <t>-488.037830925016 164.263731743849 665.776864582347</t>
  </si>
  <si>
    <t>-340.407998004867 147.521646233713 759.950359363846</t>
  </si>
  <si>
    <t>-530.237751974954 41.1192354615771 -233.964216834636</t>
  </si>
  <si>
    <t>-422.147661001616 -18.1929288138968 204.734221014518</t>
  </si>
  <si>
    <t>-583.29365706214 -92.3669592333813 638.355043171877</t>
  </si>
  <si>
    <t>-440.804538447303 -152.420654819727 722.223520478394</t>
  </si>
  <si>
    <t>9763-20170724T164311.321582200.bin</t>
  </si>
  <si>
    <t>-500.528266393264 133.170322499652 -245.886312852385</t>
  </si>
  <si>
    <t>-539.96750619522 132.076838557663 -360.39025849275</t>
  </si>
  <si>
    <t>-553.437277001931 123.531696260507 -480.540576500215</t>
  </si>
  <si>
    <t>-554.785418165146 112.694229227859 -589.515795139004</t>
  </si>
  <si>
    <t>-545.416506347445 98.7814464581259 -697.744670389553</t>
  </si>
  <si>
    <t>-521.317995628579 76.2571980078083 -846.445554182784</t>
  </si>
  <si>
    <t>-477.915081764267 59.5704264245693 -937.11371034054</t>
  </si>
  <si>
    <t>-519.894825218068 115.52584624221 -783.129935957499</t>
  </si>
  <si>
    <t>-467.8522891232 252.234649529665 -768.001889527725</t>
  </si>
  <si>
    <t>-396.28951566645 265.081719574876 -459.943608504516</t>
  </si>
  <si>
    <t>-207.154914653782 171.16146556995 -308.124092256788</t>
  </si>
  <si>
    <t>-544.066826025129 56.9211497449243 -778.170194170549</t>
  </si>
  <si>
    <t>-471.056445406997 225.322244924614 -257.116946320998</t>
  </si>
  <si>
    <t>-470.569583585543 208.135151763413 198.253247363549</t>
  </si>
  <si>
    <t>-488.446660665047 163.542916587056 666.250569138224</t>
  </si>
  <si>
    <t>-340.05637912161 148.725418845957 759.547256179135</t>
  </si>
  <si>
    <t>-529.903227657983 41.1529226943418 -234.099948021822</t>
  </si>
  <si>
    <t>-421.985433647008 -17.8831159655356 204.678164677377</t>
  </si>
  <si>
    <t>-583.029733202215 -91.7939125527018 638.342980715195</t>
  </si>
  <si>
    <t>-440.849893755454 -152.482006684505 722.279541844907</t>
  </si>
  <si>
    <t>9763-20170724T164311.387904800.bin</t>
  </si>
  <si>
    <t>-500.339780111823 132.605771281423 -245.533833134377</t>
  </si>
  <si>
    <t>-539.480818043468 131.469355567785 -360.139641765223</t>
  </si>
  <si>
    <t>-552.651341535734 122.838290067017 -480.316890176723</t>
  </si>
  <si>
    <t>-553.735028718594 111.902022449361 -589.285253262974</t>
  </si>
  <si>
    <t>-544.111576890161 97.8675986645581 -697.476190210772</t>
  </si>
  <si>
    <t>-519.672866505285 75.14852949578 -846.091714282654</t>
  </si>
  <si>
    <t>-476.138042642074 58.3361733473955 -936.673321290824</t>
  </si>
  <si>
    <t>-518.363472243658 114.487842538448 -782.817586375501</t>
  </si>
  <si>
    <t>-467.36146434856 251.602342970547 -768.030239656457</t>
  </si>
  <si>
    <t>-409.3502282142 272.026484850621 -457.540716387388</t>
  </si>
  <si>
    <t>-226.754798507922 167.132324414872 -304.903349393077</t>
  </si>
  <si>
    <t>-542.609053498142 55.9141858333432 -777.850288740687</t>
  </si>
  <si>
    <t>-470.825746303377 224.655478545713 -256.623304536751</t>
  </si>
  <si>
    <t>-470.776669040709 207.886881826607 198.762660855323</t>
  </si>
  <si>
    <t>-489.056842358481 163.620980123395 666.703414720759</t>
  </si>
  <si>
    <t>-340.023084061588 148.855861837845 758.977081691737</t>
  </si>
  <si>
    <t>-529.773681984127 40.5889208991799 -233.720802682008</t>
  </si>
  <si>
    <t>-422.315473913771 -17.7357628690657 205.265116400331</t>
  </si>
  <si>
    <t>-583.05958613851 -91.874961546441 639.047963738903</t>
  </si>
  <si>
    <t>-440.420051023945 -151.896825292158 722.683219805948</t>
  </si>
  <si>
    <t>9763-20170724T164311.418989400.bin</t>
  </si>
  <si>
    <t>-500.099849699085 132.368885648046 -245.33312454828</t>
  </si>
  <si>
    <t>-539.1985542972 131.314109657149 -359.954134807712</t>
  </si>
  <si>
    <t>-552.189382476402 122.697660109729 -480.152192040914</t>
  </si>
  <si>
    <t>-553.053443675992 111.754281233559 -589.121702381574</t>
  </si>
  <si>
    <t>-543.154421965591 97.6972205031742 -697.284694915091</t>
  </si>
  <si>
    <t>-518.276651440275 74.9350939130218 -845.820918942068</t>
  </si>
  <si>
    <t>-474.56136511289 58.1137277055705 -936.314043583564</t>
  </si>
  <si>
    <t>-517.208022274038 114.313874036111 -782.566832345025</t>
  </si>
  <si>
    <t>-466.979178616442 251.733691482588 -767.852658312794</t>
  </si>
  <si>
    <t>-417.76258303216 275.968348502069 -456.120941496668</t>
  </si>
  <si>
    <t>-237.038896708921 167.066526212134 -304.063685453536</t>
  </si>
  <si>
    <t>-541.3605750563 55.6992622241024 -777.629765036483</t>
  </si>
  <si>
    <t>-470.434120679894 224.330685176989 -256.495515977287</t>
  </si>
  <si>
    <t>-470.174342573963 207.648444486539 198.89374679506</t>
  </si>
  <si>
    <t>-488.943949017482 163.51315321327 666.661797730571</t>
  </si>
  <si>
    <t>-339.894742531409 149.167528483137 758.976676041704</t>
  </si>
  <si>
    <t>-529.561171511715 40.494865540247 -233.50179088973</t>
  </si>
  <si>
    <t>-422.309997263976 -17.8878946206053 205.527113146014</t>
  </si>
  <si>
    <t>-583.189835091032 -91.8495326801634 639.446646237277</t>
  </si>
  <si>
    <t>-440.647359471706 -152.296781163117 722.940901582256</t>
  </si>
  <si>
    <t>9763-20170724T164311.455620000.bin</t>
  </si>
  <si>
    <t>-499.729607442084 132.149608689491 -245.227324580566</t>
  </si>
  <si>
    <t>-538.901258012812 131.197048656757 -359.824333736805</t>
  </si>
  <si>
    <t>-551.741903293964 122.591134758357 -480.0392587789</t>
  </si>
  <si>
    <t>-552.374187473738 111.634330165543 -589.00896499986</t>
  </si>
  <si>
    <t>-542.147482859541 97.5501754283643 -697.138027857525</t>
  </si>
  <si>
    <t>-516.71642861293 74.7455476190991 -845.57390953515</t>
  </si>
  <si>
    <t>-472.749255286869 57.9538423163576 -935.950468864757</t>
  </si>
  <si>
    <t>-516.002543497526 114.189020401255 -782.355068889207</t>
  </si>
  <si>
    <t>-466.41298896933 251.808487686724 -767.609746113572</t>
  </si>
  <si>
    <t>-425.917804227185 280.61818001971 -455.013582823689</t>
  </si>
  <si>
    <t>-246.848896933777 167.713834207453 -303.920951136149</t>
  </si>
  <si>
    <t>-539.935280019789 55.4827717361012 -777.436274469534</t>
  </si>
  <si>
    <t>-470.03661561925 224.08834086553 -256.457671695422</t>
  </si>
  <si>
    <t>-469.455962998597 207.42807511608 198.932121675801</t>
  </si>
  <si>
    <t>-488.729581746446 163.571378381521 666.584517807274</t>
  </si>
  <si>
    <t>-339.826484036149 149.103360338373 759.115870333039</t>
  </si>
  <si>
    <t>-529.244578004206 40.2450431841077 -233.349446494566</t>
  </si>
  <si>
    <t>-422.258891488541 -18.3921242061538 205.710278717684</t>
  </si>
  <si>
    <t>-583.35082712234 -91.9707237557327 639.745899216482</t>
  </si>
  <si>
    <t>-440.49505747844 -151.758664374241 723.179371041646</t>
  </si>
  <si>
    <t>9763-20170724T164311.520294200.bin</t>
  </si>
  <si>
    <t>-499.340980106966 131.945222877981 -245.327306181179</t>
  </si>
  <si>
    <t>-538.581553640601 131.119652816809 -359.901792683429</t>
  </si>
  <si>
    <t>-551.064585147158 122.541154184342 -480.15627403458</t>
  </si>
  <si>
    <t>-551.188931965787 111.603807432984 -589.129664296745</t>
  </si>
  <si>
    <t>-540.269331161635 97.5552142771203 -697.195714185637</t>
  </si>
  <si>
    <t>-513.685755058406 74.8379218507035 -845.442955311186</t>
  </si>
  <si>
    <t>-469.119226336733 58.2674261002128 -935.566307325296</t>
  </si>
  <si>
    <t>-513.855100891258 114.393649422454 -782.2904388098</t>
  </si>
  <si>
    <t>-465.723480853293 252.567526611116 -767.649681065178</t>
  </si>
  <si>
    <t>-438.64780705462 288.565818566753 -454.349078960267</t>
  </si>
  <si>
    <t>-260.296052435345 173.941250923692 -303.704142993681</t>
  </si>
  <si>
    <t>-537.041288724151 55.3857105517673 -777.405760554163</t>
  </si>
  <si>
    <t>-469.818112489151 224.005356105841 -256.606843757031</t>
  </si>
  <si>
    <t>-468.201154878704 207.230865820619 198.776101424416</t>
  </si>
  <si>
    <t>-487.970802406374 163.629334674111 666.22857874178</t>
  </si>
  <si>
    <t>-339.578707214174 148.647761866475 759.496231339753</t>
  </si>
  <si>
    <t>-528.656745202875 40.0841718739619 -233.438268670906</t>
  </si>
  <si>
    <t>-422.388537733976 -19.2419616796091 205.703116188642</t>
  </si>
  <si>
    <t>-583.617698938758 -91.8530502211873 639.976783224921</t>
  </si>
  <si>
    <t>-441.027075539033 -152.23612410896 723.435243517468</t>
  </si>
  <si>
    <t>9763-20170724T164311.587024100.bin</t>
  </si>
  <si>
    <t>-499.845211953669 132.259215048964 -245.809131477059</t>
  </si>
  <si>
    <t>-539.36000094911 131.396824685509 -360.289076709294</t>
  </si>
  <si>
    <t>-551.834025315783 122.857470462116 -480.547272016795</t>
  </si>
  <si>
    <t>-551.826423836994 111.998546206505 -589.52865351953</t>
  </si>
  <si>
    <t>-540.650712559587 98.0770931861856 -697.584763705688</t>
  </si>
  <si>
    <t>-513.584116803362 75.5937308280987 -845.78030733944</t>
  </si>
  <si>
    <t>-468.617972156072 59.279038433618 -935.751714395706</t>
  </si>
  <si>
    <t>-514.367503276894 115.199086718113 -782.663627424898</t>
  </si>
  <si>
    <t>-468.692162454138 254.14167824178 -767.901925318444</t>
  </si>
  <si>
    <t>-441.284503893967 288.410373549746 -454.436301039299</t>
  </si>
  <si>
    <t>-260.151905072299 177.885648632077 -304.045923830247</t>
  </si>
  <si>
    <t>-536.752905039286 55.8847829222379 -777.753267097492</t>
  </si>
  <si>
    <t>-471.357095782168 224.355980556524 -256.99475959129</t>
  </si>
  <si>
    <t>-467.767397021591 207.239107302338 198.364082524608</t>
  </si>
  <si>
    <t>-487.418931690269 163.398211437213 665.836168010243</t>
  </si>
  <si>
    <t>-339.428887502608 148.632893372988 759.774657257325</t>
  </si>
  <si>
    <t>-528.296276476231 40.3437662722554 -234.053995484387</t>
  </si>
  <si>
    <t>-423.307673195608 -19.7949685441105 205.284628044987</t>
  </si>
  <si>
    <t>-583.885569947745 -92.0324955663006 639.897788458982</t>
  </si>
  <si>
    <t>-441.170109115432 -152.05875409298 723.400322391044</t>
  </si>
  <si>
    <t>9763-20170724T164311.623639500.bin</t>
  </si>
  <si>
    <t>-500.404001812873 132.76540431912 -246.035573547118</t>
  </si>
  <si>
    <t>-540.023056658416 131.8611607585 -360.479208823096</t>
  </si>
  <si>
    <t>-552.532821548994 123.38137841901 -480.737853911535</t>
  </si>
  <si>
    <t>-552.527197261478 112.618843683854 -589.72872809552</t>
  </si>
  <si>
    <t>-541.322609703125 98.8360088483688 -697.799861027022</t>
  </si>
  <si>
    <t>-514.183792299265 76.5892545177268 -846.017755221338</t>
  </si>
  <si>
    <t>-469.10662864279 60.4313235109294 -935.96192463678</t>
  </si>
  <si>
    <t>-515.145579280218 116.146215440596 -782.873255869461</t>
  </si>
  <si>
    <t>-470.282601925489 255.382987240823 -767.910009968988</t>
  </si>
  <si>
    <t>-439.21882149038 286.57938060163 -454.464637793088</t>
  </si>
  <si>
    <t>-255.10330186507 181.512233651441 -303.784877590476</t>
  </si>
  <si>
    <t>-537.238129918119 56.719314046335 -777.998725759255</t>
  </si>
  <si>
    <t>-472.398540786659 224.867827391776 -257.107829311271</t>
  </si>
  <si>
    <t>-468.06932346612 207.564987197704 198.237592741307</t>
  </si>
  <si>
    <t>-487.239237857339 163.769396249716 665.786227445285</t>
  </si>
  <si>
    <t>-339.414840797516 148.254490376964 759.864643098759</t>
  </si>
  <si>
    <t>-528.436470607355 40.7540012693239 -234.36028805205</t>
  </si>
  <si>
    <t>-423.968873400582 -19.6973765240591 205.059582181178</t>
  </si>
  <si>
    <t>-584.021047595269 -92.1060048920939 639.822699894396</t>
  </si>
  <si>
    <t>-441.128799076428 -151.712649608646 723.323455376002</t>
  </si>
  <si>
    <t>9763-20170724T164311.687311600.bin</t>
  </si>
  <si>
    <t>-501.477297201487 133.22824261519 -246.289530247457</t>
  </si>
  <si>
    <t>-541.111051429899 132.110073010151 -360.72608549114</t>
  </si>
  <si>
    <t>-553.653660033644 123.628166439956 -480.981331820821</t>
  </si>
  <si>
    <t>-553.684508243095 112.950217317519 -589.980571718629</t>
  </si>
  <si>
    <t>-542.522443634776 99.3372778846415 -698.077458553484</t>
  </si>
  <si>
    <t>-515.447167074335 77.4137457066967 -846.355149292455</t>
  </si>
  <si>
    <t>-470.385573216337 61.4716969815677 -936.345708598493</t>
  </si>
  <si>
    <t>-516.489037746764 116.870545206534 -783.149203123506</t>
  </si>
  <si>
    <t>-471.968431436964 256.202051874821 -767.885148915553</t>
  </si>
  <si>
    <t>-432.690510135501 282.155786025841 -454.883862946532</t>
  </si>
  <si>
    <t>-244.002856667591 183.606828000068 -305.461216922751</t>
  </si>
  <si>
    <t>-538.365280954062 57.357996335068 -778.344652139084</t>
  </si>
  <si>
    <t>-473.669457726834 225.330523084195 -257.265929259832</t>
  </si>
  <si>
    <t>-469.308681812713 208.005384351204 198.078445689163</t>
  </si>
  <si>
    <t>-487.033885370296 164.187210207686 665.741132309564</t>
  </si>
  <si>
    <t>-339.356695865678 147.569764194764 759.862424047683</t>
  </si>
  <si>
    <t>-529.154319836347 40.8894520935065 -234.669988758482</t>
  </si>
  <si>
    <t>-424.783269436258 -19.0582787857556 204.841881564488</t>
  </si>
  <si>
    <t>-584.144056841656 -91.8959309684236 639.654756494284</t>
  </si>
  <si>
    <t>-441.039744732166 -150.804549845312 723.287552753446</t>
  </si>
  <si>
    <t>9763-20170724T164311.723410400.bin</t>
  </si>
  <si>
    <t>-501.633869425335 133.416836805506 -246.273146218954</t>
  </si>
  <si>
    <t>-541.356555600365 132.237026714616 -360.678331505961</t>
  </si>
  <si>
    <t>-553.988453754602 123.73690767552 -480.922804542529</t>
  </si>
  <si>
    <t>-554.098246358561 113.061676084205 -589.922284616279</t>
  </si>
  <si>
    <t>-543.012062996147 99.4716724519535 -698.029908907516</t>
  </si>
  <si>
    <t>-516.037973639928 77.6017512722229 -846.333963068713</t>
  </si>
  <si>
    <t>-471.076244058279 61.7017236169929 -936.381805283167</t>
  </si>
  <si>
    <t>-517.015189160752 117.028165581976 -783.10803045751</t>
  </si>
  <si>
    <t>-472.118465111496 256.20727193294 -767.704826018334</t>
  </si>
  <si>
    <t>-429.506719967265 280.051145941208 -454.971835224925</t>
  </si>
  <si>
    <t>-238.915147139285 184.497989700988 -306.020450658183</t>
  </si>
  <si>
    <t>-538.931098263531 57.5288966123995 -778.320133908138</t>
  </si>
  <si>
    <t>-473.762330237555 225.494581124519 -257.320204430431</t>
  </si>
  <si>
    <t>-469.819713378499 208.168271380979 198.027997586709</t>
  </si>
  <si>
    <t>-486.973217424594 164.274514640785 665.741020014128</t>
  </si>
  <si>
    <t>-339.312037351104 147.313205206824 759.826189369355</t>
  </si>
  <si>
    <t>-529.39513489314 41.2102790371147 -234.568362358571</t>
  </si>
  <si>
    <t>-424.756615658907 -18.8242270469297 204.868042137345</t>
  </si>
  <si>
    <t>-584.198569970597 -91.8603927744605 639.632732058652</t>
  </si>
  <si>
    <t>-441.470986940599 -151.403211433299 723.459932214215</t>
  </si>
  <si>
    <t>9763-20170724T164311.785583500.bin</t>
  </si>
  <si>
    <t>-501.53536458099 133.12550427143 -246.181627899221</t>
  </si>
  <si>
    <t>-541.404354222022 131.94779013221 -360.535812031567</t>
  </si>
  <si>
    <t>-554.17811508439 123.37668229253 -480.760277293964</t>
  </si>
  <si>
    <t>-554.411088605883 112.611178014514 -589.750683561393</t>
  </si>
  <si>
    <t>-543.441365456563 98.9079027532891 -697.85587175552</t>
  </si>
  <si>
    <t>-516.620911647277 76.8593173268947 -846.161314406991</t>
  </si>
  <si>
    <t>-471.862145891201 60.8389140539256 -936.288929079782</t>
  </si>
  <si>
    <t>-517.420136096215 116.322298856558 -782.955811677809</t>
  </si>
  <si>
    <t>-471.317530603565 255.12833450844 -767.522224224685</t>
  </si>
  <si>
    <t>-421.45114126196 276.13631202935 -455.659667578817</t>
  </si>
  <si>
    <t>-228.776026941315 183.30567172389 -307.670439841194</t>
  </si>
  <si>
    <t>-539.556102259207 56.907938711027 -778.125888615704</t>
  </si>
  <si>
    <t>-473.234963617665 225.239447975793 -257.415242389929</t>
  </si>
  <si>
    <t>-469.942303312683 207.897091650037 197.937552006973</t>
  </si>
  <si>
    <t>-486.83817052993 163.740252285136 665.624527973465</t>
  </si>
  <si>
    <t>-339.047714039929 148.030153905623 759.723888593364</t>
  </si>
  <si>
    <t>-529.643063567322 40.9145815256422 -234.260711880095</t>
  </si>
  <si>
    <t>-424.509678388565 -19.1290660700786 205.056297217086</t>
  </si>
  <si>
    <t>-584.502655319054 -92.1863167970755 639.79134895957</t>
  </si>
  <si>
    <t>-441.663620879077 -151.245779408178 723.770540943524</t>
  </si>
  <si>
    <t>9763-20170724T164311.822183700.bin</t>
  </si>
  <si>
    <t>-501.316122997195 133.019106051924 -246.031887799899</t>
  </si>
  <si>
    <t>-541.273555090768 131.871879368654 -360.355624133256</t>
  </si>
  <si>
    <t>-554.148780454361 123.298949258672 -480.569168619334</t>
  </si>
  <si>
    <t>-554.478731333571 112.512912667154 -589.557151192373</t>
  </si>
  <si>
    <t>-543.611053395382 98.7673685183974 -697.667394108674</t>
  </si>
  <si>
    <t>-516.937735930071 76.6348493173106 -845.986905964671</t>
  </si>
  <si>
    <t>-472.264855097782 60.4946790714661 -936.135842227788</t>
  </si>
  <si>
    <t>-517.569331132612 116.096299406816 -782.77842618754</t>
  </si>
  <si>
    <t>-470.853361555052 254.654243018143 -767.280919149553</t>
  </si>
  <si>
    <t>-418.258558749744 274.899862318534 -455.816425634316</t>
  </si>
  <si>
    <t>-225.264733884087 183.364872040349 -307.435854450781</t>
  </si>
  <si>
    <t>-539.910339425237 56.759280162856 -777.94188251452</t>
  </si>
  <si>
    <t>-472.744662271802 225.255064684976 -257.398667429109</t>
  </si>
  <si>
    <t>-469.579971694233 207.950291491422 197.956398157896</t>
  </si>
  <si>
    <t>-486.68890455753 163.871044477686 665.583199138477</t>
  </si>
  <si>
    <t>-339.00890896716 147.590309316413 759.758914904506</t>
  </si>
  <si>
    <t>-529.672562754488 40.7754318922071 -233.93403134916</t>
  </si>
  <si>
    <t>-424.262567018053 -19.1495774055434 205.332845360626</t>
  </si>
  <si>
    <t>-584.87122908275 -92.5641634512462 640.020167159017</t>
  </si>
  <si>
    <t>-441.949585436255 -151.559335768198 723.90385523227</t>
  </si>
  <si>
    <t>9763-20170724T164311.891402500.bin</t>
  </si>
  <si>
    <t>-500.877454863882 132.990943269408 -245.637588097069</t>
  </si>
  <si>
    <t>-541.008968394563 131.896522041237 -359.900693901581</t>
  </si>
  <si>
    <t>-553.984161819456 123.307252001289 -480.102404586765</t>
  </si>
  <si>
    <t>-554.372603037104 112.473411290354 -589.085465822176</t>
  </si>
  <si>
    <t>-543.531842568151 98.6455749948884 -697.187871996189</t>
  </si>
  <si>
    <t>-516.864389664077 76.3612270008541 -845.485756186056</t>
  </si>
  <si>
    <t>-472.30622094758 59.9663039521479 -935.6453580238</t>
  </si>
  <si>
    <t>-517.30573497069 115.819613083126 -782.273708376441</t>
  </si>
  <si>
    <t>-469.142059362128 253.875948267857 -766.581909480321</t>
  </si>
  <si>
    <t>-414.176713463566 274.055977235668 -455.522671844772</t>
  </si>
  <si>
    <t>-221.887324739399 183.878741080027 -305.406373464982</t>
  </si>
  <si>
    <t>-540.022109107598 56.6230899747352 -777.463399571845</t>
  </si>
  <si>
    <t>-471.757298668082 225.325936991211 -257.324691104515</t>
  </si>
  <si>
    <t>-468.838678435223 208.05917536378 198.033401959978</t>
  </si>
  <si>
    <t>-486.324521638258 163.967870031767 665.405991481859</t>
  </si>
  <si>
    <t>-338.849990160741 147.474216817567 759.86619145896</t>
  </si>
  <si>
    <t>-529.845328754038 40.6875987109455 -233.172603430374</t>
  </si>
  <si>
    <t>-423.304663711742 -19.0892218862526 205.84160659091</t>
  </si>
  <si>
    <t>-585.495446245341 -92.5373609271651 640.092075543908</t>
  </si>
  <si>
    <t>-442.487684549189 -151.807031649943 723.634908500672</t>
  </si>
  <si>
    <t>9763-20170724T164311.924493100.bin</t>
  </si>
  <si>
    <t>-500.728487486647 133.020916388753 -245.418833945113</t>
  </si>
  <si>
    <t>-540.872322429561 131.891553289524 -359.677357309496</t>
  </si>
  <si>
    <t>-553.801767434381 123.291602964712 -479.883093814044</t>
  </si>
  <si>
    <t>-554.124960078745 112.458597379055 -588.866500485026</t>
  </si>
  <si>
    <t>-543.195490863265 98.6427649536547 -696.961547461464</t>
  </si>
  <si>
    <t>-516.381283121793 76.3877248213883 -845.237295613235</t>
  </si>
  <si>
    <t>-471.827326799812 59.9100157783364 -935.383977328735</t>
  </si>
  <si>
    <t>-516.827596250963 115.812487873055 -782.004337874329</t>
  </si>
  <si>
    <t>-468.162901344772 253.650206499858 -766.07704771258</t>
  </si>
  <si>
    <t>-412.556428192374 273.676710183103 -455.121991572641</t>
  </si>
  <si>
    <t>-220.073126142205 184.418360844368 -304.705378473729</t>
  </si>
  <si>
    <t>-539.663921337131 56.6572524042871 -777.255357260562</t>
  </si>
  <si>
    <t>-471.264664684111 225.206398213525 -257.295978983653</t>
  </si>
  <si>
    <t>-468.546290290279 208.104578774823 198.069666357511</t>
  </si>
  <si>
    <t>-486.14292919832 163.752280339249 665.329798344485</t>
  </si>
  <si>
    <t>-338.767284820404 147.292113904619 759.949939665199</t>
  </si>
  <si>
    <t>-529.98488422282 40.906731348359 -232.777392844295</t>
  </si>
  <si>
    <t>-422.661042613023 -18.8766417532911 206.045094077253</t>
  </si>
  <si>
    <t>-585.8165232348 -92.3652791177741 640.024059368863</t>
  </si>
  <si>
    <t>-443.078300211115 -152.553757859459 723.370640036311</t>
  </si>
  <si>
    <t>9763-20170724T164311.985158400.bin</t>
  </si>
  <si>
    <t>-500.451077601612 133.280550133771 -245.386237465263</t>
  </si>
  <si>
    <t>-540.546109059822 131.989855308244 -359.660121767899</t>
  </si>
  <si>
    <t>-553.434419269888 123.363874307702 -479.868492875288</t>
  </si>
  <si>
    <t>-553.72569738125 112.558189792033 -588.854781317172</t>
  </si>
  <si>
    <t>-542.769943037177 98.8184248942036 -696.956757896711</t>
  </si>
  <si>
    <t>-515.925323933287 76.7164810092971 -845.250012954524</t>
  </si>
  <si>
    <t>-471.428448251433 60.1054982443194 -935.40024366887</t>
  </si>
  <si>
    <t>-516.280918858341 116.037681614456 -781.951963483215</t>
  </si>
  <si>
    <t>-466.912993656275 253.575580997242 -765.540128661985</t>
  </si>
  <si>
    <t>-409.301279702957 272.451250877201 -454.87837285746</t>
  </si>
  <si>
    <t>-216.501853275924 182.925622672448 -305.026359493585</t>
  </si>
  <si>
    <t>-539.325500868258 56.9541399652889 -777.317682321076</t>
  </si>
  <si>
    <t>-470.497547897899 225.568919740159 -257.518448887634</t>
  </si>
  <si>
    <t>-468.022668046291 208.748623213226 197.859034287757</t>
  </si>
  <si>
    <t>-485.589142913803 164.033361413124 664.966190236004</t>
  </si>
  <si>
    <t>-338.629953375409 146.606670912573 760.059845292913</t>
  </si>
  <si>
    <t>-530.130290564418 41.008405275742 -232.582725289357</t>
  </si>
  <si>
    <t>-421.49199029263 -19.3186916808507 205.841783022314</t>
  </si>
  <si>
    <t>-586.112607209473 -92.3132755767089 639.315611627091</t>
  </si>
  <si>
    <t>-443.382379263155 -152.612016597406 722.596134871195</t>
  </si>
  <si>
    <t>9763-20170724T164312.020756800.bin</t>
  </si>
  <si>
    <t>-500.300579574523 133.280348587704 -245.461745485534</t>
  </si>
  <si>
    <t>-540.298509063462 131.93443731838 -359.769075374278</t>
  </si>
  <si>
    <t>-553.109026694941 123.300363193554 -479.985220965984</t>
  </si>
  <si>
    <t>-553.34020232368 112.50477432684 -588.972512001885</t>
  </si>
  <si>
    <t>-542.335128146369 98.7912960121535 -697.072943855031</t>
  </si>
  <si>
    <t>-515.43367912737 76.7416173440885 -845.363595904542</t>
  </si>
  <si>
    <t>-470.906811374949 60.1331134121149 -935.499540303922</t>
  </si>
  <si>
    <t>-515.771466671757 116.0247922353 -782.041903774326</t>
  </si>
  <si>
    <t>-466.045913693905 253.413610781627 -765.494996556606</t>
  </si>
  <si>
    <t>-407.658384061652 271.955642243194 -454.958013708527</t>
  </si>
  <si>
    <t>-214.678749077995 182.427256252478 -305.339975634876</t>
  </si>
  <si>
    <t>-538.902015839016 56.9709656922078 -777.457148929327</t>
  </si>
  <si>
    <t>-470.081487061517 225.585357405354 -257.634432182545</t>
  </si>
  <si>
    <t>-467.812593374181 208.892792468478 197.748718805115</t>
  </si>
  <si>
    <t>-485.272051160019 164.106052135298 664.880706660683</t>
  </si>
  <si>
    <t>-338.468686149451 146.150503328194 760.116603178674</t>
  </si>
  <si>
    <t>-530.338277293408 41.0320420324123 -232.629977724611</t>
  </si>
  <si>
    <t>-421.277401407711 -19.5133173537705 205.659551874384</t>
  </si>
  <si>
    <t>-586.356102692152 -92.4234596577981 639.122706173228</t>
  </si>
  <si>
    <t>-443.563848149182 -152.760605968785 722.269100874704</t>
  </si>
  <si>
    <t>9763-20170724T164312.085935300.bin</t>
  </si>
  <si>
    <t>-500.227515198759 133.45297721651 -245.831635185931</t>
  </si>
  <si>
    <t>-540.071110530903 132.134961281559 -360.193178255892</t>
  </si>
  <si>
    <t>-552.747938595465 123.528059755853 -480.425410577481</t>
  </si>
  <si>
    <t>-552.870726530112 112.751023067272 -589.414742586779</t>
  </si>
  <si>
    <t>-541.772017460386 99.0466637119734 -697.506695135473</t>
  </si>
  <si>
    <t>-514.757048903068 76.996990505052 -845.776755559375</t>
  </si>
  <si>
    <t>-470.153996792633 60.4132038035959 -935.879555445803</t>
  </si>
  <si>
    <t>-515.051965898108 116.2458948909 -782.433610023998</t>
  </si>
  <si>
    <t>-464.753689312723 253.399071088781 -765.616158357528</t>
  </si>
  <si>
    <t>-405.875114106961 271.448736750176 -455.142716717408</t>
  </si>
  <si>
    <t>-213.390695419221 180.924913038691 -305.485639532595</t>
  </si>
  <si>
    <t>-538.368737553151 57.2606477164083 -777.910122284401</t>
  </si>
  <si>
    <t>-469.669757799988 225.857540645433 -257.848998572486</t>
  </si>
  <si>
    <t>-467.975656603308 209.096624210739 197.534218544518</t>
  </si>
  <si>
    <t>-485.114481692097 164.234892225813 664.780121836332</t>
  </si>
  <si>
    <t>-338.409493114122 145.878461280692 760.091283589668</t>
  </si>
  <si>
    <t>-530.693580180044 41.2350779420958 -233.08100391454</t>
  </si>
  <si>
    <t>-421.583370618874 -19.6338884533263 205.151411964227</t>
  </si>
  <si>
    <t>-586.643060692133 -92.4700095344209 638.663487392866</t>
  </si>
  <si>
    <t>-444.025278415634 -153.2819672868 721.763401765087</t>
  </si>
  <si>
    <t>9763-20170724T164312.125543700.bin</t>
  </si>
  <si>
    <t>-500.369137776834 133.370181290043 -245.898096187355</t>
  </si>
  <si>
    <t>-539.945520416919 131.97872182103 -360.351488412024</t>
  </si>
  <si>
    <t>-552.42311445374 123.349134960844 -480.602835505799</t>
  </si>
  <si>
    <t>-552.399982899759 112.56674180027 -589.591881750549</t>
  </si>
  <si>
    <t>-541.191534998382 98.8687004698751 -697.673283525012</t>
  </si>
  <si>
    <t>-514.063230129168 76.8360417436249 -845.925116047152</t>
  </si>
  <si>
    <t>-469.411407234265 60.2677814129765 -936.00678471843</t>
  </si>
  <si>
    <t>-514.362382523854 116.06104925964 -782.567188307826</t>
  </si>
  <si>
    <t>-463.728680379298 253.081667745272 -765.627243013153</t>
  </si>
  <si>
    <t>-404.298999325854 270.712602521291 -455.234923116342</t>
  </si>
  <si>
    <t>-212.12428903859 180.006828734936 -305.290240346433</t>
  </si>
  <si>
    <t>-537.770936092893 57.1085894966344 -778.089311089188</t>
  </si>
  <si>
    <t>-469.570949529215 225.672564846759 -257.92063330061</t>
  </si>
  <si>
    <t>-468.055522892179 208.980222606251 197.465748017653</t>
  </si>
  <si>
    <t>-484.979680407093 163.883208559173 664.740340064125</t>
  </si>
  <si>
    <t>-338.129918117686 146.508115345866 760.012360682699</t>
  </si>
  <si>
    <t>-530.936627494951 41.0959442485315 -233.265154348101</t>
  </si>
  <si>
    <t>-421.840032062447 -19.9131545735006 204.951059383093</t>
  </si>
  <si>
    <t>-586.83596411084 -92.7628758383759 638.564161312573</t>
  </si>
  <si>
    <t>-443.917983173929 -152.984145641984 721.578453422146</t>
  </si>
  <si>
    <t>9763-20170724T164312.191816600.bin</t>
  </si>
  <si>
    <t>-500.363319474716 133.594102480668 -246.058569431873</t>
  </si>
  <si>
    <t>-539.794062746394 132.264827827914 -360.563042667433</t>
  </si>
  <si>
    <t>-552.119066990147 123.687792337652 -480.83395572448</t>
  </si>
  <si>
    <t>-551.960624124631 112.936626189835 -589.825804416587</t>
  </si>
  <si>
    <t>-540.62304497683 99.2466532279298 -697.894809961266</t>
  </si>
  <si>
    <t>-513.324653188234 77.195158444799 -846.112661397878</t>
  </si>
  <si>
    <t>-468.599335139453 60.5404694361261 -936.141761634308</t>
  </si>
  <si>
    <t>-513.580587263154 116.383981619643 -782.732146053967</t>
  </si>
  <si>
    <t>-462.308499808787 253.129517300421 -765.497574183551</t>
  </si>
  <si>
    <t>-402.138276418605 269.42579916189 -455.174912073729</t>
  </si>
  <si>
    <t>-210.270225604354 178.332387880575 -305.072719152748</t>
  </si>
  <si>
    <t>-537.226035801881 57.5205660038019 -778.329537553883</t>
  </si>
  <si>
    <t>-469.369831486951 225.834069213599 -257.979254193333</t>
  </si>
  <si>
    <t>-468.347765642151 209.253269683628 197.412540873795</t>
  </si>
  <si>
    <t>-484.921759122121 164.05430610231 664.681525020826</t>
  </si>
  <si>
    <t>-338.124834753939 146.078433578628 759.923496754148</t>
  </si>
  <si>
    <t>-531.215938642785 41.4507686802266 -233.439447625141</t>
  </si>
  <si>
    <t>-422.109041954319 -19.9448554285896 204.720230807239</t>
  </si>
  <si>
    <t>-587.128484396251 -92.2709614646253 638.40219448191</t>
  </si>
  <si>
    <t>-444.355247762272 -153.02943753477 721.273952300627</t>
  </si>
  <si>
    <t>9763-20170724T164312.226906600.bin</t>
  </si>
  <si>
    <t>-500.327390068779 133.609436135473 -246.088667432739</t>
  </si>
  <si>
    <t>-539.631603423967 132.256815773085 -360.63633435008</t>
  </si>
  <si>
    <t>-551.82483907712 123.659804872073 -480.919305859749</t>
  </si>
  <si>
    <t>-551.548777166625 112.887595193366 -589.908763856997</t>
  </si>
  <si>
    <t>-540.097034203814 99.1712789643275 -697.962421753736</t>
  </si>
  <si>
    <t>-512.645471110467 77.0751341320561 -846.145315217141</t>
  </si>
  <si>
    <t>-467.864278998442 60.363291813147 -936.135996803732</t>
  </si>
  <si>
    <t>-512.912585501897 116.26217519969 -782.763754794298</t>
  </si>
  <si>
    <t>-461.327979559018 252.86084546709 -765.369984866057</t>
  </si>
  <si>
    <t>-400.898519542546 268.634888650876 -455.070634164369</t>
  </si>
  <si>
    <t>-208.794667545127 177.828660043049 -305.09609814997</t>
  </si>
  <si>
    <t>-536.67128973096 57.4418324476864 -778.394161624053</t>
  </si>
  <si>
    <t>-469.180358420365 225.893949472338 -258.00224276248</t>
  </si>
  <si>
    <t>-468.375109113044 209.347392595421 197.391344136191</t>
  </si>
  <si>
    <t>-484.910086329565 164.265452630135 664.65808596116</t>
  </si>
  <si>
    <t>-338.125088196341 146.132321896276 759.888684758121</t>
  </si>
  <si>
    <t>-531.3247361228 41.341076369831 -233.501389589263</t>
  </si>
  <si>
    <t>-422.221211775113 -20.0536738463819 204.659240615528</t>
  </si>
  <si>
    <t>-587.298360146663 -92.5606039269493 638.341357935196</t>
  </si>
  <si>
    <t>-444.357873480486 -153.074748143166 721.103623107134</t>
  </si>
  <si>
    <t>9763-20170724T164312.288072300.bin</t>
  </si>
  <si>
    <t>-500.153321566513 133.089174370388 -246.143384021995</t>
  </si>
  <si>
    <t>-539.314453133484 131.769723256853 -360.740478979913</t>
  </si>
  <si>
    <t>-551.371958648123 123.185868095529 -481.038044528044</t>
  </si>
  <si>
    <t>-550.980647581619 112.410285731043 -590.026926578859</t>
  </si>
  <si>
    <t>-539.423484289967 98.6716352405385 -698.066495351161</t>
  </si>
  <si>
    <t>-511.83773276488 76.5211933750763 -846.216342195221</t>
  </si>
  <si>
    <t>-466.965318737958 59.6834579517838 -936.138227799559</t>
  </si>
  <si>
    <t>-512.058154926182 115.691115175086 -782.823899460799</t>
  </si>
  <si>
    <t>-459.884491145001 252.050857629192 -765.28298988276</t>
  </si>
  <si>
    <t>-399.452767390337 267.453816207814 -454.965373519767</t>
  </si>
  <si>
    <t>-206.982153394603 176.527693578865 -305.534657865593</t>
  </si>
  <si>
    <t>-536.0289819423 56.9531448522891 -778.505230601629</t>
  </si>
  <si>
    <t>-468.645664531647 225.62678095507 -258.0368854525</t>
  </si>
  <si>
    <t>-468.510648011111 209.296387866543 197.365008422625</t>
  </si>
  <si>
    <t>-484.83546608213 164.330196597092 664.596701946683</t>
  </si>
  <si>
    <t>-338.123480857597 145.741617512825 759.852024071335</t>
  </si>
  <si>
    <t>-531.562826132637 40.5371215293357 -233.596174797152</t>
  </si>
  <si>
    <t>-422.341011987946 -20.4664592123685 204.589687458263</t>
  </si>
  <si>
    <t>-587.65826696515 -93.5787624921755 638.191333025036</t>
  </si>
  <si>
    <t>-444.224819537897 -153.125846549868 720.801923634225</t>
  </si>
  <si>
    <t>9763-20170724T164312.319159000.bin</t>
  </si>
  <si>
    <t>-500.016361560504 132.603395860774 -246.199967202779</t>
  </si>
  <si>
    <t>-539.072117868696 131.217771765919 -360.832117717862</t>
  </si>
  <si>
    <t>-551.038446383361 122.568821167723 -481.134212440943</t>
  </si>
  <si>
    <t>-550.574128991894 111.729408464744 -590.116389861304</t>
  </si>
  <si>
    <t>-538.955255391806 97.9182752259125 -698.1400953868</t>
  </si>
  <si>
    <t>-511.297129212302 75.6551694261225 -846.259664240382</t>
  </si>
  <si>
    <t>-466.374690589711 58.7155615115331 -936.137314403242</t>
  </si>
  <si>
    <t>-511.49258632854 114.851352881727 -782.883518871687</t>
  </si>
  <si>
    <t>-459.026895420503 251.095837591129 -765.280967394615</t>
  </si>
  <si>
    <t>-398.473134579133 266.509759633347 -454.987798481131</t>
  </si>
  <si>
    <t>-205.944658411048 175.421067558049 -305.730588140077</t>
  </si>
  <si>
    <t>-535.577390504969 56.1604492300513 -778.55920620267</t>
  </si>
  <si>
    <t>-468.35579960714 225.251265893442 -258.108956334809</t>
  </si>
  <si>
    <t>-468.512264220103 208.998239057077 197.295857961652</t>
  </si>
  <si>
    <t>-484.71170856175 163.974247871643 664.538220112202</t>
  </si>
  <si>
    <t>-337.907295926096 145.973412071012 759.76397259404</t>
  </si>
  <si>
    <t>-531.552331153791 39.9202765831132 -233.643795362846</t>
  </si>
  <si>
    <t>-422.376694185234 -20.9960340968755 204.56574185229</t>
  </si>
  <si>
    <t>-587.863499352714 -94.4486234514807 638.162176979791</t>
  </si>
  <si>
    <t>-443.794510336566 -152.588286088458 720.66926145498</t>
  </si>
  <si>
    <t>9763-20170724T164312.387851900.bin</t>
  </si>
  <si>
    <t>-499.403432904274 131.942247505057 -246.132180026184</t>
  </si>
  <si>
    <t>-538.326142829339 130.391422619968 -360.807465639217</t>
  </si>
  <si>
    <t>-550.1381228339 121.653451884485 -481.118278656</t>
  </si>
  <si>
    <t>-549.531036443397 110.753548280507 -590.093827026497</t>
  </si>
  <si>
    <t>-537.769560081312 96.8956718545552 -698.096082841712</t>
  </si>
  <si>
    <t>-509.916379713651 74.5756300536931 -846.170494438864</t>
  </si>
  <si>
    <t>-464.898227520413 57.5155957595682 -935.977439763008</t>
  </si>
  <si>
    <t>-510.094889083886 113.756547538518 -782.78479409768</t>
  </si>
  <si>
    <t>-457.093949744054 249.759830442253 -764.990403817985</t>
  </si>
  <si>
    <t>-396.608864103182 264.867115464109 -454.668778000503</t>
  </si>
  <si>
    <t>-203.360485257466 174.364953757657 -305.986317000766</t>
  </si>
  <si>
    <t>-534.386181083158 55.1465107716632 -778.519385479866</t>
  </si>
  <si>
    <t>-467.378326274983 224.76060864663 -258.221792069748</t>
  </si>
  <si>
    <t>-468.392893713802 208.878479858838 197.194849530263</t>
  </si>
  <si>
    <t>-484.480718320076 164.031430537967 664.338906173609</t>
  </si>
  <si>
    <t>-337.744477135156 145.990903346968 759.662122590588</t>
  </si>
  <si>
    <t>-531.281077368461 39.1088004827144 -233.356540123877</t>
  </si>
  <si>
    <t>-421.962957401043 -21.6205485545302 204.843454235996</t>
  </si>
  <si>
    <t>-588.386040994027 -95.551964239622 638.240970681206</t>
  </si>
  <si>
    <t>-443.969893995344 -153.169022503956 720.507318380536</t>
  </si>
  <si>
    <t>9763-20170724T164312.436046200.bin</t>
  </si>
  <si>
    <t>-499.025742712767 131.794308312696 -246.168645790471</t>
  </si>
  <si>
    <t>-537.991295597699 130.192024111231 -360.828593469496</t>
  </si>
  <si>
    <t>-549.770710210463 121.412405969736 -481.139649877881</t>
  </si>
  <si>
    <t>-549.104214329927 110.474318647091 -590.11108822456</t>
  </si>
  <si>
    <t>-537.254903410857 96.5750168037422 -698.098296548811</t>
  </si>
  <si>
    <t>-509.252323648476 74.1920005327996 -846.134849591311</t>
  </si>
  <si>
    <t>-464.182235196039 57.1053288999649 -935.910825776069</t>
  </si>
  <si>
    <t>-509.45080688606 113.382398726441 -782.755280541297</t>
  </si>
  <si>
    <t>-456.286077360149 249.308735028729 -764.824593271054</t>
  </si>
  <si>
    <t>-395.712347443398 264.000007422078 -454.500307639979</t>
  </si>
  <si>
    <t>-202.358698748398 173.386181602476 -306.022963778926</t>
  </si>
  <si>
    <t>-533.834437553075 54.8091641317418 -778.511369129781</t>
  </si>
  <si>
    <t>-466.963045780123 224.833954905935 -258.281590036059</t>
  </si>
  <si>
    <t>-468.371464348709 208.941155914288 197.133740446326</t>
  </si>
  <si>
    <t>-484.416843364821 164.134470131103 664.28730232613</t>
  </si>
  <si>
    <t>-337.74479668255 145.75962911308 759.64550069992</t>
  </si>
  <si>
    <t>-531.00814205253 38.9443558203811 -233.300239036861</t>
  </si>
  <si>
    <t>-421.736528043983 -21.954013649784 204.887851340648</t>
  </si>
  <si>
    <t>-588.488943453341 -95.6815409010982 638.082739217831</t>
  </si>
  <si>
    <t>-444.004342478797 -153.13835470922 720.341156508222</t>
  </si>
  <si>
    <t>9763-20170724T164312.486176400.bin</t>
  </si>
  <si>
    <t>-498.269824319935 131.591519189484 -246.091020002843</t>
  </si>
  <si>
    <t>-536.975380006712 129.815529230075 -360.836573833658</t>
  </si>
  <si>
    <t>-548.583028585715 120.963048910833 -481.158939953693</t>
  </si>
  <si>
    <t>-547.80287901564 109.996259573055 -590.1266846364</t>
  </si>
  <si>
    <t>-535.882801808831 96.1026180192853 -698.106973759892</t>
  </si>
  <si>
    <t>-507.826823264222 73.7600278964059 -846.139537434744</t>
  </si>
  <si>
    <t>-462.720556176951 56.7090438514624 -935.904209075935</t>
  </si>
  <si>
    <t>-507.986749718214 112.908609460983 -782.733903687812</t>
  </si>
  <si>
    <t>-454.464867267664 248.666464303948 -764.603753070477</t>
  </si>
  <si>
    <t>-393.847889931217 262.788931150873 -454.261472479912</t>
  </si>
  <si>
    <t>-199.846586956049 173.0706843873 -306.085324939963</t>
  </si>
  <si>
    <t>-532.494772915221 54.3832652432815 -778.545461759043</t>
  </si>
  <si>
    <t>-466.020958394656 224.581537954132 -258.306025407542</t>
  </si>
  <si>
    <t>-468.716470173139 209.057528777166 197.116136122208</t>
  </si>
  <si>
    <t>-484.382319942468 164.152614724307 664.270968394601</t>
  </si>
  <si>
    <t>-337.665486906836 145.946100066009 759.592497726208</t>
  </si>
  <si>
    <t>-530.356001822055 38.7533488156898 -233.246521008983</t>
  </si>
  <si>
    <t>-421.081096025909 -21.9789799024202 204.963669873427</t>
  </si>
  <si>
    <t>-588.589413067765 -96.0365023407802 637.770585380575</t>
  </si>
  <si>
    <t>-443.787958058736 -152.713005367252 720.01313891209</t>
  </si>
  <si>
    <t>9763-20170724T164312.519268800.bin</t>
  </si>
  <si>
    <t>-497.882653492263 131.72161555697 -246.208401925433</t>
  </si>
  <si>
    <t>-536.504424186169 129.869367128629 -360.980924179791</t>
  </si>
  <si>
    <t>-548.03782503515 120.981658730793 -481.307712689914</t>
  </si>
  <si>
    <t>-547.19629162479 109.998023885019 -590.273403424196</t>
  </si>
  <si>
    <t>-535.221470540952 96.1014176840929 -698.247102560886</t>
  </si>
  <si>
    <t>-507.096854632422 73.7676259102759 -846.26810636802</t>
  </si>
  <si>
    <t>-461.944676478462 56.7507357119823 -936.016032119725</t>
  </si>
  <si>
    <t>-507.280912882159 112.91032328245 -782.858797764722</t>
  </si>
  <si>
    <t>-453.726782672106 248.632980190612 -764.602945929925</t>
  </si>
  <si>
    <t>-392.905348964699 262.577573729229 -454.292668568822</t>
  </si>
  <si>
    <t>-198.79083099912 172.834274814981 -306.280044962336</t>
  </si>
  <si>
    <t>-531.801415837953 54.3889728386364 -778.687977889445</t>
  </si>
  <si>
    <t>-465.703387746724 224.662815786769 -258.367612204354</t>
  </si>
  <si>
    <t>-468.886398932308 209.239657035949 197.054887676512</t>
  </si>
  <si>
    <t>-484.369893424805 164.08585336632 664.255745880072</t>
  </si>
  <si>
    <t>-337.649854564968 145.743219717321 759.546370886613</t>
  </si>
  <si>
    <t>-529.911955289939 38.999444152247 -233.360047238099</t>
  </si>
  <si>
    <t>-420.822100191594 -21.777256600455 204.890193181855</t>
  </si>
  <si>
    <t>-588.558765696283 -95.9062432284817 637.600427831974</t>
  </si>
  <si>
    <t>-444.00293144273 -153.078229003153 719.932119419006</t>
  </si>
  <si>
    <t>9763-20170724T164312.585949000.bin</t>
  </si>
  <si>
    <t>-497.043925723736 131.732174683804 -246.250551583343</t>
  </si>
  <si>
    <t>-535.472544848456 129.756553594983 -361.085824733197</t>
  </si>
  <si>
    <t>-546.81865897951 120.860106765766 -481.429818304178</t>
  </si>
  <si>
    <t>-545.814637367779 109.909819401504 -590.397357980482</t>
  </si>
  <si>
    <t>-533.686611891413 96.0834236517526 -698.363096167806</t>
  </si>
  <si>
    <t>-505.359939634403 73.8818840276427 -846.3654319566</t>
  </si>
  <si>
    <t>-460.090624561037 56.9779667287614 -936.075734738432</t>
  </si>
  <si>
    <t>-505.65402201854 112.977320323846 -782.927544126559</t>
  </si>
  <si>
    <t>-452.093342677078 248.656940664397 -764.390098213849</t>
  </si>
  <si>
    <t>-390.839524444814 262.548796509759 -454.162552169885</t>
  </si>
  <si>
    <t>-195.690025268535 173.92620745333 -306.83730936955</t>
  </si>
  <si>
    <t>-530.133175490401 54.4334732004958 -778.830562063042</t>
  </si>
  <si>
    <t>-464.99642464711 224.547862577581 -258.372525804689</t>
  </si>
  <si>
    <t>-468.894383331406 209.351338317674 197.052012650686</t>
  </si>
  <si>
    <t>-484.385502191301 163.967516938004 664.300874462819</t>
  </si>
  <si>
    <t>-337.609745420662 145.752190706487 759.529956906433</t>
  </si>
  <si>
    <t>-528.95437879314 38.9660635098689 -233.424215178068</t>
  </si>
  <si>
    <t>-420.30581779177 -21.793684807206 204.937920964037</t>
  </si>
  <si>
    <t>-588.667166667301 -96.1039278385303 637.462973972491</t>
  </si>
  <si>
    <t>-444.113471303576 -153.118281418526 719.907521700544</t>
  </si>
  <si>
    <t>9763-20170724T164312.624561600.bin</t>
  </si>
  <si>
    <t>-496.595913727194 131.585270556764 -246.28290205143</t>
  </si>
  <si>
    <t>-534.919803795326 129.577248206775 -361.152566446826</t>
  </si>
  <si>
    <t>-546.141512003847 120.704738368908 -481.510044104963</t>
  </si>
  <si>
    <t>-545.018703318478 109.79856775998 -590.480978765963</t>
  </si>
  <si>
    <t>-532.766574297609 96.0383076906665 -698.441060746473</t>
  </si>
  <si>
    <t>-504.262916474416 73.9509692008136 -846.426466345524</t>
  </si>
  <si>
    <t>-458.895853463407 57.1449701021998 -936.10567637184</t>
  </si>
  <si>
    <t>-504.671109846993 113.01268233656 -782.968373111962</t>
  </si>
  <si>
    <t>-451.234356555609 248.717762282669 -764.225130804174</t>
  </si>
  <si>
    <t>-389.230202497488 262.815756852737 -454.155904059939</t>
  </si>
  <si>
    <t>-193.85014525242 174.075802247856 -307.207283101168</t>
  </si>
  <si>
    <t>-529.078704000393 54.4351339992214 -778.926584135021</t>
  </si>
  <si>
    <t>-464.662237526976 224.357411417953 -258.352307399528</t>
  </si>
  <si>
    <t>-468.748086810118 209.148542376396 197.070300738954</t>
  </si>
  <si>
    <t>-484.34471147687 163.611924355941 664.333948339696</t>
  </si>
  <si>
    <t>-337.472691176798 146.055310830437 759.538329813238</t>
  </si>
  <si>
    <t>-528.40275385951 38.8603670943015 -233.522527051905</t>
  </si>
  <si>
    <t>-420.101836216603 -21.9627916486216 204.916838801784</t>
  </si>
  <si>
    <t>-588.651717028872 -96.2815204786675 637.310927483734</t>
  </si>
  <si>
    <t>-444.064788941788 -153.029251200145 719.881074225017</t>
  </si>
  <si>
    <t>9763-20170724T164312.693272600.bin</t>
  </si>
  <si>
    <t>-495.540580557456 131.548153490187 -246.273909231981</t>
  </si>
  <si>
    <t>-533.661350566991 129.412367552266 -361.209009277553</t>
  </si>
  <si>
    <t>-544.680097645658 120.552567638404 -481.586107293769</t>
  </si>
  <si>
    <t>-543.376792661927 109.714595362952 -590.56171492326</t>
  </si>
  <si>
    <t>-530.948671802156 96.0781199559623 -698.517406242846</t>
  </si>
  <si>
    <t>-502.205825246928 74.219030431027 -846.490472800599</t>
  </si>
  <si>
    <t>-456.648316734888 57.6370754027656 -936.114851599642</t>
  </si>
  <si>
    <t>-502.813093329061 113.221277602535 -782.997336215272</t>
  </si>
  <si>
    <t>-449.701097337481 249.028451360084 -764.009062237477</t>
  </si>
  <si>
    <t>-385.252263438693 263.312454650543 -454.44729256914</t>
  </si>
  <si>
    <t>-188.8852045347 175.129468345091 -308.482053491112</t>
  </si>
  <si>
    <t>-527.034142174693 54.5607306070242 -779.036647000032</t>
  </si>
  <si>
    <t>-463.822799723189 224.379659086118 -258.278206385282</t>
  </si>
  <si>
    <t>-468.371030174574 209.224015073011 197.141787251106</t>
  </si>
  <si>
    <t>-484.389102658148 163.627972212769 664.364507555372</t>
  </si>
  <si>
    <t>-337.603429913615 145.897167881923 759.669747467011</t>
  </si>
  <si>
    <t>-527.058257314669 38.7523622169544 -233.62411232906</t>
  </si>
  <si>
    <t>-419.427490378661 -21.9281693461166 205.00007188113</t>
  </si>
  <si>
    <t>-588.536717466383 -96.4068343452493 637.013526265062</t>
  </si>
  <si>
    <t>-443.920021385558 -152.563205311629 719.935190462505</t>
  </si>
  <si>
    <t>9763-20170724T164312.719846900.bin</t>
  </si>
  <si>
    <t>-494.956937614325 131.501049735508 -246.372571009675</t>
  </si>
  <si>
    <t>-533.07240793181 129.3345741915 -361.308939756018</t>
  </si>
  <si>
    <t>-544.100228517264 120.491615265161 -481.686376209395</t>
  </si>
  <si>
    <t>-542.811853835477 109.684882187698 -590.665279283844</t>
  </si>
  <si>
    <t>-530.405281563704 96.0927755644497 -698.629120376422</t>
  </si>
  <si>
    <t>-501.699469037389 74.3068958309145 -846.62027417282</t>
  </si>
  <si>
    <t>-456.098756157871 57.8193227500024 -936.240036211122</t>
  </si>
  <si>
    <t>-502.331153649856 113.293625197845 -783.117841633076</t>
  </si>
  <si>
    <t>-449.337566994976 249.135877399342 -764.010825286592</t>
  </si>
  <si>
    <t>-383.996966643831 262.852473393898 -454.61029388968</t>
  </si>
  <si>
    <t>-186.962033844955 175.468798599531 -309.065200356934</t>
  </si>
  <si>
    <t>-526.470621629326 54.5993585423176 -779.159668608838</t>
  </si>
  <si>
    <t>-463.496700549124 224.306673477349 -258.287574996598</t>
  </si>
  <si>
    <t>-468.300119907106 209.077269951221 197.127191563843</t>
  </si>
  <si>
    <t>-484.37897764933 163.314780408608 664.370486017871</t>
  </si>
  <si>
    <t>-337.503712235812 146.435291808811 759.692349307655</t>
  </si>
  <si>
    <t>-526.259589784286 38.8135445535868 -233.801596912454</t>
  </si>
  <si>
    <t>-418.916787914317 -21.7883388161445 204.904038230305</t>
  </si>
  <si>
    <t>-588.350272315174 -96.3218967453812 636.726319034884</t>
  </si>
  <si>
    <t>-443.985164373875 -152.644040129012 719.973299529859</t>
  </si>
  <si>
    <t>9763-20170724T164312.788050100.bin</t>
  </si>
  <si>
    <t>-494.073715424308 131.643784473079 -246.375272531658</t>
  </si>
  <si>
    <t>-532.018905978936 129.304864928004 -361.36433107973</t>
  </si>
  <si>
    <t>-542.952017047208 120.471634366654 -481.751301286007</t>
  </si>
  <si>
    <t>-541.613180403885 109.737531553162 -590.736795220402</t>
  </si>
  <si>
    <t>-529.192804581076 96.2741501689102 -698.715013052311</t>
  </si>
  <si>
    <t>-500.505897389635 74.7182544166769 -846.743376491755</t>
  </si>
  <si>
    <t>-454.838282966827 58.4508592320813 -936.369507271217</t>
  </si>
  <si>
    <t>-501.199638693274 113.633846883023 -783.1981853202</t>
  </si>
  <si>
    <t>-448.384839389688 249.487008839492 -763.772159902538</t>
  </si>
  <si>
    <t>-380.998996906293 262.821347953365 -454.79395265752</t>
  </si>
  <si>
    <t>-182.705536724496 176.95088117024 -310.059686179986</t>
  </si>
  <si>
    <t>-525.198220316872 54.8782893428126 -779.292922338076</t>
  </si>
  <si>
    <t>-463.061278096232 224.50009687708 -258.233225483522</t>
  </si>
  <si>
    <t>-468.131693826844 209.225110484081 197.177321631176</t>
  </si>
  <si>
    <t>-484.4779436305 163.258967022173 664.436084152673</t>
  </si>
  <si>
    <t>-337.608754671402 146.318307817536 759.756504049781</t>
  </si>
  <si>
    <t>-525.002805925129 38.8401644524946 -233.828506728332</t>
  </si>
  <si>
    <t>-418.130833371342 -21.5185389001376 205.025586325404</t>
  </si>
  <si>
    <t>-588.298972887747 -96.9579625944729 636.524037987323</t>
  </si>
  <si>
    <t>-443.839904336023 -152.523606492391 720.115528377248</t>
  </si>
  <si>
    <t>9763-20170724T164312.821141700.bin</t>
  </si>
  <si>
    <t>-493.633831120554 131.870965824659 -246.36747660507</t>
  </si>
  <si>
    <t>-531.53962558687 129.45336072174 -361.367964615632</t>
  </si>
  <si>
    <t>-542.464815335291 120.623039780205 -481.755771367331</t>
  </si>
  <si>
    <t>-541.13287321225 109.920458757616 -590.744481892052</t>
  </si>
  <si>
    <t>-528.733560804865 96.5142367805755 -698.73240050901</t>
  </si>
  <si>
    <t>-500.090783882657 75.0613010890248 -846.784216742936</t>
  </si>
  <si>
    <t>-454.417135964639 58.8937170092809 -936.425335253986</t>
  </si>
  <si>
    <t>-500.80362135571 113.947558520338 -783.221147714517</t>
  </si>
  <si>
    <t>-448.187402993916 249.868695929697 -763.717633752411</t>
  </si>
  <si>
    <t>-379.45913650346 263.57955687523 -455.051739748136</t>
  </si>
  <si>
    <t>-180.170632067948 179.395878300176 -310.693619911803</t>
  </si>
  <si>
    <t>-524.725048256331 55.1595491720195 -779.330617511098</t>
  </si>
  <si>
    <t>-462.861549571905 224.747700563658 -258.180637763044</t>
  </si>
  <si>
    <t>-468.172613321406 209.356866535345 197.223063474686</t>
  </si>
  <si>
    <t>-484.518492910296 163.140568217498 664.447287020183</t>
  </si>
  <si>
    <t>-337.631565487599 146.356812137095 759.768001759861</t>
  </si>
  <si>
    <t>-524.328623047025 39.0450474498614 -233.857432538434</t>
  </si>
  <si>
    <t>-417.810673817578 -21.1103626583498 205.110671192275</t>
  </si>
  <si>
    <t>-588.233972808403 -96.9462648839526 636.401972710447</t>
  </si>
  <si>
    <t>-443.870009443939 -152.523097164115 720.150251708759</t>
  </si>
  <si>
    <t>9763-20170724T164312.888923900.bin</t>
  </si>
  <si>
    <t>-492.809958025163 132.038150943341 -246.274866080272</t>
  </si>
  <si>
    <t>-530.612638342206 129.410801891234 -361.304626494315</t>
  </si>
  <si>
    <t>-541.566592809798 120.496288092445 -481.683752468743</t>
  </si>
  <si>
    <t>-540.316795593988 109.763446470662 -590.670320092739</t>
  </si>
  <si>
    <t>-528.055435517789 96.3680173737006 -698.675307856486</t>
  </si>
  <si>
    <t>-499.660443584088 74.9683705990078 -846.782690065668</t>
  </si>
  <si>
    <t>-454.053405694707 58.9142282714849 -936.477887949435</t>
  </si>
  <si>
    <t>-500.329576061854 113.856126696675 -783.219962972266</t>
  </si>
  <si>
    <t>-448.048396650538 249.930593704389 -763.807085227874</t>
  </si>
  <si>
    <t>-376.697651286001 264.293072189547 -455.766538308315</t>
  </si>
  <si>
    <t>-174.242252913649 185.541660543725 -312.755720166885</t>
  </si>
  <si>
    <t>-524.119165154006 55.0179994504517 -779.279545034878</t>
  </si>
  <si>
    <t>-462.386935645338 224.926401322383 -258.128397915476</t>
  </si>
  <si>
    <t>-467.838933654195 209.436702128126 197.270362224901</t>
  </si>
  <si>
    <t>-484.479408845818 162.831146799394 664.453146623657</t>
  </si>
  <si>
    <t>-337.489674576869 146.932465193623 759.76710604463</t>
  </si>
  <si>
    <t>-523.123938409987 39.0724255292488 -233.783756920223</t>
  </si>
  <si>
    <t>-417.035758353144 -20.72936570452 205.336676788049</t>
  </si>
  <si>
    <t>-588.142678952878 -97.5264685072757 636.176938546147</t>
  </si>
  <si>
    <t>-443.575443907342 -152.15531287838 720.197866981277</t>
  </si>
  <si>
    <t>9763-20170724T164312.921513800.bin</t>
  </si>
  <si>
    <t>-492.360417717757 132.288247610626 -246.293014109375</t>
  </si>
  <si>
    <t>-530.304800845903 129.639619535385 -361.275639832902</t>
  </si>
  <si>
    <t>-541.379833498229 120.735901238694 -481.64444515723</t>
  </si>
  <si>
    <t>-540.229515472798 110.020972608085 -590.633960904181</t>
  </si>
  <si>
    <t>-528.057440549095 96.6482511885105 -698.651777993939</t>
  </si>
  <si>
    <t>-499.77575210093 75.2823353011239 -846.785714565515</t>
  </si>
  <si>
    <t>-454.185567173398 59.2839189381718 -936.499522407962</t>
  </si>
  <si>
    <t>-500.424600386224 114.166602342148 -783.220678728687</t>
  </si>
  <si>
    <t>-448.24742090756 250.259931901544 -763.813791032311</t>
  </si>
  <si>
    <t>-375.51765327089 264.897914498953 -456.108928535147</t>
  </si>
  <si>
    <t>-170.976656656088 189.490873384501 -314.267955258651</t>
  </si>
  <si>
    <t>-524.154427197669 55.3055893060252 -779.261386087342</t>
  </si>
  <si>
    <t>-462.084946385416 225.238946772265 -258.114446447802</t>
  </si>
  <si>
    <t>-467.473168155258 209.521878065573 197.277311476178</t>
  </si>
  <si>
    <t>-484.463879365588 162.765555009723 664.405783304863</t>
  </si>
  <si>
    <t>-337.460981080449 147.303272400454 759.771279578582</t>
  </si>
  <si>
    <t>-522.57321181651 39.4057138794199 -233.788655642974</t>
  </si>
  <si>
    <t>-416.549077054589 -20.30556613 205.359480420474</t>
  </si>
  <si>
    <t>-588.002254517681 -97.3773486758839 635.992343646913</t>
  </si>
  <si>
    <t>-443.720466203524 -152.422575379415 720.232008947128</t>
  </si>
  <si>
    <t>9763-20170724T164312.989704700.bin</t>
  </si>
  <si>
    <t>-491.521051235195 132.769498818152 -246.286197043928</t>
  </si>
  <si>
    <t>-529.39415760331 129.907293707962 -361.287236808013</t>
  </si>
  <si>
    <t>-540.587671132102 120.866132465322 -481.634740360392</t>
  </si>
  <si>
    <t>-539.624726130558 110.050034114047 -590.616094321543</t>
  </si>
  <si>
    <t>-527.719360715604 96.5929359316748 -698.653199568018</t>
  </si>
  <si>
    <t>-499.888674166638 75.1213858301471 -846.85713522917</t>
  </si>
  <si>
    <t>-454.411154905745 59.0735260362592 -936.619436759539</t>
  </si>
  <si>
    <t>-500.38517968826 114.066749710192 -783.328359794003</t>
  </si>
  <si>
    <t>-448.519655530459 250.352512002452 -764.279257468305</t>
  </si>
  <si>
    <t>-372.495564266669 266.261081276543 -457.43479568234</t>
  </si>
  <si>
    <t>-164.475531644746 195.22828676361 -318.423776973149</t>
  </si>
  <si>
    <t>-524.020627796101 55.1769471777634 -779.234819265345</t>
  </si>
  <si>
    <t>-461.451531728394 225.59237318542 -258.132011879052</t>
  </si>
  <si>
    <t>-466.749411216696 209.641681035836 197.252701304357</t>
  </si>
  <si>
    <t>-484.300865572799 162.175430532492 664.338565485309</t>
  </si>
  <si>
    <t>-337.274159457758 147.450757541342 759.784115461049</t>
  </si>
  <si>
    <t>-521.475301791713 39.9163614421501 -233.805946645729</t>
  </si>
  <si>
    <t>-416.032467724806 -19.3967948328162 205.535993073898</t>
  </si>
  <si>
    <t>-587.904200884446 -97.3626849403663 635.872288790441</t>
  </si>
  <si>
    <t>-443.551806940263 -151.899025820224 720.321503082009</t>
  </si>
  <si>
    <t>9763-20170724T164313.021291400.bin</t>
  </si>
  <si>
    <t>-491.198173558582 133.259867344669 -246.331320595144</t>
  </si>
  <si>
    <t>-529.058614485402 130.33549805331 -361.334950791106</t>
  </si>
  <si>
    <t>-540.362337011984 121.235948167635 -481.667770023133</t>
  </si>
  <si>
    <t>-539.550050630466 110.364909298219 -590.644839821474</t>
  </si>
  <si>
    <t>-527.845618940593 96.8479563327025 -698.696432816175</t>
  </si>
  <si>
    <t>-500.344504417271 75.2853635798355 -846.948820071865</t>
  </si>
  <si>
    <t>-454.957353818651 59.1833613797999 -936.746961944076</t>
  </si>
  <si>
    <t>-500.723653444654 114.278905880836 -783.448535925205</t>
  </si>
  <si>
    <t>-449.038753850507 250.62733163734 -764.605047838681</t>
  </si>
  <si>
    <t>-371.157902403444 267.161677292328 -458.259823812483</t>
  </si>
  <si>
    <t>-161.775451620613 197.745642232737 -320.48291675553</t>
  </si>
  <si>
    <t>-524.302168853209 55.3733334443057 -779.25482288262</t>
  </si>
  <si>
    <t>-461.364260940616 226.19252906838 -258.142992502015</t>
  </si>
  <si>
    <t>-466.661366148795 209.953805154672 197.231436482917</t>
  </si>
  <si>
    <t>-484.354671130346 162.378789023593 664.295917368925</t>
  </si>
  <si>
    <t>-337.354486527207 147.610258634781 759.77549814592</t>
  </si>
  <si>
    <t>-520.955935856504 40.4183522356374 -233.892796976838</t>
  </si>
  <si>
    <t>-415.935101105878 -18.7489309312796 205.56986276941</t>
  </si>
  <si>
    <t>-587.83618773678 -97.2788917210897 635.805829181709</t>
  </si>
  <si>
    <t>-443.755733141289 -152.325456801905 720.38856807719</t>
  </si>
  <si>
    <t>9763-20170724T164313.091486500.bin</t>
  </si>
  <si>
    <t>-490.836810575341 133.93836278677 -246.339129381122</t>
  </si>
  <si>
    <t>-528.674563242347 130.809705275229 -361.344918655251</t>
  </si>
  <si>
    <t>-540.155633466954 121.543292270678 -481.648040618052</t>
  </si>
  <si>
    <t>-539.589867737105 110.518222571417 -590.611392148733</t>
  </si>
  <si>
    <t>-528.219068266414 96.8316246855054 -698.677242365157</t>
  </si>
  <si>
    <t>-501.271614941569 75.0056570977757 -846.99267946817</t>
  </si>
  <si>
    <t>-456.093826153408 58.7335173224412 -936.865734365658</t>
  </si>
  <si>
    <t>-501.376240819768 114.097582663123 -783.551918064078</t>
  </si>
  <si>
    <t>-449.570966004224 250.484960481849 -765.247885299937</t>
  </si>
  <si>
    <t>-369.053920301581 267.711611994743 -459.623193848393</t>
  </si>
  <si>
    <t>-158.184846171736 200.896213048506 -322.831405849688</t>
  </si>
  <si>
    <t>-525.013771761858 55.2283596410161 -779.183532996189</t>
  </si>
  <si>
    <t>-461.256943996864 226.934949623769 -258.175007581782</t>
  </si>
  <si>
    <t>-466.624380726241 210.371824696486 197.186889337901</t>
  </si>
  <si>
    <t>-484.207384670581 162.029675881911 664.17595919331</t>
  </si>
  <si>
    <t>-337.222817190731 147.567086865263 759.726400547788</t>
  </si>
  <si>
    <t>-520.31017977956 40.8457142753657 -233.866291920401</t>
  </si>
  <si>
    <t>-415.62448010201 -17.853586819756 205.739178123039</t>
  </si>
  <si>
    <t>-587.653753240474 -98.0929412379391 635.69089954212</t>
  </si>
  <si>
    <t>-443.160854169535 -151.698667597071 720.494974000937</t>
  </si>
  <si>
    <t>9763-20170724T164313.124074700.bin</t>
  </si>
  <si>
    <t>-490.848666754654 133.835998400482 -246.403049250279</t>
  </si>
  <si>
    <t>-528.770865856994 130.629757993239 -361.378946649444</t>
  </si>
  <si>
    <t>-540.357790020242 121.296164706457 -481.666833120511</t>
  </si>
  <si>
    <t>-539.898136592202 110.202584049302 -590.623582509164</t>
  </si>
  <si>
    <t>-528.644731419141 96.4325206299673 -698.691112694246</t>
  </si>
  <si>
    <t>-501.873278478696 74.4684759190528 -847.018044299778</t>
  </si>
  <si>
    <t>-456.795577043958 58.0921257974055 -936.922445327265</t>
  </si>
  <si>
    <t>-501.854408709921 113.600858448257 -783.602134768834</t>
  </si>
  <si>
    <t>-449.834270140518 249.954054940914 -765.464832753411</t>
  </si>
  <si>
    <t>-368.604632551189 267.116594937646 -460.025121598227</t>
  </si>
  <si>
    <t>-157.595520445353 200.873543815576 -323.170948675807</t>
  </si>
  <si>
    <t>-525.583195834834 54.7728729706448 -779.173775995001</t>
  </si>
  <si>
    <t>-461.287827028007 227.143402335513 -258.272485829274</t>
  </si>
  <si>
    <t>-466.763389054994 210.387509294247 197.081278513594</t>
  </si>
  <si>
    <t>-484.025653473656 161.887527792872 663.965859957764</t>
  </si>
  <si>
    <t>-337.071757890998 147.723210334495 759.608145795813</t>
  </si>
  <si>
    <t>-520.391610699648 40.2886831553988 -233.864876446298</t>
  </si>
  <si>
    <t>-415.628613726979 -17.592652341904 205.830575321889</t>
  </si>
  <si>
    <t>-587.738971125893 -99.7460863668003 635.694265674163</t>
  </si>
  <si>
    <t>-442.618374250118 -151.533581756508 720.556453660936</t>
  </si>
  <si>
    <t>9763-20170724T164313.192818800.bin</t>
  </si>
  <si>
    <t>-490.900521192517 134.014709754396 -246.474388058582</t>
  </si>
  <si>
    <t>-528.782137525462 130.474145409278 -361.453805152779</t>
  </si>
  <si>
    <t>-540.514029489324 120.816683959457 -481.702084260618</t>
  </si>
  <si>
    <t>-540.267244849324 109.415025291649 -590.627746709377</t>
  </si>
  <si>
    <t>-529.310714281487 95.3087028151921 -698.682437049048</t>
  </si>
  <si>
    <t>-503.039866850625 72.8362744966111 -847.022717622235</t>
  </si>
  <si>
    <t>-458.210834291217 56.1273482388294 -936.990217103688</t>
  </si>
  <si>
    <t>-502.715184517338 112.150232574255 -783.720038070562</t>
  </si>
  <si>
    <t>-450.458992424561 248.457637643417 -766.083967087366</t>
  </si>
  <si>
    <t>-369.113447124774 265.34593802551 -460.659938414712</t>
  </si>
  <si>
    <t>-158.363381315567 199.312267359288 -323.306380612</t>
  </si>
  <si>
    <t>-526.612649578897 53.4089977939135 -779.053315222303</t>
  </si>
  <si>
    <t>-461.191828153419 227.732974256318 -258.58224598896</t>
  </si>
  <si>
    <t>-467.103707522636 210.830200602166 196.760476749655</t>
  </si>
  <si>
    <t>-483.701345560586 162.25799180214 663.537933463492</t>
  </si>
  <si>
    <t>-336.740259081743 148.759038681332 759.265278565454</t>
  </si>
  <si>
    <t>-520.4305029155 40.3811154458074 -233.756727247653</t>
  </si>
  <si>
    <t>-415.861627345218 -16.745610236539 206.083661068329</t>
  </si>
  <si>
    <t>-587.724771819332 -100.831725179963 635.656173063109</t>
  </si>
  <si>
    <t>-442.095252949483 -151.099558123337 720.560247219175</t>
  </si>
  <si>
    <t>9763-20170724T164313.226922100.bin</t>
  </si>
  <si>
    <t>-490.70387689326 134.208588410561 -246.606829469663</t>
  </si>
  <si>
    <t>-528.656591298087 130.501575503373 -361.557461873493</t>
  </si>
  <si>
    <t>-540.554368494468 120.71660695887 -481.779115542657</t>
  </si>
  <si>
    <t>-540.497308767357 109.205576018937 -590.693523615754</t>
  </si>
  <si>
    <t>-529.770201569883 94.9893203604406 -698.756818245873</t>
  </si>
  <si>
    <t>-503.859035480329 72.3573337838033 -847.136105738634</t>
  </si>
  <si>
    <t>-459.139590304759 55.5142117894409 -937.133154298999</t>
  </si>
  <si>
    <t>-503.357968678896 111.730514515265 -783.871336180479</t>
  </si>
  <si>
    <t>-451.092168160736 248.071400296697 -766.526231986528</t>
  </si>
  <si>
    <t>-369.793356255751 265.070194662876 -461.095814684447</t>
  </si>
  <si>
    <t>-160.131656714521 198.11476221563 -322.52833428798</t>
  </si>
  <si>
    <t>-527.289930451756 53.0121766416239 -779.094370396067</t>
  </si>
  <si>
    <t>-461.04966237282 228.023525250091 -258.762183516795</t>
  </si>
  <si>
    <t>-467.242741225285 211.155783592726 196.578024791433</t>
  </si>
  <si>
    <t>-483.451791287512 162.07806407972 663.321621540567</t>
  </si>
  <si>
    <t>-336.399433144465 149.097254469964 758.98038332462</t>
  </si>
  <si>
    <t>-520.17952509033 40.4517843021841 -233.83497167021</t>
  </si>
  <si>
    <t>-415.908288529093 -16.112025023557 206.148753341636</t>
  </si>
  <si>
    <t>-587.740263571955 -101.435212473108 635.698403057689</t>
  </si>
  <si>
    <t>-441.952891606647 -151.312508038987 720.561754240415</t>
  </si>
  <si>
    <t>9763-20170724T164313.288105400.bin</t>
  </si>
  <si>
    <t>-491.091883980608 134.556174705514 -246.396859085101</t>
  </si>
  <si>
    <t>-528.723174316479 130.498562716036 -361.441433271212</t>
  </si>
  <si>
    <t>-540.797191120913 120.39370149346 -481.619062840599</t>
  </si>
  <si>
    <t>-541.112948925128 108.587319220481 -590.501381995129</t>
  </si>
  <si>
    <t>-530.972680058163 94.05651663413 -698.579500023071</t>
  </si>
  <si>
    <t>-506.096502348056 70.9544381851934 -847.063384201092</t>
  </si>
  <si>
    <t>-461.705320249028 53.7186478895602 -937.148606492592</t>
  </si>
  <si>
    <t>-505.071015152217 110.49513151971 -783.90960988367</t>
  </si>
  <si>
    <t>-452.610690558791 246.94527363439 -767.548975679469</t>
  </si>
  <si>
    <t>-372.667531066876 268.094075292755 -462.019895087856</t>
  </si>
  <si>
    <t>-166.704696871652 198.059564833011 -319.483842937338</t>
  </si>
  <si>
    <t>-529.13587435934 51.8576144377216 -778.818167029738</t>
  </si>
  <si>
    <t>-462.084896438724 228.729694404687 -258.574150295726</t>
  </si>
  <si>
    <t>-468.571394486613 211.613732578869 196.752863658426</t>
  </si>
  <si>
    <t>-483.958124303291 162.398984864476 663.851001610848</t>
  </si>
  <si>
    <t>-336.092064273675 149.838844492936 758.304079330388</t>
  </si>
  <si>
    <t>-519.929974702153 40.7013672967302 -233.621916589338</t>
  </si>
  <si>
    <t>-416.439338500322 -15.8667059794655 206.545519419025</t>
  </si>
  <si>
    <t>-587.793897836136 -102.447193934219 635.870682903802</t>
  </si>
  <si>
    <t>-441.543462187037 -151.03172531714 720.687363353262</t>
  </si>
  <si>
    <t>9763-20170724T164313.324210200.bin</t>
  </si>
  <si>
    <t>-491.401619177831 134.940738485924 -246.010553569251</t>
  </si>
  <si>
    <t>-528.762578241552 130.680119879573 -361.135859003821</t>
  </si>
  <si>
    <t>-540.881719513086 120.385295232682 -481.292857009477</t>
  </si>
  <si>
    <t>-541.373579885223 108.404746056566 -590.155485137418</t>
  </si>
  <si>
    <t>-531.54503417786 93.6913231218185 -698.237679424275</t>
  </si>
  <si>
    <t>-507.24150047368 70.3210518096539 -846.774546756498</t>
  </si>
  <si>
    <t>-463.074522214687 52.9203106168465 -936.938077690158</t>
  </si>
  <si>
    <t>-505.947650860108 109.965979976561 -783.691096883248</t>
  </si>
  <si>
    <t>-453.805654401793 246.56880084183 -767.961096742149</t>
  </si>
  <si>
    <t>-376.447732387752 269.470126424451 -461.893418443132</t>
  </si>
  <si>
    <t>-173.221306368672 197.039418592305 -316.652599070936</t>
  </si>
  <si>
    <t>-530.042407672047 51.3573518615444 -778.412133040827</t>
  </si>
  <si>
    <t>-463.019612620836 228.960698225188 -257.961025289138</t>
  </si>
  <si>
    <t>-469.435254270238 211.868456847981 197.367882035296</t>
  </si>
  <si>
    <t>-484.938660882927 162.649854989232 664.768847622691</t>
  </si>
  <si>
    <t>-336.155505735619 150.903517017644 757.876849576863</t>
  </si>
  <si>
    <t>-519.611239711702 41.1559081686891 -233.366249279292</t>
  </si>
  <si>
    <t>-416.666280890197 -16.0521214760088 206.846506556729</t>
  </si>
  <si>
    <t>-587.609157982088 -102.680222681793 635.957199546658</t>
  </si>
  <si>
    <t>-441.340338921956 -150.893769470259 720.953577150808</t>
  </si>
  <si>
    <t>9763-20170724T164313.388985300.bin</t>
  </si>
  <si>
    <t>-492.286573580637 135.440781429601 -244.663484660528</t>
  </si>
  <si>
    <t>-529.464202724185 131.00789313383 -359.841695794681</t>
  </si>
  <si>
    <t>-541.752648745449 120.39556159975 -479.953870633687</t>
  </si>
  <si>
    <t>-542.549067174045 108.060502407527 -588.774965405818</t>
  </si>
  <si>
    <t>-533.177832342502 92.9188144149052 -696.838666997751</t>
  </si>
  <si>
    <t>-509.667660385493 68.8708039356883 -845.394923579842</t>
  </si>
  <si>
    <t>-465.805551933601 51.1301490631791 -935.641158288288</t>
  </si>
  <si>
    <t>-508.019491668694 108.796158116155 -782.496866687997</t>
  </si>
  <si>
    <t>-456.793899805553 245.858560124715 -767.873185679876</t>
  </si>
  <si>
    <t>-387.145326749746 274.238503876671 -460.415923542704</t>
  </si>
  <si>
    <t>-192.177338664758 192.674979803646 -308.83468513968</t>
  </si>
  <si>
    <t>-532.120866948091 50.2264310088247 -776.829962972753</t>
  </si>
  <si>
    <t>-464.922058939334 229.246038795011 -256.227266471554</t>
  </si>
  <si>
    <t>-470.808105265188 212.044857461942 199.104610842839</t>
  </si>
  <si>
    <t>-486.876390603631 162.842903515629 666.555636842127</t>
  </si>
  <si>
    <t>-336.395368926347 152.572429841893 757.073537489048</t>
  </si>
  <si>
    <t>-519.488846603569 41.7324992460968 -232.358463394687</t>
  </si>
  <si>
    <t>-417.811354107563 -16.5716782076172 208.004941267308</t>
  </si>
  <si>
    <t>-587.61498798309 -102.634758197599 637.248832580747</t>
  </si>
  <si>
    <t>-441.084147928666 -150.187057771157 722.166385216588</t>
  </si>
  <si>
    <t>9763-20170724T164313.422598500.bin</t>
  </si>
  <si>
    <t>-492.648908888858 135.511902026514 -244.150273233109</t>
  </si>
  <si>
    <t>-529.975149802486 131.097100292396 -359.280969630935</t>
  </si>
  <si>
    <t>-542.444558174222 120.410205783723 -479.367773406801</t>
  </si>
  <si>
    <t>-543.415913231949 107.972067809234 -588.175962738507</t>
  </si>
  <si>
    <t>-534.230421884951 92.6929819282798 -696.23617322744</t>
  </si>
  <si>
    <t>-510.988590747255 68.4195089558138 -844.797953532939</t>
  </si>
  <si>
    <t>-467.198548451339 50.5516814175801 -935.053960331989</t>
  </si>
  <si>
    <t>-509.260591241377 108.453387494955 -781.971068909235</t>
  </si>
  <si>
    <t>-458.518191312907 245.733376060506 -767.764671613099</t>
  </si>
  <si>
    <t>-394.417435763189 276.135074953961 -459.295790800539</t>
  </si>
  <si>
    <t>-201.917887108778 192.431826492649 -305.738825526324</t>
  </si>
  <si>
    <t>-533.284220399356 49.866156466323 -776.157026969446</t>
  </si>
  <si>
    <t>-465.4987371975 229.440422295565 -255.718860257714</t>
  </si>
  <si>
    <t>-471.010939606613 212.332893144359 199.621248730996</t>
  </si>
  <si>
    <t>-487.205355688853 163.317608081463 666.749543883267</t>
  </si>
  <si>
    <t>-336.588173032134 152.253519818271 756.946873783173</t>
  </si>
  <si>
    <t>-519.74259177767 41.6536399925433 -231.806531428131</t>
  </si>
  <si>
    <t>-418.67352277661 -16.8333182031389 208.672703744566</t>
  </si>
  <si>
    <t>-587.820369102574 -102.615708122135 638.147512329899</t>
  </si>
  <si>
    <t>-441.197566600665 -150.360070601765 722.79818460618</t>
  </si>
  <si>
    <t>9763-20170724T164313.487952500.bin</t>
  </si>
  <si>
    <t>-492.442567362249 134.990047592736 -243.852180914402</t>
  </si>
  <si>
    <t>-529.869312607405 130.716958570869 -358.955395291543</t>
  </si>
  <si>
    <t>-542.635605826104 119.984415791628 -479.007252017545</t>
  </si>
  <si>
    <t>-543.953157024524 107.43978487428 -587.799278496501</t>
  </si>
  <si>
    <t>-535.188455691035 91.9952855095923 -695.87104835883</t>
  </si>
  <si>
    <t>-512.605023606785 67.4365642846988 -844.487652754792</t>
  </si>
  <si>
    <t>-468.94222521772 49.4224490023588 -934.776328455745</t>
  </si>
  <si>
    <t>-510.684868199225 107.624198133792 -781.764460265117</t>
  </si>
  <si>
    <t>-461.304391422479 245.451470147539 -768.131196936025</t>
  </si>
  <si>
    <t>-410.689167586672 277.898723166124 -457.371540798369</t>
  </si>
  <si>
    <t>-222.156177053391 186.136720010062 -303.49793588967</t>
  </si>
  <si>
    <t>-534.510137221173 48.9819392240222 -775.694416306843</t>
  </si>
  <si>
    <t>-465.164097949609 228.683763164507 -255.711959482629</t>
  </si>
  <si>
    <t>-469.776690958783 211.824784309696 199.647339320725</t>
  </si>
  <si>
    <t>-486.691466151776 163.057021169703 666.563657387365</t>
  </si>
  <si>
    <t>-336.340381904885 152.510974461216 757.265557420223</t>
  </si>
  <si>
    <t>-519.343379369954 41.3336629873268 -231.560670914179</t>
  </si>
  <si>
    <t>-419.590856676399 -17.8301417390261 209.128197081808</t>
  </si>
  <si>
    <t>-588.033416826355 -101.872254851608 639.272710372955</t>
  </si>
  <si>
    <t>-441.680059934128 -150.923878150169 723.641839518314</t>
  </si>
  <si>
    <t>9763-20170724T164313.521022000.bin</t>
  </si>
  <si>
    <t>-492.165724088165 134.329792711267 -243.814335668467</t>
  </si>
  <si>
    <t>-529.580492236784 130.095966815593 -358.923081213976</t>
  </si>
  <si>
    <t>-542.445085520457 119.36067529188 -478.963860757308</t>
  </si>
  <si>
    <t>-543.895104823353 106.804284901129 -587.753170658553</t>
  </si>
  <si>
    <t>-535.304194252426 91.3429783925808 -695.836418171816</t>
  </si>
  <si>
    <t>-513.002691934205 66.7594831025327 -844.491438917002</t>
  </si>
  <si>
    <t>-469.413320524136 48.7080026898203 -934.80803728991</t>
  </si>
  <si>
    <t>-511.02962724993 106.982747960901 -781.792713286419</t>
  </si>
  <si>
    <t>-462.381085892616 245.12448838693 -768.570284874118</t>
  </si>
  <si>
    <t>-418.182446061432 278.039326807771 -456.882461493909</t>
  </si>
  <si>
    <t>-230.395696532375 183.676284724059 -303.670698104208</t>
  </si>
  <si>
    <t>-534.711193829505 48.2910545449295 -775.63961303828</t>
  </si>
  <si>
    <t>-464.928338413366 228.039496346105 -255.73635881329</t>
  </si>
  <si>
    <t>-468.882869992001 211.389147855672 199.636821793372</t>
  </si>
  <si>
    <t>-486.652807549769 163.004087575961 666.680129066134</t>
  </si>
  <si>
    <t>-336.361401607027 152.335381467497 757.466623909815</t>
  </si>
  <si>
    <t>-519.175751541225 40.8340011145945 -231.50472484684</t>
  </si>
  <si>
    <t>-419.930530423658 -19.3653926189602 209.158545815019</t>
  </si>
  <si>
    <t>-588.0750101626 -102.263814792963 639.635695962795</t>
  </si>
  <si>
    <t>-441.244054491949 -150.006682541172 723.925672268515</t>
  </si>
  <si>
    <t>9763-20170724T164313.589206500.bin</t>
  </si>
  <si>
    <t>-491.029459456164 133.518264170308 -244.103210190293</t>
  </si>
  <si>
    <t>-528.778532458678 129.465399037805 -359.109207371386</t>
  </si>
  <si>
    <t>-542.094043616756 118.690062790605 -479.09733188585</t>
  </si>
  <si>
    <t>-543.99294184467 106.020473358167 -587.866482870384</t>
  </si>
  <si>
    <t>-535.88780264545 90.3764483180023 -695.96104031612</t>
  </si>
  <si>
    <t>-514.295341880181 65.4739357837145 -844.667435933624</t>
  </si>
  <si>
    <t>-470.856845142038 47.3334209077741 -935.039023416118</t>
  </si>
  <si>
    <t>-512.162810752828 105.884241248587 -782.094554087131</t>
  </si>
  <si>
    <t>-464.804254198331 244.538763548639 -769.731368824548</t>
  </si>
  <si>
    <t>-430.920780240666 278.697612878982 -456.887532399571</t>
  </si>
  <si>
    <t>-245.24367511328 176.962143352073 -305.838085824786</t>
  </si>
  <si>
    <t>-535.535847091265 47.1007903092389 -775.644419568214</t>
  </si>
  <si>
    <t>-464.089199460114 226.856950770748 -255.862291912027</t>
  </si>
  <si>
    <t>-467.055419540103 210.712203277802 199.536709595245</t>
  </si>
  <si>
    <t>-486.447832211602 162.858326329312 666.656090274559</t>
  </si>
  <si>
    <t>-336.382518473091 151.728372035873 757.760655904047</t>
  </si>
  <si>
    <t>-517.761989628481 40.3068014081898 -231.884156506669</t>
  </si>
  <si>
    <t>-420.820013264681 -20.952221349605 209.145647895362</t>
  </si>
  <si>
    <t>-588.26517367066 -101.958504176211 640.337734558175</t>
  </si>
  <si>
    <t>-441.501676573903 -150.502032725456 724.287239885354</t>
  </si>
  <si>
    <t>9763-20170724T164313.621804500.bin</t>
  </si>
  <si>
    <t>-490.588381864536 133.076729295823 -244.237783356714</t>
  </si>
  <si>
    <t>-528.402710222702 129.10921275819 -359.225439999333</t>
  </si>
  <si>
    <t>-541.871069040511 118.339031561615 -479.196986636121</t>
  </si>
  <si>
    <t>-543.941759594437 105.64828938919 -587.960473654074</t>
  </si>
  <si>
    <t>-536.040111100661 89.9611204158244 -696.063850572729</t>
  </si>
  <si>
    <t>-514.760798616715 64.9793439882249 -844.802209492002</t>
  </si>
  <si>
    <t>-471.4012300904 46.8833511864381 -935.220387466986</t>
  </si>
  <si>
    <t>-512.576581568404 105.452859211994 -782.271896921366</t>
  </si>
  <si>
    <t>-465.678579827657 244.28630642556 -770.314113160612</t>
  </si>
  <si>
    <t>-435.173092386035 278.437831438512 -457.121995589643</t>
  </si>
  <si>
    <t>-249.346174023066 175.5586241962 -307.034398478543</t>
  </si>
  <si>
    <t>-535.775813850805 46.6131293320155 -775.708312473139</t>
  </si>
  <si>
    <t>-463.919357714588 226.408008498509 -255.839184120773</t>
  </si>
  <si>
    <t>-466.498786144557 210.451860674601 199.568760920333</t>
  </si>
  <si>
    <t>-486.610129450926 163.120829862105 666.804765336744</t>
  </si>
  <si>
    <t>-336.578231285377 151.370927103557 757.886510109941</t>
  </si>
  <si>
    <t>-517.222070838736 39.8462485980195 -232.06179457989</t>
  </si>
  <si>
    <t>-421.34150464193 -21.5569595024429 209.179915991132</t>
  </si>
  <si>
    <t>-588.366418358151 -101.810820820529 640.663722717244</t>
  </si>
  <si>
    <t>-441.588376903268 -150.776998726949 724.341948421082</t>
  </si>
  <si>
    <t>9763-20170724T164313.687002700.bin</t>
  </si>
  <si>
    <t>-490.083444442092 131.597663483895 -244.403080325366</t>
  </si>
  <si>
    <t>-527.969165739387 127.844386338015 -359.374289935975</t>
  </si>
  <si>
    <t>-541.758437832679 117.142472967893 -479.315518838784</t>
  </si>
  <si>
    <t>-544.216871973398 104.469252589848 -588.073093568853</t>
  </si>
  <si>
    <t>-536.795574440884 88.7632294921938 -696.207609302579</t>
  </si>
  <si>
    <t>-516.274329691489 63.725035021421 -845.043093493088</t>
  </si>
  <si>
    <t>-473.077742065369 45.757659320989 -935.564891765781</t>
  </si>
  <si>
    <t>-513.951440181614 104.288353109924 -782.57589991994</t>
  </si>
  <si>
    <t>-468.170705830531 243.525693708902 -770.870563567429</t>
  </si>
  <si>
    <t>-437.551914089566 276.005392806678 -457.511591417643</t>
  </si>
  <si>
    <t>-247.591240519793 179.935787963223 -308.087290200346</t>
  </si>
  <si>
    <t>-536.757242588965 45.319033129277 -775.800040872491</t>
  </si>
  <si>
    <t>-463.611318821046 224.714104099235 -255.759112450549</t>
  </si>
  <si>
    <t>-465.192932514233 209.211945145875 199.669166879508</t>
  </si>
  <si>
    <t>-486.612865209003 162.509876143375 666.971601021614</t>
  </si>
  <si>
    <t>-336.49950852874 151.68492896629 758.033711376729</t>
  </si>
  <si>
    <t>-516.413785100797 38.5339985153126 -232.40035477477</t>
  </si>
  <si>
    <t>-422.434955804173 -22.2076177460627 209.341710579505</t>
  </si>
  <si>
    <t>-588.583545689928 -101.246615744313 641.320888250932</t>
  </si>
  <si>
    <t>-441.635837709883 -150.703956915436 724.410313883447</t>
  </si>
  <si>
    <t>9763-20170724T164313.722604000.bin</t>
  </si>
  <si>
    <t>-489.858145879272 131.102949648592 -244.369491190723</t>
  </si>
  <si>
    <t>-527.873959011024 127.385002279525 -359.298958116995</t>
  </si>
  <si>
    <t>-541.811790588227 116.718803642431 -479.226215547109</t>
  </si>
  <si>
    <t>-544.408333925968 104.083340493569 -587.984895564316</t>
  </si>
  <si>
    <t>-537.126676333705 88.4238603355067 -696.135705858339</t>
  </si>
  <si>
    <t>-516.798720607184 63.461709813012 -845.010399850249</t>
  </si>
  <si>
    <t>-473.677945811237 45.6064715356378 -935.590566969451</t>
  </si>
  <si>
    <t>-514.457221913612 104.015730865271 -782.537887052465</t>
  </si>
  <si>
    <t>-468.691127384132 243.275917284718 -770.860454169419</t>
  </si>
  <si>
    <t>-436.029122988095 275.196862486325 -457.650628025389</t>
  </si>
  <si>
    <t>-243.755381810423 183.352059611304 -308.528437040007</t>
  </si>
  <si>
    <t>-537.129240003294 44.9976038260122 -775.737898330758</t>
  </si>
  <si>
    <t>-463.433658626842 224.125546052909 -255.732136439269</t>
  </si>
  <si>
    <t>-464.585146968849 208.95551602914 199.708559962365</t>
  </si>
  <si>
    <t>-486.676691485035 162.742718442551 666.961396566668</t>
  </si>
  <si>
    <t>-336.701948132615 150.975929788081 758.135015937212</t>
  </si>
  <si>
    <t>-516.159120735408 38.1574647215528 -232.302682974627</t>
  </si>
  <si>
    <t>-422.591730887783 -22.4005956012937 209.55197135241</t>
  </si>
  <si>
    <t>-588.641674542512 -101.107160106807 641.548940668546</t>
  </si>
  <si>
    <t>-441.745665176172 -150.962316619531 724.491888817697</t>
  </si>
  <si>
    <t>9763-20170724T164313.784771100.bin</t>
  </si>
  <si>
    <t>-489.427849320547 129.035972050829 -244.375120205302</t>
  </si>
  <si>
    <t>-527.851746438917 125.317756424253 -359.168873044934</t>
  </si>
  <si>
    <t>-542.270984591375 114.664303298477 -479.040155567888</t>
  </si>
  <si>
    <t>-545.326282424961 102.047249362076 -587.789119671137</t>
  </si>
  <si>
    <t>-538.522440101764 86.4137706587086 -695.974818211576</t>
  </si>
  <si>
    <t>-518.874330969195 61.4963408190112 -844.94829648105</t>
  </si>
  <si>
    <t>-475.995663756049 43.6932491623289 -935.653476789284</t>
  </si>
  <si>
    <t>-516.25125152091 102.032906252875 -782.475666552163</t>
  </si>
  <si>
    <t>-469.886858663067 241.062702928259 -770.452592230139</t>
  </si>
  <si>
    <t>-429.833713701355 274.807788334135 -458.293555197457</t>
  </si>
  <si>
    <t>-231.532984540272 195.22290923682 -310.019817886667</t>
  </si>
  <si>
    <t>-538.884818520398 43.0101038338489 -775.588692473759</t>
  </si>
  <si>
    <t>-462.997142216921 222.05332181117 -255.875797237152</t>
  </si>
  <si>
    <t>-463.147973135696 207.483845371732 199.585893586071</t>
  </si>
  <si>
    <t>-486.395791890898 162.132557356042 666.818156326207</t>
  </si>
  <si>
    <t>-336.609975204811 150.934552706925 758.37323998374</t>
  </si>
  <si>
    <t>-515.728944281507 35.8285414171764 -232.25120793892</t>
  </si>
  <si>
    <t>-422.457723762317 -23.2078354763525 209.871959490201</t>
  </si>
  <si>
    <t>-588.680564661817 -101.693567711909 641.888761703657</t>
  </si>
  <si>
    <t>-441.034468627451 -149.657690401482 724.614638802594</t>
  </si>
  <si>
    <t>9763-20170724T164313.823377300.bin</t>
  </si>
  <si>
    <t>-489.101112165898 128.159833192271 -244.350975714488</t>
  </si>
  <si>
    <t>-527.618472316313 124.411638293216 -359.112262653929</t>
  </si>
  <si>
    <t>-542.211055349652 113.680579570743 -478.955800205556</t>
  </si>
  <si>
    <t>-545.453638906065 100.978806413271 -587.689431934651</t>
  </si>
  <si>
    <t>-538.865817596381 85.2488236624142 -695.874512056872</t>
  </si>
  <si>
    <t>-519.545635527348 60.1876614197645 -844.866744916831</t>
  </si>
  <si>
    <t>-476.831989912729 42.3200420884394 -935.637159306937</t>
  </si>
  <si>
    <t>-516.776319059266 100.781353444773 -782.437518167968</t>
  </si>
  <si>
    <t>-470.222817424867 239.763490380079 -770.418177759668</t>
  </si>
  <si>
    <t>-425.383794125467 274.728999249716 -459.045444136198</t>
  </si>
  <si>
    <t>-223.078877719005 203.114399448447 -312.123231119408</t>
  </si>
  <si>
    <t>-539.412077251887 41.7715617906189 -775.447053341379</t>
  </si>
  <si>
    <t>-462.553303704397 221.010362465747 -255.978373963727</t>
  </si>
  <si>
    <t>-462.343832477635 206.802389348345 199.494768647712</t>
  </si>
  <si>
    <t>-486.220578667908 161.822624094137 666.732798019495</t>
  </si>
  <si>
    <t>-336.558149309625 150.962416427963 758.530001484348</t>
  </si>
  <si>
    <t>-515.473514516235 35.2825213993184 -232.102568876666</t>
  </si>
  <si>
    <t>-421.952382595623 -23.3496242479113 210.021485747071</t>
  </si>
  <si>
    <t>-588.650579141969 -101.037746283924 641.954206715009</t>
  </si>
  <si>
    <t>-441.524184197243 -150.422153425546 724.770516986435</t>
  </si>
  <si>
    <t>9763-20170724T164313.890641200.bin</t>
  </si>
  <si>
    <t>-488.186580277747 126.451514604052 -244.082631476972</t>
  </si>
  <si>
    <t>-527.038043347294 122.696749337186 -358.731100907332</t>
  </si>
  <si>
    <t>-542.03087149935 111.755756969375 -478.506166770913</t>
  </si>
  <si>
    <t>-545.656506055291 98.7923909994923 -587.196813270881</t>
  </si>
  <si>
    <t>-539.469287946575 82.7363477067178 -695.357614025235</t>
  </si>
  <si>
    <t>-520.721026243632 57.1615076594437 -844.335649735564</t>
  </si>
  <si>
    <t>-478.382227506498 39.0499908054704 -935.233262817408</t>
  </si>
  <si>
    <t>-517.677213796698 97.9574977787264 -782.051320395871</t>
  </si>
  <si>
    <t>-470.731805256623 236.83181139985 -770.22301482832</t>
  </si>
  <si>
    <t>-414.4198065999 278.444477178134 -461.542698219778</t>
  </si>
  <si>
    <t>-203.622743942383 223.320684303709 -319.528451017799</t>
  </si>
  <si>
    <t>-540.355857663791 38.9976604153646 -774.783836206972</t>
  </si>
  <si>
    <t>-461.56459960584 219.334013053189 -255.883417007839</t>
  </si>
  <si>
    <t>-461.222392122083 205.886598382541 199.612766128936</t>
  </si>
  <si>
    <t>-486.34743704573 161.595119714668 666.964772542563</t>
  </si>
  <si>
    <t>-336.814185005862 149.571408674474 758.827429928009</t>
  </si>
  <si>
    <t>-514.657337081544 33.58167171326 -231.591128608164</t>
  </si>
  <si>
    <t>-420.561057936654 -24.4811657239834 210.486101855072</t>
  </si>
  <si>
    <t>-588.691696767606 -101.292940268536 642.096730769072</t>
  </si>
  <si>
    <t>-441.570814250313 -150.538902409529 725.005105578367</t>
  </si>
  <si>
    <t>9763-20170724T164313.923240900.bin</t>
  </si>
  <si>
    <t>-487.700494795883 125.818450305471 -243.882868552977</t>
  </si>
  <si>
    <t>-526.663606407109 122.048956993485 -358.492927528583</t>
  </si>
  <si>
    <t>-541.832539727943 110.931773566163 -478.229681324413</t>
  </si>
  <si>
    <t>-545.641642119569 97.7508035666032 -586.8877118309</t>
  </si>
  <si>
    <t>-539.6608099649 81.4236477303112 -695.019654210679</t>
  </si>
  <si>
    <t>-521.221677815114 55.4206042610674 -843.962139582495</t>
  </si>
  <si>
    <t>-479.099650757196 37.1060464180858 -934.91979705456</t>
  </si>
  <si>
    <t>-518.020164789761 96.3851534240473 -781.796421183743</t>
  </si>
  <si>
    <t>-470.941668245598 235.237891349972 -770.410869691174</t>
  </si>
  <si>
    <t>-408.284180810429 281.64974799623 -463.643498894392</t>
  </si>
  <si>
    <t>-193.386759447627 232.90532526366 -325.494608734719</t>
  </si>
  <si>
    <t>-540.740650328916 37.4671679205098 -774.322987930013</t>
  </si>
  <si>
    <t>-461.072737919394 218.675814890019 -255.729487914325</t>
  </si>
  <si>
    <t>-460.869256545458 205.51318184307 199.775036997959</t>
  </si>
  <si>
    <t>-486.654990186831 161.872874752411 667.201043163098</t>
  </si>
  <si>
    <t>-337.058803118554 149.375784696132 758.897866114027</t>
  </si>
  <si>
    <t>-514.277920531678 33.0943047474225 -231.240423650495</t>
  </si>
  <si>
    <t>-419.967772964719 -24.9489115392146 210.79378873183</t>
  </si>
  <si>
    <t>-588.730485482191 -101.198665529421 642.201028484317</t>
  </si>
  <si>
    <t>-441.761389806515 -150.895288287568 725.109462445923</t>
  </si>
  <si>
    <t>9763-20170724T164313.988491000.bin</t>
  </si>
  <si>
    <t>-486.908105501705 124.201947990777 -243.386890278316</t>
  </si>
  <si>
    <t>-525.847764346517 120.340315656992 -358.001872855184</t>
  </si>
  <si>
    <t>-541.202127322287 108.778911995664 -477.672919144467</t>
  </si>
  <si>
    <t>-545.265544410129 95.0644312560952 -586.255768105749</t>
  </si>
  <si>
    <t>-539.624983650532 78.0793686791734 -694.304655902042</t>
  </si>
  <si>
    <t>-521.746981661629 51.0389852074514 -843.130734259439</t>
  </si>
  <si>
    <t>-479.955989149959 32.2092113101647 -934.135722981508</t>
  </si>
  <si>
    <t>-518.258838262348 92.4164896260474 -781.254522040598</t>
  </si>
  <si>
    <t>-470.724507703236 231.230957934496 -771.402431715759</t>
  </si>
  <si>
    <t>-394.931234978527 289.669783099583 -469.696503397996</t>
  </si>
  <si>
    <t>-176.711959067963 242.517164784656 -336.283484718719</t>
  </si>
  <si>
    <t>-541.056048167773 33.5905605004581 -773.304881713719</t>
  </si>
  <si>
    <t>-460.030653365026 216.906512239517 -255.363129199739</t>
  </si>
  <si>
    <t>-460.026086796887 204.508723450453 200.162908028457</t>
  </si>
  <si>
    <t>-487.083540010531 161.733368705531 667.612472558413</t>
  </si>
  <si>
    <t>-337.110676546204 149.744705716727 758.7603338638</t>
  </si>
  <si>
    <t>-513.636877362324 31.6055276224628 -230.694318915899</t>
  </si>
  <si>
    <t>-419.392186956369 -25.8831876847088 211.426327946259</t>
  </si>
  <si>
    <t>-588.886445487178 -101.101857265176 642.586923653729</t>
  </si>
  <si>
    <t>-441.735546092121 -150.632263201299 725.272302370835</t>
  </si>
  <si>
    <t>9763-20170724T164314.024085200.bin</t>
  </si>
  <si>
    <t>-486.60462682449 123.663580199416 -243.142738588187</t>
  </si>
  <si>
    <t>-525.635592014669 119.780092550651 -357.726078763782</t>
  </si>
  <si>
    <t>-541.20209784459 107.970670100068 -477.345292686263</t>
  </si>
  <si>
    <t>-545.507227029095 93.9421672745197 -585.878796380718</t>
  </si>
  <si>
    <t>-540.158463059493 76.5547490515751 -693.878342206886</t>
  </si>
  <si>
    <t>-522.73789718595 48.864746327696 -842.639222517253</t>
  </si>
  <si>
    <t>-481.189837530424 29.6993859991552 -933.68556620862</t>
  </si>
  <si>
    <t>-519.024528937372 90.499173589957 -780.948938975719</t>
  </si>
  <si>
    <t>-471.23763425281 229.277140593194 -771.946000069289</t>
  </si>
  <si>
    <t>-389.708213115368 293.799656135779 -472.987805990248</t>
  </si>
  <si>
    <t>-170.343815403792 245.641638514986 -341.830936963536</t>
  </si>
  <si>
    <t>-541.867335834124 31.7342351659125 -772.685555259534</t>
  </si>
  <si>
    <t>-459.767233279997 216.395221346736 -255.184033324033</t>
  </si>
  <si>
    <t>-459.597151419027 204.23465152462 200.348328891095</t>
  </si>
  <si>
    <t>-487.251648226445 161.816756912865 667.720630786786</t>
  </si>
  <si>
    <t>-337.236953570268 149.422753644103 758.745303140007</t>
  </si>
  <si>
    <t>-513.337057010396 31.0636253476781 -230.437673903807</t>
  </si>
  <si>
    <t>-419.247932285884 -26.1047342799549 211.757684531246</t>
  </si>
  <si>
    <t>-588.962240002125 -100.980462746564 642.825533850233</t>
  </si>
  <si>
    <t>-441.911439831927 -150.952409912794 725.423198555415</t>
  </si>
  <si>
    <t>9763-20170724T164314.089764700.bin</t>
  </si>
  <si>
    <t>-486.134533340933 123.082833226571 -242.79328903882</t>
  </si>
  <si>
    <t>-525.250062924961 119.159784603985 -357.346256333352</t>
  </si>
  <si>
    <t>-541.052582889266 107.041426709606 -476.903741425559</t>
  </si>
  <si>
    <t>-545.635209887551 92.6237029189002 -585.374794785973</t>
  </si>
  <si>
    <t>-540.628932016753 74.737577221287 -693.309390242299</t>
  </si>
  <si>
    <t>-523.752348087635 46.240771659581 -841.980617094902</t>
  </si>
  <si>
    <t>-482.579915105855 26.6153594234618 -933.099494236395</t>
  </si>
  <si>
    <t>-519.748968010717 88.1857026053062 -780.519054226814</t>
  </si>
  <si>
    <t>-471.417960307579 226.829748783388 -772.543029946389</t>
  </si>
  <si>
    <t>-379.061236292354 304.236005682864 -479.857702742158</t>
  </si>
  <si>
    <t>-158.049318933825 254.261027356159 -352.192910254451</t>
  </si>
  <si>
    <t>-542.690467969302 29.5137191087504 -771.877195746488</t>
  </si>
  <si>
    <t>-459.219266719144 215.768519931523 -254.964412129979</t>
  </si>
  <si>
    <t>-458.429466984362 203.862697233621 200.574043029606</t>
  </si>
  <si>
    <t>-487.285141398836 161.528473149757 667.84299414793</t>
  </si>
  <si>
    <t>-337.339820317124 148.34646336613 758.87137743278</t>
  </si>
  <si>
    <t>-512.874251820309 30.428928347364 -229.98145466637</t>
  </si>
  <si>
    <t>-418.9496529194 -26.5594794190532 212.272012835135</t>
  </si>
  <si>
    <t>-589.156039105213 -101.225391648994 643.28511669693</t>
  </si>
  <si>
    <t>-441.997921180232 -151.245978168699 725.662041479449</t>
  </si>
  <si>
    <t>9763-20170724T164314.121361300.bin</t>
  </si>
  <si>
    <t>-485.841162444755 122.684042609257 -242.620551902931</t>
  </si>
  <si>
    <t>-525.06340071128 118.781708260921 -357.137673843322</t>
  </si>
  <si>
    <t>-540.949710568251 106.568578907003 -476.674400521428</t>
  </si>
  <si>
    <t>-545.596167764102 92.0246848901205 -585.125970388543</t>
  </si>
  <si>
    <t>-540.640712318583 73.975838614578 -693.035757354296</t>
  </si>
  <si>
    <t>-523.820674468501 45.2186718587733 -841.663219819539</t>
  </si>
  <si>
    <t>-482.735261949353 25.4518599373053 -932.790877017005</t>
  </si>
  <si>
    <t>-519.822016869778 87.2814212301348 -780.281953179969</t>
  </si>
  <si>
    <t>-471.793300568637 226.076301640157 -772.846175514827</t>
  </si>
  <si>
    <t>-371.887991434978 310.135472645399 -484.507453740174</t>
  </si>
  <si>
    <t>-150.807613118564 259.375525844166 -357.271729684823</t>
  </si>
  <si>
    <t>-542.704036946905 28.604252294338 -771.518399153261</t>
  </si>
  <si>
    <t>-458.811524555061 215.210770514597 -254.846650215042</t>
  </si>
  <si>
    <t>-457.747461668733 203.439171473616 200.694645093638</t>
  </si>
  <si>
    <t>-487.266686426617 161.240888667749 667.950131131608</t>
  </si>
  <si>
    <t>-337.225054578191 148.860876512058 758.932326537267</t>
  </si>
  <si>
    <t>-512.699102512214 30.2286671390552 -229.731786989527</t>
  </si>
  <si>
    <t>-418.69445800679 -26.5477079896947 212.532034509567</t>
  </si>
  <si>
    <t>-589.201607612584 -100.828096730875 643.419442814139</t>
  </si>
  <si>
    <t>-442.079053861533 -151.087502146961 725.714343601154</t>
  </si>
  <si>
    <t>9763-20170724T164314.186729800.bin</t>
  </si>
  <si>
    <t>-485.437434649417 122.030720758564 -242.256076445338</t>
  </si>
  <si>
    <t>-524.703269707392 117.971523948576 -356.752817364497</t>
  </si>
  <si>
    <t>-540.652700040716 105.466836592488 -476.251019585705</t>
  </si>
  <si>
    <t>-545.36381686822 90.6097504268168 -584.65725183767</t>
  </si>
  <si>
    <t>-540.480653237032 72.2016579554054 -692.509802640339</t>
  </si>
  <si>
    <t>-523.769222020761 42.9006517322828 -841.04321966935</t>
  </si>
  <si>
    <t>-482.786472139495 22.8915284549552 -932.164184391712</t>
  </si>
  <si>
    <t>-519.728944322108 85.1889369821086 -779.819929080011</t>
  </si>
  <si>
    <t>-471.879919761142 224.100645086032 -773.596549274445</t>
  </si>
  <si>
    <t>-360.902855429417 319.160252356315 -492.822713702953</t>
  </si>
  <si>
    <t>-140.035672623482 265.989314487363 -366.202819867665</t>
  </si>
  <si>
    <t>-542.59807548964 26.5419817017376 -770.823586086364</t>
  </si>
  <si>
    <t>-458.461242068974 214.310131889164 -254.579956400297</t>
  </si>
  <si>
    <t>-457.109345183637 202.814295953986 200.967702618938</t>
  </si>
  <si>
    <t>-487.509876817302 161.023659559681 668.281350862936</t>
  </si>
  <si>
    <t>-337.199470277555 149.211125469783 758.894599179451</t>
  </si>
  <si>
    <t>-512.215006337952 29.8035732099561 -229.305925907577</t>
  </si>
  <si>
    <t>-418.437890485705 -26.2604878494856 213.096968047419</t>
  </si>
  <si>
    <t>-589.265879203304 -100.623935342244 643.72988544857</t>
  </si>
  <si>
    <t>-442.12832376431 -151.065091162408 725.886625188867</t>
  </si>
  <si>
    <t>9763-20170724T164314.221828200.bin</t>
  </si>
  <si>
    <t>-485.283270091529 121.72163257411 -242.091050327761</t>
  </si>
  <si>
    <t>-524.556274327528 117.620983539703 -356.58396299349</t>
  </si>
  <si>
    <t>-540.551265212696 104.981702995614 -476.061892673431</t>
  </si>
  <si>
    <t>-545.320308750779 89.9654489428782 -584.443643647145</t>
  </si>
  <si>
    <t>-540.512464434657 71.3609237408284 -692.265797192094</t>
  </si>
  <si>
    <t>-523.924254726425 41.7483966537257 -840.751260202807</t>
  </si>
  <si>
    <t>-483.000665886313 21.5985155273473 -931.867821112579</t>
  </si>
  <si>
    <t>-519.799845684742 84.1529081397012 -779.614019731357</t>
  </si>
  <si>
    <t>-471.813930243538 223.045448062511 -773.981913582371</t>
  </si>
  <si>
    <t>-357.988118789555 322.723519168527 -495.963568009895</t>
  </si>
  <si>
    <t>-138.396084275609 267.407382195989 -368.051572193626</t>
  </si>
  <si>
    <t>-542.72819175048 25.5491065393828 -770.488126519734</t>
  </si>
  <si>
    <t>-458.253380052258 213.922544607173 -254.432239993441</t>
  </si>
  <si>
    <t>-457.048457907203 202.68690028391 201.122266792729</t>
  </si>
  <si>
    <t>-487.656510399533 161.108670204276 668.416767319411</t>
  </si>
  <si>
    <t>-337.265236509301 148.962271967516 758.851512055222</t>
  </si>
  <si>
    <t>-512.170662139429 29.5996589992188 -229.072919010402</t>
  </si>
  <si>
    <t>-418.329337964758 -26.3079734076722 213.336191784647</t>
  </si>
  <si>
    <t>-589.305141476945 -100.675276245772 643.883816807136</t>
  </si>
  <si>
    <t>-442.083363289875 -151.057773804393 725.925496942793</t>
  </si>
  <si>
    <t>9763-20170724T164314.289015200.bin</t>
  </si>
  <si>
    <t>-485.076839140545 121.358469593795 -241.864951138334</t>
  </si>
  <si>
    <t>-524.2451667456 117.340730277332 -356.396656568172</t>
  </si>
  <si>
    <t>-540.293085834902 104.578446883796 -475.854339208549</t>
  </si>
  <si>
    <t>-545.175202339511 89.3747831845072 -584.204960535256</t>
  </si>
  <si>
    <t>-540.544884742277 70.5117240402713 -691.990041059842</t>
  </si>
  <si>
    <t>-524.269267284359 40.4702234933137 -840.423808206678</t>
  </si>
  <si>
    <t>-483.479356279947 20.0556017002338 -931.541331112586</t>
  </si>
  <si>
    <t>-519.956600107301 83.0295258506913 -779.407254314232</t>
  </si>
  <si>
    <t>-471.925819690927 221.902488778257 -774.407425808106</t>
  </si>
  <si>
    <t>-360.29813796625 321.836967085407 -495.591187161253</t>
  </si>
  <si>
    <t>-150.747678328342 263.302537794079 -353.09774893876</t>
  </si>
  <si>
    <t>-542.984818813678 24.4957375826641 -770.085678985678</t>
  </si>
  <si>
    <t>-457.704341884014 213.354797499793 -254.215439441464</t>
  </si>
  <si>
    <t>-457.010825807045 202.318854108374 201.34503658327</t>
  </si>
  <si>
    <t>-487.904125730023 161.224441396572 668.659632467215</t>
  </si>
  <si>
    <t>-337.382187141277 148.484356759671 758.794893273367</t>
  </si>
  <si>
    <t>-512.331947233006 29.3332160328255 -228.852765425807</t>
  </si>
  <si>
    <t>-418.728866494099 -26.64619739328 213.597700895077</t>
  </si>
  <si>
    <t>-589.482655620053 -100.707771149074 644.361592141561</t>
  </si>
  <si>
    <t>-442.242011106355 -151.5407021374 726.09106994592</t>
  </si>
  <si>
    <t>9763-20170724T164314.325109400.bin</t>
  </si>
  <si>
    <t>-484.941185513147 121.083436360815 -241.80487990325</t>
  </si>
  <si>
    <t>-524.072361211751 117.231979961835 -356.354955139051</t>
  </si>
  <si>
    <t>-540.095539958751 104.546565465715 -475.824175851113</t>
  </si>
  <si>
    <t>-544.958940539408 89.381563190349 -584.181160034435</t>
  </si>
  <si>
    <t>-540.312679949656 70.5303924642398 -691.967576593842</t>
  </si>
  <si>
    <t>-524.016727605095 40.4814241202945 -840.397595646054</t>
  </si>
  <si>
    <t>-483.246642810068 20.0184044085465 -931.513122093945</t>
  </si>
  <si>
    <t>-519.686464548557 83.0343628151851 -779.377835811438</t>
  </si>
  <si>
    <t>-471.559876783618 221.876960017572 -774.08285827285</t>
  </si>
  <si>
    <t>-364.139814047723 319.852978079497 -492.928482765085</t>
  </si>
  <si>
    <t>-161.125914613798 258.139225227773 -342.532779613276</t>
  </si>
  <si>
    <t>-542.767931842256 24.5199703703937 -770.065869644409</t>
  </si>
  <si>
    <t>-457.316094348341 213.011942122274 -254.143539605188</t>
  </si>
  <si>
    <t>-456.813623231748 201.988703295439 201.417559343034</t>
  </si>
  <si>
    <t>-487.85580138947 161.000613273968 668.711646682053</t>
  </si>
  <si>
    <t>-337.262912195934 148.803237214394 758.803451143309</t>
  </si>
  <si>
    <t>-512.398601362729 29.1338697653195 -228.82211110064</t>
  </si>
  <si>
    <t>-419.12647878498 -27.0457330831172 213.672908450636</t>
  </si>
  <si>
    <t>-589.613019914039 -100.749489033744 644.632054571266</t>
  </si>
  <si>
    <t>-442.294663595182 -151.601754434503 726.209460463901</t>
  </si>
  <si>
    <t>9763-20170724T164314.393305900.bin</t>
  </si>
  <si>
    <t>-484.822420498703 120.797265552214 -241.521393664375</t>
  </si>
  <si>
    <t>-523.848868746914 117.255015334857 -356.117254009854</t>
  </si>
  <si>
    <t>-539.697363821961 104.840223512222 -475.638160888526</t>
  </si>
  <si>
    <t>-544.372797363771 89.9091841111918 -584.035892865981</t>
  </si>
  <si>
    <t>-539.507541875054 71.2855154642945 -691.852132115174</t>
  </si>
  <si>
    <t>-522.874645330685 41.5496980563567 -840.307922958262</t>
  </si>
  <si>
    <t>-482.060683828161 21.1565725368691 -931.419480150105</t>
  </si>
  <si>
    <t>-518.61337784429 83.9482811906954 -779.175930841716</t>
  </si>
  <si>
    <t>-470.26119044702 222.667909172894 -772.686626288494</t>
  </si>
  <si>
    <t>-372.486672032353 313.870043934646 -485.792062018871</t>
  </si>
  <si>
    <t>-176.035052301971 247.839885106015 -328.665377706356</t>
  </si>
  <si>
    <t>-541.854997152278 25.4655237350703 -770.065627004862</t>
  </si>
  <si>
    <t>-456.773599920734 212.678563086664 -253.809684137944</t>
  </si>
  <si>
    <t>-456.543590239787 201.618863744555 201.750767974844</t>
  </si>
  <si>
    <t>-488.00822614369 160.81245831686 669.042345054793</t>
  </si>
  <si>
    <t>-337.31245104645 148.32789630328 758.922476794439</t>
  </si>
  <si>
    <t>-512.794092362191 28.980411150799 -228.553951844621</t>
  </si>
  <si>
    <t>-419.526197395868 -27.7869864758088 213.866861275734</t>
  </si>
  <si>
    <t>-589.842756643386 -100.879300140696 645.024059244588</t>
  </si>
  <si>
    <t>-442.313649020035 -151.508040267367 726.359214729903</t>
  </si>
  <si>
    <t>9763-20170724T164314.422884800.bin</t>
  </si>
  <si>
    <t>-484.834488237446 120.803453254193 -241.347503616279</t>
  </si>
  <si>
    <t>-523.853680940763 117.344894414389 -355.948348565131</t>
  </si>
  <si>
    <t>-539.567065485427 105.090522525266 -475.503672969605</t>
  </si>
  <si>
    <t>-544.067394861315 90.3340826916041 -583.932678859395</t>
  </si>
  <si>
    <t>-538.974667486602 71.9139401423932 -691.773442271193</t>
  </si>
  <si>
    <t>-521.972265146191 42.4908590316515 -840.24965696436</t>
  </si>
  <si>
    <t>-481.032071779404 22.2270068282048 -931.333470502294</t>
  </si>
  <si>
    <t>-517.83116184695 84.7486395156166 -779.012039420513</t>
  </si>
  <si>
    <t>-469.290625828328 223.371094306562 -771.881338779132</t>
  </si>
  <si>
    <t>-376.378472018349 311.371412436756 -482.382810925172</t>
  </si>
  <si>
    <t>-179.781333450195 246.069143619863 -325.133829585646</t>
  </si>
  <si>
    <t>-541.159454962844 26.2706671014567 -770.095046740669</t>
  </si>
  <si>
    <t>-456.663169681429 212.693561470239 -253.645543350812</t>
  </si>
  <si>
    <t>-456.509975097328 201.63309699143 201.914862474439</t>
  </si>
  <si>
    <t>-488.124189224322 161.037601941889 669.168351061086</t>
  </si>
  <si>
    <t>-337.37093873862 148.625980228235 758.962113689241</t>
  </si>
  <si>
    <t>-512.861793498086 28.9837777155943 -228.413359312496</t>
  </si>
  <si>
    <t>-419.496003832618 -27.807473884587 213.983783564966</t>
  </si>
  <si>
    <t>-589.903797237609 -100.854627311539 645.112277368312</t>
  </si>
  <si>
    <t>-442.401393140978 -151.636180515042 726.400501632831</t>
  </si>
  <si>
    <t>9763-20170724T164314.487115100.bin</t>
  </si>
  <si>
    <t>-484.858991340435 120.815763328677 -241.05438514813</t>
  </si>
  <si>
    <t>-523.877865279751 117.429120924917 -355.657546689456</t>
  </si>
  <si>
    <t>-539.480067991748 105.456819288893 -475.256020026982</t>
  </si>
  <si>
    <t>-543.832523288677 91.0398133826277 -583.736722037314</t>
  </si>
  <si>
    <t>-538.543158654152 73.0432956696394 -691.639294182128</t>
  </si>
  <si>
    <t>-521.216028045686 44.295692830909 -840.210423056822</t>
  </si>
  <si>
    <t>-480.061866728892 24.345665917255 -931.266977470723</t>
  </si>
  <si>
    <t>-517.187754574261 86.2666166051328 -778.768325198284</t>
  </si>
  <si>
    <t>-468.485353611949 224.770113191535 -770.421985970073</t>
  </si>
  <si>
    <t>-383.385164200777 305.826391117498 -476.527309256175</t>
  </si>
  <si>
    <t>-186.23062729957 241.320764967496 -319.647874816906</t>
  </si>
  <si>
    <t>-540.577767026496 27.7646303695945 -770.176279529777</t>
  </si>
  <si>
    <t>-456.577374322504 212.669635316161 -253.332241048391</t>
  </si>
  <si>
    <t>-456.611685497184 201.674101981151 202.229771598458</t>
  </si>
  <si>
    <t>-488.33680437926 161.088543425075 669.495773943381</t>
  </si>
  <si>
    <t>-337.515789921867 147.833505247252 759.055001841626</t>
  </si>
  <si>
    <t>-513.025330607347 28.9918468406498 -228.141670250981</t>
  </si>
  <si>
    <t>-419.307138956402 -27.537999503461 214.214418196643</t>
  </si>
  <si>
    <t>-589.953086192978 -100.666525557604 645.173155687469</t>
  </si>
  <si>
    <t>-442.545817995271 -151.750680973357 726.444360118728</t>
  </si>
  <si>
    <t>9763-20170724T164314.519713100.bin</t>
  </si>
  <si>
    <t>-484.84284638012 120.794772187711 -240.922236839027</t>
  </si>
  <si>
    <t>-523.865437204318 117.445031381863 -355.525191903325</t>
  </si>
  <si>
    <t>-539.422167406446 105.57659633031 -475.139885710244</t>
  </si>
  <si>
    <t>-543.712282345467 91.2812093145143 -583.639174960086</t>
  </si>
  <si>
    <t>-538.338893632122 73.4341230547672 -691.562626261487</t>
  </si>
  <si>
    <t>-520.872237453039 44.9237036681662 -840.162870031729</t>
  </si>
  <si>
    <t>-479.603222052865 25.1538205713536 -931.206942461761</t>
  </si>
  <si>
    <t>-516.909555708785 86.7993823305114 -778.651643440462</t>
  </si>
  <si>
    <t>-468.404016793484 225.351891470516 -769.931856580575</t>
  </si>
  <si>
    <t>-386.031619192112 303.079825331901 -474.365725359446</t>
  </si>
  <si>
    <t>-188.259787153885 239.109619756119 -318.04508871142</t>
  </si>
  <si>
    <t>-540.291830047956 28.2779384897206 -770.172166367435</t>
  </si>
  <si>
    <t>-456.563078906199 212.735982184498 -253.183588688959</t>
  </si>
  <si>
    <t>-456.678510400444 201.700138956141 202.37759967229</t>
  </si>
  <si>
    <t>-488.491069270386 161.294703402521 669.632584966727</t>
  </si>
  <si>
    <t>-337.579243584661 148.130059972074 759.051933458821</t>
  </si>
  <si>
    <t>-512.977155172317 28.8835123195287 -228.053593769104</t>
  </si>
  <si>
    <t>-419.181373635457 -27.4555812431035 214.310460534843</t>
  </si>
  <si>
    <t>-589.987264590787 -100.634441830507 645.222194832098</t>
  </si>
  <si>
    <t>-442.528747982149 -151.544792505547 726.509522349259</t>
  </si>
  <si>
    <t>9763-20170724T164314.587539300.bin</t>
  </si>
  <si>
    <t>-484.49628988197 120.86158611062 -240.77396524049</t>
  </si>
  <si>
    <t>-523.492353373845 117.561367874596 -355.387242328353</t>
  </si>
  <si>
    <t>-538.887016700402 105.83691928829 -475.037138767689</t>
  </si>
  <si>
    <t>-542.975152965746 91.707324641807 -583.565982365462</t>
  </si>
  <si>
    <t>-537.345482253267 74.0606104490373 -691.509267196065</t>
  </si>
  <si>
    <t>-519.467496994699 45.8632676586205 -840.120408228711</t>
  </si>
  <si>
    <t>-477.985387208251 26.4272852136069 -931.139513811487</t>
  </si>
  <si>
    <t>-515.662131604162 87.6044140954897 -778.507909248421</t>
  </si>
  <si>
    <t>-467.293520921196 226.17554163477 -769.372530511944</t>
  </si>
  <si>
    <t>-389.465798922206 298.039463170054 -471.102972905428</t>
  </si>
  <si>
    <t>-189.778464127929 236.372233305063 -316.299454231067</t>
  </si>
  <si>
    <t>-539.093831225419 29.075022916508 -770.22139006999</t>
  </si>
  <si>
    <t>-456.156934892194 212.784078560172 -253.052214934156</t>
  </si>
  <si>
    <t>-456.452863782591 201.650913057693 202.506354547673</t>
  </si>
  <si>
    <t>-488.344659612419 161.071794700008 669.629291126757</t>
  </si>
  <si>
    <t>-337.367814123181 148.765310314184 759.061177099213</t>
  </si>
  <si>
    <t>-512.68665635816 29.014355159755 -227.849089673642</t>
  </si>
  <si>
    <t>-418.768879864516 -27.3870483903565 214.481127843464</t>
  </si>
  <si>
    <t>-590.036934402279 -100.579178745581 645.194678202425</t>
  </si>
  <si>
    <t>-442.735695009276 -151.749734551117 726.603698236611</t>
  </si>
  <si>
    <t>9763-20170724T164314.621633900.bin</t>
  </si>
  <si>
    <t>-484.278471228633 120.90882021887 -240.788716329657</t>
  </si>
  <si>
    <t>-523.265525531974 117.626203434625 -355.405670258979</t>
  </si>
  <si>
    <t>-538.589964640539 105.94040851478 -475.068372077046</t>
  </si>
  <si>
    <t>-542.591778291956 91.8473364783318 -583.605155576621</t>
  </si>
  <si>
    <t>-536.854920365136 74.2350745032248 -691.548383964746</t>
  </si>
  <si>
    <t>-518.80845646898 46.0802742156038 -840.147268172943</t>
  </si>
  <si>
    <t>-477.209111538721 26.7063517513158 -931.12604514748</t>
  </si>
  <si>
    <t>-515.001693068161 87.7770685593176 -778.504778375492</t>
  </si>
  <si>
    <t>-466.521954112171 226.302203691199 -769.24215920706</t>
  </si>
  <si>
    <t>-390.429509187793 296.261563541218 -470.07349389424</t>
  </si>
  <si>
    <t>-190.544459832485 235.127397936016 -315.313722457212</t>
  </si>
  <si>
    <t>-538.585240540764 29.29874851867 -770.288974885213</t>
  </si>
  <si>
    <t>-455.886080760188 212.793253994056 -253.062391966039</t>
  </si>
  <si>
    <t>-456.366402937113 201.630834721914 202.49527086679</t>
  </si>
  <si>
    <t>-488.217906191107 160.77984339272 669.618045298778</t>
  </si>
  <si>
    <t>-337.204081664617 149.071034708495 759.067798231172</t>
  </si>
  <si>
    <t>-512.4946554417 29.0742898371121 -227.85237455286</t>
  </si>
  <si>
    <t>-418.555369049285 -27.256975218282 214.482221264587</t>
  </si>
  <si>
    <t>-590.051932833014 -100.521957997613 645.138946059714</t>
  </si>
  <si>
    <t>-442.872866525293 -151.957811324649 726.601650663104</t>
  </si>
  <si>
    <t>9763-20170724T164314.693463400.bin</t>
  </si>
  <si>
    <t>-484.120104112039 121.260050842392 -240.749247945375</t>
  </si>
  <si>
    <t>-523.049256318423 118.033633934076 -355.387374439048</t>
  </si>
  <si>
    <t>-538.357325831634 106.444910398592 -475.061570659111</t>
  </si>
  <si>
    <t>-542.364880787515 92.4470230421437 -583.610496066335</t>
  </si>
  <si>
    <t>-536.655498107017 74.9322035501795 -691.571026737897</t>
  </si>
  <si>
    <t>-518.671361465737 46.9101746588453 -840.202619240185</t>
  </si>
  <si>
    <t>-477.064503926152 27.5130709785181 -931.173028862799</t>
  </si>
  <si>
    <t>-514.676811198573 88.49048157429 -778.49334893745</t>
  </si>
  <si>
    <t>-465.651709621205 226.853756206919 -769.165683878527</t>
  </si>
  <si>
    <t>-392.017206304831 293.948783076915 -468.728625673861</t>
  </si>
  <si>
    <t>-193.246058532688 231.656853254359 -312.998627230434</t>
  </si>
  <si>
    <t>-538.580796797135 30.1276803523608 -770.382308367251</t>
  </si>
  <si>
    <t>-455.441356985413 213.240088090844 -253.087740292562</t>
  </si>
  <si>
    <t>-456.510395300522 201.975884204708 202.466526307286</t>
  </si>
  <si>
    <t>-488.199815564947 161.288970834412 669.560517937913</t>
  </si>
  <si>
    <t>-337.320143748366 148.721105652618 759.119950509374</t>
  </si>
  <si>
    <t>-512.766581101696 29.4149420865353 -227.743547268236</t>
  </si>
  <si>
    <t>-418.327841511914 -27.0195508255732 214.471468273715</t>
  </si>
  <si>
    <t>-590.087670325756 -100.531682192374 644.997388613502</t>
  </si>
  <si>
    <t>-442.945934339269 -152.041271141801 726.480997947638</t>
  </si>
  <si>
    <t>9763-20170724T164314.721039800.bin</t>
  </si>
  <si>
    <t>-484.070773051363 121.502397129655 -240.745769416939</t>
  </si>
  <si>
    <t>-523.004007828922 118.347539258018 -355.384644901293</t>
  </si>
  <si>
    <t>-538.398656347946 106.698380819869 -475.041878008804</t>
  </si>
  <si>
    <t>-542.518531805837 92.5943432810414 -583.572680089084</t>
  </si>
  <si>
    <t>-536.955243399146 74.9238404482819 -691.515630428555</t>
  </si>
  <si>
    <t>-519.208309997216 46.6355138904009 -840.125102678723</t>
  </si>
  <si>
    <t>-477.738682676471 27.0959104106198 -931.127802547674</t>
  </si>
  <si>
    <t>-515.053604419134 88.3025690233765 -778.485125618951</t>
  </si>
  <si>
    <t>-466.029879471448 226.641065483049 -769.328472095619</t>
  </si>
  <si>
    <t>-392.996565758294 292.67822281051 -468.510538618414</t>
  </si>
  <si>
    <t>-194.710653398518 229.71581527479 -312.431989616904</t>
  </si>
  <si>
    <t>-539.067918775633 30.0018379644896 -770.255062151333</t>
  </si>
  <si>
    <t>-455.191272488555 213.464021958732 -253.081296968565</t>
  </si>
  <si>
    <t>-456.646697258243 202.14273928503 202.470453535612</t>
  </si>
  <si>
    <t>-488.165557279512 161.233960552644 669.592491982751</t>
  </si>
  <si>
    <t>-337.31183627724 148.305472098493 759.14432340666</t>
  </si>
  <si>
    <t>-512.870992273356 29.6246738593731 -227.735122224505</t>
  </si>
  <si>
    <t>-418.299113385985 -26.9222595754996 214.437055333379</t>
  </si>
  <si>
    <t>-590.136968715563 -100.403561371492 644.96368186565</t>
  </si>
  <si>
    <t>-443.107095793726 -152.281854447055 726.41535273196</t>
  </si>
  <si>
    <t>9763-20170724T164314.786728400.bin</t>
  </si>
  <si>
    <t>-483.820205971968 122.304508385899 -240.700980733354</t>
  </si>
  <si>
    <t>-522.657322743918 119.242999445791 -355.374878241122</t>
  </si>
  <si>
    <t>-538.110322226186 107.47220595697 -475.012685664683</t>
  </si>
  <si>
    <t>-542.348081176377 93.1743795324076 -583.513744811186</t>
  </si>
  <si>
    <t>-536.967868252073 75.2294775016502 -691.420629291918</t>
  </si>
  <si>
    <t>-519.542784617316 46.4781057012967 -839.979449691108</t>
  </si>
  <si>
    <t>-478.291742697333 26.6942571257039 -931.028540031838</t>
  </si>
  <si>
    <t>-515.137263300552 88.2917234212445 -778.455913018364</t>
  </si>
  <si>
    <t>-465.805565875928 226.540940940911 -769.716903840908</t>
  </si>
  <si>
    <t>-393.985263301084 291.167683715067 -468.301172955748</t>
  </si>
  <si>
    <t>-197.509684240656 224.821910322915 -311.337452804769</t>
  </si>
  <si>
    <t>-539.368394026456 30.1076700152371 -770.037483526456</t>
  </si>
  <si>
    <t>-454.537662915776 214.326341591696 -253.087799396899</t>
  </si>
  <si>
    <t>-456.983078705701 202.719035580824 202.452499684813</t>
  </si>
  <si>
    <t>-488.098610646311 161.504681241398 669.530975368592</t>
  </si>
  <si>
    <t>-337.303005237952 148.460614409352 759.163932516113</t>
  </si>
  <si>
    <t>-513.003885093429 30.3680060543665 -227.661143288924</t>
  </si>
  <si>
    <t>-418.075429430583 -27.0389987087147 214.32383661455</t>
  </si>
  <si>
    <t>-590.256335656129 -100.365991813001 644.860439533933</t>
  </si>
  <si>
    <t>-443.427017791765 -152.851770891183 726.284648266857</t>
  </si>
  <si>
    <t>9763-20170724T164314.821815200.bin</t>
  </si>
  <si>
    <t>-483.568462669569 122.670740983534 -240.633862999025</t>
  </si>
  <si>
    <t>-522.317409375779 119.600528220004 -355.33744767227</t>
  </si>
  <si>
    <t>-537.743447483676 107.770212002327 -474.972789213408</t>
  </si>
  <si>
    <t>-541.984076281184 93.3968905588049 -583.463718942725</t>
  </si>
  <si>
    <t>-536.634887751435 75.3541523407861 -691.355768109274</t>
  </si>
  <si>
    <t>-519.282886802984 46.4431809086519 -839.892255088513</t>
  </si>
  <si>
    <t>-478.094715499368 26.5558166090473 -930.94725128773</t>
  </si>
  <si>
    <t>-514.788106302297 88.2998677699693 -778.404533685797</t>
  </si>
  <si>
    <t>-465.172230762698 226.441261829738 -769.784251404423</t>
  </si>
  <si>
    <t>-393.928619734145 291.102427724496 -468.239002426299</t>
  </si>
  <si>
    <t>-198.861037762292 222.086546792968 -310.671686791576</t>
  </si>
  <si>
    <t>-539.133130961074 30.1709289802745 -769.934353101074</t>
  </si>
  <si>
    <t>-454.1044039524 214.705111317905 -253.071865361038</t>
  </si>
  <si>
    <t>-456.871845820719 202.966996822374 202.463269357644</t>
  </si>
  <si>
    <t>-488.053874291187 161.398342321015 669.551625849437</t>
  </si>
  <si>
    <t>-337.273217178086 148.093512690291 759.171367549271</t>
  </si>
  <si>
    <t>-512.819836595938 30.6542880579298 -227.595084330952</t>
  </si>
  <si>
    <t>-417.83971309454 -27.0267222396347 214.343096619528</t>
  </si>
  <si>
    <t>-590.317164173091 -100.337462664757 644.808796132715</t>
  </si>
  <si>
    <t>-443.373827706253 -152.530735029223 726.215438800939</t>
  </si>
  <si>
    <t>9763-20170724T164314.888710200.bin</t>
  </si>
  <si>
    <t>-482.833083995031 123.115743973626 -240.495397947011</t>
  </si>
  <si>
    <t>-521.676250880849 120.057340237797 -355.167449317467</t>
  </si>
  <si>
    <t>-537.220478200522 108.163472937493 -474.781226061836</t>
  </si>
  <si>
    <t>-541.580151392161 93.694202581531 -583.254779637211</t>
  </si>
  <si>
    <t>-536.363717112597 75.5130048777023 -691.130012896295</t>
  </si>
  <si>
    <t>-519.212302909185 46.3614594815844 -839.642743813195</t>
  </si>
  <si>
    <t>-478.146221515345 26.2042975911856 -930.693485316573</t>
  </si>
  <si>
    <t>-514.507617049049 88.267789396344 -778.204499608668</t>
  </si>
  <si>
    <t>-464.257057685494 226.216532173741 -769.73596880399</t>
  </si>
  <si>
    <t>-393.355814862453 291.238662983236 -468.187812944429</t>
  </si>
  <si>
    <t>-202.552267293312 214.49923031565 -308.979890382978</t>
  </si>
  <si>
    <t>-539.094936665755 30.2524065819655 -769.656293543382</t>
  </si>
  <si>
    <t>-453.229541243148 215.267526135422 -252.92763949056</t>
  </si>
  <si>
    <t>-456.183450598857 203.146754450604 202.59622815315</t>
  </si>
  <si>
    <t>-488.014472160003 161.181937531317 669.611193113856</t>
  </si>
  <si>
    <t>-337.128895368658 148.49361753524 759.143676578772</t>
  </si>
  <si>
    <t>-512.284491222443 31.0159884052219 -227.304888424709</t>
  </si>
  <si>
    <t>-417.108731285337 -26.9147016508749 214.558509955235</t>
  </si>
  <si>
    <t>-590.389296892958 -100.717906641565 644.644953416862</t>
  </si>
  <si>
    <t>-443.319717965913 -152.445793101553 726.120674760766</t>
  </si>
  <si>
    <t>9763-20170724T164314.922304400.bin</t>
  </si>
  <si>
    <t>-482.503164665331 123.441367976999 -240.324211647818</t>
  </si>
  <si>
    <t>-521.335131002174 120.349126933172 -354.998943969434</t>
  </si>
  <si>
    <t>-536.944140726052 108.375954093955 -474.596547279306</t>
  </si>
  <si>
    <t>-541.395806434417 93.8125626327549 -583.053714581189</t>
  </si>
  <si>
    <t>-536.305783622049 75.5124924925647 -690.914908808154</t>
  </si>
  <si>
    <t>-519.366513589235 46.167988494922 -839.413927981741</t>
  </si>
  <si>
    <t>-478.404196258843 25.8276804704261 -930.470745724843</t>
  </si>
  <si>
    <t>-514.508845842583 88.1282451833488 -778.024498314829</t>
  </si>
  <si>
    <t>-464.028164792154 226.002774466976 -769.754632142455</t>
  </si>
  <si>
    <t>-392.754739150161 291.073400382519 -468.304603601728</t>
  </si>
  <si>
    <t>-202.962127473324 212.52956667076 -308.768790547278</t>
  </si>
  <si>
    <t>-539.214320366556 30.1757274320104 -769.390981654516</t>
  </si>
  <si>
    <t>-452.832502378876 215.595261852743 -252.812670866365</t>
  </si>
  <si>
    <t>-456.019924955175 203.401584678824 202.707757254938</t>
  </si>
  <si>
    <t>-487.997532985843 161.117247758623 669.642771544859</t>
  </si>
  <si>
    <t>-337.120269175749 148.169768393262 759.152071389571</t>
  </si>
  <si>
    <t>-512.006603950903 31.3175385198713 -227.126286872198</t>
  </si>
  <si>
    <t>-416.531895535621 -26.4248915555531 214.69726689029</t>
  </si>
  <si>
    <t>-590.36841683002 -100.330027896384 644.516178025109</t>
  </si>
  <si>
    <t>-443.659445657781 -152.90029543978 726.102676041352</t>
  </si>
  <si>
    <t>9763-20170724T164314.986977900.bin</t>
  </si>
  <si>
    <t>-481.897131816916 123.627415420605 -239.994260412412</t>
  </si>
  <si>
    <t>-520.802910786248 120.528996045961 -354.643903558939</t>
  </si>
  <si>
    <t>-536.629029008176 108.431876854542 -474.200471647336</t>
  </si>
  <si>
    <t>-541.338729091874 93.7014280326481 -582.62401791521</t>
  </si>
  <si>
    <t>-536.56966287753 75.1755513422075 -690.461398179918</t>
  </si>
  <si>
    <t>-520.14243106818 45.4522280043636 -838.942685602372</t>
  </si>
  <si>
    <t>-479.462345794587 24.7360858907068 -930.041190554679</t>
  </si>
  <si>
    <t>-514.941407424346 87.5162672476833 -777.65245874575</t>
  </si>
  <si>
    <t>-463.617492495448 225.081449858913 -769.677946853976</t>
  </si>
  <si>
    <t>-391.091525508106 291.0652715902 -468.725522189989</t>
  </si>
  <si>
    <t>-199.361198534331 215.835921062303 -309.910994648921</t>
  </si>
  <si>
    <t>-539.88057659527 29.6915047299023 -768.83612141611</t>
  </si>
  <si>
    <t>-452.168867614914 216.009674547361 -252.528061262328</t>
  </si>
  <si>
    <t>-455.913474461962 203.570901738431 202.981470688699</t>
  </si>
  <si>
    <t>-488.193973142785 161.042403990728 669.947950607097</t>
  </si>
  <si>
    <t>-337.103828028455 148.181600367067 759.110003409242</t>
  </si>
  <si>
    <t>-511.469456871191 31.3089445806344 -226.773904326892</t>
  </si>
  <si>
    <t>-415.618198537896 -26.0278257151791 215.020968464766</t>
  </si>
  <si>
    <t>-590.400563906909 -100.445504932655 644.355007809195</t>
  </si>
  <si>
    <t>-443.695598053746 -152.784956647437 726.096938916609</t>
  </si>
  <si>
    <t>9763-20170724T164315.019567500.bin</t>
  </si>
  <si>
    <t>-481.614880048664 123.851292606714 -239.70541832956</t>
  </si>
  <si>
    <t>-520.487407441374 120.755341281399 -354.366485745885</t>
  </si>
  <si>
    <t>-536.377995030831 108.578027958837 -473.906258739772</t>
  </si>
  <si>
    <t>-541.187760751986 93.7413565390737 -582.31113067895</t>
  </si>
  <si>
    <t>-536.560816732364 75.0751471316378 -690.130344518015</t>
  </si>
  <si>
    <t>-520.374738025511 45.1211416769473 -838.591709298387</t>
  </si>
  <si>
    <t>-479.844209874306 24.2208597970899 -929.714948183075</t>
  </si>
  <si>
    <t>-515.024986699615 87.2605435601353 -777.366188630899</t>
  </si>
  <si>
    <t>-463.333247078614 224.697559317674 -769.527735928194</t>
  </si>
  <si>
    <t>-389.867778995447 291.41359036447 -468.965067321725</t>
  </si>
  <si>
    <t>-196.316137052909 219.18122254152 -310.970336677488</t>
  </si>
  <si>
    <t>-540.04815832002 29.4891777743636 -768.438256536462</t>
  </si>
  <si>
    <t>-451.864149489756 216.205063474337 -252.201371498564</t>
  </si>
  <si>
    <t>-455.848638003278 203.645448881129 203.302814798762</t>
  </si>
  <si>
    <t>-488.537406617796 161.011360674043 670.381523680083</t>
  </si>
  <si>
    <t>-337.185357140469 147.854748501979 759.054915632856</t>
  </si>
  <si>
    <t>-511.168905469273 31.6767723958386 -226.497096515766</t>
  </si>
  <si>
    <t>-415.353808215996 -25.9314041227654 215.270232922197</t>
  </si>
  <si>
    <t>-590.429016726972 -100.390096754929 644.395381529255</t>
  </si>
  <si>
    <t>-443.754636050585 -152.727437590577 726.193551893011</t>
  </si>
  <si>
    <t>9763-20170724T164315.093266200.bin</t>
  </si>
  <si>
    <t>-481.235480085023 124.269828655251 -238.98065547553</t>
  </si>
  <si>
    <t>-520.100529443139 121.247806133065 -353.646110400113</t>
  </si>
  <si>
    <t>-536.141989418297 108.885678005353 -473.146776323666</t>
  </si>
  <si>
    <t>-541.154967911674 93.7783575213358 -581.505073632452</t>
  </si>
  <si>
    <t>-536.798835850519 74.7400977625672 -689.270553886884</t>
  </si>
  <si>
    <t>-521.059755138555 44.1649435846969 -837.653240824532</t>
  </si>
  <si>
    <t>-480.815219083237 22.91486309233 -928.82233655153</t>
  </si>
  <si>
    <t>-515.445327408537 86.5276188803477 -776.605897593798</t>
  </si>
  <si>
    <t>-463.396398439492 223.874044316296 -769.331195112573</t>
  </si>
  <si>
    <t>-389.08864296264 291.315749090871 -469.137620765567</t>
  </si>
  <si>
    <t>-195.059840154955 219.205818499313 -311.673147330692</t>
  </si>
  <si>
    <t>-540.602175205296 28.8593853744611 -767.391252289754</t>
  </si>
  <si>
    <t>-451.495502445028 216.47819798558 -251.342682585496</t>
  </si>
  <si>
    <t>-455.625434060221 203.637008598165 204.152261285095</t>
  </si>
  <si>
    <t>-489.280400221345 160.853333147337 671.208209037187</t>
  </si>
  <si>
    <t>-337.248954508768 148.27167621287 758.796149519703</t>
  </si>
  <si>
    <t>-510.847207151412 32.2041350291006 -225.892650565414</t>
  </si>
  <si>
    <t>-415.20657432394 -25.7632458232326 215.865596555045</t>
  </si>
  <si>
    <t>-590.469637918709 -100.380463405426 644.670297377013</t>
  </si>
  <si>
    <t>-444.060873461767 -153.268301173211 726.590108795138</t>
  </si>
  <si>
    <t>9763-20170724T164315.120854600.bin</t>
  </si>
  <si>
    <t>-481.154457303785 124.628523659916 -238.605417599485</t>
  </si>
  <si>
    <t>-520.014254136889 121.593392029714 -353.27232439313</t>
  </si>
  <si>
    <t>-536.08844617062 109.126328641767 -472.757677666138</t>
  </si>
  <si>
    <t>-541.147706966317 93.8871359366025 -581.095254914074</t>
  </si>
  <si>
    <t>-536.855361108132 74.6801646717776 -688.833494722256</t>
  </si>
  <si>
    <t>-521.2237775751 43.832590307337 -837.171197796338</t>
  </si>
  <si>
    <t>-481.057769925992 22.4513086216269 -928.344243309503</t>
  </si>
  <si>
    <t>-515.535146938538 86.2950361143722 -776.199992451851</t>
  </si>
  <si>
    <t>-463.367258707305 223.594135003551 -769.24425183368</t>
  </si>
  <si>
    <t>-389.097195683759 291.748462073297 -469.202378187674</t>
  </si>
  <si>
    <t>-196.137645962676 217.225497308775 -311.547677601195</t>
  </si>
  <si>
    <t>-540.74538061711 28.6682828728586 -766.872698577115</t>
  </si>
  <si>
    <t>-451.40717498993 216.901088647891 -250.98344012492</t>
  </si>
  <si>
    <t>-455.564383265777 203.928307206911 204.507605355636</t>
  </si>
  <si>
    <t>-489.621661658774 161.210608362096 671.476323342984</t>
  </si>
  <si>
    <t>-337.439852436942 147.928960556752 758.699084243793</t>
  </si>
  <si>
    <t>-510.740549234867 32.4979155996008 -225.557898790551</t>
  </si>
  <si>
    <t>-415.221650667463 -25.5583598502215 216.214897186966</t>
  </si>
  <si>
    <t>-590.496783365026 -100.390396134779 644.904365674957</t>
  </si>
  <si>
    <t>-444.097421668688 -153.258133174244 726.853941693337</t>
  </si>
  <si>
    <t>9763-20170724T164315.194557200.bin</t>
  </si>
  <si>
    <t>-480.978273586514 125.018247173698 -238.079397737799</t>
  </si>
  <si>
    <t>-519.920487002383 121.968441590112 -352.717958240044</t>
  </si>
  <si>
    <t>-536.107977656369 109.3223694267 -472.169324535966</t>
  </si>
  <si>
    <t>-541.282839104123 93.8550802429344 -580.46907022466</t>
  </si>
  <si>
    <t>-537.120192128908 74.3544731645369 -688.159566292545</t>
  </si>
  <si>
    <t>-521.684496057099 43.0316526416942 -836.418098730098</t>
  </si>
  <si>
    <t>-481.602063563343 21.3923406840371 -927.56701873064</t>
  </si>
  <si>
    <t>-515.88995442667 85.6789559894343 -775.586085160987</t>
  </si>
  <si>
    <t>-463.891336164858 223.072403457922 -769.209903759132</t>
  </si>
  <si>
    <t>-389.93720664282 292.992247148681 -469.496502260709</t>
  </si>
  <si>
    <t>-204.649440117439 205.622790140448 -309.255859608348</t>
  </si>
  <si>
    <t>-541.138696513723 28.1031412021542 -766.050736894547</t>
  </si>
  <si>
    <t>-451.249576882492 217.302299544662 -250.493400163108</t>
  </si>
  <si>
    <t>-455.412865390004 204.178139702077 204.993244937737</t>
  </si>
  <si>
    <t>-489.853804400184 161.065362946096 671.826308012165</t>
  </si>
  <si>
    <t>-337.422791241432 147.705584211824 758.600919566746</t>
  </si>
  <si>
    <t>-510.529524692764 32.8222252822415 -224.993073483224</t>
  </si>
  <si>
    <t>-415.315018866599 -25.4582000749997 216.815990616041</t>
  </si>
  <si>
    <t>-590.589022208953 -100.559839704079 645.420136295088</t>
  </si>
  <si>
    <t>-444.103154101575 -153.140767333759 727.399644971787</t>
  </si>
  <si>
    <t>9763-20170724T164315.220143100.bin</t>
  </si>
  <si>
    <t>-480.940278388798 125.138266358669 -237.883644760069</t>
  </si>
  <si>
    <t>-519.885935411044 122.054627067875 -352.520281529468</t>
  </si>
  <si>
    <t>-536.1548076371 109.379652890212 -471.95734664765</t>
  </si>
  <si>
    <t>-541.435676421236 93.8879985923942 -580.248517030531</t>
  </si>
  <si>
    <t>-537.410701885921 74.3643086606223 -687.940114580206</t>
  </si>
  <si>
    <t>-522.198653354096 43.0102162001465 -836.215238120173</t>
  </si>
  <si>
    <t>-482.202122823055 21.3184560764817 -927.389443958263</t>
  </si>
  <si>
    <t>-516.319723620761 85.6733597403586 -775.402321344073</t>
  </si>
  <si>
    <t>-464.222877686608 223.01858196719 -769.138602381366</t>
  </si>
  <si>
    <t>-389.959169482457 293.736942310331 -469.689122258316</t>
  </si>
  <si>
    <t>-209.832343329754 197.908743953867 -308.402479669017</t>
  </si>
  <si>
    <t>-541.539268752784 28.0935637109096 -765.81389202845</t>
  </si>
  <si>
    <t>-451.276958600911 217.424390194434 -250.366400576265</t>
  </si>
  <si>
    <t>-455.414689972346 204.244422836766 205.118942252658</t>
  </si>
  <si>
    <t>-489.893857898566 161.138810825836 671.900613061938</t>
  </si>
  <si>
    <t>-337.366695671312 148.282600462367 758.582209086898</t>
  </si>
  <si>
    <t>-510.384525458143 32.9818191698281 -224.775695557789</t>
  </si>
  <si>
    <t>-415.363588865763 -25.3478778905975 217.068642650246</t>
  </si>
  <si>
    <t>-590.646028732591 -100.468662370617 645.676101022106</t>
  </si>
  <si>
    <t>-444.171875256778 -153.082860024666 727.655151240821</t>
  </si>
  <si>
    <t>9763-20170724T164315.288829000.bin</t>
  </si>
  <si>
    <t>-480.577648120859 124.926288062364 -237.580556596513</t>
  </si>
  <si>
    <t>-519.439170909279 121.712918867075 -352.242135550143</t>
  </si>
  <si>
    <t>-535.709638184317 108.950108398505 -471.66966978619</t>
  </si>
  <si>
    <t>-541.029666971998 93.3930740268558 -579.949445249691</t>
  </si>
  <si>
    <t>-537.082706199719 73.8155280724221 -687.634191894155</t>
  </si>
  <si>
    <t>-522.01955701078 42.3959898823686 -835.910700985058</t>
  </si>
  <si>
    <t>-482.092947136107 20.6667406482798 -927.106595567814</t>
  </si>
  <si>
    <t>-516.07637801045 85.0846196186409 -775.121910933509</t>
  </si>
  <si>
    <t>-463.726473615458 222.400462330689 -769.373979957229</t>
  </si>
  <si>
    <t>-390.840519915476 295.857948169548 -470.245501960386</t>
  </si>
  <si>
    <t>-217.669982567676 188.178602759577 -308.817089920753</t>
  </si>
  <si>
    <t>-541.292745265577 27.5116695411098 -765.484032053882</t>
  </si>
  <si>
    <t>-450.931580159179 217.011706087699 -250.233628607254</t>
  </si>
  <si>
    <t>-455.37070600604 204.028816267367 205.254441155779</t>
  </si>
  <si>
    <t>-489.751674484139 160.818789809827 671.980141189913</t>
  </si>
  <si>
    <t>-337.160415037461 148.493060036911 758.6258461821</t>
  </si>
  <si>
    <t>-510.00103906276 32.8869606220486 -224.390546318035</t>
  </si>
  <si>
    <t>-415.152655312995 -25.1839963930204 217.524858695495</t>
  </si>
  <si>
    <t>-590.747025796684 -100.429101046093 646.00687346883</t>
  </si>
  <si>
    <t>-444.351500193609 -153.27226465596 727.979247694483</t>
  </si>
  <si>
    <t>9763-20170724T164315.326934200.bin</t>
  </si>
  <si>
    <t>-480.376658588296 124.738155175976 -237.541811879567</t>
  </si>
  <si>
    <t>-519.23744173153 121.513778102018 -352.203270132789</t>
  </si>
  <si>
    <t>-535.507774041403 108.704177760218 -471.6258792249</t>
  </si>
  <si>
    <t>-540.827784475668 93.0919646378482 -579.897710512099</t>
  </si>
  <si>
    <t>-536.880766136051 73.4473564096945 -687.570314450395</t>
  </si>
  <si>
    <t>-521.817681501649 41.9235434890217 -835.824604542802</t>
  </si>
  <si>
    <t>-481.938941078399 20.2082278571264 -927.04470246047</t>
  </si>
  <si>
    <t>-515.874523974477 84.6549286551571 -775.06581442996</t>
  </si>
  <si>
    <t>-463.577565053767 221.999963338898 -769.544003003641</t>
  </si>
  <si>
    <t>-392.693522975183 296.801528072066 -470.267566872929</t>
  </si>
  <si>
    <t>-221.54562296932 185.776725055119 -308.948154370099</t>
  </si>
  <si>
    <t>-541.090741350152 27.0887953602269 -765.387420874268</t>
  </si>
  <si>
    <t>-450.703316528434 216.664642188656 -250.209551145151</t>
  </si>
  <si>
    <t>-455.206754799774 203.782888586739 205.28086269952</t>
  </si>
  <si>
    <t>-489.626654906242 160.377236007445 672.041228067046</t>
  </si>
  <si>
    <t>-337.001423460613 148.307767796417 758.663273398109</t>
  </si>
  <si>
    <t>-509.909330200376 32.8284164554748 -224.297814534284</t>
  </si>
  <si>
    <t>-414.972952540258 -25.0466973910869 217.624396529219</t>
  </si>
  <si>
    <t>-590.757176390322 -100.188552973583 646.078788156092</t>
  </si>
  <si>
    <t>-444.517950396645 -153.390192470164 728.098192160348</t>
  </si>
  <si>
    <t>9763-20170724T164315.388106900.bin</t>
  </si>
  <si>
    <t>-480.098278246867 124.111584903546 -237.504903748771</t>
  </si>
  <si>
    <t>-518.970812504714 120.936832684067 -352.163680678068</t>
  </si>
  <si>
    <t>-535.089834326146 108.092730196432 -471.603197138375</t>
  </si>
  <si>
    <t>-540.201460016466 92.4277139573092 -579.877477610817</t>
  </si>
  <si>
    <t>-535.972930929126 72.716874581965 -687.527145188401</t>
  </si>
  <si>
    <t>-520.441773693724 41.094494639055 -835.712179289876</t>
  </si>
  <si>
    <t>-480.441580417159 19.5134678196846 -926.911086785064</t>
  </si>
  <si>
    <t>-514.812499536542 83.9156043780724 -774.986886369904</t>
  </si>
  <si>
    <t>-462.624305492098 221.260384580254 -769.445384666124</t>
  </si>
  <si>
    <t>-395.349516263241 297.795884437108 -469.774576971089</t>
  </si>
  <si>
    <t>-228.37800758451 177.159286450134 -310.999847192255</t>
  </si>
  <si>
    <t>-539.815149903277 26.257191713699 -765.303195052164</t>
  </si>
  <si>
    <t>-450.376979797729 216.267333935219 -250.157739640756</t>
  </si>
  <si>
    <t>-454.682661818118 203.531151644822 205.338460487668</t>
  </si>
  <si>
    <t>-489.622889799886 160.760783666158 672.046669907099</t>
  </si>
  <si>
    <t>-337.118148222908 148.079066959977 758.793264493291</t>
  </si>
  <si>
    <t>-509.622976176932 32.0179494601838 -224.268791633742</t>
  </si>
  <si>
    <t>-414.983346159127 -25.7885673320841 217.725953577972</t>
  </si>
  <si>
    <t>-590.921137202841 -100.631287805946 646.30309454798</t>
  </si>
  <si>
    <t>-444.302817677425 -152.845477075612 728.28030099968</t>
  </si>
  <si>
    <t>9763-20170724T164315.423708200.bin</t>
  </si>
  <si>
    <t>-479.880196249069 123.650619012843 -237.573418854315</t>
  </si>
  <si>
    <t>-518.846497165224 120.51107897787 -352.201494012987</t>
  </si>
  <si>
    <t>-534.96449111297 107.729494306267 -471.647704196231</t>
  </si>
  <si>
    <t>-540.033605808079 92.1341511065452 -579.934090205404</t>
  </si>
  <si>
    <t>-535.720052656308 72.5073939154702 -687.595745692193</t>
  </si>
  <si>
    <t>-520.026297232215 41.0182834615719 -835.792036221617</t>
  </si>
  <si>
    <t>-479.965999870248 19.5279171054899 -926.985849175186</t>
  </si>
  <si>
    <t>-514.542489134941 83.8163528412009 -775.037028202672</t>
  </si>
  <si>
    <t>-462.577512949332 221.269614587578 -769.29207496653</t>
  </si>
  <si>
    <t>-396.025420704875 296.487712715821 -469.12668957856</t>
  </si>
  <si>
    <t>-229.60136930118 172.448603917816 -312.412374003856</t>
  </si>
  <si>
    <t>-539.398030624153 26.0861435358351 -765.402542453919</t>
  </si>
  <si>
    <t>-450.256163423935 215.740848104529 -250.202501750159</t>
  </si>
  <si>
    <t>-454.228658514547 203.109699350301 205.299773973214</t>
  </si>
  <si>
    <t>-489.38744099927 160.338061772924 671.973177996979</t>
  </si>
  <si>
    <t>-336.883966942984 148.642145301606 758.860522153247</t>
  </si>
  <si>
    <t>-509.282499073383 31.6851888034304 -224.355281970467</t>
  </si>
  <si>
    <t>-414.97985004159 -26.0628825401818 217.719271398602</t>
  </si>
  <si>
    <t>-591.010855822333 -100.437091846306 646.388802497829</t>
  </si>
  <si>
    <t>-444.567504119996 -153.170392809216 728.34649162721</t>
  </si>
  <si>
    <t>9763-20170724T164315.489380300.bin</t>
  </si>
  <si>
    <t>-479.824268339793 123.070196158563 -237.660475903393</t>
  </si>
  <si>
    <t>-518.881629669543 119.79834236321 -352.25385417645</t>
  </si>
  <si>
    <t>-534.858014105989 107.186090158628 -471.737125811463</t>
  </si>
  <si>
    <t>-539.700328198823 91.8647114009872 -580.0729465025</t>
  </si>
  <si>
    <t>-535.060377314383 72.6305370622221 -687.791878752713</t>
  </si>
  <si>
    <t>-518.809480543676 41.8090260906194 -836.068530880764</t>
  </si>
  <si>
    <t>-478.616058062629 20.6740312515899 -927.286789444102</t>
  </si>
  <si>
    <t>-513.717513095694 84.3976573116333 -775.132461551829</t>
  </si>
  <si>
    <t>-462.471711615183 222.061931772129 -768.412439735508</t>
  </si>
  <si>
    <t>-395.585887635839 293.542625519308 -467.408976840906</t>
  </si>
  <si>
    <t>-226.548022686454 175.140644890925 -309.139519841304</t>
  </si>
  <si>
    <t>-538.282445764329 26.4955324319314 -765.788982200896</t>
  </si>
  <si>
    <t>-450.547398702422 215.232662549949 -250.358059466977</t>
  </si>
  <si>
    <t>-453.78556973646 202.89427588196 205.158083388227</t>
  </si>
  <si>
    <t>-489.030036858445 160.291183839115 671.683138580741</t>
  </si>
  <si>
    <t>-336.842981384002 148.270640596882 759.079399989502</t>
  </si>
  <si>
    <t>-508.918651258148 31.0554236635942 -224.328368798487</t>
  </si>
  <si>
    <t>-414.67620755742 -26.2938268376001 217.810883443567</t>
  </si>
  <si>
    <t>-591.175018393152 -100.480552470775 646.369743126878</t>
  </si>
  <si>
    <t>-444.541238434599 -152.838154531117 728.227767397999</t>
  </si>
  <si>
    <t>9763-20170724T164315.523992800.bin</t>
  </si>
  <si>
    <t>-479.748459930802 123.088526986808 -237.911050270475</t>
  </si>
  <si>
    <t>-518.873351107296 119.685504893039 -352.477546163554</t>
  </si>
  <si>
    <t>-534.83850436199 107.141307197258 -471.969469387167</t>
  </si>
  <si>
    <t>-539.635568147558 91.9632391592978 -580.32759731032</t>
  </si>
  <si>
    <t>-534.913659227617 72.9536899758746 -688.082734277238</t>
  </si>
  <si>
    <t>-518.509322791026 42.5284124668351 -836.424270813288</t>
  </si>
  <si>
    <t>-478.311151362214 21.6369630631418 -927.696657993446</t>
  </si>
  <si>
    <t>-513.581682735868 84.9938072916702 -775.388792585744</t>
  </si>
  <si>
    <t>-462.717807963585 222.797967729384 -768.343490657742</t>
  </si>
  <si>
    <t>-394.525004754136 291.714807025642 -467.03561524654</t>
  </si>
  <si>
    <t>-223.103253568194 176.120524111723 -309.255463596489</t>
  </si>
  <si>
    <t>-537.953799517512 26.9875562044014 -766.186718190835</t>
  </si>
  <si>
    <t>-450.633660837808 215.223248454548 -250.722336361422</t>
  </si>
  <si>
    <t>-453.623590693629 203.076275477326 204.80068048311</t>
  </si>
  <si>
    <t>-488.561703638481 160.360665176086 671.22640912239</t>
  </si>
  <si>
    <t>-336.777354953525 147.679703125505 759.227702873789</t>
  </si>
  <si>
    <t>-508.636236513442 31.1599035302597 -224.514895805133</t>
  </si>
  <si>
    <t>-414.584463987047 -26.1994177852774 217.663642818231</t>
  </si>
  <si>
    <t>-591.232951167642 -100.476129719749 646.196818234051</t>
  </si>
  <si>
    <t>-444.544480296119 -152.72720537515 728.024859971099</t>
  </si>
  <si>
    <t>9763-20170724T164315.589347900.bin</t>
  </si>
  <si>
    <t>-479.639487116898 122.753116511475 -239.012531610583</t>
  </si>
  <si>
    <t>-518.832048977215 119.211403387795 -353.551651103119</t>
  </si>
  <si>
    <t>-534.828852455952 106.818075675555 -473.055070683191</t>
  </si>
  <si>
    <t>-539.635383419628 91.8963357224107 -581.44820444953</t>
  </si>
  <si>
    <t>-534.901138189959 73.262309495895 -689.268532248807</t>
  </si>
  <si>
    <t>-518.453519885707 43.4824760207191 -837.736201285955</t>
  </si>
  <si>
    <t>-478.256577961385 23.1270922366594 -929.130128917686</t>
  </si>
  <si>
    <t>-513.747576858356 85.7608145997242 -776.553521959713</t>
  </si>
  <si>
    <t>-463.842235792734 223.900766725143 -769.379069919121</t>
  </si>
  <si>
    <t>-389.655842799867 288.782570512685 -468.591916878398</t>
  </si>
  <si>
    <t>-214.107740667643 181.643299170411 -309.387307764975</t>
  </si>
  <si>
    <t>-537.714648207103 27.5574542908704 -767.534164049704</t>
  </si>
  <si>
    <t>-450.779414199048 214.731254600147 -251.961621579746</t>
  </si>
  <si>
    <t>-453.187624817552 202.833386319459 203.571336252486</t>
  </si>
  <si>
    <t>-487.341914108599 160.302910995384 669.961414799447</t>
  </si>
  <si>
    <t>-336.545977718354 147.648104158263 759.649532564744</t>
  </si>
  <si>
    <t>-508.42059901914 30.7761413661795 -225.521056793836</t>
  </si>
  <si>
    <t>-414.848231869658 -26.4411334797375 216.777552106794</t>
  </si>
  <si>
    <t>-591.392978761163 -100.646219738448 645.613510194531</t>
  </si>
  <si>
    <t>-444.415587859092 -152.248458108437 727.334713782108</t>
  </si>
  <si>
    <t>9763-20170724T164315.622949800.bin</t>
  </si>
  <si>
    <t>-479.704870363086 122.395571542011 -239.591531312954</t>
  </si>
  <si>
    <t>-518.967181030261 118.86008582587 -354.106983931253</t>
  </si>
  <si>
    <t>-535.033273038779 106.560446568326 -473.610758264865</t>
  </si>
  <si>
    <t>-539.899673412487 91.7606086660604 -582.018093689946</t>
  </si>
  <si>
    <t>-535.220704266502 73.2863648100904 -689.868247950254</t>
  </si>
  <si>
    <t>-518.843333452907 43.7682367289133 -838.395932323934</t>
  </si>
  <si>
    <t>-478.728947585279 23.6542524374756 -929.879494778279</t>
  </si>
  <si>
    <t>-514.195377090403 85.9718241932185 -777.157230605424</t>
  </si>
  <si>
    <t>-464.599490132216 224.234165862114 -769.98118450922</t>
  </si>
  <si>
    <t>-387.054633786318 287.567040521826 -469.711468998349</t>
  </si>
  <si>
    <t>-210.20394039766 183.928074992194 -309.633863255592</t>
  </si>
  <si>
    <t>-537.984289789747 27.6863362416644 -768.196830242446</t>
  </si>
  <si>
    <t>-450.935808720269 214.376581858944 -252.470678146091</t>
  </si>
  <si>
    <t>-453.114573111238 202.61776700447 203.06699557837</t>
  </si>
  <si>
    <t>-487.043886595155 160.343303602223 669.684614520665</t>
  </si>
  <si>
    <t>-336.463699052416 147.890644555082 759.762594167863</t>
  </si>
  <si>
    <t>-508.383554164095 30.3290100965262 -226.129000440045</t>
  </si>
  <si>
    <t>-415.079846016654 -26.6254212020335 216.260244462666</t>
  </si>
  <si>
    <t>-591.505886760136 -100.849463963768 645.298178869227</t>
  </si>
  <si>
    <t>-444.670297511324 -152.932223358549 726.969551749731</t>
  </si>
  <si>
    <t>9763-20170724T164315.685157100.bin</t>
  </si>
  <si>
    <t>-479.993378521913 121.642946347894 -240.357743139244</t>
  </si>
  <si>
    <t>-519.398909085385 118.11605972898 -354.824171642804</t>
  </si>
  <si>
    <t>-535.596182779509 105.977455502946 -474.326682477775</t>
  </si>
  <si>
    <t>-540.570874977292 91.3894838299676 -582.757765192262</t>
  </si>
  <si>
    <t>-535.986550356002 73.1949622685361 -690.659580353224</t>
  </si>
  <si>
    <t>-519.723167670518 44.1377449515518 -839.290690119832</t>
  </si>
  <si>
    <t>-479.820103752488 24.4583626914249 -930.960994156581</t>
  </si>
  <si>
    <t>-515.182850563678 86.2094727401929 -777.953250183018</t>
  </si>
  <si>
    <t>-466.043736872299 224.623890359144 -770.791835661188</t>
  </si>
  <si>
    <t>-383.525789062367 287.143127587106 -471.679259102914</t>
  </si>
  <si>
    <t>-203.725581762222 194.365046857859 -308.25909086605</t>
  </si>
  <si>
    <t>-538.655563521915 27.7798394680562 -769.098735550347</t>
  </si>
  <si>
    <t>-451.48924129128 213.756072897851 -252.995415012255</t>
  </si>
  <si>
    <t>-453.075463786492 202.230606406371 202.550678911772</t>
  </si>
  <si>
    <t>-486.839183732654 160.419965805532 669.421819934689</t>
  </si>
  <si>
    <t>-336.448481924822 147.651481536423 759.771750601652</t>
  </si>
  <si>
    <t>-508.409461496087 29.5120060323202 -226.977774700828</t>
  </si>
  <si>
    <t>-415.407161138766 -27.0179662345435 215.529422792957</t>
  </si>
  <si>
    <t>-591.662964122369 -100.619303768075 644.767141142568</t>
  </si>
  <si>
    <t>-444.743604449887 -152.643163813451 726.325304691988</t>
  </si>
  <si>
    <t>9763-20170724T164315.723769000.bin</t>
  </si>
  <si>
    <t>-480.162201390146 121.405761977304 -240.518451471344</t>
  </si>
  <si>
    <t>-519.597704838708 117.847482997393 -354.97365834199</t>
  </si>
  <si>
    <t>-535.828059549923 105.759463989873 -474.476859046808</t>
  </si>
  <si>
    <t>-540.831202178957 91.2549296679953 -582.917781565966</t>
  </si>
  <si>
    <t>-536.271801027249 73.1834948035604 -690.841279642371</t>
  </si>
  <si>
    <t>-520.037691511458 44.3405213793536 -839.517283023864</t>
  </si>
  <si>
    <t>-480.240721261118 24.8526318066657 -931.274692360915</t>
  </si>
  <si>
    <t>-515.549666361443 86.3478928377327 -778.131970854627</t>
  </si>
  <si>
    <t>-466.61145620948 224.835982927573 -770.961669337977</t>
  </si>
  <si>
    <t>-383.030451601226 287.304945483962 -472.13401650522</t>
  </si>
  <si>
    <t>-202.351048431174 197.470384072105 -308.040210448467</t>
  </si>
  <si>
    <t>-538.891940970436 27.8574748721293 -769.333678976837</t>
  </si>
  <si>
    <t>-451.693899359876 213.577103460093 -253.129779017086</t>
  </si>
  <si>
    <t>-453.226025218897 202.196470312613 202.420235793617</t>
  </si>
  <si>
    <t>-486.781332348709 160.515191775129 669.289412660749</t>
  </si>
  <si>
    <t>-336.467561664457 147.485210377076 759.73001600062</t>
  </si>
  <si>
    <t>-508.50562981869 29.2645293035917 -227.147673739134</t>
  </si>
  <si>
    <t>-415.392732229486 -27.1532878795355 215.350599818226</t>
  </si>
  <si>
    <t>-591.713577600627 -100.561083394819 644.532075867207</t>
  </si>
  <si>
    <t>-444.787554054277 -152.590662630374 726.074568084643</t>
  </si>
  <si>
    <t>9763-20170724T164315.788630500.bin</t>
  </si>
  <si>
    <t>-480.227592367334 120.984363444849 -240.675222367014</t>
  </si>
  <si>
    <t>-519.719833480113 117.371214500647 -355.109146555812</t>
  </si>
  <si>
    <t>-535.965400752283 105.408408475945 -474.622814196517</t>
  </si>
  <si>
    <t>-540.96017341393 91.0979968116643 -583.090027667054</t>
  </si>
  <si>
    <t>-536.367254068309 73.3053485650321 -691.058401458587</t>
  </si>
  <si>
    <t>-520.056679219804 44.9414549783371 -839.818048841151</t>
  </si>
  <si>
    <t>-480.407932065532 25.813684681972 -931.715180012903</t>
  </si>
  <si>
    <t>-515.707931060774 86.7906752658936 -778.314779213599</t>
  </si>
  <si>
    <t>-467.287626101196 225.451152361061 -770.996678602837</t>
  </si>
  <si>
    <t>-384.559183587429 287.718297100237 -471.88970163915</t>
  </si>
  <si>
    <t>-201.120270333138 200.76507931374 -309.312517102256</t>
  </si>
  <si>
    <t>-538.839366960819 28.1925670125424 -769.678228394588</t>
  </si>
  <si>
    <t>-451.879896160664 213.112581893458 -253.304375157009</t>
  </si>
  <si>
    <t>-453.292720461599 201.964403137076 202.2518019689</t>
  </si>
  <si>
    <t>-486.742344588994 160.300796361638 669.180579714012</t>
  </si>
  <si>
    <t>-336.418463630535 147.525608858014 759.640759326423</t>
  </si>
  <si>
    <t>-508.425313962526 28.9089367981252 -227.34046594112</t>
  </si>
  <si>
    <t>-415.156922469369 -27.1974227357611 215.164625343869</t>
  </si>
  <si>
    <t>-591.762984136257 -100.517124343154 644.101750351076</t>
  </si>
  <si>
    <t>-444.928942994391 -152.740796879578 725.685714544674</t>
  </si>
  <si>
    <t>9763-20170724T164315.821221800.bin</t>
  </si>
  <si>
    <t>-480.205286502899 120.873039284146 -240.720995863415</t>
  </si>
  <si>
    <t>-519.734981352341 117.251824940632 -355.14174613096</t>
  </si>
  <si>
    <t>-536.021784933385 105.363624979617 -474.657260345338</t>
  </si>
  <si>
    <t>-541.052318128228 91.1592956143093 -583.136688080304</t>
  </si>
  <si>
    <t>-536.491370787606 73.514165452754 -691.130760352831</t>
  </si>
  <si>
    <t>-520.219119200348 45.4004198192045 -839.942092854076</t>
  </si>
  <si>
    <t>-480.648896496707 26.4232830132541 -931.904302591157</t>
  </si>
  <si>
    <t>-515.915618495014 87.1685987926598 -778.380648793045</t>
  </si>
  <si>
    <t>-467.814066907044 225.925492022802 -770.927795105161</t>
  </si>
  <si>
    <t>-386.002748693573 287.902101007435 -471.508359674142</t>
  </si>
  <si>
    <t>-201.31661956273 202.216936870229 -309.671477073148</t>
  </si>
  <si>
    <t>-538.922535836133 28.5110981609052 -769.814687424164</t>
  </si>
  <si>
    <t>-451.924168658486 212.851870994192 -253.311003195927</t>
  </si>
  <si>
    <t>-453.344922183452 201.767915930145 202.246693321366</t>
  </si>
  <si>
    <t>-486.815909088488 160.034868341243 669.213704181569</t>
  </si>
  <si>
    <t>-336.388182672405 147.871337518209 759.585418482753</t>
  </si>
  <si>
    <t>-508.387417475889 28.9330723313822 -227.401453930245</t>
  </si>
  <si>
    <t>-414.991515235561 -27.0092577327264 215.097498934015</t>
  </si>
  <si>
    <t>-591.741777757542 -100.191967145968 643.910120530279</t>
  </si>
  <si>
    <t>-445.240765257581 -153.220520310073 725.573643494017</t>
  </si>
  <si>
    <t>9763-20170724T164315.890907400.bin</t>
  </si>
  <si>
    <t>-480.373521613307 120.705578992566 -240.815799580343</t>
  </si>
  <si>
    <t>-519.927477632844 117.053886486829 -355.227077378547</t>
  </si>
  <si>
    <t>-536.223529620099 105.370089523444 -474.761675735543</t>
  </si>
  <si>
    <t>-541.252209378044 91.4517520344132 -583.278084310744</t>
  </si>
  <si>
    <t>-536.675759201623 74.1960873882803 -691.33437735806</t>
  </si>
  <si>
    <t>-520.364903489879 46.7332626952894 -840.263015568394</t>
  </si>
  <si>
    <t>-480.811631567469 28.1604428299756 -932.315142836536</t>
  </si>
  <si>
    <t>-516.212010607339 88.2809644800987 -778.542109910616</t>
  </si>
  <si>
    <t>-468.409785489447 227.113813840814 -770.541343635167</t>
  </si>
  <si>
    <t>-386.898862361592 287.614062080189 -470.738272615102</t>
  </si>
  <si>
    <t>-201.398947183872 204.76922074499 -308.354169922991</t>
  </si>
  <si>
    <t>-538.951874447887 29.4884582427548 -770.191236231197</t>
  </si>
  <si>
    <t>-452.179992626945 212.934613139215 -253.336828541317</t>
  </si>
  <si>
    <t>-453.372206364759 201.78678555959 202.220000741137</t>
  </si>
  <si>
    <t>-486.784760400244 160.385604771542 669.131531365039</t>
  </si>
  <si>
    <t>-336.37333632477 147.901140899245 759.486639129089</t>
  </si>
  <si>
    <t>-508.405012951233 28.6095783441801 -227.603765488599</t>
  </si>
  <si>
    <t>-415.095797836588 -27.0866210199039 214.944501381338</t>
  </si>
  <si>
    <t>-591.821467559921 -100.625183641725 643.743798192981</t>
  </si>
  <si>
    <t>-445.093096005916 -152.997318807701 725.422766934685</t>
  </si>
  <si>
    <t>9763-20170724T164315.922994100.bin</t>
  </si>
  <si>
    <t>-480.52991834327 120.922564222441 -240.914415246125</t>
  </si>
  <si>
    <t>-520.08988142498 117.223939416821 -355.322199251432</t>
  </si>
  <si>
    <t>-536.303732927005 105.64777091652 -474.878303077151</t>
  </si>
  <si>
    <t>-541.221513718028 91.8871895250299 -583.420031998358</t>
  </si>
  <si>
    <t>-536.497844434936 74.8473967636536 -691.504211060795</t>
  </si>
  <si>
    <t>-519.944849044046 47.7435424785621 -840.471943918663</t>
  </si>
  <si>
    <t>-480.326364506093 29.423774759025 -932.546578271622</t>
  </si>
  <si>
    <t>-515.959123236192 89.1664178914555 -778.656256387136</t>
  </si>
  <si>
    <t>-467.964672373736 227.89650840755 -770.227421445208</t>
  </si>
  <si>
    <t>-385.147487160391 286.787911207355 -470.462119551339</t>
  </si>
  <si>
    <t>-198.829111375876 207.023541385395 -307.47389937179</t>
  </si>
  <si>
    <t>-538.578946493364 30.3058645090261 -770.46039812864</t>
  </si>
  <si>
    <t>-452.469747740824 213.252736596036 -253.462149185973</t>
  </si>
  <si>
    <t>-453.265647327353 202.089240486207 202.095143053306</t>
  </si>
  <si>
    <t>-486.613180424996 160.661640037768 668.94315425336</t>
  </si>
  <si>
    <t>-336.379015006352 147.450594386923 759.489647389328</t>
  </si>
  <si>
    <t>-508.351757475736 28.7366847993632 -227.718509087185</t>
  </si>
  <si>
    <t>-415.134790032641 -26.8482582574628 214.863192955461</t>
  </si>
  <si>
    <t>-591.862903226828 -100.559824853128 643.666080742382</t>
  </si>
  <si>
    <t>-445.221863993564 -153.168117414994 725.350162598451</t>
  </si>
  <si>
    <t>9763-20170724T164315.987783600.bin</t>
  </si>
  <si>
    <t>-481.405223214165 121.168060838896 -241.311470218041</t>
  </si>
  <si>
    <t>-521.089024264483 117.382698844871 -355.673467238506</t>
  </si>
  <si>
    <t>-537.206330453694 106.045822744554 -475.265666107079</t>
  </si>
  <si>
    <t>-541.945640561231 92.6226011011577 -583.857543830392</t>
  </si>
  <si>
    <t>-536.953463964183 76.0333860035932 -691.999736595584</t>
  </si>
  <si>
    <t>-519.935553682102 49.6666432434063 -841.047282822729</t>
  </si>
  <si>
    <t>-480.24452102259 31.8278607769462 -933.185188742706</t>
  </si>
  <si>
    <t>-516.270873125809 90.8290825032293 -779.03807848452</t>
  </si>
  <si>
    <t>-468.516541436588 229.607115406085 -769.913288370051</t>
  </si>
  <si>
    <t>-381.445791500641 283.283627541333 -470.374207387782</t>
  </si>
  <si>
    <t>-189.885809558557 214.492339989477 -308.465152401948</t>
  </si>
  <si>
    <t>-538.659979698226 31.8371964985418 -771.158637875058</t>
  </si>
  <si>
    <t>-453.79339611512 213.557986830912 -253.892891656642</t>
  </si>
  <si>
    <t>-453.48004812641 202.289866093617 201.662283384477</t>
  </si>
  <si>
    <t>-486.091699149368 160.861179208715 668.372842348183</t>
  </si>
  <si>
    <t>-336.168134694074 148.465388022454 759.547259827487</t>
  </si>
  <si>
    <t>-508.7981165994 28.8638217542036 -228.102738109747</t>
  </si>
  <si>
    <t>-415.292921906485 -26.4588804467545 214.451005651688</t>
  </si>
  <si>
    <t>-591.928791517513 -100.754293090469 643.2859841665</t>
  </si>
  <si>
    <t>-445.171493614172 -153.063860198218 724.953060230555</t>
  </si>
  <si>
    <t>9763-20170724T164316.024888100.bin</t>
  </si>
  <si>
    <t>-481.8569461499 121.362635407249 -241.726664866516</t>
  </si>
  <si>
    <t>-521.592943766273 117.491798740813 -356.06770711261</t>
  </si>
  <si>
    <t>-537.645823594023 106.197919249366 -475.672614789243</t>
  </si>
  <si>
    <t>-542.278479091917 92.8621817160095 -584.279885099471</t>
  </si>
  <si>
    <t>-537.132017439707 76.4064294992647 -692.435247793104</t>
  </si>
  <si>
    <t>-519.851113915097 50.2709445715143 -841.493352829249</t>
  </si>
  <si>
    <t>-480.116279849092 32.6276207178885 -933.649901151914</t>
  </si>
  <si>
    <t>-516.355821531573 91.3583579293162 -779.424593289297</t>
  </si>
  <si>
    <t>-468.63895116226 230.135286984459 -769.984217295319</t>
  </si>
  <si>
    <t>-380.468308839348 283.440258016631 -470.700534285121</t>
  </si>
  <si>
    <t>-186.652830616971 218.66409505158 -309.822722822641</t>
  </si>
  <si>
    <t>-538.638955705468 32.311825005437 -771.654918804939</t>
  </si>
  <si>
    <t>-454.383249753864 213.851456447799 -254.343366809843</t>
  </si>
  <si>
    <t>-453.82430720315 202.630266241851 201.212832812776</t>
  </si>
  <si>
    <t>-485.617467844049 161.22939180556 667.817230236474</t>
  </si>
  <si>
    <t>-336.16678293654 147.815990965241 759.621893172913</t>
  </si>
  <si>
    <t>-509.173131150163 28.8665501803689 -228.460520596176</t>
  </si>
  <si>
    <t>-415.449303287062 -26.0740116377093 214.094520773916</t>
  </si>
  <si>
    <t>-591.943037082542 -100.702604333618 642.98039338636</t>
  </si>
  <si>
    <t>-445.090129737408 -152.775906625954 724.626612392134</t>
  </si>
  <si>
    <t>9763-20170724T164316.088699400.bin</t>
  </si>
  <si>
    <t>-483.102155824041 121.539873654351 -242.643792861958</t>
  </si>
  <si>
    <t>-522.76457551887 117.559525304229 -357.00660310865</t>
  </si>
  <si>
    <t>-538.486946387986 106.258002628495 -476.654517920615</t>
  </si>
  <si>
    <t>-542.712837989589 92.9673196579911 -585.284065776846</t>
  </si>
  <si>
    <t>-537.052129247882 76.6140482493526 -693.429109668864</t>
  </si>
  <si>
    <t>-518.94599503003 50.6864191088078 -842.425578862724</t>
  </si>
  <si>
    <t>-478.950813895794 33.4391809423517 -934.544568168348</t>
  </si>
  <si>
    <t>-516.026590890984 91.7684030287236 -780.323612612808</t>
  </si>
  <si>
    <t>-469.070123064188 230.793913490469 -770.696446132599</t>
  </si>
  <si>
    <t>-379.103059282607 287.303666780491 -472.537450855944</t>
  </si>
  <si>
    <t>-180.47792825065 228.79905997162 -315.160934309071</t>
  </si>
  <si>
    <t>-537.888177263504 32.5487689639881 -772.675016221526</t>
  </si>
  <si>
    <t>-455.952162684524 214.223949692805 -255.290116039516</t>
  </si>
  <si>
    <t>-454.845166849593 202.740395594382 200.258469733123</t>
  </si>
  <si>
    <t>-484.889663133684 161.372684656491 667.108912507203</t>
  </si>
  <si>
    <t>-335.972664147875 148.159067142718 759.805387181317</t>
  </si>
  <si>
    <t>-510.155062758588 28.8677737543986 -229.414074012286</t>
  </si>
  <si>
    <t>-415.942944208505 -25.6872378227262 213.085108570354</t>
  </si>
  <si>
    <t>-591.997327880215 -100.931155175431 642.259990889904</t>
  </si>
  <si>
    <t>-445.00275131861 -152.664180341473 723.867516116785</t>
  </si>
  <si>
    <t>9763-20170724T164316.120791800.bin</t>
  </si>
  <si>
    <t>-484.002303869979 121.815345082974 -243.010654937958</t>
  </si>
  <si>
    <t>-523.776536300756 117.856496162982 -357.335383569916</t>
  </si>
  <si>
    <t>-539.441086572738 106.529759785685 -476.988613051857</t>
  </si>
  <si>
    <t>-543.541753556074 93.2043517018323 -585.618512139855</t>
  </si>
  <si>
    <t>-537.682302392593 76.8091367099972 -693.7467509537</t>
  </si>
  <si>
    <t>-519.224404605276 50.8202240336041 -842.689381739115</t>
  </si>
  <si>
    <t>-479.106813271005 33.7122218693749 -934.781103607034</t>
  </si>
  <si>
    <t>-516.575869311696 91.9704973607416 -780.620304081417</t>
  </si>
  <si>
    <t>-470.228949313148 231.192894351215 -771.019530510666</t>
  </si>
  <si>
    <t>-378.891107637671 289.507779067297 -473.625963399408</t>
  </si>
  <si>
    <t>-178.071044621639 233.680770288964 -318.072966400221</t>
  </si>
  <si>
    <t>-538.206949493403 32.6685779788773 -772.953439330987</t>
  </si>
  <si>
    <t>-457.045223676108 214.778612114785 -255.584721681044</t>
  </si>
  <si>
    <t>-455.408882086228 203.081951371017 199.956923262577</t>
  </si>
  <si>
    <t>-484.700674261503 161.879705592678 666.971621724577</t>
  </si>
  <si>
    <t>-335.990535469633 147.919743554052 759.890614141394</t>
  </si>
  <si>
    <t>-510.926920610835 28.9007289221271 -229.792205349206</t>
  </si>
  <si>
    <t>-416.182432196622 -25.5633051620745 212.604536935466</t>
  </si>
  <si>
    <t>-592.002015937132 -100.919916852426 641.873619888637</t>
  </si>
  <si>
    <t>-444.894745159415 -152.312006345067 723.493564902495</t>
  </si>
  <si>
    <t>9763-20170724T164316.187981200.bin</t>
  </si>
  <si>
    <t>-485.597403653587 122.396533613066 -243.474814109182</t>
  </si>
  <si>
    <t>-525.252971586935 118.317088115988 -357.836422042701</t>
  </si>
  <si>
    <t>-540.566805267829 106.91124077065 -477.527710281385</t>
  </si>
  <si>
    <t>-544.254031312952 93.5417753859152 -586.166948506296</t>
  </si>
  <si>
    <t>-537.886400262829 77.1355643735346 -694.264903114603</t>
  </si>
  <si>
    <t>-518.625550468834 51.1717796301889 -843.110113505445</t>
  </si>
  <si>
    <t>-478.190358346353 34.3310616654514 -935.112060890304</t>
  </si>
  <si>
    <t>-516.511747086188 92.3790490815051 -781.058441839751</t>
  </si>
  <si>
    <t>-470.912918644792 231.847487866112 -771.34907535981</t>
  </si>
  <si>
    <t>-377.748485441988 290.887753665138 -474.666030642277</t>
  </si>
  <si>
    <t>-174.605660268635 237.737715986606 -321.205526798185</t>
  </si>
  <si>
    <t>-537.784040794955 32.940874655024 -773.44294019152</t>
  </si>
  <si>
    <t>-459.00298853226 215.465068800253 -255.914886568532</t>
  </si>
  <si>
    <t>-456.815377358225 203.418813927502 199.615235835919</t>
  </si>
  <si>
    <t>-484.538883938066 161.950629834692 666.691520969408</t>
  </si>
  <si>
    <t>-335.954636582809 148.211392422078 759.844480247698</t>
  </si>
  <si>
    <t>-511.938059332791 29.3843567446469 -230.450817488639</t>
  </si>
  <si>
    <t>-416.891833280783 -25.1899411128156 211.867574588381</t>
  </si>
  <si>
    <t>-592.05716269137 -100.875898748407 641.302236815995</t>
  </si>
  <si>
    <t>-444.994750237291 -152.477566150915 722.870783681551</t>
  </si>
  <si>
    <t>9763-20170724T164316.223083900.bin</t>
  </si>
  <si>
    <t>-486.139568616652 122.702065164932 -243.802869661547</t>
  </si>
  <si>
    <t>-525.824596518348 118.541162295262 -358.15144078156</t>
  </si>
  <si>
    <t>-541.013958944641 107.095071067901 -477.854526412399</t>
  </si>
  <si>
    <t>-544.525195714312 93.7058706192122 -586.497233101462</t>
  </si>
  <si>
    <t>-537.919258765296 77.2964330489224 -694.580221520905</t>
  </si>
  <si>
    <t>-518.264817842626 51.345404144809 -843.376328700275</t>
  </si>
  <si>
    <t>-477.699885099692 34.5986506533833 -935.338308040177</t>
  </si>
  <si>
    <t>-516.395802830505 92.5741937445802 -781.331046253279</t>
  </si>
  <si>
    <t>-471.162217470045 232.148278196033 -771.516439376996</t>
  </si>
  <si>
    <t>-376.674012009025 290.636630921481 -475.142795271193</t>
  </si>
  <si>
    <t>-174.13238845077 237.155597249638 -321.004177293961</t>
  </si>
  <si>
    <t>-537.526838740898 33.0817145418855 -773.746401201676</t>
  </si>
  <si>
    <t>-459.834422848978 215.85738462148 -256.160911145898</t>
  </si>
  <si>
    <t>-457.345227251293 203.567417402652 199.361140544318</t>
  </si>
  <si>
    <t>-484.366714321524 161.905784194544 666.458533311501</t>
  </si>
  <si>
    <t>-335.909975310597 148.070934484738 759.800480989569</t>
  </si>
  <si>
    <t>-512.260317861005 29.6442541266778 -230.758746502875</t>
  </si>
  <si>
    <t>-417.209710746582 -24.8910230744732 211.56354933618</t>
  </si>
  <si>
    <t>-592.073623068761 -100.875151528834 641.043693320926</t>
  </si>
  <si>
    <t>-445.042668671622 -152.582952975479 722.60164281584</t>
  </si>
  <si>
    <t>9763-20170724T164316.293805500.bin</t>
  </si>
  <si>
    <t>-487.2554369329 123.206261861884 -244.019022064031</t>
  </si>
  <si>
    <t>-526.730715151763 118.811491814208 -358.431464444548</t>
  </si>
  <si>
    <t>-541.541663180368 107.339953978523 -478.179529611589</t>
  </si>
  <si>
    <t>-544.64589730387 94.0063115473281 -586.841479710375</t>
  </si>
  <si>
    <t>-537.571911361631 77.7262070817826 -694.914412387608</t>
  </si>
  <si>
    <t>-517.20752309113 52.0275683954619 -843.658893825427</t>
  </si>
  <si>
    <t>-476.409179828103 35.5401605124884 -935.564495233643</t>
  </si>
  <si>
    <t>-515.738393436358 93.1851484917468 -781.555503149733</t>
  </si>
  <si>
    <t>-470.955814003016 232.892029129319 -771.427813205444</t>
  </si>
  <si>
    <t>-375.156981876791 288.269851972731 -474.877413356446</t>
  </si>
  <si>
    <t>-177.054190673989 228.917035967915 -317.160761746902</t>
  </si>
  <si>
    <t>-536.697857485738 33.6116914547801 -774.132612272795</t>
  </si>
  <si>
    <t>-461.320490447814 216.422949798201 -256.337218888456</t>
  </si>
  <si>
    <t>-458.630542360793 203.814962403835 199.175074006621</t>
  </si>
  <si>
    <t>-484.375418407653 161.35268577504 666.40107000916</t>
  </si>
  <si>
    <t>-335.865722670936 148.164053700247 759.752232368726</t>
  </si>
  <si>
    <t>-513.070384592659 30.1832999238897 -230.949658585208</t>
  </si>
  <si>
    <t>-417.262668725548 -24.0581100546839 211.24541728265</t>
  </si>
  <si>
    <t>-592.04367774872 -100.913042508199 640.516543530543</t>
  </si>
  <si>
    <t>-445.010110464616 -152.43077681824 722.19007966287</t>
  </si>
  <si>
    <t>9763-20170724T164316.323385800.bin</t>
  </si>
  <si>
    <t>-487.452943034985 123.865779071388 -244.081308694898</t>
  </si>
  <si>
    <t>-526.725018570128 119.322200307802 -358.557759496026</t>
  </si>
  <si>
    <t>-541.356950271847 107.778594528021 -478.320950360532</t>
  </si>
  <si>
    <t>-544.312091119322 94.4118139720977 -586.983024832608</t>
  </si>
  <si>
    <t>-537.102664722092 78.130818274837 -695.046861907124</t>
  </si>
  <si>
    <t>-516.564744089315 52.4643704226322 -843.772901345145</t>
  </si>
  <si>
    <t>-475.739438629083 36.046846263669 -935.679073815524</t>
  </si>
  <si>
    <t>-515.197082837092 93.6179821672062 -781.664768605334</t>
  </si>
  <si>
    <t>-470.648912834871 233.42770807896 -771.612038059479</t>
  </si>
  <si>
    <t>-375.524676375274 287.446518307993 -474.594238794777</t>
  </si>
  <si>
    <t>-179.29688043017 225.973399404432 -315.353026343959</t>
  </si>
  <si>
    <t>-536.107178280154 34.0239318201552 -774.267780655833</t>
  </si>
  <si>
    <t>-461.552679202293 217.107498362791 -256.410572992767</t>
  </si>
  <si>
    <t>-459.326921796253 204.437853274742 199.102461894397</t>
  </si>
  <si>
    <t>-484.284084037416 161.754702374303 666.291762785626</t>
  </si>
  <si>
    <t>-335.863492607546 147.849561674184 759.680615543624</t>
  </si>
  <si>
    <t>-513.174500789661 30.770716455874 -231.04826998452</t>
  </si>
  <si>
    <t>-417.234888159645 -23.3556817527981 211.132180704141</t>
  </si>
  <si>
    <t>-591.986432420011 -100.974148876506 640.259882178421</t>
  </si>
  <si>
    <t>-445.024440301527 -152.592469257549 721.998541436775</t>
  </si>
  <si>
    <t>9763-20170724T164316.387454600.bin</t>
  </si>
  <si>
    <t>-487.163737809154 124.662225226647 -244.209151992289</t>
  </si>
  <si>
    <t>-525.978833155013 120.005008358042 -358.836800276007</t>
  </si>
  <si>
    <t>-540.345433489286 108.429314462926 -478.629005569114</t>
  </si>
  <si>
    <t>-543.143261519077 95.0757889532845 -587.296900525849</t>
  </si>
  <si>
    <t>-535.858903284006 78.8544259664733 -695.364811670509</t>
  </si>
  <si>
    <t>-515.300189774963 53.3226943666547 -844.110994297053</t>
  </si>
  <si>
    <t>-474.480546220902 37.0816219981731 -936.051088706649</t>
  </si>
  <si>
    <t>-513.968262279358 94.4288817771523 -781.970765176985</t>
  </si>
  <si>
    <t>-469.920223399776 234.373704797943 -772.238999747597</t>
  </si>
  <si>
    <t>-378.494516030038 286.90842153294 -473.796902233226</t>
  </si>
  <si>
    <t>-190.892007060001 215.333913049657 -308.495989413547</t>
  </si>
  <si>
    <t>-534.825329200154 34.8105009154261 -774.620243242748</t>
  </si>
  <si>
    <t>-460.952844008598 217.82091361457 -256.576628072309</t>
  </si>
  <si>
    <t>-460.129455682042 204.960826362938 198.935748654356</t>
  </si>
  <si>
    <t>-484.159408623592 161.578005650287 666.135091265069</t>
  </si>
  <si>
    <t>-335.648668751382 148.777602965684 759.538652042751</t>
  </si>
  <si>
    <t>-513.192927672006 31.6241775468851 -231.256864318684</t>
  </si>
  <si>
    <t>-417.216022797306 -22.538261375479 210.911128275696</t>
  </si>
  <si>
    <t>-591.912209360707 -100.757640498299 639.951147362389</t>
  </si>
  <si>
    <t>-444.996413623614 -152.477872943334 721.708604837634</t>
  </si>
  <si>
    <t>9763-20170724T164316.422549500.bin</t>
  </si>
  <si>
    <t>-486.731279037723 125.233660916574 -244.298387400172</t>
  </si>
  <si>
    <t>-525.37240906534 120.613321090052 -358.986224607938</t>
  </si>
  <si>
    <t>-539.669425631929 109.078485539872 -478.790655816126</t>
  </si>
  <si>
    <t>-542.448538709946 95.7666686418959 -587.464254897127</t>
  </si>
  <si>
    <t>-535.188995972674 79.5941677190811 -695.540922257532</t>
  </si>
  <si>
    <t>-514.708954336322 54.1391298924278 -844.311275295638</t>
  </si>
  <si>
    <t>-473.924318939341 37.9423940538018 -936.274687568479</t>
  </si>
  <si>
    <t>-513.318963812627 95.2050499950507 -782.145700897528</t>
  </si>
  <si>
    <t>-469.327489980585 235.200858138584 -772.369707111928</t>
  </si>
  <si>
    <t>-380.704307239421 287.004512119864 -472.956200930547</t>
  </si>
  <si>
    <t>-193.367325688744 215.414761756998 -307.360711374197</t>
  </si>
  <si>
    <t>-534.222516522568 35.5993733629931 -774.824410062614</t>
  </si>
  <si>
    <t>-460.237022906367 218.371302917182 -256.608234707901</t>
  </si>
  <si>
    <t>-460.145389037425 205.400677280944 198.901803438622</t>
  </si>
  <si>
    <t>-484.208848431053 161.656912214926 666.161634932321</t>
  </si>
  <si>
    <t>-335.640901892573 148.658666602006 759.446839067154</t>
  </si>
  <si>
    <t>-513.107336071208 32.2811242585925 -231.359159079664</t>
  </si>
  <si>
    <t>-417.183474232366 -22.1230337897625 210.79068546127</t>
  </si>
  <si>
    <t>-591.827099289322 -100.535787500236 639.80073715983</t>
  </si>
  <si>
    <t>-445.118464421823 -152.736385336842 721.624890961588</t>
  </si>
  <si>
    <t>9763-20170724T164316.488352000.bin</t>
  </si>
  <si>
    <t>-485.945487154184 125.728920622082 -243.941762890241</t>
  </si>
  <si>
    <t>-524.334108107768 121.273005550909 -358.720938756505</t>
  </si>
  <si>
    <t>-538.523506055835 109.928718410897 -478.556385647407</t>
  </si>
  <si>
    <t>-541.265639987316 96.8066413656618 -587.253869470186</t>
  </si>
  <si>
    <t>-534.027884020418 80.845605916469 -695.363528276746</t>
  </si>
  <si>
    <t>-513.636400577112 55.710520571492 -844.200543465597</t>
  </si>
  <si>
    <t>-472.965869711004 39.7061100793183 -936.247991279714</t>
  </si>
  <si>
    <t>-512.157966565586 96.6258068783431 -781.937492539852</t>
  </si>
  <si>
    <t>-468.324594489045 236.648551118418 -771.797297068173</t>
  </si>
  <si>
    <t>-383.215222921249 288.597893385578 -471.391093082875</t>
  </si>
  <si>
    <t>-196.761738807252 214.896989922167 -305.724923423139</t>
  </si>
  <si>
    <t>-533.160019894956 37.0382704512672 -774.752000488145</t>
  </si>
  <si>
    <t>-459.098234000938 218.717540490268 -255.908364001466</t>
  </si>
  <si>
    <t>-460.254931521545 205.326784231856 199.588106253295</t>
  </si>
  <si>
    <t>-485.107453705983 161.11152206012 667.200177787725</t>
  </si>
  <si>
    <t>-335.518780653825 149.739688498818 759.055618437291</t>
  </si>
  <si>
    <t>-512.738238999288 32.9145320875397 -231.212005893765</t>
  </si>
  <si>
    <t>-417.295487857114 -21.7887324941983 211.005020556163</t>
  </si>
  <si>
    <t>-591.676806549418 -100.592920447078 639.943726780678</t>
  </si>
  <si>
    <t>-444.843065953515 -152.349515179529 721.825383045162</t>
  </si>
  <si>
    <t>9763-20170724T164316.521943400.bin</t>
  </si>
  <si>
    <t>-485.667651499348 126.017776270697 -243.466132689712</t>
  </si>
  <si>
    <t>-524.012889478745 121.616835416927 -358.261850796341</t>
  </si>
  <si>
    <t>-538.252392604559 110.332977881928 -478.097144289279</t>
  </si>
  <si>
    <t>-541.078075085035 97.268403512766 -586.799465906129</t>
  </si>
  <si>
    <t>-533.96126350874 81.3681941556693 -694.926054681613</t>
  </si>
  <si>
    <t>-513.775306659736 56.3211656188627 -843.805810755967</t>
  </si>
  <si>
    <t>-473.23804616615 40.3800729074378 -935.923089651565</t>
  </si>
  <si>
    <t>-512.173529425136 97.1872648224548 -781.513613156474</t>
  </si>
  <si>
    <t>-468.386079437903 237.204663660279 -771.307537451676</t>
  </si>
  <si>
    <t>-384.633792502045 288.526380242143 -470.412546137124</t>
  </si>
  <si>
    <t>-198.632898196792 214.057274886343 -304.580952343642</t>
  </si>
  <si>
    <t>-533.240451572178 37.6200826370327 -774.348588290373</t>
  </si>
  <si>
    <t>-458.793536041451 218.975313960958 -255.289472971313</t>
  </si>
  <si>
    <t>-460.296646840045 205.470241604996 200.202648997539</t>
  </si>
  <si>
    <t>-485.83261966222 161.159608116154 667.872903497409</t>
  </si>
  <si>
    <t>-335.675603494771 149.672440338808 758.781908407229</t>
  </si>
  <si>
    <t>-512.471675374003 33.187056998575 -230.828990647264</t>
  </si>
  <si>
    <t>-417.296797564059 -21.6605755406996 211.42786124667</t>
  </si>
  <si>
    <t>-591.63061120743 -100.464604516867 640.272641598423</t>
  </si>
  <si>
    <t>-444.925484174906 -152.520837219214 722.194922426139</t>
  </si>
  <si>
    <t>9763-20170724T164316.589628200.bin</t>
  </si>
  <si>
    <t>-484.996523833936 126.367599155929 -242.13274905091</t>
  </si>
  <si>
    <t>-523.406178893054 122.169463177483 -356.914672723071</t>
  </si>
  <si>
    <t>-537.858248815413 111.029257901355 -476.737859336202</t>
  </si>
  <si>
    <t>-540.935663360201 98.0703261466191 -585.446059714833</t>
  </si>
  <si>
    <t>-534.127749460028 82.2516981745545 -693.604532747441</t>
  </si>
  <si>
    <t>-514.428022912208 57.2929029792729 -842.564143098677</t>
  </si>
  <si>
    <t>-474.167165490613 41.5000679401889 -934.828231712573</t>
  </si>
  <si>
    <t>-512.542781345052 98.0955822289658 -780.23839408701</t>
  </si>
  <si>
    <t>-468.846725910747 238.135611235961 -770.057901130086</t>
  </si>
  <si>
    <t>-387.463760145255 288.066218142177 -468.279961757891</t>
  </si>
  <si>
    <t>-201.102476476036 213.54000612258 -302.879259043293</t>
  </si>
  <si>
    <t>-533.746316766035 38.5773119070413 -773.07003402334</t>
  </si>
  <si>
    <t>-458.052978411788 219.297236435905 -253.822824096347</t>
  </si>
  <si>
    <t>-459.800241386624 205.633699484939 201.66361481348</t>
  </si>
  <si>
    <t>-487.193790602126 161.323224014886 669.177725153329</t>
  </si>
  <si>
    <t>-335.920434522439 150.28591961757 758.273563963024</t>
  </si>
  <si>
    <t>-511.82110771931 33.5759882055743 -229.657550074995</t>
  </si>
  <si>
    <t>-417.183530928362 -21.7631643208846 212.653473227352</t>
  </si>
  <si>
    <t>-591.591870136058 -100.347625862328 641.241009480145</t>
  </si>
  <si>
    <t>-445.076359069751 -152.857419038582 723.213007471385</t>
  </si>
  <si>
    <t>9763-20170724T164316.622217400.bin</t>
  </si>
  <si>
    <t>-484.537401175243 126.482811673636 -241.463846782568</t>
  </si>
  <si>
    <t>-523.002119659864 122.366881857919 -356.23033622877</t>
  </si>
  <si>
    <t>-537.564473907045 111.286870994541 -476.045640560516</t>
  </si>
  <si>
    <t>-540.763037866851 98.3740634170686 -584.755865279921</t>
  </si>
  <si>
    <t>-534.096612852714 82.593740545824 -692.928778807196</t>
  </si>
  <si>
    <t>-514.613183940247 57.6806946607537 -841.924589249032</t>
  </si>
  <si>
    <t>-474.479025443474 41.9794154965241 -934.259183558932</t>
  </si>
  <si>
    <t>-512.600812824022 98.4518904296312 -779.582231805286</t>
  </si>
  <si>
    <t>-468.972343866289 238.510882693549 -769.459586731019</t>
  </si>
  <si>
    <t>-388.980603098446 288.121844124824 -467.257343788591</t>
  </si>
  <si>
    <t>-202.442618433606 213.603764001123 -302.052394758593</t>
  </si>
  <si>
    <t>-533.867211736827 38.9559655127603 -772.414908621538</t>
  </si>
  <si>
    <t>-457.489659188178 219.335465438521 -253.147375057985</t>
  </si>
  <si>
    <t>-459.371957923695 205.609881111942 202.33674436819</t>
  </si>
  <si>
    <t>-487.704138298865 161.315922160535 669.738182385159</t>
  </si>
  <si>
    <t>-335.994681203081 150.497502775692 758.116428221107</t>
  </si>
  <si>
    <t>-511.440846209609 33.7272972582535 -229.017074326122</t>
  </si>
  <si>
    <t>-417.067144865427 -21.8113527118236 213.325328245024</t>
  </si>
  <si>
    <t>-591.579562350663 -100.393141937959 641.793216314883</t>
  </si>
  <si>
    <t>-445.098474992394 -152.96645549294 723.786226275313</t>
  </si>
  <si>
    <t>9763-20170724T164316.692794100.bin</t>
  </si>
  <si>
    <t>-483.566503628462 126.324544392856 -240.294089714909</t>
  </si>
  <si>
    <t>-521.905726080136 122.373875163653 -355.108218831046</t>
  </si>
  <si>
    <t>-536.573034119399 111.406187462413 -474.921253880608</t>
  </si>
  <si>
    <t>-539.960625476387 98.5788799250842 -583.635635621148</t>
  </si>
  <si>
    <t>-533.574931889003 82.8715999226268 -691.836199732573</t>
  </si>
  <si>
    <t>-514.573522593252 58.0495401464095 -840.909390798669</t>
  </si>
  <si>
    <t>-474.772838738701 42.5230013538888 -933.417793134744</t>
  </si>
  <si>
    <t>-512.305448155556 98.7645618731795 -778.539042213175</t>
  </si>
  <si>
    <t>-468.716256963765 238.84615140013 -768.503302397578</t>
  </si>
  <si>
    <t>-391.322429925035 288.205779029605 -465.584199097701</t>
  </si>
  <si>
    <t>-204.777213767549 213.928790891866 -300.278846370627</t>
  </si>
  <si>
    <t>-533.656707635878 39.3004755819591 -771.359267824616</t>
  </si>
  <si>
    <t>-456.207213005979 219.078393758654 -252.02726728901</t>
  </si>
  <si>
    <t>-458.410874697271 205.260054344736 203.452629443574</t>
  </si>
  <si>
    <t>-488.40497284295 161.168040490712 670.649704632273</t>
  </si>
  <si>
    <t>-336.043567840915 151.040462206769 757.982003630519</t>
  </si>
  <si>
    <t>-510.707736074613 33.6527478195458 -227.966043439762</t>
  </si>
  <si>
    <t>-417.08119682195 -22.4299963559627 214.46639345689</t>
  </si>
  <si>
    <t>-591.576850236145 -100.924116774641 642.886119441085</t>
  </si>
  <si>
    <t>-444.666957498326 -152.143247233025 724.969052719398</t>
  </si>
  <si>
    <t>9763-20170724T164316.721374800.bin</t>
  </si>
  <si>
    <t>-483.10767223172 126.225317106469 -239.811216924784</t>
  </si>
  <si>
    <t>-521.409929185092 122.369924122284 -354.64099845453</t>
  </si>
  <si>
    <t>-536.134173473358 111.470991388179 -474.453233746229</t>
  </si>
  <si>
    <t>-539.611479464738 98.6969916946617 -583.171035786994</t>
  </si>
  <si>
    <t>-533.352635654392 83.0350153638645 -691.385745321118</t>
  </si>
  <si>
    <t>-514.564717816452 58.2687278698758 -840.495112671994</t>
  </si>
  <si>
    <t>-474.926464683007 42.8300961385306 -933.088077896986</t>
  </si>
  <si>
    <t>-512.191564613439 98.9550998698612 -778.11002012791</t>
  </si>
  <si>
    <t>-468.633357969397 239.04772081908 -768.071512038232</t>
  </si>
  <si>
    <t>-392.531628630322 288.231340542757 -464.796532554477</t>
  </si>
  <si>
    <t>-206.206470023482 213.695435931897 -299.359631473993</t>
  </si>
  <si>
    <t>-533.56392999523 39.4989736937844 -770.927625491114</t>
  </si>
  <si>
    <t>-455.631208686583 218.962257506043 -251.561577044103</t>
  </si>
  <si>
    <t>-457.833657288082 205.086411687361 203.916504448189</t>
  </si>
  <si>
    <t>-488.627158220514 160.975476946779 671.023359655738</t>
  </si>
  <si>
    <t>-336.061389414091 150.86572403908 758.000253759791</t>
  </si>
  <si>
    <t>-510.412652415369 33.5499138476059 -227.529043480932</t>
  </si>
  <si>
    <t>-417.120705561754 -22.6293751040689 214.961793535071</t>
  </si>
  <si>
    <t>-591.57185384716 -101.019461320678 643.407038353782</t>
  </si>
  <si>
    <t>-444.825924834119 -152.588964162237 725.563691609489</t>
  </si>
  <si>
    <t>9763-20170724T164316.792797000.bin</t>
  </si>
  <si>
    <t>-482.35332054181 126.033156183938 -239.08593025523</t>
  </si>
  <si>
    <t>-520.783888242827 122.37484000448 -353.879201749591</t>
  </si>
  <si>
    <t>-535.69539892009 111.62674166629 -473.681977907305</t>
  </si>
  <si>
    <t>-539.36278956394 98.9735464816654 -582.407694233865</t>
  </si>
  <si>
    <t>-533.312475979485 83.4194522969565 -690.649640128733</t>
  </si>
  <si>
    <t>-514.831232487437 58.7913627760914 -839.820453227772</t>
  </si>
  <si>
    <t>-475.479669352765 43.5135183644996 -932.562007314065</t>
  </si>
  <si>
    <t>-512.336791029363 99.4222918111771 -777.40379022402</t>
  </si>
  <si>
    <t>-469.065050137143 239.600332388108 -767.387047614165</t>
  </si>
  <si>
    <t>-394.643514486083 288.377157902832 -463.629844031652</t>
  </si>
  <si>
    <t>-208.534989393483 213.389613154449 -298.152966004351</t>
  </si>
  <si>
    <t>-533.680487615119 39.9547610016044 -770.230182890238</t>
  </si>
  <si>
    <t>-454.7650052806 218.686415124925 -250.861431412491</t>
  </si>
  <si>
    <t>-456.61885348146 204.688022030387 204.614486183811</t>
  </si>
  <si>
    <t>-488.818827989012 160.548820251118 671.519713026952</t>
  </si>
  <si>
    <t>-336.027218087141 150.665682557416 758.125503890548</t>
  </si>
  <si>
    <t>-509.76949594859 33.4791513576925 -226.810043666622</t>
  </si>
  <si>
    <t>-417.085739843746 -22.9245616951088 215.780038246731</t>
  </si>
  <si>
    <t>-591.587076245234 -101.030298544211 644.31880227103</t>
  </si>
  <si>
    <t>-444.747739830524 -152.241441411947 726.532689454922</t>
  </si>
  <si>
    <t>9763-20170724T164316.819368800.bin</t>
  </si>
  <si>
    <t>-482.176574419978 126.204637283628 -238.832014587937</t>
  </si>
  <si>
    <t>-520.706343475082 122.606501269832 -353.593965393584</t>
  </si>
  <si>
    <t>-535.73605989965 111.906776267481 -473.38621681751</t>
  </si>
  <si>
    <t>-539.516403748227 99.293024464329 -582.112736795034</t>
  </si>
  <si>
    <t>-533.584155059264 83.7742239084409 -690.366202725409</t>
  </si>
  <si>
    <t>-515.271070462769 59.1913628524058 -839.565232975385</t>
  </si>
  <si>
    <t>-476.036692762141 44.00167558112 -932.370944429438</t>
  </si>
  <si>
    <t>-512.713651773491 99.8058814696373 -777.1404732638</t>
  </si>
  <si>
    <t>-469.571064658262 240.037187023572 -767.13811210336</t>
  </si>
  <si>
    <t>-395.275588975994 288.774975082804 -463.343783581375</t>
  </si>
  <si>
    <t>-209.474965061305 213.122944924028 -297.823552893746</t>
  </si>
  <si>
    <t>-534.03440046891 40.3312046383755 -769.95796320563</t>
  </si>
  <si>
    <t>-454.64691470946 218.874923826946 -250.614434537347</t>
  </si>
  <si>
    <t>-456.225591675652 204.825588490044 204.860992191293</t>
  </si>
  <si>
    <t>-488.956348992663 160.785892728966 671.702644078965</t>
  </si>
  <si>
    <t>-336.154611039392 150.391165094571 758.230597022402</t>
  </si>
  <si>
    <t>-509.555471593911 33.6737291842235 -226.516941565829</t>
  </si>
  <si>
    <t>-417.087629499821 -22.8735964034777 216.100013277065</t>
  </si>
  <si>
    <t>-591.595874837642 -101.102988369842 644.664213291273</t>
  </si>
  <si>
    <t>-444.972896412636 -152.836205664239 726.937484428091</t>
  </si>
  <si>
    <t>9763-20170724T164316.889789200.bin</t>
  </si>
  <si>
    <t>-482.168813954161 126.440127778705 -238.442350917118</t>
  </si>
  <si>
    <t>-520.73983697653 122.803286031025 -353.18939174576</t>
  </si>
  <si>
    <t>-535.925187029819 112.166020493392 -472.967588682104</t>
  </si>
  <si>
    <t>-539.893469102435 99.6445647115982 -581.69798091943</t>
  </si>
  <si>
    <t>-534.195643629934 84.2499177924763 -689.981841103036</t>
  </si>
  <si>
    <t>-516.25525899637 59.8689608608875 -839.259159297057</t>
  </si>
  <si>
    <t>-477.163314977731 44.8823105421278 -932.158074569442</t>
  </si>
  <si>
    <t>-513.527815948582 100.394201150567 -776.783668380136</t>
  </si>
  <si>
    <t>-470.228310760747 240.553310343535 -766.573654448658</t>
  </si>
  <si>
    <t>-396.076457822711 289.088269784686 -462.711808572152</t>
  </si>
  <si>
    <t>-211.327961889551 210.941667695777 -297.1728449499</t>
  </si>
  <si>
    <t>-534.858849438566 40.9193403204408 -769.633416823371</t>
  </si>
  <si>
    <t>-454.735304322928 218.957789269416 -250.292276827753</t>
  </si>
  <si>
    <t>-455.998488592473 204.890634192273 205.183434946456</t>
  </si>
  <si>
    <t>-489.036092017624 160.778967609271 671.951428047127</t>
  </si>
  <si>
    <t>-336.153815848095 150.686788478971 758.372862065318</t>
  </si>
  <si>
    <t>-509.398260322823 33.8979902047721 -226.073884436909</t>
  </si>
  <si>
    <t>-417.09049481743 -22.5791170642788 216.585436759733</t>
  </si>
  <si>
    <t>-591.582770942656 -100.893973767902 645.18765150144</t>
  </si>
  <si>
    <t>-445.244484440696 -153.256358594603 727.56974448738</t>
  </si>
  <si>
    <t>9763-20170724T164316.921878100.bin</t>
  </si>
  <si>
    <t>-482.298857227371 126.371947594079 -238.381649657246</t>
  </si>
  <si>
    <t>-520.973967094741 122.693993677997 -353.092160512343</t>
  </si>
  <si>
    <t>-536.259882819597 112.102655292821 -472.861611197722</t>
  </si>
  <si>
    <t>-540.317535357112 99.6522416948256 -581.596968326201</t>
  </si>
  <si>
    <t>-534.707179855613 84.3546100242098 -689.899200709264</t>
  </si>
  <si>
    <t>-516.886311109174 60.1320847901736 -839.216530171675</t>
  </si>
  <si>
    <t>-477.827476470133 45.2532352275953 -932.146610196174</t>
  </si>
  <si>
    <t>-514.10831819252 100.590886566815 -776.700252993541</t>
  </si>
  <si>
    <t>-470.487510062008 240.629716603303 -766.09740915886</t>
  </si>
  <si>
    <t>-395.93278766153 288.790025503566 -462.274583036992</t>
  </si>
  <si>
    <t>-212.38884309788 208.053631406848 -296.638370824831</t>
  </si>
  <si>
    <t>-535.434708001544 41.1087759662694 -769.596293374847</t>
  </si>
  <si>
    <t>-455.021533719953 218.985611005949 -250.302259076299</t>
  </si>
  <si>
    <t>-456.065911461685 204.933605187335 205.174478634472</t>
  </si>
  <si>
    <t>-488.838947514357 160.702139805811 671.798117484083</t>
  </si>
  <si>
    <t>-336.128513124318 150.462164296472 758.505513079077</t>
  </si>
  <si>
    <t>-509.369637588388 33.7476765038072 -225.93174530422</t>
  </si>
  <si>
    <t>-417.060917892538 -22.7008209317786 216.730998280897</t>
  </si>
  <si>
    <t>-591.611176279412 -101.192511229771 645.35218644198</t>
  </si>
  <si>
    <t>-445.059885508126 -152.903156073522 727.767182907439</t>
  </si>
  <si>
    <t>9763-20170724T164316.989787200.bin</t>
  </si>
  <si>
    <t>-482.603025534575 126.193294080156 -239.191749302646</t>
  </si>
  <si>
    <t>-521.538778668568 122.437043605023 -353.811456947502</t>
  </si>
  <si>
    <t>-536.853453541509 112.033728520414 -473.593900729765</t>
  </si>
  <si>
    <t>-540.837525648355 99.8582661212785 -582.362977337967</t>
  </si>
  <si>
    <t>-535.053550141569 84.9380175462095 -690.708590854769</t>
  </si>
  <si>
    <t>-516.88768520396 61.3445078526383 -840.085220278621</t>
  </si>
  <si>
    <t>-477.631686784165 46.8701739979672 -932.996143554365</t>
  </si>
  <si>
    <t>-514.340404809253 101.568621296593 -777.407923876707</t>
  </si>
  <si>
    <t>-470.362530864106 241.439864455354 -766.186431933489</t>
  </si>
  <si>
    <t>-392.671729889275 287.819939861965 -462.872635443816</t>
  </si>
  <si>
    <t>-212.133520172618 200.526255334888 -297.25917629186</t>
  </si>
  <si>
    <t>-535.510689794728 41.9992139604893 -770.573520586872</t>
  </si>
  <si>
    <t>-455.304298714834 218.989255061388 -251.596384854185</t>
  </si>
  <si>
    <t>-455.800516103848 205.078668235228 203.885725911099</t>
  </si>
  <si>
    <t>-486.918814731574 160.743736746338 669.75462101656</t>
  </si>
  <si>
    <t>-335.809893966924 150.309210269931 759.201295841695</t>
  </si>
  <si>
    <t>-509.665036900782 33.3641960704089 -226.345988102726</t>
  </si>
  <si>
    <t>-416.510986692582 -22.544743963888 216.208067926909</t>
  </si>
  <si>
    <t>-591.60376486615 -101.111090210454 644.944176173297</t>
  </si>
  <si>
    <t>-445.149881123918 -152.858657595959 727.509071765985</t>
  </si>
  <si>
    <t>9763-20170724T164317.024386000.bin</t>
  </si>
  <si>
    <t>-482.606191926261 126.025048124615 -239.992888515277</t>
  </si>
  <si>
    <t>-521.658245249741 122.235269023403 -354.572098027711</t>
  </si>
  <si>
    <t>-537.017600992689 111.942343238656 -474.358241200312</t>
  </si>
  <si>
    <t>-541.01074026453 99.9232445688147 -583.144502452678</t>
  </si>
  <si>
    <t>-535.203765218911 85.2144781029483 -691.517830621489</t>
  </si>
  <si>
    <t>-516.972125163964 61.971058934253 -840.941226133721</t>
  </si>
  <si>
    <t>-477.636153174107 47.6991960252608 -933.849745610467</t>
  </si>
  <si>
    <t>-514.465722743345 102.052614175349 -778.170928578261</t>
  </si>
  <si>
    <t>-470.344709225223 241.873764692557 -766.647029430297</t>
  </si>
  <si>
    <t>-390.663222479546 285.676407750133 -463.466695668587</t>
  </si>
  <si>
    <t>-211.075612596687 195.007294709988 -298.635039158433</t>
  </si>
  <si>
    <t>-535.612401177831 42.4584979562763 -771.481042910187</t>
  </si>
  <si>
    <t>-455.203419083255 218.923140552564 -252.652963601476</t>
  </si>
  <si>
    <t>-455.490060115393 205.107568646882 202.832150272611</t>
  </si>
  <si>
    <t>-485.860592003378 160.904641932983 668.935849692756</t>
  </si>
  <si>
    <t>-335.641972887646 149.438011331196 759.745503843226</t>
  </si>
  <si>
    <t>-509.727366284277 33.1117921433376 -226.953013829901</t>
  </si>
  <si>
    <t>-416.107301319449 -22.5812508634094 215.530004597059</t>
  </si>
  <si>
    <t>-591.615586612947 -101.067301612393 644.379715320231</t>
  </si>
  <si>
    <t>-445.17513763911 -152.795283740083 726.980729679108</t>
  </si>
  <si>
    <t>9763-20170724T164317.086627800.bin</t>
  </si>
  <si>
    <t>-482.992239872532 125.314043395777 -241.26333228256</t>
  </si>
  <si>
    <t>-522.353027790629 121.454977021575 -355.734455631027</t>
  </si>
  <si>
    <t>-537.855332246229 111.428840425939 -475.524804719476</t>
  </si>
  <si>
    <t>-541.903333642277 99.7881975175725 -584.35015499461</t>
  </si>
  <si>
    <t>-536.073574948055 85.5953400562279 -692.791000010908</t>
  </si>
  <si>
    <t>-517.727676873025 63.2119817812722 -842.331752921465</t>
  </si>
  <si>
    <t>-478.236187242753 49.4660812360593 -935.253537044096</t>
  </si>
  <si>
    <t>-515.265045689556 102.930216814052 -779.329297639229</t>
  </si>
  <si>
    <t>-470.668373144562 242.503571500973 -766.87138741393</t>
  </si>
  <si>
    <t>-387.202007030834 280.960968748649 -463.984341720947</t>
  </si>
  <si>
    <t>-208.901217926223 184.450179833797 -301.083855785445</t>
  </si>
  <si>
    <t>-536.425293862498 43.3015853579262 -772.999995810557</t>
  </si>
  <si>
    <t>-455.594667107035 218.342587565857 -253.891649740255</t>
  </si>
  <si>
    <t>-456.019398165012 204.888141446213 201.60419629413</t>
  </si>
  <si>
    <t>-485.244171963032 161.123768507502 668.327462768704</t>
  </si>
  <si>
    <t>-335.605060209227 149.281095784832 760.041116232468</t>
  </si>
  <si>
    <t>-510.314415214413 32.243316138617 -227.991808549204</t>
  </si>
  <si>
    <t>-415.760234922583 -22.8882685766263 214.362818489358</t>
  </si>
  <si>
    <t>-591.739740700699 -100.883766778496 643.360307308428</t>
  </si>
  <si>
    <t>-445.355527649402 -153.00055361084 725.816455113844</t>
  </si>
  <si>
    <t>9763-20170724T164317.119217000.bin</t>
  </si>
  <si>
    <t>-483.27574355903 125.077040846684 -241.757624363452</t>
  </si>
  <si>
    <t>-522.725005600673 121.218290013662 -356.19829533022</t>
  </si>
  <si>
    <t>-538.258170612693 111.332081360168 -475.996235813934</t>
  </si>
  <si>
    <t>-542.308492796698 99.8739010257611 -584.840865410329</t>
  </si>
  <si>
    <t>-536.454548597026 85.9191446301248 -693.31133815829</t>
  </si>
  <si>
    <t>-518.046601279104 63.9238431478272 -842.901975248312</t>
  </si>
  <si>
    <t>-478.505696450039 50.4337736191871 -935.840284141081</t>
  </si>
  <si>
    <t>-515.59543276394 103.47361232306 -779.793107722253</t>
  </si>
  <si>
    <t>-470.749688926804 242.949824709992 -766.999910686971</t>
  </si>
  <si>
    <t>-386.665834534778 278.936427020761 -463.98004451731</t>
  </si>
  <si>
    <t>-208.91580990017 180.770176262764 -301.467571796901</t>
  </si>
  <si>
    <t>-536.787709715118 43.8385926889569 -773.632484771255</t>
  </si>
  <si>
    <t>-455.853527137426 218.138988341938 -254.316753308242</t>
  </si>
  <si>
    <t>-456.361767272728 204.801581649174 201.18245244096</t>
  </si>
  <si>
    <t>-484.994339489451 161.045832492697 667.902882937884</t>
  </si>
  <si>
    <t>-335.618487930685 148.96516840124 760.013797606271</t>
  </si>
  <si>
    <t>-510.608793746978 32.1154907235524 -228.456618789391</t>
  </si>
  <si>
    <t>-415.616540337324 -23.0079146122252 213.805221628976</t>
  </si>
  <si>
    <t>-591.797764783399 -100.721921774345 642.876348602794</t>
  </si>
  <si>
    <t>-445.691240184827 -153.696918963598 725.278100797953</t>
  </si>
  <si>
    <t>9763-20170724T164317.187569400.bin</t>
  </si>
  <si>
    <t>-483.826283181432 124.502710514346 -242.587942905526</t>
  </si>
  <si>
    <t>-523.463158164157 120.722759387813 -356.966434559959</t>
  </si>
  <si>
    <t>-539.043881088635 111.166490359171 -476.785063002049</t>
  </si>
  <si>
    <t>-543.075422205723 100.108373969337 -585.671760219088</t>
  </si>
  <si>
    <t>-537.138859789192 86.655124799518 -694.201103604948</t>
  </si>
  <si>
    <t>-518.548977240006 65.4622945650937 -843.885009874902</t>
  </si>
  <si>
    <t>-478.918475087265 52.4506242208731 -936.853400944558</t>
  </si>
  <si>
    <t>-516.192222170828 104.678944694177 -780.565067124541</t>
  </si>
  <si>
    <t>-471.099742838689 244.007267848376 -767.105740230499</t>
  </si>
  <si>
    <t>-386.833634151381 277.347049552469 -463.833848429481</t>
  </si>
  <si>
    <t>-209.052484457065 177.562751782852 -302.343740020632</t>
  </si>
  <si>
    <t>-537.356737449265 44.999990693666 -774.744005322235</t>
  </si>
  <si>
    <t>-456.272812408845 217.827942482495 -255.135237680727</t>
  </si>
  <si>
    <t>-456.552643651628 204.798263315951 200.37309409142</t>
  </si>
  <si>
    <t>-484.417556788137 161.786405952584 667.259730770976</t>
  </si>
  <si>
    <t>-335.626274700836 147.813992722926 760.046793362806</t>
  </si>
  <si>
    <t>-511.241450335799 31.2859364500204 -229.228292921743</t>
  </si>
  <si>
    <t>-415.512248097925 -23.7015209421185 212.891643588598</t>
  </si>
  <si>
    <t>-591.958004824376 -100.913122473062 641.961642954085</t>
  </si>
  <si>
    <t>-445.633594051274 -153.401571254985 724.287948793679</t>
  </si>
  <si>
    <t>9763-20170724T164317.220660000.bin</t>
  </si>
  <si>
    <t>-484.030359335331 124.106075949768 -242.850740836428</t>
  </si>
  <si>
    <t>-523.694532949219 120.355203273946 -357.220741249933</t>
  </si>
  <si>
    <t>-539.278478343856 110.93038421966 -477.049308219691</t>
  </si>
  <si>
    <t>-543.301583166999 100.034245799894 -585.952594758385</t>
  </si>
  <si>
    <t>-537.344248730036 86.7870431799967 -694.506143375956</t>
  </si>
  <si>
    <t>-518.711966643324 65.9271169905491 -844.231669576622</t>
  </si>
  <si>
    <t>-479.056258649537 53.0604384434588 -937.209368216822</t>
  </si>
  <si>
    <t>-516.409072186936 105.015055373864 -780.830095078645</t>
  </si>
  <si>
    <t>-471.372948867236 244.337605060934 -767.084342465936</t>
  </si>
  <si>
    <t>-387.082387633512 276.691891725768 -463.712517221708</t>
  </si>
  <si>
    <t>-208.816899386174 177.056265660515 -302.665220291873</t>
  </si>
  <si>
    <t>-537.503300277256 45.2990148107739 -775.135330883362</t>
  </si>
  <si>
    <t>-456.54505600999 217.413512579684 -255.308409535185</t>
  </si>
  <si>
    <t>-456.633317795393 204.498845021893 200.203188569347</t>
  </si>
  <si>
    <t>-484.436059932578 161.713384001634 667.238151345884</t>
  </si>
  <si>
    <t>-335.667559579478 147.660139098478 760.049485242332</t>
  </si>
  <si>
    <t>-511.348616941804 30.8569133904899 -229.593019720036</t>
  </si>
  <si>
    <t>-415.686410375557 -23.947041780272 212.564120424253</t>
  </si>
  <si>
    <t>-592.053029065212 -100.885205542901 641.647267533209</t>
  </si>
  <si>
    <t>-445.726717523755 -153.519879923473 723.876903367007</t>
  </si>
  <si>
    <t>9763-20170724T164317.286472100.bin</t>
  </si>
  <si>
    <t>-484.492356343782 123.292560404056 -243.203823707427</t>
  </si>
  <si>
    <t>-524.094058568056 119.610530917593 -357.597664259728</t>
  </si>
  <si>
    <t>-539.648422091592 110.399143053158 -477.446648234002</t>
  </si>
  <si>
    <t>-543.658397768393 99.7537395648649 -586.375208247741</t>
  </si>
  <si>
    <t>-537.701101663949 86.8137331044406 -694.965822702288</t>
  </si>
  <si>
    <t>-519.081364736304 66.4384334310611 -844.759555585284</t>
  </si>
  <si>
    <t>-479.357970471981 53.7377858561392 -937.731210055626</t>
  </si>
  <si>
    <t>-516.803703764948 105.331219001641 -781.237240604403</t>
  </si>
  <si>
    <t>-471.874417280363 244.634481935185 -767.106811886753</t>
  </si>
  <si>
    <t>-387.182865463862 276.431998252135 -463.787699790877</t>
  </si>
  <si>
    <t>-205.864421836225 182.907759223439 -302.4839675288</t>
  </si>
  <si>
    <t>-537.836352494625 45.5764872156524 -775.72365645361</t>
  </si>
  <si>
    <t>-457.040868217818 216.547996881645 -255.463734798313</t>
  </si>
  <si>
    <t>-456.878504003559 203.926357148351 200.056083135888</t>
  </si>
  <si>
    <t>-484.471417852365 161.855966562101 667.125355044514</t>
  </si>
  <si>
    <t>-335.633083026151 148.339548279574 759.904500264565</t>
  </si>
  <si>
    <t>-511.803341270102 30.2433605501242 -230.191507496324</t>
  </si>
  <si>
    <t>-416.276649859068 -24.630069465923 211.986298022608</t>
  </si>
  <si>
    <t>-592.20672618742 -100.549014875214 641.217010696475</t>
  </si>
  <si>
    <t>-445.865204620083 -153.386806518819 723.289225558933</t>
  </si>
  <si>
    <t>9763-20170724T164317.324575900.bin</t>
  </si>
  <si>
    <t>-484.689953272642 123.111126328666 -243.312655144783</t>
  </si>
  <si>
    <t>-524.314398386774 119.511764009387 -357.701182400063</t>
  </si>
  <si>
    <t>-539.9188458644 110.395544164747 -477.55086175932</t>
  </si>
  <si>
    <t>-543.984685893636 99.8408651043275 -586.486404481299</t>
  </si>
  <si>
    <t>-538.093147126506 86.9963138370703 -695.091835403582</t>
  </si>
  <si>
    <t>-519.574461906745 66.7583339284939 -844.916667944539</t>
  </si>
  <si>
    <t>-479.84092711882 54.0767221491077 -937.886575651333</t>
  </si>
  <si>
    <t>-517.259106302803 105.594602294218 -781.36130148498</t>
  </si>
  <si>
    <t>-472.371769703727 244.910984179648 -767.162161016024</t>
  </si>
  <si>
    <t>-387.554974177786 276.22441932964 -463.827665981233</t>
  </si>
  <si>
    <t>-203.912867719856 187.204908935567 -302.603791585371</t>
  </si>
  <si>
    <t>-538.277739639156 45.8314367432416 -775.886488245022</t>
  </si>
  <si>
    <t>-457.196664889087 216.292492109615 -255.505813151276</t>
  </si>
  <si>
    <t>-456.886766584375 203.748725178865 200.01611211617</t>
  </si>
  <si>
    <t>-484.510133633457 161.861626826158 667.123347162261</t>
  </si>
  <si>
    <t>-335.644599787856 148.313397473284 759.854139092253</t>
  </si>
  <si>
    <t>-512.105850122587 30.0824503955766 -230.381906718961</t>
  </si>
  <si>
    <t>-416.463011652391 -24.7990615851886 211.769800661524</t>
  </si>
  <si>
    <t>-592.257361135011 -100.401179605022 641.037091982807</t>
  </si>
  <si>
    <t>-446.089242534963 -153.787200520149 723.063470358331</t>
  </si>
  <si>
    <t>9763-20170724T164317.390757200.bin</t>
  </si>
  <si>
    <t>-485.070786255521 122.408251689288 -243.404675787797</t>
  </si>
  <si>
    <t>-524.71967910232 118.954532027305 -357.789245364104</t>
  </si>
  <si>
    <t>-540.426840891251 109.887638716486 -477.629331111885</t>
  </si>
  <si>
    <t>-544.616450078749 99.3425307259198 -586.56090486481</t>
  </si>
  <si>
    <t>-538.878624833882 86.4753927754047 -695.17214265615</t>
  </si>
  <si>
    <t>-520.602816275647 66.1748567400953 -845.018239728232</t>
  </si>
  <si>
    <t>-480.8310712522 53.4135034370938 -937.961022617361</t>
  </si>
  <si>
    <t>-518.182148816684 105.036890031825 -781.482454749445</t>
  </si>
  <si>
    <t>-473.595762961609 244.475257888927 -767.511219355561</t>
  </si>
  <si>
    <t>-388.01987507096 275.959286972889 -464.407668383117</t>
  </si>
  <si>
    <t>-199.268080716891 197.300527241319 -303.697862389923</t>
  </si>
  <si>
    <t>-539.196445457199 45.2774985118391 -775.949482582838</t>
  </si>
  <si>
    <t>-457.492340386422 215.469171525955 -255.459010169547</t>
  </si>
  <si>
    <t>-457.00157738622 202.984685815138 200.064372729322</t>
  </si>
  <si>
    <t>-484.811939789545 161.126339325264 667.282699028569</t>
  </si>
  <si>
    <t>-335.674747307749 148.654099332413 759.727524290389</t>
  </si>
  <si>
    <t>-512.483949851406 29.3649914809211 -230.651868054623</t>
  </si>
  <si>
    <t>-416.993497954234 -25.7125888292506 211.508423286375</t>
  </si>
  <si>
    <t>-592.426693345186 -100.905193214593 640.89928761404</t>
  </si>
  <si>
    <t>-445.725612482859 -153.077863262878 722.754615058445</t>
  </si>
  <si>
    <t>9763-20170724T164317.423843900.bin</t>
  </si>
  <si>
    <t>-485.232025157047 122.302199404029 -243.312575365106</t>
  </si>
  <si>
    <t>-524.873238889314 118.871099057518 -357.700470169856</t>
  </si>
  <si>
    <t>-540.613585973052 109.751418430993 -477.532242990732</t>
  </si>
  <si>
    <t>-544.849944912665 99.1306467179996 -586.454837920916</t>
  </si>
  <si>
    <t>-539.175029357491 86.1614019187066 -695.056986316626</t>
  </si>
  <si>
    <t>-521.003457836643 65.693086537497 -844.893023782293</t>
  </si>
  <si>
    <t>-481.199859997127 52.8273656552092 -937.807614171101</t>
  </si>
  <si>
    <t>-518.522502925668 104.620789565844 -781.399802148182</t>
  </si>
  <si>
    <t>-473.980812513788 244.098792704381 -767.742711234821</t>
  </si>
  <si>
    <t>-388.366855642851 276.443709103681 -464.740557855271</t>
  </si>
  <si>
    <t>-198.107674543457 200.356582731709 -304.571149005189</t>
  </si>
  <si>
    <t>-539.565206050819 44.8785333054107 -775.790747741862</t>
  </si>
  <si>
    <t>-457.593156934657 215.382225104181 -255.342424343204</t>
  </si>
  <si>
    <t>-457.063826424257 202.939734783293 200.182128964768</t>
  </si>
  <si>
    <t>-485.011884406421 161.142118886399 667.473855015709</t>
  </si>
  <si>
    <t>-335.762297289304 148.130188537231 759.662586757916</t>
  </si>
  <si>
    <t>-512.718604947482 29.2643938255364 -230.596311237388</t>
  </si>
  <si>
    <t>-417.174497256437 -25.8903900848063 211.542730425731</t>
  </si>
  <si>
    <t>-592.455964025748 -100.809464790524 640.899225819029</t>
  </si>
  <si>
    <t>-445.729666818018 -153.001232104748 722.697308836669</t>
  </si>
  <si>
    <t>9763-20170724T164317.488782200.bin</t>
  </si>
  <si>
    <t>-485.566725896784 122.418923470223 -243.004141381969</t>
  </si>
  <si>
    <t>-525.351194135716 119.024208599444 -357.343444827087</t>
  </si>
  <si>
    <t>-541.228846045456 109.709773843034 -477.142084535417</t>
  </si>
  <si>
    <t>-545.584440353118 98.8250796170896 -586.03378808317</t>
  </si>
  <si>
    <t>-540.023054590505 85.5087356858706 -694.599792866186</t>
  </si>
  <si>
    <t>-522.002896021836 64.475868172832 -844.376071299136</t>
  </si>
  <si>
    <t>-482.144027924625 51.265977083868 -937.218701912534</t>
  </si>
  <si>
    <t>-519.423804613489 103.631144916044 -781.026722373358</t>
  </si>
  <si>
    <t>-475.058941909754 243.227928396391 -768.061563146157</t>
  </si>
  <si>
    <t>-390.168050867521 278.41696301152 -465.172974152715</t>
  </si>
  <si>
    <t>-199.629372013334 201.692138937247 -305.641292203313</t>
  </si>
  <si>
    <t>-540.528717096924 43.9333663049541 -775.182725277211</t>
  </si>
  <si>
    <t>-457.839466844941 215.52717422362 -255.020051722488</t>
  </si>
  <si>
    <t>-457.452855930243 203.140491976237 200.506171265145</t>
  </si>
  <si>
    <t>-485.34569356551 161.720319154902 667.765654403284</t>
  </si>
  <si>
    <t>-335.823337871323 148.341882694171 759.458578057406</t>
  </si>
  <si>
    <t>-513.217946275181 29.4129577955136 -230.287544470389</t>
  </si>
  <si>
    <t>-417.175218299313 -25.8173325401632 211.734079446624</t>
  </si>
  <si>
    <t>-592.449587117715 -100.93103986339 640.973981430337</t>
  </si>
  <si>
    <t>-445.866287797849 -153.549811819801 722.754824722856</t>
  </si>
  <si>
    <t>9763-20170724T164317.522377800.bin</t>
  </si>
  <si>
    <t>-485.689103981099 122.641637846778 -242.86393853676</t>
  </si>
  <si>
    <t>-525.421801327115 119.221004475379 -357.220546170389</t>
  </si>
  <si>
    <t>-541.30520491295 109.781802151913 -477.008485998649</t>
  </si>
  <si>
    <t>-545.690240402198 98.7473009009887 -585.884018649646</t>
  </si>
  <si>
    <t>-540.182550538466 85.2461104859129 -694.429950364619</t>
  </si>
  <si>
    <t>-522.261831525778 63.9217650283453 -844.176944796066</t>
  </si>
  <si>
    <t>-482.414496320453 50.482735278846 -936.991586032832</t>
  </si>
  <si>
    <t>-519.621581813906 103.193866097188 -780.902472455413</t>
  </si>
  <si>
    <t>-475.32280495926 242.836003146845 -768.302043776555</t>
  </si>
  <si>
    <t>-390.951446338687 279.150046016612 -465.40113890088</t>
  </si>
  <si>
    <t>-201.122082280611 200.833507051956 -305.797261781492</t>
  </si>
  <si>
    <t>-540.760830700579 43.5204398949944 -774.934589266892</t>
  </si>
  <si>
    <t>-457.852773772921 215.729995908753 -254.94231015025</t>
  </si>
  <si>
    <t>-457.609765314026 203.339397324194 200.583833570272</t>
  </si>
  <si>
    <t>-485.434867450447 161.87490710759 667.866399252475</t>
  </si>
  <si>
    <t>-335.872006744094 147.862700044117 759.398329971408</t>
  </si>
  <si>
    <t>-513.367424712295 29.6782707591305 -230.160691252917</t>
  </si>
  <si>
    <t>-417.210639245979 -25.6418910528564 211.824808268033</t>
  </si>
  <si>
    <t>-592.425350690174 -100.67303411103 641.051415967174</t>
  </si>
  <si>
    <t>-445.932900347307 -153.543973105319 722.832391751431</t>
  </si>
  <si>
    <t>9763-20170724T164317.592795100.bin</t>
  </si>
  <si>
    <t>-485.889595650175 122.621549942369 -242.620632834126</t>
  </si>
  <si>
    <t>-525.622515569757 119.24469003935 -356.978301297413</t>
  </si>
  <si>
    <t>-541.582250989793 109.614669009419 -476.741077147415</t>
  </si>
  <si>
    <t>-546.067104484262 98.3182532283841 -585.585590657942</t>
  </si>
  <si>
    <t>-540.689571175182 84.4701407992018 -694.094435560305</t>
  </si>
  <si>
    <t>-522.980560381369 62.5792425146828 -843.784646860273</t>
  </si>
  <si>
    <t>-483.146896976483 48.6555453384718 -936.533707584057</t>
  </si>
  <si>
    <t>-520.189705437806 102.069748289677 -780.652968794341</t>
  </si>
  <si>
    <t>-475.931026812511 241.784691011336 -768.592590510066</t>
  </si>
  <si>
    <t>-392.505203804408 279.393589212221 -465.587746559466</t>
  </si>
  <si>
    <t>-204.129828216269 199.003036538265 -305.294007767839</t>
  </si>
  <si>
    <t>-541.442835789687 42.4608336079549 -774.449926065934</t>
  </si>
  <si>
    <t>-457.858095532553 215.448926443092 -254.680026228044</t>
  </si>
  <si>
    <t>-458.046233852248 202.983900243882 200.844122782699</t>
  </si>
  <si>
    <t>-485.844952175912 161.109370139028 668.232727276957</t>
  </si>
  <si>
    <t>-335.829877959508 148.707484170165 759.255678311757</t>
  </si>
  <si>
    <t>-513.800164858568 29.7956072383935 -229.869678367884</t>
  </si>
  <si>
    <t>-417.484008490949 -25.5964923987263 212.072116351403</t>
  </si>
  <si>
    <t>-592.413989093862 -100.702050975486 641.334194897334</t>
  </si>
  <si>
    <t>-445.84498301787 -153.361662048575 723.114495706061</t>
  </si>
  <si>
    <t>9763-20170724T164317.621404300.bin</t>
  </si>
  <si>
    <t>-485.882586798615 122.811208671935 -242.480173240201</t>
  </si>
  <si>
    <t>-525.576420442624 119.447646281332 -356.851933484075</t>
  </si>
  <si>
    <t>-541.573064410193 109.718159865035 -476.601705720364</t>
  </si>
  <si>
    <t>-546.123515563008 98.2860803327173 -585.429252386896</t>
  </si>
  <si>
    <t>-540.844053285175 84.2568236687828 -693.919618553151</t>
  </si>
  <si>
    <t>-523.304942083462 62.0669100839218 -843.585963756332</t>
  </si>
  <si>
    <t>-483.553672755681 47.9033563064309 -936.33410959225</t>
  </si>
  <si>
    <t>-520.394026594698 101.667055828109 -780.528234913189</t>
  </si>
  <si>
    <t>-476.068775832474 241.386937752698 -768.720163871241</t>
  </si>
  <si>
    <t>-393.106859620042 278.971484850758 -465.585009106647</t>
  </si>
  <si>
    <t>-205.310431964198 197.997561090204 -304.905894775737</t>
  </si>
  <si>
    <t>-541.736923455317 42.1035051003126 -774.198293810242</t>
  </si>
  <si>
    <t>-457.716912431804 215.679827954701 -254.604825157203</t>
  </si>
  <si>
    <t>-457.970945896662 203.114750142942 200.916554732535</t>
  </si>
  <si>
    <t>-485.853281337623 161.290704349319 668.185453964975</t>
  </si>
  <si>
    <t>-335.885113839715 148.386692139066 759.215863671697</t>
  </si>
  <si>
    <t>-513.881644312902 30.0273488497397 -229.733385348327</t>
  </si>
  <si>
    <t>-417.646049762372 -25.4335748931881 212.217425251649</t>
  </si>
  <si>
    <t>-592.422717830966 -100.481690876556 641.521067025591</t>
  </si>
  <si>
    <t>-445.935000475288 -153.387221933946 723.288280194975</t>
  </si>
  <si>
    <t>9763-20170724T164317.685074900.bin</t>
  </si>
  <si>
    <t>-485.48520255751 123.012306195735 -242.28765575028</t>
  </si>
  <si>
    <t>-525.262814451959 119.765218331007 -356.633735021775</t>
  </si>
  <si>
    <t>-541.49956324435 109.93143553699 -476.342636911797</t>
  </si>
  <si>
    <t>-546.330407089552 98.3168854522718 -585.138826091747</t>
  </si>
  <si>
    <t>-541.393139036795 84.018730222711 -693.610182011845</t>
  </si>
  <si>
    <t>-524.392497542759 61.3665103850264 -843.269273710094</t>
  </si>
  <si>
    <t>-484.946865702927 46.8126835885414 -936.087504265777</t>
  </si>
  <si>
    <t>-521.165777055339 101.130769494114 -780.330440230683</t>
  </si>
  <si>
    <t>-476.746364679847 240.863153097817 -769.032649888558</t>
  </si>
  <si>
    <t>-394.347590484057 278.76980811228 -465.784026186789</t>
  </si>
  <si>
    <t>-207.345600750291 197.200039405882 -304.480901838621</t>
  </si>
  <si>
    <t>-542.663712333442 41.6480985669609 -773.769188294118</t>
  </si>
  <si>
    <t>-457.081678926716 215.985910403914 -254.486899098077</t>
  </si>
  <si>
    <t>-457.511407660974 203.313625734246 201.031446693892</t>
  </si>
  <si>
    <t>-485.853799494482 161.443426167187 668.274815291993</t>
  </si>
  <si>
    <t>-335.878798907973 148.124274449101 759.23421482323</t>
  </si>
  <si>
    <t>-513.738897949067 30.1932077901066 -229.444605667784</t>
  </si>
  <si>
    <t>-417.568866847668 -25.5272917344766 212.487830662944</t>
  </si>
  <si>
    <t>-592.462284767469 -100.643849437344 641.802415478658</t>
  </si>
  <si>
    <t>-445.83305030489 -153.187846221961 723.549092058745</t>
  </si>
  <si>
    <t>9763-20170724T164317.724182300.bin</t>
  </si>
  <si>
    <t>-485.15511123688 123.257144336666 -242.128126498978</t>
  </si>
  <si>
    <t>-524.933039167346 120.010365883743 -356.473957918497</t>
  </si>
  <si>
    <t>-541.242041471663 110.094733341983 -476.166363205254</t>
  </si>
  <si>
    <t>-546.167973981729 98.37443821848 -584.94699597035</t>
  </si>
  <si>
    <t>-541.354860045765 83.9399321826787 -693.405797767564</t>
  </si>
  <si>
    <t>-524.556181114417 61.0673836063659 -843.054408581297</t>
  </si>
  <si>
    <t>-485.185423444848 46.3182868880041 -935.873442015979</t>
  </si>
  <si>
    <t>-521.201469921783 100.909385134875 -780.171306466516</t>
  </si>
  <si>
    <t>-476.665513157355 240.609614473925 -769.093308531291</t>
  </si>
  <si>
    <t>-394.56544729619 279.115650934246 -465.839227131794</t>
  </si>
  <si>
    <t>-207.916737011859 196.945832731138 -304.431524756197</t>
  </si>
  <si>
    <t>-542.776715411379 41.4661390446331 -773.50776047299</t>
  </si>
  <si>
    <t>-456.626388900992 216.164118464035 -254.373492323986</t>
  </si>
  <si>
    <t>-457.268916062913 203.421414267011 201.142584330102</t>
  </si>
  <si>
    <t>-485.922997857966 161.51685682007 668.380577537353</t>
  </si>
  <si>
    <t>-335.914979191715 147.952544809245 759.249111754978</t>
  </si>
  <si>
    <t>-513.544235966868 30.4446452870045 -229.234504078243</t>
  </si>
  <si>
    <t>-417.367941272919 -25.4177518916163 212.678512816826</t>
  </si>
  <si>
    <t>-592.465026142559 -100.512172358112 641.918851005127</t>
  </si>
  <si>
    <t>-445.959491181796 -153.365231196178 723.687967327333</t>
  </si>
  <si>
    <t>9763-20170724T164317.790100200.bin</t>
  </si>
  <si>
    <t>-484.245387651299 123.27380324071 -241.869530018068</t>
  </si>
  <si>
    <t>-524.119903002857 120.093224457263 -356.183668129742</t>
  </si>
  <si>
    <t>-540.662337485034 110.124376662579 -475.839615579814</t>
  </si>
  <si>
    <t>-545.853236255191 98.3112448741351 -584.597849296143</t>
  </si>
  <si>
    <t>-541.357132384604 83.7420507236862 -693.052304797009</t>
  </si>
  <si>
    <t>-525.050600833817 60.6408309445577 -842.720044530506</t>
  </si>
  <si>
    <t>-485.907464647798 45.5984064860642 -935.588352999934</t>
  </si>
  <si>
    <t>-521.413819389574 100.552871393947 -779.897014374074</t>
  </si>
  <si>
    <t>-476.445271228258 240.152046560582 -769.173772544149</t>
  </si>
  <si>
    <t>-394.416775394256 279.777304658135 -466.044457167772</t>
  </si>
  <si>
    <t>-207.31213249049 198.230746768252 -304.848607301161</t>
  </si>
  <si>
    <t>-543.117704516493 41.1719849941618 -773.096340817896</t>
  </si>
  <si>
    <t>-455.436656655279 216.107149218374 -254.231501664376</t>
  </si>
  <si>
    <t>-456.326483488519 203.296581695819 201.28222719668</t>
  </si>
  <si>
    <t>-485.92730048319 161.298935719295 668.401137189688</t>
  </si>
  <si>
    <t>-335.888367104548 147.995534450971 759.257305881266</t>
  </si>
  <si>
    <t>-512.851941125556 30.5481295705762 -228.881909447533</t>
  </si>
  <si>
    <t>-416.785673239186 -25.4982819124612 213.031746838991</t>
  </si>
  <si>
    <t>-592.459603289756 -100.369900034751 642.071488583506</t>
  </si>
  <si>
    <t>-446.096615699936 -153.5223117368 723.901896009004</t>
  </si>
  <si>
    <t>9763-20170724T164317.822187300.bin</t>
  </si>
  <si>
    <t>-483.718541454807 123.38007019745 -241.723511896501</t>
  </si>
  <si>
    <t>-523.663406923679 120.209205677524 -356.013436338712</t>
  </si>
  <si>
    <t>-540.321715717947 110.214114677259 -475.65100990879</t>
  </si>
  <si>
    <t>-545.634450376312 98.3657621535471 -584.399483677337</t>
  </si>
  <si>
    <t>-541.275816738965 83.7518672586695 -692.853542535912</t>
  </si>
  <si>
    <t>-525.175284374472 60.580646739033 -842.532779528327</t>
  </si>
  <si>
    <t>-486.038856671516 45.437290202092 -935.387515488886</t>
  </si>
  <si>
    <t>-521.436155002633 100.516496242535 -779.731134437092</t>
  </si>
  <si>
    <t>-476.223453567607 240.024640138803 -769.022387791185</t>
  </si>
  <si>
    <t>-393.812438700372 280.075473432624 -466.052693256</t>
  </si>
  <si>
    <t>-206.43987730807 198.714480307573 -305.074655524941</t>
  </si>
  <si>
    <t>-543.16236230082 41.1498447634384 -772.877734858718</t>
  </si>
  <si>
    <t>-454.786497032439 216.23816271497 -254.141712623933</t>
  </si>
  <si>
    <t>-455.71889084573 203.42459632693 201.371744124443</t>
  </si>
  <si>
    <t>-485.935871955326 161.559899021663 668.462235100382</t>
  </si>
  <si>
    <t>-335.937363011864 147.655280424715 759.295158666373</t>
  </si>
  <si>
    <t>-512.465644835764 30.6149605614694 -228.675035923436</t>
  </si>
  <si>
    <t>-416.391715976349 -25.4436685304694 213.235474218356</t>
  </si>
  <si>
    <t>-592.457913976141 -100.326214659864 642.139334362548</t>
  </si>
  <si>
    <t>-446.181326939608 -153.680044068005 723.993164349957</t>
  </si>
  <si>
    <t>9763-20170724T164317.893380300.bin</t>
  </si>
  <si>
    <t>-482.745220773385 123.49663245084 -241.555103328148</t>
  </si>
  <si>
    <t>-522.802547765203 120.345163515385 -355.806139038933</t>
  </si>
  <si>
    <t>-539.63490021231 110.376938804928 -475.421670320213</t>
  </si>
  <si>
    <t>-545.128401013337 98.5565620947013 -584.164266260725</t>
  </si>
  <si>
    <t>-540.972591651281 83.9745760150032 -692.630588437166</t>
  </si>
  <si>
    <t>-525.174971010926 60.8518638252055 -842.34966414559</t>
  </si>
  <si>
    <t>-486.041678226861 45.6118263446113 -935.18983443446</t>
  </si>
  <si>
    <t>-521.289981074446 100.760877416596 -779.539631638484</t>
  </si>
  <si>
    <t>-475.87237272272 240.207882784945 -768.843761110129</t>
  </si>
  <si>
    <t>-391.626821796448 279.04702217113 -466.221129094817</t>
  </si>
  <si>
    <t>-204.401221223093 197.384232372415 -305.224846151455</t>
  </si>
  <si>
    <t>-543.03987377908 41.4050122284214 -772.667462757781</t>
  </si>
  <si>
    <t>-453.781993472981 216.288701577013 -254.037782262544</t>
  </si>
  <si>
    <t>-454.622509800052 203.355539979191 201.472573475002</t>
  </si>
  <si>
    <t>-485.918857440093 161.291105674791 668.436572762103</t>
  </si>
  <si>
    <t>-335.9122613982 147.755041410191 759.311768378734</t>
  </si>
  <si>
    <t>-511.490893312775 30.8304982772955 -228.459976735725</t>
  </si>
  <si>
    <t>-415.857466759815 -25.4219575465477 213.521484748646</t>
  </si>
  <si>
    <t>-592.476386791098 -100.219833525597 642.227354001229</t>
  </si>
  <si>
    <t>-446.213625918049 -153.533144693788 724.132200236893</t>
  </si>
  <si>
    <t>9763-20170724T164317.920954200.bin</t>
  </si>
  <si>
    <t>-482.322318786386 123.536127000285 -241.516840648534</t>
  </si>
  <si>
    <t>-522.389691056365 120.353489349661 -355.763343382856</t>
  </si>
  <si>
    <t>-539.239697811952 110.391155394699 -475.376935411273</t>
  </si>
  <si>
    <t>-544.752241210069 98.5900158197062 -584.120557388746</t>
  </si>
  <si>
    <t>-540.618383377183 84.0405135345286 -692.592159315272</t>
  </si>
  <si>
    <t>-524.854517648748 60.9758837440218 -842.323691578809</t>
  </si>
  <si>
    <t>-485.699275537164 45.7197987712782 -935.152018961003</t>
  </si>
  <si>
    <t>-520.961809130762 100.8628263101 -779.500072229328</t>
  </si>
  <si>
    <t>-475.48617914146 240.307003463679 -768.795285954685</t>
  </si>
  <si>
    <t>-389.990344046009 278.226103880748 -466.406721364953</t>
  </si>
  <si>
    <t>-203.272893170006 195.127275439494 -305.5551924745</t>
  </si>
  <si>
    <t>-542.697273128661 41.4998187462713 -772.644116712915</t>
  </si>
  <si>
    <t>-453.364401407107 216.271362611137 -254.038388573247</t>
  </si>
  <si>
    <t>-454.148927837491 203.376842618184 201.473221571124</t>
  </si>
  <si>
    <t>-485.841859581457 161.311264697891 668.368534853434</t>
  </si>
  <si>
    <t>-335.901947714386 147.656867120987 759.33611988727</t>
  </si>
  <si>
    <t>-511.057987087084 30.871622314413 -228.383005437535</t>
  </si>
  <si>
    <t>-415.554621877237 -25.2010505344228 213.649378085018</t>
  </si>
  <si>
    <t>-592.46777755341 -99.9483135088772 642.238156311219</t>
  </si>
  <si>
    <t>-446.571930614279 -154.143012973938 724.218790019999</t>
  </si>
  <si>
    <t>9763-20170724T164317.987170400.bin</t>
  </si>
  <si>
    <t>-481.712411272093 123.286190976187 -241.494541223178</t>
  </si>
  <si>
    <t>-521.902789748126 120.060924641866 -355.696729365887</t>
  </si>
  <si>
    <t>-538.85010992043 110.112147434849 -475.297599660908</t>
  </si>
  <si>
    <t>-544.437981576116 98.3475480823807 -584.041558589509</t>
  </si>
  <si>
    <t>-540.365563587164 83.8594399953943 -692.523508727736</t>
  </si>
  <si>
    <t>-524.671767011932 60.9066376861741 -842.279636607544</t>
  </si>
  <si>
    <t>-485.4692432442 45.6766614651389 -935.092292869851</t>
  </si>
  <si>
    <t>-520.784931633125 100.758798889619 -779.433703424577</t>
  </si>
  <si>
    <t>-475.593973199444 240.294963580644 -768.722926175187</t>
  </si>
  <si>
    <t>-388.375165788139 276.803302253027 -466.652994939991</t>
  </si>
  <si>
    <t>-203.0828525804 189.593178847264 -306.330874033461</t>
  </si>
  <si>
    <t>-542.44665252605 41.3662795373958 -772.600741567655</t>
  </si>
  <si>
    <t>-452.867806869473 216.04893446139 -254.029295696003</t>
  </si>
  <si>
    <t>-453.552271751909 203.265822890006 201.485628454941</t>
  </si>
  <si>
    <t>-485.797223170236 161.249897295843 668.369267437795</t>
  </si>
  <si>
    <t>-335.909963460196 147.399957386537 759.394060342489</t>
  </si>
  <si>
    <t>-510.440819575501 30.5959137842553 -228.258492534774</t>
  </si>
  <si>
    <t>-415.056064700562 -25.0870013060767 213.848854792134</t>
  </si>
  <si>
    <t>-592.48740826808 -99.983018802675 642.214245263477</t>
  </si>
  <si>
    <t>-446.556307185856 -154.02484290916 724.233174846954</t>
  </si>
  <si>
    <t>9763-20170724T164318.021254700.bin</t>
  </si>
  <si>
    <t>-481.475717089295 123.255445862127 -241.442436942933</t>
  </si>
  <si>
    <t>-521.555069039601 119.974734749224 -355.682094909719</t>
  </si>
  <si>
    <t>-538.450058171034 109.981666759526 -475.286644893107</t>
  </si>
  <si>
    <t>-544.0154436209 98.1850818041666 -584.028165083163</t>
  </si>
  <si>
    <t>-539.945307805272 83.6750018091671 -692.50729983299</t>
  </si>
  <si>
    <t>-524.27961984326 60.7035059256656 -842.263577531866</t>
  </si>
  <si>
    <t>-485.011168341328 45.5189427191745 -935.055820778479</t>
  </si>
  <si>
    <t>-520.41046879392 100.573678590486 -779.427973693773</t>
  </si>
  <si>
    <t>-475.442168824215 240.177571399931 -768.80221674316</t>
  </si>
  <si>
    <t>-388.455541473228 276.919550138827 -466.693710607618</t>
  </si>
  <si>
    <t>-202.939523890142 189.996156292823 -306.474620984248</t>
  </si>
  <si>
    <t>-542.011933657471 41.1615641497446 -772.574279820433</t>
  </si>
  <si>
    <t>-452.638019208053 215.993555426327 -253.994309346791</t>
  </si>
  <si>
    <t>-453.517256570334 203.332734957601 201.523579973617</t>
  </si>
  <si>
    <t>-485.854554698 161.287312006724 668.466208487022</t>
  </si>
  <si>
    <t>-335.947466845039 147.104359909674 759.406908194179</t>
  </si>
  <si>
    <t>-510.134159876494 30.5696008419693 -228.256042058931</t>
  </si>
  <si>
    <t>-414.90198315413 -24.9515902972963 213.904432409174</t>
  </si>
  <si>
    <t>-592.488391863652 -99.8716300959279 642.212094931253</t>
  </si>
  <si>
    <t>-446.770445021652 -154.396622939773 724.290328014436</t>
  </si>
  <si>
    <t>9763-20170724T164318.089478700.bin</t>
  </si>
  <si>
    <t>-481.253762888831 122.847513409231 -241.232159528023</t>
  </si>
  <si>
    <t>-521.188478273906 119.574829106349 -355.522640979293</t>
  </si>
  <si>
    <t>-537.926627698954 109.468865818748 -475.139811981336</t>
  </si>
  <si>
    <t>-543.345633966796 97.5281618684618 -583.873032086327</t>
  </si>
  <si>
    <t>-539.1254099179 82.8359434317441 -692.321930875466</t>
  </si>
  <si>
    <t>-523.247553408574 59.5757733726464 -842.011131096035</t>
  </si>
  <si>
    <t>-483.828405523174 44.4208445661995 -934.744485293462</t>
  </si>
  <si>
    <t>-519.567146815944 99.6013558356798 -779.263140012469</t>
  </si>
  <si>
    <t>-475.29306435951 239.44811962084 -768.810145730259</t>
  </si>
  <si>
    <t>-389.354602001652 277.471130577173 -466.560177123464</t>
  </si>
  <si>
    <t>-204.021088697304 190.011510647894 -306.4216862558</t>
  </si>
  <si>
    <t>-540.978791955898 40.1339919037274 -772.293648620254</t>
  </si>
  <si>
    <t>-452.593549826373 215.608666065443 -253.62310045213</t>
  </si>
  <si>
    <t>-453.59297784147 203.033930082165 201.896948205954</t>
  </si>
  <si>
    <t>-486.270054773243 161.262254835888 668.972438322285</t>
  </si>
  <si>
    <t>-336.024395394532 147.126165367712 759.360016804574</t>
  </si>
  <si>
    <t>-509.775214849801 30.1978532434181 -228.166529446852</t>
  </si>
  <si>
    <t>-415.008432953054 -25.370552077435 214.088028349471</t>
  </si>
  <si>
    <t>-592.565258880501 -100.190753505137 642.383987945358</t>
  </si>
  <si>
    <t>-446.643699451828 -154.09269465894 724.511868572816</t>
  </si>
  <si>
    <t>9763-20170724T164318.121070700.bin</t>
  </si>
  <si>
    <t>-481.23575623127 122.563599352752 -241.100438797166</t>
  </si>
  <si>
    <t>-521.133649435289 119.316233347792 -355.404493282887</t>
  </si>
  <si>
    <t>-537.832346790283 109.154511506586 -475.022414735691</t>
  </si>
  <si>
    <t>-543.215839861344 97.128992186853 -583.748085265776</t>
  </si>
  <si>
    <t>-538.960984997079 82.3166092458904 -692.179377110133</t>
  </si>
  <si>
    <t>-523.037350301741 58.8519986750753 -841.83183063369</t>
  </si>
  <si>
    <t>-483.571657266266 43.6640383326165 -934.539735912183</t>
  </si>
  <si>
    <t>-519.398947711071 98.9710355371259 -779.140856587348</t>
  </si>
  <si>
    <t>-475.315664383923 238.877148767424 -768.864571907223</t>
  </si>
  <si>
    <t>-390.042075832727 277.81034738162 -466.542236853621</t>
  </si>
  <si>
    <t>-205.637297726283 188.155411596878 -306.545691215881</t>
  </si>
  <si>
    <t>-540.767275898923 39.4977346765704 -772.089406312877</t>
  </si>
  <si>
    <t>-452.716064399425 215.293999627394 -253.38302556364</t>
  </si>
  <si>
    <t>-453.672657476009 202.766359784737 202.138469683664</t>
  </si>
  <si>
    <t>-486.46723638942 161.038796587146 669.172797340108</t>
  </si>
  <si>
    <t>-335.994530271232 147.63521766848 759.293919482893</t>
  </si>
  <si>
    <t>-509.603414406917 29.9033875505587 -228.109140689837</t>
  </si>
  <si>
    <t>-415.067703930043 -25.5578108137303 214.208299300976</t>
  </si>
  <si>
    <t>-592.609777739263 -100.373475273145 642.507741005354</t>
  </si>
  <si>
    <t>-446.639540868618 -154.070276338896 724.683451415066</t>
  </si>
  <si>
    <t>9763-20170724T164318.192902700.bin</t>
  </si>
  <si>
    <t>-481.328100122541 122.031736548414 -240.665146753203</t>
  </si>
  <si>
    <t>-521.060796833534 118.778858037667 -355.026521671622</t>
  </si>
  <si>
    <t>-537.781395538352 108.438450996407 -474.626120171892</t>
  </si>
  <si>
    <t>-543.267968424876 96.1694850451761 -583.319397891694</t>
  </si>
  <si>
    <t>-539.202433520069 81.0247742189895 -691.712014063485</t>
  </si>
  <si>
    <t>-523.63324613749 56.9993631281699 -841.312856079389</t>
  </si>
  <si>
    <t>-484.06936381451 41.4712532693525 -933.922542129429</t>
  </si>
  <si>
    <t>-519.761752277578 97.3241610605606 -778.768105183428</t>
  </si>
  <si>
    <t>-475.142777059076 237.101361433447 -768.999293204305</t>
  </si>
  <si>
    <t>-391.415150256357 277.240280783816 -466.402756611013</t>
  </si>
  <si>
    <t>-208.464797613723 184.499411010171 -306.495338488492</t>
  </si>
  <si>
    <t>-541.282557573212 37.9356695108183 -771.470134675833</t>
  </si>
  <si>
    <t>-452.958874155247 214.674710051178 -252.831600357625</t>
  </si>
  <si>
    <t>-454.222785649271 202.276379983794 202.692772645351</t>
  </si>
  <si>
    <t>-487.021443076359 160.512583681004 669.81061490013</t>
  </si>
  <si>
    <t>-336.056669626376 147.762970173632 759.200780653828</t>
  </si>
  <si>
    <t>-509.600434732093 29.3342826211675 -227.805904534728</t>
  </si>
  <si>
    <t>-415.191902827407 -25.9818119957773 214.556849939293</t>
  </si>
  <si>
    <t>-592.624777326349 -100.820689074423 642.734725440585</t>
  </si>
  <si>
    <t>-446.353207016402 -153.442579958166 725.069922888938</t>
  </si>
  <si>
    <t>9763-20170724T164318.223499300.bin</t>
  </si>
  <si>
    <t>-481.340279771018 122.174969925298 -240.386406965719</t>
  </si>
  <si>
    <t>-520.991739370532 118.907951266497 -354.775750089585</t>
  </si>
  <si>
    <t>-537.692427816913 108.445719337897 -474.367449956066</t>
  </si>
  <si>
    <t>-543.188742060326 96.0201825160811 -583.042392033922</t>
  </si>
  <si>
    <t>-539.161908290726 80.6709796501352 -691.407648630981</t>
  </si>
  <si>
    <t>-523.677721072003 56.3100931268327 -840.963120110604</t>
  </si>
  <si>
    <t>-484.102712642487 40.5414102818355 -933.527246596937</t>
  </si>
  <si>
    <t>-519.724452124245 96.7590729827362 -778.50379812806</t>
  </si>
  <si>
    <t>-474.704839471268 236.399871704163 -768.951042076801</t>
  </si>
  <si>
    <t>-391.011109867947 276.836777842536 -466.384665234534</t>
  </si>
  <si>
    <t>-207.47714241398 186.169412874962 -305.957757345419</t>
  </si>
  <si>
    <t>-541.333551464614 37.4189197675914 -771.075143511576</t>
  </si>
  <si>
    <t>-452.942229999008 214.837404852512 -252.55672537422</t>
  </si>
  <si>
    <t>-454.421596492031 202.473100678664 202.967808821284</t>
  </si>
  <si>
    <t>-487.191474905076 160.85578043448 670.015152927012</t>
  </si>
  <si>
    <t>-336.119518320663 147.708252711424 759.166333267311</t>
  </si>
  <si>
    <t>-509.557919516036 29.5583506999788 -227.596782738278</t>
  </si>
  <si>
    <t>-415.25069846624 -25.7115411568196 214.793308833227</t>
  </si>
  <si>
    <t>-592.613457643459 -100.391002741255 642.93698534327</t>
  </si>
  <si>
    <t>-446.782122878837 -154.111390312447 725.343564646342</t>
  </si>
  <si>
    <t>9763-20170724T164318.289809300.bin</t>
  </si>
  <si>
    <t>-480.953722179105 122.555348269461 -240.44322757332</t>
  </si>
  <si>
    <t>-520.722205975168 119.308536803717 -354.792381626781</t>
  </si>
  <si>
    <t>-537.474779911948 108.646048793363 -474.359296981377</t>
  </si>
  <si>
    <t>-542.990483862717 95.9504313166788 -583.001921132619</t>
  </si>
  <si>
    <t>-538.956433482446 80.2430406100251 -691.315800153777</t>
  </si>
  <si>
    <t>-523.436130834333 55.2940619501226 -840.770206535154</t>
  </si>
  <si>
    <t>-483.786120579741 39.0089128636612 -933.213038655038</t>
  </si>
  <si>
    <t>-519.47833846871 95.9817570207053 -778.466542096751</t>
  </si>
  <si>
    <t>-474.270649365189 235.57394434992 -769.192612625188</t>
  </si>
  <si>
    <t>-387.732297646898 274.980077094272 -467.291216380775</t>
  </si>
  <si>
    <t>-198.818578505409 197.123699004252 -306.381109927548</t>
  </si>
  <si>
    <t>-541.128322627842 36.6846300177157 -770.816116968132</t>
  </si>
  <si>
    <t>-452.400112403466 215.283510888567 -252.88749093355</t>
  </si>
  <si>
    <t>-453.8659511137 202.786099892376 202.633527669185</t>
  </si>
  <si>
    <t>-486.494843218728 161.015577791373 669.185279299542</t>
  </si>
  <si>
    <t>-335.904588206462 148.009944944615 759.168177831436</t>
  </si>
  <si>
    <t>-509.296721692616 29.9968047470489 -227.486429243286</t>
  </si>
  <si>
    <t>-415.113649426845 -25.7887342682055 214.865484776434</t>
  </si>
  <si>
    <t>-592.725440340855 -100.526179622176 643.10752392634</t>
  </si>
  <si>
    <t>-446.86293677483 -154.177949165091 725.503675947233</t>
  </si>
  <si>
    <t>9763-20170724T164318.321887900.bin</t>
  </si>
  <si>
    <t>-480.694395247236 123.082848618295 -240.754002805986</t>
  </si>
  <si>
    <t>-520.46477772115 119.829491826816 -355.102442004461</t>
  </si>
  <si>
    <t>-537.090476752745 109.090314166162 -474.679982475638</t>
  </si>
  <si>
    <t>-542.438946680512 96.2976526501461 -583.319727718771</t>
  </si>
  <si>
    <t>-538.186293641919 80.4665961017162 -691.607070107061</t>
  </si>
  <si>
    <t>-522.3107247459 55.3191195119544 -840.991093019872</t>
  </si>
  <si>
    <t>-482.476046626796 38.8475691387112 -933.32134368008</t>
  </si>
  <si>
    <t>-518.501947815678 96.0898460849401 -778.732265790441</t>
  </si>
  <si>
    <t>-473.047865997344 235.609250945287 -769.315985915309</t>
  </si>
  <si>
    <t>-384.664392184108 275.24140109283 -467.979291905856</t>
  </si>
  <si>
    <t>-191.27247278126 205.458195828254 -308.693555061371</t>
  </si>
  <si>
    <t>-540.168290573179 36.8022903847756 -771.054256310024</t>
  </si>
  <si>
    <t>-452.035574346427 215.787966074381 -253.305722630153</t>
  </si>
  <si>
    <t>-453.556884638885 203.232207343824 202.213465984808</t>
  </si>
  <si>
    <t>-486.042218503753 161.270122364639 668.756416761654</t>
  </si>
  <si>
    <t>-335.864054395576 147.488207149298 759.310737996619</t>
  </si>
  <si>
    <t>-509.155851327394 30.5352387067036 -227.685385169566</t>
  </si>
  <si>
    <t>-415.036432123697 -25.4869639659579 214.650094296086</t>
  </si>
  <si>
    <t>-592.752508648165 -100.408404593933 642.986208346899</t>
  </si>
  <si>
    <t>-447.136304427564 -154.67341152976 725.416574552107</t>
  </si>
  <si>
    <t>9763-20170724T164318.390601700.bin</t>
  </si>
  <si>
    <t>-480.592910430163 123.645636035486 -241.525267751222</t>
  </si>
  <si>
    <t>-520.378102325042 120.311535370892 -355.86608672708</t>
  </si>
  <si>
    <t>-536.901270007876 109.266061973112 -475.430080231493</t>
  </si>
  <si>
    <t>-542.109588389135 96.1067172283358 -584.032904438722</t>
  </si>
  <si>
    <t>-537.671405843015 79.821194098391 -692.24525880844</t>
  </si>
  <si>
    <t>-521.493998340151 53.9526873778927 -841.473654484862</t>
  </si>
  <si>
    <t>-481.337218448728 37.0260971435407 -933.581804124336</t>
  </si>
  <si>
    <t>-517.848805733199 95.0366451848822 -779.411270284204</t>
  </si>
  <si>
    <t>-472.24744576221 234.58128449387 -770.330519649277</t>
  </si>
  <si>
    <t>-379.818608285407 274.8198026263 -470.290544571255</t>
  </si>
  <si>
    <t>-181.576526992091 215.307905308532 -312.808853496268</t>
  </si>
  <si>
    <t>-539.455145755718 35.7607686012378 -771.478206859177</t>
  </si>
  <si>
    <t>-451.900798274905 216.564690612594 -254.136277973233</t>
  </si>
  <si>
    <t>-453.293584649976 203.77200089288 201.376750654952</t>
  </si>
  <si>
    <t>-485.245919437268 161.838333354713 668.002801747082</t>
  </si>
  <si>
    <t>-335.729423225287 147.431671267785 759.549281919506</t>
  </si>
  <si>
    <t>-509.176815745715 30.7832348790723 -228.360687139531</t>
  </si>
  <si>
    <t>-415.199426761461 -25.1353320401847 214.018217015457</t>
  </si>
  <si>
    <t>-592.787919481349 -100.434488898876 642.538822343185</t>
  </si>
  <si>
    <t>-447.024208023096 -154.287696319193 724.978337395697</t>
  </si>
  <si>
    <t>9763-20170724T164318.426204700.bin</t>
  </si>
  <si>
    <t>-480.74492211906 123.869107683011 -241.873322372047</t>
  </si>
  <si>
    <t>-520.490524254882 120.493151818193 -356.226782140907</t>
  </si>
  <si>
    <t>-536.909304923865 109.228967509702 -475.784685448758</t>
  </si>
  <si>
    <t>-541.997012153331 95.8040366229812 -584.360682151985</t>
  </si>
  <si>
    <t>-537.413642568981 79.1877046194201 -692.516762956967</t>
  </si>
  <si>
    <t>-521.010488292263 52.7946950279289 -841.628568933727</t>
  </si>
  <si>
    <t>-480.657071746509 35.6313665565474 -933.606954221406</t>
  </si>
  <si>
    <t>-517.513331893721 94.1150743183051 -779.714867115654</t>
  </si>
  <si>
    <t>-472.210206239028 233.742993186831 -771.033813543185</t>
  </si>
  <si>
    <t>-378.242256742171 274.92670421337 -471.600837146055</t>
  </si>
  <si>
    <t>-178.813608740612 217.873544874963 -314.708378057362</t>
  </si>
  <si>
    <t>-539.023461697955 34.8304957669945 -771.587630508191</t>
  </si>
  <si>
    <t>-452.126422346813 216.845711484343 -254.45707962104</t>
  </si>
  <si>
    <t>-453.346569980243 203.93224763082 201.053048216419</t>
  </si>
  <si>
    <t>-485.026653594756 161.918274932846 667.797446651891</t>
  </si>
  <si>
    <t>-335.706395997497 147.303202392474 759.630847026784</t>
  </si>
  <si>
    <t>-509.27019748736 30.9693002525403 -228.714336878654</t>
  </si>
  <si>
    <t>-415.414479212784 -25.0599941322957 213.676286919387</t>
  </si>
  <si>
    <t>-592.835720621813 -100.648689506998 642.330346904971</t>
  </si>
  <si>
    <t>-446.84160029227 -153.926761001126 724.735899900501</t>
  </si>
  <si>
    <t>9763-20170724T164318.488917300.bin</t>
  </si>
  <si>
    <t>-481.10511285886 124.443032403985 -242.253264413835</t>
  </si>
  <si>
    <t>-520.884192780251 120.962982687419 -356.591894739873</t>
  </si>
  <si>
    <t>-537.151292436549 109.330827305014 -476.13524104941</t>
  </si>
  <si>
    <t>-542.025534115688 95.472999470284 -584.666709385646</t>
  </si>
  <si>
    <t>-537.154303009819 78.3279456027322 -692.727694743542</t>
  </si>
  <si>
    <t>-520.277194617909 51.1056077996632 -841.637393918437</t>
  </si>
  <si>
    <t>-479.577837731096 33.5421665448552 -933.387421555228</t>
  </si>
  <si>
    <t>-517.095764752965 92.8101106304313 -779.964566736288</t>
  </si>
  <si>
    <t>-472.216343311448 232.624687809182 -771.923268395174</t>
  </si>
  <si>
    <t>-377.12505625037 276.628461191757 -473.246925731638</t>
  </si>
  <si>
    <t>-176.508742151414 220.614907439138 -317.498372621757</t>
  </si>
  <si>
    <t>-538.393798112319 33.4912275821173 -771.534296799076</t>
  </si>
  <si>
    <t>-452.802180941382 217.606387267538 -254.691878329888</t>
  </si>
  <si>
    <t>-453.751613616661 204.438716723477 200.811513639067</t>
  </si>
  <si>
    <t>-484.893364283619 162.099856120158 667.650841501265</t>
  </si>
  <si>
    <t>-335.690055699615 147.465802257918 759.671056438858</t>
  </si>
  <si>
    <t>-509.276036725552 31.2804301711014 -229.084667341509</t>
  </si>
  <si>
    <t>-415.564572479912 -24.9827967926796 213.306872276854</t>
  </si>
  <si>
    <t>-592.95702435267 -101.146065291368 641.967752188372</t>
  </si>
  <si>
    <t>-446.679788373911 -153.733472384154 724.314891586941</t>
  </si>
  <si>
    <t>9763-20170724T164318.521005100.bin</t>
  </si>
  <si>
    <t>-481.27043348895 124.873089214984 -242.340519709636</t>
  </si>
  <si>
    <t>-521.0169438812 121.2747796694 -356.686870152247</t>
  </si>
  <si>
    <t>-537.229040919776 109.435949124375 -476.217440681352</t>
  </si>
  <si>
    <t>-542.045872748635 95.3556173012252 -584.722757551265</t>
  </si>
  <si>
    <t>-537.111025577513 77.9525408502716 -692.739591491543</t>
  </si>
  <si>
    <t>-520.14058473452 50.3347928464882 -841.565924968166</t>
  </si>
  <si>
    <t>-479.289162992602 32.5463057268848 -933.204831769535</t>
  </si>
  <si>
    <t>-517.032746653532 92.2145864488085 -780.008189656625</t>
  </si>
  <si>
    <t>-472.395575057881 232.10495273732 -772.185945285421</t>
  </si>
  <si>
    <t>-377.2013550473 276.877338568636 -473.656709843009</t>
  </si>
  <si>
    <t>-177.206003837295 219.657333035993 -317.548499174998</t>
  </si>
  <si>
    <t>-538.2662101858 32.8950446375145 -771.421446541884</t>
  </si>
  <si>
    <t>-453.122515563736 218.130226848007 -254.771302522283</t>
  </si>
  <si>
    <t>-454.095274811948 204.896262431953 200.730124392886</t>
  </si>
  <si>
    <t>-484.809225028574 162.323138617878 667.54682098298</t>
  </si>
  <si>
    <t>-335.716053665853 147.133270581952 759.65548706401</t>
  </si>
  <si>
    <t>-509.268299345572 31.6647233853493 -229.154676642392</t>
  </si>
  <si>
    <t>-415.479048720079 -24.6052509897989 213.219464635456</t>
  </si>
  <si>
    <t>-592.944696224809 -100.959785095019 641.764977878816</t>
  </si>
  <si>
    <t>-446.788713614507 -153.850355965998 724.133277561295</t>
  </si>
  <si>
    <t>9763-20170724T164318.587689500.bin</t>
  </si>
  <si>
    <t>-481.678953396869 125.436287429859 -242.504327581214</t>
  </si>
  <si>
    <t>-521.395859223194 121.514313168212 -356.850164531251</t>
  </si>
  <si>
    <t>-537.495405385087 109.330134921603 -476.361453247452</t>
  </si>
  <si>
    <t>-542.182573713415 94.916669642559 -584.828591090883</t>
  </si>
  <si>
    <t>-537.095111773052 77.1517477034029 -692.779367569446</t>
  </si>
  <si>
    <t>-519.893857004008 48.9945418582832 -841.478049198301</t>
  </si>
  <si>
    <t>-478.705451795274 30.8282246307674 -932.891883871636</t>
  </si>
  <si>
    <t>-516.89187338558 91.100737015227 -780.069736870886</t>
  </si>
  <si>
    <t>-472.213899424009 231.002479544937 -772.343031084682</t>
  </si>
  <si>
    <t>-376.582147033836 275.157886981745 -473.861672956289</t>
  </si>
  <si>
    <t>-178.723593191348 214.821023019217 -316.211797588748</t>
  </si>
  <si>
    <t>-538.117917378756 31.8057380280604 -771.297159346853</t>
  </si>
  <si>
    <t>-453.993987363455 218.734500692177 -255.037230366676</t>
  </si>
  <si>
    <t>-455.0734913986 205.257833950978 200.456868193989</t>
  </si>
  <si>
    <t>-484.617378609601 161.976618562201 667.219397761481</t>
  </si>
  <si>
    <t>-335.539559491148 148.290393931688 759.588236754539</t>
  </si>
  <si>
    <t>-509.18675517796 32.1719219278594 -229.275289082629</t>
  </si>
  <si>
    <t>-415.259515490654 -23.6064405724927 213.132001279019</t>
  </si>
  <si>
    <t>-592.936304652187 -100.752914081398 641.408501100514</t>
  </si>
  <si>
    <t>-446.888356390005 -153.910881339154 723.796179275779</t>
  </si>
  <si>
    <t>9763-20170724T164318.623294700.bin</t>
  </si>
  <si>
    <t>-481.904308386157 125.842915661273 -242.588668822084</t>
  </si>
  <si>
    <t>-521.606497211579 121.753168498375 -356.933795571205</t>
  </si>
  <si>
    <t>-537.633615909816 109.393148408191 -476.436602431431</t>
  </si>
  <si>
    <t>-542.235260771564 94.8095233949452 -584.884736253048</t>
  </si>
  <si>
    <t>-537.045541386072 76.8581796753528 -692.799835444124</t>
  </si>
  <si>
    <t>-519.687776197445 48.4207605557556 -841.427013325511</t>
  </si>
  <si>
    <t>-478.324990536265 30.0803136969545 -932.727229200407</t>
  </si>
  <si>
    <t>-516.749695558618 90.642364292852 -780.094915585032</t>
  </si>
  <si>
    <t>-472.083763004824 230.525388487052 -772.413027839776</t>
  </si>
  <si>
    <t>-375.951046121487 273.859110391739 -473.972367626113</t>
  </si>
  <si>
    <t>-180.169693541289 210.764066109063 -314.816102350376</t>
  </si>
  <si>
    <t>-537.986308094952 31.3644675270478 -771.233194026835</t>
  </si>
  <si>
    <t>-454.463071161955 219.356309434422 -255.206584037191</t>
  </si>
  <si>
    <t>-455.359169776648 205.777587383421 200.284819090369</t>
  </si>
  <si>
    <t>-484.438816617964 162.277862706286 667.06589162919</t>
  </si>
  <si>
    <t>-335.551647630737 147.826116558542 759.625425950865</t>
  </si>
  <si>
    <t>-509.183711611514 32.4150805007436 -229.304851342667</t>
  </si>
  <si>
    <t>-415.0137708711 -22.977488312921 213.099263197343</t>
  </si>
  <si>
    <t>-592.945497366531 -100.646409129102 641.234542494942</t>
  </si>
  <si>
    <t>-447.042057094576 -154.12935402931 723.667925200339</t>
  </si>
  <si>
    <t>9763-20170724T164318.689513300.bin</t>
  </si>
  <si>
    <t>-482.402269423012 126.537671546228 -242.810171428334</t>
  </si>
  <si>
    <t>-522.183798595375 122.200815605692 -357.118574963877</t>
  </si>
  <si>
    <t>-538.026469572478 109.610745352205 -476.622088671469</t>
  </si>
  <si>
    <t>-542.356864047658 94.8154505456056 -585.052662899805</t>
  </si>
  <si>
    <t>-536.796254926011 76.6424055099953 -692.912264201262</t>
  </si>
  <si>
    <t>-518.82582966069 47.8813382073437 -841.404132326439</t>
  </si>
  <si>
    <t>-477.112929308928 29.2682184651008 -932.489632900174</t>
  </si>
  <si>
    <t>-516.166506489014 90.2451230502768 -780.157400932836</t>
  </si>
  <si>
    <t>-471.100866729218 230.005063547586 -772.19324042198</t>
  </si>
  <si>
    <t>-374.548847169116 271.343206701628 -473.604642363248</t>
  </si>
  <si>
    <t>-179.690090048683 206.851666325784 -313.876950854117</t>
  </si>
  <si>
    <t>-537.387863530123 30.9693290832379 -771.244703324336</t>
  </si>
  <si>
    <t>-455.441965951586 220.176021525643 -255.432109441441</t>
  </si>
  <si>
    <t>-456.085831872808 206.230260737632 200.048688333963</t>
  </si>
  <si>
    <t>-484.303143297121 162.291953017331 666.895877599605</t>
  </si>
  <si>
    <t>-335.451631787203 148.616104403699 759.630482107698</t>
  </si>
  <si>
    <t>-509.281106124906 32.9729516877581 -229.456186241931</t>
  </si>
  <si>
    <t>-414.923860786614 -22.0737831522721 212.951145833662</t>
  </si>
  <si>
    <t>-592.907310057172 -100.708942478486 640.821441669967</t>
  </si>
  <si>
    <t>-446.801003990608 -153.562791810368 723.301261577577</t>
  </si>
  <si>
    <t>9763-20170724T164318.722610000.bin</t>
  </si>
  <si>
    <t>-482.663347641336 126.815391329047 -242.91119372135</t>
  </si>
  <si>
    <t>-522.287624867875 122.381506481282 -357.270618354244</t>
  </si>
  <si>
    <t>-537.956317163053 109.658273663985 -476.782825211857</t>
  </si>
  <si>
    <t>-542.127517240376 94.722513884986 -585.200504744606</t>
  </si>
  <si>
    <t>-536.40906698765 76.3859442329883 -693.023997612796</t>
  </si>
  <si>
    <t>-518.223669581454 47.3706028599934 -841.440195876235</t>
  </si>
  <si>
    <t>-476.342699192734 28.5368012382343 -932.403267656203</t>
  </si>
  <si>
    <t>-515.638120057233 89.8342465452245 -780.259546611328</t>
  </si>
  <si>
    <t>-470.486129549842 229.565565935038 -772.311877719669</t>
  </si>
  <si>
    <t>-374.046141599357 270.383774520062 -473.615647285588</t>
  </si>
  <si>
    <t>-179.398375655565 205.180133580341 -313.919646971546</t>
  </si>
  <si>
    <t>-536.902152097462 30.5836953980717 -771.281706775911</t>
  </si>
  <si>
    <t>-455.783171908885 220.489882183316 -255.542576998932</t>
  </si>
  <si>
    <t>-456.394878524584 206.45936061213 199.935684085308</t>
  </si>
  <si>
    <t>-484.224396637067 162.294129013855 666.769333906545</t>
  </si>
  <si>
    <t>-335.459776384154 148.494205782585 759.624909198383</t>
  </si>
  <si>
    <t>-509.309468465988 33.2273945683611 -229.672719017856</t>
  </si>
  <si>
    <t>-415.051037021956 -21.4725218391153 212.798692702443</t>
  </si>
  <si>
    <t>-592.886246702369 -100.676586895575 640.657063580769</t>
  </si>
  <si>
    <t>-447.010839162846 -154.018966994242 723.231087550337</t>
  </si>
  <si>
    <t>9763-20170724T164318.789293700.bin</t>
  </si>
  <si>
    <t>-483.005424303397 127.306314285907 -243.097551494729</t>
  </si>
  <si>
    <t>-522.565430220011 122.882906471657 -357.47963758521</t>
  </si>
  <si>
    <t>-538.011801355128 109.92602685579 -476.995741778754</t>
  </si>
  <si>
    <t>-541.922574730555 94.6740437450267 -585.37900247721</t>
  </si>
  <si>
    <t>-535.889509680028 75.9140228800722 -693.112492967985</t>
  </si>
  <si>
    <t>-517.217289338192 46.1974956361074 -841.32955142947</t>
  </si>
  <si>
    <t>-474.997118752155 26.8096729396279 -932.01885338742</t>
  </si>
  <si>
    <t>-514.749585793897 88.9225125009756 -780.32625063063</t>
  </si>
  <si>
    <t>-469.041995010374 228.482242184874 -772.705246680509</t>
  </si>
  <si>
    <t>-373.060451223044 268.930914417362 -473.811211714822</t>
  </si>
  <si>
    <t>-178.324688211406 204.062265769454 -314.086266535991</t>
  </si>
  <si>
    <t>-536.208819568006 29.7696801254201 -771.169989523299</t>
  </si>
  <si>
    <t>-456.070450322562 221.246587177499 -255.677835660384</t>
  </si>
  <si>
    <t>-456.659041323871 206.870065051255 199.789676079426</t>
  </si>
  <si>
    <t>-484.109030679095 162.863214740824 666.671847252577</t>
  </si>
  <si>
    <t>-335.498469605587 148.098190980538 759.625632204128</t>
  </si>
  <si>
    <t>-509.826047327941 33.4771646650212 -229.821373044608</t>
  </si>
  <si>
    <t>-415.333890220928 -21.168668602651 212.606829433134</t>
  </si>
  <si>
    <t>-592.866962654859 -101.088074682581 640.421522939912</t>
  </si>
  <si>
    <t>-446.618079572379 -153.284830705441 723.066932385429</t>
  </si>
  <si>
    <t>9763-20170724T164318.821880100.bin</t>
  </si>
  <si>
    <t>-483.131394318505 127.529547428592 -243.15077075854</t>
  </si>
  <si>
    <t>-522.641082337779 123.066482144606 -357.548675237289</t>
  </si>
  <si>
    <t>-537.967759266924 109.988024981733 -477.066971316184</t>
  </si>
  <si>
    <t>-541.745718081405 94.5869229107931 -585.433882837218</t>
  </si>
  <si>
    <t>-535.558578233402 75.6356865403152 -693.125081323011</t>
  </si>
  <si>
    <t>-516.653826823063 45.6072754508834 -841.249793542845</t>
  </si>
  <si>
    <t>-474.255524486524 25.9449963746379 -931.796767454419</t>
  </si>
  <si>
    <t>-514.198446093228 88.4328249029264 -780.31644910093</t>
  </si>
  <si>
    <t>-468.01880745743 227.834587880473 -772.779681516055</t>
  </si>
  <si>
    <t>-372.183903405371 268.874537219888 -473.919148842626</t>
  </si>
  <si>
    <t>-177.736552112899 203.674033166907 -313.978091043509</t>
  </si>
  <si>
    <t>-535.838734217786 29.355030190329 -771.101933630822</t>
  </si>
  <si>
    <t>-456.069214652787 221.418125544314 -255.75989586595</t>
  </si>
  <si>
    <t>-456.765131916764 207.00452694669 199.706284361149</t>
  </si>
  <si>
    <t>-484.032612746764 162.757365372007 666.503357218599</t>
  </si>
  <si>
    <t>-335.513644319406 148.044848009965 759.61159256965</t>
  </si>
  <si>
    <t>-509.96013976312 33.6678447614085 -229.88115012169</t>
  </si>
  <si>
    <t>-415.383953420918 -20.9671069264682 212.530471686042</t>
  </si>
  <si>
    <t>-592.938307121694 -100.939464116526 640.423060693496</t>
  </si>
  <si>
    <t>-446.952858514264 -153.879832228518 723.061274045013</t>
  </si>
  <si>
    <t>9763-20170724T164318.887128000.bin</t>
  </si>
  <si>
    <t>-483.105608378686 127.944119072267 -243.227403673929</t>
  </si>
  <si>
    <t>-522.546763932389 123.593617820919 -357.653298659959</t>
  </si>
  <si>
    <t>-537.649861114367 110.497335903197 -477.198154469712</t>
  </si>
  <si>
    <t>-541.166770459925 95.0194961743548 -585.562784240268</t>
  </si>
  <si>
    <t>-534.664240009996 75.9280561403445 -693.210753212521</t>
  </si>
  <si>
    <t>-515.270038332323 45.6367520154338 -841.218593108876</t>
  </si>
  <si>
    <t>-472.508332218488 25.4934861588065 -931.488561164119</t>
  </si>
  <si>
    <t>-512.847148542082 88.5132447842283 -780.319812078573</t>
  </si>
  <si>
    <t>-465.132718112909 227.395685438317 -772.659662460484</t>
  </si>
  <si>
    <t>-368.349319934592 268.260101600419 -474.080902369507</t>
  </si>
  <si>
    <t>-173.633457019958 204.399573568557 -313.925847093567</t>
  </si>
  <si>
    <t>-534.855560803915 29.566204456042 -771.139610658933</t>
  </si>
  <si>
    <t>-455.711696158684 221.762691142209 -255.892229271548</t>
  </si>
  <si>
    <t>-456.353066030297 207.192883556796 199.569138376728</t>
  </si>
  <si>
    <t>-483.883156430032 163.002110397039 666.413849591935</t>
  </si>
  <si>
    <t>-335.534477357003 147.616136638302 759.684735983706</t>
  </si>
  <si>
    <t>-510.375076782804 34.2248267024094 -229.837240583801</t>
  </si>
  <si>
    <t>-415.330342254931 -21.2943078703536 212.363883007739</t>
  </si>
  <si>
    <t>-593.120597639943 -100.817876453748 640.374657341529</t>
  </si>
  <si>
    <t>-447.359394452186 -154.283065388765 723.070871489047</t>
  </si>
  <si>
    <t>9763-20170724T164318.920719700.bin</t>
  </si>
  <si>
    <t>-483.252787143624 128.023783634497 -243.199036352078</t>
  </si>
  <si>
    <t>-522.743245651663 123.838385432478 -357.614043535186</t>
  </si>
  <si>
    <t>-537.802690886233 110.819697103946 -477.172704281368</t>
  </si>
  <si>
    <t>-541.242838903519 95.3717241088403 -585.54416646829</t>
  </si>
  <si>
    <t>-534.628188190662 76.2687071030964 -693.18330810278</t>
  </si>
  <si>
    <t>-515.04379603901 45.9169360032148 -841.153676368948</t>
  </si>
  <si>
    <t>-472.135391071733 25.5541385596987 -931.304651108888</t>
  </si>
  <si>
    <t>-512.610627431008 88.7879031535805 -780.251454178708</t>
  </si>
  <si>
    <t>-464.426580691179 227.504682207828 -772.424552374308</t>
  </si>
  <si>
    <t>-366.359076338693 267.777365605984 -474.184724059772</t>
  </si>
  <si>
    <t>-171.461694699198 205.184089221801 -313.750376523509</t>
  </si>
  <si>
    <t>-534.807858078361 29.9054579979302 -771.111316735016</t>
  </si>
  <si>
    <t>-455.680698167123 221.917968107208 -255.820251122493</t>
  </si>
  <si>
    <t>-456.064423657854 207.16703470829 199.635496933393</t>
  </si>
  <si>
    <t>-483.922274429145 162.873314473247 666.451227396161</t>
  </si>
  <si>
    <t>-335.586825245129 147.389062473634 759.726835660765</t>
  </si>
  <si>
    <t>-510.684071859519 34.2871981147289 -229.856495454381</t>
  </si>
  <si>
    <t>-415.50511266114 -21.782645630648 212.246229143919</t>
  </si>
  <si>
    <t>-593.238903919989 -101.183190370343 640.332758398545</t>
  </si>
  <si>
    <t>-447.32075448896 -154.155953115182 723.069014571578</t>
  </si>
  <si>
    <t>9763-20170724T164318.988403900.bin</t>
  </si>
  <si>
    <t>-483.75715538288 128.100472826433 -243.031535628713</t>
  </si>
  <si>
    <t>-523.223224298278 124.012553123676 -357.458449572132</t>
  </si>
  <si>
    <t>-538.030876514088 110.92753234918 -477.041394631351</t>
  </si>
  <si>
    <t>-541.154105125547 95.3478393802173 -585.403609830379</t>
  </si>
  <si>
    <t>-534.138025694854 76.0403916660956 -692.980800521261</t>
  </si>
  <si>
    <t>-513.914494466582 45.3285416529642 -840.790725599869</t>
  </si>
  <si>
    <t>-470.708945326767 24.54738868882 -930.704105777177</t>
  </si>
  <si>
    <t>-511.572890895107 88.2878915079048 -779.947208103832</t>
  </si>
  <si>
    <t>-462.463374743259 226.678590714741 -771.957502630476</t>
  </si>
  <si>
    <t>-363.25462708684 266.793820043739 -474.074067383023</t>
  </si>
  <si>
    <t>-168.302003204652 205.320340272112 -313.274341709918</t>
  </si>
  <si>
    <t>-534.152757891789 29.5473378132015 -770.831497187003</t>
  </si>
  <si>
    <t>-455.711530893259 221.890802499833 -255.687043651203</t>
  </si>
  <si>
    <t>-455.952476070519 207.01656196126 199.764831697999</t>
  </si>
  <si>
    <t>-483.999405823931 162.724114888908 666.47743456023</t>
  </si>
  <si>
    <t>-335.602595979199 147.671472606432 759.726124262738</t>
  </si>
  <si>
    <t>-511.66106367016 34.2732041730242 -229.69140365722</t>
  </si>
  <si>
    <t>-415.730853407655 -22.0977958781453 212.210677782852</t>
  </si>
  <si>
    <t>-593.363176135279 -101.267823042843 640.243789180791</t>
  </si>
  <si>
    <t>-447.479371233688 -154.332292407114 722.982029478271</t>
  </si>
  <si>
    <t>9763-20170724T164319.025506900.bin</t>
  </si>
  <si>
    <t>-484.127339982913 127.964016045362 -242.959615732358</t>
  </si>
  <si>
    <t>-523.513373001295 123.871370781491 -357.414074832854</t>
  </si>
  <si>
    <t>-538.183292383233 110.739186234701 -477.008745203411</t>
  </si>
  <si>
    <t>-541.161298056654 95.0959638183302 -585.365931276732</t>
  </si>
  <si>
    <t>-533.982032286721 75.7027628062829 -692.916918472792</t>
  </si>
  <si>
    <t>-513.515674109892 44.8474537040141 -840.663527106119</t>
  </si>
  <si>
    <t>-470.1738796043 23.9436218264075 -930.4827609615</t>
  </si>
  <si>
    <t>-511.177814404276 87.8318516997852 -779.837595632758</t>
  </si>
  <si>
    <t>-461.674595148949 226.071539687961 -771.828148401833</t>
  </si>
  <si>
    <t>-362.39693144912 266.866621635787 -474.059996707207</t>
  </si>
  <si>
    <t>-167.515922013435 205.424562368197 -313.161523851472</t>
  </si>
  <si>
    <t>-533.964985347384 29.1681125867211 -770.742907345979</t>
  </si>
  <si>
    <t>-455.875597607487 221.67706590765 -255.660820326982</t>
  </si>
  <si>
    <t>-456.257866458599 206.807494049144 199.791175274246</t>
  </si>
  <si>
    <t>-484.08654867659 162.25970044937 666.505302673893</t>
  </si>
  <si>
    <t>-335.611568088085 147.786800334411 759.72127228797</t>
  </si>
  <si>
    <t>-512.165794768301 34.28813558647 -229.624220607028</t>
  </si>
  <si>
    <t>-415.557125922538 -21.9663892585618 212.144829511887</t>
  </si>
  <si>
    <t>-593.359341839546 -100.9843927486 640.142626004576</t>
  </si>
  <si>
    <t>-447.724133937356 -154.530676432295 723.008166289446</t>
  </si>
  <si>
    <t>9763-20170724T164319.089686800.bin</t>
  </si>
  <si>
    <t>-485.06929471229 127.940254180593 -242.994176325536</t>
  </si>
  <si>
    <t>-524.160014912944 123.882973510331 -357.551087041268</t>
  </si>
  <si>
    <t>-538.426592437819 110.768737676246 -477.196577147843</t>
  </si>
  <si>
    <t>-541.002769416632 95.128988145563 -585.564467820007</t>
  </si>
  <si>
    <t>-533.389344221967 75.7245873004641 -693.083556825895</t>
  </si>
  <si>
    <t>-512.291061399896 44.836664317025 -840.734522926615</t>
  </si>
  <si>
    <t>-468.591895183618 23.8069188590298 -930.350941733941</t>
  </si>
  <si>
    <t>-510.040181371245 87.7723151000497 -779.870762322057</t>
  </si>
  <si>
    <t>-459.511230306665 225.602028042502 -771.513640504579</t>
  </si>
  <si>
    <t>-361.651311588063 265.734263845602 -473.186522411224</t>
  </si>
  <si>
    <t>-166.522230115931 204.538540835476 -312.494922381758</t>
  </si>
  <si>
    <t>-533.212588301401 29.2350097818076 -770.936264360841</t>
  </si>
  <si>
    <t>-456.423174617644 221.885113519554 -255.739378848764</t>
  </si>
  <si>
    <t>-457.307428794144 206.980242204219 199.710614847938</t>
  </si>
  <si>
    <t>-484.021574933715 162.884443270089 666.452256807847</t>
  </si>
  <si>
    <t>-335.726647721114 146.896085764598 759.707368977225</t>
  </si>
  <si>
    <t>-513.610447723079 34.132056193404 -229.579460740411</t>
  </si>
  <si>
    <t>-415.697037492723 -21.8927466760019 211.931354486792</t>
  </si>
  <si>
    <t>-593.327977347271 -101.431424180974 639.863347180232</t>
  </si>
  <si>
    <t>-447.634735212165 -154.505963810978 722.930156860343</t>
  </si>
  <si>
    <t>9763-20170724T164319.122778500.bin</t>
  </si>
  <si>
    <t>-485.663454312895 127.897436555128 -243.046472516709</t>
  </si>
  <si>
    <t>-524.539143518467 123.832298996004 -357.676133154969</t>
  </si>
  <si>
    <t>-538.586131314604 110.767873384909 -477.352993581576</t>
  </si>
  <si>
    <t>-540.965221810323 95.1956550846009 -585.735284225865</t>
  </si>
  <si>
    <t>-533.157378314277 75.8806058558105 -693.256383633064</t>
  </si>
  <si>
    <t>-511.793150561485 45.1385712030992 -840.899677530079</t>
  </si>
  <si>
    <t>-467.933021117324 24.1205442723785 -930.440267671297</t>
  </si>
  <si>
    <t>-509.621078736446 88.0027349675265 -779.982667733322</t>
  </si>
  <si>
    <t>-458.982006551167 225.811109840513 -771.302282673538</t>
  </si>
  <si>
    <t>-361.65622616129 264.434738027349 -472.601634466441</t>
  </si>
  <si>
    <t>-166.016411329829 203.233537928233 -312.534376472669</t>
  </si>
  <si>
    <t>-532.871243920938 29.4791555116243 -771.161493342075</t>
  </si>
  <si>
    <t>-456.861333048122 221.8780835611 -255.814310948079</t>
  </si>
  <si>
    <t>-458.001895446037 206.965188516635 199.634937996176</t>
  </si>
  <si>
    <t>-484.007462526922 162.840526951749 666.415203982637</t>
  </si>
  <si>
    <t>-335.713966549412 146.901374483226 759.680858078141</t>
  </si>
  <si>
    <t>-514.244395645073 34.0531310394975 -229.720998852642</t>
  </si>
  <si>
    <t>-416.019751808646 -21.7840979886696 211.74448871637</t>
  </si>
  <si>
    <t>-593.362435088177 -101.637428049162 639.802472226434</t>
  </si>
  <si>
    <t>-447.619327343029 -154.611401293089 722.846024170407</t>
  </si>
  <si>
    <t>9763-20170724T164319.189512300.bin</t>
  </si>
  <si>
    <t>-486.99900662523 127.987341739967 -243.322236610321</t>
  </si>
  <si>
    <t>-525.845173175219 123.865864507882 -357.959983967598</t>
  </si>
  <si>
    <t>-539.610281520897 110.873463889854 -477.677409184463</t>
  </si>
  <si>
    <t>-541.633182646348 95.4122802718638 -586.082798345014</t>
  </si>
  <si>
    <t>-533.37154035142 76.2505801495603 -693.597473610087</t>
  </si>
  <si>
    <t>-511.279642353161 45.7628635400014 -841.186264856381</t>
  </si>
  <si>
    <t>-467.007589322686 24.9440304738243 -930.570537064901</t>
  </si>
  <si>
    <t>-509.462934874583 88.5419949230972 -780.198069862851</t>
  </si>
  <si>
    <t>-458.976386759924 226.337614976912 -770.814267262051</t>
  </si>
  <si>
    <t>-362.7286336376 261.771522609028 -471.369826475687</t>
  </si>
  <si>
    <t>-167.264414672439 198.725126876743 -311.804868081111</t>
  </si>
  <si>
    <t>-532.64628089833 29.9634657103966 -771.567636193732</t>
  </si>
  <si>
    <t>-458.431332179069 221.930381098406 -255.993727455667</t>
  </si>
  <si>
    <t>-459.604558105459 206.933016869571 199.452676944995</t>
  </si>
  <si>
    <t>-484.008165428105 162.372688530168 666.322619891185</t>
  </si>
  <si>
    <t>-335.616831313017 147.333114980374 759.582084652019</t>
  </si>
  <si>
    <t>-515.475019959171 34.1467233054527 -229.978465701165</t>
  </si>
  <si>
    <t>-416.42610549238 -21.8175205574658 211.286723645324</t>
  </si>
  <si>
    <t>-593.375793938082 -101.658577482528 639.62907226299</t>
  </si>
  <si>
    <t>-447.495702827058 -154.284072467661 722.653538395027</t>
  </si>
  <si>
    <t>9763-20170724T164319.222602200.bin</t>
  </si>
  <si>
    <t>-487.73847993309 128.141414547571 -243.34860366686</t>
  </si>
  <si>
    <t>-526.499777116201 123.947896032949 -358.012421749368</t>
  </si>
  <si>
    <t>-540.166268554044 110.955530305561 -477.741235512496</t>
  </si>
  <si>
    <t>-542.096776076829 95.519440379859 -586.15180971965</t>
  </si>
  <si>
    <t>-533.74108315616 76.404490119486 -693.667613722656</t>
  </si>
  <si>
    <t>-511.518158217481 46.0016535852599 -841.254258441435</t>
  </si>
  <si>
    <t>-467.088967793776 25.3215398826796 -930.592670706413</t>
  </si>
  <si>
    <t>-509.805646891196 88.7638234659595 -780.251134385264</t>
  </si>
  <si>
    <t>-459.602432966806 226.672880994326 -770.75976773199</t>
  </si>
  <si>
    <t>-363.981358160076 260.938373657879 -470.978757390889</t>
  </si>
  <si>
    <t>-169.247189528334 196.415827384662 -311.111678435151</t>
  </si>
  <si>
    <t>-532.89664875016 30.1441430654316 -771.652490699317</t>
  </si>
  <si>
    <t>-459.381560441956 222.064895831462 -255.998751737928</t>
  </si>
  <si>
    <t>-460.583970935338 207.015631106446 199.44584638062</t>
  </si>
  <si>
    <t>-484.044667344661 162.24694242561 666.379403724585</t>
  </si>
  <si>
    <t>-335.58041602654 147.544503517312 759.576577655228</t>
  </si>
  <si>
    <t>-515.945904876169 34.3048363416385 -230.056774485381</t>
  </si>
  <si>
    <t>-416.479884819023 -21.7653651241542 211.101125512878</t>
  </si>
  <si>
    <t>-593.376127558763 -101.67953330995 639.50590234772</t>
  </si>
  <si>
    <t>-447.657190008822 -154.569293443749 722.645434324194</t>
  </si>
  <si>
    <t>9763-20170724T164319.286303200.bin</t>
  </si>
  <si>
    <t>-488.759164543022 128.867405191973 -243.279956269148</t>
  </si>
  <si>
    <t>-527.371536728446 124.516563503862 -357.988145322391</t>
  </si>
  <si>
    <t>-540.971214450429 111.462668448985 -477.717791655722</t>
  </si>
  <si>
    <t>-542.877193025108 96.0094416431821 -586.126483174049</t>
  </si>
  <si>
    <t>-534.532854825399 76.9142848111761 -693.646649956778</t>
  </si>
  <si>
    <t>-512.362055420151 46.5756874065847 -841.254301020755</t>
  </si>
  <si>
    <t>-467.731682760546 26.0996825939075 -930.539481101077</t>
  </si>
  <si>
    <t>-510.701445588203 89.3377178948404 -780.249726538336</t>
  </si>
  <si>
    <t>-461.336560094882 227.573150613436 -771.110664134375</t>
  </si>
  <si>
    <t>-367.535473261386 260.198997425751 -470.572606692389</t>
  </si>
  <si>
    <t>-174.45470338869 192.779249481415 -309.897699558283</t>
  </si>
  <si>
    <t>-533.642455075382 30.6614720042945 -771.635394083777</t>
  </si>
  <si>
    <t>-460.822262958135 222.801220237303 -255.978481259195</t>
  </si>
  <si>
    <t>-462.651547642698 207.656511897816 199.460844636555</t>
  </si>
  <si>
    <t>-483.952591694859 162.531241708051 666.354095536803</t>
  </si>
  <si>
    <t>-335.502483950959 147.75098399132 759.561483956483</t>
  </si>
  <si>
    <t>-516.500043711241 35.0866475544886 -229.96455591542</t>
  </si>
  <si>
    <t>-416.393228104982 -21.1955187699362 211.021446280778</t>
  </si>
  <si>
    <t>-593.345313424663 -101.216037523897 639.211195830494</t>
  </si>
  <si>
    <t>-447.891670765345 -154.712825767044 722.426854482477</t>
  </si>
  <si>
    <t>9763-20170724T164319.326414400.bin</t>
  </si>
  <si>
    <t>-489.007690384769 129.177923513674 -243.271216275106</t>
  </si>
  <si>
    <t>-527.499153236822 124.681879784201 -358.014479494209</t>
  </si>
  <si>
    <t>-541.143688273941 111.473411954192 -477.72216830172</t>
  </si>
  <si>
    <t>-543.160844202292 95.8755064261247 -586.107926073798</t>
  </si>
  <si>
    <t>-534.998415211339 76.6294132174532 -693.615241641339</t>
  </si>
  <si>
    <t>-513.152883759663 46.0730541109086 -841.226493065707</t>
  </si>
  <si>
    <t>-468.542687311963 25.5284032986995 -930.505993447603</t>
  </si>
  <si>
    <t>-511.330369223828 88.9152316522321 -780.282559124266</t>
  </si>
  <si>
    <t>-462.334110302551 227.329254993251 -771.779725761055</t>
  </si>
  <si>
    <t>-369.995741289078 260.064016318575 -470.800892475381</t>
  </si>
  <si>
    <t>-178.055130447932 190.398558285516 -309.718416673427</t>
  </si>
  <si>
    <t>-534.307351853038 30.2714836476404 -771.543504785416</t>
  </si>
  <si>
    <t>-461.120539319392 223.08834866263 -256.047521609412</t>
  </si>
  <si>
    <t>-463.646123859181 207.966644716468 199.389182010688</t>
  </si>
  <si>
    <t>-483.816367687395 162.449075723066 666.276803242043</t>
  </si>
  <si>
    <t>-335.306987740726 148.383658027335 759.500355211434</t>
  </si>
  <si>
    <t>-516.731596600945 35.2970674774938 -229.923969901134</t>
  </si>
  <si>
    <t>-416.193165516742 -20.9378828895326 210.969740163417</t>
  </si>
  <si>
    <t>-593.315260428824 -101.314340696462 638.983822372109</t>
  </si>
  <si>
    <t>-447.629080214075 -154.245406859697 722.154433731742</t>
  </si>
  <si>
    <t>9763-20170724T164319.387076200.bin</t>
  </si>
  <si>
    <t>-489.699816561053 129.793039317025 -243.135529414786</t>
  </si>
  <si>
    <t>-527.945363139043 125.029895700144 -357.950202868197</t>
  </si>
  <si>
    <t>-541.712582973097 111.415166141701 -477.598357809841</t>
  </si>
  <si>
    <t>-544.003199799111 95.3789997331059 -585.914622258425</t>
  </si>
  <si>
    <t>-536.2806037889 75.6144017548517 -693.360311307537</t>
  </si>
  <si>
    <t>-515.221087216701 44.2445181346008 -840.915196090108</t>
  </si>
  <si>
    <t>-470.753020788492 23.4369715996705 -930.20481611628</t>
  </si>
  <si>
    <t>-512.936703397221 87.3722409719526 -780.188762020624</t>
  </si>
  <si>
    <t>-464.038463694662 225.847495915706 -772.626137338052</t>
  </si>
  <si>
    <t>-376.490824245884 260.305792895607 -470.410741754926</t>
  </si>
  <si>
    <t>-188.079655413567 184.677942130367 -307.856876375439</t>
  </si>
  <si>
    <t>-536.141809393152 28.8771423665177 -771.064771035624</t>
  </si>
  <si>
    <t>-462.142068229163 223.565992835082 -255.659265170687</t>
  </si>
  <si>
    <t>-465.548228982952 208.155217595823 199.762054938031</t>
  </si>
  <si>
    <t>-484.741164461681 162.242661049707 667.343403417491</t>
  </si>
  <si>
    <t>-335.29422299981 148.462483132935 759.099788851728</t>
  </si>
  <si>
    <t>-517.231874710428 36.1216211937899 -229.89069685859</t>
  </si>
  <si>
    <t>-416.390472018209 -20.280207144755 210.912562030321</t>
  </si>
  <si>
    <t>-593.136008960759 -101.089788725033 638.815456099441</t>
  </si>
  <si>
    <t>-447.325029706781 -153.727536633409 721.953458421258</t>
  </si>
  <si>
    <t>9763-20170724T164319.420165400.bin</t>
  </si>
  <si>
    <t>-490.302978826878 130.022756921883 -242.725294019301</t>
  </si>
  <si>
    <t>-528.407452222761 125.226193729934 -357.585378305502</t>
  </si>
  <si>
    <t>-542.21696746181 111.38105348558 -477.202238638257</t>
  </si>
  <si>
    <t>-544.629725022113 95.0454078728977 -585.471247340416</t>
  </si>
  <si>
    <t>-537.117749230543 74.8832934497055 -692.857964406198</t>
  </si>
  <si>
    <t>-516.446487812428 42.8529891322566 -840.325735120574</t>
  </si>
  <si>
    <t>-472.061416382994 21.7868793348657 -929.596001959957</t>
  </si>
  <si>
    <t>-513.902519872303 86.2158589395423 -779.777346048253</t>
  </si>
  <si>
    <t>-464.938198724578 224.703912244714 -772.858183030019</t>
  </si>
  <si>
    <t>-378.586581255347 260.544409014775 -470.459408057695</t>
  </si>
  <si>
    <t>-191.823531877476 182.306882427449 -307.240294836206</t>
  </si>
  <si>
    <t>-537.283257073263 27.8349874387157 -770.374243733552</t>
  </si>
  <si>
    <t>-463.001264227662 223.675207014744 -254.94537296003</t>
  </si>
  <si>
    <t>-466.6038415806 208.1212347451 200.469506277526</t>
  </si>
  <si>
    <t>-485.676349257286 162.057080016322 668.265913303164</t>
  </si>
  <si>
    <t>-335.346503888266 149.140415253167 758.695959910944</t>
  </si>
  <si>
    <t>-517.536021730418 36.5949445511834 -229.650621739235</t>
  </si>
  <si>
    <t>-417.047948494392 -20.0349565801547 211.204089844721</t>
  </si>
  <si>
    <t>-593.127563878473 -101.018297542768 639.169894553709</t>
  </si>
  <si>
    <t>-447.31844048862 -153.711534969748 722.276083070349</t>
  </si>
  <si>
    <t>9763-20170724T164319.492969900.bin</t>
  </si>
  <si>
    <t>-491.100988602116 130.552647346354 -241.878780406445</t>
  </si>
  <si>
    <t>-528.869991044805 125.790725284445 -356.85113237129</t>
  </si>
  <si>
    <t>-543.104901139956 111.331602860729 -476.345404194346</t>
  </si>
  <si>
    <t>-546.238935409303 94.1488650824098 -584.464676327059</t>
  </si>
  <si>
    <t>-539.795868260432 72.8309596309282 -691.697490688992</t>
  </si>
  <si>
    <t>-520.979049129596 38.8578072468318 -838.978747241762</t>
  </si>
  <si>
    <t>-477.01391575355 16.8061875176225 -928.218712433207</t>
  </si>
  <si>
    <t>-517.313091195468 82.8807595191803 -778.966582391338</t>
  </si>
  <si>
    <t>-467.340127072899 221.119808234653 -774.360761873488</t>
  </si>
  <si>
    <t>-383.553720806354 259.666715339291 -471.573588570241</t>
  </si>
  <si>
    <t>-199.931983307647 174.666813244773 -308.171628034501</t>
  </si>
  <si>
    <t>-541.296684078838 24.8990148244228 -768.656081751144</t>
  </si>
  <si>
    <t>-463.877815814559 223.820470232828 -253.95733545568</t>
  </si>
  <si>
    <t>-467.461047377059 208.008068466656 201.448820339958</t>
  </si>
  <si>
    <t>-486.291993682901 161.611632554074 668.845289576385</t>
  </si>
  <si>
    <t>-335.160063931158 150.205815653105 758.134388226298</t>
  </si>
  <si>
    <t>-518.153504230768 37.3459333964637 -229.142526115997</t>
  </si>
  <si>
    <t>-418.582532451696 -19.9366237047298 211.83597744698</t>
  </si>
  <si>
    <t>-593.077354828458 -100.781293936307 640.074849057067</t>
  </si>
  <si>
    <t>-447.177726041183 -153.318762080098 723.120755615739</t>
  </si>
  <si>
    <t>9763-20170724T164319.522048800.bin</t>
  </si>
  <si>
    <t>-491.301301723803 130.846988413334 -241.614077731714</t>
  </si>
  <si>
    <t>-529.049893543346 126.225385972297 -356.598754543466</t>
  </si>
  <si>
    <t>-543.704760609285 111.416948001148 -475.999448118456</t>
  </si>
  <si>
    <t>-547.408255713698 93.714268220835 -584.016852229813</t>
  </si>
  <si>
    <t>-541.728275518384 71.6703260585615 -691.146020422455</t>
  </si>
  <si>
    <t>-524.175448097193 36.471457499281 -838.295395848156</t>
  </si>
  <si>
    <t>-480.573365265246 13.7366822908553 -927.54216344451</t>
  </si>
  <si>
    <t>-519.771378485037 80.907597122611 -778.638490813339</t>
  </si>
  <si>
    <t>-469.222205729267 218.973622763438 -775.655873724102</t>
  </si>
  <si>
    <t>-387.422210414106 259.729276184559 -472.614835228169</t>
  </si>
  <si>
    <t>-207.221018632048 166.747868678677 -309.752796856012</t>
  </si>
  <si>
    <t>-544.112706043558 23.1841588750896 -767.734348855017</t>
  </si>
  <si>
    <t>-463.797936726648 224.057228117416 -253.693686789138</t>
  </si>
  <si>
    <t>-467.425311867477 208.057448082589 201.705512425434</t>
  </si>
  <si>
    <t>-486.511225324765 161.626050117609 669.109949811105</t>
  </si>
  <si>
    <t>-335.150307863514 150.401221025681 758.033525201899</t>
  </si>
  <si>
    <t>-518.6987404322 37.657778645045 -228.950442198769</t>
  </si>
  <si>
    <t>-419.353368849589 -20.0458088382555 212.023863522568</t>
  </si>
  <si>
    <t>-593.032119309413 -100.830545121298 640.538041335652</t>
  </si>
  <si>
    <t>-447.098664870691 -153.349714756296 723.536043121313</t>
  </si>
  <si>
    <t>9763-20170724T164319.591794000.bin</t>
  </si>
  <si>
    <t>-491.342967331815 131.998565663198 -240.973747426583</t>
  </si>
  <si>
    <t>-529.328822140837 127.75415762876 -355.894830177104</t>
  </si>
  <si>
    <t>-545.075593993272 112.288058587084 -475.072949298057</t>
  </si>
  <si>
    <t>-550.119594969252 93.5870149291219 -582.867513728965</t>
  </si>
  <si>
    <t>-546.132188245113 70.1537134490561 -689.777897471093</t>
  </si>
  <si>
    <t>-531.29423049558 32.628218437992 -836.65086357421</t>
  </si>
  <si>
    <t>-488.638525064935 8.49109578233049 -925.98671988722</t>
  </si>
  <si>
    <t>-525.412190333576 77.8545195623244 -777.719538728423</t>
  </si>
  <si>
    <t>-474.056363197929 215.629847571096 -777.866422436501</t>
  </si>
  <si>
    <t>-398.728698759592 262.898594707011 -474.094169045574</t>
  </si>
  <si>
    <t>-223.48782804504 156.641274395607 -313.962736661579</t>
  </si>
  <si>
    <t>-550.307013881493 20.6096514827036 -765.608653308169</t>
  </si>
  <si>
    <t>-462.953165671389 224.949253193077 -253.178427449477</t>
  </si>
  <si>
    <t>-466.887362008023 208.600112623936 202.205810794961</t>
  </si>
  <si>
    <t>-486.913122366784 161.796115126513 669.537319175231</t>
  </si>
  <si>
    <t>-335.205898882924 150.703399685985 757.885436702789</t>
  </si>
  <si>
    <t>-519.642360153932 39.1904840496387 -228.242203807084</t>
  </si>
  <si>
    <t>-420.868753977712 -20.8048887247545 212.554746806932</t>
  </si>
  <si>
    <t>-593.110530046453 -100.651875379487 641.776451333292</t>
  </si>
  <si>
    <t>-447.088884634329 -153.294699924927 724.540718730453</t>
  </si>
  <si>
    <t>9763-20170724T164319.622395200.bin</t>
  </si>
  <si>
    <t>-491.057381102428 132.889483577582 -240.764229090631</t>
  </si>
  <si>
    <t>-529.190925916031 128.872686897478 -355.644715902814</t>
  </si>
  <si>
    <t>-545.36451988403 113.128580436142 -474.729047143011</t>
  </si>
  <si>
    <t>-550.904251329635 93.9884092690917 -582.422138574917</t>
  </si>
  <si>
    <t>-547.518916491026 69.9409751514909 -689.216952166207</t>
  </si>
  <si>
    <t>-533.624964344978 31.390892958668 -835.916825288757</t>
  </si>
  <si>
    <t>-491.408909202421 6.61656995822983 -925.287008403813</t>
  </si>
  <si>
    <t>-527.24436402017 76.9798672491906 -777.317716644752</t>
  </si>
  <si>
    <t>-475.443026742094 214.550894381415 -778.535590424698</t>
  </si>
  <si>
    <t>-404.756584647888 265.727428344305 -474.281387341332</t>
  </si>
  <si>
    <t>-230.999124622284 154.741266594486 -315.74917465563</t>
  </si>
  <si>
    <t>-552.300816591126 19.9163018727412 -764.695625347389</t>
  </si>
  <si>
    <t>-462.11277967151 225.985797257728 -253.127654606285</t>
  </si>
  <si>
    <t>-466.117476564035 209.361484533787 202.246093495063</t>
  </si>
  <si>
    <t>-486.941729813706 162.619820387723 669.356106475135</t>
  </si>
  <si>
    <t>-335.563629038954 149.419107386896 757.978411642435</t>
  </si>
  <si>
    <t>-519.851424703524 39.9047190433309 -227.932464351313</t>
  </si>
  <si>
    <t>-421.421960931206 -21.3737431224121 212.765004719047</t>
  </si>
  <si>
    <t>-593.215749660763 -100.798439503091 642.371168205802</t>
  </si>
  <si>
    <t>-446.8747052139 -152.865519516847 724.935264031657</t>
  </si>
  <si>
    <t>9763-20170724T164319.689638500.bin</t>
  </si>
  <si>
    <t>-490.118044385485 134.331424013096 -240.676655084734</t>
  </si>
  <si>
    <t>-528.946769953345 130.744163281471 -355.338133222057</t>
  </si>
  <si>
    <t>-546.129599777093 114.693715675532 -474.240312094641</t>
  </si>
  <si>
    <t>-552.695510042931 95.0023334028279 -581.776204052819</t>
  </si>
  <si>
    <t>-550.441385342358 70.1470962420492 -688.415735712989</t>
  </si>
  <si>
    <t>-538.221336707725 30.2241545753097 -834.897268651487</t>
  </si>
  <si>
    <t>-496.811605065608 4.52907208934829 -924.38455378595</t>
  </si>
  <si>
    <t>-531.039761181961 76.306382342465 -776.778652549647</t>
  </si>
  <si>
    <t>-479.299749048062 213.942339579184 -779.605827514324</t>
  </si>
  <si>
    <t>-418.96326568287 269.843602378665 -473.957786830546</t>
  </si>
  <si>
    <t>-245.052163626144 152.513747867041 -320.235045941119</t>
  </si>
  <si>
    <t>-556.216848669627 19.4713176077204 -763.388793778545</t>
  </si>
  <si>
    <t>-460.247208293522 227.2685324594 -253.427343957298</t>
  </si>
  <si>
    <t>-463.113781598676 209.956373426759 201.929352917187</t>
  </si>
  <si>
    <t>-486.068675011942 162.436580974683 668.667240267629</t>
  </si>
  <si>
    <t>-335.396940836283 149.016799814317 758.45282777521</t>
  </si>
  <si>
    <t>-519.783995421067 41.6714765064891 -227.410602733286</t>
  </si>
  <si>
    <t>-421.559403800169 -21.8368771781498 213.016800893126</t>
  </si>
  <si>
    <t>-593.372899713175 -100.237928380006 643.076941707335</t>
  </si>
  <si>
    <t>-447.403364028571 -153.652065670009 725.43782968109</t>
  </si>
  <si>
    <t>9763-20170724T164319.722698500.bin</t>
  </si>
  <si>
    <t>-489.651214380976 134.919128918969 -240.807319733953</t>
  </si>
  <si>
    <t>-528.850616828337 131.391016945733 -355.34445515381</t>
  </si>
  <si>
    <t>-546.444652657866 115.186180831312 -474.165451027312</t>
  </si>
  <si>
    <t>-553.394011957272 95.2726883938659 -581.636459829877</t>
  </si>
  <si>
    <t>-551.532771073403 70.1165267342735 -688.212886606208</t>
  </si>
  <si>
    <t>-539.867354323581 29.6967502186269 -834.603286091763</t>
  </si>
  <si>
    <t>-498.729786434094 3.69843774699854 -924.128517977639</t>
  </si>
  <si>
    <t>-532.445763096318 75.9677684918701 -776.665298076195</t>
  </si>
  <si>
    <t>-480.987934091242 213.671383658719 -780.094925974685</t>
  </si>
  <si>
    <t>-425.029684754907 270.484031943432 -473.782827114306</t>
  </si>
  <si>
    <t>-250.10969945888 151.507853210145 -322.489241747923</t>
  </si>
  <si>
    <t>-557.612033075994 19.194667553786 -762.995091491458</t>
  </si>
  <si>
    <t>-459.575128028239 227.724951384596 -253.778297320813</t>
  </si>
  <si>
    <t>-461.596953199672 210.11906339804 201.571691720326</t>
  </si>
  <si>
    <t>-485.396491221936 162.286263964229 668.085090922191</t>
  </si>
  <si>
    <t>-335.272156658555 148.735831394675 758.76343213058</t>
  </si>
  <si>
    <t>-519.473245103332 42.297631349085 -227.337841292445</t>
  </si>
  <si>
    <t>-421.232918331002 -21.7575985814367 213.006878388674</t>
  </si>
  <si>
    <t>-593.401618647008 -99.9421746583386 643.120712583914</t>
  </si>
  <si>
    <t>-447.686638054711 -154.058760415493 725.473898751386</t>
  </si>
  <si>
    <t>9763-20170724T164319.789947100.bin</t>
  </si>
  <si>
    <t>-489.288414335707 135.354425336604 -241.468836696268</t>
  </si>
  <si>
    <t>-529.230052505135 131.751743612182 -355.746988304995</t>
  </si>
  <si>
    <t>-547.673887671463 115.375431092682 -474.415466060839</t>
  </si>
  <si>
    <t>-555.426595372429 95.2680067956262 -581.79538916188</t>
  </si>
  <si>
    <t>-554.398866134316 69.8792059690798 -688.327970334466</t>
  </si>
  <si>
    <t>-543.919005890312 29.0960408508894 -834.707292571964</t>
  </si>
  <si>
    <t>-503.31048439193 2.84722546156237 -924.40072480569</t>
  </si>
  <si>
    <t>-536.057186689163 75.5218521422712 -776.951333536798</t>
  </si>
  <si>
    <t>-485.003138719319 213.357901014105 -781.141170618129</t>
  </si>
  <si>
    <t>-433.351468327212 270.315048845728 -474.100290089745</t>
  </si>
  <si>
    <t>-257.693075966367 147.505532433133 -326.777502294497</t>
  </si>
  <si>
    <t>-561.054788608878 18.7607653524839 -762.926635142786</t>
  </si>
  <si>
    <t>-459.415702826218 228.309366485382 -254.586325550672</t>
  </si>
  <si>
    <t>-459.708377717179 210.176908895524 200.747314705865</t>
  </si>
  <si>
    <t>-484.498733784801 162.328401811808 667.255315222296</t>
  </si>
  <si>
    <t>-335.354295923788 147.709052083431 759.373298951967</t>
  </si>
  <si>
    <t>-519.101267245414 42.4111088010894 -227.74972067294</t>
  </si>
  <si>
    <t>-421.161281369911 -21.4274882879451 212.693246130452</t>
  </si>
  <si>
    <t>-593.284985717955 -99.9331410400091 642.835186127169</t>
  </si>
  <si>
    <t>-447.32162795679 -153.015625519569 725.421288520256</t>
  </si>
  <si>
    <t>9763-20170724T164319.823539500.bin</t>
  </si>
  <si>
    <t>-489.387856514688 135.583362878328 -241.78489529841</t>
  </si>
  <si>
    <t>-529.349641320225 131.845333080829 -356.051646828573</t>
  </si>
  <si>
    <t>-547.904193494407 115.430302366088 -474.697472211993</t>
  </si>
  <si>
    <t>-555.792364349147 95.3292346628031 -582.068662913778</t>
  </si>
  <si>
    <t>-554.93339869484 69.9879591957308 -688.614101354234</t>
  </si>
  <si>
    <t>-544.720127017024 29.3133259914085 -835.042594619589</t>
  </si>
  <si>
    <t>-504.259521328845 3.16165924460299 -924.831219210456</t>
  </si>
  <si>
    <t>-536.812111237508 75.7196399445857 -777.2771440735</t>
  </si>
  <si>
    <t>-486.203389666017 213.660644147478 -781.591802885215</t>
  </si>
  <si>
    <t>-434.553290245772 270.586616244206 -474.544608242564</t>
  </si>
  <si>
    <t>-258.479484032103 146.482653008679 -328.811173612046</t>
  </si>
  <si>
    <t>-561.666189706411 18.901557988244 -763.227845519107</t>
  </si>
  <si>
    <t>-459.504608258312 228.500273698928 -255.028464699895</t>
  </si>
  <si>
    <t>-459.168865577171 210.271420404114 200.30139278108</t>
  </si>
  <si>
    <t>-484.175590109451 162.544190590909 666.875893131848</t>
  </si>
  <si>
    <t>-335.442331821163 147.454895104632 759.581046742461</t>
  </si>
  <si>
    <t>-519.053155032763 42.7111976436809 -228.040660687804</t>
  </si>
  <si>
    <t>-421.314656379369 -21.1422565162763 212.44495853673</t>
  </si>
  <si>
    <t>-593.232684424155 -99.6299641833122 642.697147887629</t>
  </si>
  <si>
    <t>-447.532028510001 -153.26139756139 725.392396139074</t>
  </si>
  <si>
    <t>9763-20170724T164319.891742400.bin</t>
  </si>
  <si>
    <t>-489.472528976495 135.488239290886 -242.505065087316</t>
  </si>
  <si>
    <t>-529.915286371394 131.781897919565 -356.603362831766</t>
  </si>
  <si>
    <t>-548.951775455019 115.767100066666 -475.227701335466</t>
  </si>
  <si>
    <t>-557.25867903172 96.1850134707246 -582.663152140027</t>
  </si>
  <si>
    <t>-556.790178115712 71.5220816631169 -689.370097784286</t>
  </si>
  <si>
    <t>-547.078210414998 31.9573517289127 -836.136225845324</t>
  </si>
  <si>
    <t>-506.975151287 6.32563858603885 -926.234901506815</t>
  </si>
  <si>
    <t>-539.12154909882 77.983498588226 -778.074235936529</t>
  </si>
  <si>
    <t>-489.212908584512 216.275678121848 -781.958444473266</t>
  </si>
  <si>
    <t>-434.330103634636 270.753023012248 -475.028210746881</t>
  </si>
  <si>
    <t>-258.918882297427 145.451141214002 -329.52083078503</t>
  </si>
  <si>
    <t>-563.629376743467 20.9434794926764 -764.319354898217</t>
  </si>
  <si>
    <t>-459.817291335582 228.551049517611 -255.613922753149</t>
  </si>
  <si>
    <t>-458.294730762049 210.249925197292 199.710683751211</t>
  </si>
  <si>
    <t>-483.996292237032 162.998849473446 666.484776628288</t>
  </si>
  <si>
    <t>-335.788904969192 146.449970550512 759.78116100138</t>
  </si>
  <si>
    <t>-518.96468509265 42.4635276547604 -228.620693275846</t>
  </si>
  <si>
    <t>-421.754761050539 -21.0830389697268 212.02618667938</t>
  </si>
  <si>
    <t>-593.226385417716 -99.6828947829473 642.542225142763</t>
  </si>
  <si>
    <t>-447.447236874033 -153.069743476666 725.257350206672</t>
  </si>
  <si>
    <t>9763-20170724T164319.921825500.bin</t>
  </si>
  <si>
    <t>-489.569891813485 135.122898585984 -242.728981486721</t>
  </si>
  <si>
    <t>-530.159231226173 131.442059086675 -356.776167736995</t>
  </si>
  <si>
    <t>-549.368433258777 115.628266669581 -475.399500389479</t>
  </si>
  <si>
    <t>-557.834878785634 96.3037252994169 -582.86914128756</t>
  </si>
  <si>
    <t>-557.523717884769 71.9759934232574 -689.653669101962</t>
  </si>
  <si>
    <t>-548.02273257162 32.958986482964 -836.580110845806</t>
  </si>
  <si>
    <t>-508.047223715022 7.67579352715521 -926.833731462602</t>
  </si>
  <si>
    <t>-540.051171925116 78.7949328268408 -778.369824574815</t>
  </si>
  <si>
    <t>-490.479123729306 217.171660465877 -782.004127589024</t>
  </si>
  <si>
    <t>-433.210245991764 269.645433815854 -475.160528913109</t>
  </si>
  <si>
    <t>-258.196958948264 146.355707454413 -327.471510346166</t>
  </si>
  <si>
    <t>-564.402085205833 21.6506545332931 -764.769630315655</t>
  </si>
  <si>
    <t>-459.923219660834 228.133155559256 -255.823000256567</t>
  </si>
  <si>
    <t>-457.919340726835 209.866202754732 199.501058951531</t>
  </si>
  <si>
    <t>-483.931874860009 162.623236871302 666.267057560694</t>
  </si>
  <si>
    <t>-335.815788799225 146.50036497038 759.782802139644</t>
  </si>
  <si>
    <t>-519.03728243437 42.0991954600535 -228.803408253739</t>
  </si>
  <si>
    <t>-421.868962541013 -21.3522168585693 211.866366762448</t>
  </si>
  <si>
    <t>-593.222429631191 -99.6459432032986 642.488814948951</t>
  </si>
  <si>
    <t>-447.534219592015 -153.181668734162 725.267837369971</t>
  </si>
  <si>
    <t>9763-20170724T164319.988505100.bin</t>
  </si>
  <si>
    <t>-489.414846778219 133.825544040978 -243.014289813323</t>
  </si>
  <si>
    <t>-530.242362378602 130.311183090338 -356.981709749709</t>
  </si>
  <si>
    <t>-549.64160610554 115.152797487353 -475.659608829396</t>
  </si>
  <si>
    <t>-558.24940329534 96.6189299945057 -583.257363302637</t>
  </si>
  <si>
    <t>-558.040502483873 73.2781796708804 -690.262056306817</t>
  </si>
  <si>
    <t>-548.632773441872 35.8345499825961 -837.603388097089</t>
  </si>
  <si>
    <t>-508.772402184646 11.4147512390781 -928.145060688752</t>
  </si>
  <si>
    <t>-540.673216336927 81.0644351034613 -778.919341211649</t>
  </si>
  <si>
    <t>-490.661295818067 219.33155403938 -781.293210988635</t>
  </si>
  <si>
    <t>-429.067487269641 266.140610521052 -474.370934190757</t>
  </si>
  <si>
    <t>-253.919326635233 144.536770330144 -325.449036632504</t>
  </si>
  <si>
    <t>-564.917537615774 23.7399720871444 -765.899566426543</t>
  </si>
  <si>
    <t>-459.660221505996 226.980615825501 -256.103764409318</t>
  </si>
  <si>
    <t>-456.923617006711 209.066229703002 199.230497472304</t>
  </si>
  <si>
    <t>-483.824105544345 162.556005460544 666.023419131152</t>
  </si>
  <si>
    <t>-335.911762239175 145.91064543082 759.769786255874</t>
  </si>
  <si>
    <t>-519.001836132219 40.6127829885253 -229.109001298957</t>
  </si>
  <si>
    <t>-421.943306676354 -22.2752041815008 211.665766996376</t>
  </si>
  <si>
    <t>-593.246332624744 -100.088652873908 642.445277632588</t>
  </si>
  <si>
    <t>-447.508864884224 -153.077527048759 725.489241508609</t>
  </si>
  <si>
    <t>9763-20170724T164320.022111900.bin</t>
  </si>
  <si>
    <t>-489.284810913846 133.162170676593 -243.085661278939</t>
  </si>
  <si>
    <t>-530.193714208992 129.726880487893 -357.026326304175</t>
  </si>
  <si>
    <t>-549.627167018356 114.933100624584 -475.744675414781</t>
  </si>
  <si>
    <t>-558.2415675712 96.8438252717668 -583.417442095848</t>
  </si>
  <si>
    <t>-558.011272315599 74.0614067069558 -690.542443849678</t>
  </si>
  <si>
    <t>-548.540652919968 37.5103191765704 -838.103618505632</t>
  </si>
  <si>
    <t>-508.692812243521 13.5399498493925 -928.770919462988</t>
  </si>
  <si>
    <t>-540.610547669244 82.3857950165692 -779.144146566325</t>
  </si>
  <si>
    <t>-490.336290529628 220.556361255875 -780.824972292301</t>
  </si>
  <si>
    <t>-425.330446126851 265.306021275768 -474.299458122298</t>
  </si>
  <si>
    <t>-250.098235767368 144.381459304022 -324.92423906452</t>
  </si>
  <si>
    <t>-564.85172858373 24.9802686869227 -766.480615555872</t>
  </si>
  <si>
    <t>-459.393603934707 226.462941747333 -256.223479548832</t>
  </si>
  <si>
    <t>-456.343388395395 208.702076207989 199.114769926995</t>
  </si>
  <si>
    <t>-483.702730024563 162.854624434501 665.863827366078</t>
  </si>
  <si>
    <t>-335.938366024308 145.743038830115 759.759560632657</t>
  </si>
  <si>
    <t>-518.936233452416 39.82153894379 -229.197847580734</t>
  </si>
  <si>
    <t>-421.886989673568 -22.6999219794752 211.631159671178</t>
  </si>
  <si>
    <t>-593.278230161373 -100.175260468821 642.448995218663</t>
  </si>
  <si>
    <t>-447.584138708471 -153.070798033423 725.6282640284</t>
  </si>
  <si>
    <t>9763-20170724T164320.087462800.bin</t>
  </si>
  <si>
    <t>-488.959460563975 131.733794418094 -243.136629427335</t>
  </si>
  <si>
    <t>-530.201568781182 128.542183602251 -356.964264049706</t>
  </si>
  <si>
    <t>-549.83288351184 114.505858953617 -475.741963360326</t>
  </si>
  <si>
    <t>-558.559825021532 97.3063889200283 -583.551401959891</t>
  </si>
  <si>
    <t>-558.368150263633 75.6160983460806 -690.902825658986</t>
  </si>
  <si>
    <t>-548.867094929843 40.7902878268937 -838.878978906614</t>
  </si>
  <si>
    <t>-508.986113907616 17.6311658749597 -929.74220562748</t>
  </si>
  <si>
    <t>-540.905890291996 84.957522963109 -779.3911205207</t>
  </si>
  <si>
    <t>-489.903118914099 222.877848469157 -779.626707859194</t>
  </si>
  <si>
    <t>-417.96752675576 261.942509226212 -473.873005997727</t>
  </si>
  <si>
    <t>-242.151418223916 144.159245229942 -322.684695563886</t>
  </si>
  <si>
    <t>-565.236118359632 27.4417797108101 -767.417120319307</t>
  </si>
  <si>
    <t>-458.76240852266 225.003580211485 -256.345285570471</t>
  </si>
  <si>
    <t>-455.061971973861 207.724711819775 199.00667742527</t>
  </si>
  <si>
    <t>-483.655938591506 162.607190682437 665.744707609494</t>
  </si>
  <si>
    <t>-335.997522401611 145.518333628832 759.810990606935</t>
  </si>
  <si>
    <t>-519.07576788111 38.5779932372916 -229.141110323961</t>
  </si>
  <si>
    <t>-421.520014499367 -23.8584917431701 211.588156208328</t>
  </si>
  <si>
    <t>-593.355982433689 -100.042606184447 642.477537535218</t>
  </si>
  <si>
    <t>-447.952689379199 -153.190603184807 726.004180503629</t>
  </si>
  <si>
    <t>9763-20170724T164320.126068700.bin</t>
  </si>
  <si>
    <t>-488.791029307856 131.049856541271 -243.151842987339</t>
  </si>
  <si>
    <t>-530.15606945125 128.026446354463 -356.939334972975</t>
  </si>
  <si>
    <t>-549.8347439362 114.320490856286 -475.747880687967</t>
  </si>
  <si>
    <t>-558.569018412682 97.4848378979339 -583.61408400953</t>
  </si>
  <si>
    <t>-558.346445999461 76.2231006223634 -691.051213244184</t>
  </si>
  <si>
    <t>-548.760081053972 42.0598640725287 -839.176034341825</t>
  </si>
  <si>
    <t>-508.832980920218 19.2592991223187 -930.109861057518</t>
  </si>
  <si>
    <t>-540.798013808936 85.9465971258944 -779.481225684555</t>
  </si>
  <si>
    <t>-489.462035470082 223.760897735461 -779.097612279215</t>
  </si>
  <si>
    <t>-414.235344860262 260.292835704885 -473.823003723858</t>
  </si>
  <si>
    <t>-238.28105854899 144.392561962567 -321.345895283591</t>
  </si>
  <si>
    <t>-565.205421905667 28.405467165588 -767.78969060687</t>
  </si>
  <si>
    <t>-458.393962684057 224.321462625405 -256.339064362989</t>
  </si>
  <si>
    <t>-454.537088568181 207.267822061591 199.020077910396</t>
  </si>
  <si>
    <t>-483.648335918634 162.816936393105 665.749218271625</t>
  </si>
  <si>
    <t>-336.01061083974 145.616923144831 759.827777833453</t>
  </si>
  <si>
    <t>-519.084060331216 37.9015877135565 -229.185032050166</t>
  </si>
  <si>
    <t>-421.443839387365 -24.5579849671872 211.522236521843</t>
  </si>
  <si>
    <t>-593.469102814375 -100.104781880971 642.522380966063</t>
  </si>
  <si>
    <t>-448.119978629901 -153.352300092151 726.079809936747</t>
  </si>
  <si>
    <t>9763-20170724T164320.188736900.bin</t>
  </si>
  <si>
    <t>-488.414069460368 129.757339573265 -243.119960690052</t>
  </si>
  <si>
    <t>-529.897482646171 127.013445061757 -356.871469685666</t>
  </si>
  <si>
    <t>-549.510261834867 113.843435656575 -475.75148272404</t>
  </si>
  <si>
    <t>-558.104737899994 97.5926953459474 -583.718589151991</t>
  </si>
  <si>
    <t>-557.659194229146 77.0147245593224 -691.288087766774</t>
  </si>
  <si>
    <t>-547.67435594434 43.902922447142 -839.625264503371</t>
  </si>
  <si>
    <t>-507.624519561308 21.7108013845771 -930.655574058978</t>
  </si>
  <si>
    <t>-539.793807707336 87.3336487088623 -779.587074833661</t>
  </si>
  <si>
    <t>-487.352816210993 224.700433233613 -778.099628758933</t>
  </si>
  <si>
    <t>-410.528932066157 259.2367380476 -472.990581259544</t>
  </si>
  <si>
    <t>-234.954559361766 146.959807754581 -317.396180001294</t>
  </si>
  <si>
    <t>-564.390837253034 29.7740445484666 -768.39429291461</t>
  </si>
  <si>
    <t>-457.663659116873 222.999414446504 -256.281603686102</t>
  </si>
  <si>
    <t>-453.615328521732 206.398216661654 199.092609138209</t>
  </si>
  <si>
    <t>-483.696827601348 162.679277516645 665.766987724913</t>
  </si>
  <si>
    <t>-336.102203744072 145.267471783677 759.874171417241</t>
  </si>
  <si>
    <t>-519.018825545417 36.6018196990017 -229.170976136682</t>
  </si>
  <si>
    <t>-421.33288692706 -26.0292212780817 211.501859974697</t>
  </si>
  <si>
    <t>-593.723794458648 -100.209687998033 642.590548843488</t>
  </si>
  <si>
    <t>-448.716389498621 -154.350290544745 726.167677292676</t>
  </si>
  <si>
    <t>9763-20170724T164320.222832500.bin</t>
  </si>
  <si>
    <t>-488.298839737392 128.994990123604 -243.149178415783</t>
  </si>
  <si>
    <t>-529.746299332093 126.35108179765 -356.916175084182</t>
  </si>
  <si>
    <t>-549.227278503091 113.402047230775 -475.842109285846</t>
  </si>
  <si>
    <t>-557.662908197929 97.3976175617506 -583.858410982756</t>
  </si>
  <si>
    <t>-557.018559589261 77.1110836303904 -691.482412914963</t>
  </si>
  <si>
    <t>-546.716336659134 44.4501370681316 -839.897767388224</t>
  </si>
  <si>
    <t>-506.571447920919 22.4963209744314 -930.943935822449</t>
  </si>
  <si>
    <t>-538.94716434162 87.691381402462 -779.708474883513</t>
  </si>
  <si>
    <t>-486.104014447458 224.903005125091 -777.588742687596</t>
  </si>
  <si>
    <t>-408.908730392383 259.597272368388 -472.591341612269</t>
  </si>
  <si>
    <t>-234.012422019236 147.357946464722 -316.208211426471</t>
  </si>
  <si>
    <t>-563.602364880383 30.1118635772688 -768.748617282577</t>
  </si>
  <si>
    <t>-457.449967982871 222.273533678134 -256.293220660498</t>
  </si>
  <si>
    <t>-453.345401938528 205.861115583781 199.087308741406</t>
  </si>
  <si>
    <t>-483.697312699031 162.486767455707 665.725641973785</t>
  </si>
  <si>
    <t>-336.146783681224 145.048231411771 759.896983933337</t>
  </si>
  <si>
    <t>-518.95135071453 35.7579541307587 -229.285788536447</t>
  </si>
  <si>
    <t>-421.421482006664 -26.863684953012 211.42287790377</t>
  </si>
  <si>
    <t>-593.889495855735 -100.367158663957 642.631201809052</t>
  </si>
  <si>
    <t>-448.693796467003 -154.071945240943 726.162692981031</t>
  </si>
  <si>
    <t>9763-20170724T164320.290013400.bin</t>
  </si>
  <si>
    <t>-488.241845781366 127.532020486667 -243.042085823679</t>
  </si>
  <si>
    <t>-529.603242355939 125.074544586302 -356.844559368909</t>
  </si>
  <si>
    <t>-548.770545914758 112.471739628165 -475.858572213762</t>
  </si>
  <si>
    <t>-556.828259731148 96.8424554611913 -583.958816661507</t>
  </si>
  <si>
    <t>-555.712333563912 76.9921042058243 -691.660039138914</t>
  </si>
  <si>
    <t>-544.658154084328 45.000032778575 -840.167114381202</t>
  </si>
  <si>
    <t>-504.200437279176 23.3829322613614 -931.155337462156</t>
  </si>
  <si>
    <t>-537.189678373995 87.9676631680704 -779.744252439299</t>
  </si>
  <si>
    <t>-483.849292966919 224.990583555609 -776.565270731342</t>
  </si>
  <si>
    <t>-406.589199063001 258.513282926014 -471.453441100835</t>
  </si>
  <si>
    <t>-231.355947438113 148.255867043717 -314.040855767773</t>
  </si>
  <si>
    <t>-561.908805771967 30.3433626586841 -769.170459184885</t>
  </si>
  <si>
    <t>-457.323994317712 220.908273884802 -256.181943388046</t>
  </si>
  <si>
    <t>-453.070339474925 204.934200318611 199.212915361623</t>
  </si>
  <si>
    <t>-483.767287444307 162.142585988837 665.81102743698</t>
  </si>
  <si>
    <t>-336.18286360803 145.037991095394 759.990536192948</t>
  </si>
  <si>
    <t>-518.973705940419 34.2184603160346 -229.233251934773</t>
  </si>
  <si>
    <t>-421.515074519196 -28.599419765547 211.463206493621</t>
  </si>
  <si>
    <t>-594.364783247949 -100.949211971979 642.766407261464</t>
  </si>
  <si>
    <t>-448.91282058951 -154.062155665281 726.230396007182</t>
  </si>
  <si>
    <t>9763-20170724T164320.322098700.bin</t>
  </si>
  <si>
    <t>-488.17841638672 127.329787315369 -243.064045840188</t>
  </si>
  <si>
    <t>-529.592732916071 124.898738663448 -356.847843472747</t>
  </si>
  <si>
    <t>-548.684767474402 112.369503014284 -475.8819215805</t>
  </si>
  <si>
    <t>-556.621166472791 96.8240198436584 -584.00299039376</t>
  </si>
  <si>
    <t>-555.330775476699 77.0738477623208 -691.720818655816</t>
  </si>
  <si>
    <t>-543.980087443511 45.2376513417883 -840.238883184494</t>
  </si>
  <si>
    <t>-503.36502071385 23.7048993935492 -931.176994089418</t>
  </si>
  <si>
    <t>-536.634249901034 88.1426300672236 -779.756446785789</t>
  </si>
  <si>
    <t>-483.22926855471 225.097148628837 -776.104111665056</t>
  </si>
  <si>
    <t>-406.01327351199 258.421713700957 -470.959390904236</t>
  </si>
  <si>
    <t>-230.45608915082 149.173980580568 -313.204255937075</t>
  </si>
  <si>
    <t>-561.370462333087 30.5057083037151 -769.291955830646</t>
  </si>
  <si>
    <t>-457.262536501844 220.902022036459 -256.183205168088</t>
  </si>
  <si>
    <t>-453.128158214437 205.117812817148 199.219372530134</t>
  </si>
  <si>
    <t>-483.640233740787 162.98932831028 665.794752242707</t>
  </si>
  <si>
    <t>-336.264973193885 144.372506605112 760.015007175536</t>
  </si>
  <si>
    <t>-518.970414658422 33.8998891520357 -229.253019585604</t>
  </si>
  <si>
    <t>-421.538992109267 -29.0627646098814 211.428802481759</t>
  </si>
  <si>
    <t>-594.548202532229 -101.047442495603 642.721561608214</t>
  </si>
  <si>
    <t>-449.211281997701 -154.562069813615 726.12945420792</t>
  </si>
  <si>
    <t>9763-20170724T164320.385824400.bin</t>
  </si>
  <si>
    <t>-488.381900417255 126.672987833671 -243.085986527199</t>
  </si>
  <si>
    <t>-529.51193841303 124.185894956378 -356.971573617376</t>
  </si>
  <si>
    <t>-548.10406494246 111.711375209552 -476.090433312355</t>
  </si>
  <si>
    <t>-555.503178786977 96.259689385577 -584.263233471562</t>
  </si>
  <si>
    <t>-553.592854919909 76.647887052627 -691.997060229637</t>
  </si>
  <si>
    <t>-541.298041991555 45.0505061219189 -840.490899357034</t>
  </si>
  <si>
    <t>-500.176462801494 23.6817684563612 -931.239950513978</t>
  </si>
  <si>
    <t>-534.364790605457 87.8691504772612 -779.898714338759</t>
  </si>
  <si>
    <t>-480.739642021854 224.745103098915 -775.443559529196</t>
  </si>
  <si>
    <t>-404.276081524599 257.752318564906 -470.074930115534</t>
  </si>
  <si>
    <t>-226.053696206831 152.74164222854 -312.430832967361</t>
  </si>
  <si>
    <t>-559.111489241428 30.1935441726526 -769.675197832846</t>
  </si>
  <si>
    <t>-457.515482833273 220.055353831232 -256.208801260346</t>
  </si>
  <si>
    <t>-453.643815849653 204.609441780646 199.207526663435</t>
  </si>
  <si>
    <t>-483.735263935959 162.42402564501 665.852979442065</t>
  </si>
  <si>
    <t>-336.244277179273 144.439511950344 760.014946790249</t>
  </si>
  <si>
    <t>-519.062565764061 33.4321098421113 -229.38072112284</t>
  </si>
  <si>
    <t>-421.624564967034 -29.9676271691834 211.237010743637</t>
  </si>
  <si>
    <t>-594.787481063676 -100.836717850232 642.505539522603</t>
  </si>
  <si>
    <t>-449.596197516839 -155.03770582762 725.723674122824</t>
  </si>
  <si>
    <t>9763-20170724T164320.425935600.bin</t>
  </si>
  <si>
    <t>-488.545252322437 126.398197663484 -243.170948756191</t>
  </si>
  <si>
    <t>-529.673558729286 123.905941889633 -357.057081220477</t>
  </si>
  <si>
    <t>-548.090558888092 111.411215771722 -476.20099378706</t>
  </si>
  <si>
    <t>-555.259805192956 95.9354001964438 -584.385757730232</t>
  </si>
  <si>
    <t>-553.049616110355 76.2942282401982 -692.108574747817</t>
  </si>
  <si>
    <t>-540.267018776205 44.6518658133645 -840.551771442117</t>
  </si>
  <si>
    <t>-498.893913689841 23.2809711640226 -931.18578936653</t>
  </si>
  <si>
    <t>-533.559607173476 87.499590669611 -779.954604202124</t>
  </si>
  <si>
    <t>-479.95631188628 224.352973951326 -775.202456412216</t>
  </si>
  <si>
    <t>-403.599060507803 257.433013655793 -469.815029094847</t>
  </si>
  <si>
    <t>-224.046947431826 154.323748601272 -312.425092704002</t>
  </si>
  <si>
    <t>-558.286248394954 29.8056822482989 -769.785712372669</t>
  </si>
  <si>
    <t>-457.766035112471 219.727527455057 -256.247269261527</t>
  </si>
  <si>
    <t>-453.900654492566 204.459911652823 199.175250026558</t>
  </si>
  <si>
    <t>-483.772208100657 162.274967110827 665.872318950827</t>
  </si>
  <si>
    <t>-336.217086900233 144.630855904188 759.998161263082</t>
  </si>
  <si>
    <t>-519.185745086275 33.1404435576323 -229.484941181527</t>
  </si>
  <si>
    <t>-421.685064710471 -30.259533220082 211.118938057669</t>
  </si>
  <si>
    <t>-594.896066433123 -101.134290692813 642.36116846727</t>
  </si>
  <si>
    <t>-449.309626827788 -154.51591761261 725.418455064457</t>
  </si>
  <si>
    <t>9763-20170724T164320.488617200.bin</t>
  </si>
  <si>
    <t>-489.181594849104 126.265232352487 -243.303569814275</t>
  </si>
  <si>
    <t>-530.134475138484 123.670482979044 -357.250632970555</t>
  </si>
  <si>
    <t>-548.092895826577 111.07499982472 -476.453805492308</t>
  </si>
  <si>
    <t>-554.733833695112 95.5097892266855 -584.659490395943</t>
  </si>
  <si>
    <t>-551.885143675214 75.7820781923862 -692.351433884513</t>
  </si>
  <si>
    <t>-538.105384422087 44.0238727304794 -840.680639418683</t>
  </si>
  <si>
    <t>-496.156690212877 22.6014261997277 -931.037588591503</t>
  </si>
  <si>
    <t>-531.889147395896 86.9522571429192 -780.088316109417</t>
  </si>
  <si>
    <t>-478.356297087255 223.827345105144 -774.938736245016</t>
  </si>
  <si>
    <t>-400.798596417001 258.113445525686 -469.987164600966</t>
  </si>
  <si>
    <t>-218.422589719788 160.141920431053 -312.562057199397</t>
  </si>
  <si>
    <t>-556.51584331314 29.1995706433291 -770.010796141223</t>
  </si>
  <si>
    <t>-458.629783635483 219.41971466633 -256.279949705716</t>
  </si>
  <si>
    <t>-454.52715981612 204.170401786557 199.141102681232</t>
  </si>
  <si>
    <t>-483.898848724459 161.780285992842 665.941213153697</t>
  </si>
  <si>
    <t>-336.176865561872 145.022341156617 759.967226964396</t>
  </si>
  <si>
    <t>-519.622490037305 33.1547640519466 -229.709565987454</t>
  </si>
  <si>
    <t>-421.883861895013 -30.1224888364171 210.859116389597</t>
  </si>
  <si>
    <t>-595.09217011025 -100.577511314453 642.146445725059</t>
  </si>
  <si>
    <t>-449.740516998026 -155.122266446707 724.858499475491</t>
  </si>
  <si>
    <t>9763-20170724T164320.520698300.bin</t>
  </si>
  <si>
    <t>-489.545246251224 126.435897446599 -243.408352269362</t>
  </si>
  <si>
    <t>-530.417311299149 123.792992234959 -357.383271578819</t>
  </si>
  <si>
    <t>-548.165045751428 111.103333021031 -476.608123592065</t>
  </si>
  <si>
    <t>-554.564700814432 95.4328012424728 -584.813192791142</t>
  </si>
  <si>
    <t>-551.426569164969 75.5790278984097 -692.473929925779</t>
  </si>
  <si>
    <t>-537.197917271931 43.624214516039 -840.718475581977</t>
  </si>
  <si>
    <t>-494.970195277877 22.0909957540886 -930.918992091957</t>
  </si>
  <si>
    <t>-531.207062480014 86.6494406330137 -780.172201427571</t>
  </si>
  <si>
    <t>-477.853643074736 223.575442082429 -774.967622619234</t>
  </si>
  <si>
    <t>-398.737949852531 258.658780114691 -470.507324264113</t>
  </si>
  <si>
    <t>-215.53590724938 162.410499170067 -312.978307557215</t>
  </si>
  <si>
    <t>-555.780254901817 28.8769942008393 -770.077619265567</t>
  </si>
  <si>
    <t>-459.167574016595 219.58240681304 -256.298607288684</t>
  </si>
  <si>
    <t>-454.960198996985 204.370413337885 199.122699938491</t>
  </si>
  <si>
    <t>-483.896470246051 161.904791582346 665.945154185911</t>
  </si>
  <si>
    <t>-336.203469943044 144.784586321938 759.951441192571</t>
  </si>
  <si>
    <t>-519.761073541589 33.446650984737 -229.838917545591</t>
  </si>
  <si>
    <t>-422.158643023065 -30.0745272579103 210.724900572239</t>
  </si>
  <si>
    <t>-595.190512998146 -100.396997883037 642.053304926439</t>
  </si>
  <si>
    <t>-449.884005801591 -155.208766482697 724.668084779743</t>
  </si>
  <si>
    <t>9763-20170724T164320.591394500.bin</t>
  </si>
  <si>
    <t>-490.718641263742 126.509601081075 -243.458281363207</t>
  </si>
  <si>
    <t>-531.499963186708 123.730379075959 -357.462550418583</t>
  </si>
  <si>
    <t>-548.794381986068 110.917929811172 -476.740808972994</t>
  </si>
  <si>
    <t>-554.640470485982 95.1338087690253 -584.960737659026</t>
  </si>
  <si>
    <t>-550.81176543114 75.1595792517986 -692.576808894395</t>
  </si>
  <si>
    <t>-535.488722693622 43.0275496389481 -840.673952200067</t>
  </si>
  <si>
    <t>-492.687208277279 21.3515864299123 -930.569086378727</t>
  </si>
  <si>
    <t>-530.006641051062 86.1494331040252 -780.148058949534</t>
  </si>
  <si>
    <t>-476.75931013272 223.117486594608 -774.572423535427</t>
  </si>
  <si>
    <t>-394.47700782648 258.722763826594 -471.01332129501</t>
  </si>
  <si>
    <t>-208.219555890173 169.295531842592 -313.048201206823</t>
  </si>
  <si>
    <t>-554.530756800396 28.3405415983076 -770.143005464842</t>
  </si>
  <si>
    <t>-460.66593446568 219.813436457615 -256.31689118086</t>
  </si>
  <si>
    <t>-456.023619652819 204.485652012822 199.096382316126</t>
  </si>
  <si>
    <t>-483.916572924453 162.116356140311 665.981928006874</t>
  </si>
  <si>
    <t>-336.184416722675 145.147361857529 759.954059118289</t>
  </si>
  <si>
    <t>-520.703059677354 33.180771987721 -229.907764029319</t>
  </si>
  <si>
    <t>-422.55985435278 -30.1671100704501 210.560901741157</t>
  </si>
  <si>
    <t>-595.398470473318 -101.156902319921 641.888382357984</t>
  </si>
  <si>
    <t>-449.788921501352 -154.912932375463 724.663153032436</t>
  </si>
  <si>
    <t>9763-20170724T164320.623990800.bin</t>
  </si>
  <si>
    <t>-491.327165757674 126.604984356613 -243.468120188313</t>
  </si>
  <si>
    <t>-532.039440660079 123.779080418537 -357.495838189095</t>
  </si>
  <si>
    <t>-549.130461703881 110.846631280155 -476.790492619445</t>
  </si>
  <si>
    <t>-554.73856834536 94.9263673350954 -585.003073135778</t>
  </si>
  <si>
    <t>-550.619951192039 74.7904337705844 -692.57816513852</t>
  </si>
  <si>
    <t>-534.84283792163 42.4091780704119 -840.573294874965</t>
  </si>
  <si>
    <t>-491.827392075339 20.6104199868201 -930.336674662003</t>
  </si>
  <si>
    <t>-529.578062521538 85.6453091602061 -780.109797079714</t>
  </si>
  <si>
    <t>-476.502641911863 222.692297533659 -774.533502740432</t>
  </si>
  <si>
    <t>-392.936637060191 258.354509990172 -471.332085937083</t>
  </si>
  <si>
    <t>-205.723660923682 171.631441319535 -312.98925139903</t>
  </si>
  <si>
    <t>-554.069504996908 27.8285280587812 -770.070382322824</t>
  </si>
  <si>
    <t>-461.34833548137 220.005966221722 -256.317051097477</t>
  </si>
  <si>
    <t>-456.642213216464 204.629722451877 199.093892905852</t>
  </si>
  <si>
    <t>-483.948276646228 162.104557235738 665.994236155536</t>
  </si>
  <si>
    <t>-336.236650473656 144.788675374681 759.935449826294</t>
  </si>
  <si>
    <t>-521.213667498943 33.1788029795613 -229.936547261409</t>
  </si>
  <si>
    <t>-422.76105221502 -30.0754803185131 210.476564053287</t>
  </si>
  <si>
    <t>-595.475358247257 -101.293683555962 641.812898033429</t>
  </si>
  <si>
    <t>-449.929857866066 -155.088546965164 724.67499936911</t>
  </si>
  <si>
    <t>9763-20170724T164320.694373800.bin</t>
  </si>
  <si>
    <t>-492.454798094135 126.294107594752 -243.5489302244</t>
  </si>
  <si>
    <t>-532.979902900954 123.308930975867 -357.639168982585</t>
  </si>
  <si>
    <t>-549.66344714532 110.116111410017 -476.963087148495</t>
  </si>
  <si>
    <t>-554.815217902038 93.9256973427087 -585.158138356219</t>
  </si>
  <si>
    <t>-550.155882341564 73.4893798184145 -692.654621669818</t>
  </si>
  <si>
    <t>-533.54402381797 40.6639953559959 -840.460491522366</t>
  </si>
  <si>
    <t>-490.072293018612 18.6859112452343 -929.9599187792</t>
  </si>
  <si>
    <t>-528.684803318473 84.106553504891 -780.111142763022</t>
  </si>
  <si>
    <t>-475.619819906947 221.146980868806 -774.608609698087</t>
  </si>
  <si>
    <t>-391.031690844853 257.885823320354 -471.81936256272</t>
  </si>
  <si>
    <t>-202.512477321889 175.268461063889 -312.83225499253</t>
  </si>
  <si>
    <t>-553.103757188522 26.2698011535532 -770.010850098539</t>
  </si>
  <si>
    <t>-462.478467856568 219.6346916606 -256.431854049745</t>
  </si>
  <si>
    <t>-457.834343296598 204.170000031107 198.976634460107</t>
  </si>
  <si>
    <t>-483.962118494767 161.336852480101 665.877977558103</t>
  </si>
  <si>
    <t>-336.0597068385 145.798076959838 759.829720570891</t>
  </si>
  <si>
    <t>-522.329586806559 32.847161347895 -230.054341645211</t>
  </si>
  <si>
    <t>-423.263961844206 -30.4079491713011 210.221175504162</t>
  </si>
  <si>
    <t>-595.615193319077 -101.670476921877 641.685221885044</t>
  </si>
  <si>
    <t>-450.115895534146 -155.142064922177 724.837266371574</t>
  </si>
  <si>
    <t>9763-20170724T164320.721444900.bin</t>
  </si>
  <si>
    <t>-492.947778490348 126.397267048171 -243.604110240287</t>
  </si>
  <si>
    <t>-533.418609189259 123.401834766276 -357.713344831527</t>
  </si>
  <si>
    <t>-549.943606588753 110.085207957989 -477.045523123699</t>
  </si>
  <si>
    <t>-554.909814496735 93.7403905020287 -585.226061486511</t>
  </si>
  <si>
    <t>-550.024500094669 73.1101257937907 -692.675489925964</t>
  </si>
  <si>
    <t>-533.058969886939 39.9773343991953 -840.372462803361</t>
  </si>
  <si>
    <t>-489.399245228633 17.8594323275422 -929.745900281686</t>
  </si>
  <si>
    <t>-528.382374830884 83.5601679193018 -780.109838060327</t>
  </si>
  <si>
    <t>-475.435195742433 220.649368245047 -774.759304985502</t>
  </si>
  <si>
    <t>-390.215042442822 258.082316766745 -472.232434162374</t>
  </si>
  <si>
    <t>-201.810780248461 176.565842649953 -312.542306750731</t>
  </si>
  <si>
    <t>-552.749012355367 25.7149017984465 -769.93235877121</t>
  </si>
  <si>
    <t>-462.960689201639 219.990571879357 -256.513495013851</t>
  </si>
  <si>
    <t>-458.240123646284 204.341151706128 198.887912864841</t>
  </si>
  <si>
    <t>-483.864037592816 161.647295011443 665.813456433641</t>
  </si>
  <si>
    <t>-336.094733568815 145.234236423555 759.825989593112</t>
  </si>
  <si>
    <t>-522.848284973981 32.9247964565163 -230.082464050649</t>
  </si>
  <si>
    <t>-423.449519539037 -30.5601411772665 210.084757301796</t>
  </si>
  <si>
    <t>-595.720193799789 -101.902754874975 641.627514368364</t>
  </si>
  <si>
    <t>-450.165620122246 -155.01943997237 724.910174289853</t>
  </si>
  <si>
    <t>9763-20170724T164320.753540100.bin</t>
  </si>
  <si>
    <t>-493.352002913435 126.595693716259 -243.650422097129</t>
  </si>
  <si>
    <t>-533.791552518768 123.604770281177 -357.771000834397</t>
  </si>
  <si>
    <t>-550.193353357013 110.222570145045 -477.11284745622</t>
  </si>
  <si>
    <t>-555.011987490634 93.7899669296939 -585.286747056856</t>
  </si>
  <si>
    <t>-549.944748757361 73.0437960146557 -692.705492132621</t>
  </si>
  <si>
    <t>-532.693292503544 39.7215303180035 -840.326580018316</t>
  </si>
  <si>
    <t>-488.844848906821 17.4833177778721 -929.577705985262</t>
  </si>
  <si>
    <t>-528.140117043606 83.3843625487486 -780.112545176993</t>
  </si>
  <si>
    <t>-475.234331756237 220.48457118142 -774.843551081825</t>
  </si>
  <si>
    <t>-389.690191307091 258.143659546073 -472.436276099792</t>
  </si>
  <si>
    <t>-201.331899412055 177.242890930607 -312.379223153755</t>
  </si>
  <si>
    <t>-552.512933347048 25.5468817825187 -769.905227840925</t>
  </si>
  <si>
    <t>-463.365152867857 220.381265660108 -256.532969436313</t>
  </si>
  <si>
    <t>-458.603800802072 204.571723361437 198.862552785552</t>
  </si>
  <si>
    <t>-483.847661446921 161.588010713811 665.797317744625</t>
  </si>
  <si>
    <t>-336.142575372215 144.727292654647 759.83151764783</t>
  </si>
  <si>
    <t>-523.142719756547 33.0163007999286 -230.15816477695</t>
  </si>
  <si>
    <t>-423.446448572622 -30.5333009721417 209.932429038338</t>
  </si>
  <si>
    <t>-595.786547757658 -102.158252461252 641.474561980359</t>
  </si>
  <si>
    <t>-450.24852679536 -155.097702015864 724.898834799837</t>
  </si>
  <si>
    <t>9763-20170724T164320.836787000.bin</t>
  </si>
  <si>
    <t>-493.70910319941 126.853279313479 -243.669646041828</t>
  </si>
  <si>
    <t>-534.035383844132 123.799820743044 -357.828699498584</t>
  </si>
  <si>
    <t>-550.2829312125 110.379353170779 -477.187342223467</t>
  </si>
  <si>
    <t>-554.947920888772 93.9203306394481 -585.364010689911</t>
  </si>
  <si>
    <t>-549.714616888387 73.1552754973476 -692.770992129796</t>
  </si>
  <si>
    <t>-532.221120406721 39.8136707140913 -840.359256884078</t>
  </si>
  <si>
    <t>-488.206792316457 17.4743093415277 -929.503502594859</t>
  </si>
  <si>
    <t>-527.74841710927 83.4773281961112 -780.139742306661</t>
  </si>
  <si>
    <t>-474.636899812716 220.499755950035 -774.851846325476</t>
  </si>
  <si>
    <t>-389.067304318091 258.107635939862 -472.445432508012</t>
  </si>
  <si>
    <t>-200.756267120281 177.484046181912 -312.192873450147</t>
  </si>
  <si>
    <t>-552.174513081118 25.6552956847961 -769.972481966951</t>
  </si>
  <si>
    <t>-463.695449395979 220.510124100752 -256.562449935081</t>
  </si>
  <si>
    <t>-458.970799032676 204.594073888117 198.829685049418</t>
  </si>
  <si>
    <t>-483.858442415067 161.323479999827 665.774630214143</t>
  </si>
  <si>
    <t>-336.08613420047 145.005160575634 759.798916713119</t>
  </si>
  <si>
    <t>-523.541033593437 33.278387435444 -230.178624302647</t>
  </si>
  <si>
    <t>-423.355972912467 -30.3244900824141 209.793252948264</t>
  </si>
  <si>
    <t>-595.643627295549 -101.948974582485 641.243616605713</t>
  </si>
  <si>
    <t>-450.295689907068 -155.179952324053 724.813584823389</t>
  </si>
  <si>
    <t>9763-20170724T164320.886922800.bin</t>
  </si>
  <si>
    <t>-494.275482334983 127.996689639902 -243.780889417748</t>
  </si>
  <si>
    <t>-534.570712356296 124.835000068579 -357.947915833144</t>
  </si>
  <si>
    <t>-550.690684873871 111.359970000073 -477.317626123929</t>
  </si>
  <si>
    <t>-555.205331321204 94.864121889909 -585.495105708178</t>
  </si>
  <si>
    <t>-549.790097690697 74.0693792258861 -692.887315228793</t>
  </si>
  <si>
    <t>-532.015208041461 40.689243728574 -840.433400213596</t>
  </si>
  <si>
    <t>-487.77062003034 18.1221692736807 -929.406024646519</t>
  </si>
  <si>
    <t>-527.574018606994 84.3362933849654 -780.199427827193</t>
  </si>
  <si>
    <t>-473.837623688422 221.104313353082 -774.73435409474</t>
  </si>
  <si>
    <t>-387.451116578377 257.250283502152 -472.381765147807</t>
  </si>
  <si>
    <t>-200.507109870778 174.7490997166 -311.485787229</t>
  </si>
  <si>
    <t>-552.186023369583 26.581518570102 -770.098178354502</t>
  </si>
  <si>
    <t>-464.167151322058 221.874080504623 -256.713297416852</t>
  </si>
  <si>
    <t>-460.02670700135 205.49788767698 198.668148499451</t>
  </si>
  <si>
    <t>-483.60810980965 161.859224027057 665.584026280461</t>
  </si>
  <si>
    <t>-336.033467031039 144.627228557371 759.755696637227</t>
  </si>
  <si>
    <t>-524.264345431289 34.1882487647505 -230.232925770737</t>
  </si>
  <si>
    <t>-422.879326872609 -29.0153266788909 209.52159648188</t>
  </si>
  <si>
    <t>-595.562519433532 -101.833358038334 640.727762066658</t>
  </si>
  <si>
    <t>-450.015890833805 -154.341711919934 724.4091533991</t>
  </si>
  <si>
    <t>9763-20170724T164320.926530500.bin</t>
  </si>
  <si>
    <t>-494.377074138509 128.419120202425 -243.84684878179</t>
  </si>
  <si>
    <t>-534.710178257158 125.246786106735 -358.000257081879</t>
  </si>
  <si>
    <t>-550.853420044635 111.767691476669 -477.366367076292</t>
  </si>
  <si>
    <t>-555.383409208592 95.2683568486352 -585.542614528609</t>
  </si>
  <si>
    <t>-549.978479756728 74.4690216429405 -692.934474062769</t>
  </si>
  <si>
    <t>-532.212890912149 41.0803386692492 -840.479658848175</t>
  </si>
  <si>
    <t>-487.983216247864 18.4903986321018 -929.453891957988</t>
  </si>
  <si>
    <t>-527.754939266851 84.7258362327416 -780.245867741473</t>
  </si>
  <si>
    <t>-473.895972369717 221.456607393554 -774.649035290391</t>
  </si>
  <si>
    <t>-386.611170119314 256.582391137742 -472.434396928301</t>
  </si>
  <si>
    <t>-200.237962699594 173.347011580119 -311.254477675111</t>
  </si>
  <si>
    <t>-552.392326162685 26.9817939506497 -770.145215170529</t>
  </si>
  <si>
    <t>-464.316099181028 222.324923399658 -256.784221436873</t>
  </si>
  <si>
    <t>-460.16790792673 205.65450960144 198.586603369025</t>
  </si>
  <si>
    <t>-483.565037021082 161.626083667066 665.501563330331</t>
  </si>
  <si>
    <t>-336.043488585256 144.381724921797 759.754077325292</t>
  </si>
  <si>
    <t>-524.32972807998 34.6662515276535 -230.229908853261</t>
  </si>
  <si>
    <t>-422.728730193572 -28.50811974698 209.479027264109</t>
  </si>
  <si>
    <t>-595.536290080187 -101.784814083205 640.555233038935</t>
  </si>
  <si>
    <t>-450.157563037695 -154.673828742301 724.288724747032</t>
  </si>
  <si>
    <t>9763-20170724T164320.987201400.bin</t>
  </si>
  <si>
    <t>-494.627217863476 129.14617498529 -243.902957988026</t>
  </si>
  <si>
    <t>-534.994348946319 125.856876810552 -358.041020193251</t>
  </si>
  <si>
    <t>-551.169776562034 112.456502470316 -477.411470524601</t>
  </si>
  <si>
    <t>-555.731011230759 96.0958122208906 -585.607604883568</t>
  </si>
  <si>
    <t>-550.360550923625 75.4943451538032 -693.039378182361</t>
  </si>
  <si>
    <t>-532.64748118859 42.4346904533775 -840.664924089396</t>
  </si>
  <si>
    <t>-488.491532076483 19.9764581265772 -929.709195219735</t>
  </si>
  <si>
    <t>-528.12151075114 85.9275071453314 -780.325806284718</t>
  </si>
  <si>
    <t>-473.876207969476 222.473852781514 -774.240327272682</t>
  </si>
  <si>
    <t>-385.064141782681 254.676816532754 -472.144912255277</t>
  </si>
  <si>
    <t>-199.214710376742 170.793615100699 -310.696288383773</t>
  </si>
  <si>
    <t>-552.848370138202 28.1975572571965 -770.36446803745</t>
  </si>
  <si>
    <t>-464.552113705043 222.914674118565 -256.898501946195</t>
  </si>
  <si>
    <t>-460.456623866756 205.929833837842 198.461191606017</t>
  </si>
  <si>
    <t>-483.419260311424 161.352524160115 665.324740320835</t>
  </si>
  <si>
    <t>-335.894451387538 145.039173097307 759.737728082134</t>
  </si>
  <si>
    <t>-524.478588838666 35.4878154343574 -230.205970958833</t>
  </si>
  <si>
    <t>-422.301191510583 -27.0644507545706 209.458351607856</t>
  </si>
  <si>
    <t>-595.55002184897 -101.743917774895 640.256180102644</t>
  </si>
  <si>
    <t>-450.207467189371 -154.68968325226 724.016566499846</t>
  </si>
  <si>
    <t>9763-20170724T164321.020288900.bin</t>
  </si>
  <si>
    <t>-494.745521202507 129.594265278666 -243.890458425618</t>
  </si>
  <si>
    <t>-535.073210603812 126.2527724593 -358.040842750424</t>
  </si>
  <si>
    <t>-551.224582078388 112.888549680528 -477.418880897963</t>
  </si>
  <si>
    <t>-555.770178148352 96.596039375783 -585.625778812315</t>
  </si>
  <si>
    <t>-550.389934105635 76.0976023563268 -693.076781445128</t>
  </si>
  <si>
    <t>-532.668365102168 43.216412546867 -840.741191783864</t>
  </si>
  <si>
    <t>-488.573082743224 20.8645944083263 -929.842144205692</t>
  </si>
  <si>
    <t>-528.152052976175 86.6387533078686 -780.350532651527</t>
  </si>
  <si>
    <t>-473.946957957868 223.188234921569 -774.049541665098</t>
  </si>
  <si>
    <t>-384.234152464844 254.072529859403 -472.082676762824</t>
  </si>
  <si>
    <t>-198.415696990707 170.18799488411 -310.599093779733</t>
  </si>
  <si>
    <t>-552.867112624005 28.8918687116769 -770.457859114133</t>
  </si>
  <si>
    <t>-464.694042313184 223.272407307096 -256.944672527333</t>
  </si>
  <si>
    <t>-460.61374038656 206.04542334135 198.406007073085</t>
  </si>
  <si>
    <t>-483.37402737811 161.070796665478 665.247053443805</t>
  </si>
  <si>
    <t>-335.88052461317 144.976295515134 759.746508203078</t>
  </si>
  <si>
    <t>-524.668257207073 36.0120773967397 -230.112380950745</t>
  </si>
  <si>
    <t>-421.885310455824 -26.3047549754028 209.4442119228</t>
  </si>
  <si>
    <t>-595.405523131706 -101.446467926593 639.995047622165</t>
  </si>
  <si>
    <t>-450.196012543455 -154.642864404469 723.827276671415</t>
  </si>
  <si>
    <t>9763-20170724T164321.086062900.bin</t>
  </si>
  <si>
    <t>-494.777843057021 130.564639258797 -243.839648203533</t>
  </si>
  <si>
    <t>-535.247342071254 127.088536220342 -357.935790010251</t>
  </si>
  <si>
    <t>-551.555991151107 113.744806861256 -477.294781944767</t>
  </si>
  <si>
    <t>-556.247600508539 97.5315735833676 -585.507310163531</t>
  </si>
  <si>
    <t>-551.01498698403 77.1711003442605 -692.991832575315</t>
  </si>
  <si>
    <t>-533.498223202346 44.540652937211 -840.736213795578</t>
  </si>
  <si>
    <t>-489.529532847325 22.3368739818298 -929.936789654732</t>
  </si>
  <si>
    <t>-528.855495334119 87.8436147596678 -780.269594784574</t>
  </si>
  <si>
    <t>-474.324593283185 224.286796242545 -773.841283471599</t>
  </si>
  <si>
    <t>-383.885618916294 253.701486231952 -471.944311613284</t>
  </si>
  <si>
    <t>-198.348634186596 169.426024525567 -310.340672685897</t>
  </si>
  <si>
    <t>-553.642205395494 30.1136173514496 -770.458401770376</t>
  </si>
  <si>
    <t>-464.536940992527 224.284618931687 -257.03584075391</t>
  </si>
  <si>
    <t>-460.832719331608 206.868703662599 198.310844006697</t>
  </si>
  <si>
    <t>-483.133722049848 161.312141455668 665.08937759497</t>
  </si>
  <si>
    <t>-335.858363671794 144.434199297975 759.792135975912</t>
  </si>
  <si>
    <t>-524.887557499799 36.9359610606134 -229.909178724674</t>
  </si>
  <si>
    <t>-421.036362753149 -25.3598647158863 209.399239233883</t>
  </si>
  <si>
    <t>-595.451200738584 -101.688015988129 639.503063854272</t>
  </si>
  <si>
    <t>-450.108371541503 -154.356754878856 723.437456307468</t>
  </si>
  <si>
    <t>9763-20170724T164321.124160400.bin</t>
  </si>
  <si>
    <t>-494.703489066346 130.98794827212 -243.761249806804</t>
  </si>
  <si>
    <t>-535.102460798853 127.484544627546 -357.881609786185</t>
  </si>
  <si>
    <t>-551.423467451599 114.106692321189 -477.234938378335</t>
  </si>
  <si>
    <t>-556.161798594019 97.8594165886558 -585.440360086677</t>
  </si>
  <si>
    <t>-551.011670588556 77.4615546524776 -692.921820596367</t>
  </si>
  <si>
    <t>-533.64594423041 44.7747827968085 -840.671645125406</t>
  </si>
  <si>
    <t>-489.766818777714 22.5746274372072 -929.917074839163</t>
  </si>
  <si>
    <t>-528.896592593553 88.0831230081447 -780.217069249123</t>
  </si>
  <si>
    <t>-474.187945969257 224.412897580166 -773.863920599489</t>
  </si>
  <si>
    <t>-383.730160623739 253.535290608836 -471.944220335612</t>
  </si>
  <si>
    <t>-198.488353648487 169.335019619198 -309.963359999505</t>
  </si>
  <si>
    <t>-553.762897039077 30.3922348931975 -770.376803355558</t>
  </si>
  <si>
    <t>-464.40146278467 224.635127662247 -257.030804215782</t>
  </si>
  <si>
    <t>-461.027305030402 207.053396298664 198.31203492816</t>
  </si>
  <si>
    <t>-483.137008090293 161.124876133559 665.112200242779</t>
  </si>
  <si>
    <t>-335.793132583065 144.791640802301 759.803909854161</t>
  </si>
  <si>
    <t>-524.877887491274 37.3989785934142 -229.860218043327</t>
  </si>
  <si>
    <t>-420.722601482782 -25.0759520504606 209.350677232076</t>
  </si>
  <si>
    <t>-595.412708623199 -101.675580953534 639.277258669017</t>
  </si>
  <si>
    <t>-450.154088598252 -154.470672917523 723.27794019514</t>
  </si>
  <si>
    <t>9763-20170724T164321.186347900.bin</t>
  </si>
  <si>
    <t>-494.572081542239 132.071350042536 -243.719408677342</t>
  </si>
  <si>
    <t>-535.038677275951 128.648264151101 -357.818168008985</t>
  </si>
  <si>
    <t>-551.459651687507 115.396192771755 -477.1719293379</t>
  </si>
  <si>
    <t>-556.302174971584 99.2746934980229 -585.391686896801</t>
  </si>
  <si>
    <t>-551.269655007149 79.0114169986325 -692.903968337635</t>
  </si>
  <si>
    <t>-534.081212493694 46.5174102266334 -840.717182146096</t>
  </si>
  <si>
    <t>-490.311044029687 24.3228310679981 -930.017465535125</t>
  </si>
  <si>
    <t>-529.132652097219 89.6963208819621 -780.186012254026</t>
  </si>
  <si>
    <t>-473.698162865693 225.773068287901 -773.687960096264</t>
  </si>
  <si>
    <t>-383.31015556201 253.14769380324 -471.58399041395</t>
  </si>
  <si>
    <t>-198.968345233077 168.5886266689 -308.765324353476</t>
  </si>
  <si>
    <t>-554.240522117354 32.0936802783697 -770.442825037474</t>
  </si>
  <si>
    <t>-464.016977927031 225.912487098131 -256.986718710002</t>
  </si>
  <si>
    <t>-461.158138854654 207.981809405456 198.346174419612</t>
  </si>
  <si>
    <t>-483.029942837418 161.680776153428 665.098927986222</t>
  </si>
  <si>
    <t>-335.907109528701 143.790987496411 759.853028443186</t>
  </si>
  <si>
    <t>-524.974324447687 38.3370416299909 -229.78847915948</t>
  </si>
  <si>
    <t>-420.314026377881 -24.9893044939561 209.180337087021</t>
  </si>
  <si>
    <t>-595.443672622847 -101.839945462603 638.925110692081</t>
  </si>
  <si>
    <t>-450.060375109875 -154.113233320056 723.036456780871</t>
  </si>
  <si>
    <t>9763-20170724T164321.223949600.bin</t>
  </si>
  <si>
    <t>-494.359587081139 132.383109112114 -243.66474013594</t>
  </si>
  <si>
    <t>-534.764925590066 129.039627445102 -357.787682062213</t>
  </si>
  <si>
    <t>-551.206455584623 115.768512733542 -477.136350441277</t>
  </si>
  <si>
    <t>-556.103342427838 99.5889216184872 -585.344970658513</t>
  </si>
  <si>
    <t>-551.161651044336 79.2265216319246 -692.842861457179</t>
  </si>
  <si>
    <t>-534.137723618833 46.5521271019866 -840.635171095623</t>
  </si>
  <si>
    <t>-490.44477342871 24.2164002828547 -929.938107604453</t>
  </si>
  <si>
    <t>-529.032577669125 89.7688693734766 -780.144240425104</t>
  </si>
  <si>
    <t>-473.410317301257 225.76596745675 -773.908240742428</t>
  </si>
  <si>
    <t>-383.276746521098 252.894222324048 -471.706038415955</t>
  </si>
  <si>
    <t>-199.614218940146 167.809882317629 -308.394100291011</t>
  </si>
  <si>
    <t>-554.307958971119 32.2501314035145 -770.339212147085</t>
  </si>
  <si>
    <t>-463.6243007032 226.043139466396 -256.969174251141</t>
  </si>
  <si>
    <t>-461.193433214899 208.000869679015 198.36172630894</t>
  </si>
  <si>
    <t>-483.016541827301 161.306019776355 665.06453949309</t>
  </si>
  <si>
    <t>-335.903571008178 143.67654648964 759.882865727546</t>
  </si>
  <si>
    <t>-524.877666410774 38.7274604525151 -229.740969032501</t>
  </si>
  <si>
    <t>-420.001461123831 -24.9236089633565 209.129385535058</t>
  </si>
  <si>
    <t>-595.290976558047 -101.5146729713 638.717764995718</t>
  </si>
  <si>
    <t>-450.291814282528 -154.665623727393 722.94199117008</t>
  </si>
  <si>
    <t>9763-20170724T164321.289145600.bin</t>
  </si>
  <si>
    <t>-493.507186292369 132.636408134833 -243.763754198064</t>
  </si>
  <si>
    <t>-533.903703003666 129.514222506604 -357.896072139078</t>
  </si>
  <si>
    <t>-550.588185645859 116.19166525811 -477.205305303059</t>
  </si>
  <si>
    <t>-555.810924044134 99.8535338178483 -585.37484381428</t>
  </si>
  <si>
    <t>-551.301187624915 79.2217286065312 -692.840434499236</t>
  </si>
  <si>
    <t>-534.987390772158 46.0579384251135 -840.603680600984</t>
  </si>
  <si>
    <t>-491.592806750718 23.3325450976709 -929.95387847472</t>
  </si>
  <si>
    <t>-529.33162063603 89.3684039085675 -780.228724130443</t>
  </si>
  <si>
    <t>-473.025673829083 225.150415357142 -774.906218215231</t>
  </si>
  <si>
    <t>-384.99842640149 252.65356368934 -472.117609795983</t>
  </si>
  <si>
    <t>-202.438022315655 167.842722870148 -307.433510149552</t>
  </si>
  <si>
    <t>-555.079878975492 32.0954171520095 -770.217315288228</t>
  </si>
  <si>
    <t>-462.256226489766 226.131346271593 -257.102947752568</t>
  </si>
  <si>
    <t>-461.374645142215 207.988381922426 198.229565359934</t>
  </si>
  <si>
    <t>-482.841291502604 161.25605763927 664.908451586844</t>
  </si>
  <si>
    <t>-335.765518170362 144.243126950058 759.896800255354</t>
  </si>
  <si>
    <t>-524.583717170838 39.3329816821333 -229.75911922103</t>
  </si>
  <si>
    <t>-419.368810650454 -25.170338750495 208.90565549833</t>
  </si>
  <si>
    <t>-595.142555577687 -101.011457605651 638.384959903039</t>
  </si>
  <si>
    <t>-450.484797863792 -155.008128132936 722.658401030839</t>
  </si>
  <si>
    <t>9763-20170724T164321.321209400.bin</t>
  </si>
  <si>
    <t>-493.230227276881 132.868898972621 -243.718139048417</t>
  </si>
  <si>
    <t>-533.310348336624 129.759373680858 -357.962132435892</t>
  </si>
  <si>
    <t>-549.98633057929 116.313002192538 -477.25874337229</t>
  </si>
  <si>
    <t>-555.334906517141 99.8065679152986 -585.396683925422</t>
  </si>
  <si>
    <t>-551.086424049296 78.9495311078335 -692.82932017584</t>
  </si>
  <si>
    <t>-535.276270600799 45.4119415993458 -840.563032295945</t>
  </si>
  <si>
    <t>-492.102945801838 22.4435884013171 -929.958336775096</t>
  </si>
  <si>
    <t>-529.287383055898 88.8219395264226 -780.291826550459</t>
  </si>
  <si>
    <t>-472.958120068474 224.571108979909 -775.546517409652</t>
  </si>
  <si>
    <t>-386.338280361704 253.7693037922 -472.510757610078</t>
  </si>
  <si>
    <t>-204.804924763433 167.706579071283 -307.341616445728</t>
  </si>
  <si>
    <t>-555.256170668972 31.6806440885165 -770.099130607481</t>
  </si>
  <si>
    <t>-461.831728683054 226.394917702561 -257.043819915526</t>
  </si>
  <si>
    <t>-461.861460206456 208.147285964499 198.285460092224</t>
  </si>
  <si>
    <t>-483.015267409185 161.282832098992 665.122195988568</t>
  </si>
  <si>
    <t>-335.864162588273 143.905619433893 759.927772925678</t>
  </si>
  <si>
    <t>-524.445957603696 39.4858060119893 -229.80156893237</t>
  </si>
  <si>
    <t>-419.421711771985 -25.2894553438433 208.868870299411</t>
  </si>
  <si>
    <t>-595.237524945291 -100.959898146338 638.33096908131</t>
  </si>
  <si>
    <t>-450.615035388233 -155.201130408946 722.507793235751</t>
  </si>
  <si>
    <t>9763-20170724T164321.387390700.bin</t>
  </si>
  <si>
    <t>-492.647207884658 133.840753861037 -243.726192870866</t>
  </si>
  <si>
    <t>-532.477423439859 130.908679781089 -358.062423942583</t>
  </si>
  <si>
    <t>-549.500807814659 117.220606105628 -477.282348347584</t>
  </si>
  <si>
    <t>-555.417089298768 100.325987472993 -585.330617932923</t>
  </si>
  <si>
    <t>-551.991205778128 78.9115497664556 -692.683026992495</t>
  </si>
  <si>
    <t>-537.588126261676 44.4229624908396 -840.34166852313</t>
  </si>
  <si>
    <t>-495.095179037366 20.8841428061818 -929.914311417863</t>
  </si>
  <si>
    <t>-530.82632708565 88.1356989266721 -780.371826572779</t>
  </si>
  <si>
    <t>-474.364495547849 223.907268155795 -777.229093005579</t>
  </si>
  <si>
    <t>-390.388799839137 257.66570543435 -473.922940855813</t>
  </si>
  <si>
    <t>-211.496170653883 165.830636205253 -308.981111290178</t>
  </si>
  <si>
    <t>-557.095750119063 31.2305042055278 -769.642779199922</t>
  </si>
  <si>
    <t>-461.152106822619 227.23033099254 -256.792650007953</t>
  </si>
  <si>
    <t>-462.929015644463 208.95899403568 198.532220485137</t>
  </si>
  <si>
    <t>-483.298190556924 161.741370920659 665.453602648786</t>
  </si>
  <si>
    <t>-335.943232512813 143.697209092091 759.816953221321</t>
  </si>
  <si>
    <t>-523.990153302967 40.6778005180243 -229.881294528962</t>
  </si>
  <si>
    <t>-419.860940165502 -25.6945686184603 208.763740440228</t>
  </si>
  <si>
    <t>-595.379420730925 -100.54231559394 638.349787576087</t>
  </si>
  <si>
    <t>-450.728436604057 -155.406262240258 722.072913688854</t>
  </si>
  <si>
    <t>9763-20170724T164321.419477100.bin</t>
  </si>
  <si>
    <t>-492.349480963792 134.575665910691 -243.603093465266</t>
  </si>
  <si>
    <t>-532.062551304309 131.654165169277 -357.980269256741</t>
  </si>
  <si>
    <t>-549.304016356747 117.732704303005 -477.141913219685</t>
  </si>
  <si>
    <t>-555.561320210939 100.52594819985 -585.121652029229</t>
  </si>
  <si>
    <t>-552.622630669062 78.6968717497009 -692.404884758583</t>
  </si>
  <si>
    <t>-539.049372327713 43.5236059389935 -839.980794876064</t>
  </si>
  <si>
    <t>-496.96383428608 19.6166630410377 -929.648120002855</t>
  </si>
  <si>
    <t>-531.860976180946 87.4756146371111 -780.235742980359</t>
  </si>
  <si>
    <t>-475.411133370494 223.233325316634 -778.054062262704</t>
  </si>
  <si>
    <t>-393.367951750829 258.366506377407 -474.375257636989</t>
  </si>
  <si>
    <t>-215.445296245566 163.978391689773 -309.826056132055</t>
  </si>
  <si>
    <t>-558.249320335208 30.6977480965208 -769.130430231484</t>
  </si>
  <si>
    <t>-460.850884493474 227.835934145617 -256.613794855071</t>
  </si>
  <si>
    <t>-463.064287240034 209.34309581315 198.700151325207</t>
  </si>
  <si>
    <t>-483.483395028396 161.788032398565 665.675646236765</t>
  </si>
  <si>
    <t>-335.954111757679 143.712726739921 759.760231946047</t>
  </si>
  <si>
    <t>-523.753768247426 41.3906446840188 -229.863032380698</t>
  </si>
  <si>
    <t>-420.115879434296 -25.7087651984376 208.787718049616</t>
  </si>
  <si>
    <t>-595.463355150743 -100.213609746005 638.454384153283</t>
  </si>
  <si>
    <t>-450.748608381588 -155.325413962134 721.904096305413</t>
  </si>
  <si>
    <t>9763-20170724T164321.488184200.bin</t>
  </si>
  <si>
    <t>-491.470083977272 135.928933701051 -243.430254213371</t>
  </si>
  <si>
    <t>-531.092438034131 133.161987541584 -357.842779994386</t>
  </si>
  <si>
    <t>-548.84900255676 118.986512102755 -476.898729216104</t>
  </si>
  <si>
    <t>-555.832996532318 101.373614184899 -584.768385984818</t>
  </si>
  <si>
    <t>-553.886936550148 78.955474047405 -691.952825701387</t>
  </si>
  <si>
    <t>-541.972324972285 42.766960810827 -839.42632299416</t>
  </si>
  <si>
    <t>-500.751197478426 18.2160455074239 -929.321041939517</t>
  </si>
  <si>
    <t>-533.890978969395 87.0329059572142 -780.028155562489</t>
  </si>
  <si>
    <t>-477.28148508016 222.738800898792 -779.276642637546</t>
  </si>
  <si>
    <t>-397.966752158616 261.969415600381 -475.374903147324</t>
  </si>
  <si>
    <t>-223.808277858891 158.559522389843 -312.226985573902</t>
  </si>
  <si>
    <t>-560.597362375418 30.5255873550635 -768.319524545988</t>
  </si>
  <si>
    <t>-459.905289560188 228.981700695943 -256.313883831252</t>
  </si>
  <si>
    <t>-462.325657413286 209.951387832847 198.97685757863</t>
  </si>
  <si>
    <t>-483.658162531186 161.603627201032 665.78088409174</t>
  </si>
  <si>
    <t>-335.935540653109 143.914607502203 759.635231178858</t>
  </si>
  <si>
    <t>-522.833330147819 43.0734028587089 -229.830587905972</t>
  </si>
  <si>
    <t>-420.767317899028 -25.8934968414152 208.899112358981</t>
  </si>
  <si>
    <t>-595.620954492163 -99.8499772657793 638.724745607788</t>
  </si>
  <si>
    <t>-450.871919060994 -155.410374957593 721.816563860047</t>
  </si>
  <si>
    <t>9763-20170724T164321.521273400.bin</t>
  </si>
  <si>
    <t>-490.782962291253 136.564738508454 -243.252730517183</t>
  </si>
  <si>
    <t>-530.37917449783 133.834903925979 -357.675200781771</t>
  </si>
  <si>
    <t>-548.339500769583 119.536038090585 -476.685829657405</t>
  </si>
  <si>
    <t>-555.606965458818 101.742891315006 -584.507214622379</t>
  </si>
  <si>
    <t>-554.04543207242 79.0737730955446 -691.645089061891</t>
  </si>
  <si>
    <t>-542.771760404946 42.4608097768606 -839.064202497672</t>
  </si>
  <si>
    <t>-501.929212983011 17.6213749808958 -929.052400178698</t>
  </si>
  <si>
    <t>-534.32216367978 86.8494314849645 -779.80896586972</t>
  </si>
  <si>
    <t>-477.472472588226 222.464977736718 -779.765571177603</t>
  </si>
  <si>
    <t>-400.244583273094 263.565645507613 -475.573508285364</t>
  </si>
  <si>
    <t>-227.496355872003 155.974624940827 -313.634363308811</t>
  </si>
  <si>
    <t>-561.197856134085 30.4723530826233 -767.86252167625</t>
  </si>
  <si>
    <t>-459.085195466279 229.430599985478 -256.176091530617</t>
  </si>
  <si>
    <t>-461.634279845419 210.167185477567 199.104189463225</t>
  </si>
  <si>
    <t>-483.71689274534 161.44483263661 665.8466510192</t>
  </si>
  <si>
    <t>-335.916912622555 144.023866646561 759.62938538983</t>
  </si>
  <si>
    <t>-522.345337897052 43.7131014181477 -229.673875221364</t>
  </si>
  <si>
    <t>-420.836223913384 -25.6557233777429 209.121689584566</t>
  </si>
  <si>
    <t>-595.665202426133 -99.7231231055051 638.850354991531</t>
  </si>
  <si>
    <t>-451.026954420931 -155.687452595969 721.864116701683</t>
  </si>
  <si>
    <t>9763-20170724T164321.589479400.bin</t>
  </si>
  <si>
    <t>-489.247480819756 137.436060750841 -242.954086050052</t>
  </si>
  <si>
    <t>-529.122280453578 134.845730790926 -357.283051138165</t>
  </si>
  <si>
    <t>-547.707647120495 120.459740914156 -476.18711819978</t>
  </si>
  <si>
    <t>-555.680554939234 102.497209801102 -583.930479181017</t>
  </si>
  <si>
    <t>-554.9626312296 79.5697694902594 -691.022306378121</t>
  </si>
  <si>
    <t>-545.001854038814 42.5058341235785 -838.423388412951</t>
  </si>
  <si>
    <t>-504.953559550182 17.1239268866147 -928.616907195394</t>
  </si>
  <si>
    <t>-535.829805494905 86.9892918341891 -779.347093654049</t>
  </si>
  <si>
    <t>-478.544181933896 222.41245546395 -780.177933651164</t>
  </si>
  <si>
    <t>-404.979140940522 264.632593175778 -475.232396559133</t>
  </si>
  <si>
    <t>-233.230820270411 152.842477298907 -315.083821871256</t>
  </si>
  <si>
    <t>-562.988562911926 30.8216547745368 -767.05901793925</t>
  </si>
  <si>
    <t>-457.101170185628 230.230967791265 -256.003978079496</t>
  </si>
  <si>
    <t>-459.913558294242 210.651565001652 199.261266997218</t>
  </si>
  <si>
    <t>-483.670676914731 161.720207242928 665.83416709882</t>
  </si>
  <si>
    <t>-335.941350307224 143.702472789102 759.615392949523</t>
  </si>
  <si>
    <t>-521.255910324053 44.7036518416462 -229.289796268286</t>
  </si>
  <si>
    <t>-420.365657911111 -25.3435916553514 209.540716991145</t>
  </si>
  <si>
    <t>-595.658376323259 -99.6636702251598 638.99789410761</t>
  </si>
  <si>
    <t>-450.907435464405 -155.409224246786 721.962401110388</t>
  </si>
  <si>
    <t>9763-20170724T164321.626087100.bin</t>
  </si>
  <si>
    <t>-488.464262095582 137.842405774721 -242.811828218822</t>
  </si>
  <si>
    <t>-528.489542616739 135.33314665632 -357.089924688457</t>
  </si>
  <si>
    <t>-547.33364472562 120.954438426509 -475.954216820329</t>
  </si>
  <si>
    <t>-555.581539717152 102.972190380212 -583.673559082256</t>
  </si>
  <si>
    <t>-555.17680498997 80.0012795388917 -690.75777999027</t>
  </si>
  <si>
    <t>-545.688651704142 42.8543602388358 -838.169034125966</t>
  </si>
  <si>
    <t>-505.944445772902 17.3117947163994 -928.45173708132</t>
  </si>
  <si>
    <t>-536.268286298324 87.3448018924411 -779.137019203202</t>
  </si>
  <si>
    <t>-478.978562486204 222.759762247556 -780.258226828018</t>
  </si>
  <si>
    <t>-406.17317333608 264.66242602974 -475.086570959318</t>
  </si>
  <si>
    <t>-234.320914939993 153.63460913583 -314.519774435071</t>
  </si>
  <si>
    <t>-563.505426697195 31.2366399672231 -766.751133396427</t>
  </si>
  <si>
    <t>-456.075088506424 230.566949534513 -255.959574812915</t>
  </si>
  <si>
    <t>-458.917262842716 210.826845112367 199.29853821505</t>
  </si>
  <si>
    <t>-483.652761212197 161.596523361743 665.804801011163</t>
  </si>
  <si>
    <t>-335.974878858754 143.425333509353 759.637447752516</t>
  </si>
  <si>
    <t>-520.661175725006 45.1645339836497 -229.089623626443</t>
  </si>
  <si>
    <t>-419.90243868136 -25.1161955370001 209.733713109137</t>
  </si>
  <si>
    <t>-595.634224445224 -99.5577276843058 639.038861468624</t>
  </si>
  <si>
    <t>-451.086934526587 -155.751172338218 722.056278350306</t>
  </si>
  <si>
    <t>9763-20170724T164321.687783400.bin</t>
  </si>
  <si>
    <t>-486.868667621436 138.175168438084 -242.734281023552</t>
  </si>
  <si>
    <t>-527.191675892847 135.909528419157 -356.91280339512</t>
  </si>
  <si>
    <t>-546.626890137919 121.674661145032 -475.699105861824</t>
  </si>
  <si>
    <t>-555.524654129378 103.784078767997 -583.382094300785</t>
  </si>
  <si>
    <t>-555.880650944291 80.868130906415 -690.478218203205</t>
  </si>
  <si>
    <t>-547.559840061722 43.7601411436738 -837.96973693728</t>
  </si>
  <si>
    <t>-508.393563425665 17.9480592768271 -928.428242483687</t>
  </si>
  <si>
    <t>-537.514879296196 88.1642940260513 -778.975889780134</t>
  </si>
  <si>
    <t>-479.90162776537 223.435928797671 -780.70249141997</t>
  </si>
  <si>
    <t>-407.498882246447 265.573847697636 -475.467527759763</t>
  </si>
  <si>
    <t>-235.839900069868 157.372589201523 -312.778503270788</t>
  </si>
  <si>
    <t>-564.968097084424 32.1942551730138 -766.442873626786</t>
  </si>
  <si>
    <t>-454.001676205666 230.897371190101 -255.938192212496</t>
  </si>
  <si>
    <t>-456.887096819364 210.934305840887 199.309830644008</t>
  </si>
  <si>
    <t>-483.510538585269 161.832008995578 665.699224279001</t>
  </si>
  <si>
    <t>-336.039780567772 142.802612478795 759.687257398708</t>
  </si>
  <si>
    <t>-519.618288657495 45.4775366456097 -228.899362307941</t>
  </si>
  <si>
    <t>-419.295553068008 -24.8854845406777 210.010678309</t>
  </si>
  <si>
    <t>-595.573709997058 -99.3245977321211 639.087885238943</t>
  </si>
  <si>
    <t>-450.950608170003 -155.133763717638 722.23236758774</t>
  </si>
  <si>
    <t>9763-20170724T164321.720867300.bin</t>
  </si>
  <si>
    <t>-485.993868507249 138.256433371828 -242.713866996636</t>
  </si>
  <si>
    <t>-526.396254874065 136.150542794536 -356.867429859673</t>
  </si>
  <si>
    <t>-546.130787118211 122.011288925171 -475.615917526168</t>
  </si>
  <si>
    <t>-555.38820180178 104.181959627483 -583.278548433295</t>
  </si>
  <si>
    <t>-556.191167932089 81.3025867177936 -690.380106886541</t>
  </si>
  <si>
    <t>-548.579663145979 44.219359041093 -837.91623319727</t>
  </si>
  <si>
    <t>-509.728570125487 18.2705366567801 -928.471449982775</t>
  </si>
  <si>
    <t>-538.14923537714 88.5672982852943 -778.946823210707</t>
  </si>
  <si>
    <t>-480.174174945991 223.682898851101 -780.939327369458</t>
  </si>
  <si>
    <t>-407.447544103448 267.595871457357 -476.031722388785</t>
  </si>
  <si>
    <t>-236.588184278321 158.840814182843 -312.870915621369</t>
  </si>
  <si>
    <t>-565.745754031473 32.6877429597545 -766.32523749888</t>
  </si>
  <si>
    <t>-452.816937931104 231.030582062457 -255.890839462683</t>
  </si>
  <si>
    <t>-455.934286889474 210.998555205134 199.352614761373</t>
  </si>
  <si>
    <t>-483.51652223991 161.863922946865 665.727657025372</t>
  </si>
  <si>
    <t>-336.145892062047 142.092106927843 759.719527008341</t>
  </si>
  <si>
    <t>-518.989594884195 45.5566580269919 -228.858933573838</t>
  </si>
  <si>
    <t>-418.92309821571 -24.7204258616121 210.123390757665</t>
  </si>
  <si>
    <t>-595.568282149666 -99.2864963274066 639.141120780242</t>
  </si>
  <si>
    <t>-451.136212693967 -155.546882473398 722.313495679863</t>
  </si>
  <si>
    <t>9763-20170724T164321.790559600.bin</t>
  </si>
  <si>
    <t>-484.130678521637 137.818988444266 -242.299239007639</t>
  </si>
  <si>
    <t>-524.545474788566 135.957327039001 -356.452587896413</t>
  </si>
  <si>
    <t>-544.728042727808 121.949274785928 -475.141216716523</t>
  </si>
  <si>
    <t>-554.566526097798 104.199335821752 -582.765566207883</t>
  </si>
  <si>
    <t>-556.121862298398 81.3641370770253 -689.868304505326</t>
  </si>
  <si>
    <t>-549.728557319422 44.3081354025314 -837.469070512944</t>
  </si>
  <si>
    <t>-511.544853227686 18.1950742324554 -928.260502403951</t>
  </si>
  <si>
    <t>-538.625550144349 88.5596750238827 -778.550010087303</t>
  </si>
  <si>
    <t>-480.310569244227 223.525849417043 -781.421529206942</t>
  </si>
  <si>
    <t>-410.548917969167 271.038424262807 -476.360740919505</t>
  </si>
  <si>
    <t>-241.587202337282 158.20423348929 -313.995610834108</t>
  </si>
  <si>
    <t>-566.48923024189 32.8488576942236 -765.770359729404</t>
  </si>
  <si>
    <t>-450.334648325511 230.216638006684 -255.463850399237</t>
  </si>
  <si>
    <t>-454.278338820364 210.234365141431 199.775435449522</t>
  </si>
  <si>
    <t>-483.999198398827 160.951694608567 666.185759263135</t>
  </si>
  <si>
    <t>-336.127502019969 142.570616017384 759.671676871154</t>
  </si>
  <si>
    <t>-517.820227913942 45.3646724103082 -228.42617607353</t>
  </si>
  <si>
    <t>-418.201780268122 -24.9599193060431 210.65036573635</t>
  </si>
  <si>
    <t>-595.602646734629 -99.2132291053999 639.369210261087</t>
  </si>
  <si>
    <t>-451.304027146492 -155.810617921235 722.544628170669</t>
  </si>
  <si>
    <t>9763-20170724T164321.822649500.bin</t>
  </si>
  <si>
    <t>-483.242731052733 137.691083138905 -241.903480473628</t>
  </si>
  <si>
    <t>-523.663480146895 135.970505520898 -356.056949902798</t>
  </si>
  <si>
    <t>-543.99993717363 122.014127581971 -474.725335027813</t>
  </si>
  <si>
    <t>-554.034867364583 104.281373236684 -582.334442651383</t>
  </si>
  <si>
    <t>-555.840945571436 81.4381514672795 -689.431400252083</t>
  </si>
  <si>
    <t>-549.849483814281 44.3480336403396 -837.040506431246</t>
  </si>
  <si>
    <t>-511.904074071354 18.2231857953927 -927.928399785061</t>
  </si>
  <si>
    <t>-538.536348039047 88.5900444462201 -778.154336024812</t>
  </si>
  <si>
    <t>-480.427323729939 223.621273729965 -781.397053338271</t>
  </si>
  <si>
    <t>-413.259919639531 273.81911711162 -476.184222729245</t>
  </si>
  <si>
    <t>-245.431853943198 157.72658241312 -314.944229664734</t>
  </si>
  <si>
    <t>-566.464670610391 32.9284567525755 -765.30178618123</t>
  </si>
  <si>
    <t>-449.180385313804 229.991276295262 -254.93554867154</t>
  </si>
  <si>
    <t>-453.442031567595 209.98484197902 200.299797985443</t>
  </si>
  <si>
    <t>-484.614450339845 160.683236591859 666.890992780327</t>
  </si>
  <si>
    <t>-336.278865819878 142.207745838846 759.620172985997</t>
  </si>
  <si>
    <t>-517.215099586873 45.4469630392205 -228.074355676054</t>
  </si>
  <si>
    <t>-417.865647484321 -25.0214302440762 211.04020424644</t>
  </si>
  <si>
    <t>-595.599362532804 -98.7869409720002 639.624264890778</t>
  </si>
  <si>
    <t>-451.479881632414 -155.837665191341 722.800598810467</t>
  </si>
  <si>
    <t>9763-20170724T164321.887334300.bin</t>
  </si>
  <si>
    <t>-481.889155714288 137.399785199096 -240.313525502807</t>
  </si>
  <si>
    <t>-522.423173324027 136.056106127421 -354.431918191845</t>
  </si>
  <si>
    <t>-542.954902900402 122.325642268149 -473.093130375442</t>
  </si>
  <si>
    <t>-553.193546042289 104.742798478127 -580.707576454428</t>
  </si>
  <si>
    <t>-555.226652481472 82.0003891843851 -687.822032238827</t>
  </si>
  <si>
    <t>-549.571090941408 45.0041605566858 -835.467877752458</t>
  </si>
  <si>
    <t>-511.761074672789 18.9303842888963 -926.426939580694</t>
  </si>
  <si>
    <t>-538.072219160469 89.1846332062798 -776.571544676537</t>
  </si>
  <si>
    <t>-480.308322104607 224.370431771442 -780.291279328846</t>
  </si>
  <si>
    <t>-421.479563017239 278.516448766354 -474.033933826407</t>
  </si>
  <si>
    <t>-254.713027696527 156.883229449587 -315.805262383463</t>
  </si>
  <si>
    <t>-566.074814790929 33.563106245581 -763.706869939388</t>
  </si>
  <si>
    <t>-447.803294086148 229.295980633707 -252.881550292653</t>
  </si>
  <si>
    <t>-451.752299740859 208.948614131311 202.341603612745</t>
  </si>
  <si>
    <t>-486.692586156169 159.777387668982 669.148649005572</t>
  </si>
  <si>
    <t>-336.71842220862 141.966858831856 759.337694261268</t>
  </si>
  <si>
    <t>-515.916616572547 45.6896054482781 -226.762781589886</t>
  </si>
  <si>
    <t>-417.703741133724 -25.8698044897315 212.430956283244</t>
  </si>
  <si>
    <t>-595.680732937918 -98.613872360047 640.666035377508</t>
  </si>
  <si>
    <t>-451.858105645121 -156.358028283754 723.877600616483</t>
  </si>
  <si>
    <t>9763-20170724T164321.921426400.bin</t>
  </si>
  <si>
    <t>-481.454775710096 137.381957753658 -239.282214617214</t>
  </si>
  <si>
    <t>-521.984843382081 136.22705733913 -353.403948747016</t>
  </si>
  <si>
    <t>-542.556120440995 122.610284605048 -472.071441741091</t>
  </si>
  <si>
    <t>-552.847497321996 105.101123622788 -579.692930439641</t>
  </si>
  <si>
    <t>-554.949177285472 82.4047684008008 -686.815766688193</t>
  </si>
  <si>
    <t>-549.404834003235 45.4448195059076 -834.4748617227</t>
  </si>
  <si>
    <t>-511.604703838285 19.3577990501519 -925.434354416557</t>
  </si>
  <si>
    <t>-537.846302015886 89.6036367631024 -775.573975608406</t>
  </si>
  <si>
    <t>-480.403972656487 224.886228840663 -779.351181200892</t>
  </si>
  <si>
    <t>-425.357027831256 280.77381140738 -472.703883904122</t>
  </si>
  <si>
    <t>-258.585668309581 159.458058117099 -314.236569498036</t>
  </si>
  <si>
    <t>-565.869792198637 33.9932908788761 -762.706644457696</t>
  </si>
  <si>
    <t>-447.430959369768 229.075142160403 -251.667968752545</t>
  </si>
  <si>
    <t>-451.005136066638 208.372896351716 203.542198405707</t>
  </si>
  <si>
    <t>-487.691887734393 159.290544172702 670.186135021446</t>
  </si>
  <si>
    <t>-336.904982747729 142.129453666178 759.137348672301</t>
  </si>
  <si>
    <t>-515.403299110736 45.852982568107 -225.97434003348</t>
  </si>
  <si>
    <t>-417.952103418103 -26.0806619207562 213.328029770028</t>
  </si>
  <si>
    <t>-595.731079471706 -98.3855545117923 641.430618176381</t>
  </si>
  <si>
    <t>-452.130878873102 -156.65174088126 724.66243983517</t>
  </si>
  <si>
    <t>9763-20170724T164321.988783300.bin</t>
  </si>
  <si>
    <t>-480.523324009104 137.011596579538 -237.464328268526</t>
  </si>
  <si>
    <t>-521.132217229141 136.15319742244 -351.560611904171</t>
  </si>
  <si>
    <t>-541.815482637369 122.798977924493 -470.238543026799</t>
  </si>
  <si>
    <t>-552.215867653588 105.51847020781 -577.886485235678</t>
  </si>
  <si>
    <t>-554.430837532473 83.0448158287941 -685.053929421778</t>
  </si>
  <si>
    <t>-549.044765400478 46.3911537071892 -832.79524422728</t>
  </si>
  <si>
    <t>-511.172852606384 20.392571415468 -923.750118386712</t>
  </si>
  <si>
    <t>-537.49692423058 90.4621846736143 -773.826596753434</t>
  </si>
  <si>
    <t>-480.872932967844 226.129601841708 -777.602440463244</t>
  </si>
  <si>
    <t>-432.45742130574 283.842751225854 -470.175411948706</t>
  </si>
  <si>
    <t>-265.156389465554 167.272879264988 -308.732341638379</t>
  </si>
  <si>
    <t>-565.358899769742 34.7562809208776 -761.0220787707</t>
  </si>
  <si>
    <t>-446.605205963642 228.315589864033 -249.747573602411</t>
  </si>
  <si>
    <t>-449.368789135845 207.144323491338 205.446757775599</t>
  </si>
  <si>
    <t>-489.039244278016 157.991982708377 671.538868147417</t>
  </si>
  <si>
    <t>-337.113188376366 142.505354380655 758.843793264579</t>
  </si>
  <si>
    <t>-514.185291830449 45.8013312359347 -224.524968074008</t>
  </si>
  <si>
    <t>-418.459493421777 -26.5204252616224 215.092811277251</t>
  </si>
  <si>
    <t>-595.851605195737 -98.5021016168569 643.02118845361</t>
  </si>
  <si>
    <t>-452.223950193889 -156.679126327636 726.268094420048</t>
  </si>
  <si>
    <t>9763-20170724T164322.026381400.bin</t>
  </si>
  <si>
    <t>-480.051292886662 136.790605902003 -236.717476516409</t>
  </si>
  <si>
    <t>-520.663832346401 136.01231624879 -350.813083679359</t>
  </si>
  <si>
    <t>-541.322867165685 122.787817631821 -469.509812171929</t>
  </si>
  <si>
    <t>-551.687498907695 105.646287098194 -577.183289406629</t>
  </si>
  <si>
    <t>-553.851300435466 83.3340621353834 -684.385663686894</t>
  </si>
  <si>
    <t>-548.376825762351 46.9288609723112 -832.185127621133</t>
  </si>
  <si>
    <t>-510.436608375955 21.0642133673512 -923.149690131726</t>
  </si>
  <si>
    <t>-536.922301177911 90.9276432024243 -773.144256046059</t>
  </si>
  <si>
    <t>-480.685009127131 226.715493678249 -776.736152505189</t>
  </si>
  <si>
    <t>-434.208160390053 285.621167827881 -469.236161557864</t>
  </si>
  <si>
    <t>-267.12724086081 170.243654994484 -306.712189678642</t>
  </si>
  <si>
    <t>-564.675901015283 35.1464120643865 -760.432466672385</t>
  </si>
  <si>
    <t>-446.144493542061 228.073836476826 -249.098114225652</t>
  </si>
  <si>
    <t>-448.45326005417 206.671139306428 206.087807184731</t>
  </si>
  <si>
    <t>-489.38032661326 157.662866590077 671.925509426997</t>
  </si>
  <si>
    <t>-337.194345186193 142.330719516443 758.803900287771</t>
  </si>
  <si>
    <t>-513.681310805499 45.5570918104836 -223.871522858238</t>
  </si>
  <si>
    <t>-418.441720266427 -26.7794064415439 215.849376853338</t>
  </si>
  <si>
    <t>-595.904553369257 -98.646249896698 643.71656039399</t>
  </si>
  <si>
    <t>-451.963362754477 -156.04836531105 726.959808898526</t>
  </si>
  <si>
    <t>9763-20170724T164322.090603200.bin</t>
  </si>
  <si>
    <t>-479.163509191676 136.753437529314 -235.818341712743</t>
  </si>
  <si>
    <t>-519.967054725188 136.144942333652 -349.846969146027</t>
  </si>
  <si>
    <t>-540.649737652803 123.197435463335 -468.569915367062</t>
  </si>
  <si>
    <t>-550.956904038989 106.357281787409 -576.29662089373</t>
  </si>
  <si>
    <t>-552.978835953756 84.4015516572217 -683.575212028578</t>
  </si>
  <si>
    <t>-547.214505315209 48.5533357890561 -831.499811850349</t>
  </si>
  <si>
    <t>-509.040046991795 23.0686781666724 -922.473527394778</t>
  </si>
  <si>
    <t>-536.051028519576 92.4099572362082 -772.297705045867</t>
  </si>
  <si>
    <t>-480.30068029883 228.421422907258 -775.382356459134</t>
  </si>
  <si>
    <t>-435.790113478132 290.090328557256 -468.133297237198</t>
  </si>
  <si>
    <t>-269.233620015364 174.911512041792 -304.931307903455</t>
  </si>
  <si>
    <t>-563.479101682239 36.4201619495025 -759.797829760521</t>
  </si>
  <si>
    <t>-445.449003289814 227.961689094718 -248.268625751203</t>
  </si>
  <si>
    <t>-447.024707026346 206.326065189897 206.909401728552</t>
  </si>
  <si>
    <t>-489.714885591955 157.334158959933 672.431558692125</t>
  </si>
  <si>
    <t>-337.259709394789 142.06213316061 758.847425237177</t>
  </si>
  <si>
    <t>-512.69276549439 45.6493824439928 -222.906921320753</t>
  </si>
  <si>
    <t>-418.000671767196 -26.629387503648 216.941724144723</t>
  </si>
  <si>
    <t>-595.919045876953 -98.5539650554705 644.738585124954</t>
  </si>
  <si>
    <t>-452.298902010573 -156.558497277118 728.118668068832</t>
  </si>
  <si>
    <t>9763-20170724T164322.123685000.bin</t>
  </si>
  <si>
    <t>-478.940961397025 136.782822262159 -235.498717928081</t>
  </si>
  <si>
    <t>-519.745500259905 136.152695586246 -349.526843670402</t>
  </si>
  <si>
    <t>-540.401506557013 123.259970472368 -468.260489882516</t>
  </si>
  <si>
    <t>-550.669995467301 106.504428684323 -576.003930205219</t>
  </si>
  <si>
    <t>-552.636615162449 84.6703103740554 -683.308438058252</t>
  </si>
  <si>
    <t>-546.776072181874 49.0310917077316 -831.279744563214</t>
  </si>
  <si>
    <t>-508.485764513938 23.7173817409137 -922.252517793339</t>
  </si>
  <si>
    <t>-535.719011141283 92.8349185477108 -772.018626423428</t>
  </si>
  <si>
    <t>-479.933101551589 228.897373041696 -775.041009174477</t>
  </si>
  <si>
    <t>-436.262914200892 292.486549773882 -468.06311115035</t>
  </si>
  <si>
    <t>-269.765494005856 178.864329858109 -303.713977445175</t>
  </si>
  <si>
    <t>-563.019360256667 36.7657540303169 -759.595440518308</t>
  </si>
  <si>
    <t>-445.284515589271 227.851564458178 -248.037219329809</t>
  </si>
  <si>
    <t>-446.817616494571 206.184550861678 207.139535977841</t>
  </si>
  <si>
    <t>-489.785339342836 157.037632124402 672.56561690584</t>
  </si>
  <si>
    <t>-337.261470991869 141.907303696466 758.885055338217</t>
  </si>
  <si>
    <t>-512.381409654953 45.7298012995252 -222.540819202682</t>
  </si>
  <si>
    <t>-417.811722597362 -26.4861181007504 217.344596587457</t>
  </si>
  <si>
    <t>-595.919509188998 -98.4620684680419 645.088926922557</t>
  </si>
  <si>
    <t>-452.399358368892 -156.625144128775 728.530603610165</t>
  </si>
  <si>
    <t>9763-20170724T164322.190372300.bin</t>
  </si>
  <si>
    <t>-478.850923510853 136.573229931792 -235.319218239881</t>
  </si>
  <si>
    <t>-519.434791403255 135.794311774033 -349.425097683352</t>
  </si>
  <si>
    <t>-539.844037842167 122.796164639619 -468.18996203114</t>
  </si>
  <si>
    <t>-549.877437882297 105.971380492577 -575.944691648079</t>
  </si>
  <si>
    <t>-551.595763031366 84.0982178172088 -683.245681702224</t>
  </si>
  <si>
    <t>-545.375116642779 48.4402535301295 -831.197712932949</t>
  </si>
  <si>
    <t>-506.7968413277 23.420620379601 -922.13018020435</t>
  </si>
  <si>
    <t>-534.593251185657 92.3107213582016 -771.935081232381</t>
  </si>
  <si>
    <t>-479.473999811087 228.591351439563 -775.104928729729</t>
  </si>
  <si>
    <t>-438.757620626316 295.217910235763 -468.365054537762</t>
  </si>
  <si>
    <t>-272.803253386785 182.597019452095 -302.782106374406</t>
  </si>
  <si>
    <t>-561.661957098469 36.124892032189 -759.531925389754</t>
  </si>
  <si>
    <t>-445.245529286666 227.552329279479 -247.919847400051</t>
  </si>
  <si>
    <t>-447.200552328924 206.033441289549 207.262292325466</t>
  </si>
  <si>
    <t>-489.762697959777 156.987168304047 672.697570437934</t>
  </si>
  <si>
    <t>-337.131291902009 142.421826171901 758.924175035183</t>
  </si>
  <si>
    <t>-512.248869422007 45.5442797152812 -222.279698177959</t>
  </si>
  <si>
    <t>-417.891325740559 -26.4687845875682 217.684419330262</t>
  </si>
  <si>
    <t>-595.967464666408 -98.528367210429 645.588658425763</t>
  </si>
  <si>
    <t>-452.251878829386 -156.190662073209 729.041684983246</t>
  </si>
  <si>
    <t>9763-20170724T164322.224484100.bin</t>
  </si>
  <si>
    <t>-478.975765083435 136.4229794335 -235.322428686421</t>
  </si>
  <si>
    <t>-519.527262087337 135.612819959353 -349.439550702657</t>
  </si>
  <si>
    <t>-539.83761697639 122.575955069024 -468.21706641665</t>
  </si>
  <si>
    <t>-549.751679872781 105.718325131678 -575.977852116455</t>
  </si>
  <si>
    <t>-551.319590845601 83.8177837007495 -683.275243501237</t>
  </si>
  <si>
    <t>-544.85672649044 48.1302649377129 -831.209969800494</t>
  </si>
  <si>
    <t>-506.131814080294 23.2448777899727 -922.116871814324</t>
  </si>
  <si>
    <t>-534.257376673239 92.0507583255432 -771.951467553468</t>
  </si>
  <si>
    <t>-479.621486515138 228.523958877944 -775.063063985038</t>
  </si>
  <si>
    <t>-439.958420258184 297.072100178888 -468.608813010292</t>
  </si>
  <si>
    <t>-274.349863408169 184.836316916802 -302.419119049243</t>
  </si>
  <si>
    <t>-561.175295951705 35.7909717154605 -759.555440543868</t>
  </si>
  <si>
    <t>-445.392461600252 227.282905988823 -247.903126576448</t>
  </si>
  <si>
    <t>-447.41152856851 205.823651400437 207.281505755912</t>
  </si>
  <si>
    <t>-489.784738785592 156.502672664203 672.759239214369</t>
  </si>
  <si>
    <t>-337.035184081572 142.902469487634 758.93426590838</t>
  </si>
  <si>
    <t>-512.369620235255 45.5592984724526 -222.204491689447</t>
  </si>
  <si>
    <t>-417.990947554042 -26.3571040504897 217.770884078041</t>
  </si>
  <si>
    <t>-595.99276713932 -98.3119626395624 645.793769786189</t>
  </si>
  <si>
    <t>-452.401544185508 -156.30621738705 729.230808099403</t>
  </si>
  <si>
    <t>9763-20170724T164322.288150500.bin</t>
  </si>
  <si>
    <t>-479.491019818801 136.376669875563 -235.294313575293</t>
  </si>
  <si>
    <t>-519.967498009894 135.520765922478 -349.437804076975</t>
  </si>
  <si>
    <t>-539.999291544947 122.434418735831 -468.257078718287</t>
  </si>
  <si>
    <t>-549.575122275835 105.537095484617 -576.042276195523</t>
  </si>
  <si>
    <t>-550.718058211252 83.6057203144887 -683.338858440397</t>
  </si>
  <si>
    <t>-543.574266227357 47.8892061635201 -831.235213074301</t>
  </si>
  <si>
    <t>-504.418215531332 23.2489917558987 -922.024000995808</t>
  </si>
  <si>
    <t>-533.379352862244 91.8795861142925 -771.957442755548</t>
  </si>
  <si>
    <t>-479.287717780784 228.58845856652 -774.91819885186</t>
  </si>
  <si>
    <t>-443.104009375695 300.184201326372 -468.730408200241</t>
  </si>
  <si>
    <t>-277.786154757619 187.987918205925 -302.224845959386</t>
  </si>
  <si>
    <t>-560.091039810795 35.5057646818616 -759.633648716316</t>
  </si>
  <si>
    <t>-445.940384277887 227.280593184991 -247.890216669146</t>
  </si>
  <si>
    <t>-447.638784222551 205.882891509254 207.298691301364</t>
  </si>
  <si>
    <t>-489.646821815873 156.73330449824 672.783680178972</t>
  </si>
  <si>
    <t>-336.881110096734 143.361698436337 758.965747766724</t>
  </si>
  <si>
    <t>-512.835188804009 45.541487277244 -222.117290230502</t>
  </si>
  <si>
    <t>-418.163239269333 -26.3291148185913 217.80255113844</t>
  </si>
  <si>
    <t>-596.09570615188 -98.5364811142603 646.020727273361</t>
  </si>
  <si>
    <t>-452.197283812719 -155.84188938807 729.404408064953</t>
  </si>
  <si>
    <t>9763-20170724T164322.321239400.bin</t>
  </si>
  <si>
    <t>-479.864773563822 136.347078989821 -235.306800263492</t>
  </si>
  <si>
    <t>-520.296663032296 135.431757773134 -349.465670944037</t>
  </si>
  <si>
    <t>-540.241505913811 122.306585942145 -468.295344380274</t>
  </si>
  <si>
    <t>-549.723057994598 105.381099921562 -576.084370483468</t>
  </si>
  <si>
    <t>-550.757021420486 83.4275587430017 -683.377499412998</t>
  </si>
  <si>
    <t>-543.447912067532 47.6856456928799 -831.259705979232</t>
  </si>
  <si>
    <t>-504.108399206417 23.056188519886 -921.972206124394</t>
  </si>
  <si>
    <t>-533.345045955153 91.697483547454 -771.982297665078</t>
  </si>
  <si>
    <t>-479.307163940635 228.450117378981 -774.865269677687</t>
  </si>
  <si>
    <t>-444.731397996664 301.464624184063 -468.826860132888</t>
  </si>
  <si>
    <t>-279.476398336386 189.041436726867 -302.412040362705</t>
  </si>
  <si>
    <t>-560.018942018663 35.3031633150642 -759.670564378726</t>
  </si>
  <si>
    <t>-446.371019877457 227.280439013498 -247.878647593361</t>
  </si>
  <si>
    <t>-447.757743267411 205.970743498133 207.31536510344</t>
  </si>
  <si>
    <t>-489.601415518552 156.776196201035 672.809293246003</t>
  </si>
  <si>
    <t>-336.877459788848 143.024498195547 759.005446347211</t>
  </si>
  <si>
    <t>-513.180113791161 45.4635824910986 -222.110605647843</t>
  </si>
  <si>
    <t>-418.283269353293 -26.1864328636452 217.796786504351</t>
  </si>
  <si>
    <t>-596.124037877965 -98.563473706425 646.077968630127</t>
  </si>
  <si>
    <t>-452.278942700137 -156.011453390865 729.455630439778</t>
  </si>
  <si>
    <t>9763-20170724T164322.391492700.bin</t>
  </si>
  <si>
    <t>-480.734015801678 135.873121094791 -235.353376677199</t>
  </si>
  <si>
    <t>-521.097082805962 134.856482122521 -349.535698668382</t>
  </si>
  <si>
    <t>-540.907338646618 121.591484126962 -468.37228177756</t>
  </si>
  <si>
    <t>-550.241759219135 104.524903477869 -576.151886103699</t>
  </si>
  <si>
    <t>-551.104757981613 82.4158982401621 -683.414815734526</t>
  </si>
  <si>
    <t>-543.534796810118 46.4439198940699 -831.227822918821</t>
  </si>
  <si>
    <t>-503.927928677084 21.7634369007725 -921.810232576206</t>
  </si>
  <si>
    <t>-533.621587186973 90.5852138517154 -772.014636208</t>
  </si>
  <si>
    <t>-479.964280437257 227.464885153277 -774.983079089972</t>
  </si>
  <si>
    <t>-447.711904694282 301.606514068268 -468.961742961426</t>
  </si>
  <si>
    <t>-282.090044319892 189.937554050367 -302.404168599171</t>
  </si>
  <si>
    <t>-560.146961588257 34.1356206138375 -759.635511684965</t>
  </si>
  <si>
    <t>-447.411848704331 226.780584335672 -247.905950398835</t>
  </si>
  <si>
    <t>-448.317469315072 205.677039522791 207.298902241069</t>
  </si>
  <si>
    <t>-489.549160577244 156.614557900872 672.872244220841</t>
  </si>
  <si>
    <t>-336.738402886579 143.612736534616 759.030989371881</t>
  </si>
  <si>
    <t>-513.944009760047 44.9112595105189 -222.251319012822</t>
  </si>
  <si>
    <t>-418.678490548468 -25.9274909355012 217.707752053168</t>
  </si>
  <si>
    <t>-596.203829509484 -98.5257842936706 646.204110177065</t>
  </si>
  <si>
    <t>-452.283574414178 -155.894903049193 729.506244744814</t>
  </si>
  <si>
    <t>9763-20170724T164322.424576300.bin</t>
  </si>
  <si>
    <t>-481.369824462218 135.737650982949 -235.365179166564</t>
  </si>
  <si>
    <t>-521.781293554483 134.699169983147 -349.530187283626</t>
  </si>
  <si>
    <t>-541.523116234904 121.355407275897 -468.369438057518</t>
  </si>
  <si>
    <t>-550.746860189148 104.195774407042 -576.143918125298</t>
  </si>
  <si>
    <t>-551.450888478571 81.9731424734443 -683.384215019077</t>
  </si>
  <si>
    <t>-543.611055773767 45.8232030059091 -831.139873187817</t>
  </si>
  <si>
    <t>-503.8722789484 21.1546221440838 -921.667558213563</t>
  </si>
  <si>
    <t>-533.858333559276 90.0585568102003 -771.970414603731</t>
  </si>
  <si>
    <t>-480.44004864181 227.023202193492 -775.000634780808</t>
  </si>
  <si>
    <t>-448.645791045779 301.336657505487 -468.973105863518</t>
  </si>
  <si>
    <t>-282.768814045118 190.345722174185 -302.216062473232</t>
  </si>
  <si>
    <t>-560.301471085939 33.5783020184871 -759.554928059678</t>
  </si>
  <si>
    <t>-448.146473451677 226.782939465255 -247.906607232528</t>
  </si>
  <si>
    <t>-448.609241762468 205.688104932995 207.299358322626</t>
  </si>
  <si>
    <t>-489.504480732176 156.852532856619 672.905895826774</t>
  </si>
  <si>
    <t>-336.717642587242 143.551533996815 759.061471929663</t>
  </si>
  <si>
    <t>-514.508086400778 44.7795315018319 -222.227415556408</t>
  </si>
  <si>
    <t>-418.906233258901 -25.8685805676158 217.689346859451</t>
  </si>
  <si>
    <t>-596.264391763047 -98.425219835519 646.279676417019</t>
  </si>
  <si>
    <t>-452.394279424923 -155.985450583167 729.536469568856</t>
  </si>
  <si>
    <t>9763-20170724T164322.487252900.bin</t>
  </si>
  <si>
    <t>-482.591167466447 135.56894398567 -235.367684002635</t>
  </si>
  <si>
    <t>-523.1106349537 134.539860706919 -349.494509448654</t>
  </si>
  <si>
    <t>-542.90668275396 121.135120786865 -468.317792214811</t>
  </si>
  <si>
    <t>-552.156402107403 103.892015113831 -576.076620041939</t>
  </si>
  <si>
    <t>-552.863555465712 81.5583019793623 -683.293936109676</t>
  </si>
  <si>
    <t>-545.004802654233 45.2259387726811 -831.00377170925</t>
  </si>
  <si>
    <t>-505.180743650002 20.5092691655101 -921.480969217305</t>
  </si>
  <si>
    <t>-535.277287269088 89.5419726909846 -771.890383437164</t>
  </si>
  <si>
    <t>-482.04496498833 226.595634723039 -775.146834558508</t>
  </si>
  <si>
    <t>-450.377748533423 301.289968348567 -469.198939458029</t>
  </si>
  <si>
    <t>-284.384930489094 191.043878038138 -302.063617312049</t>
  </si>
  <si>
    <t>-561.686850703351 33.0618445596814 -759.403130995284</t>
  </si>
  <si>
    <t>-449.439682379193 226.62765777002 -247.896604328435</t>
  </si>
  <si>
    <t>-449.247135652114 205.686869680248 207.316668643832</t>
  </si>
  <si>
    <t>-489.464033695609 156.97169715963 672.979693022047</t>
  </si>
  <si>
    <t>-336.652232279955 143.683645054518 759.092884737095</t>
  </si>
  <si>
    <t>-515.591891797395 44.6244013689626 -222.210254963313</t>
  </si>
  <si>
    <t>-419.413144018041 -25.7101582558022 217.631044165243</t>
  </si>
  <si>
    <t>-596.352177439179 -98.0216797019306 646.392385734659</t>
  </si>
  <si>
    <t>-452.538631420285 -155.811614887955 729.587780327265</t>
  </si>
  <si>
    <t>9763-20170724T164322.519341400.bin</t>
  </si>
  <si>
    <t>-483.121445988422 135.433732460899 -235.353856811126</t>
  </si>
  <si>
    <t>-523.692727748552 134.414511636164 -349.462312592939</t>
  </si>
  <si>
    <t>-543.559513772459 120.900028958441 -468.261384266633</t>
  </si>
  <si>
    <t>-552.87987877241 103.511673434603 -575.990861089137</t>
  </si>
  <si>
    <t>-553.664250897078 80.988774328665 -683.16811594428</t>
  </si>
  <si>
    <t>-545.919567418454 44.3500138429921 -830.808205432326</t>
  </si>
  <si>
    <t>-506.124994856528 19.4930787349626 -921.259933261359</t>
  </si>
  <si>
    <t>-536.130217032019 88.7815514525332 -771.79192212219</t>
  </si>
  <si>
    <t>-482.996539345404 225.865764703486 -775.397798279642</t>
  </si>
  <si>
    <t>-451.609785995601 300.84527623399 -469.490683598685</t>
  </si>
  <si>
    <t>-285.560613553861 190.423311662041 -302.527511831271</t>
  </si>
  <si>
    <t>-562.56247354324 32.3415543782903 -759.172167676985</t>
  </si>
  <si>
    <t>-449.906246655713 226.507948080308 -247.916660281253</t>
  </si>
  <si>
    <t>-449.528685080317 205.693103108733 207.302223728023</t>
  </si>
  <si>
    <t>-489.435551022752 157.105402602381 673.004352475101</t>
  </si>
  <si>
    <t>-336.65865300655 143.354421027454 759.106863874407</t>
  </si>
  <si>
    <t>-516.198311809201 44.4313405312308 -222.149408292723</t>
  </si>
  <si>
    <t>-419.625573348855 -25.8012323490811 217.621813303028</t>
  </si>
  <si>
    <t>-596.426062628271 -98.1826729085396 646.447495221587</t>
  </si>
  <si>
    <t>-452.454763953356 -155.638968505343 729.601283726903</t>
  </si>
  <si>
    <t>9763-20170724T164322.584526200.bin</t>
  </si>
  <si>
    <t>-484.083613461511 134.952936441223 -235.380463706061</t>
  </si>
  <si>
    <t>-524.764029111174 134.044886010879 -349.45092128387</t>
  </si>
  <si>
    <t>-544.767955059444 120.312174786746 -468.20211953036</t>
  </si>
  <si>
    <t>-554.225043937763 102.593070335279 -575.865717947737</t>
  </si>
  <si>
    <t>-555.160685499441 79.6080102417324 -682.943565878818</t>
  </si>
  <si>
    <t>-547.644053214061 42.1925267596462 -830.400577649999</t>
  </si>
  <si>
    <t>-507.965922973065 16.9068923017145 -920.784622394737</t>
  </si>
  <si>
    <t>-537.649378997689 86.8844401573262 -771.615796398299</t>
  </si>
  <si>
    <t>-484.413202652888 223.895892500937 -775.815567754855</t>
  </si>
  <si>
    <t>-454.330838308039 300.265893222631 -470.121510549182</t>
  </si>
  <si>
    <t>-288.168994696589 188.571369456705 -304.119533209064</t>
  </si>
  <si>
    <t>-564.290476190813 30.6109616034121 -758.695054142172</t>
  </si>
  <si>
    <t>-450.578400667221 225.944271310216 -247.974286630657</t>
  </si>
  <si>
    <t>-449.874601750106 205.2499832298 207.249742672525</t>
  </si>
  <si>
    <t>-489.419132823372 156.927788922345 673.042791264451</t>
  </si>
  <si>
    <t>-336.617884999682 143.25283830787 759.114093164177</t>
  </si>
  <si>
    <t>-517.463771795775 43.9974789254251 -222.157094128314</t>
  </si>
  <si>
    <t>-420.20957076752 -26.2807069425057 217.456663171703</t>
  </si>
  <si>
    <t>-596.521042881816 -98.4678756224606 646.516881630106</t>
  </si>
  <si>
    <t>-452.341870574018 -155.427134214235 729.652330376358</t>
  </si>
  <si>
    <t>9763-20170724T164322.622628200.bin</t>
  </si>
  <si>
    <t>-484.561162663629 134.699943965166 -235.474406036855</t>
  </si>
  <si>
    <t>-525.266585586773 133.892371033612 -349.536790364399</t>
  </si>
  <si>
    <t>-545.354839808932 120.098061647285 -468.266432862718</t>
  </si>
  <si>
    <t>-554.914228108788 102.255734063496 -575.900722840704</t>
  </si>
  <si>
    <t>-555.979725386541 79.0797398549774 -682.936138893036</t>
  </si>
  <si>
    <t>-548.673790086384 41.3286542609106 -830.318215558199</t>
  </si>
  <si>
    <t>-509.092740602321 15.7839308472663 -920.671894511847</t>
  </si>
  <si>
    <t>-538.521364364125 86.1219551297167 -771.637700380172</t>
  </si>
  <si>
    <t>-485.171928768578 223.081385336661 -776.104437167316</t>
  </si>
  <si>
    <t>-455.747133965348 299.891353767229 -470.456546028463</t>
  </si>
  <si>
    <t>-289.424080450596 188.092810672175 -304.68626336899</t>
  </si>
  <si>
    <t>-565.29153082262 29.9426951604758 -758.574728599385</t>
  </si>
  <si>
    <t>-450.95393747759 225.719116567112 -248.028426799925</t>
  </si>
  <si>
    <t>-449.892019678179 205.020757391873 207.194734445863</t>
  </si>
  <si>
    <t>-489.387933548673 156.919735159535 673.033535921521</t>
  </si>
  <si>
    <t>-336.619137366186 142.954832862564 759.116004424482</t>
  </si>
  <si>
    <t>-518.020102431813 43.7042148712742 -222.32891753666</t>
  </si>
  <si>
    <t>-420.714450878591 -26.522179938389 217.281716529932</t>
  </si>
  <si>
    <t>-596.56631995013 -98.5888724216052 646.584661544277</t>
  </si>
  <si>
    <t>-452.343825425745 -155.398576908553 729.747476292854</t>
  </si>
  <si>
    <t>9763-20170724T164322.690474200.bin</t>
  </si>
  <si>
    <t>-485.415220710374 134.225124912243 -235.52472980178</t>
  </si>
  <si>
    <t>-526.288303627773 133.592828151928 -349.52823158806</t>
  </si>
  <si>
    <t>-546.614900654047 119.732668846841 -468.209695553554</t>
  </si>
  <si>
    <t>-556.417979502919 101.732824965381 -575.795703798744</t>
  </si>
  <si>
    <t>-557.755161145126 78.3029156155459 -682.77278667281</t>
  </si>
  <si>
    <t>-550.856791630142 40.1002198947978 -830.058121201865</t>
  </si>
  <si>
    <t>-511.524303009125 14.0393533913239 -920.373042725722</t>
  </si>
  <si>
    <t>-540.417423966035 85.0181627979021 -771.523364012083</t>
  </si>
  <si>
    <t>-486.770863945678 221.84941018978 -776.378436872464</t>
  </si>
  <si>
    <t>-457.632891964869 299.331096520907 -470.87278699787</t>
  </si>
  <si>
    <t>-291.051199944151 187.463683410186 -305.408960016878</t>
  </si>
  <si>
    <t>-567.400795792381 28.9892923832459 -758.254526011242</t>
  </si>
  <si>
    <t>-451.437502203404 225.079377256049 -248.084677014005</t>
  </si>
  <si>
    <t>-449.900157365028 204.495439692962 207.142353859534</t>
  </si>
  <si>
    <t>-489.366313586836 156.878541874765 673.036519888858</t>
  </si>
  <si>
    <t>-336.585837465764 142.969189265189 759.107233002038</t>
  </si>
  <si>
    <t>-519.249858875514 43.4603433909468 -222.322145857657</t>
  </si>
  <si>
    <t>-421.866140298088 -27.0866322639266 217.21985010986</t>
  </si>
  <si>
    <t>-596.739015386014 -98.6904246330166 646.9195362125</t>
  </si>
  <si>
    <t>-452.303232078213 -155.187060344495 729.925330552315</t>
  </si>
  <si>
    <t>9763-20170724T164322.719551400.bin</t>
  </si>
  <si>
    <t>-485.838046915017 134.234537850248 -235.539630656132</t>
  </si>
  <si>
    <t>-526.758755559703 133.700108435099 -349.526507714691</t>
  </si>
  <si>
    <t>-547.181011595938 119.844419900351 -468.192153599289</t>
  </si>
  <si>
    <t>-557.087853647876 101.813756601776 -575.763642694841</t>
  </si>
  <si>
    <t>-558.544974493783 78.3206267481447 -682.725216751188</t>
  </si>
  <si>
    <t>-551.828650533856 39.9984195790781 -829.987954872936</t>
  </si>
  <si>
    <t>-512.618243931699 13.7325780459108 -920.296416822475</t>
  </si>
  <si>
    <t>-541.269631998769 84.9428365764142 -771.495045763334</t>
  </si>
  <si>
    <t>-487.531768292324 221.723196354267 -776.425986323034</t>
  </si>
  <si>
    <t>-458.151166645889 299.997844668676 -471.145739415636</t>
  </si>
  <si>
    <t>-291.626009933406 187.352531353535 -306.153458942448</t>
  </si>
  <si>
    <t>-568.331283040525 28.9668366073639 -758.162450785851</t>
  </si>
  <si>
    <t>-451.646111127747 225.094788675273 -248.136838518254</t>
  </si>
  <si>
    <t>-449.875376528842 204.543764986573 207.090702678146</t>
  </si>
  <si>
    <t>-489.301131240465 157.295099815984 673.016284108945</t>
  </si>
  <si>
    <t>-336.616166396153 142.495278218166 759.10800182089</t>
  </si>
  <si>
    <t>-519.858815103555 43.4629489707656 -222.359516891458</t>
  </si>
  <si>
    <t>-422.360869732916 -27.1219850391424 217.151068327113</t>
  </si>
  <si>
    <t>-596.806598995322 -98.4637559599453 647.075612136986</t>
  </si>
  <si>
    <t>-452.4388270192 -155.248350018221 730.00310949664</t>
  </si>
  <si>
    <t>9763-20170724T164322.790269400.bin</t>
  </si>
  <si>
    <t>-486.81666817528 133.735524025237 -235.464418422023</t>
  </si>
  <si>
    <t>-528.019380280371 133.453525024769 -349.350592123853</t>
  </si>
  <si>
    <t>-548.683799962987 119.631899878598 -467.978184664347</t>
  </si>
  <si>
    <t>-558.781383590469 101.555901670069 -575.5241857833</t>
  </si>
  <si>
    <t>-560.394433808657 77.9510673101304 -682.459012791335</t>
  </si>
  <si>
    <t>-553.853632445261 39.4134847090266 -829.673339037954</t>
  </si>
  <si>
    <t>-514.745519240038 12.8871604961786 -919.950119399534</t>
  </si>
  <si>
    <t>-543.170590002506 84.4191455638905 -771.250037293706</t>
  </si>
  <si>
    <t>-489.356040462524 221.19148462547 -776.352926910559</t>
  </si>
  <si>
    <t>-460.929900724728 300.729826134809 -471.309042442908</t>
  </si>
  <si>
    <t>-293.666192079518 189.230382184251 -306.285503917126</t>
  </si>
  <si>
    <t>-570.324971045117 28.5112345399747 -757.821173903351</t>
  </si>
  <si>
    <t>-452.213952809503 224.508846651691 -248.182415791326</t>
  </si>
  <si>
    <t>-450.087780496648 204.096013337851 207.049919523796</t>
  </si>
  <si>
    <t>-489.234459996448 157.382248428279 673.012117140811</t>
  </si>
  <si>
    <t>-336.497280314064 143.042630729878 759.089175934928</t>
  </si>
  <si>
    <t>-521.260552998383 43.026368214818 -222.138416394392</t>
  </si>
  <si>
    <t>-422.9594174244 -27.7543630295532 217.161762765345</t>
  </si>
  <si>
    <t>-596.963578356288 -98.3094262387152 647.376795876521</t>
  </si>
  <si>
    <t>-452.537493653149 -155.118931620713 730.185543145628</t>
  </si>
  <si>
    <t>9763-20170724T164322.825360500.bin</t>
  </si>
  <si>
    <t>-487.35876502785 133.331262392217 -235.422350640412</t>
  </si>
  <si>
    <t>-528.687161819834 133.162487899645 -349.26321690348</t>
  </si>
  <si>
    <t>-549.348165634838 119.322165610055 -467.889250552747</t>
  </si>
  <si>
    <t>-559.383126389651 101.183312446535 -575.430529470971</t>
  </si>
  <si>
    <t>-560.871245851073 77.475607897573 -682.344484885465</t>
  </si>
  <si>
    <t>-554.090587052305 38.7597187607792 -829.501260185348</t>
  </si>
  <si>
    <t>-514.896095365035 12.160982692514 -919.719177961841</t>
  </si>
  <si>
    <t>-543.49600642576 83.8331318505673 -771.11403096331</t>
  </si>
  <si>
    <t>-489.795944994191 220.624577920736 -776.243443091234</t>
  </si>
  <si>
    <t>-462.512224043568 300.677583359608 -471.229873268676</t>
  </si>
  <si>
    <t>-294.95070991531 190.105909840966 -305.884453460809</t>
  </si>
  <si>
    <t>-570.685744550054 27.9475133658512 -757.663705521932</t>
  </si>
  <si>
    <t>-452.566735627245 224.008789398877 -248.212312890935</t>
  </si>
  <si>
    <t>-450.062605882042 203.645250537855 207.020396188652</t>
  </si>
  <si>
    <t>-489.242482737956 156.978793073214 673.014931113656</t>
  </si>
  <si>
    <t>-336.496916275736 142.822011198755 759.107258728133</t>
  </si>
  <si>
    <t>-521.970861541667 42.6986232100234 -222.025383544005</t>
  </si>
  <si>
    <t>-423.21875364216 -28.2932698809238 217.139445488212</t>
  </si>
  <si>
    <t>-597.056522018592 -98.4714676878239 647.483958808339</t>
  </si>
  <si>
    <t>-452.44140993158 -154.904644439377 730.220183740729</t>
  </si>
  <si>
    <t>9763-20170724T164322.889582600.bin</t>
  </si>
  <si>
    <t>-488.772816670639 132.88632516017 -235.467520612158</t>
  </si>
  <si>
    <t>-530.456805781457 132.926869379828 -349.178768189735</t>
  </si>
  <si>
    <t>-551.171551806587 119.165306007161 -467.804602269575</t>
  </si>
  <si>
    <t>-561.116099457096 101.058231902683 -575.359712916558</t>
  </si>
  <si>
    <t>-562.368256858041 77.3537148754144 -682.277348360656</t>
  </si>
  <si>
    <t>-555.103658556862 38.6230424517133 -829.407054139775</t>
  </si>
  <si>
    <t>-515.635399558036 12.0267027292593 -919.506306307849</t>
  </si>
  <si>
    <t>-544.745188043121 83.7219966738238 -770.997292059209</t>
  </si>
  <si>
    <t>-491.262918199573 220.62445681729 -775.870721826083</t>
  </si>
  <si>
    <t>-466.675884002413 301.419698754321 -470.823561758466</t>
  </si>
  <si>
    <t>-299.596478529574 190.908233241883 -304.950826633611</t>
  </si>
  <si>
    <t>-571.89081280881 27.7983258304703 -757.616122736056</t>
  </si>
  <si>
    <t>-453.781483734734 223.600243411754 -248.342187361705</t>
  </si>
  <si>
    <t>-450.33256419399 203.221241471371 206.883605042669</t>
  </si>
  <si>
    <t>-489.079631586873 157.05894684983 672.883163175475</t>
  </si>
  <si>
    <t>-336.466441581978 142.504360383471 759.143694763462</t>
  </si>
  <si>
    <t>-523.661230766518 42.2687320052938 -221.955273445941</t>
  </si>
  <si>
    <t>-423.88981308118 -28.5313099429748 217.010236088087</t>
  </si>
  <si>
    <t>-597.163538280383 -97.9591689635364 647.654676002215</t>
  </si>
  <si>
    <t>-452.761532806018 -155.076785044848 730.293329284023</t>
  </si>
  <si>
    <t>9763-20170724T164322.924676500.bin</t>
  </si>
  <si>
    <t>-489.601984716152 132.815086442147 -235.673778689111</t>
  </si>
  <si>
    <t>-531.362694666329 132.899715435667 -349.356847254928</t>
  </si>
  <si>
    <t>-552.012423403494 119.150451977128 -467.995394504181</t>
  </si>
  <si>
    <t>-561.835228381396 101.047063086536 -575.562424337929</t>
  </si>
  <si>
    <t>-562.900452963837 77.3430303198663 -682.482204978154</t>
  </si>
  <si>
    <t>-555.30758653876 38.6138158161872 -829.595803908235</t>
  </si>
  <si>
    <t>-515.658401693387 12.0566976415328 -919.626949783241</t>
  </si>
  <si>
    <t>-545.106322528646 83.7241695315918 -771.167020458626</t>
  </si>
  <si>
    <t>-491.712609641141 220.641993691276 -775.877429214977</t>
  </si>
  <si>
    <t>-468.010946707701 301.581430449064 -470.798331491874</t>
  </si>
  <si>
    <t>-300.705373965792 192.670211069388 -304.097258927652</t>
  </si>
  <si>
    <t>-572.228120822306 27.7764609482994 -757.838023869747</t>
  </si>
  <si>
    <t>-454.464975125259 223.706989063061 -248.696739620266</t>
  </si>
  <si>
    <t>-450.710975220898 203.385948865183 206.529134571396</t>
  </si>
  <si>
    <t>-488.603928163164 157.48213083818 672.305157764672</t>
  </si>
  <si>
    <t>-336.474829132971 141.714490486519 759.205267221733</t>
  </si>
  <si>
    <t>-524.551489503299 42.0502320766342 -222.100637098452</t>
  </si>
  <si>
    <t>-424.297890758805 -28.8416742176579 216.74012013088</t>
  </si>
  <si>
    <t>-597.172592417468 -97.9682414910277 647.571519762743</t>
  </si>
  <si>
    <t>-452.829391015317 -155.101804312209 730.301866618119</t>
  </si>
  <si>
    <t>9763-20170724T164322.989016400.bin</t>
  </si>
  <si>
    <t>-490.560990526021 132.654333410418 -237.307660386265</t>
  </si>
  <si>
    <t>-532.557786024482 132.77377223733 -350.903667207103</t>
  </si>
  <si>
    <t>-553.17013386811 119.122566002703 -469.560087445014</t>
  </si>
  <si>
    <t>-562.839182412843 101.137914412618 -577.16068004896</t>
  </si>
  <si>
    <t>-563.627828240662 77.5863705860688 -684.116573323342</t>
  </si>
  <si>
    <t>-555.521262062505 39.1081766062884 -831.268667537474</t>
  </si>
  <si>
    <t>-515.525390408461 12.6441310019267 -921.173935645117</t>
  </si>
  <si>
    <t>-545.548363534916 84.1295178574574 -772.731986514149</t>
  </si>
  <si>
    <t>-492.250533329465 221.10706257034 -776.888610507478</t>
  </si>
  <si>
    <t>-469.90160114456 301.146453944577 -471.470130383594</t>
  </si>
  <si>
    <t>-301.97904503318 193.648630463514 -304.472383853522</t>
  </si>
  <si>
    <t>-572.667919519972 28.1376690725822 -759.584895912323</t>
  </si>
  <si>
    <t>-454.757861055608 223.591573488969 -250.895777793759</t>
  </si>
  <si>
    <t>-450.480392845491 203.551421188069 204.338120209351</t>
  </si>
  <si>
    <t>-486.237146804015 158.317943893446 669.539549428875</t>
  </si>
  <si>
    <t>-336.047373304267 141.086408707574 759.481877136219</t>
  </si>
  <si>
    <t>-526.02465010778 41.7970509099169 -223.404628430782</t>
  </si>
  <si>
    <t>-425.281056748423 -29.428075612254 215.269955752184</t>
  </si>
  <si>
    <t>-597.267688429621 -97.5684452133267 647.027867460775</t>
  </si>
  <si>
    <t>-453.098969135128 -155.060088713428 729.81442246954</t>
  </si>
  <si>
    <t>9763-20170724T164323.022109800.bin</t>
  </si>
  <si>
    <t>-490.698931946424 132.685233253455 -238.588268500149</t>
  </si>
  <si>
    <t>-532.799051725636 132.846332378946 -352.145943945339</t>
  </si>
  <si>
    <t>-553.405967154163 119.26244184909 -470.811039475055</t>
  </si>
  <si>
    <t>-563.020041957009 101.353953825553 -578.42934097059</t>
  </si>
  <si>
    <t>-563.700985491913 77.8972945157888 -685.406830977581</t>
  </si>
  <si>
    <t>-555.388321247694 39.5737598326126 -832.587740792763</t>
  </si>
  <si>
    <t>-515.256463564425 13.1999260751084 -922.45890999009</t>
  </si>
  <si>
    <t>-545.525552898182 84.546016136429 -773.994697189463</t>
  </si>
  <si>
    <t>-492.3495396789 221.584007739515 -777.947674412026</t>
  </si>
  <si>
    <t>-469.918194830706 301.204880774766 -472.425944825152</t>
  </si>
  <si>
    <t>-301.517482686199 194.07457663067 -305.673682114668</t>
  </si>
  <si>
    <t>-572.607279304656 28.5154828716836 -760.934732696222</t>
  </si>
  <si>
    <t>-454.464201243656 223.641028938431 -252.381972900409</t>
  </si>
  <si>
    <t>-449.999513546125 203.729729664923 202.855677530628</t>
  </si>
  <si>
    <t>-484.929518663145 158.773562849783 668.348519662178</t>
  </si>
  <si>
    <t>-335.736125893185 140.595825320699 759.751019202206</t>
  </si>
  <si>
    <t>-526.626033345669 41.7679188396516 -224.437449014657</t>
  </si>
  <si>
    <t>-425.648321418164 -29.5701069663855 214.164938602514</t>
  </si>
  <si>
    <t>-597.358325381777 -97.3642926051351 646.490240525103</t>
  </si>
  <si>
    <t>-453.296353219537 -155.30055553917 729.152669705629</t>
  </si>
  <si>
    <t>9763-20170724T164323.087815800.bin</t>
  </si>
  <si>
    <t>-491.596992079249 132.055192567906 -240.573257862268</t>
  </si>
  <si>
    <t>-533.848088218527 132.254546479721 -354.07478689159</t>
  </si>
  <si>
    <t>-554.486958936324 118.714953262933 -472.739358494799</t>
  </si>
  <si>
    <t>-564.075046111292 100.854134606261 -580.368040095676</t>
  </si>
  <si>
    <t>-564.672136075497 77.4567154757827 -687.358825562318</t>
  </si>
  <si>
    <t>-556.180734081153 39.231197207778 -834.554971496986</t>
  </si>
  <si>
    <t>-515.85209498898 12.9813609016838 -924.374464471679</t>
  </si>
  <si>
    <t>-546.407864817288 84.1726644365054 -775.92333551844</t>
  </si>
  <si>
    <t>-493.22128692873 221.229477237785 -779.673343190592</t>
  </si>
  <si>
    <t>-470.418732199307 299.955245731352 -473.946998903847</t>
  </si>
  <si>
    <t>-301.150506460956 193.484545189718 -307.651191616861</t>
  </si>
  <si>
    <t>-573.467887567343 28.1168698246295 -762.927169103341</t>
  </si>
  <si>
    <t>-455.136561269203 223.216487947397 -254.169958253491</t>
  </si>
  <si>
    <t>-450.030028413209 203.471532125866 201.068144651861</t>
  </si>
  <si>
    <t>-483.875330542799 159.346598178774 667.375272727943</t>
  </si>
  <si>
    <t>-335.660477547057 140.104966326537 760.141699573027</t>
  </si>
  <si>
    <t>-528.068917934723 40.8723143709648 -226.249445203333</t>
  </si>
  <si>
    <t>-426.445263629418 -30.3049735652692 212.229863414097</t>
  </si>
  <si>
    <t>-597.499061664257 -97.6098557656489 645.387532764953</t>
  </si>
  <si>
    <t>-452.935587139948 -154.144542496994 728.144633852957</t>
  </si>
  <si>
    <t>9763-20170724T164323.120903900.bin</t>
  </si>
  <si>
    <t>-492.156671189947 131.907445340382 -241.195333151604</t>
  </si>
  <si>
    <t>-534.43009047504 132.088722536482 -354.688676536317</t>
  </si>
  <si>
    <t>-555.081282422634 118.580827092876 -473.354691048221</t>
  </si>
  <si>
    <t>-564.67768966405 100.765628988035 -580.990060319296</t>
  </si>
  <si>
    <t>-565.280968206826 77.4287182378845 -687.994202619449</t>
  </si>
  <si>
    <t>-556.79660017223 39.3008731990925 -835.216068152803</t>
  </si>
  <si>
    <t>-516.459247306064 13.104541928881 -925.047190639351</t>
  </si>
  <si>
    <t>-547.003356572017 84.195688935748 -776.551993774587</t>
  </si>
  <si>
    <t>-493.736661059058 221.211805452248 -780.152180650768</t>
  </si>
  <si>
    <t>-470.412188814105 299.741850849516 -474.414981372364</t>
  </si>
  <si>
    <t>-301.331185127685 192.693948328445 -308.2994071345</t>
  </si>
  <si>
    <t>-574.098060038748 28.1468771289805 -763.597793762917</t>
  </si>
  <si>
    <t>-455.60403711577 223.286200030697 -254.632809283679</t>
  </si>
  <si>
    <t>-450.238302004328 203.592182180428 200.6045230746</t>
  </si>
  <si>
    <t>-483.513337056492 160.05994694701 667.014930779655</t>
  </si>
  <si>
    <t>-335.739106936548 139.401813811036 760.179046306991</t>
  </si>
  <si>
    <t>-528.650109772416 40.7033037429037 -226.885888886499</t>
  </si>
  <si>
    <t>-426.969421200803 -30.5962669177926 211.560262369455</t>
  </si>
  <si>
    <t>-597.606675494661 -97.7100143863291 644.998344648819</t>
  </si>
  <si>
    <t>-453.05091323136 -154.240261654663 727.771975302387</t>
  </si>
  <si>
    <t>9763-20170724T164323.194606200.bin</t>
  </si>
  <si>
    <t>-492.769075738125 131.268885950483 -241.789655623714</t>
  </si>
  <si>
    <t>-535.005036070804 131.358844547447 -355.296984729994</t>
  </si>
  <si>
    <t>-555.637472847623 117.828149314282 -473.963708906682</t>
  </si>
  <si>
    <t>-565.227606182673 100.016547618894 -581.600362649155</t>
  </si>
  <si>
    <t>-565.836673864623 76.7047075433271 -688.609801939269</t>
  </si>
  <si>
    <t>-557.373837250259 38.6314832709714 -835.847032445073</t>
  </si>
  <si>
    <t>-517.154136271914 12.5047189517195 -925.751127940875</t>
  </si>
  <si>
    <t>-547.553782056333 83.4964391260668 -777.16471662981</t>
  </si>
  <si>
    <t>-494.060913397424 220.420458369514 -780.636036802667</t>
  </si>
  <si>
    <t>-469.984758159739 298.852159590335 -474.931988160799</t>
  </si>
  <si>
    <t>-301.01010789049 192.330294415346 -308.370414585995</t>
  </si>
  <si>
    <t>-574.682969986399 27.4589816163917 -764.233536336117</t>
  </si>
  <si>
    <t>-456.155603875779 222.602670329777 -255.080687095552</t>
  </si>
  <si>
    <t>-450.85204796294 203.199754745014 200.169855411644</t>
  </si>
  <si>
    <t>-483.404013580017 159.94457902695 666.790747972429</t>
  </si>
  <si>
    <t>-335.731434477012 139.296996237158 760.118186563006</t>
  </si>
  <si>
    <t>-529.246144272236 39.9938181487923 -227.548634073573</t>
  </si>
  <si>
    <t>-427.49220577085 -31.154231877808 210.905187347467</t>
  </si>
  <si>
    <t>-597.781517469803 -97.7531476303746 644.42222945828</t>
  </si>
  <si>
    <t>-453.290315365335 -154.532461120846 727.138000798728</t>
  </si>
  <si>
    <t>9763-20170724T164323.223683000.bin</t>
  </si>
  <si>
    <t>-492.936525379489 131.061197242052 -241.94850509903</t>
  </si>
  <si>
    <t>-535.195018438558 131.136278560619 -355.447536071021</t>
  </si>
  <si>
    <t>-555.792356823157 117.635659325604 -474.12379612584</t>
  </si>
  <si>
    <t>-565.327397028654 99.8678155881366 -581.772362411692</t>
  </si>
  <si>
    <t>-565.858830919137 76.6151330538299 -688.795244353056</t>
  </si>
  <si>
    <t>-557.265102012378 38.6392994418428 -836.050055841661</t>
  </si>
  <si>
    <t>-517.074960990897 12.581043831941 -925.987291076316</t>
  </si>
  <si>
    <t>-547.489653714668 83.4620714517064 -777.32800847785</t>
  </si>
  <si>
    <t>-493.695592619671 220.270846471697 -780.485336703693</t>
  </si>
  <si>
    <t>-469.875593052646 298.13474501405 -474.616134981676</t>
  </si>
  <si>
    <t>-300.875944152229 191.193048721564 -308.349294821847</t>
  </si>
  <si>
    <t>-574.645363436196 27.4227839753217 -764.460857150061</t>
  </si>
  <si>
    <t>-456.318158187541 222.412162324233 -255.2120864687</t>
  </si>
  <si>
    <t>-451.051701316701 203.097150040498 200.04255479441</t>
  </si>
  <si>
    <t>-483.35935741856 159.884462794694 666.644473024973</t>
  </si>
  <si>
    <t>-335.740273889585 139.181685837331 760.044221740264</t>
  </si>
  <si>
    <t>-529.436235385193 39.848870446203 -227.704069886715</t>
  </si>
  <si>
    <t>-427.583643944627 -31.3963721658094 210.711045244595</t>
  </si>
  <si>
    <t>-597.835375607926 -97.7483747819509 644.184397626672</t>
  </si>
  <si>
    <t>-453.217653860902 -154.238266857811 726.877350339536</t>
  </si>
  <si>
    <t>9763-20170724T164323.287421300.bin</t>
  </si>
  <si>
    <t>-493.11248992882 130.739684412096 -242.096825293753</t>
  </si>
  <si>
    <t>-535.325741961838 130.762841865847 -355.61272507027</t>
  </si>
  <si>
    <t>-555.767807492361 117.380863370008 -474.329196308098</t>
  </si>
  <si>
    <t>-565.119156113377 99.7858174931599 -582.022365972344</t>
  </si>
  <si>
    <t>-565.424499794496 76.7687418795546 -689.096898091099</t>
  </si>
  <si>
    <t>-556.473682038448 39.1832787344184 -836.43065337346</t>
  </si>
  <si>
    <t>-516.274150540608 13.3755543565802 -926.435912058799</t>
  </si>
  <si>
    <t>-546.852836106583 83.8555780333968 -777.568552246609</t>
  </si>
  <si>
    <t>-492.816428935714 220.596944824438 -779.981411115094</t>
  </si>
  <si>
    <t>-468.283855719394 294.966164649958 -473.299892813381</t>
  </si>
  <si>
    <t>-297.471018077333 189.021365515622 -308.252266133816</t>
  </si>
  <si>
    <t>-574.015427283128 27.7717814058475 -764.911569483278</t>
  </si>
  <si>
    <t>-456.517940645957 222.06339658969 -255.420182954334</t>
  </si>
  <si>
    <t>-451.165419042994 202.760656707027 199.834022654582</t>
  </si>
  <si>
    <t>-483.274891560902 159.64225489173 666.421750534598</t>
  </si>
  <si>
    <t>-335.663393979498 139.495480227368 759.954944014598</t>
  </si>
  <si>
    <t>-529.48847730147 39.4636642907995 -227.99780486535</t>
  </si>
  <si>
    <t>-427.791707755886 -31.8750226559631 210.438292907265</t>
  </si>
  <si>
    <t>-597.985330959119 -97.7893831560903 643.907712797011</t>
  </si>
  <si>
    <t>-453.363609229262 -154.38703756382 726.519836542738</t>
  </si>
  <si>
    <t>9763-20170724T164323.325524400.bin</t>
  </si>
  <si>
    <t>-493.19421905459 130.737839919811 -242.116955595873</t>
  </si>
  <si>
    <t>-535.457112866909 130.720356733695 -355.61430617783</t>
  </si>
  <si>
    <t>-555.846300192958 117.433295387315 -474.350581436532</t>
  </si>
  <si>
    <t>-565.107960012685 99.9757145563525 -582.073821838484</t>
  </si>
  <si>
    <t>-565.282053752493 77.1455139730101 -689.188780563918</t>
  </si>
  <si>
    <t>-556.106345342145 39.8688261316895 -836.587170976511</t>
  </si>
  <si>
    <t>-515.830908191794 14.2417908280591 -926.610000592057</t>
  </si>
  <si>
    <t>-546.606827856127 84.4316350007612 -777.622367401514</t>
  </si>
  <si>
    <t>-492.825591248584 221.302826225502 -779.973275945811</t>
  </si>
  <si>
    <t>-467.232382045349 292.062508434198 -472.525331432513</t>
  </si>
  <si>
    <t>-295.130974480795 186.683847328762 -308.456697565852</t>
  </si>
  <si>
    <t>-573.725789329788 28.2935586419237 -765.113423282465</t>
  </si>
  <si>
    <t>-456.785938141782 222.170574230567 -255.458397566761</t>
  </si>
  <si>
    <t>-451.250384026111 202.881423215357 199.794334488129</t>
  </si>
  <si>
    <t>-483.237096894367 159.682522372561 666.375958020978</t>
  </si>
  <si>
    <t>-335.664795495395 139.438495115151 759.950044062639</t>
  </si>
  <si>
    <t>-529.409005636515 39.4196363540794 -228.039215859879</t>
  </si>
  <si>
    <t>-427.765967415236 -31.9934997961446 210.397155815221</t>
  </si>
  <si>
    <t>-598.071118622952 -97.6428130229233 643.825774951102</t>
  </si>
  <si>
    <t>-453.373738810767 -154.156769339703 726.362724686653</t>
  </si>
  <si>
    <t>9763-20170724T164323.391711300.bin</t>
  </si>
  <si>
    <t>-493.77899810774 130.838943561857 -242.278535342426</t>
  </si>
  <si>
    <t>-536.178332292627 130.688903480276 -355.724935675994</t>
  </si>
  <si>
    <t>-556.435693613057 117.537393104188 -474.498816381895</t>
  </si>
  <si>
    <t>-565.465654758249 100.308910691528 -582.278631294367</t>
  </si>
  <si>
    <t>-565.29565466057 77.811907853009 -689.463964059624</t>
  </si>
  <si>
    <t>-555.525267870868 41.1047456213294 -836.967047189272</t>
  </si>
  <si>
    <t>-515.037216570541 15.8096957402097 -926.988427385619</t>
  </si>
  <si>
    <t>-546.444381926873 85.5190867691152 -777.824666934787</t>
  </si>
  <si>
    <t>-493.31857423741 222.604966822032 -779.80077866859</t>
  </si>
  <si>
    <t>-459.303253551414 286.836893906178 -471.736719116872</t>
  </si>
  <si>
    <t>-286.156402024905 178.427595223378 -310.772030881715</t>
  </si>
  <si>
    <t>-573.252361569186 29.1739990184324 -765.578482664163</t>
  </si>
  <si>
    <t>-457.924146421213 222.301556736808 -255.627942935572</t>
  </si>
  <si>
    <t>-451.666832962423 202.998000312898 199.614765737658</t>
  </si>
  <si>
    <t>-483.056888957926 159.572448859235 666.141738945163</t>
  </si>
  <si>
    <t>-335.605949601936 139.517925367898 759.947731628135</t>
  </si>
  <si>
    <t>-529.50408185775 39.4973483559847 -228.209394220202</t>
  </si>
  <si>
    <t>-427.531122509789 -31.8668530570233 210.158417798523</t>
  </si>
  <si>
    <t>-598.100140212908 -97.3942047562621 643.407335282526</t>
  </si>
  <si>
    <t>-453.727952682128 -154.699725053294 725.967931176069</t>
  </si>
  <si>
    <t>9763-20170724T164323.420788100.bin</t>
  </si>
  <si>
    <t>-494.262485322806 130.797758134267 -242.358136238531</t>
  </si>
  <si>
    <t>-536.670296187491 130.512860666472 -355.800948209596</t>
  </si>
  <si>
    <t>-556.817704636538 117.368202692024 -474.594477411919</t>
  </si>
  <si>
    <t>-565.698118000286 100.205622662695 -582.39725463006</t>
  </si>
  <si>
    <t>-565.327898608606 77.834412213168 -689.608293611743</t>
  </si>
  <si>
    <t>-555.226610794068 41.3649885127497 -837.14804758844</t>
  </si>
  <si>
    <t>-514.617213094625 16.2718097530366 -927.171387359757</t>
  </si>
  <si>
    <t>-546.429845839733 85.7497650085415 -777.94052490714</t>
  </si>
  <si>
    <t>-493.857610936089 223.07200956431 -779.808617578906</t>
  </si>
  <si>
    <t>-453.009215364832 283.503090230301 -471.805986191003</t>
  </si>
  <si>
    <t>-278.567871362974 175.11728166602 -312.22914202663</t>
  </si>
  <si>
    <t>-572.962342789082 29.2534111506083 -765.792031995554</t>
  </si>
  <si>
    <t>-458.771516270036 222.272211727581 -255.664083906959</t>
  </si>
  <si>
    <t>-452.088127070058 202.938319092503 199.571258252035</t>
  </si>
  <si>
    <t>-483.087300976668 159.362108438105 666.155435358806</t>
  </si>
  <si>
    <t>-335.524553450293 140.05525461315 759.942394086189</t>
  </si>
  <si>
    <t>-529.571750726245 39.3940032159537 -228.365847039748</t>
  </si>
  <si>
    <t>-427.577926818668 -31.7508576407181 210.032841133272</t>
  </si>
  <si>
    <t>-598.123962797819 -97.4641710533672 643.222495654471</t>
  </si>
  <si>
    <t>-453.607846952944 -154.392703150838 725.792123278687</t>
  </si>
  <si>
    <t>9763-20170724T164323.488515600.bin</t>
  </si>
  <si>
    <t>-495.18010717056 131.008322408875 -242.485466308532</t>
  </si>
  <si>
    <t>-537.600721074458 130.390672311326 -355.922456759986</t>
  </si>
  <si>
    <t>-557.672420592578 117.323160176817 -474.737009176592</t>
  </si>
  <si>
    <t>-566.447568785307 100.396165011341 -582.585625752306</t>
  </si>
  <si>
    <t>-565.934287743883 78.4225589531334 -689.878447519189</t>
  </si>
  <si>
    <t>-555.593151667095 42.6707141638254 -837.577033173785</t>
  </si>
  <si>
    <t>-514.838066655427 18.0784790118962 -927.672796462127</t>
  </si>
  <si>
    <t>-547.151342401193 86.8777131742345 -778.18513497033</t>
  </si>
  <si>
    <t>-495.284900229655 224.470470334271 -779.42853985009</t>
  </si>
  <si>
    <t>-439.669290651835 277.576219951097 -472.38975119219</t>
  </si>
  <si>
    <t>-262.535488921376 168.838016830127 -316.051392432939</t>
  </si>
  <si>
    <t>-573.186265485953 30.1019075494508 -766.264933313884</t>
  </si>
  <si>
    <t>-460.479784987937 222.573444638985 -255.698983871523</t>
  </si>
  <si>
    <t>-453.370038477072 203.312498873193 199.532997258652</t>
  </si>
  <si>
    <t>-483.133479684208 159.244812397082 666.174894877036</t>
  </si>
  <si>
    <t>-335.483884381946 140.27043482982 759.893066350862</t>
  </si>
  <si>
    <t>-529.762134663716 39.5281546588888 -228.560647325586</t>
  </si>
  <si>
    <t>-427.657656667462 -31.0918980943321 209.897114914304</t>
  </si>
  <si>
    <t>-598.142268090636 -97.2592766526843 642.922943682446</t>
  </si>
  <si>
    <t>-453.752024262219 -154.544729120641 725.465943378569</t>
  </si>
  <si>
    <t>9763-20170724T164323.521593200.bin</t>
  </si>
  <si>
    <t>-495.69094772929 131.133095007702 -242.527965211264</t>
  </si>
  <si>
    <t>-537.978643820077 130.297751481597 -356.013036046115</t>
  </si>
  <si>
    <t>-557.854705737008 117.206381650007 -474.857911794674</t>
  </si>
  <si>
    <t>-566.430577807758 100.333973832118 -582.731196444857</t>
  </si>
  <si>
    <t>-565.697551191964 78.4883488998435 -690.048871801628</t>
  </si>
  <si>
    <t>-555.030990294824 42.9880879984267 -837.785008033768</t>
  </si>
  <si>
    <t>-514.175731095468 18.6441458271699 -927.902673332963</t>
  </si>
  <si>
    <t>-546.79960386517 87.1273083559381 -778.313115255112</t>
  </si>
  <si>
    <t>-494.742886580797 224.653523091529 -779.220414575766</t>
  </si>
  <si>
    <t>-432.772233318952 274.203226826712 -472.804500975191</t>
  </si>
  <si>
    <t>-255.241189815003 164.608768968811 -317.518186046636</t>
  </si>
  <si>
    <t>-572.701727142657 30.2644097287951 -766.519441697069</t>
  </si>
  <si>
    <t>-461.312819864669 222.702278607231 -255.775041957407</t>
  </si>
  <si>
    <t>-454.264032819828 203.5237588552 199.461394477904</t>
  </si>
  <si>
    <t>-483.108272369621 159.226762328864 666.114723398899</t>
  </si>
  <si>
    <t>-335.477445308167 140.221048258112 759.856083966392</t>
  </si>
  <si>
    <t>-529.913086605251 39.5399714240208 -228.651573373697</t>
  </si>
  <si>
    <t>-427.754867434746 -30.8543700786275 209.829834921182</t>
  </si>
  <si>
    <t>-598.16376634679 -97.4114977448298 642.794813834729</t>
  </si>
  <si>
    <t>-453.554391422287 -154.167791865074 725.31968606597</t>
  </si>
  <si>
    <t>9763-20170724T164323.593860700.bin</t>
  </si>
  <si>
    <t>-496.807628874128 131.171095747141 -242.833263433527</t>
  </si>
  <si>
    <t>-539.05784919082 130.1539302335 -356.330661005585</t>
  </si>
  <si>
    <t>-558.641071131706 117.250230039814 -475.244843535449</t>
  </si>
  <si>
    <t>-566.849655044394 100.690304360641 -583.194916036803</t>
  </si>
  <si>
    <t>-565.649046318592 79.2942142206114 -690.599039688274</t>
  </si>
  <si>
    <t>-554.230417619426 44.5562943857451 -838.459971938514</t>
  </si>
  <si>
    <t>-513.083541335505 20.6986721181023 -928.575140790149</t>
  </si>
  <si>
    <t>-546.40422675626 88.4307816093518 -778.738123867374</t>
  </si>
  <si>
    <t>-493.186904673039 225.524006151204 -778.640044209501</t>
  </si>
  <si>
    <t>-421.80005698877 270.694581233919 -473.599641728737</t>
  </si>
  <si>
    <t>-241.304912951857 170.647420575158 -315.314669128993</t>
  </si>
  <si>
    <t>-572.161439380815 31.4227830327821 -767.334018997617</t>
  </si>
  <si>
    <t>-462.68065024839 222.856405605791 -256.055155768443</t>
  </si>
  <si>
    <t>-455.887279111417 203.857220885155 199.1926086223</t>
  </si>
  <si>
    <t>-482.927901829759 159.462084634829 665.915250170765</t>
  </si>
  <si>
    <t>-335.38497357777 140.605407644994 759.824850451219</t>
  </si>
  <si>
    <t>-530.792358077238 39.5324712280001 -228.914878583647</t>
  </si>
  <si>
    <t>-428.012396597504 -30.4480937260027 209.487419187125</t>
  </si>
  <si>
    <t>-598.144014049768 -97.3026088042689 642.51721453738</t>
  </si>
  <si>
    <t>-453.496127470793 -153.708041396079 725.214996967417</t>
  </si>
  <si>
    <t>9763-20170724T164323.622938200.bin</t>
  </si>
  <si>
    <t>-497.227140470688 131.310264249967 -242.888835162721</t>
  </si>
  <si>
    <t>-539.364510326903 130.235104127059 -356.427858204069</t>
  </si>
  <si>
    <t>-558.762944264324 117.398428002425 -475.379335187128</t>
  </si>
  <si>
    <t>-566.775335567341 100.950825073501 -583.361364342724</t>
  </si>
  <si>
    <t>-565.349581483889 79.7192955394529 -690.795333048784</t>
  </si>
  <si>
    <t>-553.588206532327 45.2645608524711 -838.6958034926</t>
  </si>
  <si>
    <t>-512.351475050145 21.5403476481638 -928.805150801213</t>
  </si>
  <si>
    <t>-545.919790315147 89.0325189918861 -778.875549897886</t>
  </si>
  <si>
    <t>-492.405184870604 226.005437075781 -778.286544164102</t>
  </si>
  <si>
    <t>-416.724782506275 269.36619337264 -474.019463127266</t>
  </si>
  <si>
    <t>-234.874919950643 170.879667669251 -316.307429116421</t>
  </si>
  <si>
    <t>-571.664636837446 31.9868131118299 -767.633457553315</t>
  </si>
  <si>
    <t>-463.046252387749 222.945338929507 -256.201798933753</t>
  </si>
  <si>
    <t>-456.429303279695 204.028101094536 199.051901202475</t>
  </si>
  <si>
    <t>-482.769024173916 159.532560982036 665.769394129067</t>
  </si>
  <si>
    <t>-335.387480672269 140.323272701629 759.860761526471</t>
  </si>
  <si>
    <t>-531.197403863022 39.6900124183727 -228.944218994094</t>
  </si>
  <si>
    <t>-428.045603326511 -30.2799440360255 209.372495575489</t>
  </si>
  <si>
    <t>-598.259570421047 -97.2938423437924 642.492829779681</t>
  </si>
  <si>
    <t>-453.723380486897 -153.973836442528 725.198235835494</t>
  </si>
  <si>
    <t>9763-20170724T164323.685322500.bin</t>
  </si>
  <si>
    <t>-497.616976390066 130.637053924263 -242.821513526847</t>
  </si>
  <si>
    <t>-539.856138608504 129.562540387852 -356.322784750873</t>
  </si>
  <si>
    <t>-559.180625306196 116.848603525031 -475.299513136502</t>
  </si>
  <si>
    <t>-567.044318659367 100.575746462745 -583.318983584505</t>
  </si>
  <si>
    <t>-565.382788128908 79.5913381498574 -690.798013330205</t>
  </si>
  <si>
    <t>-553.199013410921 45.5634218401669 -838.763127561262</t>
  </si>
  <si>
    <t>-511.814267142902 22.0375883347982 -928.85658735373</t>
  </si>
  <si>
    <t>-545.765706748124 89.1852752191331 -778.806467134379</t>
  </si>
  <si>
    <t>-492.096861938153 226.105828010051 -777.677133309743</t>
  </si>
  <si>
    <t>-409.089175798201 265.290559244179 -474.757238760846</t>
  </si>
  <si>
    <t>-223.103030847736 175.255972753976 -316.817539402488</t>
  </si>
  <si>
    <t>-571.414212980392 32.0541633599385 -767.779839781571</t>
  </si>
  <si>
    <t>-463.088385089678 222.292839097548 -256.416786316671</t>
  </si>
  <si>
    <t>-456.940970443514 203.701991383898 198.857143096301</t>
  </si>
  <si>
    <t>-482.432819221196 159.132335808169 665.453075097518</t>
  </si>
  <si>
    <t>-335.283444839401 140.306827895567 759.984379435266</t>
  </si>
  <si>
    <t>-531.971318421823 38.9737862484422 -228.507612501437</t>
  </si>
  <si>
    <t>-427.270916485456 -30.7294464892044 209.484323117178</t>
  </si>
  <si>
    <t>-598.766160651756 -97.5822680540035 642.436963386151</t>
  </si>
  <si>
    <t>-453.788163372505 -153.698259397627 724.752820263863</t>
  </si>
  <si>
    <t>9763-20170724T164323.724426700.bin</t>
  </si>
  <si>
    <t>-497.626811755801 130.295572457122 -242.707146836368</t>
  </si>
  <si>
    <t>-539.887055731546 129.20447054097 -356.20031212654</t>
  </si>
  <si>
    <t>-559.150027336892 116.541488880074 -475.192529865581</t>
  </si>
  <si>
    <t>-566.92014853112 100.348944247128 -583.230792668945</t>
  </si>
  <si>
    <t>-565.124676810939 79.4835481855229 -690.730847930863</t>
  </si>
  <si>
    <t>-552.710915542214 45.6649242420714 -838.724869119883</t>
  </si>
  <si>
    <t>-511.227628571796 22.246247047813 -928.800929308151</t>
  </si>
  <si>
    <t>-545.36523456984 89.1995866807216 -778.694108137361</t>
  </si>
  <si>
    <t>-491.488520972934 226.009830696866 -777.236279043522</t>
  </si>
  <si>
    <t>-405.086633064689 263.450422985125 -475.045832875344</t>
  </si>
  <si>
    <t>-218.128737207292 175.918359258597 -316.846733461395</t>
  </si>
  <si>
    <t>-571.042022841314 32.0576175213988 -767.790241365682</t>
  </si>
  <si>
    <t>-462.895947566601 221.951047824559 -256.471125652476</t>
  </si>
  <si>
    <t>-457.198663486565 203.65322635518 198.820481517376</t>
  </si>
  <si>
    <t>-482.311974698295 159.092041656758 665.409188015196</t>
  </si>
  <si>
    <t>-335.301569492497 139.886954800767 760.080264598166</t>
  </si>
  <si>
    <t>-532.229298938247 38.7229551195421 -228.174864758942</t>
  </si>
  <si>
    <t>-426.248404355571 -30.9383574886222 209.515700925665</t>
  </si>
  <si>
    <t>-598.876777528063 -97.4083720514611 642.091574381366</t>
  </si>
  <si>
    <t>-454.102804622309 -154.14195736359 724.343144401526</t>
  </si>
  <si>
    <t>9763-20170724T164323.786604700.bin</t>
  </si>
  <si>
    <t>-497.48343503656 129.260466017115 -242.667521828885</t>
  </si>
  <si>
    <t>-539.694377175906 127.976659031856 -356.176949024088</t>
  </si>
  <si>
    <t>-558.760256443408 115.2545686801 -475.194526213258</t>
  </si>
  <si>
    <t>-566.291994110176 99.0637057026844 -583.250079005412</t>
  </si>
  <si>
    <t>-564.198763392842 78.2561655672463 -690.755964218667</t>
  </si>
  <si>
    <t>-551.310650542098 44.577080775944 -838.741132132636</t>
  </si>
  <si>
    <t>-509.561692640946 21.2342717493873 -928.713966066248</t>
  </si>
  <si>
    <t>-544.079271449313 88.0225050636184 -778.631867412931</t>
  </si>
  <si>
    <t>-489.325413607291 224.493150942256 -776.835107886264</t>
  </si>
  <si>
    <t>-399.201244293033 259.355738315186 -475.42435318752</t>
  </si>
  <si>
    <t>-211.157263512567 173.464450380413 -317.613843735317</t>
  </si>
  <si>
    <t>-569.947292829618 30.9355709069673 -767.892738181539</t>
  </si>
  <si>
    <t>-462.587321717609 221.1446844168 -256.573653911826</t>
  </si>
  <si>
    <t>-457.693581259383 203.294086302803 198.744948938283</t>
  </si>
  <si>
    <t>-482.289218580725 159.072372139874 665.472498874865</t>
  </si>
  <si>
    <t>-335.279399347823 139.941189780844 760.159475575047</t>
  </si>
  <si>
    <t>-532.212493888885 37.4979420878974 -228.135039118789</t>
  </si>
  <si>
    <t>-424.9382399242 -31.4718466208968 209.349949988411</t>
  </si>
  <si>
    <t>-598.994035237576 -97.6983605289074 641.225062559587</t>
  </si>
  <si>
    <t>-454.62699044434 -155.238152970346 723.63168320652</t>
  </si>
  <si>
    <t>9763-20170724T164323.821702100.bin</t>
  </si>
  <si>
    <t>-497.153616394351 129.089593823783 -242.827723772313</t>
  </si>
  <si>
    <t>-539.277627146132 127.760369670989 -356.369014216338</t>
  </si>
  <si>
    <t>-558.244830239779 115.054896660866 -475.404251532512</t>
  </si>
  <si>
    <t>-565.686471975451 98.8990994534409 -583.471139402134</t>
  </si>
  <si>
    <t>-563.50397279825 78.1433399155906 -690.985195571168</t>
  </si>
  <si>
    <t>-550.494537626979 44.5506382592662 -838.979521757252</t>
  </si>
  <si>
    <t>-508.657287213637 21.2150829834376 -928.913098886813</t>
  </si>
  <si>
    <t>-543.263033777417 87.9402095258176 -778.829922111695</t>
  </si>
  <si>
    <t>-488.199106904343 224.274650424133 -776.896498333863</t>
  </si>
  <si>
    <t>-397.406969710191 257.88049612025 -475.543526809284</t>
  </si>
  <si>
    <t>-208.606910345782 172.633498831667 -318.28722640982</t>
  </si>
  <si>
    <t>-569.238576078206 30.8885197780453 -768.163282001696</t>
  </si>
  <si>
    <t>-462.259105519339 221.066828437651 -256.670948035165</t>
  </si>
  <si>
    <t>-457.758890144195 203.407440624458 198.659120224006</t>
  </si>
  <si>
    <t>-482.237991071344 159.475915181398 665.463996011359</t>
  </si>
  <si>
    <t>-335.346387135202 139.459452865765 760.15138635675</t>
  </si>
  <si>
    <t>-531.816124107286 37.4425189621268 -228.367401256074</t>
  </si>
  <si>
    <t>-424.419210829913 -31.407804758905 209.106231267436</t>
  </si>
  <si>
    <t>-598.697855555048 -97.2324132737645 640.7710310214</t>
  </si>
  <si>
    <t>-454.740890972637 -155.46981285334 723.404661233532</t>
  </si>
  <si>
    <t>9763-20170724T164323.889440500.bin</t>
  </si>
  <si>
    <t>-496.583453787015 128.277133604028 -243.242312302314</t>
  </si>
  <si>
    <t>-538.539283985226 127.058891742211 -356.847109145204</t>
  </si>
  <si>
    <t>-557.325167635193 114.48094107304 -475.924662045547</t>
  </si>
  <si>
    <t>-564.603191666748 98.4385202696462 -584.019583876833</t>
  </si>
  <si>
    <t>-562.260876968899 77.7895858329296 -691.550873638393</t>
  </si>
  <si>
    <t>-549.036383957109 44.33388641089 -839.557036454476</t>
  </si>
  <si>
    <t>-507.056954040958 20.93903973181 -929.409218348831</t>
  </si>
  <si>
    <t>-541.833324337363 87.6428040641351 -779.346071370432</t>
  </si>
  <si>
    <t>-486.526637676284 223.87734598144 -777.038830243608</t>
  </si>
  <si>
    <t>-395.48917268556 256.232033703154 -475.622956865735</t>
  </si>
  <si>
    <t>-204.689414249225 173.596179514134 -319.38975350843</t>
  </si>
  <si>
    <t>-567.942264662036 30.6311541196956 -768.791819563782</t>
  </si>
  <si>
    <t>-461.762948628029 220.299266961502 -256.820318667845</t>
  </si>
  <si>
    <t>-457.27135950606 202.704029424353 198.5124558519</t>
  </si>
  <si>
    <t>-482.384875303122 158.987158653376 665.476722704394</t>
  </si>
  <si>
    <t>-335.382761884891 139.363609954858 760.07480523205</t>
  </si>
  <si>
    <t>-531.256963963887 36.442242952473 -229.017228493425</t>
  </si>
  <si>
    <t>-424.065780954283 -32.3505874923335 208.515887837176</t>
  </si>
  <si>
    <t>-598.679744818513 -97.867932842012 640.043035903048</t>
  </si>
  <si>
    <t>-454.594456251728 -155.144678212793 723.123167545103</t>
  </si>
  <si>
    <t>9763-20170724T164323.921531500.bin</t>
  </si>
  <si>
    <t>-496.242965590019 128.054450582517 -243.4034549672</t>
  </si>
  <si>
    <t>-538.166261848124 126.918299014892 -357.021044943324</t>
  </si>
  <si>
    <t>-556.871178041856 114.401980266917 -476.11783771981</t>
  </si>
  <si>
    <t>-564.056715764721 98.4059199849089 -584.225797876829</t>
  </si>
  <si>
    <t>-561.603487754015 77.793419895985 -691.761608304919</t>
  </si>
  <si>
    <t>-548.206865110757 44.378143591816 -839.761454828095</t>
  </si>
  <si>
    <t>-506.177925219366 20.9838492630253 -929.590455251358</t>
  </si>
  <si>
    <t>-541.074876500891 87.6710650952757 -779.530510483266</t>
  </si>
  <si>
    <t>-485.967057829629 223.990893623392 -777.126033494158</t>
  </si>
  <si>
    <t>-394.689305986459 255.862020248007 -475.731187773084</t>
  </si>
  <si>
    <t>-203.196612202082 175.006996925112 -319.414044486055</t>
  </si>
  <si>
    <t>-567.194036966666 30.6556539114856 -769.021749855167</t>
  </si>
  <si>
    <t>-461.446837205836 220.092172209862 -256.849400983683</t>
  </si>
  <si>
    <t>-456.865788068634 202.500591994142 198.482540830724</t>
  </si>
  <si>
    <t>-482.399323420223 159.086343073975 665.465169207989</t>
  </si>
  <si>
    <t>-335.34497362356 139.667967153191 760.02431846564</t>
  </si>
  <si>
    <t>-530.856907196524 36.2059040695113 -229.284278700087</t>
  </si>
  <si>
    <t>-423.943246058899 -32.5859506994163 208.31697479869</t>
  </si>
  <si>
    <t>-598.704766515598 -97.9182787000254 639.919078865885</t>
  </si>
  <si>
    <t>-454.748442268259 -155.486512468326 723.021447203898</t>
  </si>
  <si>
    <t>9763-20170724T164323.989237500.bin</t>
  </si>
  <si>
    <t>-495.515627246648 128.205538316187 -243.423700222438</t>
  </si>
  <si>
    <t>-537.347453960097 127.096480072419 -357.075265434636</t>
  </si>
  <si>
    <t>-555.817967816206 114.61952875623 -476.212732594611</t>
  </si>
  <si>
    <t>-562.739112959908 98.6530616693088 -584.342383110058</t>
  </si>
  <si>
    <t>-559.974257059074 78.0583953734067 -691.874123125181</t>
  </si>
  <si>
    <t>-546.100671700226 44.6505936316846 -839.83168269739</t>
  </si>
  <si>
    <t>-503.897578036385 21.2305765500547 -929.572427587041</t>
  </si>
  <si>
    <t>-539.111315601878 87.918553620744 -779.565943756484</t>
  </si>
  <si>
    <t>-483.710735019129 224.120231238967 -776.823528314635</t>
  </si>
  <si>
    <t>-391.868469420826 256.215476280049 -475.623955501479</t>
  </si>
  <si>
    <t>-202.743468917726 173.924730753219 -317.187824794507</t>
  </si>
  <si>
    <t>-565.367335819742 30.946491357808 -769.164033101078</t>
  </si>
  <si>
    <t>-460.831613543936 219.994015450056 -256.780287403417</t>
  </si>
  <si>
    <t>-456.272676860105 202.535971289066 198.55717003114</t>
  </si>
  <si>
    <t>-482.479555173863 159.144573460679 665.499822628954</t>
  </si>
  <si>
    <t>-335.40929469218 139.51081396021 759.989871723467</t>
  </si>
  <si>
    <t>-530.062480435037 36.6250624098476 -229.277735487407</t>
  </si>
  <si>
    <t>-423.251995207506 -32.934868121983 208.227296842429</t>
  </si>
  <si>
    <t>-598.730534680923 -97.4976617624913 639.629320594975</t>
  </si>
  <si>
    <t>-454.970190906926 -155.750873554459 722.593353492875</t>
  </si>
  <si>
    <t>9763-20170724T164324.023329500.bin</t>
  </si>
  <si>
    <t>-495.304644726229 128.258932364336 -243.416064756395</t>
  </si>
  <si>
    <t>-537.017926289367 127.089121977053 -357.110425646815</t>
  </si>
  <si>
    <t>-555.338223029689 114.56274062233 -476.265985902109</t>
  </si>
  <si>
    <t>-562.11834148182 98.5443696627489 -584.39685352847</t>
  </si>
  <si>
    <t>-559.212279226922 77.8831904485367 -691.912110568758</t>
  </si>
  <si>
    <t>-545.147427395018 44.3616062616261 -839.825802951933</t>
  </si>
  <si>
    <t>-502.886947218273 20.9068915487638 -929.530440769374</t>
  </si>
  <si>
    <t>-538.199868403973 87.6605387482421 -779.577564616181</t>
  </si>
  <si>
    <t>-482.742934578652 223.825377402829 -776.777816381951</t>
  </si>
  <si>
    <t>-390.436059183605 256.658672427652 -475.800165875012</t>
  </si>
  <si>
    <t>-202.163931811295 174.724770087094 -316.167684428636</t>
  </si>
  <si>
    <t>-564.541588809541 30.7272898606745 -769.17959378072</t>
  </si>
  <si>
    <t>-460.832385083838 220.058258951396 -256.759836160885</t>
  </si>
  <si>
    <t>-456.160541578372 202.655959496024 198.578485326779</t>
  </si>
  <si>
    <t>-482.452081368511 159.29522240594 665.495979130541</t>
  </si>
  <si>
    <t>-335.452149312996 139.195504505308 759.997504941579</t>
  </si>
  <si>
    <t>-529.584368921773 36.5875732129319 -229.361642690753</t>
  </si>
  <si>
    <t>-423.134626079195 -33.3625674762393 208.168941835306</t>
  </si>
  <si>
    <t>-598.814740109664 -97.8818420842021 639.501988565865</t>
  </si>
  <si>
    <t>-454.799843181412 -155.564485246399 722.423129651345</t>
  </si>
  <si>
    <t>9763-20170724T164324.089587000.bin</t>
  </si>
  <si>
    <t>-495.424999597242 128.070391682687 -243.454357401709</t>
  </si>
  <si>
    <t>-537.008698020509 126.812953743944 -357.195397736471</t>
  </si>
  <si>
    <t>-555.008608514908 114.264820524208 -476.39742114981</t>
  </si>
  <si>
    <t>-561.4305251562 98.237247726193 -584.548888916851</t>
  </si>
  <si>
    <t>-558.105337372559 77.5673753040794 -692.050232992629</t>
  </si>
  <si>
    <t>-543.402780859776 44.0259988425406 -839.897510388019</t>
  </si>
  <si>
    <t>-500.859120016611 20.5985082119587 -929.475254035888</t>
  </si>
  <si>
    <t>-536.75891936286 87.3517053526129 -779.634182113433</t>
  </si>
  <si>
    <t>-481.275042029882 223.471898985947 -776.126734377268</t>
  </si>
  <si>
    <t>-387.437414566975 255.461022041785 -475.531646518261</t>
  </si>
  <si>
    <t>-199.567066411347 175.01111433055 -314.675838758745</t>
  </si>
  <si>
    <t>-563.057535044113 30.3823809913916 -769.325173759886</t>
  </si>
  <si>
    <t>-461.547360711917 219.664877284463 -256.663792703164</t>
  </si>
  <si>
    <t>-456.405910220259 202.24709208859 198.668944082693</t>
  </si>
  <si>
    <t>-482.596388455891 158.582544702448 665.566345172376</t>
  </si>
  <si>
    <t>-335.324013086143 140.208097420977 759.994816456109</t>
  </si>
  <si>
    <t>-529.202624352512 36.39885990935 -229.554746252913</t>
  </si>
  <si>
    <t>-423.197554819112 -33.6707916951146 208.064731223878</t>
  </si>
  <si>
    <t>-598.940276305396 -97.9899513720016 639.269279591406</t>
  </si>
  <si>
    <t>-454.975620608778 -155.856856843925 722.149298735135</t>
  </si>
  <si>
    <t>9763-20170724T164324.156299600.bin</t>
  </si>
  <si>
    <t>-496.375311649654 128.195916856641 -243.551283895027</t>
  </si>
  <si>
    <t>-537.957086730922 126.784405409284 -357.291195966221</t>
  </si>
  <si>
    <t>-555.770504579373 114.170214604915 -476.51425119643</t>
  </si>
  <si>
    <t>-561.954171638008 98.1055284806313 -584.673993244317</t>
  </si>
  <si>
    <t>-558.326952724505 77.4127862475548 -692.161263045486</t>
  </si>
  <si>
    <t>-543.144381293112 43.847661357343 -839.95460161505</t>
  </si>
  <si>
    <t>-500.303281804132 20.4864162544532 -929.407757170164</t>
  </si>
  <si>
    <t>-536.769156798092 87.2140730021374 -779.691555062241</t>
  </si>
  <si>
    <t>-481.839433656184 223.558512109452 -775.858656176637</t>
  </si>
  <si>
    <t>-384.127807943238 252.748768928039 -476.214589603501</t>
  </si>
  <si>
    <t>-196.182472772577 173.466647094093 -314.867341488836</t>
  </si>
  <si>
    <t>-562.955248110475 30.1843534207959 -769.429722512639</t>
  </si>
  <si>
    <t>-463.10088293179 219.893292098671 -256.67153259145</t>
  </si>
  <si>
    <t>-457.369937227564 202.457791932877 198.653378529207</t>
  </si>
  <si>
    <t>-482.598082360365 158.687008915162 665.577622449058</t>
  </si>
  <si>
    <t>-335.361405992013 139.988472900822 759.9981627757</t>
  </si>
  <si>
    <t>-529.582008788453 36.5263455685583 -229.744184749753</t>
  </si>
  <si>
    <t>-423.268820458257 -32.9055619080965 207.902289627442</t>
  </si>
  <si>
    <t>-598.949100519828 -97.828078093531 638.935120939926</t>
  </si>
  <si>
    <t>-455.047776716196 -155.761359347929 721.878800204345</t>
  </si>
  <si>
    <t>9763-20170724T164324.188387800.bin</t>
  </si>
  <si>
    <t>-497.030440740945 128.290251204025 -243.565760963029</t>
  </si>
  <si>
    <t>-538.518107140769 126.687143159628 -357.337639585577</t>
  </si>
  <si>
    <t>-556.239376772193 113.974897345624 -476.56384240579</t>
  </si>
  <si>
    <t>-562.344566650787 97.8546398161616 -584.719838411579</t>
  </si>
  <si>
    <t>-558.645983572006 77.1357816375813 -692.199678537631</t>
  </si>
  <si>
    <t>-543.373480963365 43.5614505965309 -839.981639587368</t>
  </si>
  <si>
    <t>-500.393869247194 20.2316580770263 -929.376502183816</t>
  </si>
  <si>
    <t>-537.053273837506 86.9393433336097 -779.72098284836</t>
  </si>
  <si>
    <t>-482.052292652345 223.280052876946 -775.938255681656</t>
  </si>
  <si>
    <t>-383.899666592752 251.836480665495 -476.377330957965</t>
  </si>
  <si>
    <t>-196.171971560364 172.533219387279 -314.787129709516</t>
  </si>
  <si>
    <t>-563.208868661997 29.8947982913975 -769.464252521145</t>
  </si>
  <si>
    <t>-463.919891939574 220.050932154856 -256.722515046941</t>
  </si>
  <si>
    <t>-458.24089855874 202.658512301721 198.604748086252</t>
  </si>
  <si>
    <t>-482.601199470714 158.805166875095 665.585614086785</t>
  </si>
  <si>
    <t>-335.366551926993 139.915112244438 759.971196593561</t>
  </si>
  <si>
    <t>-530.00037073439 36.4446965976212 -229.824706936334</t>
  </si>
  <si>
    <t>-423.455383473856 -32.463788251668 207.84805183805</t>
  </si>
  <si>
    <t>-598.940759797162 -98.0355954842385 638.773866529356</t>
  </si>
  <si>
    <t>-454.718457414446 -155.193084390507 721.698280599825</t>
  </si>
  <si>
    <t>9763-20170724T164324.226487000.bin</t>
  </si>
  <si>
    <t>-497.766224087803 128.170789265173 -243.647769579255</t>
  </si>
  <si>
    <t>-539.220653595341 126.459942289198 -357.430092099192</t>
  </si>
  <si>
    <t>-556.882538166557 113.639138551376 -476.653642762482</t>
  </si>
  <si>
    <t>-562.924955136586 97.4197632626321 -584.798294040647</t>
  </si>
  <si>
    <t>-559.15587249092 76.6000678249977 -692.256143327738</t>
  </si>
  <si>
    <t>-543.778681769629 42.8833336986615 -839.99478957355</t>
  </si>
  <si>
    <t>-500.671626119945 19.5441629691415 -929.325943709729</t>
  </si>
  <si>
    <t>-537.52279040095 86.3284227753338 -779.775922755624</t>
  </si>
  <si>
    <t>-482.600877363947 222.702464808213 -776.138963492618</t>
  </si>
  <si>
    <t>-384.725277337048 251.348679139418 -476.495897992226</t>
  </si>
  <si>
    <t>-196.94681645733 172.274731170771 -314.852344636076</t>
  </si>
  <si>
    <t>-563.6423118865 29.2754584982921 -769.474062910102</t>
  </si>
  <si>
    <t>-464.795161460761 219.780238186111 -256.774514969658</t>
  </si>
  <si>
    <t>-459.335773480525 202.481996602277 198.559038979883</t>
  </si>
  <si>
    <t>-482.720815657296 158.281813687529 665.622852051046</t>
  </si>
  <si>
    <t>-335.262152055465 140.633522707689 759.89910021191</t>
  </si>
  <si>
    <t>-530.633062553687 36.4441673766132 -229.940284362758</t>
  </si>
  <si>
    <t>-423.699365647969 -31.8841382108515 207.728675984693</t>
  </si>
  <si>
    <t>-598.914442282784 -97.8573565584575 638.675127138205</t>
  </si>
  <si>
    <t>-454.830162640621 -155.381322450407 721.58604126959</t>
  </si>
  <si>
    <t>9763-20170724T164324.385009500.bin</t>
  </si>
  <si>
    <t>-498.493716652943 128.278751498389 -243.6704361734</t>
  </si>
  <si>
    <t>-539.891653838929 126.449287133863 -357.471508129522</t>
  </si>
  <si>
    <t>-557.475581819749 113.527921585933 -476.695572215978</t>
  </si>
  <si>
    <t>-563.439632728187 97.2262114369894 -584.832276960701</t>
  </si>
  <si>
    <t>-559.585075451055 76.3334926632202 -692.27288092753</t>
  </si>
  <si>
    <t>-544.082014229004 42.5253176281098 -839.977527503245</t>
  </si>
  <si>
    <t>-500.875555616988 19.1780601506252 -929.258442262319</t>
  </si>
  <si>
    <t>-537.90844152955 86.0207464798996 -779.786581012422</t>
  </si>
  <si>
    <t>-483.164439704962 222.451600234222 -776.232029337647</t>
  </si>
  <si>
    <t>-385.786806081445 251.459337176819 -476.461629134945</t>
  </si>
  <si>
    <t>-197.686141238035 172.951853664333 -314.916593907398</t>
  </si>
  <si>
    <t>-563.9747454431 28.9480212966749 -769.458974096164</t>
  </si>
  <si>
    <t>-465.633794804161 219.998204933878 -256.81589901134</t>
  </si>
  <si>
    <t>-460.328239376418 202.61993314116 198.516492352252</t>
  </si>
  <si>
    <t>-482.729533191764 158.438362813642 665.635371230891</t>
  </si>
  <si>
    <t>-335.234378401484 140.748343113646 759.846634656737</t>
  </si>
  <si>
    <t>-531.245315140172 36.5777715680407 -229.968336791093</t>
  </si>
  <si>
    <t>-423.952078952599 -31.6700157562019 207.625126336014</t>
  </si>
  <si>
    <t>-598.942260281854 -98.0144198407451 638.635887121452</t>
  </si>
  <si>
    <t>-454.588205013892 -154.953331872494 721.481443665906</t>
  </si>
  <si>
    <t>9763-20170724T164324.424114700.bin</t>
  </si>
  <si>
    <t>-500.962220107118 129.939647067624 -243.436689865984</t>
  </si>
  <si>
    <t>-542.181598996724 128.171647968967 -357.303415463597</t>
  </si>
  <si>
    <t>-559.868207776678 114.65070311006 -476.445964734424</t>
  </si>
  <si>
    <t>-566.038507272071 97.563594810958 -584.44962518911</t>
  </si>
  <si>
    <t>-562.501432667354 75.6600915434231 -691.699778697944</t>
  </si>
  <si>
    <t>-547.553261256663 40.2287319477039 -839.080766142164</t>
  </si>
  <si>
    <t>-504.422556381676 15.8377169106954 -928.119003338198</t>
  </si>
  <si>
    <t>-541.019798425934 84.3269688123303 -779.368325997874</t>
  </si>
  <si>
    <t>-486.766155921907 220.985531921894 -777.201050929503</t>
  </si>
  <si>
    <t>-394.322158427702 254.499860905475 -476.340485197342</t>
  </si>
  <si>
    <t>-207.677907672417 171.658741770132 -315.271175324774</t>
  </si>
  <si>
    <t>-567.314902357325 27.4850267163531 -768.370149407978</t>
  </si>
  <si>
    <t>-467.408440281651 221.635812825372 -256.78286981702</t>
  </si>
  <si>
    <t>-464.765663875515 204.122494798248 198.567422117557</t>
  </si>
  <si>
    <t>-482.737085322378 159.346208219862 665.800333421873</t>
  </si>
  <si>
    <t>-335.244022052634 140.129201769291 759.71520348296</t>
  </si>
  <si>
    <t>-534.356121583644 38.2288521658948 -229.500594905841</t>
  </si>
  <si>
    <t>-424.849283840712 -31.3724362322843 207.330747135032</t>
  </si>
  <si>
    <t>-599.055370674654 -97.5728049186973 638.63029576867</t>
  </si>
  <si>
    <t>-454.903739358699 -155.324152820371 721.265689229617</t>
  </si>
  <si>
    <t>9763-20170724T164324.487906700.bin</t>
  </si>
  <si>
    <t>-501.703660075834 130.360213309337 -243.45409906912</t>
  </si>
  <si>
    <t>-542.896638074198 128.696793139058 -357.331936504089</t>
  </si>
  <si>
    <t>-560.644560239222 114.987727361805 -476.443925560664</t>
  </si>
  <si>
    <t>-566.90790569234 97.6143714317524 -584.396538315743</t>
  </si>
  <si>
    <t>-563.502238336449 75.3119425639397 -691.568705091855</t>
  </si>
  <si>
    <t>-548.778045310008 39.2124623975942 -838.809972502815</t>
  </si>
  <si>
    <t>-505.820110571497 14.1718606725042 -927.751417787567</t>
  </si>
  <si>
    <t>-541.983234506453 83.5083698512926 -779.273257934014</t>
  </si>
  <si>
    <t>-486.908019487812 219.851603728077 -777.517728109587</t>
  </si>
  <si>
    <t>-396.828864169965 254.565759044009 -476.076363275223</t>
  </si>
  <si>
    <t>-213.630002403301 163.727725589077 -315.363437026166</t>
  </si>
  <si>
    <t>-568.602799238067 26.8623236972356 -768.047256052869</t>
  </si>
  <si>
    <t>-467.644838614684 221.883921960746 -256.868514617983</t>
  </si>
  <si>
    <t>-465.822024698824 204.147374364792 198.477269118231</t>
  </si>
  <si>
    <t>-482.740390558027 159.037840098034 665.785457346275</t>
  </si>
  <si>
    <t>-335.236277791836 139.939377911053 759.707155965402</t>
  </si>
  <si>
    <t>-535.568477756765 38.8987210219282 -229.47971676164</t>
  </si>
  <si>
    <t>-425.365349889738 -31.487005666079 207.050705550559</t>
  </si>
  <si>
    <t>-599.03394815425 -97.301433438599 638.597936389218</t>
  </si>
  <si>
    <t>-454.900017595768 -155.038640697163 721.274037481494</t>
  </si>
  <si>
    <t>9763-20170724T164324.520994100.bin</t>
  </si>
  <si>
    <t>-501.97022887291 131.071236581611 -243.539666086663</t>
  </si>
  <si>
    <t>-543.208050727121 129.460982590312 -357.402145096755</t>
  </si>
  <si>
    <t>-561.050125237518 115.65291075389 -476.488511751808</t>
  </si>
  <si>
    <t>-567.42071828792 98.1254573608084 -584.410034187336</t>
  </si>
  <si>
    <t>-564.145975774933 75.6036673504804 -691.540259571894</t>
  </si>
  <si>
    <t>-549.629769647322 39.1309481083178 -838.710410656694</t>
  </si>
  <si>
    <t>-506.797157703325 13.7194607326636 -927.607022157628</t>
  </si>
  <si>
    <t>-542.666085669301 83.5411261243995 -779.27842092259</t>
  </si>
  <si>
    <t>-487.333217264922 219.770271706901 -777.842992396399</t>
  </si>
  <si>
    <t>-396.613191208047 254.572094528692 -476.603934917482</t>
  </si>
  <si>
    <t>-215.007609772236 159.254161749229 -316.679106500257</t>
  </si>
  <si>
    <t>-569.439370283193 26.9968365246564 -767.906091109154</t>
  </si>
  <si>
    <t>-467.781556463212 222.631521391301 -256.940268321675</t>
  </si>
  <si>
    <t>-465.803843571349 204.640373942317 198.394772084968</t>
  </si>
  <si>
    <t>-482.612583347048 159.557120282178 665.720190566726</t>
  </si>
  <si>
    <t>-335.292882459968 139.410140985438 759.712231493951</t>
  </si>
  <si>
    <t>-535.981226130081 39.7406196753659 -229.552557826701</t>
  </si>
  <si>
    <t>-425.9159521521 -31.2942090203529 206.907502490601</t>
  </si>
  <si>
    <t>-599.049678596039 -97.0041831738265 638.684988281965</t>
  </si>
  <si>
    <t>-455.036163572503 -155.117013750029 721.307847508395</t>
  </si>
  <si>
    <t>9763-20170724T164324.587732600.bin</t>
  </si>
  <si>
    <t>-502.51751813466 132.046994207228 -243.641496861021</t>
  </si>
  <si>
    <t>-543.885106791534 130.612953565744 -357.459269312163</t>
  </si>
  <si>
    <t>-562.04703385453 116.687678564093 -476.483458961855</t>
  </si>
  <si>
    <t>-568.787178316644 98.9302461880114 -584.345034647948</t>
  </si>
  <si>
    <t>-565.963536156793 76.0528728123916 -691.412696372173</t>
  </si>
  <si>
    <t>-552.160130554383 38.9541021692695 -838.494884311046</t>
  </si>
  <si>
    <t>-509.654279815068 12.8928570360813 -927.360306148281</t>
  </si>
  <si>
    <t>-544.746061036147 83.5459598856974 -779.253632264125</t>
  </si>
  <si>
    <t>-488.905566734071 219.585572360311 -778.656403889937</t>
  </si>
  <si>
    <t>-394.802473069308 253.357157264766 -478.33953014215</t>
  </si>
  <si>
    <t>-215.5455294306 152.676750414748 -319.051983362396</t>
  </si>
  <si>
    <t>-571.789342458255 27.1923600885495 -767.577545955876</t>
  </si>
  <si>
    <t>-468.07110305709 223.312626241596 -256.981111023682</t>
  </si>
  <si>
    <t>-465.658185632052 204.763971694056 198.329484359399</t>
  </si>
  <si>
    <t>-482.618845989498 159.03893246502 665.646562882541</t>
  </si>
  <si>
    <t>-335.199319624652 139.834565131556 759.679518831662</t>
  </si>
  <si>
    <t>-536.82098960705 40.8546917408009 -229.64510176453</t>
  </si>
  <si>
    <t>-427.046710634837 -31.1743677159741 206.725261948216</t>
  </si>
  <si>
    <t>-599.132690759086 -96.8191402330655 638.936347715862</t>
  </si>
  <si>
    <t>-455.198591702628 -155.19210703035 721.514099270118</t>
  </si>
  <si>
    <t>9763-20170724T164324.620820000.bin</t>
  </si>
  <si>
    <t>-502.679885986283 132.600544208432 -243.608772557796</t>
  </si>
  <si>
    <t>-544.109128546277 131.206663173311 -357.404600256326</t>
  </si>
  <si>
    <t>-562.422196374043 117.214982664746 -476.398062242193</t>
  </si>
  <si>
    <t>-569.33566832868 99.3542627447185 -584.231388792722</t>
  </si>
  <si>
    <t>-566.721555493825 76.3309246779691 -691.27325962152</t>
  </si>
  <si>
    <t>-553.246610021139 38.9851888907162 -838.323279646335</t>
  </si>
  <si>
    <t>-510.88591831979 12.7059014184914 -927.193701198532</t>
  </si>
  <si>
    <t>-545.627615415115 83.6445409659036 -779.159012962755</t>
  </si>
  <si>
    <t>-489.552701740663 219.569137036104 -778.926991491336</t>
  </si>
  <si>
    <t>-393.46206328729 252.805002572848 -479.180138985029</t>
  </si>
  <si>
    <t>-216.086598530274 148.379920695418 -320.197766397051</t>
  </si>
  <si>
    <t>-572.79009663583 27.3744977958373 -767.357398349185</t>
  </si>
  <si>
    <t>-468.041437823093 223.909018893225 -256.984733107211</t>
  </si>
  <si>
    <t>-465.592830389925 205.120893049147 198.315860552675</t>
  </si>
  <si>
    <t>-482.570560114603 159.20583891856 665.605681652789</t>
  </si>
  <si>
    <t>-335.239718947026 139.493640169705 759.67248766863</t>
  </si>
  <si>
    <t>-537.203827667967 41.3167597599534 -229.579287079158</t>
  </si>
  <si>
    <t>-427.317289464533 -30.9941421340158 206.716143924654</t>
  </si>
  <si>
    <t>-599.144607659907 -96.7462766876986 639.042810234791</t>
  </si>
  <si>
    <t>-455.048966300332 -154.754199083443 721.595979070097</t>
  </si>
  <si>
    <t>9763-20170724T164324.690599000.bin</t>
  </si>
  <si>
    <t>-502.644270138424 133.301105800887 -243.452339169886</t>
  </si>
  <si>
    <t>-544.22039608457 131.933654271557 -357.194990409568</t>
  </si>
  <si>
    <t>-562.731255067444 117.807692283499 -476.141852989753</t>
  </si>
  <si>
    <t>-569.843169115322 99.7608279365249 -583.931445459652</t>
  </si>
  <si>
    <t>-567.44708581173 76.4882816533433 -690.924303718992</t>
  </si>
  <si>
    <t>-554.295217793906 38.7319535159988 -837.898762717183</t>
  </si>
  <si>
    <t>-512.174537350665 12.2125031427984 -926.811993376168</t>
  </si>
  <si>
    <t>-546.423914639683 83.5022625723024 -778.851463364457</t>
  </si>
  <si>
    <t>-489.787345362805 219.237323397276 -779.156031925853</t>
  </si>
  <si>
    <t>-391.525662227166 252.272913644125 -480.09166864036</t>
  </si>
  <si>
    <t>-219.98478170091 139.597758710181 -320.341629417862</t>
  </si>
  <si>
    <t>-573.805175748464 27.3737001456674 -766.882790411566</t>
  </si>
  <si>
    <t>-467.64909022886 224.751962613275 -256.974791240817</t>
  </si>
  <si>
    <t>-465.188970011679 205.619983854295 198.31143518999</t>
  </si>
  <si>
    <t>-482.451164447722 159.475386251129 665.53289958012</t>
  </si>
  <si>
    <t>-335.236349520292 139.235521297996 759.669244143549</t>
  </si>
  <si>
    <t>-537.45485370631 41.8955988536287 -229.241744923901</t>
  </si>
  <si>
    <t>-427.181937737051 -31.0055649983835 206.858005194984</t>
  </si>
  <si>
    <t>-599.154001959548 -97.283319883182 639.14735023069</t>
  </si>
  <si>
    <t>-454.898784723302 -154.706365660528 721.830749241949</t>
  </si>
  <si>
    <t>9763-20170724T164324.722661500.bin</t>
  </si>
  <si>
    <t>-502.402303638054 133.609795354915 -243.316458691548</t>
  </si>
  <si>
    <t>-544.068303123853 132.241017745656 -357.026002770533</t>
  </si>
  <si>
    <t>-562.581977401703 118.026388762944 -475.962049739264</t>
  </si>
  <si>
    <t>-569.661812743929 99.8607864968381 -583.733614369955</t>
  </si>
  <si>
    <t>-567.200815826591 76.4305368608016 -690.690680260594</t>
  </si>
  <si>
    <t>-553.927625793192 38.4146018946828 -837.587288656756</t>
  </si>
  <si>
    <t>-511.838528105968 11.7730485299415 -926.478963026851</t>
  </si>
  <si>
    <t>-546.023793283442 83.2529608420587 -778.596058193593</t>
  </si>
  <si>
    <t>-488.856562056769 218.717469359571 -779.111109003317</t>
  </si>
  <si>
    <t>-391.140194117912 251.194828862847 -479.806966344981</t>
  </si>
  <si>
    <t>-222.888445457483 137.533023906353 -317.281974076622</t>
  </si>
  <si>
    <t>-573.5773523948 27.2179841659369 -766.584307022912</t>
  </si>
  <si>
    <t>-467.267344927153 224.963097494214 -256.932071875379</t>
  </si>
  <si>
    <t>-464.932555449774 205.709676551491 198.349708111877</t>
  </si>
  <si>
    <t>-482.462891442941 159.250559312584 665.52097469539</t>
  </si>
  <si>
    <t>-335.191963204871 139.477490308897 759.668867912842</t>
  </si>
  <si>
    <t>-537.348710585939 42.3170316158152 -229.027507526131</t>
  </si>
  <si>
    <t>-426.873467141717 -30.6412453198072 207.01140223243</t>
  </si>
  <si>
    <t>-599.084797291093 -96.7608781507504 639.168114626199</t>
  </si>
  <si>
    <t>-455.159976598301 -154.902446333895 721.925096079403</t>
  </si>
  <si>
    <t>9763-20170724T164324.790345200.bin</t>
  </si>
  <si>
    <t>-501.661693128981 134.101978355145 -243.185009644819</t>
  </si>
  <si>
    <t>-543.405846053672 132.793238163273 -356.866653002107</t>
  </si>
  <si>
    <t>-561.954873613148 118.612616510141 -475.801073021906</t>
  </si>
  <si>
    <t>-569.054441630547 100.454699988971 -583.572868856963</t>
  </si>
  <si>
    <t>-566.604693098854 77.0028478950719 -690.525471083867</t>
  </si>
  <si>
    <t>-553.342358909463 38.9207337946818 -837.405911556834</t>
  </si>
  <si>
    <t>-511.285125999954 12.1169161772332 -926.263798691897</t>
  </si>
  <si>
    <t>-545.265366134357 83.7095125279648 -778.400461119311</t>
  </si>
  <si>
    <t>-486.936987762618 218.680038016744 -778.889899819205</t>
  </si>
  <si>
    <t>-392.742447662507 246.659658034437 -478.006704015266</t>
  </si>
  <si>
    <t>-229.744439971051 129.141545226619 -312.890980514667</t>
  </si>
  <si>
    <t>-573.155651965824 27.8322380373776 -766.431254559368</t>
  </si>
  <si>
    <t>-466.300034398392 225.509595606127 -256.877925146425</t>
  </si>
  <si>
    <t>-464.079040578943 205.956976087191 198.391615367354</t>
  </si>
  <si>
    <t>-482.394802707126 159.217672804741 665.469823333175</t>
  </si>
  <si>
    <t>-335.229119301501 139.129836220354 759.715550043114</t>
  </si>
  <si>
    <t>-536.824575955325 42.8099990309886 -228.811722566595</t>
  </si>
  <si>
    <t>-426.254835836843 -30.1543536728577 207.202346411158</t>
  </si>
  <si>
    <t>-599.048950216977 -96.6524129443192 639.189597301385</t>
  </si>
  <si>
    <t>-455.189101753753 -154.826958476151 722.036284354998</t>
  </si>
  <si>
    <t>9763-20170724T164324.825438000.bin</t>
  </si>
  <si>
    <t>-501.30663735131 134.428613446956 -243.133547535384</t>
  </si>
  <si>
    <t>-543.016255050353 133.208720107458 -356.828951985228</t>
  </si>
  <si>
    <t>-561.504407191385 119.227248681313 -475.796385426255</t>
  </si>
  <si>
    <t>-568.54088228599 101.286110412087 -583.608544651517</t>
  </si>
  <si>
    <t>-566.021190101844 78.08272951056 -690.613641830154</t>
  </si>
  <si>
    <t>-552.655992245375 40.3745095951597 -837.581334703431</t>
  </si>
  <si>
    <t>-510.569924463479 13.6186803306503 -926.440056909213</t>
  </si>
  <si>
    <t>-544.528935848262 84.9711838093097 -778.437322831412</t>
  </si>
  <si>
    <t>-485.410772613896 219.564801392787 -778.293076573126</t>
  </si>
  <si>
    <t>-394.151631504642 244.247639765384 -476.219078741486</t>
  </si>
  <si>
    <t>-231.61261874159 124.347986984257 -312.367917134412</t>
  </si>
  <si>
    <t>-572.610448293109 29.147283012459 -766.668001656282</t>
  </si>
  <si>
    <t>-465.769713705586 225.816349337948 -256.840532379616</t>
  </si>
  <si>
    <t>-463.610674395759 206.1088899346 198.42273484555</t>
  </si>
  <si>
    <t>-482.348865483258 159.253235264069 665.43887416828</t>
  </si>
  <si>
    <t>-335.245298434058 138.993689186604 759.744704758859</t>
  </si>
  <si>
    <t>-536.642449803071 43.185062856131 -228.774582561625</t>
  </si>
  <si>
    <t>-426.158810895124 -29.9103026388411 207.23921771565</t>
  </si>
  <si>
    <t>-599.012087036539 -96.4324284335638 639.16969752019</t>
  </si>
  <si>
    <t>-455.476876886255 -155.260748336758 722.117802643103</t>
  </si>
  <si>
    <t>9763-20170724T164324.889612900.bin</t>
  </si>
  <si>
    <t>-500.791285285702 134.600951096677 -243.089295805574</t>
  </si>
  <si>
    <t>-542.550411940289 133.586076694488 -356.76854845008</t>
  </si>
  <si>
    <t>-560.948635474632 120.049333236453 -475.801419278219</t>
  </si>
  <si>
    <t>-567.846775656867 102.596049193037 -583.702408749835</t>
  </si>
  <si>
    <t>-565.132212783812 79.9600490132424 -690.824322780495</t>
  </si>
  <si>
    <t>-551.437595697533 43.1168134060618 -837.980912255559</t>
  </si>
  <si>
    <t>-509.312212303534 16.5346858276713 -926.872983810703</t>
  </si>
  <si>
    <t>-543.281766804351 87.2898154652813 -778.523820632794</t>
  </si>
  <si>
    <t>-483.096544440188 221.444660564669 -776.837098217753</t>
  </si>
  <si>
    <t>-397.438864109804 238.41507279372 -472.598792460533</t>
  </si>
  <si>
    <t>-229.570630014595 114.67620218613 -317.192793846677</t>
  </si>
  <si>
    <t>-571.712343530393 31.5477854566323 -767.213598764581</t>
  </si>
  <si>
    <t>-464.788672172713 226.001432131766 -256.838766536749</t>
  </si>
  <si>
    <t>-462.501933719469 206.087299962649 198.414881775227</t>
  </si>
  <si>
    <t>-482.22315429034 159.310043329974 665.344009359912</t>
  </si>
  <si>
    <t>-335.317163287669 138.385238111387 759.81245207432</t>
  </si>
  <si>
    <t>-536.597223604414 43.1613959960536 -228.737525685822</t>
  </si>
  <si>
    <t>-426.013250930923 -29.8351503523822 207.267485030412</t>
  </si>
  <si>
    <t>-599.022594291249 -96.6580272658237 639.177801841043</t>
  </si>
  <si>
    <t>-455.244748605632 -154.761142390865 722.216804924066</t>
  </si>
  <si>
    <t>9763-20170724T164324.923703200.bin</t>
  </si>
  <si>
    <t>-500.590365911219 134.575162671638 -243.130569595014</t>
  </si>
  <si>
    <t>-542.540785259145 133.765709365308 -356.741014233995</t>
  </si>
  <si>
    <t>-561.001663412653 120.527048794907 -475.797666332649</t>
  </si>
  <si>
    <t>-567.89814472399 103.379716920202 -583.747846511911</t>
  </si>
  <si>
    <t>-565.120473901377 81.0864230531433 -690.940078494585</t>
  </si>
  <si>
    <t>-551.272783048906 44.757792596293 -838.210125059682</t>
  </si>
  <si>
    <t>-509.078033305174 18.3621574023849 -927.124934507027</t>
  </si>
  <si>
    <t>-543.136472226566 88.7028205959591 -778.581597150544</t>
  </si>
  <si>
    <t>-482.68734612533 222.75828160841 -776.373114307767</t>
  </si>
  <si>
    <t>-398.444672487861 236.639719615949 -471.58366597095</t>
  </si>
  <si>
    <t>-228.044576909955 113.749450760048 -318.274007482132</t>
  </si>
  <si>
    <t>-571.663483039875 32.9613946849356 -767.513726694298</t>
  </si>
  <si>
    <t>-464.391432462016 225.981024224627 -256.838586766095</t>
  </si>
  <si>
    <t>-461.987610406455 205.950412395976 198.409354267783</t>
  </si>
  <si>
    <t>-482.19332261129 159.203799273046 665.306623010832</t>
  </si>
  <si>
    <t>-335.315113818666 138.369367570848 759.838358166715</t>
  </si>
  <si>
    <t>-536.625221817678 43.2831464151186 -228.712822971949</t>
  </si>
  <si>
    <t>-425.845900807602 -29.7740006939582 207.232348390617</t>
  </si>
  <si>
    <t>-598.988262456274 -96.3039011697314 639.135609740581</t>
  </si>
  <si>
    <t>-455.507223650383 -155.023354138945 722.254465682521</t>
  </si>
  <si>
    <t>9763-20170724T164324.989503300.bin</t>
  </si>
  <si>
    <t>-500.395764539348 134.484930324308 -243.21629496813</t>
  </si>
  <si>
    <t>-542.304503626892 133.869780421374 -356.843202610784</t>
  </si>
  <si>
    <t>-560.666342320565 120.971960307028 -475.952688930479</t>
  </si>
  <si>
    <t>-567.448957270093 104.188609497114 -583.967293912461</t>
  </si>
  <si>
    <t>-564.532094838924 82.312958800691 -691.241784823471</t>
  </si>
  <si>
    <t>-550.463917687523 46.6183545746646 -838.645832016466</t>
  </si>
  <si>
    <t>-508.06265299568 20.6149641877413 -927.578166255939</t>
  </si>
  <si>
    <t>-542.367945963897 90.2831663279168 -778.806477500972</t>
  </si>
  <si>
    <t>-481.819392638497 224.249042162963 -775.989964480396</t>
  </si>
  <si>
    <t>-397.036332544339 236.909728279851 -471.297116758843</t>
  </si>
  <si>
    <t>-224.003103558513 117.662209351983 -318.060019351231</t>
  </si>
  <si>
    <t>-571.009396054534 34.5410618321009 -768.041755120565</t>
  </si>
  <si>
    <t>-463.920631198726 225.980332636622 -256.866017150196</t>
  </si>
  <si>
    <t>-461.261179167038 205.895735177256 198.378035972444</t>
  </si>
  <si>
    <t>-482.077390924503 159.579371662688 665.258986614591</t>
  </si>
  <si>
    <t>-335.403269427284 137.848400977555 759.905468754588</t>
  </si>
  <si>
    <t>-536.658522530283 43.1230888839104 -228.900553873888</t>
  </si>
  <si>
    <t>-426.000852259864 -30.2035264670282 207.030338353111</t>
  </si>
  <si>
    <t>-599.080131637876 -96.5180283173594 639.120053868442</t>
  </si>
  <si>
    <t>-455.504776914862 -154.990165642232 722.250370363997</t>
  </si>
  <si>
    <t>9763-20170724T164325.021584100.bin</t>
  </si>
  <si>
    <t>-500.280343686296 134.356640541226 -243.313719337739</t>
  </si>
  <si>
    <t>-542.153596461643 133.853732492502 -356.954259342921</t>
  </si>
  <si>
    <t>-560.464154763024 121.163521828199 -476.093942332649</t>
  </si>
  <si>
    <t>-567.19285743377 104.605307336623 -584.146716869517</t>
  </si>
  <si>
    <t>-564.213973259898 82.9911214369634 -691.472399130901</t>
  </si>
  <si>
    <t>-550.049904288734 47.6964182963135 -838.963601271757</t>
  </si>
  <si>
    <t>-507.530119479147 21.9467867295391 -927.912991674237</t>
  </si>
  <si>
    <t>-542.014750169519 91.2091501143959 -779.005269278541</t>
  </si>
  <si>
    <t>-481.492307271315 225.203879232381 -775.901911268345</t>
  </si>
  <si>
    <t>-396.053126792516 238.569408317376 -471.422449674333</t>
  </si>
  <si>
    <t>-221.442985839168 120.775385806179 -318.851531972921</t>
  </si>
  <si>
    <t>-570.619370281247 35.4173203036698 -768.401288148247</t>
  </si>
  <si>
    <t>-463.833055515659 225.825640215886 -256.849050784223</t>
  </si>
  <si>
    <t>-461.130586001298 205.69417321497 198.392871763059</t>
  </si>
  <si>
    <t>-482.106825691184 159.360668140597 665.274945394716</t>
  </si>
  <si>
    <t>-335.420245760827 137.76654660132 759.933617057761</t>
  </si>
  <si>
    <t>-536.512785418117 43.0029053177905 -229.079508480788</t>
  </si>
  <si>
    <t>-426.187800631958 -30.4143276917093 206.920507752941</t>
  </si>
  <si>
    <t>-599.141421687511 -96.5289587317729 639.117773628234</t>
  </si>
  <si>
    <t>-455.63514765128 -155.168685934286 722.249150514929</t>
  </si>
  <si>
    <t>9763-20170724T164325.089293900.bin</t>
  </si>
  <si>
    <t>-500.17906713368 134.136905624551 -243.367852948223</t>
  </si>
  <si>
    <t>-541.870573346768 133.740693656974 -357.075628728268</t>
  </si>
  <si>
    <t>-559.961426128117 121.306679480731 -476.275916297564</t>
  </si>
  <si>
    <t>-566.473175381317 105.047113985034 -584.387303260273</t>
  </si>
  <si>
    <t>-563.256753826622 83.801389567783 -691.779641812307</t>
  </si>
  <si>
    <t>-548.738494627291 49.0939404625882 -839.375752345815</t>
  </si>
  <si>
    <t>-505.975087811235 23.8709591312394 -928.35934122076</t>
  </si>
  <si>
    <t>-540.958734894853 92.4201275309433 -779.248894380186</t>
  </si>
  <si>
    <t>-481.159150280953 226.673646504065 -775.579468311531</t>
  </si>
  <si>
    <t>-394.288021452233 242.246354724247 -471.610543550658</t>
  </si>
  <si>
    <t>-217.112104771692 127.338903351861 -319.798069117021</t>
  </si>
  <si>
    <t>-569.365874550493 36.4816941641572 -768.889053854516</t>
  </si>
  <si>
    <t>-463.787190039281 225.57691199484 -256.777992701435</t>
  </si>
  <si>
    <t>-461.134118121931 205.506729800738 198.466908899059</t>
  </si>
  <si>
    <t>-482.154415074124 159.280553393771 665.342105902381</t>
  </si>
  <si>
    <t>-335.396943558313 137.983164652334 759.95800175933</t>
  </si>
  <si>
    <t>-536.39949714489 42.8200904902015 -229.261481701463</t>
  </si>
  <si>
    <t>-426.476924943706 -30.8265818264487 206.801387984666</t>
  </si>
  <si>
    <t>-599.229630729075 -96.5487442890015 639.071977691655</t>
  </si>
  <si>
    <t>-455.757023395667 -155.24621435967 722.220884890186</t>
  </si>
  <si>
    <t>9763-20170724T164325.121379600.bin</t>
  </si>
  <si>
    <t>-500.102638879075 134.149609040691 -243.416285050398</t>
  </si>
  <si>
    <t>-541.743130726763 133.782276068159 -357.142920674082</t>
  </si>
  <si>
    <t>-559.754956295791 121.504581888623 -476.371167468825</t>
  </si>
  <si>
    <t>-566.181904914722 105.440580459133 -584.516927218798</t>
  </si>
  <si>
    <t>-562.865487450424 84.4451998026088 -691.955403485743</t>
  </si>
  <si>
    <t>-548.190767959696 50.1430482066605 -839.630776082045</t>
  </si>
  <si>
    <t>-505.280609810752 25.2200611642689 -928.628282508581</t>
  </si>
  <si>
    <t>-540.553860574787 93.3409687700808 -779.393407421805</t>
  </si>
  <si>
    <t>-481.002576569796 227.763684936592 -775.481793237095</t>
  </si>
  <si>
    <t>-393.124101869349 244.519835481414 -471.865672154078</t>
  </si>
  <si>
    <t>-214.760834932822 129.681361200521 -321.39735554449</t>
  </si>
  <si>
    <t>-568.813963891091 37.300395102666 -769.184661348293</t>
  </si>
  <si>
    <t>-463.826727390248 225.633744065636 -256.73828968797</t>
  </si>
  <si>
    <t>-461.171957520775 205.538693893818 198.505326946681</t>
  </si>
  <si>
    <t>-482.177895194067 159.265112717796 665.379155830755</t>
  </si>
  <si>
    <t>-335.413174363501 137.871435313732 759.962021914159</t>
  </si>
  <si>
    <t>-536.197845387388 42.787876708332 -229.407700021732</t>
  </si>
  <si>
    <t>-426.542871458001 -30.8064317692449 206.731418981094</t>
  </si>
  <si>
    <t>-599.278777148369 -96.4681315386068 639.045076288984</t>
  </si>
  <si>
    <t>-455.871609026036 -155.37794223614 722.156769858154</t>
  </si>
  <si>
    <t>9763-20170724T164325.187060200.bin</t>
  </si>
  <si>
    <t>-499.95349424363 134.452244586653 -243.337981752665</t>
  </si>
  <si>
    <t>-541.452823790347 134.021416504054 -357.116017076757</t>
  </si>
  <si>
    <t>-559.334576597009 121.815573869074 -476.371333787924</t>
  </si>
  <si>
    <t>-565.646600320421 105.878378812431 -584.542532095725</t>
  </si>
  <si>
    <t>-562.21601436631 85.074129463591 -692.014710767112</t>
  </si>
  <si>
    <t>-547.380759837862 51.1066880681555 -839.75139234072</t>
  </si>
  <si>
    <t>-504.26632028362 26.6245823515038 -928.772542266097</t>
  </si>
  <si>
    <t>-539.975899073697 94.245202693875 -779.442519318866</t>
  </si>
  <si>
    <t>-481.364417086138 229.039851161646 -775.334503832836</t>
  </si>
  <si>
    <t>-391.568944234843 247.455939345192 -472.376071914738</t>
  </si>
  <si>
    <t>-213.166350267108 134.106328143268 -320.829351034475</t>
  </si>
  <si>
    <t>-567.913805135543 38.0272686452364 -769.322441053124</t>
  </si>
  <si>
    <t>-463.944324903988 225.920668443283 -256.592368344828</t>
  </si>
  <si>
    <t>-461.350185430516 205.831496430994 198.652062646275</t>
  </si>
  <si>
    <t>-482.224200365825 159.281817394381 665.4653583189</t>
  </si>
  <si>
    <t>-335.395895189546 138.031532767996 759.981999490996</t>
  </si>
  <si>
    <t>-535.778372675719 43.1101782956128 -229.422344845922</t>
  </si>
  <si>
    <t>-426.371676684906 -30.6905025356091 206.744294078799</t>
  </si>
  <si>
    <t>-599.382333497964 -96.1614867779716 638.950321419806</t>
  </si>
  <si>
    <t>-455.883596197862 -155.264984092223 721.765772895579</t>
  </si>
  <si>
    <t>9763-20170724T164325.219144800.bin</t>
  </si>
  <si>
    <t>-499.809116343826 134.531981396065 -243.295917490423</t>
  </si>
  <si>
    <t>-541.311780269852 134.080273126407 -357.072654575234</t>
  </si>
  <si>
    <t>-559.19639415952 121.90617221494 -476.330723278268</t>
  </si>
  <si>
    <t>-565.509194726936 106.021328561785 -584.509648055887</t>
  </si>
  <si>
    <t>-562.076387869378 85.293915343101 -691.996486911117</t>
  </si>
  <si>
    <t>-547.233997210626 51.4590581753287 -839.762923461462</t>
  </si>
  <si>
    <t>-504.054789916498 27.1939127054625 -928.812037263988</t>
  </si>
  <si>
    <t>-539.91491797654 94.581297674434 -779.432084172441</t>
  </si>
  <si>
    <t>-481.662510342305 229.546087326988 -775.301502245792</t>
  </si>
  <si>
    <t>-391.484562243765 248.336470385075 -472.479567345665</t>
  </si>
  <si>
    <t>-213.782659314969 133.803312773839 -320.999451503136</t>
  </si>
  <si>
    <t>-567.687644215165 38.2784706562882 -769.329756107721</t>
  </si>
  <si>
    <t>-463.95545812724 225.911444761887 -256.492543050946</t>
  </si>
  <si>
    <t>-461.477746517311 205.896757711159 198.755665140524</t>
  </si>
  <si>
    <t>-482.316277532494 158.91901386211 665.52923736929</t>
  </si>
  <si>
    <t>-335.345989287808 138.390391777269 759.984635316847</t>
  </si>
  <si>
    <t>-535.526643037188 43.1992118942979 -229.415781413636</t>
  </si>
  <si>
    <t>-426.063933071875 -30.5283889120038 206.749071097905</t>
  </si>
  <si>
    <t>-599.434519836308 -96.0024286892723 638.851525048381</t>
  </si>
  <si>
    <t>-455.941590528789 -155.352459731789 721.500548288084</t>
  </si>
  <si>
    <t>9763-20170724T164325.286936800.bin</t>
  </si>
  <si>
    <t>-499.370614937555 135.33312416979 -243.196825838054</t>
  </si>
  <si>
    <t>-540.687249329101 134.718769849159 -357.040421087131</t>
  </si>
  <si>
    <t>-558.502465197624 122.532033860313 -476.307570604968</t>
  </si>
  <si>
    <t>-564.802909558667 106.697337939361 -584.494504776099</t>
  </si>
  <si>
    <t>-561.408351217429 86.0794927513581 -692.003697090053</t>
  </si>
  <si>
    <t>-546.669934788603 52.4569587842096 -839.828986764379</t>
  </si>
  <si>
    <t>-503.478579465792 28.5578837862701 -928.971155730802</t>
  </si>
  <si>
    <t>-539.442327376113 95.5533621985985 -779.468540282845</t>
  </si>
  <si>
    <t>-481.711706381333 230.73501653759 -775.382689490235</t>
  </si>
  <si>
    <t>-393.209868319192 249.642122123362 -472.073981476983</t>
  </si>
  <si>
    <t>-215.790113677231 133.927434928809 -321.162036746816</t>
  </si>
  <si>
    <t>-566.940072824631 39.1144016149618 -769.373352675911</t>
  </si>
  <si>
    <t>-463.806338161044 226.674051858925 -256.33639774663</t>
  </si>
  <si>
    <t>-461.519900266188 206.513577832742 198.906352725265</t>
  </si>
  <si>
    <t>-482.396105581406 158.776026938727 665.611315521881</t>
  </si>
  <si>
    <t>-335.30576189132 138.72628994755 759.982665024457</t>
  </si>
  <si>
    <t>-534.746161090179 44.1953242685188 -229.368342858455</t>
  </si>
  <si>
    <t>-425.482082667535 -29.7204753663182 206.814520281488</t>
  </si>
  <si>
    <t>-599.468952235407 -95.7729892920242 638.525973903631</t>
  </si>
  <si>
    <t>-455.960293334206 -155.295800707087 721.023319755136</t>
  </si>
  <si>
    <t>9763-20170724T164325.319034900.bin</t>
  </si>
  <si>
    <t>-499.104593818866 135.884783072401 -243.158742268911</t>
  </si>
  <si>
    <t>-540.334251558208 135.186121581006 -357.033375138855</t>
  </si>
  <si>
    <t>-558.172660051731 123.006354093478 -476.29792946684</t>
  </si>
  <si>
    <t>-564.541863725289 107.211706935624 -584.486615405966</t>
  </si>
  <si>
    <t>-561.264306698917 86.6646659908786 -692.012996877207</t>
  </si>
  <si>
    <t>-546.738193025094 53.1690686547725 -839.8880932237</t>
  </si>
  <si>
    <t>-503.621792839175 29.3803827066998 -929.09607137561</t>
  </si>
  <si>
    <t>-539.468056824917 96.2335128000175 -779.510025433307</t>
  </si>
  <si>
    <t>-481.975987735267 231.521399773811 -775.415622252214</t>
  </si>
  <si>
    <t>-394.41150823624 249.759112536421 -471.794152311066</t>
  </si>
  <si>
    <t>-217.089625873567 133.881383367391 -320.892401553501</t>
  </si>
  <si>
    <t>-566.863026650484 39.7461450490952 -769.406006668996</t>
  </si>
  <si>
    <t>-463.734635445086 227.116418844231 -256.261243212165</t>
  </si>
  <si>
    <t>-461.512761917752 206.809789410319 198.975418611684</t>
  </si>
  <si>
    <t>-482.471930506731 158.400473604395 665.648226073601</t>
  </si>
  <si>
    <t>-335.226455031786 139.254578571406 759.965403073175</t>
  </si>
  <si>
    <t>-534.284709223025 44.7686019285313 -229.399867186064</t>
  </si>
  <si>
    <t>-425.269470410887 -29.2531586357924 206.82726667956</t>
  </si>
  <si>
    <t>-599.475496050852 -95.7894221932847 638.355931917741</t>
  </si>
  <si>
    <t>-455.846593729742 -155.106186424266 720.792332924303</t>
  </si>
  <si>
    <t>9763-20170724T164325.384761600.bin</t>
  </si>
  <si>
    <t>-498.548545965098 137.257309363603 -243.091024459243</t>
  </si>
  <si>
    <t>-539.73595242938 136.404694153087 -356.979930890575</t>
  </si>
  <si>
    <t>-557.664884432061 124.1765294279 -476.22584542386</t>
  </si>
  <si>
    <t>-564.173955263216 108.375618358933 -584.405459163715</t>
  </si>
  <si>
    <t>-561.095063224713 87.8548862315707 -691.942646406425</t>
  </si>
  <si>
    <t>-546.905635806022 54.4249553832508 -839.86537285272</t>
  </si>
  <si>
    <t>-503.953494804131 30.7369348044246 -929.179298801463</t>
  </si>
  <si>
    <t>-539.559951986923 97.4902618015404 -779.497052440577</t>
  </si>
  <si>
    <t>-482.568350945247 232.99198067586 -775.632667012107</t>
  </si>
  <si>
    <t>-396.045710160497 251.430890518006 -471.724712230022</t>
  </si>
  <si>
    <t>-219.425918023022 134.619586592505 -320.719312566307</t>
  </si>
  <si>
    <t>-566.807951680673 40.9429648306027 -769.331217071268</t>
  </si>
  <si>
    <t>-463.494507240181 228.63848062282 -256.1555304978</t>
  </si>
  <si>
    <t>-461.284053766975 208.003630113931 199.066450732522</t>
  </si>
  <si>
    <t>-482.416265231275 158.953134092878 665.647038706847</t>
  </si>
  <si>
    <t>-335.210900299257 139.36994094975 759.936902619585</t>
  </si>
  <si>
    <t>-533.498406005771 45.8989818830685 -229.454815456491</t>
  </si>
  <si>
    <t>-424.719966065419 -27.9214130621432 206.865480121433</t>
  </si>
  <si>
    <t>-599.422018365269 -95.7717997832115 638.009861109643</t>
  </si>
  <si>
    <t>-455.761367982624 -155.037209982791 720.428038453358</t>
  </si>
  <si>
    <t>9763-20170724T164325.422864700.bin</t>
  </si>
  <si>
    <t>-498.226811402273 137.699556124648 -243.03541675482</t>
  </si>
  <si>
    <t>-539.439975515068 136.747273612415 -356.914208997046</t>
  </si>
  <si>
    <t>-557.404660571533 124.469512814209 -476.149599523976</t>
  </si>
  <si>
    <t>-563.95071211087 108.642498943131 -584.323129679846</t>
  </si>
  <si>
    <t>-560.913537734831 88.112904357438 -691.859986844624</t>
  </si>
  <si>
    <t>-546.787247850565 54.6872389100531 -839.789530461434</t>
  </si>
  <si>
    <t>-503.866800825962 31.029679905537 -929.126795723123</t>
  </si>
  <si>
    <t>-539.426594634208 97.7556932630231 -779.425231037612</t>
  </si>
  <si>
    <t>-482.539141802813 233.312347195349 -775.676085773405</t>
  </si>
  <si>
    <t>-396.927415204557 252.410142452834 -471.550909507451</t>
  </si>
  <si>
    <t>-220.447051492305 135.58076199762 -320.396755900434</t>
  </si>
  <si>
    <t>-566.648775786936 41.1984585194746 -769.245271308931</t>
  </si>
  <si>
    <t>-463.215052977599 228.986256583454 -256.113305627082</t>
  </si>
  <si>
    <t>-461.126194741949 208.217094467339 199.103068810251</t>
  </si>
  <si>
    <t>-482.502060986222 158.586676489331 665.661579011322</t>
  </si>
  <si>
    <t>-335.184071954088 139.625572539062 759.902765557866</t>
  </si>
  <si>
    <t>-533.115307035703 46.3214626942205 -229.389384417163</t>
  </si>
  <si>
    <t>-424.324466756748 -27.3297244332703 206.956403691182</t>
  </si>
  <si>
    <t>-599.382289544144 -95.8011850388183 637.874393881484</t>
  </si>
  <si>
    <t>-455.725247781438 -155.044749766815 720.314454448354</t>
  </si>
  <si>
    <t>9763-20170724T164325.488051200.bin</t>
  </si>
  <si>
    <t>-497.733304215133 138.505847053018 -242.978081695231</t>
  </si>
  <si>
    <t>-539.03757739989 137.493336067731 -356.82332420669</t>
  </si>
  <si>
    <t>-557.052301713955 125.095678410197 -476.038766646238</t>
  </si>
  <si>
    <t>-563.621311402424 109.146483645421 -584.192872693979</t>
  </si>
  <si>
    <t>-560.582232916803 88.4871610678199 -691.704759019144</t>
  </si>
  <si>
    <t>-546.425009417849 54.8792992724504 -839.590249392401</t>
  </si>
  <si>
    <t>-503.475222630702 31.2578978835572 -928.922946943849</t>
  </si>
  <si>
    <t>-539.13679123039 98.0486265341667 -779.289171279709</t>
  </si>
  <si>
    <t>-482.70051083758 233.79605067518 -775.975245827546</t>
  </si>
  <si>
    <t>-398.56211083049 254.394259321648 -471.537094251986</t>
  </si>
  <si>
    <t>-222.430272454291 137.814974850274 -319.784411260935</t>
  </si>
  <si>
    <t>-566.241499941608 41.4508241001242 -769.021911924847</t>
  </si>
  <si>
    <t>-462.621458816451 229.910997556137 -256.114591926758</t>
  </si>
  <si>
    <t>-460.698897286702 208.898322592662 199.091301044515</t>
  </si>
  <si>
    <t>-482.445636811775 159.021436078926 665.605612022389</t>
  </si>
  <si>
    <t>-335.228297051183 139.403581257071 759.869691996228</t>
  </si>
  <si>
    <t>-532.720331982731 47.1494212043173 -229.222593383477</t>
  </si>
  <si>
    <t>-423.625936987929 -26.4008473361473 207.064428371974</t>
  </si>
  <si>
    <t>-599.255374768535 -95.4902942562553 637.632348330483</t>
  </si>
  <si>
    <t>-455.77657517731 -155.069820240133 720.140544931668</t>
  </si>
  <si>
    <t>9763-20170724T164325.520136900.bin</t>
  </si>
  <si>
    <t>-497.446602842197 138.625454327563 -243.019487839235</t>
  </si>
  <si>
    <t>-538.786490664959 137.631500763785 -356.851965160997</t>
  </si>
  <si>
    <t>-556.857538263361 125.183860425504 -476.053711758226</t>
  </si>
  <si>
    <t>-563.483055019586 109.168017533233 -584.194563969592</t>
  </si>
  <si>
    <t>-560.504070973427 88.424554518336 -691.6919109939</t>
  </si>
  <si>
    <t>-546.432502365535 54.6854550022467 -839.555687563507</t>
  </si>
  <si>
    <t>-503.467574306692 31.0375624987246 -928.874094467529</t>
  </si>
  <si>
    <t>-539.128728555385 97.9168659182369 -779.301020362481</t>
  </si>
  <si>
    <t>-482.948050546214 233.790652599272 -776.330197707834</t>
  </si>
  <si>
    <t>-399.677949774166 255.763636824278 -471.749382605926</t>
  </si>
  <si>
    <t>-223.903552391516 138.949131305296 -319.763306455095</t>
  </si>
  <si>
    <t>-566.188759046889 41.3110547935264 -768.959985252794</t>
  </si>
  <si>
    <t>-462.262812838507 230.020858363901 -256.138969437704</t>
  </si>
  <si>
    <t>-460.467478907233 208.934091021432 199.064075443268</t>
  </si>
  <si>
    <t>-482.479940533898 158.872061814152 665.587784993486</t>
  </si>
  <si>
    <t>-335.197750927054 139.684907798092 759.839181004719</t>
  </si>
  <si>
    <t>-532.482648605986 47.2357551972604 -229.257564645914</t>
  </si>
  <si>
    <t>-423.522773133464 -26.1104545478795 207.097536388107</t>
  </si>
  <si>
    <t>-599.23800423407 -95.4884101931646 637.599103542673</t>
  </si>
  <si>
    <t>-455.770727101029 -155.090450741536 720.111215290397</t>
  </si>
  <si>
    <t>9763-20170724T164325.586817200.bin</t>
  </si>
  <si>
    <t>-496.953320096014 138.78161438243 -243.11537253224</t>
  </si>
  <si>
    <t>-538.20712900966 137.95780750613 -356.980486092061</t>
  </si>
  <si>
    <t>-556.347592916274 125.518994081013 -476.172569545165</t>
  </si>
  <si>
    <t>-563.096511610033 109.455696214663 -584.298787719465</t>
  </si>
  <si>
    <t>-560.298689867966 88.616112241408 -691.782448531712</t>
  </si>
  <si>
    <t>-546.535748132231 54.6983921999631 -839.634257102556</t>
  </si>
  <si>
    <t>-503.587036882385 30.9516856935694 -928.934290257253</t>
  </si>
  <si>
    <t>-539.105294062247 98.0021597802798 -779.447117751364</t>
  </si>
  <si>
    <t>-483.157436709807 233.985629963537 -777.202580343079</t>
  </si>
  <si>
    <t>-402.894600323224 258.371748561804 -471.998654471329</t>
  </si>
  <si>
    <t>-227.46870664797 141.765769483511 -319.450911047239</t>
  </si>
  <si>
    <t>-566.145579367197 41.4097541692286 -768.981741976523</t>
  </si>
  <si>
    <t>-461.483357930906 230.013663813949 -256.151612512407</t>
  </si>
  <si>
    <t>-459.792180072935 208.740805810992 199.043181357582</t>
  </si>
  <si>
    <t>-482.568265983638 158.512084317217 665.570824394932</t>
  </si>
  <si>
    <t>-335.217658609338 139.754367644529 759.8017394752</t>
  </si>
  <si>
    <t>-532.262923500092 47.5958788274319 -229.426210431412</t>
  </si>
  <si>
    <t>-423.876621999939 -26.2448548067624 206.988251516291</t>
  </si>
  <si>
    <t>-599.239327314431 -95.4261608032432 637.643600790497</t>
  </si>
  <si>
    <t>-455.721161098355 -154.889038360399 720.167634797845</t>
  </si>
  <si>
    <t>9763-20170724T164325.621921200.bin</t>
  </si>
  <si>
    <t>-496.751422144246 138.915547080591 -243.151354983068</t>
  </si>
  <si>
    <t>-538.007830411259 138.253682632169 -357.016543471032</t>
  </si>
  <si>
    <t>-556.242283305315 125.838695433995 -476.196760779812</t>
  </si>
  <si>
    <t>-563.111094234937 109.746954904921 -584.311130948044</t>
  </si>
  <si>
    <t>-560.465875031271 88.8331078237117 -691.78422545064</t>
  </si>
  <si>
    <t>-546.946820589951 54.7682073213082 -839.624774263331</t>
  </si>
  <si>
    <t>-504.098815695345 30.8882385184915 -928.937584247172</t>
  </si>
  <si>
    <t>-539.396888948083 98.1228932851694 -779.489237262767</t>
  </si>
  <si>
    <t>-483.500330358394 234.1411961094 -777.465149950176</t>
  </si>
  <si>
    <t>-405.044685822995 259.843774157217 -471.89971396058</t>
  </si>
  <si>
    <t>-229.925440812619 143.15023631024 -319.066653984997</t>
  </si>
  <si>
    <t>-566.460202347693 41.5588371547511 -768.930646859477</t>
  </si>
  <si>
    <t>-461.021792750226 230.226603027936 -256.148502827959</t>
  </si>
  <si>
    <t>-459.302570510994 208.895092668746 199.043505134537</t>
  </si>
  <si>
    <t>-482.503265347552 158.997617613056 665.547299859824</t>
  </si>
  <si>
    <t>-335.293792185062 139.347585801096 759.816809154382</t>
  </si>
  <si>
    <t>-532.337274310911 47.6578638883272 -229.478213335447</t>
  </si>
  <si>
    <t>-424.056194555616 -26.3548115485399 206.933309766958</t>
  </si>
  <si>
    <t>-599.255862268459 -95.2792821456494 637.706005668682</t>
  </si>
  <si>
    <t>-455.853574119372 -155.031055924902 720.22287525373</t>
  </si>
  <si>
    <t>9763-20170724T164325.686630300.bin</t>
  </si>
  <si>
    <t>-496.313955729136 138.737560071283 -243.13614932028</t>
  </si>
  <si>
    <t>-537.612058152412 138.368065833147 -356.987713689797</t>
  </si>
  <si>
    <t>-555.943981612439 126.143606037426 -476.172719583246</t>
  </si>
  <si>
    <t>-562.917952610366 110.190716934686 -584.300855700969</t>
  </si>
  <si>
    <t>-560.390985846779 89.3881081133398 -691.798436147246</t>
  </si>
  <si>
    <t>-547.046021731224 55.4542571088716 -839.684851302249</t>
  </si>
  <si>
    <t>-504.341390210904 31.4463987552678 -929.032170623454</t>
  </si>
  <si>
    <t>-539.366738297519 98.729621936964 -779.508645639705</t>
  </si>
  <si>
    <t>-483.213047574492 234.650249593182 -777.533189013483</t>
  </si>
  <si>
    <t>-407.885304114637 262.965965376465 -471.412142526333</t>
  </si>
  <si>
    <t>-233.31272987282 146.537446134968 -317.753823319923</t>
  </si>
  <si>
    <t>-566.534771467663 42.2082317058013 -768.99081194824</t>
  </si>
  <si>
    <t>-460.116385043503 229.944392450224 -256.127188337524</t>
  </si>
  <si>
    <t>-458.25551204627 208.512459010221 199.059511378704</t>
  </si>
  <si>
    <t>-482.517563671135 158.844455941957 665.498641687465</t>
  </si>
  <si>
    <t>-335.32302033677 139.392783945466 759.832693667697</t>
  </si>
  <si>
    <t>-532.296176667592 47.5725139417406 -229.512265257617</t>
  </si>
  <si>
    <t>-424.224626971782 -27.0578694148414 206.845967729432</t>
  </si>
  <si>
    <t>-599.319337648307 -95.2999216950467 637.815972024964</t>
  </si>
  <si>
    <t>-455.876972488862 -155.00150098021 720.299556027039</t>
  </si>
  <si>
    <t>9763-20170724T164325.726737000.bin</t>
  </si>
  <si>
    <t>-496.191227576176 138.783786623683 -243.106866789101</t>
  </si>
  <si>
    <t>-537.542205645137 138.535262444764 -356.939254626139</t>
  </si>
  <si>
    <t>-555.938504539374 126.346746374912 -476.118123482811</t>
  </si>
  <si>
    <t>-562.971739738936 110.396942485961 -584.243042267733</t>
  </si>
  <si>
    <t>-560.503003020256 89.571875284922 -691.737551028692</t>
  </si>
  <si>
    <t>-547.236339959588 55.5836710076829 -839.618559274731</t>
  </si>
  <si>
    <t>-504.574749792987 31.509630249522 -928.968501480335</t>
  </si>
  <si>
    <t>-539.507939368861 98.873543542935 -779.458963610437</t>
  </si>
  <si>
    <t>-483.468399689353 234.80992797675 -777.61112548624</t>
  </si>
  <si>
    <t>-408.972368035447 263.781995144046 -471.347894427492</t>
  </si>
  <si>
    <t>-234.612960428557 147.724188244545 -317.168119015208</t>
  </si>
  <si>
    <t>-566.704888849836 42.3713115864524 -768.912607721757</t>
  </si>
  <si>
    <t>-459.810432097556 230.03594124428 -256.115677767975</t>
  </si>
  <si>
    <t>-457.714271549395 208.517492126569 199.065767724744</t>
  </si>
  <si>
    <t>-482.482131410822 159.024655045919 665.477036988607</t>
  </si>
  <si>
    <t>-335.410071959813 138.91156331587 759.86336381137</t>
  </si>
  <si>
    <t>-532.392495725903 47.6581400590693 -229.444645584117</t>
  </si>
  <si>
    <t>-424.248883958774 -27.1697201914967 206.861947240517</t>
  </si>
  <si>
    <t>-599.324619468261 -95.0666191271262 637.848474767555</t>
  </si>
  <si>
    <t>-455.944083885479 -154.945691365991 720.310794210793</t>
  </si>
  <si>
    <t>9763-20170724T164325.784288700.bin</t>
  </si>
  <si>
    <t>-496.177570950042 138.85637054466 -243.144548455193</t>
  </si>
  <si>
    <t>-537.641440671448 138.797212434598 -356.936195008715</t>
  </si>
  <si>
    <t>-556.208089702878 126.855237904696 -476.113541677203</t>
  </si>
  <si>
    <t>-563.415230200042 111.151665305995 -584.262953241958</t>
  </si>
  <si>
    <t>-561.137333530037 90.5957715333553 -691.813445847787</t>
  </si>
  <si>
    <t>-548.150381667506 57.0052137016039 -839.810093275801</t>
  </si>
  <si>
    <t>-505.507773493397 32.9903897564945 -929.185131867213</t>
  </si>
  <si>
    <t>-540.268881933202 100.115653859307 -779.541748254127</t>
  </si>
  <si>
    <t>-483.992522376237 235.974473933591 -777.645798889375</t>
  </si>
  <si>
    <t>-410.402473195546 264.51250155556 -471.122832231871</t>
  </si>
  <si>
    <t>-236.02499791058 148.903778360794 -316.626350498912</t>
  </si>
  <si>
    <t>-567.524556774955 43.6203395250424 -769.110803142795</t>
  </si>
  <si>
    <t>-459.583511365674 230.018923965748 -256.124902047669</t>
  </si>
  <si>
    <t>-457.033888955571 208.38654170834 199.048855693999</t>
  </si>
  <si>
    <t>-482.45463554872 159.005030599315 665.420306140026</t>
  </si>
  <si>
    <t>-335.45963318473 138.702415237097 759.886090647303</t>
  </si>
  <si>
    <t>-532.568071209017 47.809661468878 -229.532195937022</t>
  </si>
  <si>
    <t>-424.310954280711 -27.2537242258903 206.705742993515</t>
  </si>
  <si>
    <t>-599.325511402853 -95.1110131584741 637.786498394255</t>
  </si>
  <si>
    <t>-456.091823545574 -155.252325419648 720.313117906452</t>
  </si>
  <si>
    <t>9763-20170724T164325.822389300.bin</t>
  </si>
  <si>
    <t>-496.264466357136 138.799925709275 -243.171718000939</t>
  </si>
  <si>
    <t>-537.738138637682 138.774614939898 -356.95975524818</t>
  </si>
  <si>
    <t>-556.373074466787 126.88359615479 -476.131561227134</t>
  </si>
  <si>
    <t>-563.665160384448 111.233210283943 -584.283090609653</t>
  </si>
  <si>
    <t>-561.494460700001 90.7379275082785 -691.847445048254</t>
  </si>
  <si>
    <t>-548.678377512768 57.2390231464091 -839.879701697838</t>
  </si>
  <si>
    <t>-506.069303076287 33.2417200056328 -929.275377961646</t>
  </si>
  <si>
    <t>-540.732682893935 100.314577411754 -779.594665351416</t>
  </si>
  <si>
    <t>-484.56945447102 236.215826205158 -777.699219755538</t>
  </si>
  <si>
    <t>-411.054526748953 264.309786323836 -471.117213928406</t>
  </si>
  <si>
    <t>-236.710938979034 148.775901022597 -316.526562460425</t>
  </si>
  <si>
    <t>-567.965462331476 43.8079252278516 -769.165343110761</t>
  </si>
  <si>
    <t>-459.681899178607 229.937774255928 -256.099811923611</t>
  </si>
  <si>
    <t>-456.816255000374 208.213681792828 199.067707887018</t>
  </si>
  <si>
    <t>-482.521960213608 158.751559677331 665.44385942496</t>
  </si>
  <si>
    <t>-335.477559436566 138.758024052029 759.898771746936</t>
  </si>
  <si>
    <t>-532.692253875018 47.7043461031547 -229.554303731733</t>
  </si>
  <si>
    <t>-424.454306489037 -27.4207997094647 206.677748774357</t>
  </si>
  <si>
    <t>-599.370582802553 -95.3587039809518 637.801466122246</t>
  </si>
  <si>
    <t>-455.922379443473 -155.012358737987 720.309464040558</t>
  </si>
  <si>
    <t>9763-20170724T164325.889945800.bin</t>
  </si>
  <si>
    <t>-496.301316870619 138.612598229377 -243.21253047834</t>
  </si>
  <si>
    <t>-537.813811378384 138.613851564488 -356.986541922812</t>
  </si>
  <si>
    <t>-556.627002022731 126.81401902602 -476.139439192783</t>
  </si>
  <si>
    <t>-564.137235816502 111.270848917236 -584.291339292117</t>
  </si>
  <si>
    <t>-562.240034881806 90.9053663728015 -691.885471339592</t>
  </si>
  <si>
    <t>-549.859436673367 57.6081281324645 -840.000414041566</t>
  </si>
  <si>
    <t>-507.406134770004 33.6767040574063 -929.487801146613</t>
  </si>
  <si>
    <t>-541.750593860609 100.607886240893 -779.682940341785</t>
  </si>
  <si>
    <t>-485.676724068338 236.559131684277 -777.858412833132</t>
  </si>
  <si>
    <t>-412.574756245277 263.997052900608 -471.118526857995</t>
  </si>
  <si>
    <t>-238.514992586219 147.968459545471 -316.5784565656</t>
  </si>
  <si>
    <t>-568.924370711106 44.0743818976314 -769.245249784592</t>
  </si>
  <si>
    <t>-459.775200479844 229.628990177532 -256.095611426937</t>
  </si>
  <si>
    <t>-456.770308720012 208.009739561521 199.0760905174</t>
  </si>
  <si>
    <t>-482.564811661 158.512315737218 665.413679980985</t>
  </si>
  <si>
    <t>-335.460371431508 139.014445552153 759.878613639962</t>
  </si>
  <si>
    <t>-532.627544250424 47.6155945278825 -229.662956184367</t>
  </si>
  <si>
    <t>-424.534241063594 -27.3230959417649 206.637042762011</t>
  </si>
  <si>
    <t>-599.37772217319 -95.10050975593 637.790891796045</t>
  </si>
  <si>
    <t>-456.103379876569 -155.168459773394 720.300416972977</t>
  </si>
  <si>
    <t>9763-20170724T164325.923031800.bin</t>
  </si>
  <si>
    <t>-496.287806606006 138.574605904664 -243.194664268861</t>
  </si>
  <si>
    <t>-537.75042325146 138.538388021532 -356.98679244835</t>
  </si>
  <si>
    <t>-556.623525329857 126.715646325159 -476.127873414325</t>
  </si>
  <si>
    <t>-564.233861837864 111.158005682842 -584.270790810404</t>
  </si>
  <si>
    <t>-562.482361812204 90.7838813777419 -691.865851981673</t>
  </si>
  <si>
    <t>-550.350274488039 57.4800371250233 -839.999684953177</t>
  </si>
  <si>
    <t>-508.009477538911 33.5706078689206 -929.546234551716</t>
  </si>
  <si>
    <t>-542.148474167435 100.486179482986 -779.699543924842</t>
  </si>
  <si>
    <t>-486.258034443455 236.482636467725 -778.045407135002</t>
  </si>
  <si>
    <t>-413.332067409757 263.982857088472 -471.269125020654</t>
  </si>
  <si>
    <t>-239.565788018364 147.617400291213 -316.652173486831</t>
  </si>
  <si>
    <t>-569.288220564895 43.9457617027072 -769.210702348905</t>
  </si>
  <si>
    <t>-459.79785141971 229.678819011027 -256.10642177722</t>
  </si>
  <si>
    <t>-456.801026058625 208.079519080845 199.066296798417</t>
  </si>
  <si>
    <t>-482.542654024152 158.79956369206 665.415202059019</t>
  </si>
  <si>
    <t>-335.499843353357 138.860396552337 759.884019879412</t>
  </si>
  <si>
    <t>-532.62603699534 47.5155860728682 -229.649815482597</t>
  </si>
  <si>
    <t>-424.393987637664 -27.4078626269996 206.618388841406</t>
  </si>
  <si>
    <t>-599.374551181617 -95.1374333340079 637.745436811079</t>
  </si>
  <si>
    <t>-456.017974097153 -154.970828890457 720.282489950309</t>
  </si>
  <si>
    <t>9763-20170724T164325.990077000.bin</t>
  </si>
  <si>
    <t>-496.250219933551 138.411394626809 -243.153322956202</t>
  </si>
  <si>
    <t>-537.797778222893 138.374869818279 -356.914557176588</t>
  </si>
  <si>
    <t>-556.939226535985 126.613053767901 -476.018791854802</t>
  </si>
  <si>
    <t>-564.86900140045 111.12922558256 -584.149539041256</t>
  </si>
  <si>
    <t>-563.513165247591 90.8429712697334 -691.76664183641</t>
  </si>
  <si>
    <t>-552.008872200415 57.6709103364772 -839.980355436747</t>
  </si>
  <si>
    <t>-509.934849360954 33.778720630639 -929.657168482198</t>
  </si>
  <si>
    <t>-543.507026230552 100.603473513464 -779.669231350322</t>
  </si>
  <si>
    <t>-487.576942504775 236.599149442838 -778.223924360751</t>
  </si>
  <si>
    <t>-415.340240353778 264.097524420608 -471.284348226861</t>
  </si>
  <si>
    <t>-241.979091286681 147.694747252734 -316.241311944175</t>
  </si>
  <si>
    <t>-570.691353095849 44.0935921709996 -769.131560288698</t>
  </si>
  <si>
    <t>-459.82504207002 229.458455197258 -256.071746072804</t>
  </si>
  <si>
    <t>-456.851724668139 207.922496323274 199.104035250201</t>
  </si>
  <si>
    <t>-482.672228118404 158.438130160443 665.479601904333</t>
  </si>
  <si>
    <t>-335.540262639413 138.809530476371 759.874572320595</t>
  </si>
  <si>
    <t>-532.509535297371 47.4092883767255 -229.580792850695</t>
  </si>
  <si>
    <t>-424.293686792662 -27.3786106703656 206.714725070306</t>
  </si>
  <si>
    <t>-599.378571358929 -95.1048962453699 637.712588248545</t>
  </si>
  <si>
    <t>-455.968954550776 -154.81126919832 720.249543847471</t>
  </si>
  <si>
    <t>9763-20170724T164326.023158200.bin</t>
  </si>
  <si>
    <t>-496.252692316349 138.578485799876 -243.106366085891</t>
  </si>
  <si>
    <t>-537.796309825679 138.520672464261 -356.869051024371</t>
  </si>
  <si>
    <t>-557.029546125985 126.761702392689 -475.958785031662</t>
  </si>
  <si>
    <t>-565.083090168214 111.28754192944 -584.081655810789</t>
  </si>
  <si>
    <t>-563.89189098418 91.0162332296231 -691.703633854946</t>
  </si>
  <si>
    <t>-552.658431611137 57.8682044449189 -839.943414344686</t>
  </si>
  <si>
    <t>-510.715910859209 33.9467952182247 -929.673932568083</t>
  </si>
  <si>
    <t>-544.010543178693 100.774892073663 -779.634684584942</t>
  </si>
  <si>
    <t>-487.994805422717 236.730641244072 -778.269103076291</t>
  </si>
  <si>
    <t>-416.128763259964 264.236600342392 -471.24320725119</t>
  </si>
  <si>
    <t>-242.94338584545 147.927841031502 -315.933390400589</t>
  </si>
  <si>
    <t>-571.247312549336 44.2954528237684 -769.069288718195</t>
  </si>
  <si>
    <t>-459.861133486979 229.595872303956 -256.062476756189</t>
  </si>
  <si>
    <t>-456.804983475911 207.993358955372 199.109591308526</t>
  </si>
  <si>
    <t>-482.661122609865 158.572294850332 665.462239031839</t>
  </si>
  <si>
    <t>-335.56422821311 138.727395303443 759.866677214021</t>
  </si>
  <si>
    <t>-532.515973237785 47.6586884145228 -229.542609990419</t>
  </si>
  <si>
    <t>-424.239976651407 -27.1977909207399 206.726150363912</t>
  </si>
  <si>
    <t>-599.350550740025 -94.8656493926241 637.693183935833</t>
  </si>
  <si>
    <t>-456.111330161336 -154.961986973883 720.242963694311</t>
  </si>
  <si>
    <t>9763-20170724T164326.088338000.bin</t>
  </si>
  <si>
    <t>-496.234025888858 138.704142028761 -243.011180234723</t>
  </si>
  <si>
    <t>-537.915985246572 138.677887254491 -356.723189468118</t>
  </si>
  <si>
    <t>-557.351683018436 126.913941793479 -475.779580741562</t>
  </si>
  <si>
    <t>-565.612498937755 111.420720445023 -583.883991667351</t>
  </si>
  <si>
    <t>-564.651399051177 91.1158956564976 -691.501998516463</t>
  </si>
  <si>
    <t>-553.759949286585 57.9064910490199 -839.753499342347</t>
  </si>
  <si>
    <t>-512.045274043572 33.8929319393693 -929.565686728554</t>
  </si>
  <si>
    <t>-544.922836446129 100.815567728121 -779.473921207632</t>
  </si>
  <si>
    <t>-488.699701357393 236.698358196792 -778.30892890377</t>
  </si>
  <si>
    <t>-417.492819541412 265.712976339029 -471.268361867899</t>
  </si>
  <si>
    <t>-245.445059836675 148.323684474161 -315.507789363312</t>
  </si>
  <si>
    <t>-572.235246428203 44.3856304130099 -768.839768903309</t>
  </si>
  <si>
    <t>-459.761696046069 229.509638964088 -256.007765048808</t>
  </si>
  <si>
    <t>-456.687271238705 207.907447201236 199.164267504409</t>
  </si>
  <si>
    <t>-482.773950539302 158.15696351944 665.510936122955</t>
  </si>
  <si>
    <t>-335.532058238889 139.083882387771 759.848477251681</t>
  </si>
  <si>
    <t>-532.590717522645 47.9581954528626 -229.388596541934</t>
  </si>
  <si>
    <t>-423.99992475797 -26.9993180102753 206.784637534512</t>
  </si>
  <si>
    <t>-599.286138458398 -94.3881233730779 637.645981381672</t>
  </si>
  <si>
    <t>-456.288555457221 -155.009162973427 720.231087432046</t>
  </si>
  <si>
    <t>9763-20170724T164326.122428300.bin</t>
  </si>
  <si>
    <t>-496.217091539473 138.626846771723 -242.979217544225</t>
  </si>
  <si>
    <t>-537.976751308333 138.597784899268 -356.662662980685</t>
  </si>
  <si>
    <t>-557.48547755023 126.777739807903 -475.70169301517</t>
  </si>
  <si>
    <t>-565.807470618058 111.216604547584 -583.791678570528</t>
  </si>
  <si>
    <t>-564.900882997614 90.8296749696534 -691.394657781457</t>
  </si>
  <si>
    <t>-554.077103515059 57.4943387164915 -839.62288132148</t>
  </si>
  <si>
    <t>-512.41704877458 33.4580382319041 -929.454231029957</t>
  </si>
  <si>
    <t>-545.222015213605 100.458921839587 -779.385361748804</t>
  </si>
  <si>
    <t>-489.135635695957 236.385287725553 -778.391984601492</t>
  </si>
  <si>
    <t>-418.530028815683 266.078924270051 -471.277462786872</t>
  </si>
  <si>
    <t>-246.938179039698 148.530021317489 -315.13479606442</t>
  </si>
  <si>
    <t>-572.51059266924 44.029465152214 -768.687542293286</t>
  </si>
  <si>
    <t>-459.67257577566 229.489512183655 -256.01539722034</t>
  </si>
  <si>
    <t>-456.630426781434 207.876167343337 199.156202683623</t>
  </si>
  <si>
    <t>-482.773724226465 158.164245065772 665.48306115127</t>
  </si>
  <si>
    <t>-335.595436280769 138.73574999578 759.847251127108</t>
  </si>
  <si>
    <t>-532.634963352326 47.7747003171291 -229.311461527418</t>
  </si>
  <si>
    <t>-423.903624630996 -27.073739065626 206.84546283318</t>
  </si>
  <si>
    <t>-599.310008301157 -94.5467597319786 637.66273823342</t>
  </si>
  <si>
    <t>-456.153815009922 -154.821461766866 720.226470495669</t>
  </si>
  <si>
    <t>9763-20170724T164326.188635700.bin</t>
  </si>
  <si>
    <t>-496.172787435371 138.54895545179 -243.016312665688</t>
  </si>
  <si>
    <t>-537.943163178893 138.53802878921 -356.69585549225</t>
  </si>
  <si>
    <t>-557.415492005574 126.746675980348 -475.743577748286</t>
  </si>
  <si>
    <t>-565.682033084571 111.221056645821 -583.842965738249</t>
  </si>
  <si>
    <t>-564.695724574936 90.8828205466557 -691.454440012746</t>
  </si>
  <si>
    <t>-553.734242578291 57.6319492353008 -839.691492094006</t>
  </si>
  <si>
    <t>-511.986348366048 33.7351334899547 -929.519419587653</t>
  </si>
  <si>
    <t>-544.959886685185 100.573374306296 -779.425783416488</t>
  </si>
  <si>
    <t>-488.966557677849 236.545014946988 -778.38871851633</t>
  </si>
  <si>
    <t>-419.541831252832 267.200458708208 -471.099533039767</t>
  </si>
  <si>
    <t>-248.300912995851 150.730253742716 -313.767697244601</t>
  </si>
  <si>
    <t>-572.208829078119 44.1155051153131 -768.776672491863</t>
  </si>
  <si>
    <t>-459.573976121803 229.520074732069 -256.09521877323</t>
  </si>
  <si>
    <t>-456.430624933996 207.8412100839 199.072794912672</t>
  </si>
  <si>
    <t>-482.726387047586 158.372569783625 665.435047084224</t>
  </si>
  <si>
    <t>-335.632130369576 138.536056155463 759.845251729794</t>
  </si>
  <si>
    <t>-532.595710190686 47.7145040954514 -229.320588285104</t>
  </si>
  <si>
    <t>-423.977406294317 -27.0954101910813 206.871234592322</t>
  </si>
  <si>
    <t>-599.331353742415 -94.5118792124824 637.72146281364</t>
  </si>
  <si>
    <t>-456.162704380618 -154.799338340408 720.254304515611</t>
  </si>
  <si>
    <t>9763-20170724T164326.222726300.bin</t>
  </si>
  <si>
    <t>-496.287131601267 138.47396514959 -243.045124876987</t>
  </si>
  <si>
    <t>-538.108143282829 138.461673338317 -356.706065122731</t>
  </si>
  <si>
    <t>-557.572994877698 126.654914693509 -475.753428199018</t>
  </si>
  <si>
    <t>-565.807070980464 111.111929844618 -583.852793578245</t>
  </si>
  <si>
    <t>-564.761952347262 90.7544120089286 -691.460109600021</t>
  </si>
  <si>
    <t>-553.691120733426 57.4764214913932 -839.682970863701</t>
  </si>
  <si>
    <t>-511.882761751971 33.6213296893316 -929.493747647359</t>
  </si>
  <si>
    <t>-544.970944322141 100.433263978644 -779.420266096832</t>
  </si>
  <si>
    <t>-489.014169310745 236.457930919944 -778.368190115886</t>
  </si>
  <si>
    <t>-420.866337088932 267.660749237806 -470.848349760257</t>
  </si>
  <si>
    <t>-250.026782567394 151.256255832852 -313.032352030921</t>
  </si>
  <si>
    <t>-572.208258308089 43.9685193260515 -768.777624891488</t>
  </si>
  <si>
    <t>-459.62219306207 229.45364994454 -256.154835675087</t>
  </si>
  <si>
    <t>-456.412243450708 207.80736920813 199.014148520492</t>
  </si>
  <si>
    <t>-482.667363439024 158.432043222876 665.352351747886</t>
  </si>
  <si>
    <t>-335.674690122787 138.260397633578 759.849832461673</t>
  </si>
  <si>
    <t>-532.821626226889 47.5375693688368 -229.30226579393</t>
  </si>
  <si>
    <t>-424.046042804642 -27.1239095102058 206.875672646103</t>
  </si>
  <si>
    <t>-599.352761581684 -94.676315802191 637.741986486017</t>
  </si>
  <si>
    <t>-456.134039147475 -154.853507900839 720.268500477654</t>
  </si>
  <si>
    <t>9763-20170724T164326.290915800.bin</t>
  </si>
  <si>
    <t>-496.500709273526 138.236028465233 -243.147009126712</t>
  </si>
  <si>
    <t>-538.33920573274 138.260945148538 -356.801587879265</t>
  </si>
  <si>
    <t>-557.746950327342 126.370787917542 -475.850010102636</t>
  </si>
  <si>
    <t>-565.894658294776 110.71200084455 -583.939181012301</t>
  </si>
  <si>
    <t>-564.726922654325 90.2041529743798 -691.516688579853</t>
  </si>
  <si>
    <t>-553.447413113086 56.6873070603966 -839.669901145851</t>
  </si>
  <si>
    <t>-511.597606605009 32.8338258779329 -929.461883455208</t>
  </si>
  <si>
    <t>-544.834277670947 99.7511573574742 -779.468258608829</t>
  </si>
  <si>
    <t>-489.323332830133 235.907499810957 -778.440106510708</t>
  </si>
  <si>
    <t>-424.170253689247 269.012922146223 -470.470356025926</t>
  </si>
  <si>
    <t>-253.841283044547 152.49863029618 -312.184210143328</t>
  </si>
  <si>
    <t>-572.042233257901 43.2837602030245 -768.765121382341</t>
  </si>
  <si>
    <t>-459.766488045988 229.148437990461 -256.279185651619</t>
  </si>
  <si>
    <t>-456.57891305403 207.587467816909 198.893934811149</t>
  </si>
  <si>
    <t>-482.637371558683 158.330473983556 665.300901753602</t>
  </si>
  <si>
    <t>-335.722563971661 137.982154136663 759.881492205039</t>
  </si>
  <si>
    <t>-533.04029951677 47.3826209307328 -229.374841720785</t>
  </si>
  <si>
    <t>-424.192082102416 -27.1899031239361 206.800219841426</t>
  </si>
  <si>
    <t>-599.362185949717 -94.3214081644991 637.795612838636</t>
  </si>
  <si>
    <t>-456.303747413434 -154.914365195264 720.295808785827</t>
  </si>
  <si>
    <t>9763-20170724T164326.322999700.bin</t>
  </si>
  <si>
    <t>-496.517213996189 138.055194787001 -243.141773499463</t>
  </si>
  <si>
    <t>-538.310786045907 138.076259850695 -356.812734097084</t>
  </si>
  <si>
    <t>-557.62780505482 126.138161714 -475.871097929338</t>
  </si>
  <si>
    <t>-565.67361357057 110.422390265306 -583.959628177418</t>
  </si>
  <si>
    <t>-564.383577948704 89.8471111118715 -691.522902063116</t>
  </si>
  <si>
    <t>-552.913101288589 56.2282114239133 -839.63838799827</t>
  </si>
  <si>
    <t>-511.021750737115 32.3650086808032 -929.408248033368</t>
  </si>
  <si>
    <t>-544.389196988114 99.3387685179385 -779.457371234361</t>
  </si>
  <si>
    <t>-489.023297737128 235.573647882216 -778.439019345943</t>
  </si>
  <si>
    <t>-425.37793315723 269.193112489364 -470.209819303211</t>
  </si>
  <si>
    <t>-255.156705718763 152.8408303495 -311.688787070586</t>
  </si>
  <si>
    <t>-571.587649354941 42.8682848855412 -768.746304588553</t>
  </si>
  <si>
    <t>-459.720242085966 229.005808183534 -256.309942061279</t>
  </si>
  <si>
    <t>-456.717882092747 207.561648645302 198.870036468</t>
  </si>
  <si>
    <t>-482.600849259031 158.540965541625 665.2900808526</t>
  </si>
  <si>
    <t>-335.734076653341 137.923720312474 759.887100010292</t>
  </si>
  <si>
    <t>-533.120335900061 47.1202923962081 -229.373032993063</t>
  </si>
  <si>
    <t>-424.297402456078 -27.4337162104981 206.811440365988</t>
  </si>
  <si>
    <t>-599.4102841939 -94.4228980556251 637.848429749178</t>
  </si>
  <si>
    <t>-456.198027635966 -154.71821072761 720.299750408099</t>
  </si>
  <si>
    <t>9763-20170724T164326.390187000.bin</t>
  </si>
  <si>
    <t>-496.569307361193 137.616111007018 -243.176212880075</t>
  </si>
  <si>
    <t>-538.393970392483 137.702622977017 -356.83577212211</t>
  </si>
  <si>
    <t>-557.591217067868 125.742785263111 -475.911352494149</t>
  </si>
  <si>
    <t>-565.461202652904 109.981923421623 -584.00626966798</t>
  </si>
  <si>
    <t>-563.925916507814 89.3429393028953 -691.554076702811</t>
  </si>
  <si>
    <t>-552.041347649465 55.6234181846047 -839.614131654843</t>
  </si>
  <si>
    <t>-510.029439673183 31.7971689579214 -929.337423751784</t>
  </si>
  <si>
    <t>-543.74399508479 98.8008720335739 -779.449435223564</t>
  </si>
  <si>
    <t>-488.880558849303 235.216791506753 -778.294176106506</t>
  </si>
  <si>
    <t>-427.390612196884 269.653379393945 -469.717961774846</t>
  </si>
  <si>
    <t>-257.450319189264 153.511858458288 -310.741531847556</t>
  </si>
  <si>
    <t>-570.855844962789 42.2856583224996 -768.75472010021</t>
  </si>
  <si>
    <t>-459.692489558667 228.707919504348 -256.338827857319</t>
  </si>
  <si>
    <t>-456.71772050875 207.430393272806 198.849165366744</t>
  </si>
  <si>
    <t>-482.582072105728 158.795120535707 665.306938665717</t>
  </si>
  <si>
    <t>-335.79680459112 137.568533097272 759.895645159534</t>
  </si>
  <si>
    <t>-533.271274213118 46.6542242926771 -229.353082192441</t>
  </si>
  <si>
    <t>-424.295393153428 -27.7769198121136 206.814250360866</t>
  </si>
  <si>
    <t>-599.481905209606 -94.4356407817283 637.922459786046</t>
  </si>
  <si>
    <t>-456.267580910104 -154.77396875801 720.338844667019</t>
  </si>
  <si>
    <t>9763-20170724T164326.423274100.bin</t>
  </si>
  <si>
    <t>-496.533787499527 137.508795067165 -243.158767390837</t>
  </si>
  <si>
    <t>-538.337173424291 137.567696279782 -356.826032390643</t>
  </si>
  <si>
    <t>-557.46526339284 125.588203647521 -475.910880319037</t>
  </si>
  <si>
    <t>-565.252621337641 109.814599770708 -584.00983982012</t>
  </si>
  <si>
    <t>-563.614548949843 89.1692457220277 -691.554851717871</t>
  </si>
  <si>
    <t>-551.566461689999 55.4485460239286 -839.601409194434</t>
  </si>
  <si>
    <t>-509.476559075209 31.6564139100091 -929.297225476965</t>
  </si>
  <si>
    <t>-543.349673996785 98.6327688712393 -779.430519619444</t>
  </si>
  <si>
    <t>-488.666271300095 235.134015960853 -778.220103176419</t>
  </si>
  <si>
    <t>-427.643733968069 269.708479228852 -469.566532776112</t>
  </si>
  <si>
    <t>-258.022709517955 153.680786430768 -310.166676213176</t>
  </si>
  <si>
    <t>-570.445072607738 42.1050839520115 -768.760266763901</t>
  </si>
  <si>
    <t>-459.672275262681 228.503131551445 -256.338933390937</t>
  </si>
  <si>
    <t>-456.626632582934 207.289479380114 198.851560718128</t>
  </si>
  <si>
    <t>-482.587819585656 158.749435088482 665.305742429381</t>
  </si>
  <si>
    <t>-335.76924466818 137.750983704112 759.893678788911</t>
  </si>
  <si>
    <t>-533.169608534868 46.686373611456 -229.307997200214</t>
  </si>
  <si>
    <t>-424.244382823376 -27.9110091139806 206.843537562835</t>
  </si>
  <si>
    <t>-599.492069799864 -94.3754771982771 637.92017024257</t>
  </si>
  <si>
    <t>-456.259567060834 -154.659297277054 720.344722665655</t>
  </si>
  <si>
    <t>9763-20170724T164326.487291000.bin</t>
  </si>
  <si>
    <t>-496.481083728136 137.144969437974 -243.085382835698</t>
  </si>
  <si>
    <t>-538.334906413355 137.109089641753 -356.734154259816</t>
  </si>
  <si>
    <t>-557.452648280703 125.05894443124 -475.81348483181</t>
  </si>
  <si>
    <t>-565.205768097329 109.230383053083 -583.907045274266</t>
  </si>
  <si>
    <t>-563.509222130751 88.5386130040472 -691.442215324831</t>
  </si>
  <si>
    <t>-551.355510698986 54.7619292739884 -839.467271552025</t>
  </si>
  <si>
    <t>-509.148107882039 30.9772090637534 -929.109827197896</t>
  </si>
  <si>
    <t>-543.168276240582 97.9629917037922 -779.304435267408</t>
  </si>
  <si>
    <t>-488.457201228707 234.45226010006 -777.987296098622</t>
  </si>
  <si>
    <t>-428.158570613055 268.93825382762 -469.181646084726</t>
  </si>
  <si>
    <t>-259.18673521508 152.865662274437 -309.126332577969</t>
  </si>
  <si>
    <t>-570.298051312087 41.45120313373 -768.636912531694</t>
  </si>
  <si>
    <t>-459.706518827884 227.854520786509 -256.330822040852</t>
  </si>
  <si>
    <t>-456.649142311365 206.87820178415 198.870512504319</t>
  </si>
  <si>
    <t>-482.715407258309 158.143721169347 665.352921139352</t>
  </si>
  <si>
    <t>-335.732558693161 138.082757855742 759.88924302438</t>
  </si>
  <si>
    <t>-533.158151381302 46.4048524657589 -229.155946138461</t>
  </si>
  <si>
    <t>-423.965061749267 -27.9751476263065 206.965710451395</t>
  </si>
  <si>
    <t>-599.482942365599 -94.2260160514321 637.890147498937</t>
  </si>
  <si>
    <t>-456.298236868015 -154.604094411698 720.328819801205</t>
  </si>
  <si>
    <t>9763-20170724T164326.519376300.bin</t>
  </si>
  <si>
    <t>-496.463601414219 137.019379811401 -243.038514939958</t>
  </si>
  <si>
    <t>-538.310129244898 136.944183808112 -356.689941450895</t>
  </si>
  <si>
    <t>-557.437533929814 124.890897855261 -475.767391533739</t>
  </si>
  <si>
    <t>-565.207521306415 109.072127828947 -583.861090334979</t>
  </si>
  <si>
    <t>-563.536360370761 88.4015604922991 -691.40077822099</t>
  </si>
  <si>
    <t>-551.426896095342 54.6646453853082 -839.438576929023</t>
  </si>
  <si>
    <t>-509.227077805596 30.8931435840063 -929.088276750456</t>
  </si>
  <si>
    <t>-543.195978916467 97.8380397663286 -779.261929849743</t>
  </si>
  <si>
    <t>-488.339659716809 234.261590617794 -777.858214048472</t>
  </si>
  <si>
    <t>-428.389594747449 268.459910199833 -468.952721961581</t>
  </si>
  <si>
    <t>-259.562987313642 152.563589889907 -308.616597783446</t>
  </si>
  <si>
    <t>-570.373896299445 41.3462752390827 -768.610930001454</t>
  </si>
  <si>
    <t>-459.655669824525 227.749005497575 -256.328678977331</t>
  </si>
  <si>
    <t>-456.643925696617 206.87000115765 198.877616925473</t>
  </si>
  <si>
    <t>-482.702440964458 158.253328972051 665.343599239149</t>
  </si>
  <si>
    <t>-335.806282467397 137.634399645605 759.894561209413</t>
  </si>
  <si>
    <t>-533.101949153853 46.3496785774296 -229.099199013129</t>
  </si>
  <si>
    <t>-423.806406677671 -27.9101328177568 207.017348632524</t>
  </si>
  <si>
    <t>-599.471046131878 -94.0729583109766 637.870783783659</t>
  </si>
  <si>
    <t>-456.509498046255 -154.930432153067 720.344252414103</t>
  </si>
  <si>
    <t>9763-20170724T164326.588409900.bin</t>
  </si>
  <si>
    <t>-496.457595546171 136.767667194216 -243.119572924757</t>
  </si>
  <si>
    <t>-538.229304878721 136.701526136616 -356.798637605916</t>
  </si>
  <si>
    <t>-557.31655288659 124.839436826625 -475.901707379855</t>
  </si>
  <si>
    <t>-565.06800006985 109.260080843329 -584.031466486817</t>
  </si>
  <si>
    <t>-563.397073854844 88.8899854042684 -691.628453446992</t>
  </si>
  <si>
    <t>-551.307843920852 55.6290491455156 -839.775642824815</t>
  </si>
  <si>
    <t>-509.152922116581 31.9759360561651 -929.477735705841</t>
  </si>
  <si>
    <t>-543.047475262326 98.5993193618486 -779.457734521616</t>
  </si>
  <si>
    <t>-487.595508075809 234.79187753339 -777.433484526421</t>
  </si>
  <si>
    <t>-428.514636896495 266.466740925465 -468.091833197042</t>
  </si>
  <si>
    <t>-258.22799491192 154.411044787602 -306.573841329652</t>
  </si>
  <si>
    <t>-570.266484880772 42.0926639841287 -768.992483369236</t>
  </si>
  <si>
    <t>-459.701653613594 227.578830111969 -256.382664419913</t>
  </si>
  <si>
    <t>-456.551433696455 206.786622533625 198.826570569057</t>
  </si>
  <si>
    <t>-482.658100013542 158.401154176276 665.321320482186</t>
  </si>
  <si>
    <t>-335.853920381543 137.308585722472 759.910666688737</t>
  </si>
  <si>
    <t>-533.016300356961 46.0332847902535 -229.237480970574</t>
  </si>
  <si>
    <t>-423.897751022263 -28.1587142828869 206.934850801902</t>
  </si>
  <si>
    <t>-599.53326447955 -94.0695806586476 637.894654182566</t>
  </si>
  <si>
    <t>-456.401592117547 -154.549986643214 720.350430295545</t>
  </si>
  <si>
    <t>9763-20170724T164326.621498500.bin</t>
  </si>
  <si>
    <t>-496.46417257575 136.658172485318 -243.182770106632</t>
  </si>
  <si>
    <t>-538.257668722604 136.606056009559 -356.85384064163</t>
  </si>
  <si>
    <t>-557.300526277375 124.839315016767 -475.973496031315</t>
  </si>
  <si>
    <t>-564.981454292112 109.383393705763 -584.125960108867</t>
  </si>
  <si>
    <t>-563.208038563319 89.1760911377013 -691.752006323753</t>
  </si>
  <si>
    <t>-550.941593243125 56.1844293870457 -839.944828362919</t>
  </si>
  <si>
    <t>-508.81521372576 32.6859642014303 -929.701015288948</t>
  </si>
  <si>
    <t>-542.847613711015 99.0870466573032 -779.556286794429</t>
  </si>
  <si>
    <t>-487.688401144769 235.379143384717 -777.159770785855</t>
  </si>
  <si>
    <t>-427.541200779273 265.577243988361 -467.875776298992</t>
  </si>
  <si>
    <t>-256.164832105765 156.266415174447 -305.6310611196</t>
  </si>
  <si>
    <t>-569.890581525749 42.477367703248 -769.191928148717</t>
  </si>
  <si>
    <t>-459.853191145135 227.417640637204 -256.393227680061</t>
  </si>
  <si>
    <t>-456.617952267615 206.642593067192 198.816283056829</t>
  </si>
  <si>
    <t>-482.676562477692 158.222862607549 665.312687261412</t>
  </si>
  <si>
    <t>-335.859254367396 137.326056182799 759.92503200014</t>
  </si>
  <si>
    <t>-532.907528769242 46.0371162143398 -229.295806959252</t>
  </si>
  <si>
    <t>-424.017317183693 -28.1683174193955 206.931321398335</t>
  </si>
  <si>
    <t>-599.565362813735 -94.005696249134 637.899912915083</t>
  </si>
  <si>
    <t>-456.536908974773 -154.710556177037 720.369891491023</t>
  </si>
  <si>
    <t>9763-20170724T164326.688221700.bin</t>
  </si>
  <si>
    <t>-496.635499017199 136.348886264706 -243.232461926948</t>
  </si>
  <si>
    <t>-538.373365055673 136.078707490113 -356.923672807129</t>
  </si>
  <si>
    <t>-557.193014692652 124.262945774618 -476.073878437836</t>
  </si>
  <si>
    <t>-564.596544707985 108.847823450536 -584.251571040187</t>
  </si>
  <si>
    <t>-562.466811772604 88.7746279802483 -691.896274059297</t>
  </si>
  <si>
    <t>-549.620407754093 56.0741688433615 -840.104374256247</t>
  </si>
  <si>
    <t>-507.398072194781 33.0633974334216 -929.941919812134</t>
  </si>
  <si>
    <t>-542.092670854145 99.0024693029412 -779.660874670538</t>
  </si>
  <si>
    <t>-488.140153339453 235.804140208194 -777.169022293641</t>
  </si>
  <si>
    <t>-422.479693484059 265.256101679133 -468.936231851851</t>
  </si>
  <si>
    <t>-249.179017315478 160.592900485262 -305.673984963054</t>
  </si>
  <si>
    <t>-568.516500492153 42.0837498820692 -769.392833807618</t>
  </si>
  <si>
    <t>-460.59226745011 227.21428672893 -256.39298349444</t>
  </si>
  <si>
    <t>-457.027857332667 206.611951517055 198.821762962581</t>
  </si>
  <si>
    <t>-482.680272308966 158.241066202055 665.342948337235</t>
  </si>
  <si>
    <t>-335.804576194042 137.701580377528 759.94306178726</t>
  </si>
  <si>
    <t>-532.477950196376 45.5964074957438 -229.386929631221</t>
  </si>
  <si>
    <t>-423.633486080002 -28.298137745389 206.904400860628</t>
  </si>
  <si>
    <t>-599.560245847164 -94.2588195716884 637.734997245589</t>
  </si>
  <si>
    <t>-456.296566444058 -154.240841755106 720.3254605128</t>
  </si>
  <si>
    <t>9763-20170724T164326.722313100.bin</t>
  </si>
  <si>
    <t>-496.793794709576 136.33463638358 -243.198786598439</t>
  </si>
  <si>
    <t>-538.491396111254 135.865006374181 -356.904190557646</t>
  </si>
  <si>
    <t>-557.23929043236 123.94368502099 -476.055059640255</t>
  </si>
  <si>
    <t>-564.565253953458 108.473949668868 -584.230341767737</t>
  </si>
  <si>
    <t>-562.345713220391 88.387062484213 -691.87063996055</t>
  </si>
  <si>
    <t>-549.361501353215 55.7106424330448 -840.072046417659</t>
  </si>
  <si>
    <t>-507.093729862947 32.9730069341933 -929.957678525542</t>
  </si>
  <si>
    <t>-542.029948547435 98.6891285935324 -779.640144360554</t>
  </si>
  <si>
    <t>-488.698486186174 235.696947496238 -777.336643289447</t>
  </si>
  <si>
    <t>-419.396210423027 265.652830445548 -469.950837666673</t>
  </si>
  <si>
    <t>-245.411840548076 161.598230967542 -307.027048423835</t>
  </si>
  <si>
    <t>-568.183214653044 41.6486809007059 -769.354882857535</t>
  </si>
  <si>
    <t>-461.13802717092 227.242482844691 -256.372280184537</t>
  </si>
  <si>
    <t>-457.40238364976 206.735979283694 198.845384157582</t>
  </si>
  <si>
    <t>-482.70378470619 158.274783489847 665.383640767539</t>
  </si>
  <si>
    <t>-335.833885463013 137.570470690594 759.956800505665</t>
  </si>
  <si>
    <t>-532.281991053359 45.5572683720417 -229.374799736052</t>
  </si>
  <si>
    <t>-423.348400667175 -28.1095334179712 206.932903880561</t>
  </si>
  <si>
    <t>-599.531623710247 -94.1764397893766 637.617639752844</t>
  </si>
  <si>
    <t>-456.314717665862 -154.167187954464 720.282709297744</t>
  </si>
  <si>
    <t>9763-20170724T164326.789000700.bin</t>
  </si>
  <si>
    <t>-497.167058667198 136.197440782094 -243.287042745988</t>
  </si>
  <si>
    <t>-538.810121818995 135.391499061859 -357.010395256078</t>
  </si>
  <si>
    <t>-557.516927475471 123.403256599906 -476.161188567726</t>
  </si>
  <si>
    <t>-564.812411050958 107.982661088003 -584.345333134538</t>
  </si>
  <si>
    <t>-562.569205006408 88.0522595623483 -692.014348100452</t>
  </si>
  <si>
    <t>-549.558063076541 55.702253252362 -840.284899351563</t>
  </si>
  <si>
    <t>-507.284172177278 33.4340239193452 -930.285203243796</t>
  </si>
  <si>
    <t>-542.453604137098 98.6387283622937 -779.796141475206</t>
  </si>
  <si>
    <t>-489.995659070715 235.993488645211 -777.513472736119</t>
  </si>
  <si>
    <t>-412.857987988832 266.19955966752 -472.024386164263</t>
  </si>
  <si>
    <t>-236.887232173259 164.005867534568 -310.058973744185</t>
  </si>
  <si>
    <t>-568.176618229029 41.3935331332652 -769.563556929318</t>
  </si>
  <si>
    <t>-462.116431430853 227.119829568624 -256.420136164362</t>
  </si>
  <si>
    <t>-458.177730373748 206.705549151175 198.800033046221</t>
  </si>
  <si>
    <t>-482.75320525733 158.190902645843 665.409354514882</t>
  </si>
  <si>
    <t>-335.745848250417 138.159340499327 759.913729748923</t>
  </si>
  <si>
    <t>-532.056575206639 45.2872224892517 -229.494599632846</t>
  </si>
  <si>
    <t>-423.219095233579 -27.1529639749318 207.042426371105</t>
  </si>
  <si>
    <t>-599.478761603321 -94.2536328150616 637.435352237438</t>
  </si>
  <si>
    <t>-456.253041435508 -154.116170699728 720.178165643027</t>
  </si>
  <si>
    <t>9763-20170724T164326.826097800.bin</t>
  </si>
  <si>
    <t>-497.328296080755 136.171639233013 -243.328490580975</t>
  </si>
  <si>
    <t>-538.951678150089 135.259711361065 -357.058312850476</t>
  </si>
  <si>
    <t>-557.668585521029 123.275797639846 -476.207881408024</t>
  </si>
  <si>
    <t>-564.984542888332 107.906794386917 -584.398068202817</t>
  </si>
  <si>
    <t>-562.771847874038 88.0760098671846 -692.085920814318</t>
  </si>
  <si>
    <t>-549.81214367531 55.9151173853257 -840.402299157306</t>
  </si>
  <si>
    <t>-507.600476049196 33.8109135808544 -930.472121401213</t>
  </si>
  <si>
    <t>-542.778226989516 98.8125062296562 -779.877499808366</t>
  </si>
  <si>
    <t>-490.708600645518 236.304379495751 -777.558462713086</t>
  </si>
  <si>
    <t>-409.693705470994 266.143788435731 -473.038466202175</t>
  </si>
  <si>
    <t>-232.604905731243 164.513220715122 -311.93959463552</t>
  </si>
  <si>
    <t>-568.314566050615 41.4781117328748 -769.676384817095</t>
  </si>
  <si>
    <t>-462.478983552113 227.072664077902 -256.436861570742</t>
  </si>
  <si>
    <t>-458.547375630107 206.68009979044 198.78430825509</t>
  </si>
  <si>
    <t>-482.83732453751 157.787239039342 665.416138384402</t>
  </si>
  <si>
    <t>-335.779340700923 137.980523866504 759.889288028387</t>
  </si>
  <si>
    <t>-532.071529916873 45.3071732979441 -229.559075773378</t>
  </si>
  <si>
    <t>-423.251551540456 -26.6913226530983 207.055321940292</t>
  </si>
  <si>
    <t>-599.415665370205 -94.0702795789862 637.376087725414</t>
  </si>
  <si>
    <t>-456.127014559377 -153.77612291352 720.123247044585</t>
  </si>
  <si>
    <t>9763-20170724T164326.884918500.bin</t>
  </si>
  <si>
    <t>-497.410412385897 136.237084626251 -243.343957718954</t>
  </si>
  <si>
    <t>-539.044845081865 135.264726495969 -357.069230630757</t>
  </si>
  <si>
    <t>-557.791780598419 123.324053635009 -476.21831681063</t>
  </si>
  <si>
    <t>-565.142612429483 108.035696402953 -584.417684252471</t>
  </si>
  <si>
    <t>-562.971765499732 88.3262323542221 -692.12878453481</t>
  </si>
  <si>
    <t>-550.076463754098 56.3750123863368 -840.495926079391</t>
  </si>
  <si>
    <t>-507.951549379413 34.3714080313349 -930.631028448839</t>
  </si>
  <si>
    <t>-543.053713559116 99.2023590421688 -779.920276378832</t>
  </si>
  <si>
    <t>-491.160730033906 236.771548544829 -777.517658833414</t>
  </si>
  <si>
    <t>-406.953062916188 265.492923951351 -473.757349468858</t>
  </si>
  <si>
    <t>-228.687056385391 163.501902192822 -314.191930665568</t>
  </si>
  <si>
    <t>-568.510663273664 41.8225744768631 -769.775931079065</t>
  </si>
  <si>
    <t>-462.661970748879 227.222032377087 -256.45085277304</t>
  </si>
  <si>
    <t>-458.807580410822 206.831895173534 198.771123258697</t>
  </si>
  <si>
    <t>-482.856680680118 157.870079897651 665.430843957649</t>
  </si>
  <si>
    <t>-335.809363353727 137.805475227308 759.866138389542</t>
  </si>
  <si>
    <t>-532.056148762113 45.2668111199074 -229.593266257799</t>
  </si>
  <si>
    <t>-423.231277076263 -26.4948232753582 207.058919013305</t>
  </si>
  <si>
    <t>-599.422354040461 -94.3442590194579 637.372548124954</t>
  </si>
  <si>
    <t>-455.891068589473 -153.478781875299 720.109377929926</t>
  </si>
  <si>
    <t>9763-20170724T164326.921015200.bin</t>
  </si>
  <si>
    <t>-497.416255416001 136.747699869011 -243.273013424289</t>
  </si>
  <si>
    <t>-539.081505279178 135.817786063669 -356.987249363194</t>
  </si>
  <si>
    <t>-557.848094742506 124.007428564512 -476.146405302775</t>
  </si>
  <si>
    <t>-565.205717295911 108.883720452965 -584.368248625523</t>
  </si>
  <si>
    <t>-563.026558596162 89.3919977995058 -692.118921251701</t>
  </si>
  <si>
    <t>-550.099871627337 57.8041111919778 -840.561151800342</t>
  </si>
  <si>
    <t>-508.169496280255 35.9723951904178 -930.828540667387</t>
  </si>
  <si>
    <t>-543.17996047803 100.52002302439 -779.894883279109</t>
  </si>
  <si>
    <t>-491.392781302677 238.134625035801 -777.255700367634</t>
  </si>
  <si>
    <t>-401.716665476325 264.436034054814 -474.844319779019</t>
  </si>
  <si>
    <t>-221.946689699036 159.489052152277 -318.924604467513</t>
  </si>
  <si>
    <t>-568.459074608599 43.0415824507807 -769.865161895752</t>
  </si>
  <si>
    <t>-462.601354624825 227.727177440805 -256.396270201234</t>
  </si>
  <si>
    <t>-458.921868669888 207.249282187039 198.823268939335</t>
  </si>
  <si>
    <t>-482.858427242573 158.11541492814 665.449947682489</t>
  </si>
  <si>
    <t>-335.806493703632 137.80336815104 759.825078685606</t>
  </si>
  <si>
    <t>-532.086805370166 45.8512432494759 -229.507984303406</t>
  </si>
  <si>
    <t>-423.177134051185 -26.260613994795 207.065299299298</t>
  </si>
  <si>
    <t>-599.376000908203 -94.1623863830426 637.365281980408</t>
  </si>
  <si>
    <t>-455.994315497239 -153.560248654402 720.172819559007</t>
  </si>
  <si>
    <t>9763-20170724T164326.987221500.bin</t>
  </si>
  <si>
    <t>-497.20715099757 136.946792784843 -243.20765640286</t>
  </si>
  <si>
    <t>-538.990369714134 136.172329374434 -356.879840238947</t>
  </si>
  <si>
    <t>-557.79335462822 124.346460163752 -476.031725422866</t>
  </si>
  <si>
    <t>-565.138519062824 109.161201452822 -584.245781513504</t>
  </si>
  <si>
    <t>-562.895486456506 89.5744637403062 -691.977794988924</t>
  </si>
  <si>
    <t>-549.822042031347 57.8331361922885 -840.374490209928</t>
  </si>
  <si>
    <t>-507.997406093925 36.1429826829978 -930.725089864219</t>
  </si>
  <si>
    <t>-543.090314782509 100.66379537145 -779.768225877652</t>
  </si>
  <si>
    <t>-491.807054416846 238.479327727739 -777.279207431888</t>
  </si>
  <si>
    <t>-399.349524493146 262.773921279487 -475.538294195122</t>
  </si>
  <si>
    <t>-220.111464017711 157.172244575329 -319.448633176147</t>
  </si>
  <si>
    <t>-568.122955237265 43.0915227598642 -769.658932893615</t>
  </si>
  <si>
    <t>-462.189372177278 227.751395379599 -256.303004595514</t>
  </si>
  <si>
    <t>-458.388063567664 207.106171832333 198.907932112387</t>
  </si>
  <si>
    <t>-482.968270694688 157.618163171342 665.500677800693</t>
  </si>
  <si>
    <t>-335.70198544994 138.557160826889 759.80247916902</t>
  </si>
  <si>
    <t>-532.069786829063 46.2301144484447 -229.379763345592</t>
  </si>
  <si>
    <t>-423.071574735858 -26.1389745353394 207.12883438346</t>
  </si>
  <si>
    <t>-599.353704584955 -93.8763069052569 637.393577774983</t>
  </si>
  <si>
    <t>-456.164579007284 -153.720834260718 720.212783983657</t>
  </si>
  <si>
    <t>9763-20170724T164327.021312200.bin</t>
  </si>
  <si>
    <t>-497.049060884597 137.051475609662 -243.136623701501</t>
  </si>
  <si>
    <t>-538.773270310156 136.248796868335 -356.830157289479</t>
  </si>
  <si>
    <t>-557.574358405219 124.377196426012 -475.977815642573</t>
  </si>
  <si>
    <t>-564.941408826132 109.145151899737 -584.183977960854</t>
  </si>
  <si>
    <t>-562.743931471453 89.5071891468391 -691.907650954483</t>
  </si>
  <si>
    <t>-549.757585733615 57.6905907108859 -840.29567758713</t>
  </si>
  <si>
    <t>-507.981662248877 36.0480788026487 -930.680193230996</t>
  </si>
  <si>
    <t>-542.993273605445 100.553175182986 -779.715645268756</t>
  </si>
  <si>
    <t>-491.697320899288 238.350979881553 -777.341365661835</t>
  </si>
  <si>
    <t>-398.977057191388 262.977456720545 -475.708026874308</t>
  </si>
  <si>
    <t>-220.24004953796 156.357078405549 -319.736046392477</t>
  </si>
  <si>
    <t>-568.014037341609 42.9836465480375 -769.561627244418</t>
  </si>
  <si>
    <t>-461.927328380983 227.875750280993 -256.267668361864</t>
  </si>
  <si>
    <t>-458.215526269014 207.129958961151 198.939504147429</t>
  </si>
  <si>
    <t>-482.982403223817 157.59554764965 665.500639363277</t>
  </si>
  <si>
    <t>-335.77765606474 138.096123911684 759.808910847222</t>
  </si>
  <si>
    <t>-531.983335714553 46.270326348573 -229.377595674461</t>
  </si>
  <si>
    <t>-423.050918608083 -26.1406778111784 207.140555575514</t>
  </si>
  <si>
    <t>-599.357833986712 -93.9594106766841 637.411344183317</t>
  </si>
  <si>
    <t>-456.039006785831 -153.488819868434 720.233308030888</t>
  </si>
  <si>
    <t>9763-20170724T164327.091042200.bin</t>
  </si>
  <si>
    <t>-496.785879319626 137.31695301308 -243.082840817878</t>
  </si>
  <si>
    <t>-538.403686169741 136.487343073855 -356.81529509575</t>
  </si>
  <si>
    <t>-557.136402374234 124.445730234675 -475.95654927045</t>
  </si>
  <si>
    <t>-564.461758442346 108.998192967161 -584.134960332398</t>
  </si>
  <si>
    <t>-562.244985403009 89.0812606654735 -691.806923730678</t>
  </si>
  <si>
    <t>-549.258048376009 56.809473934187 -840.096865888807</t>
  </si>
  <si>
    <t>-507.523787347084 35.0743132586693 -930.478274888206</t>
  </si>
  <si>
    <t>-542.444413342984 99.8377476905368 -779.639651426183</t>
  </si>
  <si>
    <t>-491.162914905047 237.630735797993 -777.463293550967</t>
  </si>
  <si>
    <t>-400.371092445781 263.898773588452 -475.382219003017</t>
  </si>
  <si>
    <t>-221.859026051432 155.439214446062 -320.424121572276</t>
  </si>
  <si>
    <t>-567.564297042925 42.3396958123064 -769.326545477251</t>
  </si>
  <si>
    <t>-461.656978437891 228.097329994588 -256.203106555236</t>
  </si>
  <si>
    <t>-458.180903205419 207.289469261287 199.002943963624</t>
  </si>
  <si>
    <t>-483.048307158378 157.517372983854 665.55107328583</t>
  </si>
  <si>
    <t>-335.824247611777 137.894004473447 759.803395254256</t>
  </si>
  <si>
    <t>-531.753497683128 46.5615889599465 -229.353578086364</t>
  </si>
  <si>
    <t>-423.038393806122 -25.9602770540611 207.200225599354</t>
  </si>
  <si>
    <t>-599.291694355752 -93.8829657595633 637.432366775651</t>
  </si>
  <si>
    <t>-456.157237780735 -153.738751007381 720.337879812687</t>
  </si>
  <si>
    <t>9763-20170724T164327.121122200.bin</t>
  </si>
  <si>
    <t>-496.69299024546 137.396331425176 -243.028155626622</t>
  </si>
  <si>
    <t>-538.374276298902 136.581724070325 -356.737498508326</t>
  </si>
  <si>
    <t>-557.119816071453 124.482099990282 -475.870901536623</t>
  </si>
  <si>
    <t>-564.436363876762 108.949932073207 -584.037657686373</t>
  </si>
  <si>
    <t>-562.191697617467 88.9151436477269 -691.687314361367</t>
  </si>
  <si>
    <t>-549.147453941767 56.4445626955631 -839.928710196905</t>
  </si>
  <si>
    <t>-507.411582217265 34.5928510169153 -930.28130562404</t>
  </si>
  <si>
    <t>-542.311207801903 99.5351944852996 -779.518526423726</t>
  </si>
  <si>
    <t>-490.871943448865 237.275938139365 -777.390635457769</t>
  </si>
  <si>
    <t>-401.32673169462 263.987767874848 -474.976513893892</t>
  </si>
  <si>
    <t>-223.10969259211 155.384786034506 -319.779426337992</t>
  </si>
  <si>
    <t>-567.526979911491 42.0883336461563 -769.154324937569</t>
  </si>
  <si>
    <t>-461.520878254475 228.178264676272 -256.159865933081</t>
  </si>
  <si>
    <t>-458.061508725343 207.319308154632 199.044044797707</t>
  </si>
  <si>
    <t>-483.080092971542 157.481454678607 665.569616353026</t>
  </si>
  <si>
    <t>-335.808558933915 138.063950274272 759.790407163977</t>
  </si>
  <si>
    <t>-531.729667165854 46.6022570032046 -229.260346638698</t>
  </si>
  <si>
    <t>-422.892723847384 -25.905398887679 207.265516173154</t>
  </si>
  <si>
    <t>-599.281399385861 -93.9724067217321 637.46426233283</t>
  </si>
  <si>
    <t>-456.113326775104 -153.727912114895 720.384052229572</t>
  </si>
  <si>
    <t>9763-20170724T164327.191454100.bin</t>
  </si>
  <si>
    <t>-496.587703362931 137.543447036593 -242.910617974009</t>
  </si>
  <si>
    <t>-538.286328166195 136.831263781957 -356.614219072629</t>
  </si>
  <si>
    <t>-557.046611659175 124.691358399113 -475.74123631697</t>
  </si>
  <si>
    <t>-564.376188162121 109.062470076436 -583.893202299687</t>
  </si>
  <si>
    <t>-562.145331478848 88.8707324533078 -691.513742182449</t>
  </si>
  <si>
    <t>-549.122261997857 56.1192222894108 -839.695124320155</t>
  </si>
  <si>
    <t>-507.328088751997 33.9338215321548 -929.939467411522</t>
  </si>
  <si>
    <t>-542.154575981245 99.2740815006138 -779.345960655445</t>
  </si>
  <si>
    <t>-490.146901367212 236.794449975328 -777.195164073846</t>
  </si>
  <si>
    <t>-402.759666615476 264.060591725256 -474.199777317585</t>
  </si>
  <si>
    <t>-225.716623841349 154.36014776263 -318.431978298641</t>
  </si>
  <si>
    <t>-567.614576660109 41.9474464277434 -768.912992534784</t>
  </si>
  <si>
    <t>-461.11734445049 228.211288483502 -256.100119900197</t>
  </si>
  <si>
    <t>-457.825408817126 207.254821559311 199.10065898214</t>
  </si>
  <si>
    <t>-483.115492760362 157.301681999026 665.567628543615</t>
  </si>
  <si>
    <t>-335.817602416542 138.058938968001 759.783129953436</t>
  </si>
  <si>
    <t>-531.926446362001 46.8686293810978 -229.107246974588</t>
  </si>
  <si>
    <t>-422.900939594886 -25.7639016886164 207.350808152024</t>
  </si>
  <si>
    <t>-599.272883480111 -93.8539172407308 637.555136396088</t>
  </si>
  <si>
    <t>-456.18936646467 -153.848410876366 720.448320750637</t>
  </si>
  <si>
    <t>9763-20170724T164327.224540900.bin</t>
  </si>
  <si>
    <t>-496.529108623842 137.774089627797 -242.920922808796</t>
  </si>
  <si>
    <t>-538.283963001393 137.158764284226 -356.604458277891</t>
  </si>
  <si>
    <t>-557.104637954763 125.063558515647 -475.72642453288</t>
  </si>
  <si>
    <t>-564.490459074918 109.451630192652 -583.877205763757</t>
  </si>
  <si>
    <t>-562.317176472141 89.2526215855254 -691.497511263237</t>
  </si>
  <si>
    <t>-549.376190602891 56.4652743340575 -839.678082681558</t>
  </si>
  <si>
    <t>-507.560288901482 34.1349131232664 -929.876638446606</t>
  </si>
  <si>
    <t>-542.297216307467 99.6025199017061 -779.32932318826</t>
  </si>
  <si>
    <t>-489.909447267063 236.973994567284 -777.125738649388</t>
  </si>
  <si>
    <t>-403.608120482332 264.470422683064 -473.840104949114</t>
  </si>
  <si>
    <t>-227.123555207054 154.322502075253 -317.754497364321</t>
  </si>
  <si>
    <t>-567.907186618559 42.3427788777636 -768.896291041877</t>
  </si>
  <si>
    <t>-460.877869127067 228.547317158521 -256.100685230957</t>
  </si>
  <si>
    <t>-457.612687869461 207.491214115221 199.095641258878</t>
  </si>
  <si>
    <t>-483.050612877889 157.673223496301 665.556512785479</t>
  </si>
  <si>
    <t>-335.860565058139 137.753192966804 759.79982115822</t>
  </si>
  <si>
    <t>-532.04476858923 47.0830426225122 -229.085865469703</t>
  </si>
  <si>
    <t>-423.004418285603 -25.5903265213769 207.361610539553</t>
  </si>
  <si>
    <t>-599.28701229942 -93.7311944822533 637.625438856866</t>
  </si>
  <si>
    <t>-456.240667263786 -153.877169098205 720.47305998659</t>
  </si>
  <si>
    <t>9763-20170724T164327.287443200.bin</t>
  </si>
  <si>
    <t>-496.468440301647 137.800489683297 -242.89619643317</t>
  </si>
  <si>
    <t>-538.237655469466 137.393300784449 -356.575636308154</t>
  </si>
  <si>
    <t>-557.193548002535 125.398225068816 -475.686280715505</t>
  </si>
  <si>
    <t>-564.750029931199 109.83321799383 -583.831999723619</t>
  </si>
  <si>
    <t>-562.794315262131 89.63850483223 -691.457148018623</t>
  </si>
  <si>
    <t>-550.202539991794 56.8132450045164 -839.659535434958</t>
  </si>
  <si>
    <t>-508.435031663185 34.2056451919327 -929.811389506997</t>
  </si>
  <si>
    <t>-542.867394641857 99.9184687745588 -779.318456745849</t>
  </si>
  <si>
    <t>-489.90372659686 237.099061359588 -777.123249185618</t>
  </si>
  <si>
    <t>-406.364252979696 264.35446244404 -473.043557948312</t>
  </si>
  <si>
    <t>-230.3373565877 153.807346462049 -316.723649800396</t>
  </si>
  <si>
    <t>-568.680686863626 42.7564029411736 -768.850892292085</t>
  </si>
  <si>
    <t>-460.417399181036 228.429463952607 -256.061115874703</t>
  </si>
  <si>
    <t>-457.249235476211 207.303991762045 199.132596689781</t>
  </si>
  <si>
    <t>-483.077133161347 157.585930400007 665.570956243715</t>
  </si>
  <si>
    <t>-335.841454828764 137.969225214807 759.806682824788</t>
  </si>
  <si>
    <t>-532.368683514301 47.2514199494983 -229.079512809536</t>
  </si>
  <si>
    <t>-423.285157836222 -25.8093568897757 207.292462290064</t>
  </si>
  <si>
    <t>-599.303217180163 -93.5343984835454 637.730049011058</t>
  </si>
  <si>
    <t>-456.265270103182 -153.748999315258 720.542190378377</t>
  </si>
  <si>
    <t>9763-20170724T164327.321535300.bin</t>
  </si>
  <si>
    <t>-496.417583884566 137.836376680655 -242.923224704409</t>
  </si>
  <si>
    <t>-538.18737490051 137.547428060917 -356.602537525497</t>
  </si>
  <si>
    <t>-557.184535432962 125.59688314644 -475.711116485539</t>
  </si>
  <si>
    <t>-564.792799616159 110.045746704408 -583.855242524932</t>
  </si>
  <si>
    <t>-562.902060202684 89.8409477756079 -691.479706925026</t>
  </si>
  <si>
    <t>-550.412680177559 56.9791012653924 -839.682754844757</t>
  </si>
  <si>
    <t>-508.701235443085 34.2881802045706 -929.839535084989</t>
  </si>
  <si>
    <t>-543.02555599876 100.094919432479 -779.355358267457</t>
  </si>
  <si>
    <t>-490.012996569605 237.241598347404 -777.162863903244</t>
  </si>
  <si>
    <t>-407.693050656478 264.545531894127 -472.754984949889</t>
  </si>
  <si>
    <t>-231.74469500387 153.571152344853 -316.649525446736</t>
  </si>
  <si>
    <t>-568.852106967525 42.9440247510826 -768.859501566121</t>
  </si>
  <si>
    <t>-460.215520765561 228.490065582417 -256.061341107548</t>
  </si>
  <si>
    <t>-457.006317155897 207.254723873727 199.12702179568</t>
  </si>
  <si>
    <t>-483.051858693049 157.702857595423 665.560781220551</t>
  </si>
  <si>
    <t>-335.88437881189 137.738870699684 759.830078205599</t>
  </si>
  <si>
    <t>-532.448967291859 47.3012680488895 -229.143108045739</t>
  </si>
  <si>
    <t>-423.47190779932 -25.9760044010882 207.219178664396</t>
  </si>
  <si>
    <t>-599.328755519265 -93.5466153611783 637.785167333881</t>
  </si>
  <si>
    <t>-456.375884137477 -153.94034416557 720.613848498035</t>
  </si>
  <si>
    <t>9763-20170724T164327.392729300.bin</t>
  </si>
  <si>
    <t>-496.199254539716 137.754824805365 -242.914078891416</t>
  </si>
  <si>
    <t>-537.947176348776 137.585447308079 -356.601717755714</t>
  </si>
  <si>
    <t>-557.005656795065 125.645378852295 -475.701567654557</t>
  </si>
  <si>
    <t>-564.699471902773 110.067566062955 -583.835699683864</t>
  </si>
  <si>
    <t>-562.921469725817 89.8051868863379 -691.451275851019</t>
  </si>
  <si>
    <t>-550.614415631946 56.835937167695 -839.64569744505</t>
  </si>
  <si>
    <t>-508.976549020873 34.0644500648864 -929.816267062315</t>
  </si>
  <si>
    <t>-543.179305660102 100.006388612887 -779.363463828965</t>
  </si>
  <si>
    <t>-490.317788238228 237.208193955412 -777.341267773027</t>
  </si>
  <si>
    <t>-408.757302967335 265.497323040685 -472.819106418636</t>
  </si>
  <si>
    <t>-232.914362026221 155.364706604838 -316.000358152967</t>
  </si>
  <si>
    <t>-568.940522313191 42.8412295841965 -768.785114665534</t>
  </si>
  <si>
    <t>-459.803968967144 228.38501539975 -256.002658711972</t>
  </si>
  <si>
    <t>-456.610607232227 207.137658589049 199.1852681586</t>
  </si>
  <si>
    <t>-483.10509915559 157.549629258538 665.594216611271</t>
  </si>
  <si>
    <t>-335.981077070173 137.295331960243 759.869309070122</t>
  </si>
  <si>
    <t>-532.385087092889 47.2025771938329 -229.147207257286</t>
  </si>
  <si>
    <t>-423.633086241495 -26.3834327556946 207.219362037557</t>
  </si>
  <si>
    <t>-599.375867026526 -93.5448996916475 637.884379116776</t>
  </si>
  <si>
    <t>-456.339024499463 -153.754408319158 720.702169646016</t>
  </si>
  <si>
    <t>9763-20170724T164327.420812800.bin</t>
  </si>
  <si>
    <t>-496.004232021597 137.665578986578 -242.865932513569</t>
  </si>
  <si>
    <t>-537.782754279087 137.497443697417 -356.542391411206</t>
  </si>
  <si>
    <t>-556.889468072406 125.55406295016 -475.634121636754</t>
  </si>
  <si>
    <t>-564.633601017559 109.971173401917 -583.76380569689</t>
  </si>
  <si>
    <t>-562.912445036828 89.7016007708829 -691.379052626352</t>
  </si>
  <si>
    <t>-550.690896122806 56.7200385773164 -839.57776111466</t>
  </si>
  <si>
    <t>-509.07442613015 33.9319524402096 -929.754020006902</t>
  </si>
  <si>
    <t>-543.210174980092 99.8910088006196 -779.301654633328</t>
  </si>
  <si>
    <t>-490.22836605564 237.019131129765 -777.279175110221</t>
  </si>
  <si>
    <t>-408.184350345826 266.941416594966 -473.043112493168</t>
  </si>
  <si>
    <t>-232.359525415669 157.745498120579 -315.550409829203</t>
  </si>
  <si>
    <t>-568.986899004343 42.7357228681357 -768.707487620789</t>
  </si>
  <si>
    <t>-459.607067777776 228.15666507559 -255.976351450446</t>
  </si>
  <si>
    <t>-456.501588671195 206.950405016251 199.214131719244</t>
  </si>
  <si>
    <t>-483.17061446395 157.239332699334 665.611686679208</t>
  </si>
  <si>
    <t>-335.902650438356 137.883780533492 759.8508746013</t>
  </si>
  <si>
    <t>-532.223150179473 47.2480954959533 -229.075597723102</t>
  </si>
  <si>
    <t>-423.480373726699 -26.4159189581551 207.280063682545</t>
  </si>
  <si>
    <t>-599.365608441467 -93.410821558215 637.898524871992</t>
  </si>
  <si>
    <t>-456.420118524349 -153.819175078082 720.729302430937</t>
  </si>
  <si>
    <t>9763-20170724T164327.489638400.bin</t>
  </si>
  <si>
    <t>-495.629418308467 137.729761478617 -242.697568893786</t>
  </si>
  <si>
    <t>-537.419444611631 137.508213733057 -356.369633910167</t>
  </si>
  <si>
    <t>-556.598024698436 125.529170184057 -475.446375131542</t>
  </si>
  <si>
    <t>-564.435119207327 109.915409954194 -583.565092936741</t>
  </si>
  <si>
    <t>-562.835903606731 89.6126466026359 -691.175757433028</t>
  </si>
  <si>
    <t>-550.814782109871 56.5790251332216 -839.379387174031</t>
  </si>
  <si>
    <t>-509.265544820466 33.7369580939952 -929.572994155421</t>
  </si>
  <si>
    <t>-543.16911610732 99.7360577923346 -779.113835636893</t>
  </si>
  <si>
    <t>-489.691104045835 236.721021756488 -777.284317448694</t>
  </si>
  <si>
    <t>-408.319674014377 270.481187036794 -473.269337865265</t>
  </si>
  <si>
    <t>-233.02127708885 160.440280740338 -315.778054448879</t>
  </si>
  <si>
    <t>-569.098425178719 42.6546879317573 -768.493904408087</t>
  </si>
  <si>
    <t>-459.151055051985 228.273937374513 -255.875533186207</t>
  </si>
  <si>
    <t>-456.176941162477 207.098903150088 199.317250653744</t>
  </si>
  <si>
    <t>-483.249104716786 157.539170595961 665.737935094589</t>
  </si>
  <si>
    <t>-336.019821989398 137.311014527066 759.854094882175</t>
  </si>
  <si>
    <t>-531.934509144174 47.2553627087338 -228.879191534603</t>
  </si>
  <si>
    <t>-423.168916839665 -26.3581135501635 207.479326126159</t>
  </si>
  <si>
    <t>-599.356134737811 -93.6427650586886 637.914806576205</t>
  </si>
  <si>
    <t>-456.116654800212 -153.345308680922 720.749382304194</t>
  </si>
  <si>
    <t>9763-20170724T164327.522710300.bin</t>
  </si>
  <si>
    <t>-495.405461800498 137.699459020234 -242.630124232424</t>
  </si>
  <si>
    <t>-537.254147907952 137.518713776492 -356.280731355399</t>
  </si>
  <si>
    <t>-556.517175636534 125.530465254702 -475.34281202424</t>
  </si>
  <si>
    <t>-564.440784775908 109.886778865404 -583.450811904199</t>
  </si>
  <si>
    <t>-562.938070552327 89.5323050033285 -691.053176600794</t>
  </si>
  <si>
    <t>-551.06139252741 56.4037077377462 -839.247119118169</t>
  </si>
  <si>
    <t>-509.569902935418 33.4904499909906 -929.449310626719</t>
  </si>
  <si>
    <t>-543.311842575078 99.5803168769885 -779.009012050128</t>
  </si>
  <si>
    <t>-489.662165176078 236.453749746937 -777.235185271413</t>
  </si>
  <si>
    <t>-408.49281454669 273.527998473781 -473.55233959084</t>
  </si>
  <si>
    <t>-233.891775805268 162.763289050223 -315.793961425297</t>
  </si>
  <si>
    <t>-569.321022880408 42.5438608726038 -768.342912426913</t>
  </si>
  <si>
    <t>-458.87367432441 228.150710043605 -255.773964798482</t>
  </si>
  <si>
    <t>-455.972290935513 206.984042855512 199.419689993695</t>
  </si>
  <si>
    <t>-483.391409999895 157.271959489192 665.836988879499</t>
  </si>
  <si>
    <t>-336.049137548544 137.311073551943 759.833376235032</t>
  </si>
  <si>
    <t>-531.817433595043 47.3146463580095 -228.785579678637</t>
  </si>
  <si>
    <t>-423.008031867553 -26.1829721725551 207.581652213575</t>
  </si>
  <si>
    <t>-599.309486780591 -93.5052688102282 637.931720966956</t>
  </si>
  <si>
    <t>-456.301437446395 -153.689092176251 720.817861473802</t>
  </si>
  <si>
    <t>9763-20170724T164327.592951300.bin</t>
  </si>
  <si>
    <t>-494.871799374391 137.440899943476 -242.412026057018</t>
  </si>
  <si>
    <t>-536.685591666867 137.35756348182 -356.075638368868</t>
  </si>
  <si>
    <t>-556.104193750585 125.369575684507 -475.112495901272</t>
  </si>
  <si>
    <t>-564.249320861506 109.682057422638 -583.197634528307</t>
  </si>
  <si>
    <t>-563.049285726381 89.2370544530627 -690.78672412752</t>
  </si>
  <si>
    <t>-551.67732044435 55.9312473472908 -838.980575075079</t>
  </si>
  <si>
    <t>-510.417604553255 32.8275983008699 -929.240396311993</t>
  </si>
  <si>
    <t>-543.588658351617 99.1227437646556 -778.797566443778</t>
  </si>
  <si>
    <t>-489.250580550599 235.77874448727 -777.309451915154</t>
  </si>
  <si>
    <t>-411.948164085915 276.51118580631 -473.086812096741</t>
  </si>
  <si>
    <t>-237.961701675905 163.91118236566 -315.950035460085</t>
  </si>
  <si>
    <t>-569.829440851346 42.2132677350025 -768.021153768185</t>
  </si>
  <si>
    <t>-458.133315213453 227.673628043698 -255.491776665071</t>
  </si>
  <si>
    <t>-455.521285665697 206.530539244677 199.704632212644</t>
  </si>
  <si>
    <t>-483.790756381795 156.752150014163 666.176721947631</t>
  </si>
  <si>
    <t>-336.195337211637 136.814096485885 759.780058455405</t>
  </si>
  <si>
    <t>-531.476899174812 47.2686254948524 -228.630005676581</t>
  </si>
  <si>
    <t>-422.961135812723 -26.1995296456415 207.815127759956</t>
  </si>
  <si>
    <t>-599.271593508041 -93.2832207452124 638.136929964446</t>
  </si>
  <si>
    <t>-456.361825620614 -153.623593731003 721.07870249282</t>
  </si>
  <si>
    <t>9763-20170724T164327.656159600.bin</t>
  </si>
  <si>
    <t>-494.280450229454 137.309691944198 -241.816930944706</t>
  </si>
  <si>
    <t>-535.994212990617 137.393650827584 -355.51726279114</t>
  </si>
  <si>
    <t>-555.385141759665 125.417878986348 -474.559906219063</t>
  </si>
  <si>
    <t>-563.535762644203 109.678888345212 -582.637242905437</t>
  </si>
  <si>
    <t>-562.372077813685 89.1212361438999 -690.205206956407</t>
  </si>
  <si>
    <t>-551.082809734228 55.5964170049715 -838.355877880409</t>
  </si>
  <si>
    <t>-510.054104538798 32.2620017319698 -928.661617923959</t>
  </si>
  <si>
    <t>-542.852557048735 98.830369891349 -778.22271626747</t>
  </si>
  <si>
    <t>-488.306997775594 235.35649338168 -776.71937644284</t>
  </si>
  <si>
    <t>-416.101918550244 277.225725962912 -471.400570259106</t>
  </si>
  <si>
    <t>-241.668352714475 164.107944931552 -315.133773934845</t>
  </si>
  <si>
    <t>-569.303373178928 42.0298621360526 -767.384932594496</t>
  </si>
  <si>
    <t>-457.346089280266 227.452503141908 -254.785930798638</t>
  </si>
  <si>
    <t>-455.1572021326 206.265358286084 200.410700040457</t>
  </si>
  <si>
    <t>-484.521529820831 156.593366243125 666.935455491567</t>
  </si>
  <si>
    <t>-336.362592506131 136.843560546039 759.684467076099</t>
  </si>
  <si>
    <t>-531.059191030458 47.3088748686711 -228.137066026912</t>
  </si>
  <si>
    <t>-422.936606675783 -26.5597008923006 208.338117901313</t>
  </si>
  <si>
    <t>-599.277881407793 -93.0923622860626 638.586958496529</t>
  </si>
  <si>
    <t>-456.545372067798 -153.856227770573 721.524759738283</t>
  </si>
  <si>
    <t>9763-20170724T164327.690252800.bin</t>
  </si>
  <si>
    <t>-493.967508352757 137.236672347929 -241.491490236299</t>
  </si>
  <si>
    <t>-535.705984609256 137.386838591779 -355.182617035228</t>
  </si>
  <si>
    <t>-555.104464402894 125.461009069431 -474.229148161632</t>
  </si>
  <si>
    <t>-563.25462190022 109.759560520438 -582.311938228074</t>
  </si>
  <si>
    <t>-562.083087587872 89.2317864516498 -689.885548834561</t>
  </si>
  <si>
    <t>-550.775493773084 55.7403113665225 -838.042439172285</t>
  </si>
  <si>
    <t>-509.790549208362 32.3257154530465 -928.34738071012</t>
  </si>
  <si>
    <t>-542.498066659517 98.937060759714 -777.888880390943</t>
  </si>
  <si>
    <t>-487.775479454799 235.426679856287 -776.320336679504</t>
  </si>
  <si>
    <t>-418.444666403181 278.161657615924 -470.455621415708</t>
  </si>
  <si>
    <t>-243.822158996628 164.664800802494 -314.67550864365</t>
  </si>
  <si>
    <t>-569.059451574143 42.1814848677528 -767.086328396941</t>
  </si>
  <si>
    <t>-456.960880470599 227.231463666038 -254.446633853066</t>
  </si>
  <si>
    <t>-454.973577053679 206.096834769314 200.753315167598</t>
  </si>
  <si>
    <t>-484.83820449914 156.183952512061 667.214501099148</t>
  </si>
  <si>
    <t>-336.417830450559 136.696398086232 759.600308816414</t>
  </si>
  <si>
    <t>-530.817510947344 47.3305425211034 -227.806559533089</t>
  </si>
  <si>
    <t>-422.829420358079 -26.7224673598788 208.670739877156</t>
  </si>
  <si>
    <t>-599.283934645432 -93.0504117398671 638.847812130787</t>
  </si>
  <si>
    <t>-456.574197778854 -153.858461161491 721.792390245582</t>
  </si>
  <si>
    <t>9763-20170724T164327.726346000.bin</t>
  </si>
  <si>
    <t>-493.679990195065 137.027044362586 -241.162314972631</t>
  </si>
  <si>
    <t>-535.377370905545 137.206518516413 -354.868605515955</t>
  </si>
  <si>
    <t>-554.735850282134 125.30369607939 -473.923815973518</t>
  </si>
  <si>
    <t>-562.85225741568 109.617573497037 -582.011336212106</t>
  </si>
  <si>
    <t>-561.650459799385 89.0981713739517 -689.586208671102</t>
  </si>
  <si>
    <t>-550.305285762504 55.609787843741 -837.740944372993</t>
  </si>
  <si>
    <t>-509.327706503809 32.1089291049118 -928.026783864138</t>
  </si>
  <si>
    <t>-541.982312407906 98.7787654656798 -777.573759562079</t>
  </si>
  <si>
    <t>-487.163321826761 235.22289570972 -775.940396484042</t>
  </si>
  <si>
    <t>-420.351745248349 279.015717256531 -469.66501648935</t>
  </si>
  <si>
    <t>-245.690500886728 164.926500724161 -314.36162074117</t>
  </si>
  <si>
    <t>-568.668012506107 42.0759643529958 -766.800285681044</t>
  </si>
  <si>
    <t>-456.622954837054 226.913471367776 -254.127998477959</t>
  </si>
  <si>
    <t>-454.788305247286 205.807227243715 201.073964815931</t>
  </si>
  <si>
    <t>-485.134430623515 155.929627829238 667.503203859562</t>
  </si>
  <si>
    <t>-336.430563857439 136.970239225438 759.542423283731</t>
  </si>
  <si>
    <t>-530.559086702963 47.1820534054248 -227.492583020319</t>
  </si>
  <si>
    <t>-422.774675150031 -26.9742332005151 209.017507982569</t>
  </si>
  <si>
    <t>-599.29714231948 -93.155334165295 639.10938563248</t>
  </si>
  <si>
    <t>-456.538621959695 -153.812254056578 722.080829370001</t>
  </si>
  <si>
    <t>9763-20170724T164327.785556000.bin</t>
  </si>
  <si>
    <t>-493.092316911781 136.432301596883 -240.407447583417</t>
  </si>
  <si>
    <t>-534.669632223884 136.607832562439 -354.157607214643</t>
  </si>
  <si>
    <t>-553.961046416973 124.693608500709 -473.222580170135</t>
  </si>
  <si>
    <t>-562.041875297341 108.991392757383 -581.31046200687</t>
  </si>
  <si>
    <t>-560.830790247995 88.4484249594836 -688.880807361123</t>
  </si>
  <si>
    <t>-549.501431313299 54.9179879123054 -837.027243861283</t>
  </si>
  <si>
    <t>-508.514451265996 31.3064843156521 -927.27992110216</t>
  </si>
  <si>
    <t>-541.116590167451 98.0797303767859 -776.863388230924</t>
  </si>
  <si>
    <t>-486.268458795084 234.513855237177 -775.240573643583</t>
  </si>
  <si>
    <t>-422.753085830368 280.661009921873 -468.609612925439</t>
  </si>
  <si>
    <t>-248.174326505999 165.623201783664 -313.914664490237</t>
  </si>
  <si>
    <t>-567.912152690777 41.4286880196598 -766.090637921166</t>
  </si>
  <si>
    <t>-456.053037715964 226.382255257803 -253.33502458996</t>
  </si>
  <si>
    <t>-454.485337002444 205.36967668529 201.872330530888</t>
  </si>
  <si>
    <t>-485.902283386786 155.784671861542 668.43067311999</t>
  </si>
  <si>
    <t>-336.548956061153 136.991849152404 759.446732781459</t>
  </si>
  <si>
    <t>-529.961155396687 46.535768293892 -226.854903899599</t>
  </si>
  <si>
    <t>-422.7079159249 -27.3083020339226 209.838828752318</t>
  </si>
  <si>
    <t>-599.337651677799 -93.3830139245748 639.784934596768</t>
  </si>
  <si>
    <t>-456.312731252546 -153.410745820492 722.755244934493</t>
  </si>
  <si>
    <t>9763-20170724T164327.823658000.bin</t>
  </si>
  <si>
    <t>-492.937073935461 136.296865268147 -239.945460725976</t>
  </si>
  <si>
    <t>-534.526811842351 136.513801657222 -353.691004379429</t>
  </si>
  <si>
    <t>-553.841186718026 124.622571438521 -472.754514550609</t>
  </si>
  <si>
    <t>-561.946163780096 108.934823380994 -580.842761046266</t>
  </si>
  <si>
    <t>-560.762109518915 88.4009039191253 -688.415070753126</t>
  </si>
  <si>
    <t>-549.472619343454 54.8778745343309 -836.566159673036</t>
  </si>
  <si>
    <t>-508.470254282167 31.2654233193609 -926.811653957966</t>
  </si>
  <si>
    <t>-541.080568326389 98.0405145446311 -776.404166239587</t>
  </si>
  <si>
    <t>-486.352619057672 234.515185205541 -774.765679525907</t>
  </si>
  <si>
    <t>-423.967602393832 281.767449408242 -468.071249975102</t>
  </si>
  <si>
    <t>-249.45494152041 166.135602293392 -313.744849469588</t>
  </si>
  <si>
    <t>-567.855192324041 41.3810033896283 -765.623754694123</t>
  </si>
  <si>
    <t>-456.041701626977 226.252095172703 -252.738931498383</t>
  </si>
  <si>
    <t>-454.483969155722 205.265521862187 202.469542175069</t>
  </si>
  <si>
    <t>-486.468844995661 155.912633927018 669.106735156297</t>
  </si>
  <si>
    <t>-336.6795681372 136.941316011632 759.366239873054</t>
  </si>
  <si>
    <t>-529.719019001562 46.4755343015351 -226.439758396597</t>
  </si>
  <si>
    <t>-422.711808118526 -27.3099662410603 210.3242478549</t>
  </si>
  <si>
    <t>-599.32280675806 -93.2963308032 640.202893119259</t>
  </si>
  <si>
    <t>-456.407239763119 -153.515723173467 723.222637898263</t>
  </si>
  <si>
    <t>9763-20170724T164327.889211300.bin</t>
  </si>
  <si>
    <t>-492.615449381396 135.945593099491 -238.85887872452</t>
  </si>
  <si>
    <t>-534.114825762198 136.179390038972 -352.637437096183</t>
  </si>
  <si>
    <t>-553.388684285333 124.303178156845 -471.708960878972</t>
  </si>
  <si>
    <t>-561.476158427989 108.633142762129 -579.800939360683</t>
  </si>
  <si>
    <t>-560.292650824275 88.1235223108624 -687.377977317835</t>
  </si>
  <si>
    <t>-549.020921873029 54.6435502328662 -835.540248682384</t>
  </si>
  <si>
    <t>-508.058112309886 31.1189814223054 -925.826459442511</t>
  </si>
  <si>
    <t>-540.670758637933 97.8102580336974 -775.375180353531</t>
  </si>
  <si>
    <t>-486.217282543634 234.395352848471 -773.810560310133</t>
  </si>
  <si>
    <t>-426.174025340604 283.537920928256 -466.945806730505</t>
  </si>
  <si>
    <t>-251.50833791831 166.84465922011 -313.59449614429</t>
  </si>
  <si>
    <t>-567.345842944828 41.1045408418298 -764.590887741166</t>
  </si>
  <si>
    <t>-455.85091198535 225.866879112101 -251.614204604941</t>
  </si>
  <si>
    <t>-454.48899391657 204.976117466311 203.599322150158</t>
  </si>
  <si>
    <t>-487.305837365076 155.853697254316 670.050610136534</t>
  </si>
  <si>
    <t>-336.811940127478 137.034325356363 759.16250373626</t>
  </si>
  <si>
    <t>-529.159067705162 46.1518885593616 -225.467437612635</t>
  </si>
  <si>
    <t>-422.76861681943 -27.5621154259624 211.459387419611</t>
  </si>
  <si>
    <t>-599.369914624374 -93.4408722982794 641.173772369226</t>
  </si>
  <si>
    <t>-456.335497380418 -153.314389299418 724.239044513388</t>
  </si>
  <si>
    <t>9763-20170724T164327.921295200.bin</t>
  </si>
  <si>
    <t>-492.337736039991 135.715420260791 -238.402462902155</t>
  </si>
  <si>
    <t>-533.80615710669 135.947998694096 -352.192214218982</t>
  </si>
  <si>
    <t>-553.074899371488 124.086152851769 -471.266100200625</t>
  </si>
  <si>
    <t>-561.166538129531 108.439449286663 -579.36131290844</t>
  </si>
  <si>
    <t>-559.994580306198 87.9658097188272 -686.945179080646</t>
  </si>
  <si>
    <t>-548.745241909006 54.5506003985641 -835.123766072715</t>
  </si>
  <si>
    <t>-507.820185824519 31.1022764784447 -925.446928924069</t>
  </si>
  <si>
    <t>-540.428985399339 97.7097363228359 -774.948531069186</t>
  </si>
  <si>
    <t>-486.209703437582 234.401912950255 -773.362580436136</t>
  </si>
  <si>
    <t>-427.46458614877 284.16993887667 -466.347264813683</t>
  </si>
  <si>
    <t>-252.505786002896 166.674823979921 -313.945254680243</t>
  </si>
  <si>
    <t>-567.016529449558 40.9618618935726 -764.170055795112</t>
  </si>
  <si>
    <t>-455.653943945155 225.492674045985 -251.156949349368</t>
  </si>
  <si>
    <t>-454.478531953705 204.68112489827 204.060794095013</t>
  </si>
  <si>
    <t>-487.685843577672 155.492833696755 670.482653940797</t>
  </si>
  <si>
    <t>-336.810290954851 137.358152389245 759.089719854848</t>
  </si>
  <si>
    <t>-528.849274721347 46.0214055191161 -225.021174162968</t>
  </si>
  <si>
    <t>-422.742965633307 -27.5669955493101 211.995840794021</t>
  </si>
  <si>
    <t>-599.379280510826 -93.3609909180845 641.658736021268</t>
  </si>
  <si>
    <t>-456.443100644891 -153.424717184445 724.755684305151</t>
  </si>
  <si>
    <t>9763-20170724T164327.992053800.bin</t>
  </si>
  <si>
    <t>-491.868431503619 135.514676694587 -237.625159410385</t>
  </si>
  <si>
    <t>-533.205971981238 135.691916838408 -351.462729212658</t>
  </si>
  <si>
    <t>-552.388523760817 123.82642949596 -470.550045586089</t>
  </si>
  <si>
    <t>-560.419397887661 108.204002669764 -578.653350180466</t>
  </si>
  <si>
    <t>-559.202473959798 87.7853237056385 -686.247093615452</t>
  </si>
  <si>
    <t>-547.904997165926 54.4811466047139 -834.447056404919</t>
  </si>
  <si>
    <t>-506.939211316694 31.1648930916706 -924.786107251813</t>
  </si>
  <si>
    <t>-539.71213094766 97.6402580578759 -774.25492458203</t>
  </si>
  <si>
    <t>-486.090665869871 234.545219962618 -772.557122731361</t>
  </si>
  <si>
    <t>-429.643557347881 285.735982508971 -465.344858670761</t>
  </si>
  <si>
    <t>-253.479941727394 166.386515710766 -315.798351530995</t>
  </si>
  <si>
    <t>-566.095421181311 40.7941998825033 -763.491452778043</t>
  </si>
  <si>
    <t>-455.383857301371 225.292667318952 -250.433182352227</t>
  </si>
  <si>
    <t>-454.543123177899 204.530293799003 204.787418758343</t>
  </si>
  <si>
    <t>-488.127078190554 155.281608767061 671.053203816241</t>
  </si>
  <si>
    <t>-336.888098374116 137.165087918022 759.042306746313</t>
  </si>
  <si>
    <t>-528.148729527907 45.8528785946145 -224.271247717744</t>
  </si>
  <si>
    <t>-422.769427011042 -27.642938618268 212.937215020952</t>
  </si>
  <si>
    <t>-599.429588114329 -93.4665902401288 642.535888187547</t>
  </si>
  <si>
    <t>-456.384310820344 -153.236652295439 725.656913701963</t>
  </si>
  <si>
    <t>9763-20170724T164328.024139100.bin</t>
  </si>
  <si>
    <t>-491.533209916746 135.678853333602 -237.399756280231</t>
  </si>
  <si>
    <t>-532.815212409591 135.782914018854 -351.257456864803</t>
  </si>
  <si>
    <t>-552.013641934875 123.919812550782 -470.342566138679</t>
  </si>
  <si>
    <t>-560.089159133534 108.330395716287 -578.447193719904</t>
  </si>
  <si>
    <t>-558.946800818922 87.9743748584939 -686.05366774112</t>
  </si>
  <si>
    <t>-547.78351494206 54.7871318602002 -834.290038889521</t>
  </si>
  <si>
    <t>-506.79016017974 31.373936299737 -924.591520870283</t>
  </si>
  <si>
    <t>-539.585068799166 97.919799987987 -774.079740235075</t>
  </si>
  <si>
    <t>-486.201762519663 234.944937866179 -772.402330510898</t>
  </si>
  <si>
    <t>-431.126001033174 286.882623322564 -465.066424910863</t>
  </si>
  <si>
    <t>-254.384581879741 166.763652157698 -316.82340697022</t>
  </si>
  <si>
    <t>-565.860810166264 41.0231681996488 -763.320380196643</t>
  </si>
  <si>
    <t>-455.167405423749 225.428847925024 -250.244792716081</t>
  </si>
  <si>
    <t>-454.53034446558 204.775445894447 204.981181363913</t>
  </si>
  <si>
    <t>-488.166820088369 155.464287829069 671.186540525375</t>
  </si>
  <si>
    <t>-336.94400311805 136.692743512535 759.065938883556</t>
  </si>
  <si>
    <t>-527.686537974194 46.0301058610441 -224.032639197159</t>
  </si>
  <si>
    <t>-422.623664979458 -27.2269152639308 213.291991326299</t>
  </si>
  <si>
    <t>-599.398631754652 -93.1017354333335 642.86877046216</t>
  </si>
  <si>
    <t>-456.72750783797 -153.685004597193 726.044107523373</t>
  </si>
  <si>
    <t>9763-20170724T164328.088833100.bin</t>
  </si>
  <si>
    <t>-490.903989400454 135.417188066519 -237.156697464656</t>
  </si>
  <si>
    <t>-532.108281443379 135.334702278675 -351.042615999106</t>
  </si>
  <si>
    <t>-551.443106631367 123.521806884738 -470.110622802865</t>
  </si>
  <si>
    <t>-559.731780915662 108.072647818978 -578.219167924107</t>
  </si>
  <si>
    <t>-558.891628872965 87.9479935716256 -685.87204636531</t>
  </si>
  <si>
    <t>-548.237683809227 55.173130384751 -834.237529882279</t>
  </si>
  <si>
    <t>-507.105354659659 30.919601390676 -924.253577580692</t>
  </si>
  <si>
    <t>-539.964525642599 98.1946505380179 -773.957973947894</t>
  </si>
  <si>
    <t>-487.301230524648 235.480406693774 -772.173797081898</t>
  </si>
  <si>
    <t>-432.530393060241 286.446567888543 -464.620858797716</t>
  </si>
  <si>
    <t>-255.339433419867 166.228967614872 -316.995815717297</t>
  </si>
  <si>
    <t>-565.938847800633 41.1553218665496 -763.222768060208</t>
  </si>
  <si>
    <t>-455.016015222419 225.150895211083 -250.061736023814</t>
  </si>
  <si>
    <t>-454.470073754426 204.546204401753 205.166538301526</t>
  </si>
  <si>
    <t>-488.180064140152 155.090811157648 671.262365791943</t>
  </si>
  <si>
    <t>-336.809875768899 137.436738148213 759.11972867768</t>
  </si>
  <si>
    <t>-526.595335488184 45.7431462511286 -223.751895791169</t>
  </si>
  <si>
    <t>-422.471139666839 -27.1597560699647 213.856341308965</t>
  </si>
  <si>
    <t>-599.439495647776 -93.2961472707015 643.376803480037</t>
  </si>
  <si>
    <t>-456.391422420991 -152.968202201193 726.563244724746</t>
  </si>
  <si>
    <t>9763-20170724T164328.121923700.bin</t>
  </si>
  <si>
    <t>-490.461823921116 135.477549485395 -237.253405674562</t>
  </si>
  <si>
    <t>-531.706740774724 135.310750632011 -351.12448356173</t>
  </si>
  <si>
    <t>-551.1987839134 123.6588494989 -470.18274086806</t>
  </si>
  <si>
    <t>-559.680237014241 108.446955115956 -578.31001314058</t>
  </si>
  <si>
    <t>-559.083670777447 88.644990705241 -686.024325689543</t>
  </si>
  <si>
    <t>-548.820288612756 56.4006989831055 -834.533532520631</t>
  </si>
  <si>
    <t>-507.542807636837 31.4654975188828 -924.296458903574</t>
  </si>
  <si>
    <t>-540.434259585652 99.2260062086913 -774.12997197522</t>
  </si>
  <si>
    <t>-488.039931686938 236.605014318737 -772.035541758566</t>
  </si>
  <si>
    <t>-432.577134729121 286.164584845763 -464.37677642538</t>
  </si>
  <si>
    <t>-255.415941789778 165.900009598381 -316.754433706272</t>
  </si>
  <si>
    <t>-566.288761156492 42.1096180069265 -763.515709628014</t>
  </si>
  <si>
    <t>-454.84196912346 225.334079775596 -250.183474419843</t>
  </si>
  <si>
    <t>-454.128137649686 204.722362608992 205.044297640728</t>
  </si>
  <si>
    <t>-487.937122489505 155.286409332136 671.068831161924</t>
  </si>
  <si>
    <t>-336.767323847559 137.162424035916 759.175162513368</t>
  </si>
  <si>
    <t>-525.894123990835 45.7518221239996 -223.820045057987</t>
  </si>
  <si>
    <t>-422.375023533944 -26.9264725645545 213.969041332942</t>
  </si>
  <si>
    <t>-599.452563569641 -93.3230132595968 643.51220832999</t>
  </si>
  <si>
    <t>-456.462423521159 -153.121193391636 726.707807785154</t>
  </si>
  <si>
    <t>9763-20170724T164328.186596500.bin</t>
  </si>
  <si>
    <t>-489.5933623689 135.399560063513 -237.319663048469</t>
  </si>
  <si>
    <t>-530.779533850913 135.003269875887 -351.211444214825</t>
  </si>
  <si>
    <t>-550.446410463363 123.571776061032 -470.262253071399</t>
  </si>
  <si>
    <t>-559.187836041005 108.730498636513 -578.420400672027</t>
  </si>
  <si>
    <t>-558.953914717141 89.4599014647875 -686.232513920309</t>
  </si>
  <si>
    <t>-549.299575937165 58.1108657805619 -834.973949918288</t>
  </si>
  <si>
    <t>-507.443946657811 31.4021560177505 -923.955648894602</t>
  </si>
  <si>
    <t>-540.766300130565 100.614055245254 -774.363994943188</t>
  </si>
  <si>
    <t>-489.116690651294 238.289543009695 -771.780871404369</t>
  </si>
  <si>
    <t>-431.671352571183 285.304199690232 -464.086490604719</t>
  </si>
  <si>
    <t>-254.229845264834 166.377234966869 -315.718772675245</t>
  </si>
  <si>
    <t>-566.376392306539 43.3496000424971 -763.957112404211</t>
  </si>
  <si>
    <t>-454.530553473105 225.053783334612 -250.210850001369</t>
  </si>
  <si>
    <t>-453.621318609369 204.499294646489 205.019204686724</t>
  </si>
  <si>
    <t>-487.955181850068 154.577178773763 671.174532700686</t>
  </si>
  <si>
    <t>-336.604146338751 138.07582816254 759.288694077013</t>
  </si>
  <si>
    <t>-524.51193041167 45.7449542396533 -223.900980308277</t>
  </si>
  <si>
    <t>-422.277284003697 -26.7801722816611 214.21527501076</t>
  </si>
  <si>
    <t>-599.518074471172 -93.6469205486221 643.700269956863</t>
  </si>
  <si>
    <t>-456.163568052112 -152.611151330098 726.863996998019</t>
  </si>
  <si>
    <t>9763-20170724T164328.220688200.bin</t>
  </si>
  <si>
    <t>-489.236107603166 135.461551321546 -237.238724998285</t>
  </si>
  <si>
    <t>-530.404544655491 135.006047800511 -351.13664464753</t>
  </si>
  <si>
    <t>-550.110910575773 123.651052501228 -470.188307690819</t>
  </si>
  <si>
    <t>-558.911672974726 108.933827347974 -578.358528790921</t>
  </si>
  <si>
    <t>-558.759994496538 89.8410169994512 -686.202409366322</t>
  </si>
  <si>
    <t>-549.242508649151 58.7937055893536 -835.015950218246</t>
  </si>
  <si>
    <t>-507.209382178151 31.3965401811372 -923.704195282328</t>
  </si>
  <si>
    <t>-540.699203694046 101.193032044172 -774.334655625294</t>
  </si>
  <si>
    <t>-489.298881295899 238.936641535794 -771.55241559781</t>
  </si>
  <si>
    <t>-431.550444141762 285.018516817221 -463.773645514356</t>
  </si>
  <si>
    <t>-253.919040200064 166.962120045587 -314.938859653338</t>
  </si>
  <si>
    <t>-566.208237246917 43.8692799452232 -764.006586524838</t>
  </si>
  <si>
    <t>-454.333191724663 225.136876326477 -250.076211931494</t>
  </si>
  <si>
    <t>-453.376718558319 204.567513772939 205.153043961732</t>
  </si>
  <si>
    <t>-488.033195665484 154.759661606494 671.346339315536</t>
  </si>
  <si>
    <t>-336.607237702594 138.140094262255 759.309191464816</t>
  </si>
  <si>
    <t>-524.080231713865 45.761234748863 -223.805521881542</t>
  </si>
  <si>
    <t>-422.086777541633 -26.6586999114283 214.384403869813</t>
  </si>
  <si>
    <t>-599.497570949744 -93.6075160944956 643.756627613849</t>
  </si>
  <si>
    <t>-456.043894445467 -152.288062135546 726.950127273941</t>
  </si>
  <si>
    <t>9763-20170724T164328.291423500.bin</t>
  </si>
  <si>
    <t>-488.726704021097 135.626229592834 -237.006285990105</t>
  </si>
  <si>
    <t>-529.936474995427 135.109773231511 -350.889055220481</t>
  </si>
  <si>
    <t>-549.746063983801 123.822326227576 -469.929841172243</t>
  </si>
  <si>
    <t>-558.663843066036 109.220357751923 -578.106240139873</t>
  </si>
  <si>
    <t>-558.651061043169 90.2972472512634 -685.980077547428</t>
  </si>
  <si>
    <t>-549.347073219409 59.5423505696812 -834.867827244828</t>
  </si>
  <si>
    <t>-507.122815885303 31.0406549911246 -923.116094595897</t>
  </si>
  <si>
    <t>-540.764304826526 101.842298715919 -774.122684442757</t>
  </si>
  <si>
    <t>-489.795369070851 239.752774074383 -771.2433065437</t>
  </si>
  <si>
    <t>-431.595462727577 283.671348348376 -463.233355101126</t>
  </si>
  <si>
    <t>-254.555414622554 166.03642671641 -313.363828102964</t>
  </si>
  <si>
    <t>-566.163273219259 44.4585475853406 -763.856498807464</t>
  </si>
  <si>
    <t>-453.916383769053 225.299301062161 -249.748724338496</t>
  </si>
  <si>
    <t>-452.773325377184 204.685063358329 205.478039653742</t>
  </si>
  <si>
    <t>-488.249262058066 154.847214944108 671.655730927794</t>
  </si>
  <si>
    <t>-336.638097999845 138.099469612943 759.274695961964</t>
  </si>
  <si>
    <t>-523.419803145818 45.986726266031 -223.54844408832</t>
  </si>
  <si>
    <t>-421.774778892967 -26.3004164842541 214.74437223573</t>
  </si>
  <si>
    <t>-599.453900461887 -93.3796017605608 643.926288086133</t>
  </si>
  <si>
    <t>-456.310687680442 -152.693728062519 727.205055619238</t>
  </si>
  <si>
    <t>9763-20170724T164328.321498200.bin</t>
  </si>
  <si>
    <t>-488.526714491112 135.640392847833 -236.849041855152</t>
  </si>
  <si>
    <t>-529.752362962733 135.155484591836 -350.726283930799</t>
  </si>
  <si>
    <t>-549.589604830478 123.915802606667 -469.767147490742</t>
  </si>
  <si>
    <t>-558.536271562158 109.364592570786 -577.947808156041</t>
  </si>
  <si>
    <t>-558.555512127251 90.5001743911349 -685.831978279075</t>
  </si>
  <si>
    <t>-549.298668799335 59.8358577728692 -834.741429230613</t>
  </si>
  <si>
    <t>-507.030369827448 30.9639683680424 -922.848043345176</t>
  </si>
  <si>
    <t>-540.719621027945 102.108419520537 -773.976671959924</t>
  </si>
  <si>
    <t>-489.848058733125 240.020087744247 -771.11970093582</t>
  </si>
  <si>
    <t>-430.736274054 283.161728401977 -463.173473480906</t>
  </si>
  <si>
    <t>-254.462048830982 166.239472488963 -311.850647539265</t>
  </si>
  <si>
    <t>-566.069393032144 44.6993340849116 -763.730524981737</t>
  </si>
  <si>
    <t>-453.746856106708 225.382929908413 -249.579649120507</t>
  </si>
  <si>
    <t>-452.432724674061 204.679458594522 205.642643548597</t>
  </si>
  <si>
    <t>-488.326874570319 154.959639167567 671.770556303744</t>
  </si>
  <si>
    <t>-336.646925064757 138.136602980876 759.25586808333</t>
  </si>
  <si>
    <t>-523.15081876096 45.9299408321043 -223.461827504073</t>
  </si>
  <si>
    <t>-421.783559494334 -26.3028550956842 214.904123905423</t>
  </si>
  <si>
    <t>-599.468718046275 -93.4674965627859 644.078638747624</t>
  </si>
  <si>
    <t>-456.22938544013 -152.522675765931 727.376140901667</t>
  </si>
  <si>
    <t>9763-20170724T164328.389785000.bin</t>
  </si>
  <si>
    <t>-488.319041710193 135.766582896264 -236.621858861309</t>
  </si>
  <si>
    <t>-529.608670653996 135.328218965639 -350.47600894174</t>
  </si>
  <si>
    <t>-549.524142832641 124.021531810892 -469.497474914176</t>
  </si>
  <si>
    <t>-558.548592991714 109.359944055509 -577.656839519446</t>
  </si>
  <si>
    <t>-558.653779035909 90.3335784899391 -685.512426936342</t>
  </si>
  <si>
    <t>-549.526219370514 59.3887839081816 -834.371904064226</t>
  </si>
  <si>
    <t>-507.322128301711 29.8227293507661 -922.278866921022</t>
  </si>
  <si>
    <t>-540.845148922792 101.755195573946 -773.68704458456</t>
  </si>
  <si>
    <t>-489.770690372236 239.641238341691 -771.056097227195</t>
  </si>
  <si>
    <t>-428.958311391928 281.916603844286 -463.321275766585</t>
  </si>
  <si>
    <t>-254.183192705226 165.978733260508 -309.522076644158</t>
  </si>
  <si>
    <t>-566.2845023215 44.4065124187203 -763.325246942054</t>
  </si>
  <si>
    <t>-453.50206426458 225.633727323625 -249.355705468944</t>
  </si>
  <si>
    <t>-451.958967553143 204.784930550333 205.859201953092</t>
  </si>
  <si>
    <t>-488.378514018478 155.134140626211 671.884554665593</t>
  </si>
  <si>
    <t>-336.674220539264 137.836694260619 759.235121444929</t>
  </si>
  <si>
    <t>-523.011088775182 45.9420338749508 -223.218733118978</t>
  </si>
  <si>
    <t>-421.846663637294 -26.0219863069403 215.238463919303</t>
  </si>
  <si>
    <t>-599.490756904646 -93.4299159526774 644.384249764602</t>
  </si>
  <si>
    <t>-456.209385979065 -152.383671064485 727.681411353946</t>
  </si>
  <si>
    <t>9763-20170724T164328.419863200.bin</t>
  </si>
  <si>
    <t>-488.261883679444 135.859636123652 -236.484703047657</t>
  </si>
  <si>
    <t>-529.493121958969 135.434132638055 -350.360084383505</t>
  </si>
  <si>
    <t>-549.336770082584 124.082818524885 -469.389324044194</t>
  </si>
  <si>
    <t>-558.292696119037 109.355499486336 -577.545446428265</t>
  </si>
  <si>
    <t>-558.327097541164 90.2374057428887 -685.384895672813</t>
  </si>
  <si>
    <t>-549.100223308524 59.1375250924747 -834.205814402008</t>
  </si>
  <si>
    <t>-506.94295987706 29.312822249794 -922.048012570952</t>
  </si>
  <si>
    <t>-540.399596066971 101.542043100273 -773.550548030459</t>
  </si>
  <si>
    <t>-488.99959811149 239.270632821568 -770.999218934287</t>
  </si>
  <si>
    <t>-427.971603688243 282.003613093401 -463.370095982848</t>
  </si>
  <si>
    <t>-253.816823378026 166.089052762893 -308.851646612617</t>
  </si>
  <si>
    <t>-565.966090318834 44.2544569327773 -763.163928856239</t>
  </si>
  <si>
    <t>-453.318545847702 225.60901386599 -249.270611964996</t>
  </si>
  <si>
    <t>-451.97627975427 204.763595363046 205.945060357018</t>
  </si>
  <si>
    <t>-488.420924601525 154.904245455735 671.92340067343</t>
  </si>
  <si>
    <t>-336.642245308122 138.034523145273 759.228401533961</t>
  </si>
  <si>
    <t>-523.036885286954 46.1804531502855 -223.083082642043</t>
  </si>
  <si>
    <t>-421.828243173759 -25.8214405161201 215.35748818902</t>
  </si>
  <si>
    <t>-599.450895514459 -93.1103573610111 644.473319975722</t>
  </si>
  <si>
    <t>-456.404447116809 -152.565669836488 727.81784104424</t>
  </si>
  <si>
    <t>9763-20170724T164328.488887300.bin</t>
  </si>
  <si>
    <t>-488.138159736965 135.968874119134 -236.389183016954</t>
  </si>
  <si>
    <t>-529.396445238128 135.590958808439 -350.255006495461</t>
  </si>
  <si>
    <t>-549.263045014851 124.093046520679 -469.266181093859</t>
  </si>
  <si>
    <t>-558.238242617137 109.154034581985 -577.391781596851</t>
  </si>
  <si>
    <t>-558.291475355282 89.7464291703023 -685.179519992824</t>
  </si>
  <si>
    <t>-549.091336682143 58.1643294160889 -833.900372954537</t>
  </si>
  <si>
    <t>-507.09095270601 27.842623474982 -921.647493569678</t>
  </si>
  <si>
    <t>-540.272165344762 100.719965070794 -773.368154755515</t>
  </si>
  <si>
    <t>-488.43279361778 238.303196265775 -771.037193183885</t>
  </si>
  <si>
    <t>-427.720191251195 282.211705063064 -463.511273708163</t>
  </si>
  <si>
    <t>-254.076529088518 166.536589955039 -308.239903441399</t>
  </si>
  <si>
    <t>-566.052006777737 43.556895695225 -762.823783077136</t>
  </si>
  <si>
    <t>-452.954063537064 225.659915057935 -249.237917287945</t>
  </si>
  <si>
    <t>-451.881827881964 204.78131341172 205.976943245683</t>
  </si>
  <si>
    <t>-488.3903601293 154.877265487596 671.93914977383</t>
  </si>
  <si>
    <t>-336.563876862513 138.295791420411 759.216221891434</t>
  </si>
  <si>
    <t>-523.174504189602 46.3279567145985 -222.900496853469</t>
  </si>
  <si>
    <t>-421.907488353053 -25.7202686354033 215.519066512987</t>
  </si>
  <si>
    <t>-599.457330352122 -93.0855731452535 644.693537869979</t>
  </si>
  <si>
    <t>-456.515857501729 -152.76304897283 728.059208294946</t>
  </si>
  <si>
    <t>9763-20170724T164328.520972300.bin</t>
  </si>
  <si>
    <t>-488.083440464844 136.123032774671 -236.325948223164</t>
  </si>
  <si>
    <t>-529.264263146206 135.771665084909 -350.219929305838</t>
  </si>
  <si>
    <t>-549.074003009277 124.196339099517 -469.233155789946</t>
  </si>
  <si>
    <t>-558.007293665688 109.14624346542 -577.346634704282</t>
  </si>
  <si>
    <t>-558.028519178515 89.5875021797387 -685.106999176672</t>
  </si>
  <si>
    <t>-548.795181342879 57.7547359043134 -833.772554239153</t>
  </si>
  <si>
    <t>-506.848103821242 27.2879448233475 -921.494843542056</t>
  </si>
  <si>
    <t>-539.957347038912 100.398728864848 -773.305213195936</t>
  </si>
  <si>
    <t>-487.868556796775 237.901277905825 -771.076176418835</t>
  </si>
  <si>
    <t>-427.335393447113 282.377515990984 -463.596455669723</t>
  </si>
  <si>
    <t>-253.767331295107 166.945718412338 -308.059707300378</t>
  </si>
  <si>
    <t>-565.803980038229 43.2807591932325 -762.680190884648</t>
  </si>
  <si>
    <t>-452.75166243683 225.851448811328 -249.206902039851</t>
  </si>
  <si>
    <t>-451.824199895835 204.891314131713 206.004622227896</t>
  </si>
  <si>
    <t>-488.379485495299 155.106606759212 671.984235148899</t>
  </si>
  <si>
    <t>-336.575766329299 138.128237144856 759.224652778103</t>
  </si>
  <si>
    <t>-523.220481742507 46.5106804888493 -222.890216499663</t>
  </si>
  <si>
    <t>-422.068102398716 -25.6517693101822 215.536996288868</t>
  </si>
  <si>
    <t>-599.463565553275 -92.9737749046546 644.824097056402</t>
  </si>
  <si>
    <t>-456.676117570237 -153.004620748484 728.200106780698</t>
  </si>
  <si>
    <t>9763-20170724T164328.585165500.bin</t>
  </si>
  <si>
    <t>-488.053620326972 136.080871271738 -236.256378787376</t>
  </si>
  <si>
    <t>-529.202588824073 135.824270190833 -350.162033624407</t>
  </si>
  <si>
    <t>-548.960740951073 124.173921466263 -469.176453052891</t>
  </si>
  <si>
    <t>-557.839928029806 108.987049051302 -577.275410073358</t>
  </si>
  <si>
    <t>-557.800526087572 89.2236351916326 -684.998441423416</t>
  </si>
  <si>
    <t>-548.477789765954 57.0369623369242 -833.582117425889</t>
  </si>
  <si>
    <t>-506.540969509474 26.3622616876704 -921.236782573402</t>
  </si>
  <si>
    <t>-539.640332597542 99.809585648279 -773.205629427368</t>
  </si>
  <si>
    <t>-487.38534612008 237.244616411474 -771.110630260475</t>
  </si>
  <si>
    <t>-427.589379806007 283.420616646144 -463.737303383635</t>
  </si>
  <si>
    <t>-253.822725976627 167.27497217593 -308.955532683025</t>
  </si>
  <si>
    <t>-565.565310407485 42.747581498883 -762.471227651584</t>
  </si>
  <si>
    <t>-452.620893461615 225.952214758389 -249.059372184954</t>
  </si>
  <si>
    <t>-451.775970971393 204.903238200222 206.148163657222</t>
  </si>
  <si>
    <t>-488.429258678692 155.304867503409 672.127782301159</t>
  </si>
  <si>
    <t>-336.594897270564 137.919857883584 759.234645462482</t>
  </si>
  <si>
    <t>-523.359869429245 46.3361118937301 -222.805698568845</t>
  </si>
  <si>
    <t>-422.398988513351 -25.8388156794912 215.663637342561</t>
  </si>
  <si>
    <t>-599.545319340704 -93.1647017255086 645.117732410192</t>
  </si>
  <si>
    <t>-456.368329140733 -152.346665580308 728.432512354326</t>
  </si>
  <si>
    <t>9763-20170724T164328.623267500.bin</t>
  </si>
  <si>
    <t>-488.018842931557 135.973852472842 -236.128951565349</t>
  </si>
  <si>
    <t>-529.132488892405 135.718601021892 -350.047419726306</t>
  </si>
  <si>
    <t>-548.883051374063 124.050252890122 -469.061420588253</t>
  </si>
  <si>
    <t>-557.767179429044 108.839791967731 -577.156574582286</t>
  </si>
  <si>
    <t>-557.744637679276 89.0455177282851 -684.87398708492</t>
  </si>
  <si>
    <t>-548.457384146045 56.8089248549039 -833.449095515095</t>
  </si>
  <si>
    <t>-506.547454292366 26.0891358884798 -921.100865071886</t>
  </si>
  <si>
    <t>-539.593608698619 99.596725851008 -773.087215409563</t>
  </si>
  <si>
    <t>-487.406243504777 237.064019382577 -771.086431021383</t>
  </si>
  <si>
    <t>-427.867891068076 284.174600725909 -463.8048692432</t>
  </si>
  <si>
    <t>-253.929149494277 167.623688098988 -309.521871513006</t>
  </si>
  <si>
    <t>-565.539832879837 42.5485333272236 -762.331148883504</t>
  </si>
  <si>
    <t>-452.521650957252 225.742912666504 -248.956320076307</t>
  </si>
  <si>
    <t>-451.828461658296 204.711176344592 206.252309211505</t>
  </si>
  <si>
    <t>-488.504229280541 154.939755277672 672.199657374559</t>
  </si>
  <si>
    <t>-336.534761040963 138.344584030183 759.224824500709</t>
  </si>
  <si>
    <t>-523.301030130554 46.294594621862 -222.680466803811</t>
  </si>
  <si>
    <t>-422.417797242203 -26.021792846028 215.783367369542</t>
  </si>
  <si>
    <t>-599.596129273891 -93.3472942912683 645.233317459777</t>
  </si>
  <si>
    <t>-456.369009480496 -152.415698439125 728.542439514826</t>
  </si>
  <si>
    <t>9763-20170724T164328.691018300.bin</t>
  </si>
  <si>
    <t>-487.899445856384 136.06697449594 -235.98340354737</t>
  </si>
  <si>
    <t>-529.047098120932 135.864626837094 -349.889756826174</t>
  </si>
  <si>
    <t>-548.886913331873 124.238492200395 -468.89299463881</t>
  </si>
  <si>
    <t>-557.874006550616 109.061327252914 -576.9842639726</t>
  </si>
  <si>
    <t>-557.976141575747 89.2950570538024 -684.706800643562</t>
  </si>
  <si>
    <t>-548.88389498316 57.0911981639485 -833.300941294254</t>
  </si>
  <si>
    <t>-507.122998049778 26.4386545770748 -921.047378531291</t>
  </si>
  <si>
    <t>-539.90566502996 99.8506832805514 -772.936015839471</t>
  </si>
  <si>
    <t>-487.735623391966 237.322688276875 -770.906883836325</t>
  </si>
  <si>
    <t>-429.138966945065 285.742624960528 -463.647962082386</t>
  </si>
  <si>
    <t>-255.045069781035 168.002866235403 -310.446247737407</t>
  </si>
  <si>
    <t>-565.908219035804 42.8301145450901 -762.169369599264</t>
  </si>
  <si>
    <t>-452.341788162881 225.840161907553 -248.836566598587</t>
  </si>
  <si>
    <t>-451.682686262245 204.754887376331 206.369551345686</t>
  </si>
  <si>
    <t>-488.510378227798 154.990249422757 672.279317307052</t>
  </si>
  <si>
    <t>-336.558533688992 137.963939209742 759.251984191093</t>
  </si>
  <si>
    <t>-523.296371701128 46.3792723373585 -222.484274548605</t>
  </si>
  <si>
    <t>-422.374829699364 -26.0935845964902 215.944897701907</t>
  </si>
  <si>
    <t>-599.625934903615 -93.3340586470049 645.369794371301</t>
  </si>
  <si>
    <t>-456.3267312722 -152.191236670018 728.704466781618</t>
  </si>
  <si>
    <t>9763-20170724T164328.721096900.bin</t>
  </si>
  <si>
    <t>-487.825036702237 136.073697872565 -235.905650336349</t>
  </si>
  <si>
    <t>-528.952698388666 135.873856420267 -349.819116737793</t>
  </si>
  <si>
    <t>-548.739181866819 124.247092432568 -468.831167055565</t>
  </si>
  <si>
    <t>-557.663558215805 109.069924546689 -576.927804510623</t>
  </si>
  <si>
    <t>-557.688129035123 89.3059022246989 -684.650784900793</t>
  </si>
  <si>
    <t>-548.472708417135 57.1086716655359 -833.238883789717</t>
  </si>
  <si>
    <t>-506.682981635958 26.5585595151114 -921.007278345422</t>
  </si>
  <si>
    <t>-539.553482524347 99.8692589447688 -772.8658144351</t>
  </si>
  <si>
    <t>-487.446928266521 237.363430038969 -770.830850989487</t>
  </si>
  <si>
    <t>-429.513540573484 285.981639871178 -463.477352223206</t>
  </si>
  <si>
    <t>-255.431157740936 167.712146039963 -310.671243875345</t>
  </si>
  <si>
    <t>-565.547013496313 42.8405963342136 -762.120545414368</t>
  </si>
  <si>
    <t>-452.210792749296 225.813632004899 -248.77610677879</t>
  </si>
  <si>
    <t>-451.60483830394 204.737601406501 206.430604064649</t>
  </si>
  <si>
    <t>-488.517598510606 154.918029537511 672.31425283436</t>
  </si>
  <si>
    <t>-336.528884880108 138.07250978686 759.257746735398</t>
  </si>
  <si>
    <t>-523.253923515308 46.430748038153 -222.407474494369</t>
  </si>
  <si>
    <t>-422.330059486554 -26.1022954367595 216.011295423171</t>
  </si>
  <si>
    <t>-599.64900964182 -93.3350517198298 645.428095865577</t>
  </si>
  <si>
    <t>-456.407985283318 -152.322142378568 728.771053914018</t>
  </si>
  <si>
    <t>9763-20170724T164328.786805000.bin</t>
  </si>
  <si>
    <t>-487.767826323534 136.261218112776 -235.863782361999</t>
  </si>
  <si>
    <t>-528.879896989059 136.101805475498 -349.782873577742</t>
  </si>
  <si>
    <t>-548.588033751161 124.556260025265 -468.815894341761</t>
  </si>
  <si>
    <t>-557.414088691737 109.471976278361 -576.933507542119</t>
  </si>
  <si>
    <t>-557.311795082139 89.8222561577814 -684.677395548556</t>
  </si>
  <si>
    <t>-547.889854340969 57.807972747206 -833.29196082615</t>
  </si>
  <si>
    <t>-505.902258469791 27.6333574012541 -921.095862927902</t>
  </si>
  <si>
    <t>-539.075049897924 100.502949628819 -772.857315518461</t>
  </si>
  <si>
    <t>-487.057738718024 238.02911117612 -770.571375997617</t>
  </si>
  <si>
    <t>-430.570944752556 286.486161590493 -462.923309426986</t>
  </si>
  <si>
    <t>-256.407305299761 167.223301889488 -310.984291522313</t>
  </si>
  <si>
    <t>-565.042596669957 43.443697898946 -762.211907527884</t>
  </si>
  <si>
    <t>-452.096809688869 225.893879592438 -248.72144679523</t>
  </si>
  <si>
    <t>-451.632059263395 204.822740815763 206.485619034167</t>
  </si>
  <si>
    <t>-488.495909008038 155.016342105169 672.377004021649</t>
  </si>
  <si>
    <t>-336.495282095525 138.079459040749 759.281905377513</t>
  </si>
  <si>
    <t>-523.2920761384 46.6772972349266 -222.354001925302</t>
  </si>
  <si>
    <t>-422.388924771921 -25.9407055480866 216.055408762815</t>
  </si>
  <si>
    <t>-599.675590124806 -93.0755205734026 645.517287688011</t>
  </si>
  <si>
    <t>-456.708260128372 -152.668989876202 728.89877389616</t>
  </si>
  <si>
    <t>9763-20170724T164328.819893100.bin</t>
  </si>
  <si>
    <t>-487.773290809466 136.083770865131 -235.816862678391</t>
  </si>
  <si>
    <t>-528.813856544625 135.904790310791 -349.761800083591</t>
  </si>
  <si>
    <t>-548.452408900161 124.424839451033 -468.812660078853</t>
  </si>
  <si>
    <t>-557.217228294466 109.434160174562 -576.94813802007</t>
  </si>
  <si>
    <t>-557.055671320466 89.9113572035035 -684.715033612151</t>
  </si>
  <si>
    <t>-547.553201357865 58.1075782186948 -833.369807483706</t>
  </si>
  <si>
    <t>-505.278367872167 28.2753075214729 -921.152761434539</t>
  </si>
  <si>
    <t>-538.770329166252 100.716521059055 -772.869633712209</t>
  </si>
  <si>
    <t>-486.773420793271 238.240606505097 -770.433503027131</t>
  </si>
  <si>
    <t>-431.181445711577 286.851269775015 -462.646734441007</t>
  </si>
  <si>
    <t>-256.876933388978 166.782469322502 -311.506079804581</t>
  </si>
  <si>
    <t>-564.745219425263 43.6429654913416 -762.319532143526</t>
  </si>
  <si>
    <t>-452.065159498896 225.690919663992 -248.690840357907</t>
  </si>
  <si>
    <t>-451.771567178895 204.674266367362 206.518921150589</t>
  </si>
  <si>
    <t>-488.513474360923 154.866975179139 672.410992378025</t>
  </si>
  <si>
    <t>-336.478031868794 138.121629211839 759.292105626542</t>
  </si>
  <si>
    <t>-523.2813672023 46.5041661594951 -222.320826132436</t>
  </si>
  <si>
    <t>-422.392265613028 -26.1973865569844 216.077980653324</t>
  </si>
  <si>
    <t>-599.718102061257 -93.2295758803126 645.555522903244</t>
  </si>
  <si>
    <t>-456.553047891239 -152.352573761363 728.932635181416</t>
  </si>
  <si>
    <t>9763-20170724T164328.888581200.bin</t>
  </si>
  <si>
    <t>-487.701882125652 135.746956954834 -235.83887062728</t>
  </si>
  <si>
    <t>-528.699056630709 135.57166885783 -349.79934302275</t>
  </si>
  <si>
    <t>-548.252065596513 124.163964628605 -468.871328090993</t>
  </si>
  <si>
    <t>-556.920059008244 109.271032949716 -577.028214794855</t>
  </si>
  <si>
    <t>-556.640776153023 89.8814965206499 -684.818849626584</t>
  </si>
  <si>
    <t>-546.951780985561 58.3020949488237 -833.50944402472</t>
  </si>
  <si>
    <t>-503.995691986357 29.3408531371826 -921.253283649771</t>
  </si>
  <si>
    <t>-538.286451572483 100.837451593394 -772.94056550015</t>
  </si>
  <si>
    <t>-486.532113706816 238.45968879938 -770.352714959889</t>
  </si>
  <si>
    <t>-432.733991728769 287.586859097832 -462.329303146703</t>
  </si>
  <si>
    <t>-258.217592705168 166.285431254703 -312.422472241416</t>
  </si>
  <si>
    <t>-564.191306108532 43.7125744204595 -762.496245351656</t>
  </si>
  <si>
    <t>-451.917591806741 225.345542929398 -248.709313577083</t>
  </si>
  <si>
    <t>-452.001388670775 204.531995568408 206.509837301891</t>
  </si>
  <si>
    <t>-488.454232118623 154.96447022109 672.417202544314</t>
  </si>
  <si>
    <t>-336.406343987522 138.318991403169 759.295718796078</t>
  </si>
  <si>
    <t>-523.344006585619 46.1894763797094 -222.301058411511</t>
  </si>
  <si>
    <t>-422.398069602136 -26.4993557919272 216.086838096445</t>
  </si>
  <si>
    <t>-599.77808089465 -93.4354037745045 645.563972145406</t>
  </si>
  <si>
    <t>-456.579889264016 -152.42099031602 728.981527034806</t>
  </si>
  <si>
    <t>9763-20170724T164328.921669000.bin</t>
  </si>
  <si>
    <t>-487.734631049384 135.442565960223 -235.85961892118</t>
  </si>
  <si>
    <t>-528.64803941002 135.245988479212 -349.850233715594</t>
  </si>
  <si>
    <t>-548.11914739205 123.836435609356 -468.935420876309</t>
  </si>
  <si>
    <t>-556.71418134124 108.951911671813 -577.099338556695</t>
  </si>
  <si>
    <t>-556.362897164113 89.5818624344773 -684.893209380719</t>
  </si>
  <si>
    <t>-546.574386731141 58.0420998805521 -833.58556077925</t>
  </si>
  <si>
    <t>-503.28982103241 29.5986007138256 -921.337633883761</t>
  </si>
  <si>
    <t>-537.986356385079 100.576863489474 -773.005536256423</t>
  </si>
  <si>
    <t>-486.42681592255 238.268041622927 -770.404620236901</t>
  </si>
  <si>
    <t>-433.297637874746 287.478871390606 -462.278259162895</t>
  </si>
  <si>
    <t>-258.585862649578 165.990120085791 -312.751344169647</t>
  </si>
  <si>
    <t>-563.824533695022 43.4179734066665 -762.582264630729</t>
  </si>
  <si>
    <t>-451.927043737567 225.006817552427 -248.729549023002</t>
  </si>
  <si>
    <t>-452.007806577284 204.238044380847 206.491579513037</t>
  </si>
  <si>
    <t>-488.463400802562 154.761652576676 672.426154854396</t>
  </si>
  <si>
    <t>-336.372836674447 138.514673444885 759.305441625363</t>
  </si>
  <si>
    <t>-523.332751901374 45.935861252584 -222.367652709999</t>
  </si>
  <si>
    <t>-422.455955599111 -26.7099310401331 216.043235111458</t>
  </si>
  <si>
    <t>-599.831890546315 -93.6003676010614 645.586389248027</t>
  </si>
  <si>
    <t>-456.519090965317 -152.325675155538 728.990710391932</t>
  </si>
  <si>
    <t>9763-20170724T164328.988422900.bin</t>
  </si>
  <si>
    <t>-487.712160376226 135.227265034436 -235.931755718281</t>
  </si>
  <si>
    <t>-528.597592440785 135.0385922603 -349.932338088593</t>
  </si>
  <si>
    <t>-548.000391456419 123.709449583491 -469.03629250085</t>
  </si>
  <si>
    <t>-556.513588164329 108.934116261947 -577.221618911754</t>
  </si>
  <si>
    <t>-556.058497058737 89.713123128054 -685.041938237401</t>
  </si>
  <si>
    <t>-546.101016869095 58.4254595129551 -833.776404714352</t>
  </si>
  <si>
    <t>-502.210259767935 31.0429329837221 -921.564564027215</t>
  </si>
  <si>
    <t>-537.70463497638 100.909211685575 -773.13357887752</t>
  </si>
  <si>
    <t>-486.837373896025 238.859299295002 -770.42279103942</t>
  </si>
  <si>
    <t>-435.024402968133 288.640529851181 -462.164052436619</t>
  </si>
  <si>
    <t>-260.097833081387 167.190309269506 -312.856956926115</t>
  </si>
  <si>
    <t>-563.309093675863 43.6293064545396 -762.798358538355</t>
  </si>
  <si>
    <t>-451.973728167617 224.889064620388 -248.749723738576</t>
  </si>
  <si>
    <t>-451.996624527185 204.2384224154 206.47682326966</t>
  </si>
  <si>
    <t>-488.384643095023 155.099758331164 672.418554757355</t>
  </si>
  <si>
    <t>-336.38237152282 138.233852308645 759.334436733291</t>
  </si>
  <si>
    <t>-523.312057858343 45.6611214561292 -222.463445712022</t>
  </si>
  <si>
    <t>-422.553875107447 -26.8155344453643 216.00274474288</t>
  </si>
  <si>
    <t>-599.920103217605 -93.6236498120902 645.611177328021</t>
  </si>
  <si>
    <t>-456.633587982662 -152.426324971263 729.006297509002</t>
  </si>
  <si>
    <t>9763-20170724T164329.019505700.bin</t>
  </si>
  <si>
    <t>-487.79618346027 135.142666576025 -236.000979562535</t>
  </si>
  <si>
    <t>-528.692400261701 134.919131962194 -349.997584956921</t>
  </si>
  <si>
    <t>-548.061767682933 123.638386868008 -469.111708637876</t>
  </si>
  <si>
    <t>-556.52476102019 108.943837448983 -577.311879877714</t>
  </si>
  <si>
    <t>-555.998317708864 89.8424681536689 -685.153007534095</t>
  </si>
  <si>
    <t>-545.918558216858 58.7627730204132 -833.922970490377</t>
  </si>
  <si>
    <t>-501.740912099401 31.855171647222 -921.714054669959</t>
  </si>
  <si>
    <t>-537.645138928698 101.192279156715 -773.225284762919</t>
  </si>
  <si>
    <t>-487.128162943121 239.259262124258 -770.317562690051</t>
  </si>
  <si>
    <t>-436.707050805773 289.542331253694 -461.90942250613</t>
  </si>
  <si>
    <t>-261.746502889315 168.25666390559 -312.508564640903</t>
  </si>
  <si>
    <t>-563.111953933585 43.8369099478846 -762.96853974963</t>
  </si>
  <si>
    <t>-452.132112813441 224.833238799196 -248.785223417207</t>
  </si>
  <si>
    <t>-452.14992800002 204.264611160509 206.445008581387</t>
  </si>
  <si>
    <t>-488.349982555836 155.195102446373 672.402576502781</t>
  </si>
  <si>
    <t>-336.352536330112 138.33197332667 759.327360159562</t>
  </si>
  <si>
    <t>-523.344018410296 45.5336148919953 -222.540161232403</t>
  </si>
  <si>
    <t>-422.621121576559 -26.7328531948283 215.968804254368</t>
  </si>
  <si>
    <t>-599.942925942233 -93.5910202409101 645.600426308781</t>
  </si>
  <si>
    <t>-456.746657111193 -152.576229039618 729.02149459993</t>
  </si>
  <si>
    <t>9763-20170724T164329.091257700.bin</t>
  </si>
  <si>
    <t>-488.11269859837 134.848380084266 -236.046086487581</t>
  </si>
  <si>
    <t>-528.867914496892 134.492870826638 -350.092964021453</t>
  </si>
  <si>
    <t>-547.996359501979 123.315677786782 -469.255665859779</t>
  </si>
  <si>
    <t>-556.199402206427 108.816981460673 -577.502446175654</t>
  </si>
  <si>
    <t>-555.369991146627 90.0161711447763 -685.394364315544</t>
  </si>
  <si>
    <t>-544.823432507593 59.4657069703224 -834.241453100476</t>
  </si>
  <si>
    <t>-500.210445006157 33.4215498925068 -922.072981926444</t>
  </si>
  <si>
    <t>-536.920390971814 101.753300798063 -773.395527593382</t>
  </si>
  <si>
    <t>-487.301910308791 240.135517607712 -769.918810908259</t>
  </si>
  <si>
    <t>-439.771054829475 291.367365495186 -461.208148624676</t>
  </si>
  <si>
    <t>-264.544154996908 170.455275038783 -311.816431823514</t>
  </si>
  <si>
    <t>-562.059607820057 44.2133863818485 -763.366872413662</t>
  </si>
  <si>
    <t>-452.751306835728 224.478782450738 -248.822744725232</t>
  </si>
  <si>
    <t>-452.615414151125 204.070369068643 206.414760702979</t>
  </si>
  <si>
    <t>-488.380807429058 154.785267672861 672.421554528588</t>
  </si>
  <si>
    <t>-336.306487989354 138.540133877525 759.329629727983</t>
  </si>
  <si>
    <t>-523.284266230629 45.2558452058515 -222.666568534377</t>
  </si>
  <si>
    <t>-422.783195097093 -26.7916901022392 215.929413912595</t>
  </si>
  <si>
    <t>-599.999271184402 -93.5843331018418 645.590288695087</t>
  </si>
  <si>
    <t>-456.796449126708 -152.568607792267 729.000792343165</t>
  </si>
  <si>
    <t>9763-20170724T164329.122326000.bin</t>
  </si>
  <si>
    <t>-488.336710423139 134.574631265106 -236.072995559523</t>
  </si>
  <si>
    <t>-529.148239612467 134.179978283572 -350.099600058223</t>
  </si>
  <si>
    <t>-548.176821070637 123.04846241683 -469.282545645289</t>
  </si>
  <si>
    <t>-556.222172660313 108.630731337367 -577.551840902375</t>
  </si>
  <si>
    <t>-555.166501992661 89.9537909975028 -685.463486096555</t>
  </si>
  <si>
    <t>-544.233900604339 59.6231836603491 -834.327598644959</t>
  </si>
  <si>
    <t>-499.408047928014 33.9528494339687 -922.160663065639</t>
  </si>
  <si>
    <t>-536.608200580537 101.869598238814 -773.41770587645</t>
  </si>
  <si>
    <t>-487.615726494607 240.467717591327 -769.578979491059</t>
  </si>
  <si>
    <t>-441.294898577682 291.605651970218 -460.668817500023</t>
  </si>
  <si>
    <t>-265.680639669013 170.84625644271 -311.608980089355</t>
  </si>
  <si>
    <t>-561.53429518534 44.2174782676488 -763.501766675496</t>
  </si>
  <si>
    <t>-453.184956867086 224.272364629693 -248.822223970573</t>
  </si>
  <si>
    <t>-452.867764251744 203.919892689847 206.417660680317</t>
  </si>
  <si>
    <t>-488.392089507926 154.660552768974 672.444458304201</t>
  </si>
  <si>
    <t>-336.268614842288 138.777514032404 759.333377859925</t>
  </si>
  <si>
    <t>-523.382980092567 44.8641332955743 -222.672189302252</t>
  </si>
  <si>
    <t>-422.765241367023 -26.9120280814906 215.941498773031</t>
  </si>
  <si>
    <t>-600.056147689256 -93.81778470794 645.579296725173</t>
  </si>
  <si>
    <t>-456.548810872618 -152.111631804179 728.951892886515</t>
  </si>
  <si>
    <t>9763-20170724T164329.190594500.bin</t>
  </si>
  <si>
    <t>-488.893315451567 134.394329270915 -236.06166839968</t>
  </si>
  <si>
    <t>-529.720902564265 133.820592023159 -350.081690507084</t>
  </si>
  <si>
    <t>-548.45986577151 122.660018478534 -469.307768711482</t>
  </si>
  <si>
    <t>-556.114255975967 108.28607476865 -577.611220878897</t>
  </si>
  <si>
    <t>-554.538371326029 89.7278031357851 -685.5369762778</t>
  </si>
  <si>
    <t>-542.748935889417 59.6451905410806 -834.38613328693</t>
  </si>
  <si>
    <t>-497.486358022818 34.6312307686694 -922.184625871908</t>
  </si>
  <si>
    <t>-535.701978682279 101.881515813127 -773.399568174696</t>
  </si>
  <si>
    <t>-487.870227210181 240.86998683309 -769.147263401118</t>
  </si>
  <si>
    <t>-442.741661383271 291.733441404492 -460.015365095568</t>
  </si>
  <si>
    <t>-266.400425137698 171.28580738836 -311.56279230808</t>
  </si>
  <si>
    <t>-560.228858101614 44.030115454929 -763.650327362906</t>
  </si>
  <si>
    <t>-454.155068205925 224.130555615838 -248.805756983353</t>
  </si>
  <si>
    <t>-453.408376888274 203.931408636061 206.440424055458</t>
  </si>
  <si>
    <t>-488.429122876572 154.454015588236 672.513396941413</t>
  </si>
  <si>
    <t>-336.24701429875 138.82951732525 759.346439123265</t>
  </si>
  <si>
    <t>-523.46250747723 44.6789900850962 -222.6837065626</t>
  </si>
  <si>
    <t>-422.753595246792 -26.716635561769 215.971082405989</t>
  </si>
  <si>
    <t>-600.124185339945 -93.8488928030215 645.517127717089</t>
  </si>
  <si>
    <t>-456.678882781029 -152.323501485665 728.869810077556</t>
  </si>
  <si>
    <t>9763-20170724T164329.220674500.bin</t>
  </si>
  <si>
    <t>-489.154430991297 134.51776356436 -236.11567080917</t>
  </si>
  <si>
    <t>-530.008386580436 133.88788013176 -350.125947833726</t>
  </si>
  <si>
    <t>-548.675385517974 122.723775339588 -469.363007123648</t>
  </si>
  <si>
    <t>-556.222910391032 108.370595223177 -577.676809373669</t>
  </si>
  <si>
    <t>-554.498576436174 89.8580538726827 -685.608013068172</t>
  </si>
  <si>
    <t>-542.459625239144 59.8668006103288 -834.455656581013</t>
  </si>
  <si>
    <t>-497.042481695269 35.1123304866522 -922.247924158247</t>
  </si>
  <si>
    <t>-535.594362861388 102.097146934527 -773.444269467975</t>
  </si>
  <si>
    <t>-488.184903049773 241.228958862405 -769.020284183256</t>
  </si>
  <si>
    <t>-443.253715113244 291.980995677573 -459.841259436011</t>
  </si>
  <si>
    <t>-266.79462572 171.581793658868 -311.489532727784</t>
  </si>
  <si>
    <t>-559.978566080398 44.1768936023402 -763.746106096393</t>
  </si>
  <si>
    <t>-454.60584126107 224.41661970476 -248.825824064594</t>
  </si>
  <si>
    <t>-453.694545663132 204.282721644394 206.422970187092</t>
  </si>
  <si>
    <t>-488.347362188806 155.123894812806 672.507504537001</t>
  </si>
  <si>
    <t>-336.241029799029 138.79553874429 759.343823610502</t>
  </si>
  <si>
    <t>-523.559521385288 44.7049388188143 -222.732877114594</t>
  </si>
  <si>
    <t>-422.82332907519 -26.4499502578245 215.954729495717</t>
  </si>
  <si>
    <t>-600.139647894712 -93.7822981519858 645.480319578387</t>
  </si>
  <si>
    <t>-456.725573201758 -152.341012240487 728.827738725386</t>
  </si>
  <si>
    <t>9763-20170724T164329.285405800.bin</t>
  </si>
  <si>
    <t>-489.743891378367 134.351720148156 -236.2312229961</t>
  </si>
  <si>
    <t>-530.456988949285 133.570549093619 -350.291051332678</t>
  </si>
  <si>
    <t>-548.904509016194 122.350344831704 -469.557013760891</t>
  </si>
  <si>
    <t>-556.223525283077 107.986808501121 -577.885023451343</t>
  </si>
  <si>
    <t>-554.241785039285 89.5048477154202 -685.817171055149</t>
  </si>
  <si>
    <t>-541.816233356596 59.5990668712288 -834.650231171148</t>
  </si>
  <si>
    <t>-496.177609679314 35.2370731423757 -922.437337694547</t>
  </si>
  <si>
    <t>-535.191077734193 101.826416793627 -773.610221092988</t>
  </si>
  <si>
    <t>-488.079138780576 241.049166948746 -768.961432500052</t>
  </si>
  <si>
    <t>-444.059287608631 291.492493236704 -459.600930394721</t>
  </si>
  <si>
    <t>-267.532229440562 170.916534390046 -311.473665347347</t>
  </si>
  <si>
    <t>-559.437209385979 43.8365250555248 -763.982259713306</t>
  </si>
  <si>
    <t>-455.396996427438 224.262028904556 -248.943466253694</t>
  </si>
  <si>
    <t>-454.497991008876 204.271289873961 206.311670568823</t>
  </si>
  <si>
    <t>-488.312957687346 155.034428798892 672.467922276451</t>
  </si>
  <si>
    <t>-336.179358629559 139.012580359023 759.313575779905</t>
  </si>
  <si>
    <t>-523.921341842062 44.4666795082329 -222.922003564738</t>
  </si>
  <si>
    <t>-423.304689507583 -26.3162070648083 215.853189804134</t>
  </si>
  <si>
    <t>-600.193757044475 -93.8763385817538 645.471081365697</t>
  </si>
  <si>
    <t>-456.644864775945 -152.17782533548 728.76672456765</t>
  </si>
  <si>
    <t>9763-20170724T164329.322504300.bin</t>
  </si>
  <si>
    <t>-489.999988065696 134.19322825404 -236.352865571761</t>
  </si>
  <si>
    <t>-530.746592926313 133.42887876299 -350.400876337181</t>
  </si>
  <si>
    <t>-549.18130357307 122.233981517152 -469.671080868505</t>
  </si>
  <si>
    <t>-556.469831369543 107.895230942487 -578.004548592585</t>
  </si>
  <si>
    <t>-554.43897379957 89.4393803737816 -685.94014951593</t>
  </si>
  <si>
    <t>-541.926743414382 59.5704755772464 -834.773351010368</t>
  </si>
  <si>
    <t>-496.225715762667 35.342866858824 -922.56518563091</t>
  </si>
  <si>
    <t>-535.346489342915 101.78635309151 -773.720495589637</t>
  </si>
  <si>
    <t>-488.265170529268 241.018837170696 -768.983270788722</t>
  </si>
  <si>
    <t>-444.424270113266 291.353149179136 -459.579765878063</t>
  </si>
  <si>
    <t>-267.921989029537 170.659235498513 -311.51900968663</t>
  </si>
  <si>
    <t>-559.579510500657 43.7867528968315 -764.118046818168</t>
  </si>
  <si>
    <t>-455.73815023331 224.13345764307 -249.029817147981</t>
  </si>
  <si>
    <t>-454.810179696249 204.219150717523 206.228611833736</t>
  </si>
  <si>
    <t>-488.258579774038 154.910337486612 672.388251592404</t>
  </si>
  <si>
    <t>-336.125308144697 139.272841719702 759.304582344817</t>
  </si>
  <si>
    <t>-524.142521162335 44.3182182604121 -223.031304638988</t>
  </si>
  <si>
    <t>-423.48467185867 -26.3523059427145 215.752718485776</t>
  </si>
  <si>
    <t>-600.205411500012 -93.6726226264545 645.467477622006</t>
  </si>
  <si>
    <t>-456.58178783498 -151.829652558974 728.735250040416</t>
  </si>
  <si>
    <t>9763-20170724T164329.389222900.bin</t>
  </si>
  <si>
    <t>-490.165202251173 134.203629606288 -236.44784050183</t>
  </si>
  <si>
    <t>-530.881606771516 133.439911180641 -350.506513168663</t>
  </si>
  <si>
    <t>-549.256964802035 122.243965952467 -469.785852551158</t>
  </si>
  <si>
    <t>-556.478856277106 107.906940448324 -578.124012268258</t>
  </si>
  <si>
    <t>-554.367920165956 89.4575389794653 -686.059269879763</t>
  </si>
  <si>
    <t>-541.730075179606 59.6045067618197 -834.884907847307</t>
  </si>
  <si>
    <t>-496.085820874431 35.5684373640463 -922.758974498245</t>
  </si>
  <si>
    <t>-535.212343177381 101.81810485788 -773.823947409264</t>
  </si>
  <si>
    <t>-488.220916371192 241.078523579444 -769.031969969038</t>
  </si>
  <si>
    <t>-444.081309638835 291.726085521636 -459.721935494391</t>
  </si>
  <si>
    <t>-267.689006048855 171.235313271484 -311.364906606361</t>
  </si>
  <si>
    <t>-559.431504658712 43.8089369488354 -764.244352874629</t>
  </si>
  <si>
    <t>-455.762370245985 224.163310335262 -249.183159146411</t>
  </si>
  <si>
    <t>-454.835263230727 204.435652602941 206.083389240282</t>
  </si>
  <si>
    <t>-488.095195096619 155.458867292015 672.30781676241</t>
  </si>
  <si>
    <t>-336.127938856375 138.894814841221 759.342823400595</t>
  </si>
  <si>
    <t>-524.383632499398 44.3505918251397 -223.094290631293</t>
  </si>
  <si>
    <t>-423.612118193959 -26.5195984915786 215.631377184822</t>
  </si>
  <si>
    <t>-600.296207318884 -93.549752974185 645.465375109592</t>
  </si>
  <si>
    <t>-456.777845241595 -152.045639161101 728.677314041388</t>
  </si>
  <si>
    <t>9763-20170724T164329.423315000.bin</t>
  </si>
  <si>
    <t>-490.167059372627 133.972364471754 -236.481227888144</t>
  </si>
  <si>
    <t>-530.949513360323 133.269489361829 -350.516840971524</t>
  </si>
  <si>
    <t>-549.33827680688 122.08347317999 -469.794976876211</t>
  </si>
  <si>
    <t>-556.547975395613 107.738098322396 -578.132747911047</t>
  </si>
  <si>
    <t>-554.399719510839 89.2656118196965 -686.063370040341</t>
  </si>
  <si>
    <t>-541.683285713791 59.3675424023273 -834.873304913738</t>
  </si>
  <si>
    <t>-496.128743187048 35.4027822213845 -922.813421627823</t>
  </si>
  <si>
    <t>-535.185798331531 101.59496296683 -773.81967192846</t>
  </si>
  <si>
    <t>-488.196742963039 240.863318774541 -769.021207603524</t>
  </si>
  <si>
    <t>-444.240049181092 291.714291412778 -459.718300082005</t>
  </si>
  <si>
    <t>-267.845066295264 171.285184376805 -311.314608641347</t>
  </si>
  <si>
    <t>-559.433995754814 43.5980410314182 -764.239361757281</t>
  </si>
  <si>
    <t>-455.692100263553 223.904457010229 -249.208741032349</t>
  </si>
  <si>
    <t>-454.815014270453 204.243960496219 206.060786916566</t>
  </si>
  <si>
    <t>-488.105026140621 155.279179430098 672.312195589733</t>
  </si>
  <si>
    <t>-336.082211158831 139.142730508936 759.330567736176</t>
  </si>
  <si>
    <t>-524.503800056813 44.0709880328187 -223.098294216166</t>
  </si>
  <si>
    <t>-423.651852630461 -26.8552104108334 215.59984467186</t>
  </si>
  <si>
    <t>-600.357916543048 -93.818197743461 645.445341594211</t>
  </si>
  <si>
    <t>-456.603534385253 -151.770723137765 728.630163703132</t>
  </si>
  <si>
    <t>9763-20170724T164329.486542400.bin</t>
  </si>
  <si>
    <t>-490.199937991565 133.705760804316 -236.456892915849</t>
  </si>
  <si>
    <t>-531.035503685057 133.121955580676 -350.474069008345</t>
  </si>
  <si>
    <t>-549.387339443551 121.93703714435 -469.758042759246</t>
  </si>
  <si>
    <t>-556.525295936498 107.54513415937 -578.094374619827</t>
  </si>
  <si>
    <t>-554.26717284141 88.9802542638247 -686.006786907454</t>
  </si>
  <si>
    <t>-541.359493957668 58.9078087903521 -834.765265562862</t>
  </si>
  <si>
    <t>-496.330372270284 35.1478425617255 -923.030830596502</t>
  </si>
  <si>
    <t>-534.881055233491 101.183480401065 -773.742934536794</t>
  </si>
  <si>
    <t>-487.7756165756 240.402593019561 -768.924609101993</t>
  </si>
  <si>
    <t>-444.447357675657 291.549358334413 -459.582038503517</t>
  </si>
  <si>
    <t>-268.206436282334 170.98538561213 -311.104793208159</t>
  </si>
  <si>
    <t>-559.260372428636 43.2443854038448 -764.145647927986</t>
  </si>
  <si>
    <t>-455.528185598689 223.62159834202 -249.144273572565</t>
  </si>
  <si>
    <t>-454.381806391562 203.986968455892 206.125842903405</t>
  </si>
  <si>
    <t>-488.171742689746 155.178038296038 672.398643468978</t>
  </si>
  <si>
    <t>-336.1071340427 138.951080211063 759.326985122981</t>
  </si>
  <si>
    <t>-524.755073608707 43.833539934004 -223.087443988929</t>
  </si>
  <si>
    <t>-423.668301967827 -27.168173875668 215.544403197263</t>
  </si>
  <si>
    <t>-600.388616420548 -93.7740169009665 645.437210725117</t>
  </si>
  <si>
    <t>-456.898646419664 -152.334540684381 728.652639869609</t>
  </si>
  <si>
    <t>9763-20170724T164329.523640900.bin</t>
  </si>
  <si>
    <t>-490.249405845212 133.473770079993 -236.424820386968</t>
  </si>
  <si>
    <t>-531.091277779813 132.92614655719 -350.43984923225</t>
  </si>
  <si>
    <t>-549.411868830477 121.729542263826 -469.727561820945</t>
  </si>
  <si>
    <t>-556.506777740534 107.306607186196 -578.06268541038</t>
  </si>
  <si>
    <t>-554.191366858568 88.6895107635995 -685.965072812659</t>
  </si>
  <si>
    <t>-541.190343364699 58.5226792231583 -834.696040777943</t>
  </si>
  <si>
    <t>-496.77491205373 34.9445280532562 -923.320674062735</t>
  </si>
  <si>
    <t>-534.716246951638 100.823686972574 -773.690915350577</t>
  </si>
  <si>
    <t>-487.454573148989 239.993963550247 -768.889808166306</t>
  </si>
  <si>
    <t>-444.503847361675 291.491543977302 -459.552750832188</t>
  </si>
  <si>
    <t>-268.420720352294 170.806304352136 -310.986758395929</t>
  </si>
  <si>
    <t>-559.169457495447 42.9174478610363 -764.083418309713</t>
  </si>
  <si>
    <t>-455.484465997796 223.381926718886 -249.097553468573</t>
  </si>
  <si>
    <t>-454.277558340771 203.769119124598 206.173336335507</t>
  </si>
  <si>
    <t>-488.170183203519 155.270802209687 672.409481788442</t>
  </si>
  <si>
    <t>-336.029844113571 139.56891822655 759.301865035574</t>
  </si>
  <si>
    <t>-524.862310910759 43.6168857150814 -223.085066717541</t>
  </si>
  <si>
    <t>-423.694010207748 -27.272993884256 215.546027677147</t>
  </si>
  <si>
    <t>-600.413427026785 -93.7082382437825 645.461060825293</t>
  </si>
  <si>
    <t>-456.907364406802 -152.242712256851 728.667075038489</t>
  </si>
  <si>
    <t>9763-20170724T164329.588900100.bin</t>
  </si>
  <si>
    <t>-490.239053392503 133.241899397102 -236.410785699569</t>
  </si>
  <si>
    <t>-531.038928569755 132.701922583445 -350.44096970674</t>
  </si>
  <si>
    <t>-549.242411300093 121.434764325214 -469.739971197066</t>
  </si>
  <si>
    <t>-556.203071648505 106.912592836224 -578.070521039346</t>
  </si>
  <si>
    <t>-553.727196500147 88.1596896594587 -685.945632277862</t>
  </si>
  <si>
    <t>-540.478651396461 57.7649379742013 -834.608453612455</t>
  </si>
  <si>
    <t>-497.830122635203 34.6653408519982 -924.221569354018</t>
  </si>
  <si>
    <t>-534.039494383336 100.13308771742 -773.646265443359</t>
  </si>
  <si>
    <t>-486.471561393485 239.186719742679 -768.817701808347</t>
  </si>
  <si>
    <t>-444.620258586712 291.241800892222 -459.423337544689</t>
  </si>
  <si>
    <t>-268.93318320658 170.106410836506 -310.754687519605</t>
  </si>
  <si>
    <t>-558.64197047827 42.2942788897679 -764.013450569889</t>
  </si>
  <si>
    <t>-455.356836609216 223.117140212807 -249.106423256127</t>
  </si>
  <si>
    <t>-454.172083068487 203.593294630065 206.168383789141</t>
  </si>
  <si>
    <t>-488.182374250708 155.089486277461 672.41008066415</t>
  </si>
  <si>
    <t>-336.050223804047 139.264251628661 759.294470047383</t>
  </si>
  <si>
    <t>-524.93727933723 43.4662547780596 -223.067345963081</t>
  </si>
  <si>
    <t>-423.803833408949 -27.5345427557908 215.553867624334</t>
  </si>
  <si>
    <t>-600.479307778246 -93.8301766842246 645.509561233339</t>
  </si>
  <si>
    <t>-456.982689967581 -152.386075327912 728.716863764457</t>
  </si>
  <si>
    <t>9763-20170724T164329.622987600.bin</t>
  </si>
  <si>
    <t>-490.209215214126 133.171888327854 -236.407370118748</t>
  </si>
  <si>
    <t>-530.991797777178 132.645577201301 -350.443806862702</t>
  </si>
  <si>
    <t>-549.121555914144 121.368253828853 -469.753078095508</t>
  </si>
  <si>
    <t>-555.993096963036 106.826152209913 -578.086621992027</t>
  </si>
  <si>
    <t>-553.406869580619 88.0421998007425 -685.953712745378</t>
  </si>
  <si>
    <t>-539.983853062306 57.5926503916807 -834.589770071282</t>
  </si>
  <si>
    <t>-498.194497277949 34.7641030588481 -924.675780970551</t>
  </si>
  <si>
    <t>-533.598973236582 99.9763855026447 -773.632663578528</t>
  </si>
  <si>
    <t>-485.945195085678 239.005659526982 -768.735639881482</t>
  </si>
  <si>
    <t>-444.480034488391 291.3337718385 -459.335303413099</t>
  </si>
  <si>
    <t>-268.974693134234 170.102345830946 -310.530523752515</t>
  </si>
  <si>
    <t>-558.247215237619 42.154871771283 -764.013211300239</t>
  </si>
  <si>
    <t>-455.291376735416 223.079844195352 -249.100591419914</t>
  </si>
  <si>
    <t>-454.132967555444 203.60902448194 206.176468579079</t>
  </si>
  <si>
    <t>-488.171697822578 155.204798714327 672.425204473516</t>
  </si>
  <si>
    <t>-336.07172083323 139.037943207255 759.302894564904</t>
  </si>
  <si>
    <t>-524.945885914329 43.335617334321 -223.07424147826</t>
  </si>
  <si>
    <t>-423.840853803215 -27.6185852980778 215.561122669609</t>
  </si>
  <si>
    <t>-600.505921790394 -93.8680607545031 645.53446244772</t>
  </si>
  <si>
    <t>-456.968208857411 -152.334735961172 728.733538533732</t>
  </si>
  <si>
    <t>9763-20170724T164329.688166000.bin</t>
  </si>
  <si>
    <t>-490.010221128223 133.050940347808 -236.411859582926</t>
  </si>
  <si>
    <t>-530.733354387371 132.520822232933 -350.469585319027</t>
  </si>
  <si>
    <t>-548.774787960115 121.193893233368 -469.787451811965</t>
  </si>
  <si>
    <t>-555.556500471465 106.586542316344 -578.117898776869</t>
  </si>
  <si>
    <t>-552.87180803368 87.7163669591114 -685.967753714759</t>
  </si>
  <si>
    <t>-539.304717719068 57.1247379599943 -834.561391642735</t>
  </si>
  <si>
    <t>-498.726035079339 34.6734651232716 -925.293391605884</t>
  </si>
  <si>
    <t>-532.95454880038 99.5570339707747 -773.63443648981</t>
  </si>
  <si>
    <t>-485.230855954375 238.563084173797 -768.698602514853</t>
  </si>
  <si>
    <t>-444.25728590468 291.005614545293 -459.252114750298</t>
  </si>
  <si>
    <t>-269.002399425285 169.872495666609 -310.072607275345</t>
  </si>
  <si>
    <t>-557.660870395211 41.7641459710806 -763.992149699855</t>
  </si>
  <si>
    <t>-455.029030679425 222.896496851688 -249.09049860795</t>
  </si>
  <si>
    <t>-454.026124698995 203.44732772738 206.187923265987</t>
  </si>
  <si>
    <t>-488.18958258374 155.09782898615 672.445507959083</t>
  </si>
  <si>
    <t>-336.061193055131 139.037224190352 759.293217437721</t>
  </si>
  <si>
    <t>-524.840029574442 43.3020950397245 -223.093921917324</t>
  </si>
  <si>
    <t>-423.892240589058 -27.7118986678347 215.567945312552</t>
  </si>
  <si>
    <t>-600.534423144612 -93.6587526723086 645.58174113362</t>
  </si>
  <si>
    <t>-456.970294758834 -152.075445271393 728.770285512333</t>
  </si>
  <si>
    <t>9763-20170724T164329.722257400.bin</t>
  </si>
  <si>
    <t>-489.869418897407 132.967209758239 -236.368551035354</t>
  </si>
  <si>
    <t>-530.540112451816 132.416815267534 -350.444841697053</t>
  </si>
  <si>
    <t>-548.551240424769 121.055793514399 -469.76415667502</t>
  </si>
  <si>
    <t>-555.315955438823 106.411303228303 -578.090625485908</t>
  </si>
  <si>
    <t>-552.625285887623 87.4971712432323 -685.93252969348</t>
  </si>
  <si>
    <t>-539.061582471572 56.8366408149211 -834.512393485362</t>
  </si>
  <si>
    <t>-498.850442806043 34.5258863728987 -925.442322376789</t>
  </si>
  <si>
    <t>-532.696954116777 99.2920180369413 -773.602879319555</t>
  </si>
  <si>
    <t>-484.919460749011 238.283999215771 -768.678111942647</t>
  </si>
  <si>
    <t>-444.046648991606 290.80498162106 -459.23160697592</t>
  </si>
  <si>
    <t>-268.86728017977 169.640737880222 -309.988587769751</t>
  </si>
  <si>
    <t>-557.429252797465 41.5139687496886 -763.937810100617</t>
  </si>
  <si>
    <t>-454.876887872208 222.753676101814 -249.062882625829</t>
  </si>
  <si>
    <t>-453.926026644373 203.305483448276 206.215684537301</t>
  </si>
  <si>
    <t>-488.209094453254 154.992404420649 672.468060385169</t>
  </si>
  <si>
    <t>-336.016120867345 139.391086136791 759.286310480631</t>
  </si>
  <si>
    <t>-524.683778819894 43.2622648777904 -223.071590599436</t>
  </si>
  <si>
    <t>-423.842725588927 -27.7561036017049 215.614150750135</t>
  </si>
  <si>
    <t>-600.566761606349 -93.7555107358665 645.614281767945</t>
  </si>
  <si>
    <t>-457.056712378156 -152.313176749571 728.79710370178</t>
  </si>
  <si>
    <t>9763-20170724T164329.790444700.bin</t>
  </si>
  <si>
    <t>-489.435494668257 133.065443086149 -236.272971762436</t>
  </si>
  <si>
    <t>-530.198342261234 132.502460193859 -350.316411544832</t>
  </si>
  <si>
    <t>-548.250549024923 121.101410924612 -469.625616555056</t>
  </si>
  <si>
    <t>-555.030924546847 106.408240529226 -577.944485064497</t>
  </si>
  <si>
    <t>-552.33470730262 87.4324546825295 -685.775425703882</t>
  </si>
  <si>
    <t>-538.741960963285 56.6725945536221 -834.332009042916</t>
  </si>
  <si>
    <t>-498.921578204505 34.5715239247812 -925.48505824136</t>
  </si>
  <si>
    <t>-532.360264423088 99.1570245332781 -773.444815683052</t>
  </si>
  <si>
    <t>-484.534521805563 238.12796616357 -768.548955755798</t>
  </si>
  <si>
    <t>-444.141995108715 290.842867208803 -459.072441790136</t>
  </si>
  <si>
    <t>-269.020155957111 169.183758938568 -310.164891915913</t>
  </si>
  <si>
    <t>-557.152453662453 41.4087077080143 -763.755898241304</t>
  </si>
  <si>
    <t>-454.411440111677 222.952782061586 -249.017051864781</t>
  </si>
  <si>
    <t>-453.481431018647 203.555622260076 206.263624994038</t>
  </si>
  <si>
    <t>-488.146065097173 155.524115157435 672.47267109893</t>
  </si>
  <si>
    <t>-336.051180911096 139.020764962787 759.296093879409</t>
  </si>
  <si>
    <t>-524.31249785213 43.3138126848237 -222.894303505695</t>
  </si>
  <si>
    <t>-423.44139389007 -27.780784112348 215.772088807028</t>
  </si>
  <si>
    <t>-600.590021359172 -93.7677016230081 645.62052373648</t>
  </si>
  <si>
    <t>-457.141848558202 -152.449458072977 728.822641394874</t>
  </si>
  <si>
    <t>9763-20170724T164329.822530400.bin</t>
  </si>
  <si>
    <t>-489.237270747383 133.129449200989 -236.214199999985</t>
  </si>
  <si>
    <t>-530.063682793495 132.527375927999 -350.234609962092</t>
  </si>
  <si>
    <t>-548.142731768555 121.094123782367 -469.536592743518</t>
  </si>
  <si>
    <t>-554.932034640612 106.373587762048 -577.851304543812</t>
  </si>
  <si>
    <t>-552.229711900601 87.3718972979639 -685.677427613772</t>
  </si>
  <si>
    <t>-538.613232917058 56.5770971867099 -834.224701500086</t>
  </si>
  <si>
    <t>-498.886880863807 34.5540281998385 -925.437581985416</t>
  </si>
  <si>
    <t>-532.230064226605 99.0713914607495 -773.344398172571</t>
  </si>
  <si>
    <t>-484.41964836198 238.050097436584 -768.468229945453</t>
  </si>
  <si>
    <t>-444.122010378201 290.830486505681 -458.990365583592</t>
  </si>
  <si>
    <t>-269.006342146398 169.004543043015 -310.21207127376</t>
  </si>
  <si>
    <t>-557.04610614159 41.3342459249873 -763.649910547524</t>
  </si>
  <si>
    <t>-454.227513495526 222.886309787418 -248.996197938366</t>
  </si>
  <si>
    <t>-453.266581997999 203.480170170745 206.284045266154</t>
  </si>
  <si>
    <t>-488.175762299512 155.273277470997 672.486491167234</t>
  </si>
  <si>
    <t>-335.996240690938 139.429547417344 759.284434440052</t>
  </si>
  <si>
    <t>-524.09828948724 43.4802102607853 -222.77780475421</t>
  </si>
  <si>
    <t>-423.176043693064 -27.5921516309692 215.880454128005</t>
  </si>
  <si>
    <t>-600.568935215341 -93.5201224276255 645.603113219192</t>
  </si>
  <si>
    <t>-457.339280029935 -152.699581216645 728.829120960021</t>
  </si>
  <si>
    <t>9763-20170724T164329.888228500.bin</t>
  </si>
  <si>
    <t>-488.997081361565 133.056624284806 -236.160885137098</t>
  </si>
  <si>
    <t>-529.870905888585 132.411756398517 -350.163993030202</t>
  </si>
  <si>
    <t>-547.970574123389 120.992141663663 -469.464366431282</t>
  </si>
  <si>
    <t>-554.76698748898 106.307035039926 -577.783360117808</t>
  </si>
  <si>
    <t>-552.059719255568 87.3637510399222 -685.619756688485</t>
  </si>
  <si>
    <t>-538.423610441484 56.6736794956368 -834.186767601543</t>
  </si>
  <si>
    <t>-498.792848813855 34.8207689539861 -925.482078877687</t>
  </si>
  <si>
    <t>-532.051708270812 99.1263390991941 -773.276219446239</t>
  </si>
  <si>
    <t>-484.280940613064 238.111589308571 -768.277255318543</t>
  </si>
  <si>
    <t>-444.167238929716 290.34581176176 -458.68298533778</t>
  </si>
  <si>
    <t>-269.013129866098 168.431909224889 -310.022036151532</t>
  </si>
  <si>
    <t>-556.862616355112 41.3798099969688 -763.624689904348</t>
  </si>
  <si>
    <t>-453.996705947714 222.806708334203 -248.983015055936</t>
  </si>
  <si>
    <t>-452.908226118379 203.393804718158 206.296662943246</t>
  </si>
  <si>
    <t>-488.174287183107 155.29475022636 672.489687768964</t>
  </si>
  <si>
    <t>-335.992583648834 139.422351147356 759.27857277174</t>
  </si>
  <si>
    <t>-523.857670321136 43.3815245379423 -222.704568966458</t>
  </si>
  <si>
    <t>-423.007666441762 -27.4761651943361 216.004977678564</t>
  </si>
  <si>
    <t>-600.567901554984 -93.5222282823135 645.605572132275</t>
  </si>
  <si>
    <t>-457.306471882034 -152.590189066382 728.85603261978</t>
  </si>
  <si>
    <t>9763-20170724T164329.921301900.bin</t>
  </si>
  <si>
    <t>-488.973200761852 132.97121677368 -236.150715374075</t>
  </si>
  <si>
    <t>-529.871944990783 132.32177595297 -350.144899100284</t>
  </si>
  <si>
    <t>-547.958101934922 120.922800797677 -469.449180824831</t>
  </si>
  <si>
    <t>-554.725712473323 106.266966288428 -577.77392752866</t>
  </si>
  <si>
    <t>-551.972954906496 87.3639649796021 -685.616195890038</t>
  </si>
  <si>
    <t>-538.256500547407 56.742064585358 -834.189999925751</t>
  </si>
  <si>
    <t>-498.599085580806 34.9509212279137 -925.488483495799</t>
  </si>
  <si>
    <t>-531.927181568327 99.1706838277702 -773.258316669149</t>
  </si>
  <si>
    <t>-484.24261308041 238.191474144955 -768.161784656125</t>
  </si>
  <si>
    <t>-444.216145542635 290.14281266611 -458.508566032537</t>
  </si>
  <si>
    <t>-268.940795465483 168.229817313174 -309.989695801432</t>
  </si>
  <si>
    <t>-556.724014731474 41.4119846042539 -763.643147463424</t>
  </si>
  <si>
    <t>-453.96143611463 222.779435084366 -248.974051540725</t>
  </si>
  <si>
    <t>-452.809434377014 203.34702671432 206.304738267734</t>
  </si>
  <si>
    <t>-488.170906777574 155.328229796078 672.489981786974</t>
  </si>
  <si>
    <t>-335.993000906842 139.407040523859 759.276517494686</t>
  </si>
  <si>
    <t>-523.828451486168 43.2346537050689 -222.687953670654</t>
  </si>
  <si>
    <t>-423.032520461481 -27.5780302827948 216.041382894634</t>
  </si>
  <si>
    <t>-600.616474491232 -93.8050357577216 645.652263321717</t>
  </si>
  <si>
    <t>-457.163595189803 -152.446638221139 728.874419434357</t>
  </si>
  <si>
    <t>9763-20170724T164329.986624600.bin</t>
  </si>
  <si>
    <t>-489.10114031823 132.697137986435 -236.147312484647</t>
  </si>
  <si>
    <t>-530.059080828864 132.088139764459 -350.120438419627</t>
  </si>
  <si>
    <t>-548.10900260869 120.760526328044 -469.437136336846</t>
  </si>
  <si>
    <t>-554.803118059884 106.183014698667 -577.776992936285</t>
  </si>
  <si>
    <t>-551.935818220561 87.3730208267395 -685.632498531323</t>
  </si>
  <si>
    <t>-538.017551670988 56.8965098445342 -834.217392386071</t>
  </si>
  <si>
    <t>-498.227567079347 35.1991633232363 -925.480523374082</t>
  </si>
  <si>
    <t>-531.786279203891 99.2715050823744 -773.23833283662</t>
  </si>
  <si>
    <t>-484.218690349469 238.327658969698 -767.953594293405</t>
  </si>
  <si>
    <t>-444.58772137285 289.920976536676 -458.189723272973</t>
  </si>
  <si>
    <t>-269.225670282236 167.81593862883 -309.931150812501</t>
  </si>
  <si>
    <t>-556.565584781147 41.4912939590876 -763.708044659559</t>
  </si>
  <si>
    <t>-454.082442738533 222.52627614786 -248.974517224401</t>
  </si>
  <si>
    <t>-452.758917068267 203.201327451908 206.308240444405</t>
  </si>
  <si>
    <t>-488.162804327901 155.29056329055 672.48256950595</t>
  </si>
  <si>
    <t>-335.975318294276 139.465504716707 759.270028995338</t>
  </si>
  <si>
    <t>-523.945587112836 42.8889885086034 -222.68018727674</t>
  </si>
  <si>
    <t>-423.139876832123 -27.8533599914956 216.058209018149</t>
  </si>
  <si>
    <t>-600.67400975138 -93.9696821131321 645.709303760916</t>
  </si>
  <si>
    <t>-457.027607656365 -152.178404025219 728.901572206054</t>
  </si>
  <si>
    <t>9763-20170724T164330.027742500.bin</t>
  </si>
  <si>
    <t>-489.212559420668 132.728190838443 -236.175455670373</t>
  </si>
  <si>
    <t>-530.202612707355 132.148387685106 -350.137175917097</t>
  </si>
  <si>
    <t>-548.230905184419 120.844739958358 -469.459368831007</t>
  </si>
  <si>
    <t>-554.882637813865 106.287239559997 -577.804493800867</t>
  </si>
  <si>
    <t>-551.950057006211 87.4961275424421 -685.661519610864</t>
  </si>
  <si>
    <t>-537.917620181456 57.0456442788593 -834.241019396986</t>
  </si>
  <si>
    <t>-498.050638150879 35.3854118254135 -925.479523054904</t>
  </si>
  <si>
    <t>-531.733244914336 99.4099878212244 -773.249797894401</t>
  </si>
  <si>
    <t>-484.186221280801 238.462575920822 -767.882881050802</t>
  </si>
  <si>
    <t>-444.929830819741 289.995662007662 -458.06132099626</t>
  </si>
  <si>
    <t>-269.56102120794 167.712660243379 -309.957597892712</t>
  </si>
  <si>
    <t>-556.519779466353 41.6280575920442 -763.748660811183</t>
  </si>
  <si>
    <t>-454.184674514674 222.603438552374 -248.998486740665</t>
  </si>
  <si>
    <t>-452.746008068397 203.287910667726 206.284293981835</t>
  </si>
  <si>
    <t>-488.125692110763 155.533867334299 672.476043302638</t>
  </si>
  <si>
    <t>-336.020837919681 139.044198245497 759.284475161297</t>
  </si>
  <si>
    <t>-524.082105687662 42.9632296287812 -222.694884546375</t>
  </si>
  <si>
    <t>-423.238467822258 -27.8187542191134 216.02837013075</t>
  </si>
  <si>
    <t>-600.676835736643 -93.7580019605899 645.730717694541</t>
  </si>
  <si>
    <t>-457.174224552688 -152.312498543386 728.928502261347</t>
  </si>
  <si>
    <t>9763-20170724T164330.087930400.bin</t>
  </si>
  <si>
    <t>-489.601829073066 132.4779030579 -236.203210927316</t>
  </si>
  <si>
    <t>-530.561089460571 131.926944609553 -350.176180356954</t>
  </si>
  <si>
    <t>-548.500049091623 120.661806259898 -469.515386083605</t>
  </si>
  <si>
    <t>-555.046329357727 106.145001638245 -577.87252016362</t>
  </si>
  <si>
    <t>-551.983659623656 87.4020461835873 -685.734289761787</t>
  </si>
  <si>
    <t>-537.745173262727 57.0274703494985 -834.309646932028</t>
  </si>
  <si>
    <t>-497.703893543152 35.4591586122833 -925.493561673796</t>
  </si>
  <si>
    <t>-531.659092293509 99.3661318635722 -773.290660683257</t>
  </si>
  <si>
    <t>-484.181754976168 238.434765149815 -767.77911511298</t>
  </si>
  <si>
    <t>-445.387517271642 289.884159247248 -457.885359117371</t>
  </si>
  <si>
    <t>-270.004355472221 167.380796281447 -309.980800547196</t>
  </si>
  <si>
    <t>-556.431381459537 41.568408635291 -763.848649326951</t>
  </si>
  <si>
    <t>-454.544341616454 222.280604964592 -249.030453717835</t>
  </si>
  <si>
    <t>-452.993680213172 203.051448708173 206.255774141127</t>
  </si>
  <si>
    <t>-488.137176537671 155.336532009109 672.482781615764</t>
  </si>
  <si>
    <t>-335.997587111186 139.153624628425 759.288222978359</t>
  </si>
  <si>
    <t>-524.485501453084 42.7363624249044 -222.759127935224</t>
  </si>
  <si>
    <t>-423.546778094709 -27.9246686999813 215.961761293401</t>
  </si>
  <si>
    <t>-600.73795055429 -93.6907889853467 645.794563311646</t>
  </si>
  <si>
    <t>-457.277486433204 -152.421468733048 728.940875929889</t>
  </si>
  <si>
    <t>9763-20170724T164330.120000500.bin</t>
  </si>
  <si>
    <t>-489.822311289468 132.396865256246 -236.265615304486</t>
  </si>
  <si>
    <t>-530.822229941843 131.870206273118 -350.224072947333</t>
  </si>
  <si>
    <t>-548.753281101794 120.641170218774 -469.567857424688</t>
  </si>
  <si>
    <t>-555.271911906373 106.161463129759 -577.931628343225</t>
  </si>
  <si>
    <t>-552.161076358573 87.4601307733439 -685.799273796082</t>
  </si>
  <si>
    <t>-537.834613546756 57.1481697423535 -834.379111465877</t>
  </si>
  <si>
    <t>-497.700193961434 35.6401981087178 -925.536108860272</t>
  </si>
  <si>
    <t>-531.791707584589 99.4639491524404 -773.339852980035</t>
  </si>
  <si>
    <t>-484.36113347732 238.544678226241 -767.712240563914</t>
  </si>
  <si>
    <t>-445.806005433512 290.004952817225 -457.790357390928</t>
  </si>
  <si>
    <t>-270.348907383151 167.460590975821 -310.007729905161</t>
  </si>
  <si>
    <t>-556.555540029309 41.6566171172958 -763.934312535721</t>
  </si>
  <si>
    <t>-454.781125428638 222.270370386322 -249.061394570289</t>
  </si>
  <si>
    <t>-453.15203033375 203.128766509358 206.228141412016</t>
  </si>
  <si>
    <t>-488.095093431067 155.583396112686 672.469702478654</t>
  </si>
  <si>
    <t>-335.992562155042 139.094893638502 759.282481502915</t>
  </si>
  <si>
    <t>-524.707585765335 42.5868186656336 -222.819803949641</t>
  </si>
  <si>
    <t>-423.702006151516 -27.9318113356663 215.908590576473</t>
  </si>
  <si>
    <t>-600.765637083536 -93.6664866481308 645.818457347029</t>
  </si>
  <si>
    <t>-457.311915406882 -152.432355218985 728.951519768101</t>
  </si>
  <si>
    <t>9763-20170724T164330.189735100.bin</t>
  </si>
  <si>
    <t>-490.251250629659 132.2360913723 -236.324470563324</t>
  </si>
  <si>
    <t>-531.211012285671 131.705563596972 -350.297371419983</t>
  </si>
  <si>
    <t>-549.005105245463 120.529759050268 -469.666667859097</t>
  </si>
  <si>
    <t>-555.359514611338 106.12409233843 -578.050080505393</t>
  </si>
  <si>
    <t>-552.044236161649 87.5243183610349 -685.9291816814</t>
  </si>
  <si>
    <t>-537.392372430941 57.3838336181317 -834.512113302052</t>
  </si>
  <si>
    <t>-497.076427677312 36.0546015452948 -925.631066780299</t>
  </si>
  <si>
    <t>-531.523037224049 99.6450115292245 -773.418172772284</t>
  </si>
  <si>
    <t>-484.233911424868 238.756760582845 -767.566326800601</t>
  </si>
  <si>
    <t>-446.483963148886 290.223575053593 -457.546458499768</t>
  </si>
  <si>
    <t>-270.588019209742 167.688242408985 -310.278984558514</t>
  </si>
  <si>
    <t>-556.227676195429 41.7950908409531 -764.11934771414</t>
  </si>
  <si>
    <t>-455.234896945812 222.110142931451 -249.117379481735</t>
  </si>
  <si>
    <t>-453.602534623122 203.114087754753 206.178263663385</t>
  </si>
  <si>
    <t>-488.066645105812 155.640490224692 672.463733195214</t>
  </si>
  <si>
    <t>-336.009922528796 138.803369019665 759.289791560516</t>
  </si>
  <si>
    <t>-525.111845642814 42.4391479438383 -222.888333037713</t>
  </si>
  <si>
    <t>-423.960361910253 -28.0466875212039 215.811864588396</t>
  </si>
  <si>
    <t>-600.805692584129 -93.6278931331718 645.835943831681</t>
  </si>
  <si>
    <t>-457.372093775983 -152.455642744957 728.960082472106</t>
  </si>
  <si>
    <t>9763-20170724T164330.224826900.bin</t>
  </si>
  <si>
    <t>-490.459789286899 132.075198973616 -236.347649963643</t>
  </si>
  <si>
    <t>-531.37389913505 131.531665951306 -350.336917893973</t>
  </si>
  <si>
    <t>-549.071453844766 120.378155070335 -469.722594334581</t>
  </si>
  <si>
    <t>-555.317468817247 106.00951884315 -578.117174146876</t>
  </si>
  <si>
    <t>-551.872558015106 87.4649344697605 -686.001663573911</t>
  </si>
  <si>
    <t>-537.018782667079 57.4214905110658 -834.584244973801</t>
  </si>
  <si>
    <t>-496.590267321407 36.183204830386 -925.674652700459</t>
  </si>
  <si>
    <t>-531.257509706836 99.6526489223804 -773.459404508766</t>
  </si>
  <si>
    <t>-484.055778502315 238.799459422875 -767.451412420348</t>
  </si>
  <si>
    <t>-446.853151645139 290.338672138588 -457.37741022468</t>
  </si>
  <si>
    <t>-270.696565214769 167.67930609873 -310.525200550532</t>
  </si>
  <si>
    <t>-555.924692804029 41.776813240437 -764.222834913637</t>
  </si>
  <si>
    <t>-455.404329815803 221.921529038834 -249.146074748137</t>
  </si>
  <si>
    <t>-453.731769657343 202.993461799548 206.152368745065</t>
  </si>
  <si>
    <t>-488.051394543463 155.692349349733 672.463072119164</t>
  </si>
  <si>
    <t>-335.944120946172 139.244967827698 759.275385078013</t>
  </si>
  <si>
    <t>-525.317600978921 42.258266840363 -222.939223392346</t>
  </si>
  <si>
    <t>-424.109089306606 -28.1696787557301 215.757018501584</t>
  </si>
  <si>
    <t>-600.825972531881 -93.661200822502 645.842902639066</t>
  </si>
  <si>
    <t>-457.323293403555 -152.346558500904 728.948513227046</t>
  </si>
  <si>
    <t>9763-20170724T164330.290200000.bin</t>
  </si>
  <si>
    <t>-490.879691070912 131.6470008524 -236.418436503608</t>
  </si>
  <si>
    <t>-531.882212527221 131.14654406206 -350.376098858616</t>
  </si>
  <si>
    <t>-549.517779591762 120.077636830507 -469.778957865749</t>
  </si>
  <si>
    <t>-555.642275110037 105.806941059708 -578.193370376719</t>
  </si>
  <si>
    <t>-552.009750354934 87.3849007876588 -686.092783043106</t>
  </si>
  <si>
    <t>-536.826336874975 57.5406280970487 -834.682092714792</t>
  </si>
  <si>
    <t>-496.196073340636 36.5099305438291 -925.730735816233</t>
  </si>
  <si>
    <t>-531.261491460865 99.7139319219503 -773.499126313532</t>
  </si>
  <si>
    <t>-484.311144566449 238.930236051907 -767.211949286128</t>
  </si>
  <si>
    <t>-448.117805778964 290.636958284311 -457.04653402934</t>
  </si>
  <si>
    <t>-271.49010225389 167.705854521595 -310.989410945321</t>
  </si>
  <si>
    <t>-555.827654608587 41.7776930121454 -764.372864536581</t>
  </si>
  <si>
    <t>-455.830883281872 221.510443703083 -249.176604659083</t>
  </si>
  <si>
    <t>-453.861482246448 202.63773650964 206.122944039021</t>
  </si>
  <si>
    <t>-488.083929004655 155.473800238454 672.484114323015</t>
  </si>
  <si>
    <t>-335.911273912966 139.456284084569 759.262309979959</t>
  </si>
  <si>
    <t>-525.792958992195 41.8330175628968 -223.029648025971</t>
  </si>
  <si>
    <t>-424.354769415528 -28.3077071438607 215.659620613694</t>
  </si>
  <si>
    <t>-600.824449134688 -93.6493049099184 645.853036036702</t>
  </si>
  <si>
    <t>-457.184610586337 -152.005448917589 728.953396152653</t>
  </si>
  <si>
    <t>9763-20170724T164330.322288800.bin</t>
  </si>
  <si>
    <t>-491.093135438814 131.580169640232 -236.445878897587</t>
  </si>
  <si>
    <t>-532.088320605672 131.08476920087 -350.406120298273</t>
  </si>
  <si>
    <t>-549.665586785467 120.049545229912 -469.820757990115</t>
  </si>
  <si>
    <t>-555.715714199773 105.823458417599 -578.245211530305</t>
  </si>
  <si>
    <t>-551.986594841287 87.4616810810546 -686.151547682439</t>
  </si>
  <si>
    <t>-536.645867604461 57.7187876741291 -834.745163743876</t>
  </si>
  <si>
    <t>-495.90498639872 36.7880374954075 -925.767489667379</t>
  </si>
  <si>
    <t>-531.181422781549 99.8644204510035 -773.533943897486</t>
  </si>
  <si>
    <t>-484.398432213979 239.132567710209 -767.124279812021</t>
  </si>
  <si>
    <t>-448.768758289477 290.795216597365 -456.886043606624</t>
  </si>
  <si>
    <t>-271.879391305296 167.74834970465 -311.243933635644</t>
  </si>
  <si>
    <t>-555.685923553908 41.8937917962388 -764.460191132812</t>
  </si>
  <si>
    <t>-456.02992192814 221.493303482909 -249.18670323062</t>
  </si>
  <si>
    <t>-454.003132303318 202.671579432489 206.11460498446</t>
  </si>
  <si>
    <t>-488.065169895208 155.628811181767 672.484462648313</t>
  </si>
  <si>
    <t>-335.946210933058 139.143475002422 759.269118682309</t>
  </si>
  <si>
    <t>-525.985186761813 41.7834380265987 -223.055992580504</t>
  </si>
  <si>
    <t>-424.442534988479 -28.3132132757754 215.616148574446</t>
  </si>
  <si>
    <t>-600.849249314436 -93.7224790929945 645.881453911575</t>
  </si>
  <si>
    <t>-457.305667179799 -152.301341968255 728.991492701155</t>
  </si>
  <si>
    <t>9763-20170724T164330.389179900.bin</t>
  </si>
  <si>
    <t>-491.514640915621 131.259007336064 -236.477558605776</t>
  </si>
  <si>
    <t>-532.5102441051 130.743381067605 -350.437658186085</t>
  </si>
  <si>
    <t>-550.017856410519 119.77098856565 -469.868115184115</t>
  </si>
  <si>
    <t>-555.975296244082 105.637739406183 -578.309803221266</t>
  </si>
  <si>
    <t>-552.123611225452 87.4056982824807 -686.233974667006</t>
  </si>
  <si>
    <t>-536.581339215011 57.8827236238619 -834.850387302659</t>
  </si>
  <si>
    <t>-495.606199560995 37.1041008354002 -925.80238464217</t>
  </si>
  <si>
    <t>-531.265765293115 99.9636021189537 -773.581679562192</t>
  </si>
  <si>
    <t>-484.789565978525 239.321419640641 -766.912524378454</t>
  </si>
  <si>
    <t>-450.025021644921 290.855329809985 -456.55490006899</t>
  </si>
  <si>
    <t>-272.709227487233 167.590890719716 -311.616734629246</t>
  </si>
  <si>
    <t>-555.650856594846 41.9278923179335 -764.602879442173</t>
  </si>
  <si>
    <t>-456.52987329495 221.179253486977 -249.18979088527</t>
  </si>
  <si>
    <t>-454.308518272191 202.458178108186 206.114785245269</t>
  </si>
  <si>
    <t>-488.069170694202 155.628043873875 672.507140692681</t>
  </si>
  <si>
    <t>-335.873956526204 139.675549858259 759.257678791253</t>
  </si>
  <si>
    <t>-526.331817276596 41.4075222684419 -223.09194539123</t>
  </si>
  <si>
    <t>-424.672973788347 -28.5246687887382 215.579512859948</t>
  </si>
  <si>
    <t>-600.921672776327 -93.9986970250069 645.928420543437</t>
  </si>
  <si>
    <t>-457.100206451862 -151.948385719933 728.999113736179</t>
  </si>
  <si>
    <t>9763-20170724T164330.423268100.bin</t>
  </si>
  <si>
    <t>-491.748353210952 131.194843261217 -236.490856880781</t>
  </si>
  <si>
    <t>-532.75527436726 130.664050862001 -350.446830762698</t>
  </si>
  <si>
    <t>-550.232768666187 119.712955000786 -469.88374730286</t>
  </si>
  <si>
    <t>-556.145417644134 105.614395455192 -578.332490177559</t>
  </si>
  <si>
    <t>-552.231421337449 87.4329852585916 -686.262885113419</t>
  </si>
  <si>
    <t>-536.584749292868 57.997113364048 -834.885560840273</t>
  </si>
  <si>
    <t>-495.50125334774 37.276283682009 -925.801946767287</t>
  </si>
  <si>
    <t>-531.341863279608 100.053621996168 -773.593802753103</t>
  </si>
  <si>
    <t>-484.976874545269 239.447296175151 -766.826946537994</t>
  </si>
  <si>
    <t>-450.69919413025 290.925569225236 -456.405866924089</t>
  </si>
  <si>
    <t>-273.25886126961 167.439920132644 -311.809004558471</t>
  </si>
  <si>
    <t>-555.673988728526 41.9894459723659 -764.655378619976</t>
  </si>
  <si>
    <t>-456.833424579903 221.11268039125 -249.206271427263</t>
  </si>
  <si>
    <t>-454.528187412105 202.397733717967 206.098156385825</t>
  </si>
  <si>
    <t>-488.071607918 155.529820752902 672.49936048104</t>
  </si>
  <si>
    <t>-335.855177884381 139.781839466148 759.24995392475</t>
  </si>
  <si>
    <t>-526.512398310621 41.3697779230826 -223.123384356412</t>
  </si>
  <si>
    <t>-424.772204102511 -28.4054619386379 215.554228795756</t>
  </si>
  <si>
    <t>-600.90972383676 -93.7771709980954 645.933927381348</t>
  </si>
  <si>
    <t>-457.199177674084 -151.990146319126 729.012445820191</t>
  </si>
  <si>
    <t>9763-20170724T164330.486168300.bin</t>
  </si>
  <si>
    <t>-492.190648346563 131.134042742989 -236.496948866226</t>
  </si>
  <si>
    <t>-533.236494998353 130.578756761723 -350.43880762717</t>
  </si>
  <si>
    <t>-550.664603124158 119.656043063198 -469.885473583362</t>
  </si>
  <si>
    <t>-556.495247621732 105.606181414335 -578.344990684678</t>
  </si>
  <si>
    <t>-552.461967961164 87.4974758839382 -686.283039094077</t>
  </si>
  <si>
    <t>-536.611035245287 58.188560169198 -834.909353692871</t>
  </si>
  <si>
    <t>-495.310328216837 37.5331598525902 -925.742069107837</t>
  </si>
  <si>
    <t>-531.50658802347 100.213909924302 -773.58450679353</t>
  </si>
  <si>
    <t>-485.348436474666 239.665376097898 -766.67364711385</t>
  </si>
  <si>
    <t>-451.990298820366 291.260262355676 -456.171722733449</t>
  </si>
  <si>
    <t>-274.379001320824 167.333471281715 -312.163254573729</t>
  </si>
  <si>
    <t>-555.74257338776 42.0998270705057 -764.709192095729</t>
  </si>
  <si>
    <t>-457.366457655817 221.104165721962 -249.216639365632</t>
  </si>
  <si>
    <t>-454.834603440909 202.437683183851 206.088522353017</t>
  </si>
  <si>
    <t>-488.034058227679 155.588360556688 672.514396674668</t>
  </si>
  <si>
    <t>-335.809475223801 139.871517486394 759.256308758401</t>
  </si>
  <si>
    <t>-526.885786303644 41.2479679522661 -223.12837876375</t>
  </si>
  <si>
    <t>-424.962096068915 -28.4455738884184 215.519629722466</t>
  </si>
  <si>
    <t>-600.973780530226 -93.9573729693027 645.970102103805</t>
  </si>
  <si>
    <t>-457.098522785843 -151.801277421841 729.021316436228</t>
  </si>
  <si>
    <t>9763-20170724T164330.518249400.bin</t>
  </si>
  <si>
    <t>-492.433923102646 131.146730327528 -236.487841616546</t>
  </si>
  <si>
    <t>-533.490259370138 130.566928015652 -350.425741908211</t>
  </si>
  <si>
    <t>-550.919023711169 119.667243732679 -469.874413307361</t>
  </si>
  <si>
    <t>-556.746060617349 105.657709181688 -578.339317280848</t>
  </si>
  <si>
    <t>-552.704763074121 87.6084311367752 -686.28716056745</t>
  </si>
  <si>
    <t>-536.837907822679 58.4019072307573 -834.93192597506</t>
  </si>
  <si>
    <t>-495.412501477109 37.7555832626535 -925.70984022367</t>
  </si>
  <si>
    <t>-531.762263018522 100.393641032042 -773.581548863435</t>
  </si>
  <si>
    <t>-485.727431730551 239.883963528995 -766.633973180384</t>
  </si>
  <si>
    <t>-452.753192729735 291.401678686957 -456.078263447709</t>
  </si>
  <si>
    <t>-275.120606382591 167.285831311868 -312.259214485146</t>
  </si>
  <si>
    <t>-555.95469821909 42.2561561785892 -764.74078444056</t>
  </si>
  <si>
    <t>-457.661398018746 221.218122256957 -249.219378566128</t>
  </si>
  <si>
    <t>-454.977169293754 202.553569363218 206.084993496073</t>
  </si>
  <si>
    <t>-488.089862581735 155.888401283175 672.512717941121</t>
  </si>
  <si>
    <t>-335.922598310434 139.670890715186 759.263078403633</t>
  </si>
  <si>
    <t>-527.06235654419 41.1605334843316 -223.136019134921</t>
  </si>
  <si>
    <t>-425.05491067937 -28.4073780577729 215.512349229525</t>
  </si>
  <si>
    <t>-600.999747083033 -94.0545973316449 645.976238885274</t>
  </si>
  <si>
    <t>-457.131635670892 -151.908655529941 729.032662414533</t>
  </si>
  <si>
    <t>9763-20170724T164330.585030800.bin</t>
  </si>
  <si>
    <t>-492.811200234043 131.018952619996 -236.471722554532</t>
  </si>
  <si>
    <t>-533.929243879488 130.440652916685 -350.387404518819</t>
  </si>
  <si>
    <t>-551.368431266437 119.535270429227 -469.834106431263</t>
  </si>
  <si>
    <t>-557.179130615541 105.526735101544 -578.299972216208</t>
  </si>
  <si>
    <t>-553.093582125436 87.4903326504086 -686.248332069467</t>
  </si>
  <si>
    <t>-537.134423206095 58.319208603863 -834.890100477446</t>
  </si>
  <si>
    <t>-495.296941828585 37.5604159148665 -925.453144170709</t>
  </si>
  <si>
    <t>-532.194091486068 100.333838773849 -773.544473366772</t>
  </si>
  <si>
    <t>-486.302737800313 239.861767801224 -766.705453307611</t>
  </si>
  <si>
    <t>-452.684662220211 291.402906799724 -456.222662561187</t>
  </si>
  <si>
    <t>-275.988163492547 165.117887164801 -313.140595840111</t>
  </si>
  <si>
    <t>-556.197679162813 42.1192209590686 -764.696939729738</t>
  </si>
  <si>
    <t>-458.091978070613 220.996955686999 -249.21897157814</t>
  </si>
  <si>
    <t>-455.081391334936 202.327720586072 206.08327461624</t>
  </si>
  <si>
    <t>-488.001406782676 155.495089998499 672.53560858402</t>
  </si>
  <si>
    <t>-335.721343794638 140.161533589301 759.248696963045</t>
  </si>
  <si>
    <t>-527.350757583705 41.1411371138882 -223.111783889827</t>
  </si>
  <si>
    <t>-425.117999955743 -28.3766038936511 215.492115304256</t>
  </si>
  <si>
    <t>-600.998257788971 -93.9107373859165 645.963083686033</t>
  </si>
  <si>
    <t>-457.296916903821 -152.156738821958 729.03428042964</t>
  </si>
  <si>
    <t>9763-20170724T164330.624136000.bin</t>
  </si>
  <si>
    <t>-492.956258996181 130.971424305792 -236.475878969375</t>
  </si>
  <si>
    <t>-534.136491510383 130.386583394988 -350.369068323927</t>
  </si>
  <si>
    <t>-551.662041686091 119.497591245204 -469.804722130822</t>
  </si>
  <si>
    <t>-557.558550241779 105.515926544432 -578.269467312287</t>
  </si>
  <si>
    <t>-553.565306085892 87.5197753334041 -686.227924741959</t>
  </si>
  <si>
    <t>-537.73949025195 58.4196369675373 -834.897800743488</t>
  </si>
  <si>
    <t>-495.719689244621 37.5817730264941 -925.358254137555</t>
  </si>
  <si>
    <t>-532.781604924493 100.419413541315 -773.54338298455</t>
  </si>
  <si>
    <t>-486.877355473654 239.958295862667 -766.719253943888</t>
  </si>
  <si>
    <t>-452.825010797915 291.602528330154 -456.300827577694</t>
  </si>
  <si>
    <t>-277.069564770367 163.269966113103 -313.883153079572</t>
  </si>
  <si>
    <t>-556.702239839271 42.1717161822687 -764.688532428722</t>
  </si>
  <si>
    <t>-458.27486982833 220.948548237765 -249.219829654182</t>
  </si>
  <si>
    <t>-455.107452964007 202.272695830111 206.081068937531</t>
  </si>
  <si>
    <t>-487.93668425034 155.245947237622 672.536244796293</t>
  </si>
  <si>
    <t>-335.657666671187 139.899394139195 759.248967258961</t>
  </si>
  <si>
    <t>-527.488544240406 41.0427658895148 -223.097786769626</t>
  </si>
  <si>
    <t>-425.122072428749 -28.3207655499212 215.499386059949</t>
  </si>
  <si>
    <t>-601.011447680526 -93.9647232955434 645.963533768581</t>
  </si>
  <si>
    <t>-457.220755843439 -152.033873450415 729.003916255589</t>
  </si>
  <si>
    <t>9763-20170724T164330.690314800.bin</t>
  </si>
  <si>
    <t>-493.20956094802 131.063352032533 -236.51356280011</t>
  </si>
  <si>
    <t>-534.39654263064 130.411962767985 -350.403975371174</t>
  </si>
  <si>
    <t>-551.927551582593 119.55039655482 -469.841207592944</t>
  </si>
  <si>
    <t>-557.829331120307 105.630246158634 -578.313623713378</t>
  </si>
  <si>
    <t>-553.84151806783 87.7307322808106 -686.288301330605</t>
  </si>
  <si>
    <t>-538.023674821424 58.799995223585 -834.992090774919</t>
  </si>
  <si>
    <t>-495.590788986511 37.7722442428826 -925.215536874067</t>
  </si>
  <si>
    <t>-533.072179822106 100.733517392769 -773.591969269842</t>
  </si>
  <si>
    <t>-487.079974376005 240.231579914287 -766.599107868087</t>
  </si>
  <si>
    <t>-453.846340261052 291.48728241055 -456.027738562663</t>
  </si>
  <si>
    <t>-279.187604655001 159.173686977432 -315.922456000405</t>
  </si>
  <si>
    <t>-556.973031810673 42.4683582152065 -764.798718638761</t>
  </si>
  <si>
    <t>-458.553418352843 221.071054191465 -249.29580376356</t>
  </si>
  <si>
    <t>-455.298676522929 202.4755025494 206.007780571604</t>
  </si>
  <si>
    <t>-487.94827129593 155.671437050694 672.455412731849</t>
  </si>
  <si>
    <t>-335.708728878175 140.124625184961 759.20186734642</t>
  </si>
  <si>
    <t>-527.676262328681 41.1565344185941 -223.117707919985</t>
  </si>
  <si>
    <t>-425.127281973827 -27.9859291041189 215.471722831464</t>
  </si>
  <si>
    <t>-600.984291728772 -93.644969188638 645.934328897698</t>
  </si>
  <si>
    <t>-457.327075002268 -152.035629215253 728.98038577438</t>
  </si>
  <si>
    <t>9763-20170724T164330.722400200.bin</t>
  </si>
  <si>
    <t>-493.294788146955 130.972076442209 -236.529738214845</t>
  </si>
  <si>
    <t>-534.512793720132 130.286828200698 -350.408587850403</t>
  </si>
  <si>
    <t>-552.026655156903 119.452911467485 -469.850881849581</t>
  </si>
  <si>
    <t>-557.892848667424 105.582604220859 -578.33162291087</t>
  </si>
  <si>
    <t>-553.849617999064 87.7576568743308 -686.316655073055</t>
  </si>
  <si>
    <t>-537.93415057974 58.9560376968687 -835.035071756702</t>
  </si>
  <si>
    <t>-495.295202210642 37.8570305545827 -925.144607679123</t>
  </si>
  <si>
    <t>-533.037803264325 100.84191898639 -773.597893873713</t>
  </si>
  <si>
    <t>-487.075206546266 240.343728153647 -766.44476510225</t>
  </si>
  <si>
    <t>-454.594495424116 291.257816556728 -455.737581248154</t>
  </si>
  <si>
    <t>-280.028393162385 157.551138412331 -316.84460033751</t>
  </si>
  <si>
    <t>-556.914700751521 42.557773064514 -764.865618618799</t>
  </si>
  <si>
    <t>-458.665849215444 221.000148650937 -249.326554175266</t>
  </si>
  <si>
    <t>-455.381143226628 202.4339689282 205.977954090071</t>
  </si>
  <si>
    <t>-487.893828804164 155.554425268657 672.440093888884</t>
  </si>
  <si>
    <t>-335.627461602027 140.283081443919 759.188253300429</t>
  </si>
  <si>
    <t>-527.745912091144 41.0294807604953 -223.089752281915</t>
  </si>
  <si>
    <t>-425.070034670964 -28.0091165174888 215.486294256553</t>
  </si>
  <si>
    <t>-601.007846437121 -93.8033279682296 645.928204812179</t>
  </si>
  <si>
    <t>-457.190069013326 -151.840650323553 728.944084725038</t>
  </si>
  <si>
    <t>9763-20170724T164330.792154200.bin</t>
  </si>
  <si>
    <t>-493.468207321076 130.880302150326 -236.591325729082</t>
  </si>
  <si>
    <t>-534.636198992266 130.106971287345 -350.487733313589</t>
  </si>
  <si>
    <t>-552.050588132477 119.258781683841 -469.943295725286</t>
  </si>
  <si>
    <t>-557.805915559465 105.409737116914 -578.432583950629</t>
  </si>
  <si>
    <t>-553.630866537762 87.6426011659885 -686.422167302577</t>
  </si>
  <si>
    <t>-537.510259298246 58.961382782283 -835.14177210435</t>
  </si>
  <si>
    <t>-494.458403714379 37.8296129260747 -925.047087211706</t>
  </si>
  <si>
    <t>-532.746060421552 100.815580830761 -773.672689858094</t>
  </si>
  <si>
    <t>-487.215626517673 240.444568138485 -766.268700780067</t>
  </si>
  <si>
    <t>-456.275859993034 290.512952243725 -455.266978727779</t>
  </si>
  <si>
    <t>-281.456063548745 156.773088373259 -316.725503621628</t>
  </si>
  <si>
    <t>-556.540177749513 42.4882397140179 -765.00322105542</t>
  </si>
  <si>
    <t>-458.908160354217 220.865709157265 -249.42000323675</t>
  </si>
  <si>
    <t>-455.711557084483 202.409938494356 205.889653292427</t>
  </si>
  <si>
    <t>-487.821957788282 155.537124548485 672.387925883688</t>
  </si>
  <si>
    <t>-335.542465270137 140.498301371294 759.153794738999</t>
  </si>
  <si>
    <t>-527.905381333777 40.9370372514034 -223.113568201516</t>
  </si>
  <si>
    <t>-425.09175814413 -27.9216779335014 215.458588720064</t>
  </si>
  <si>
    <t>-601.011634785751 -93.8744482676005 645.883033643682</t>
  </si>
  <si>
    <t>-457.204095913286 -151.952546848561 728.888079183918</t>
  </si>
  <si>
    <t>9763-20170724T164330.824237700.bin</t>
  </si>
  <si>
    <t>-493.558954018997 130.812166242487 -236.630049049886</t>
  </si>
  <si>
    <t>-534.627735544602 129.955021944517 -350.561660302366</t>
  </si>
  <si>
    <t>-551.924755605497 119.062691394339 -470.030265157732</t>
  </si>
  <si>
    <t>-557.568347489868 105.190589343618 -578.522406091181</t>
  </si>
  <si>
    <t>-553.276782187284 87.4173809894084 -686.506382439602</t>
  </si>
  <si>
    <t>-536.989997825234 58.7455388460473 -835.20978580568</t>
  </si>
  <si>
    <t>-493.63208496333 37.6687047218794 -924.980885568033</t>
  </si>
  <si>
    <t>-532.326515388313 100.608062356486 -773.738731513041</t>
  </si>
  <si>
    <t>-487.017828260285 240.316972061471 -766.318315374285</t>
  </si>
  <si>
    <t>-456.529910202505 290.151774246886 -455.23437833074</t>
  </si>
  <si>
    <t>-281.37630980332 156.707074974992 -316.829921961779</t>
  </si>
  <si>
    <t>-556.066308307198 42.2558170289873 -765.087658335385</t>
  </si>
  <si>
    <t>-459.040470174282 220.824923279406 -249.462523707084</t>
  </si>
  <si>
    <t>-455.875620783929 202.393475520103 205.848259511399</t>
  </si>
  <si>
    <t>-487.836881296498 155.594571355051 672.397659432955</t>
  </si>
  <si>
    <t>-335.566287862957 140.400918098744 759.152101026409</t>
  </si>
  <si>
    <t>-527.864420667933 40.8747822073668 -223.207498087538</t>
  </si>
  <si>
    <t>-425.213765026972 -27.825775252733 215.427582924597</t>
  </si>
  <si>
    <t>-601.005168535476 -93.7192101127808 645.899009883178</t>
  </si>
  <si>
    <t>-457.314053736916 -152.071789665491 728.91316717318</t>
  </si>
  <si>
    <t>9763-20170724T164330.886989400.bin</t>
  </si>
  <si>
    <t>-493.584820141285 130.460468820578 -236.681894455318</t>
  </si>
  <si>
    <t>-534.637347520546 129.572121323776 -350.619298805824</t>
  </si>
  <si>
    <t>-551.925909888121 118.687397810327 -470.089606710093</t>
  </si>
  <si>
    <t>-557.563683127539 104.842341072203 -578.585665726136</t>
  </si>
  <si>
    <t>-553.267090978757 87.1182296513196 -686.577614072058</t>
  </si>
  <si>
    <t>-536.973359695529 58.5396402815394 -835.298076244618</t>
  </si>
  <si>
    <t>-492.948685333264 37.6815826791785 -924.795294574315</t>
  </si>
  <si>
    <t>-532.383308725119 100.390267223962 -773.813291529928</t>
  </si>
  <si>
    <t>-487.708667151597 240.286410226996 -766.406935966081</t>
  </si>
  <si>
    <t>-457.61485649343 290.521422904419 -455.349054419325</t>
  </si>
  <si>
    <t>-282.08003131208 157.611706199124 -316.912820862092</t>
  </si>
  <si>
    <t>-555.982400828335 41.979269865061 -765.174375383077</t>
  </si>
  <si>
    <t>-459.122838274483 220.544669244147 -249.485304130538</t>
  </si>
  <si>
    <t>-455.970136799606 202.305703300563 205.833361685784</t>
  </si>
  <si>
    <t>-487.856643597658 155.746273640254 672.39555531166</t>
  </si>
  <si>
    <t>-335.60133915132 140.320672964686 759.135886597983</t>
  </si>
  <si>
    <t>-527.909554304643 40.4173977631529 -223.195427239483</t>
  </si>
  <si>
    <t>-425.213866509866 -28.0419365283331 215.466768715869</t>
  </si>
  <si>
    <t>-601.072694073291 -94.0456918045518 645.96126652371</t>
  </si>
  <si>
    <t>-457.131024084442 -151.826519485774 728.941340585773</t>
  </si>
  <si>
    <t>9763-20170724T164330.924087900.bin</t>
  </si>
  <si>
    <t>-493.519622805175 130.401498780381 -236.672591986863</t>
  </si>
  <si>
    <t>-534.562040608397 129.470518379969 -350.61321862487</t>
  </si>
  <si>
    <t>-551.829945612918 118.610401062707 -470.08888101838</t>
  </si>
  <si>
    <t>-557.444167496464 104.817249640254 -578.592772614898</t>
  </si>
  <si>
    <t>-553.11870862171 87.1755475293282 -686.597027196906</t>
  </si>
  <si>
    <t>-536.778552431126 58.7441987794657 -835.340544488349</t>
  </si>
  <si>
    <t>-492.397157746935 38.0294856465982 -924.694769177148</t>
  </si>
  <si>
    <t>-532.234391833619 100.544062111951 -773.817851005973</t>
  </si>
  <si>
    <t>-487.869188281171 240.538573651447 -766.370950658931</t>
  </si>
  <si>
    <t>-457.934723822168 291.197083243072 -455.366345575083</t>
  </si>
  <si>
    <t>-282.212177947099 158.397080005281 -317.062997124762</t>
  </si>
  <si>
    <t>-555.782691563256 42.1043581478019 -765.234257313545</t>
  </si>
  <si>
    <t>-459.079125771521 220.455406901082 -249.499925107884</t>
  </si>
  <si>
    <t>-455.958356458244 202.313223018931 205.822747623513</t>
  </si>
  <si>
    <t>-487.881806524059 155.873906757046 672.403039799184</t>
  </si>
  <si>
    <t>-335.634721115888 140.328996670984 759.136472803106</t>
  </si>
  <si>
    <t>-527.770997975496 40.4167097490042 -223.183574216887</t>
  </si>
  <si>
    <t>-425.122699359062 -27.950438009929 215.504112834611</t>
  </si>
  <si>
    <t>-601.053822980651 -93.7529496635369 645.962899134021</t>
  </si>
  <si>
    <t>-457.328732092925 -152.033275713735 728.968939375742</t>
  </si>
  <si>
    <t>9763-20170724T164330.987845300.bin</t>
  </si>
  <si>
    <t>-493.380246319202 129.823601305596 -236.653946445242</t>
  </si>
  <si>
    <t>-534.438244469303 128.871474479879 -350.588747371223</t>
  </si>
  <si>
    <t>-551.674882260283 118.033024230686 -470.070918505955</t>
  </si>
  <si>
    <t>-557.238685066228 104.284120354788 -578.583028021223</t>
  </si>
  <si>
    <t>-552.839098243924 86.7156766073921 -686.596059737427</t>
  </si>
  <si>
    <t>-536.370319119483 58.4198632624793 -835.351412129441</t>
  </si>
  <si>
    <t>-491.430009413794 37.9784751107268 -924.488943016114</t>
  </si>
  <si>
    <t>-531.95489785998 100.191908488849 -773.800448835145</t>
  </si>
  <si>
    <t>-488.208738542921 240.387772925622 -766.29675759655</t>
  </si>
  <si>
    <t>-458.816240608204 291.200462100925 -455.265738056265</t>
  </si>
  <si>
    <t>-282.485747046808 158.802609768026 -317.351074447829</t>
  </si>
  <si>
    <t>-555.359624335336 41.6878325254305 -765.263063891175</t>
  </si>
  <si>
    <t>-459.002500856498 219.892596990092 -249.50413578567</t>
  </si>
  <si>
    <t>-455.747876001874 201.940312103774 205.825168489185</t>
  </si>
  <si>
    <t>-487.855177628721 155.736032308255 672.425833574645</t>
  </si>
  <si>
    <t>-335.565327573775 140.468245586812 759.133398678147</t>
  </si>
  <si>
    <t>-527.605791433765 39.7940368558699 -223.146227729113</t>
  </si>
  <si>
    <t>-425.061321490765 -28.4627206738992 215.583017719892</t>
  </si>
  <si>
    <t>-601.115577991316 -94.1653986015258 646.011444145108</t>
  </si>
  <si>
    <t>-457.061219611649 -151.613792508513 729.026714898765</t>
  </si>
  <si>
    <t>9763-20170724T164331.020933100.bin</t>
  </si>
  <si>
    <t>-493.399702221375 129.709348423305 -236.662634468208</t>
  </si>
  <si>
    <t>-534.455655601682 128.764585620564 -350.598114249617</t>
  </si>
  <si>
    <t>-551.675753910933 117.948154299118 -470.084699736725</t>
  </si>
  <si>
    <t>-557.217301548011 104.22868870746 -578.601604447503</t>
  </si>
  <si>
    <t>-552.787462843271 86.7013032667386 -686.620238816909</t>
  </si>
  <si>
    <t>-536.267512957184 58.476745667069 -835.383395092656</t>
  </si>
  <si>
    <t>-491.099945698996 38.1589282517973 -924.434260809747</t>
  </si>
  <si>
    <t>-531.911022740695 100.23342446392 -773.817779357324</t>
  </si>
  <si>
    <t>-488.439291814263 240.509070904028 -766.266737688661</t>
  </si>
  <si>
    <t>-459.475823744017 291.090049071175 -455.157645060012</t>
  </si>
  <si>
    <t>-282.874016096212 158.839321739477 -317.449344077474</t>
  </si>
  <si>
    <t>-555.24310668263 41.6969945948316 -765.30279150916</t>
  </si>
  <si>
    <t>-459.04542238556 219.731405363114 -249.498456595536</t>
  </si>
  <si>
    <t>-455.706616169579 201.850370485679 205.832947858339</t>
  </si>
  <si>
    <t>-487.853716834351 155.728553224556 672.438626134397</t>
  </si>
  <si>
    <t>-335.563856825712 140.434492827526 759.141536498866</t>
  </si>
  <si>
    <t>-527.633472722714 39.8119745660096 -223.135679520315</t>
  </si>
  <si>
    <t>-425.041216853591 -28.4734629755358 215.577934573283</t>
  </si>
  <si>
    <t>-601.096486990909 -93.885447265338 646.009364617459</t>
  </si>
  <si>
    <t>-457.297043780036 -151.902072376519 729.071369659625</t>
  </si>
  <si>
    <t>9763-20170724T164331.090662800.bin</t>
  </si>
  <si>
    <t>-493.532677925315 129.192460039106 -236.643903407888</t>
  </si>
  <si>
    <t>-534.507417031788 128.193941758232 -350.608277307101</t>
  </si>
  <si>
    <t>-551.620235650554 117.406108503303 -470.112871663015</t>
  </si>
  <si>
    <t>-557.054100695674 103.749541407822 -578.64301633682</t>
  </si>
  <si>
    <t>-552.506137031205 86.323553176085 -686.673263042159</t>
  </si>
  <si>
    <t>-535.810838908569 58.2815108855411 -835.45115618062</t>
  </si>
  <si>
    <t>-490.323668197382 38.1315261027411 -924.377511553455</t>
  </si>
  <si>
    <t>-531.590743122982 99.9862968963749 -773.841020603377</t>
  </si>
  <si>
    <t>-488.491743677651 240.370695642489 -766.109411302279</t>
  </si>
  <si>
    <t>-460.540265909169 290.572681223248 -454.846475223136</t>
  </si>
  <si>
    <t>-283.709754540284 158.389349728361 -317.367003995629</t>
  </si>
  <si>
    <t>-554.805135079502 41.3921208852342 -765.402166370677</t>
  </si>
  <si>
    <t>-459.225624561271 219.193607114337 -249.489416441738</t>
  </si>
  <si>
    <t>-455.894252427963 201.587985048818 205.852935158241</t>
  </si>
  <si>
    <t>-487.863300668498 155.742835820592 672.477068867413</t>
  </si>
  <si>
    <t>-335.541661382376 140.621077842441 759.15457992955</t>
  </si>
  <si>
    <t>-527.630445408348 39.2505964963053 -223.18127759657</t>
  </si>
  <si>
    <t>-425.075094579043 -28.73800387897 215.587042545927</t>
  </si>
  <si>
    <t>-601.146146142867 -93.9756723037364 646.037921927061</t>
  </si>
  <si>
    <t>-457.287453638344 -151.850070083409 729.096457830678</t>
  </si>
  <si>
    <t>9763-20170724T164331.121744600.bin</t>
  </si>
  <si>
    <t>-493.637170068591 129.06468800677 -236.675681151888</t>
  </si>
  <si>
    <t>-534.623168142547 128.056466797493 -350.635820420796</t>
  </si>
  <si>
    <t>-551.689285084277 117.290129608743 -470.149169198032</t>
  </si>
  <si>
    <t>-557.056394528266 103.667763269088 -578.68687991561</t>
  </si>
  <si>
    <t>-552.416782698772 86.2924032587082 -686.721320619234</t>
  </si>
  <si>
    <t>-535.568631514657 58.3390895892024 -835.498901289706</t>
  </si>
  <si>
    <t>-489.948910867426 38.2666757229481 -924.374723361797</t>
  </si>
  <si>
    <t>-531.449350073552 100.021006047313 -773.866357539332</t>
  </si>
  <si>
    <t>-488.516795030682 240.444277373417 -766.020773448793</t>
  </si>
  <si>
    <t>-461.134874730735 290.574430864848 -454.695617895557</t>
  </si>
  <si>
    <t>-284.107693423864 158.458984970485 -317.404037981706</t>
  </si>
  <si>
    <t>-554.597400779303 41.3941417641009 -765.472397752945</t>
  </si>
  <si>
    <t>-459.388122118118 219.113904222478 -249.508183781274</t>
  </si>
  <si>
    <t>-455.973294367652 201.642511035097 205.838726791557</t>
  </si>
  <si>
    <t>-487.897783335047 155.908368305125 672.484366163992</t>
  </si>
  <si>
    <t>-335.677062815193 139.879337263761 759.17598595005</t>
  </si>
  <si>
    <t>-527.728945819338 39.090126122369 -223.192612029566</t>
  </si>
  <si>
    <t>-425.132495239303 -28.7483680108146 215.589240188003</t>
  </si>
  <si>
    <t>-601.160695818799 -93.9378741225946 646.051558425089</t>
  </si>
  <si>
    <t>-457.275704999057 -151.774711595287 729.090752201261</t>
  </si>
  <si>
    <t>9763-20170724T164331.186131400.bin</t>
  </si>
  <si>
    <t>-493.874987691888 128.632664744397 -236.734776153214</t>
  </si>
  <si>
    <t>-534.790557740337 127.581454493751 -350.719785677064</t>
  </si>
  <si>
    <t>-551.715317500895 116.80653418948 -470.252403849682</t>
  </si>
  <si>
    <t>-556.924868945292 103.195913809928 -578.79945003267</t>
  </si>
  <si>
    <t>-552.098274047882 85.8546385864949 -686.830993255602</t>
  </si>
  <si>
    <t>-534.959952356026 57.9749977316071 -835.589355523184</t>
  </si>
  <si>
    <t>-489.054955572053 38.0130602829502 -924.343077005292</t>
  </si>
  <si>
    <t>-531.041105733806 99.6558073025745 -773.942938917017</t>
  </si>
  <si>
    <t>-488.533610057171 240.21041817823 -765.946055422225</t>
  </si>
  <si>
    <t>-462.173408930286 290.467200249077 -454.553101578025</t>
  </si>
  <si>
    <t>-284.857336855992 158.568417319042 -317.426333001895</t>
  </si>
  <si>
    <t>-554.045083737405 40.9658847895043 -765.593771229137</t>
  </si>
  <si>
    <t>-459.699554337502 218.64580784839 -249.54745360663</t>
  </si>
  <si>
    <t>-456.064504800042 201.386936032954 205.805817288168</t>
  </si>
  <si>
    <t>-487.912431275982 155.990437447342 672.497230796716</t>
  </si>
  <si>
    <t>-335.632346716638 140.396525707714 759.163979827009</t>
  </si>
  <si>
    <t>-527.858624122255 38.6959614013937 -223.302350013035</t>
  </si>
  <si>
    <t>-425.26735818977 -28.9807622545484 215.505729669263</t>
  </si>
  <si>
    <t>-601.172397496672 -94.1372134993195 646.030182859364</t>
  </si>
  <si>
    <t>-457.314388063585 -151.95984085225 729.125981138574</t>
  </si>
  <si>
    <t>9763-20170724T164331.223232300.bin</t>
  </si>
  <si>
    <t>-493.96484234637 128.417282717248 -236.796999168325</t>
  </si>
  <si>
    <t>-534.870560973508 127.3536023257 -350.78571393637</t>
  </si>
  <si>
    <t>-551.749740148721 116.57350379239 -470.324074736178</t>
  </si>
  <si>
    <t>-556.903590115301 102.961650371645 -578.873648071391</t>
  </si>
  <si>
    <t>-552.007090795304 85.6230700927144 -686.902568108966</t>
  </si>
  <si>
    <t>-534.757408292939 57.7513953791834 -835.649376882008</t>
  </si>
  <si>
    <t>-488.688773383637 37.8244144663149 -924.32621992038</t>
  </si>
  <si>
    <t>-530.915981978076 99.4403284844302 -774.003752223105</t>
  </si>
  <si>
    <t>-488.606884605252 240.038695449063 -765.957996614576</t>
  </si>
  <si>
    <t>-462.623146858053 290.499649986032 -454.566280456407</t>
  </si>
  <si>
    <t>-285.210550984471 158.759576015611 -317.411815285421</t>
  </si>
  <si>
    <t>-553.863812523349 40.7271682495317 -765.663432233218</t>
  </si>
  <si>
    <t>-459.873935901147 218.49572355665 -249.570196582225</t>
  </si>
  <si>
    <t>-456.102441195377 201.34685080166 205.786067749582</t>
  </si>
  <si>
    <t>-487.934007689455 156.148201816123 672.48673375736</t>
  </si>
  <si>
    <t>-335.694188908194 140.276266569155 759.173699376018</t>
  </si>
  <si>
    <t>-527.888368644803 38.4086321663975 -223.389475448018</t>
  </si>
  <si>
    <t>-425.351284070153 -29.1961722826274 215.442383812963</t>
  </si>
  <si>
    <t>-601.179727901023 -94.35204743174 646.028703973383</t>
  </si>
  <si>
    <t>-457.124357190303 -151.648289215459 729.147305316023</t>
  </si>
  <si>
    <t>9763-20170724T164331.287952000.bin</t>
  </si>
  <si>
    <t>-494.151121735402 128.157059719311 -236.894405983286</t>
  </si>
  <si>
    <t>-535.03158763829 127.028718852223 -350.891404954432</t>
  </si>
  <si>
    <t>-551.840992968268 116.194386970374 -470.434789666727</t>
  </si>
  <si>
    <t>-556.913137955332 102.541125941346 -578.983030415227</t>
  </si>
  <si>
    <t>-551.916481372652 85.1702682613754 -687.002199755016</t>
  </si>
  <si>
    <t>-534.508928939722 57.265167225641 -835.72438540629</t>
  </si>
  <si>
    <t>-488.181673817504 37.3718168476827 -924.273999011092</t>
  </si>
  <si>
    <t>-530.80130915824 98.9928223163457 -774.096656569701</t>
  </si>
  <si>
    <t>-488.819390627767 239.69534924794 -766.006945303493</t>
  </si>
  <si>
    <t>-463.767427772619 290.735014942597 -454.633452584973</t>
  </si>
  <si>
    <t>-286.273666721802 159.301436919819 -317.289906117286</t>
  </si>
  <si>
    <t>-553.621131068848 40.231805818696 -765.742291517252</t>
  </si>
  <si>
    <t>-460.186840662868 218.130804053809 -249.656774213674</t>
  </si>
  <si>
    <t>-456.166735888032 201.177886512763 205.704651993834</t>
  </si>
  <si>
    <t>-487.855796362013 156.122771070828 672.422866740812</t>
  </si>
  <si>
    <t>-335.60646400992 140.655413409271 759.166191986618</t>
  </si>
  <si>
    <t>-527.991270793877 38.2701585191185 -223.463627634217</t>
  </si>
  <si>
    <t>-425.463668633902 -29.2542195103224 215.382849673645</t>
  </si>
  <si>
    <t>-601.163657024055 -94.0181063428806 646.031307208284</t>
  </si>
  <si>
    <t>-457.282997741835 -151.675929424667 729.202495104323</t>
  </si>
  <si>
    <t>9763-20170724T164331.320045100.bin</t>
  </si>
  <si>
    <t>-494.277690063883 128.004962889628 -236.923230153629</t>
  </si>
  <si>
    <t>-535.091300946107 126.826872571452 -350.943770953707</t>
  </si>
  <si>
    <t>-551.827281746568 115.954610491087 -470.494049131053</t>
  </si>
  <si>
    <t>-556.830754328257 102.274178971153 -579.04207127343</t>
  </si>
  <si>
    <t>-551.763459303263 84.8845322227954 -687.05481971289</t>
  </si>
  <si>
    <t>-534.2557675836 56.962953649943 -835.762141595634</t>
  </si>
  <si>
    <t>-487.82982425824 37.0809109761239 -924.26257521503</t>
  </si>
  <si>
    <t>-530.621020560222 98.7087231763878 -774.142449653798</t>
  </si>
  <si>
    <t>-488.857998289221 239.469565635381 -766.017922829245</t>
  </si>
  <si>
    <t>-464.447459702624 290.759573889158 -454.634481991462</t>
  </si>
  <si>
    <t>-286.884248854808 159.485493698745 -317.228223610959</t>
  </si>
  <si>
    <t>-553.383724724204 39.9259801216621 -765.785151522068</t>
  </si>
  <si>
    <t>-460.345600196599 217.92084974002 -249.697539582032</t>
  </si>
  <si>
    <t>-456.256897058558 201.093139300004 205.667963177495</t>
  </si>
  <si>
    <t>-487.805834668113 155.98547836803 672.420501685487</t>
  </si>
  <si>
    <t>-335.558689425526 140.517964925282 759.167750136547</t>
  </si>
  <si>
    <t>-528.025837020913 38.1422190168956 -223.493690515324</t>
  </si>
  <si>
    <t>-425.485630054655 -29.3463065165848 215.355319817354</t>
  </si>
  <si>
    <t>-601.179854893921 -93.9917450669313 646.02793077381</t>
  </si>
  <si>
    <t>-457.361188669143 -151.786421403594 729.211292260264</t>
  </si>
  <si>
    <t>9763-20170724T164331.387782100.bin</t>
  </si>
  <si>
    <t>-494.656463934889 127.610481578922 -236.967808696501</t>
  </si>
  <si>
    <t>-535.515810323149 126.394623592785 -350.971412015798</t>
  </si>
  <si>
    <t>-552.202903897053 115.473708917519 -470.524165615374</t>
  </si>
  <si>
    <t>-557.121926947794 101.747957873799 -579.070122487026</t>
  </si>
  <si>
    <t>-551.930056728848 84.3139796166507 -687.070013749605</t>
  </si>
  <si>
    <t>-534.208240361975 56.3338419253694 -835.740991258798</t>
  </si>
  <si>
    <t>-487.605241284507 36.4583536516857 -924.149782362891</t>
  </si>
  <si>
    <t>-530.716555290925 98.1234424001241 -774.142539706662</t>
  </si>
  <si>
    <t>-489.314489129952 238.982033257367 -765.935699551288</t>
  </si>
  <si>
    <t>-466.051929075597 290.608660347236 -454.520118744481</t>
  </si>
  <si>
    <t>-288.279538854727 159.803806357978 -316.936890239802</t>
  </si>
  <si>
    <t>-553.382605523325 39.3048976250639 -765.774671519871</t>
  </si>
  <si>
    <t>-460.848710987904 217.60311921067 -249.751254350738</t>
  </si>
  <si>
    <t>-456.537223350103 200.929350469551 205.617856173445</t>
  </si>
  <si>
    <t>-487.825712576672 156.113986683975 672.423396886769</t>
  </si>
  <si>
    <t>-335.550042250178 140.794566751631 759.146676188579</t>
  </si>
  <si>
    <t>-528.346083486308 37.6414474853982 -223.536986285078</t>
  </si>
  <si>
    <t>-425.611638925832 -29.5752037987863 215.308313256593</t>
  </si>
  <si>
    <t>-601.216238670906 -94.2882665269258 646.029232167759</t>
  </si>
  <si>
    <t>-457.25052589771 -151.715930917183 729.212458927674</t>
  </si>
  <si>
    <t>9763-20170724T164331.422876300.bin</t>
  </si>
  <si>
    <t>-494.869721428874 127.42801867572 -236.980583223232</t>
  </si>
  <si>
    <t>-535.725470379993 126.190720961261 -350.98525502874</t>
  </si>
  <si>
    <t>-552.360284446248 115.259254240208 -470.544342870367</t>
  </si>
  <si>
    <t>-557.211364560044 101.531003314709 -579.093101533633</t>
  </si>
  <si>
    <t>-551.931012056712 84.1026005449843 -687.089500732732</t>
  </si>
  <si>
    <t>-534.065370110068 56.1403974727407 -835.746637064647</t>
  </si>
  <si>
    <t>-487.366616018726 36.3065741950223 -924.11421764843</t>
  </si>
  <si>
    <t>-530.672010852366 97.9364740228253 -774.147229302205</t>
  </si>
  <si>
    <t>-489.432289272014 238.845809423708 -765.893558348929</t>
  </si>
  <si>
    <t>-466.643658021074 290.623695108921 -454.468042198945</t>
  </si>
  <si>
    <t>-288.737665881398 160.01027819137 -316.875706122675</t>
  </si>
  <si>
    <t>-553.26873395927 39.0891920076793 -765.793666696944</t>
  </si>
  <si>
    <t>-461.090853876504 217.486353668523 -249.767066990885</t>
  </si>
  <si>
    <t>-456.656339167098 200.886572853789 205.603513685852</t>
  </si>
  <si>
    <t>-487.836781513705 156.206128488856 672.417609208404</t>
  </si>
  <si>
    <t>-335.576246535428 140.728772797552 759.139560013364</t>
  </si>
  <si>
    <t>-528.49781167226 37.4184159547194 -223.561794551779</t>
  </si>
  <si>
    <t>-425.708810167432 -29.7157609955505 215.283433961113</t>
  </si>
  <si>
    <t>-601.257071348593 -94.6186459165841 646.043244955338</t>
  </si>
  <si>
    <t>-457.138104554623 -151.675841033237 729.216093191452</t>
  </si>
  <si>
    <t>9763-20170724T164331.489636300.bin</t>
  </si>
  <si>
    <t>-495.288063123176 127.403705704325 -237.024874018739</t>
  </si>
  <si>
    <t>-536.104688661425 126.052192374343 -351.042419833711</t>
  </si>
  <si>
    <t>-552.607557176195 115.00978564585 -470.609518947549</t>
  </si>
  <si>
    <t>-557.301660299436 101.186061698106 -579.153123750021</t>
  </si>
  <si>
    <t>-551.827456162114 83.6693277933472 -687.125549856597</t>
  </si>
  <si>
    <t>-533.65545464535 55.5937326298842 -835.724156449623</t>
  </si>
  <si>
    <t>-486.780633025259 35.7970802084334 -924.006794279153</t>
  </si>
  <si>
    <t>-530.45027070488 97.4585817823728 -774.161271679039</t>
  </si>
  <si>
    <t>-489.529851053183 238.462689421147 -765.836200371033</t>
  </si>
  <si>
    <t>-467.529839931198 290.531177319065 -454.402318055039</t>
  </si>
  <si>
    <t>-289.421197383423 160.271989013089 -316.736518342117</t>
  </si>
  <si>
    <t>-552.941733794626 38.5740182777027 -765.786407307942</t>
  </si>
  <si>
    <t>-461.647411620026 217.442797536851 -249.829639370754</t>
  </si>
  <si>
    <t>-457.063557855008 200.951957637434 205.543510030269</t>
  </si>
  <si>
    <t>-487.855550141552 156.433213897282 672.394630927148</t>
  </si>
  <si>
    <t>-335.615162083035 140.731168949231 759.111490118538</t>
  </si>
  <si>
    <t>-528.792273995155 37.4059225409947 -223.598545515711</t>
  </si>
  <si>
    <t>-425.926663645443 -29.5356864373476 215.258120983735</t>
  </si>
  <si>
    <t>-601.234499713052 -94.5501939198055 646.029513970287</t>
  </si>
  <si>
    <t>-457.300524714631 -152.002231875822 729.250953996778</t>
  </si>
  <si>
    <t>9763-20170724T164331.522723700.bin</t>
  </si>
  <si>
    <t>-495.520925768999 127.257999442594 -237.07573696285</t>
  </si>
  <si>
    <t>-536.321736325392 125.852974183826 -351.098149381564</t>
  </si>
  <si>
    <t>-552.776121755962 114.765411910427 -470.667795166601</t>
  </si>
  <si>
    <t>-557.413355014944 100.904655005478 -579.209184195605</t>
  </si>
  <si>
    <t>-551.870005842718 83.3547354149503 -687.172708685604</t>
  </si>
  <si>
    <t>-533.589703291437 55.237352663058 -835.750009769661</t>
  </si>
  <si>
    <t>-486.670759484697 35.4542846427208 -924.012283992019</t>
  </si>
  <si>
    <t>-530.457336101251 97.1294277529859 -774.20210624648</t>
  </si>
  <si>
    <t>-489.666997822298 238.165205731697 -765.855179904255</t>
  </si>
  <si>
    <t>-468.103557837265 290.41448690026 -454.420963852972</t>
  </si>
  <si>
    <t>-289.965374284591 160.116502690681 -316.830024151654</t>
  </si>
  <si>
    <t>-552.898996042077 38.2273890916628 -765.816337397821</t>
  </si>
  <si>
    <t>-461.931896729664 217.277124370886 -249.869169656096</t>
  </si>
  <si>
    <t>-457.315629935229 200.846214610108 205.505965919913</t>
  </si>
  <si>
    <t>-487.793139406995 156.211112591619 672.383737291418</t>
  </si>
  <si>
    <t>-335.465726049702 141.218648759526 759.073492199133</t>
  </si>
  <si>
    <t>-528.954511526173 37.2814399114849 -223.655815464507</t>
  </si>
  <si>
    <t>-426.063295798416 -29.5003525386527 215.219208175169</t>
  </si>
  <si>
    <t>-601.202714535112 -94.4539775688893 646.036684224835</t>
  </si>
  <si>
    <t>-457.177952538121 -151.696374045295 729.245370687124</t>
  </si>
  <si>
    <t>9763-20170724T164331.588730100.bin</t>
  </si>
  <si>
    <t>-496.082455155951 127.287503121746 -237.154886364303</t>
  </si>
  <si>
    <t>-536.925654961712 125.771629023702 -351.160710145247</t>
  </si>
  <si>
    <t>-553.347607561572 114.613288232858 -470.728295180111</t>
  </si>
  <si>
    <t>-557.925857462808 100.702551077757 -579.265760040456</t>
  </si>
  <si>
    <t>-552.295157574119 83.11473465616 -687.218582614043</t>
  </si>
  <si>
    <t>-533.865847372612 54.9558011273593 -835.769652940001</t>
  </si>
  <si>
    <t>-486.931341886131 35.1930237587705 -924.02820120039</t>
  </si>
  <si>
    <t>-530.84472824134 96.8825648619899 -774.2397241196</t>
  </si>
  <si>
    <t>-490.268891910915 237.978190835705 -765.828605337598</t>
  </si>
  <si>
    <t>-469.26189955266 290.857504150011 -454.46265734778</t>
  </si>
  <si>
    <t>-291.032900199343 160.446742495223 -317.096340256036</t>
  </si>
  <si>
    <t>-553.195743797036 37.94789291328 -765.841175496169</t>
  </si>
  <si>
    <t>-462.756948822027 217.332419145398 -249.94248961471</t>
  </si>
  <si>
    <t>-457.812629211116 200.957251485037 205.431062861816</t>
  </si>
  <si>
    <t>-487.781415444812 156.298284081092 672.357740796243</t>
  </si>
  <si>
    <t>-335.489183012341 140.996116850634 759.055029380803</t>
  </si>
  <si>
    <t>-529.293432410472 37.3318121786904 -223.716556223805</t>
  </si>
  <si>
    <t>-426.286819017525 -29.1420935015879 215.178136226283</t>
  </si>
  <si>
    <t>-601.170729641319 -94.2203535668052 646.083974296858</t>
  </si>
  <si>
    <t>-457.204830074956 -151.643361989909 729.270047578593</t>
  </si>
  <si>
    <t>9763-20170724T164331.620817600.bin</t>
  </si>
  <si>
    <t>-496.348245443529 127.435409711757 -237.178349925473</t>
  </si>
  <si>
    <t>-537.210087610187 125.891293127946 -351.17715141085</t>
  </si>
  <si>
    <t>-553.638498995434 114.709773401046 -470.741501287604</t>
  </si>
  <si>
    <t>-558.216961889391 100.781397548327 -579.276817569709</t>
  </si>
  <si>
    <t>-552.580805696653 83.1800238556212 -687.227056214008</t>
  </si>
  <si>
    <t>-534.13770932181 55.0071151436754 -835.773868576258</t>
  </si>
  <si>
    <t>-487.215918121156 35.2581086091296 -924.04232759946</t>
  </si>
  <si>
    <t>-531.150584128714 96.9495900331059 -774.252909960069</t>
  </si>
  <si>
    <t>-490.679759017101 238.069261357915 -765.84616187658</t>
  </si>
  <si>
    <t>-469.792527400831 291.093738238658 -454.497044818243</t>
  </si>
  <si>
    <t>-291.480874593513 160.791153724406 -317.135401417567</t>
  </si>
  <si>
    <t>-553.445823334537 37.995832816537 -765.840083017545</t>
  </si>
  <si>
    <t>-463.083521019567 217.445015615231 -249.975613057323</t>
  </si>
  <si>
    <t>-458.037310338391 201.124847479518 205.39877894742</t>
  </si>
  <si>
    <t>-487.765954395243 156.340500888596 672.336040597512</t>
  </si>
  <si>
    <t>-335.493440719363 140.894021356523 759.042353978158</t>
  </si>
  <si>
    <t>-529.454656774187 37.5163131167422 -223.716159806827</t>
  </si>
  <si>
    <t>-426.423006879467 -28.9732933600594 215.170221502747</t>
  </si>
  <si>
    <t>-601.174391651861 -94.1359883547501 646.112084008095</t>
  </si>
  <si>
    <t>-457.34346387232 -151.912919111291 729.286668788476</t>
  </si>
  <si>
    <t>9763-20170724T164331.688542900.bin</t>
  </si>
  <si>
    <t>-496.830114425179 127.350291694643 -237.230788107223</t>
  </si>
  <si>
    <t>-537.718886742232 125.751444453697 -351.219126352673</t>
  </si>
  <si>
    <t>-554.149374298032 114.525270626562 -470.779136867652</t>
  </si>
  <si>
    <t>-558.718448971487 100.563376838597 -579.310419697099</t>
  </si>
  <si>
    <t>-553.06121394344 82.9369234342249 -687.255528847222</t>
  </si>
  <si>
    <t>-534.57659230202 54.7394070185788 -835.792561716042</t>
  </si>
  <si>
    <t>-487.675842278901 35.0102535029792 -924.076531533845</t>
  </si>
  <si>
    <t>-531.638467569707 96.7032513537414 -774.283730323947</t>
  </si>
  <si>
    <t>-491.360966694306 237.886372624827 -765.862368016429</t>
  </si>
  <si>
    <t>-470.680265757996 291.133305603152 -454.537489495211</t>
  </si>
  <si>
    <t>-292.230953258261 160.982479917444 -317.210629982333</t>
  </si>
  <si>
    <t>-553.872453993829 37.7285887001164 -765.855305814178</t>
  </si>
  <si>
    <t>-463.634937891655 217.468226634798 -250.050380403946</t>
  </si>
  <si>
    <t>-458.371708727278 201.151972593988 205.321647765852</t>
  </si>
  <si>
    <t>-487.814350105084 156.663413504614 672.322380330897</t>
  </si>
  <si>
    <t>-335.526604780736 141.197645422116 758.998618745277</t>
  </si>
  <si>
    <t>-529.867591986052 37.2775900892524 -223.766523781221</t>
  </si>
  <si>
    <t>-426.88951955117 -29.0413331439793 215.158249229</t>
  </si>
  <si>
    <t>-601.211215855034 -94.2819210145174 646.233555191388</t>
  </si>
  <si>
    <t>-456.957558276991 -151.212465847227 729.259513389889</t>
  </si>
  <si>
    <t>9763-20170724T164331.721630800.bin</t>
  </si>
  <si>
    <t>-497.124031085647 127.468101054448 -237.220889203265</t>
  </si>
  <si>
    <t>-538.038767821692 125.876954676563 -351.200138773232</t>
  </si>
  <si>
    <t>-554.48913743204 114.639923492524 -470.756134978942</t>
  </si>
  <si>
    <t>-559.073176186154 100.660761435758 -579.284640652403</t>
  </si>
  <si>
    <t>-553.427804218366 83.0098162597266 -687.226415937602</t>
  </si>
  <si>
    <t>-534.956284562623 54.7710741284275 -835.757097333547</t>
  </si>
  <si>
    <t>-488.074534358421 35.0461616168693 -924.05223617411</t>
  </si>
  <si>
    <t>-532.009029355904 96.7506880579934 -774.259721895431</t>
  </si>
  <si>
    <t>-491.737185293654 237.930164713233 -765.842104929975</t>
  </si>
  <si>
    <t>-471.181904287832 291.291299744436 -454.528338690119</t>
  </si>
  <si>
    <t>-292.684589303318 161.14408766813 -317.26042550159</t>
  </si>
  <si>
    <t>-554.24970641214 37.7809609356447 -765.814200904509</t>
  </si>
  <si>
    <t>-463.950198446626 217.61590951793 -250.066061922818</t>
  </si>
  <si>
    <t>-458.526785037462 201.258717677747 205.302651296624</t>
  </si>
  <si>
    <t>-487.855298633184 156.869702625818 672.3180192055</t>
  </si>
  <si>
    <t>-335.576410538351 141.271793380612 758.986086488434</t>
  </si>
  <si>
    <t>-530.150773213147 37.4906165465263 -223.741424919531</t>
  </si>
  <si>
    <t>-427.152743569966 -28.9695659503243 215.157325523691</t>
  </si>
  <si>
    <t>-601.207163553837 -94.1971485663687 646.284324916513</t>
  </si>
  <si>
    <t>-456.939925025222 -151.204774930472 729.233723441121</t>
  </si>
  <si>
    <t>9763-20170724T164331.791321300.bin</t>
  </si>
  <si>
    <t>-497.664698062519 127.476630008913 -237.251566357894</t>
  </si>
  <si>
    <t>-538.683504288153 125.889064073191 -351.193422707432</t>
  </si>
  <si>
    <t>-555.216923283124 114.652531929058 -470.738220825669</t>
  </si>
  <si>
    <t>-559.865595294073 100.672949730185 -579.263724709397</t>
  </si>
  <si>
    <t>-554.273713639129 83.0209568439923 -687.208248217617</t>
  </si>
  <si>
    <t>-535.864566489982 54.7805053026167 -835.746360744682</t>
  </si>
  <si>
    <t>-489.046446729474 35.0682224304046 -924.077949381103</t>
  </si>
  <si>
    <t>-532.879600774369 96.7567027621585 -774.248264703096</t>
  </si>
  <si>
    <t>-492.532249845726 237.917633626714 -765.839064630131</t>
  </si>
  <si>
    <t>-472.24354657603 291.435224738274 -454.534586861786</t>
  </si>
  <si>
    <t>-293.787576760225 161.117216450437 -317.374932298411</t>
  </si>
  <si>
    <t>-555.140517895402 37.7954330927118 -765.797355692871</t>
  </si>
  <si>
    <t>-464.463441900852 217.491114072447 -250.102750899379</t>
  </si>
  <si>
    <t>-458.755602286404 201.133687704869 205.262382909117</t>
  </si>
  <si>
    <t>-487.795580051282 156.65452793716 672.31017380213</t>
  </si>
  <si>
    <t>-335.449171328165 141.550348424421 758.947024032943</t>
  </si>
  <si>
    <t>-530.697562894606 37.560860980713 -223.764231155775</t>
  </si>
  <si>
    <t>-427.597770870381 -28.8699155728448 215.115095129987</t>
  </si>
  <si>
    <t>-601.196580231034 -93.9293526447427 646.422385564843</t>
  </si>
  <si>
    <t>-456.76238133024 -150.841762198538 729.146234800813</t>
  </si>
  <si>
    <t>9763-20170724T164331.818394500.bin</t>
  </si>
  <si>
    <t>-497.918625462617 127.623934134884 -237.270664665079</t>
  </si>
  <si>
    <t>-538.973435634907 126.025777577296 -351.199336106366</t>
  </si>
  <si>
    <t>-555.540287281941 114.781469103813 -470.73874418928</t>
  </si>
  <si>
    <t>-560.217994789164 100.795212576267 -579.262337478765</t>
  </si>
  <si>
    <t>-554.653719528264 83.1366160141553 -687.207079133608</t>
  </si>
  <si>
    <t>-536.281502489926 54.8864716262191 -835.747940947868</t>
  </si>
  <si>
    <t>-489.506227676449 35.158899432699 -924.098796570085</t>
  </si>
  <si>
    <t>-533.270747593265 96.8629936704799 -774.251364873808</t>
  </si>
  <si>
    <t>-492.886878470602 238.013484490031 -765.828890776924</t>
  </si>
  <si>
    <t>-472.752874333136 291.534133659891 -454.514927932034</t>
  </si>
  <si>
    <t>-294.274956965478 161.159123574166 -317.438220643594</t>
  </si>
  <si>
    <t>-555.55055982079 37.9095947950484 -765.79510051882</t>
  </si>
  <si>
    <t>-464.747081223608 217.603545407369 -250.12649636859</t>
  </si>
  <si>
    <t>-458.958125964242 201.246082768307 205.237697751664</t>
  </si>
  <si>
    <t>-487.810230858043 156.759685383027 672.305995714755</t>
  </si>
  <si>
    <t>-335.501802782525 141.252805859952 758.938501190081</t>
  </si>
  <si>
    <t>-530.919351850965 37.7174266363805 -223.773315706428</t>
  </si>
  <si>
    <t>-427.765530060709 -28.6195273901691 215.107513654429</t>
  </si>
  <si>
    <t>-601.191485462494 -93.712333543235 646.503642976178</t>
  </si>
  <si>
    <t>-457.008749374192 -151.338611587556 729.172115763701</t>
  </si>
  <si>
    <t>9763-20170724T164331.890591400.bin</t>
  </si>
  <si>
    <t>-498.489839195578 127.528638102163 -237.26902727101</t>
  </si>
  <si>
    <t>-539.59850778913 125.911943332846 -351.17801448236</t>
  </si>
  <si>
    <t>-556.22197294293 114.677202798607 -470.710546314864</t>
  </si>
  <si>
    <t>-560.952213024564 100.708366095263 -579.233951053929</t>
  </si>
  <si>
    <t>-555.441843091743 83.0741837544304 -687.185469084499</t>
  </si>
  <si>
    <t>-537.146077416178 54.8638065583948 -835.743446202023</t>
  </si>
  <si>
    <t>-490.460296051593 35.1258187190155 -924.13930417138</t>
  </si>
  <si>
    <t>-534.077548110467 96.8146828908086 -774.232134927624</t>
  </si>
  <si>
    <t>-493.597573588686 237.934712016691 -765.746786253242</t>
  </si>
  <si>
    <t>-473.722685921745 291.549267907408 -454.432415127155</t>
  </si>
  <si>
    <t>-295.184617793875 161.160553719567 -317.446789535175</t>
  </si>
  <si>
    <t>-556.405257951871 37.8774030771532 -765.790107420339</t>
  </si>
  <si>
    <t>-465.310689326602 217.312094469702 -250.162610841114</t>
  </si>
  <si>
    <t>-459.296448811369 200.985352292076 205.199803444611</t>
  </si>
  <si>
    <t>-487.67943491897 156.310162833634 672.302082545974</t>
  </si>
  <si>
    <t>-335.229401233259 142.006209498878 758.892305385872</t>
  </si>
  <si>
    <t>-531.515797973606 37.7837966530763 -223.688727719146</t>
  </si>
  <si>
    <t>-428.120758090163 -28.7548562825113 215.104780523991</t>
  </si>
  <si>
    <t>-601.207354403482 -93.7755115210652 646.643682318561</t>
  </si>
  <si>
    <t>-456.897088489998 -151.304544746833 729.157161191351</t>
  </si>
  <si>
    <t>9763-20170724T164331.923680000.bin</t>
  </si>
  <si>
    <t>-498.84382415695 127.778489432089 -237.290675976102</t>
  </si>
  <si>
    <t>-539.989817068944 126.157041980412 -351.186085934485</t>
  </si>
  <si>
    <t>-556.646370208666 114.928905951032 -470.714568292315</t>
  </si>
  <si>
    <t>-561.404734729851 100.968904076035 -579.237939058361</t>
  </si>
  <si>
    <t>-555.920817672132 83.3454835290725 -687.19258309497</t>
  </si>
  <si>
    <t>-537.660173844019 55.1512229074529 -835.757912546882</t>
  </si>
  <si>
    <t>-491.027623177805 35.4163745298312 -924.182532434631</t>
  </si>
  <si>
    <t>-534.566885342345 97.0918000359897 -774.240861573601</t>
  </si>
  <si>
    <t>-494.045355495011 238.197842218089 -765.742450478695</t>
  </si>
  <si>
    <t>-474.329177125592 291.829144326296 -454.420865388813</t>
  </si>
  <si>
    <t>-295.795539159356 161.399784558041 -317.468425653383</t>
  </si>
  <si>
    <t>-556.912974347904 38.1607676503134 -765.803720337262</t>
  </si>
  <si>
    <t>-465.724646905693 217.710699236367 -250.195875299468</t>
  </si>
  <si>
    <t>-459.55672849355 201.414926923508 205.165727937353</t>
  </si>
  <si>
    <t>-487.807710788508 157.023417544355 672.284479272475</t>
  </si>
  <si>
    <t>-335.563361465108 140.965843643043 758.929381955126</t>
  </si>
  <si>
    <t>-531.798479828822 37.9232389534812 -223.715182031023</t>
  </si>
  <si>
    <t>-428.333489912117 -28.5300568024096 215.074714586218</t>
  </si>
  <si>
    <t>-601.213129686726 -93.5705139793183 646.726101753876</t>
  </si>
  <si>
    <t>-456.968739324037 -151.364300408962 729.169634297963</t>
  </si>
  <si>
    <t>9763-20170724T164331.987856600.bin</t>
  </si>
  <si>
    <t>-499.532337138146 127.716548247626 -237.304692200647</t>
  </si>
  <si>
    <t>-540.749879789392 126.133877453501 -351.174845512729</t>
  </si>
  <si>
    <t>-557.464396453541 114.940471296818 -470.698607060557</t>
  </si>
  <si>
    <t>-562.269241159969 101.007488407843 -579.223334728807</t>
  </si>
  <si>
    <t>-556.826094010756 83.4050077899129 -687.183418773895</t>
  </si>
  <si>
    <t>-538.616074700463 55.2320722002097 -835.75886271854</t>
  </si>
  <si>
    <t>-492.073020856028 35.4962594039949 -924.230548278263</t>
  </si>
  <si>
    <t>-535.4791281597 97.1558428893488 -774.232663765735</t>
  </si>
  <si>
    <t>-494.884730472768 238.235827924866 -765.67641615459</t>
  </si>
  <si>
    <t>-475.427665543175 291.831880110125 -454.332453992333</t>
  </si>
  <si>
    <t>-296.869205526568 161.396151284142 -317.418480096224</t>
  </si>
  <si>
    <t>-557.867792278673 38.2396018341344 -765.805147880408</t>
  </si>
  <si>
    <t>-466.430149256403 217.721815743043 -250.217801336487</t>
  </si>
  <si>
    <t>-459.882151189188 201.395606720899 205.137250879193</t>
  </si>
  <si>
    <t>-487.767638826772 157.050107559663 672.27127846591</t>
  </si>
  <si>
    <t>-335.513896501232 141.164761162008 758.931265238269</t>
  </si>
  <si>
    <t>-532.481820288338 37.7533941495405 -223.726989193219</t>
  </si>
  <si>
    <t>-428.887918544605 -28.686997004373 215.034506931809</t>
  </si>
  <si>
    <t>-601.272876714165 -93.6638816229236 646.872214190262</t>
  </si>
  <si>
    <t>-456.73880986552 -150.946361169275 729.165287644484</t>
  </si>
  <si>
    <t>9763-20170724T164332.020949700.bin</t>
  </si>
  <si>
    <t>-499.83502984667 127.638066629637 -237.316574598986</t>
  </si>
  <si>
    <t>-541.090796289928 126.072034468898 -351.173030531679</t>
  </si>
  <si>
    <t>-557.818743898959 114.905579886014 -470.697347259855</t>
  </si>
  <si>
    <t>-562.625235565476 101.0001846988 -579.225623203712</t>
  </si>
  <si>
    <t>-557.173247910565 83.4283937751848 -687.190186433572</t>
  </si>
  <si>
    <t>-538.940224974692 55.3007255691816 -835.771571236851</t>
  </si>
  <si>
    <t>-492.431422875524 35.5943087539916 -924.267580351715</t>
  </si>
  <si>
    <t>-535.804044594384 97.2026746207367 -774.230395421433</t>
  </si>
  <si>
    <t>-495.162342680286 238.263941617749 -765.6239055207</t>
  </si>
  <si>
    <t>-475.931021089899 291.762742246936 -454.249154766953</t>
  </si>
  <si>
    <t>-297.337087278568 161.345668620928 -317.363633501545</t>
  </si>
  <si>
    <t>-558.211566074957 38.2900680003696 -765.827478656469</t>
  </si>
  <si>
    <t>-466.703022635502 217.567326807369 -250.236873055711</t>
  </si>
  <si>
    <t>-459.949302953665 201.283712569776 205.116670867972</t>
  </si>
  <si>
    <t>-487.712696143638 156.942984576452 672.254112382558</t>
  </si>
  <si>
    <t>-335.396953771333 141.679616277992 758.917065297931</t>
  </si>
  <si>
    <t>-532.781840098435 37.7589076984771 -223.741015496578</t>
  </si>
  <si>
    <t>-429.077796011761 -28.6466452419728 214.999714681962</t>
  </si>
  <si>
    <t>-601.255979889623 -93.4575210783678 646.918864320579</t>
  </si>
  <si>
    <t>-456.758893951391 -150.899893191843 729.165278862276</t>
  </si>
  <si>
    <t>9763-20170724T164332.089129300.bin</t>
  </si>
  <si>
    <t>-500.602177152418 127.560239284467 -237.359772245652</t>
  </si>
  <si>
    <t>-541.930447462753 126.026015045999 -351.190462617355</t>
  </si>
  <si>
    <t>-558.705000165265 114.912431940436 -470.713097564708</t>
  </si>
  <si>
    <t>-563.5427950466 101.060763882884 -579.246845084252</t>
  </si>
  <si>
    <t>-558.111046945594 83.546976137852 -687.222013753358</t>
  </si>
  <si>
    <t>-539.895206154846 55.5032627879599 -835.821219968446</t>
  </si>
  <si>
    <t>-493.474948998702 35.8484068221598 -924.375384766667</t>
  </si>
  <si>
    <t>-536.734691886845 97.3642727467651 -774.253626076635</t>
  </si>
  <si>
    <t>-496.041941098795 238.412735021976 -765.525326569202</t>
  </si>
  <si>
    <t>-477.077797931907 291.776164460182 -454.111055374781</t>
  </si>
  <si>
    <t>-298.466830268603 161.343100789197 -317.262882034422</t>
  </si>
  <si>
    <t>-559.175642609129 38.4591391402045 -765.887844165454</t>
  </si>
  <si>
    <t>-467.466501840395 217.513308890555 -250.287561169904</t>
  </si>
  <si>
    <t>-460.345093427542 201.25075104895 205.061234536855</t>
  </si>
  <si>
    <t>-487.697804201287 157.081963763177 672.237416028885</t>
  </si>
  <si>
    <t>-335.44593052643 141.376597980687 758.933601290361</t>
  </si>
  <si>
    <t>-533.580962516748 37.6332973069007 -223.775148309666</t>
  </si>
  <si>
    <t>-429.612116796822 -28.775777461323 214.902349856272</t>
  </si>
  <si>
    <t>-601.327386582885 -93.6973663889895 647.054603731402</t>
  </si>
  <si>
    <t>-456.533238072908 -150.605556591414 729.149735028878</t>
  </si>
  <si>
    <t>9763-20170724T164332.122217800.bin</t>
  </si>
  <si>
    <t>-501.063101254364 127.589493540946 -237.382684369427</t>
  </si>
  <si>
    <t>-542.411867589719 126.061402033653 -351.206027218394</t>
  </si>
  <si>
    <t>-559.175303921074 114.975438335543 -470.732779378946</t>
  </si>
  <si>
    <t>-563.99042658273 101.154972077424 -579.271624080404</t>
  </si>
  <si>
    <t>-558.524210805139 83.6774121969892 -687.250714255035</t>
  </si>
  <si>
    <t>-540.248765408925 55.6880104935054 -835.852962526391</t>
  </si>
  <si>
    <t>-493.871885566446 36.0807360571425 -924.440373002574</t>
  </si>
  <si>
    <t>-537.104933369374 97.5237118405063 -774.267184696033</t>
  </si>
  <si>
    <t>-496.373840931501 238.544139725818 -765.473440552583</t>
  </si>
  <si>
    <t>-477.592388080951 291.791926316106 -454.028336543559</t>
  </si>
  <si>
    <t>-298.969053929487 161.364205522683 -317.191355511202</t>
  </si>
  <si>
    <t>-559.565200770561 38.6211751398504 -765.935001932921</t>
  </si>
  <si>
    <t>-467.94920266156 217.485602777083 -250.309849097335</t>
  </si>
  <si>
    <t>-460.590385863717 201.244282911684 205.035875020671</t>
  </si>
  <si>
    <t>-487.690006817236 157.161824746976 672.227908934566</t>
  </si>
  <si>
    <t>-335.437391433199 141.527923365667 758.935673875892</t>
  </si>
  <si>
    <t>-534.005440481056 37.7729499588103 -223.818523476655</t>
  </si>
  <si>
    <t>-429.918998221729 -28.5555204260792 214.84330662295</t>
  </si>
  <si>
    <t>-601.314711426323 -93.3780818041122 647.097041024608</t>
  </si>
  <si>
    <t>-456.846261920753 -151.165812093699 729.151662416748</t>
  </si>
  <si>
    <t>9763-20170724T164332.186942800.bin</t>
  </si>
  <si>
    <t>-502.052690065106 127.54250887955 -237.468712209401</t>
  </si>
  <si>
    <t>-543.518990222008 126.041157567087 -351.24956404221</t>
  </si>
  <si>
    <t>-560.302005587318 115.00150992607 -470.777862370351</t>
  </si>
  <si>
    <t>-565.093315615333 101.229413901949 -579.323851577041</t>
  </si>
  <si>
    <t>-559.561956440547 83.8061068744505 -687.308497353791</t>
  </si>
  <si>
    <t>-541.153914329269 55.8979976739695 -835.909543818166</t>
  </si>
  <si>
    <t>-494.890804423197 36.4045022353775 -924.581527660715</t>
  </si>
  <si>
    <t>-538.066870802124 97.7006359123767 -774.298493179773</t>
  </si>
  <si>
    <t>-497.368383821759 238.724247474583 -765.355115152136</t>
  </si>
  <si>
    <t>-479.037699666051 291.796526176011 -453.85295474181</t>
  </si>
  <si>
    <t>-300.284895959388 161.392770605584 -317.162201979127</t>
  </si>
  <si>
    <t>-560.530928252128 38.7922966322075 -766.017963321745</t>
  </si>
  <si>
    <t>-468.979700051191 217.488918671231 -250.381196970367</t>
  </si>
  <si>
    <t>-461.193720761726 201.339532044498 204.960735575228</t>
  </si>
  <si>
    <t>-487.705705156179 157.450758037734 672.200617904739</t>
  </si>
  <si>
    <t>-335.517089771074 141.307911695945 758.927419246652</t>
  </si>
  <si>
    <t>-534.968745769139 37.6448730484808 -223.901168645341</t>
  </si>
  <si>
    <t>-430.474932848688 -28.4518871916071 214.698740039248</t>
  </si>
  <si>
    <t>-601.306176162807 -93.2770501612767 647.16876106508</t>
  </si>
  <si>
    <t>-456.741193981079 -150.983798449218 729.11023427132</t>
  </si>
  <si>
    <t>9763-20170724T164332.218025600.bin</t>
  </si>
  <si>
    <t>-502.505940952362 127.434626421534 -237.52336627488</t>
  </si>
  <si>
    <t>-543.996148055889 125.926804481068 -351.295466273825</t>
  </si>
  <si>
    <t>-560.799125495891 114.9212998224 -470.82414494544</t>
  </si>
  <si>
    <t>-565.606305825895 101.197301972976 -579.375518852196</t>
  </si>
  <si>
    <t>-560.088127773183 83.8395070230301 -687.371444378401</t>
  </si>
  <si>
    <t>-541.695247377254 56.0405050241901 -835.994906674738</t>
  </si>
  <si>
    <t>-495.48364708688 36.6342765471596 -924.712672413824</t>
  </si>
  <si>
    <t>-538.616702794935 97.8031394047947 -774.356191349398</t>
  </si>
  <si>
    <t>-497.933430833727 238.830671167142 -765.354952227315</t>
  </si>
  <si>
    <t>-479.833419147937 291.880987507227 -453.835642718368</t>
  </si>
  <si>
    <t>-301.068142674455 161.438973385267 -317.197784975883</t>
  </si>
  <si>
    <t>-561.050442926396 38.87827231376 -766.111016822432</t>
  </si>
  <si>
    <t>-469.459786182302 217.406063021409 -250.436440664207</t>
  </si>
  <si>
    <t>-461.520938191108 201.30066968097 204.90433008674</t>
  </si>
  <si>
    <t>-487.695841096795 157.548552317118 672.176175791278</t>
  </si>
  <si>
    <t>-335.523453139503 141.307893724858 758.913274296571</t>
  </si>
  <si>
    <t>-535.393904155862 37.5105120032991 -223.951637228807</t>
  </si>
  <si>
    <t>-430.738137130318 -28.4758467403263 214.626294034656</t>
  </si>
  <si>
    <t>-601.325597049152 -93.4078835783707 647.219444267839</t>
  </si>
  <si>
    <t>-456.627273001018 -150.872158004356 729.096098058659</t>
  </si>
  <si>
    <t>9763-20170724T164332.289228500.bin</t>
  </si>
  <si>
    <t>-503.370266757801 127.105974310703 -237.591805617769</t>
  </si>
  <si>
    <t>-544.837072815973 125.588498926782 -351.372307239558</t>
  </si>
  <si>
    <t>-561.695862143353 114.660773480421 -470.900323561866</t>
  </si>
  <si>
    <t>-566.585376798834 101.044905282964 -579.461479041608</t>
  </si>
  <si>
    <t>-561.180002457229 83.8334054467352 -687.486602153496</t>
  </si>
  <si>
    <t>-542.973466847694 56.2778144779928 -836.178161112702</t>
  </si>
  <si>
    <t>-496.859437044409 37.0274199338056 -924.980871109214</t>
  </si>
  <si>
    <t>-539.866190745417 97.9566526109579 -774.484400014363</t>
  </si>
  <si>
    <t>-499.289536839698 239.007329908596 -765.388731101027</t>
  </si>
  <si>
    <t>-481.452701145557 291.859690979252 -453.820693596702</t>
  </si>
  <si>
    <t>-302.568110693426 161.375198470797 -317.379625126135</t>
  </si>
  <si>
    <t>-562.192398542915 38.9839847502475 -766.289100119927</t>
  </si>
  <si>
    <t>-470.36032554443 217.071411174701 -250.520329148818</t>
  </si>
  <si>
    <t>-462.304787113128 201.109871196288 204.823604313013</t>
  </si>
  <si>
    <t>-487.627779951476 157.519278392645 672.145219274397</t>
  </si>
  <si>
    <t>-335.415936996011 141.669532596748 758.885356232479</t>
  </si>
  <si>
    <t>-536.202131998149 37.173538015301 -224.066185378877</t>
  </si>
  <si>
    <t>-431.354097602072 -28.4710485793129 214.517088427553</t>
  </si>
  <si>
    <t>-601.368152959444 -93.356130106461 647.350752971291</t>
  </si>
  <si>
    <t>-456.536547260787 -150.701083749658 729.07510165013</t>
  </si>
  <si>
    <t>9763-20170724T164332.323336800.bin</t>
  </si>
  <si>
    <t>-503.788605098014 126.905219191323 -237.643640760818</t>
  </si>
  <si>
    <t>-545.32845015458 125.384604729512 -351.397321717695</t>
  </si>
  <si>
    <t>-562.266750121316 114.499516132645 -470.918102448606</t>
  </si>
  <si>
    <t>-567.229402566968 100.941348475118 -579.483242518839</t>
  </si>
  <si>
    <t>-561.897460975613 83.8066220374405 -687.524046191759</t>
  </si>
  <si>
    <t>-543.792403507662 56.3776948150895 -836.251561380033</t>
  </si>
  <si>
    <t>-497.725471142912 37.207066333979 -925.095870172604</t>
  </si>
  <si>
    <t>-540.669181950769 98.0131860904478 -774.529197596422</t>
  </si>
  <si>
    <t>-500.173411484321 239.08670448741 -765.38373154605</t>
  </si>
  <si>
    <t>-482.458817402754 291.781702298301 -453.782045170273</t>
  </si>
  <si>
    <t>-303.452174178195 161.314230508215 -317.484821379388</t>
  </si>
  <si>
    <t>-562.937600467103 39.0151885256659 -766.359368337052</t>
  </si>
  <si>
    <t>-470.845250145343 216.911822520881 -250.569865117857</t>
  </si>
  <si>
    <t>-462.634113562822 200.994656062231 204.772740802678</t>
  </si>
  <si>
    <t>-487.582842446955 157.464392600365 672.124401404604</t>
  </si>
  <si>
    <t>-335.362834829192 141.766089266448 758.877827476826</t>
  </si>
  <si>
    <t>-536.599709887173 36.9034958225491 -224.083210312206</t>
  </si>
  <si>
    <t>-431.538971809907 -28.5006841307319 214.48511279832</t>
  </si>
  <si>
    <t>-601.394920716594 -93.5247594044688 647.384120399823</t>
  </si>
  <si>
    <t>-456.46155624089 -150.688930179765 729.054682131565</t>
  </si>
  <si>
    <t>9763-20170724T164332.386046600.bin</t>
  </si>
  <si>
    <t>-504.677851053826 126.772142424893 -237.662285138145</t>
  </si>
  <si>
    <t>-546.346286330557 125.230129994795 -351.368736872004</t>
  </si>
  <si>
    <t>-563.39124494827 114.430122889945 -470.88200301659</t>
  </si>
  <si>
    <t>-568.438058087018 100.995597441788 -579.458583530494</t>
  </si>
  <si>
    <t>-563.176166951326 84.032949345325 -687.529975032313</t>
  </si>
  <si>
    <t>-545.152097382557 56.8948291691318 -836.32065086281</t>
  </si>
  <si>
    <t>-499.15414461457 37.9377974253588 -925.246448371232</t>
  </si>
  <si>
    <t>-542.069214135902 98.435499491301 -774.532372560117</t>
  </si>
  <si>
    <t>-501.85115293045 239.572631199619 -765.229450224925</t>
  </si>
  <si>
    <t>-484.416138838364 291.991713707567 -453.565440995564</t>
  </si>
  <si>
    <t>-305.07544881985 161.58192792658 -317.652606412324</t>
  </si>
  <si>
    <t>-564.185167853628 39.3696924205543 -766.438424483983</t>
  </si>
  <si>
    <t>-471.868361812719 216.769255052844 -250.620437825902</t>
  </si>
  <si>
    <t>-463.268859648319 200.938882114011 204.717963846315</t>
  </si>
  <si>
    <t>-487.558516776936 157.580485404482 672.115463534114</t>
  </si>
  <si>
    <t>-335.293304387742 142.33629870134 758.870448610431</t>
  </si>
  <si>
    <t>-537.351737006627 36.8824874740795 -224.05354850344</t>
  </si>
  <si>
    <t>-431.774556948707 -28.4100475039825 214.407376902489</t>
  </si>
  <si>
    <t>-601.366751781927 -93.2561821855972 647.401382320284</t>
  </si>
  <si>
    <t>-456.555034596891 -150.746475974205 729.058918046416</t>
  </si>
  <si>
    <t>9763-20170724T164332.426152500.bin</t>
  </si>
  <si>
    <t>-505.199844119519 126.775428269453 -237.694830802381</t>
  </si>
  <si>
    <t>-546.962459523874 125.216117684116 -351.366413167503</t>
  </si>
  <si>
    <t>-564.075824385987 114.459593423377 -470.87382983764</t>
  </si>
  <si>
    <t>-569.171726577236 101.090960801884 -579.456412705596</t>
  </si>
  <si>
    <t>-563.945225211942 84.2216478136883 -687.544118761889</t>
  </si>
  <si>
    <t>-545.955175751551 57.2426254217343 -836.367790700793</t>
  </si>
  <si>
    <t>-499.98443982672 38.4241632000028 -925.337072842389</t>
  </si>
  <si>
    <t>-542.894522714736 98.7298855322121 -774.54261012808</t>
  </si>
  <si>
    <t>-502.806926706521 239.899999879069 -765.139533260116</t>
  </si>
  <si>
    <t>-485.547982778875 292.123636853457 -453.432955526027</t>
  </si>
  <si>
    <t>-306.039163121149 161.793024670071 -317.666359864335</t>
  </si>
  <si>
    <t>-564.935927955967 39.6301216291587 -766.493201404919</t>
  </si>
  <si>
    <t>-472.476527497278 216.849623866442 -250.656497054627</t>
  </si>
  <si>
    <t>-463.566769855675 201.042032665842 204.676860790048</t>
  </si>
  <si>
    <t>-487.585920625079 157.85067774725 672.095552814709</t>
  </si>
  <si>
    <t>-335.365607509409 142.269170299658 758.869418250198</t>
  </si>
  <si>
    <t>-537.818080012846 36.7656433641374 -224.068061809803</t>
  </si>
  <si>
    <t>-431.99752379352 -28.3757361165468 214.356660792975</t>
  </si>
  <si>
    <t>-601.397563886865 -93.4421182853774 647.438948455041</t>
  </si>
  <si>
    <t>-456.495479967561 -150.773541348486 729.04783401952</t>
  </si>
  <si>
    <t>9763-20170724T164332.485325500.bin</t>
  </si>
  <si>
    <t>-506.283421762024 126.65755567642 -237.742182999547</t>
  </si>
  <si>
    <t>-548.144544962479 125.076985161456 -351.377304068068</t>
  </si>
  <si>
    <t>-565.372966487784 114.419389887641 -470.876884208942</t>
  </si>
  <si>
    <t>-570.578433630141 101.18828252424 -579.471091835632</t>
  </si>
  <si>
    <t>-565.465802085693 84.503273923967 -687.592795912412</t>
  </si>
  <si>
    <t>-547.637159495593 57.8279525586552 -836.490695334527</t>
  </si>
  <si>
    <t>-501.757454971866 39.2706245829749 -925.5618938528</t>
  </si>
  <si>
    <t>-544.563373156066 99.2077707410425 -774.594196241513</t>
  </si>
  <si>
    <t>-504.706899577266 240.434285289802 -765.015321512425</t>
  </si>
  <si>
    <t>-487.783842470118 292.229750717086 -453.218988267426</t>
  </si>
  <si>
    <t>-308.05913528407 161.935023315787 -317.703708421699</t>
  </si>
  <si>
    <t>-566.488188918364 40.0541772623415 -766.621955670805</t>
  </si>
  <si>
    <t>-473.700802659574 216.676562917216 -250.71469102447</t>
  </si>
  <si>
    <t>-464.234033299536 200.974298022877 204.610988488932</t>
  </si>
  <si>
    <t>-487.46940357933 157.624334169661 672.061436976513</t>
  </si>
  <si>
    <t>-335.273344550245 142.056176729 758.880232085352</t>
  </si>
  <si>
    <t>-538.676971486323 36.711736227718 -224.11462450972</t>
  </si>
  <si>
    <t>-432.484443552967 -28.2744000658589 214.243277466207</t>
  </si>
  <si>
    <t>-601.426666790032 -93.1916567197612 647.488389678078</t>
  </si>
  <si>
    <t>-456.535500916071 -150.709567210602 728.985316309981</t>
  </si>
  <si>
    <t>9763-20170724T164332.524425100.bin</t>
  </si>
  <si>
    <t>-506.8765568992 126.672938793491 -237.791354003071</t>
  </si>
  <si>
    <t>-548.792854899742 125.072827540857 -351.405865102134</t>
  </si>
  <si>
    <t>-566.067996951177 114.450130554416 -470.901854489559</t>
  </si>
  <si>
    <t>-571.31198932309 101.270794780955 -579.500500510848</t>
  </si>
  <si>
    <t>-566.23425062364 84.6565147913834 -687.634930102457</t>
  </si>
  <si>
    <t>-548.450125772398 58.0976928536451 -836.55879856658</t>
  </si>
  <si>
    <t>-502.621365768867 39.6581171886128 -925.680574920098</t>
  </si>
  <si>
    <t>-545.378920887993 99.4363345669747 -774.634568570031</t>
  </si>
  <si>
    <t>-505.634560114766 240.688427440255 -764.962108888526</t>
  </si>
  <si>
    <t>-488.805505386181 292.288709587873 -453.128280453695</t>
  </si>
  <si>
    <t>-309.017782882136 161.991015594064 -317.699435097957</t>
  </si>
  <si>
    <t>-567.259245049259 40.2620097042821 -766.694532742843</t>
  </si>
  <si>
    <t>-474.411574942764 216.747185200407 -250.762566178371</t>
  </si>
  <si>
    <t>-464.697137661949 201.06709468276 204.558682943798</t>
  </si>
  <si>
    <t>-487.488636285058 157.876651358741 672.040562206001</t>
  </si>
  <si>
    <t>-335.356725797322 141.88684958767 758.895126557686</t>
  </si>
  <si>
    <t>-539.181922613225 36.6972918890802 -224.156618596729</t>
  </si>
  <si>
    <t>-432.800400471098 -28.23114405897 214.163947382265</t>
  </si>
  <si>
    <t>-601.446678188671 -93.1053223581198 647.50720229552</t>
  </si>
  <si>
    <t>-456.439615689656 -150.420479056782 728.94088111018</t>
  </si>
  <si>
    <t>9763-20170724T164332.589136300.bin</t>
  </si>
  <si>
    <t>-508.160995295529 126.423071519225 -237.901712951106</t>
  </si>
  <si>
    <t>-550.153437978518 124.804596530681 -351.487884657619</t>
  </si>
  <si>
    <t>-567.505265667803 114.252767049781 -470.979014693859</t>
  </si>
  <si>
    <t>-572.818570238078 101.171177676607 -579.586177661544</t>
  </si>
  <si>
    <t>-567.809667319466 84.6861773164947 -687.743472751088</t>
  </si>
  <si>
    <t>-550.120347211259 58.3379869921447 -836.716088049905</t>
  </si>
  <si>
    <t>-504.406381916064 40.1052750536802 -925.93933610437</t>
  </si>
  <si>
    <t>-547.047331551373 99.6019831122021 -774.742326229589</t>
  </si>
  <si>
    <t>-507.546864684982 240.915146315574 -764.946274326362</t>
  </si>
  <si>
    <t>-490.827084306643 292.114975858249 -453.040449049421</t>
  </si>
  <si>
    <t>-310.861684560813 161.954840659663 -317.715371964068</t>
  </si>
  <si>
    <t>-568.847382894579 40.3905216083338 -766.858437180846</t>
  </si>
  <si>
    <t>-475.914229535976 216.51015144543 -250.85406728665</t>
  </si>
  <si>
    <t>-465.718531885403 200.985298393191 204.461970542461</t>
  </si>
  <si>
    <t>-487.484603083386 158.146209958729 672.01451322377</t>
  </si>
  <si>
    <t>-335.380420135689 142.08046494505 758.903674169619</t>
  </si>
  <si>
    <t>-540.231740026888 36.3847495009559 -224.305473937497</t>
  </si>
  <si>
    <t>-433.432197705123 -28.1876531739126 213.9660746888</t>
  </si>
  <si>
    <t>-601.473725579539 -93.0381413920575 647.506324091067</t>
  </si>
  <si>
    <t>-456.497949728807 -150.524040039842 728.875231613366</t>
  </si>
  <si>
    <t>9763-20170724T164332.622223800.bin</t>
  </si>
  <si>
    <t>-508.881750983494 126.301216703988 -237.965555628848</t>
  </si>
  <si>
    <t>-550.924238946976 124.654947497238 -351.532805654589</t>
  </si>
  <si>
    <t>-568.320533803979 114.125240496338 -471.019378702712</t>
  </si>
  <si>
    <t>-573.671257093972 101.083192086503 -579.629376159867</t>
  </si>
  <si>
    <t>-568.696828934017 84.6566571931028 -687.797157104273</t>
  </si>
  <si>
    <t>-551.051970263526 58.4086255721671 -836.792900876094</t>
  </si>
  <si>
    <t>-505.446877501725 40.2847638454516 -926.093930956883</t>
  </si>
  <si>
    <t>-547.978653743636 99.6372441255745 -774.795438047404</t>
  </si>
  <si>
    <t>-508.592688937812 240.972451443772 -764.919315717215</t>
  </si>
  <si>
    <t>-491.880415466152 292.040247020057 -452.991433353796</t>
  </si>
  <si>
    <t>-311.877674494823 161.943246221561 -317.655518023593</t>
  </si>
  <si>
    <t>-569.739897541223 40.4079128674568 -766.938371196058</t>
  </si>
  <si>
    <t>-476.776310080658 216.503974503167 -250.919461110476</t>
  </si>
  <si>
    <t>-466.35188826407 201.070092514861 204.39448877211</t>
  </si>
  <si>
    <t>-487.538133794175 158.545572561229 671.994324645568</t>
  </si>
  <si>
    <t>-335.512217089255 141.924134494089 758.915893968879</t>
  </si>
  <si>
    <t>-540.855842994089 36.190531162392 -224.364268474445</t>
  </si>
  <si>
    <t>-433.756823185931 -28.1532508234771 213.867775748358</t>
  </si>
  <si>
    <t>-601.483033028829 -92.9565003439722 647.519333290041</t>
  </si>
  <si>
    <t>-456.425398511225 -150.330898881691 728.821117381484</t>
  </si>
  <si>
    <t>9763-20170724T164332.691914300.bin</t>
  </si>
  <si>
    <t>-510.392155600131 125.640880034077 -238.139004402011</t>
  </si>
  <si>
    <t>-552.506263015098 123.946444595298 -351.678933968376</t>
  </si>
  <si>
    <t>-569.960826883581 113.47905660626 -471.162670855362</t>
  </si>
  <si>
    <t>-575.358484051127 100.536569024031 -579.782255869397</t>
  </si>
  <si>
    <t>-570.424907398198 84.2508195579454 -687.973061403099</t>
  </si>
  <si>
    <t>-552.83018541072 58.2400139582046 -837.016340978051</t>
  </si>
  <si>
    <t>-507.671968341769 40.3790215385236 -926.597009594003</t>
  </si>
  <si>
    <t>-549.770678004883 99.3817337015782 -774.960559624558</t>
  </si>
  <si>
    <t>-510.557631105745 240.757509543874 -764.930813192046</t>
  </si>
  <si>
    <t>-493.9688389987 291.63362477765 -452.965101990179</t>
  </si>
  <si>
    <t>-313.829531585474 161.682269719854 -317.67086962015</t>
  </si>
  <si>
    <t>-571.459940101611 40.1162246387148 -767.178066964103</t>
  </si>
  <si>
    <t>-478.431847688986 215.7996637128 -251.111262394284</t>
  </si>
  <si>
    <t>-467.769986729785 200.574500082843 204.20414051142</t>
  </si>
  <si>
    <t>-487.298087408966 158.11048213006 671.864075789292</t>
  </si>
  <si>
    <t>-335.241362035121 142.433742183487 758.907169266588</t>
  </si>
  <si>
    <t>-542.194405745898 35.5267950389164 -224.533619985069</t>
  </si>
  <si>
    <t>-434.551420267788 -28.3944109469756 213.626948216825</t>
  </si>
  <si>
    <t>-601.5713486905 -93.2876011164256 647.549348602195</t>
  </si>
  <si>
    <t>-456.189622621102 -150.116754043318 728.654966590708</t>
  </si>
  <si>
    <t>9763-20170724T164332.718986100.bin</t>
  </si>
  <si>
    <t>-511.114890227454 125.359156482125 -238.270778794199</t>
  </si>
  <si>
    <t>-553.226226011457 123.638846119786 -351.811456446423</t>
  </si>
  <si>
    <t>-570.673278661524 113.195884733932 -471.298373543286</t>
  </si>
  <si>
    <t>-576.062530931199 100.295319128447 -579.923307631463</t>
  </si>
  <si>
    <t>-571.118970918622 84.0709146802532 -688.122923901772</t>
  </si>
  <si>
    <t>-553.508855880068 58.1648528661624 -837.182493940123</t>
  </si>
  <si>
    <t>-508.613278004343 40.4311162104214 -926.920448095164</t>
  </si>
  <si>
    <t>-550.47600067973 99.269930134984 -775.1013058052</t>
  </si>
  <si>
    <t>-511.347812186348 240.661659201674 -764.99262043874</t>
  </si>
  <si>
    <t>-494.877057605966 291.357076032148 -452.991249249203</t>
  </si>
  <si>
    <t>-314.628994295008 161.549006699402 -317.70431500043</t>
  </si>
  <si>
    <t>-572.12559389735 39.9850456974231 -767.355403176468</t>
  </si>
  <si>
    <t>-479.197630124718 215.439797991503 -251.247872194844</t>
  </si>
  <si>
    <t>-468.462203531637 200.349184745198 204.070350335879</t>
  </si>
  <si>
    <t>-487.156163094329 157.858791852018 671.789485689412</t>
  </si>
  <si>
    <t>-335.086030412011 142.676844327494 758.896946656188</t>
  </si>
  <si>
    <t>-542.862909200897 35.3475554493032 -224.67241810335</t>
  </si>
  <si>
    <t>-435.009772690673 -28.3925079237642 213.462944882363</t>
  </si>
  <si>
    <t>-601.579077960084 -93.2287069571226 647.528662505538</t>
  </si>
  <si>
    <t>-456.092124122012 -149.929618268405 728.535187957657</t>
  </si>
  <si>
    <t>9763-20170724T164332.789773600.bin</t>
  </si>
  <si>
    <t>-512.579823801268 125.222171340597 -238.551205922124</t>
  </si>
  <si>
    <t>-554.728099204974 123.430486431081 -352.076937739333</t>
  </si>
  <si>
    <t>-572.218862767915 113.039745667912 -471.562013934102</t>
  </si>
  <si>
    <t>-577.651175823001 100.233422819038 -580.195930182957</t>
  </si>
  <si>
    <t>-572.75425218235 84.1476185477611 -688.41855992058</t>
  </si>
  <si>
    <t>-555.212505832323 58.4777998703181 -837.526959594765</t>
  </si>
  <si>
    <t>-510.809950853867 40.9394171756739 -927.548133733637</t>
  </si>
  <si>
    <t>-552.182614549059 99.4951925311829 -775.387568347722</t>
  </si>
  <si>
    <t>-513.158343342316 240.909426520461 -765.144212140347</t>
  </si>
  <si>
    <t>-496.971295530071 291.337790501268 -453.084744408791</t>
  </si>
  <si>
    <t>-316.550511866319 161.729948388442 -317.835979823815</t>
  </si>
  <si>
    <t>-573.765830539322 40.1766488630867 -767.714761566892</t>
  </si>
  <si>
    <t>-480.855511839449 215.460273896655 -251.48929667557</t>
  </si>
  <si>
    <t>-469.866354926627 200.564168273611 203.829362362028</t>
  </si>
  <si>
    <t>-487.219895207461 158.522451422231 671.702935644808</t>
  </si>
  <si>
    <t>-335.318190970123 142.046401408967 758.868980610717</t>
  </si>
  <si>
    <t>-544.158934727781 35.0994284760524 -225.030259133817</t>
  </si>
  <si>
    <t>-435.906212290854 -27.6916806629405 213.143605400347</t>
  </si>
  <si>
    <t>-601.47441188701 -92.6227870996393 647.497796712841</t>
  </si>
  <si>
    <t>-455.957041202103 -149.49803344663 728.327298018329</t>
  </si>
  <si>
    <t>9763-20170724T164332.820856500.bin</t>
  </si>
  <si>
    <t>-513.298407696383 125.044672225775 -238.674795576473</t>
  </si>
  <si>
    <t>-555.483329255608 123.247818447452 -352.186963677379</t>
  </si>
  <si>
    <t>-572.976326483125 112.875389896537 -471.673264131984</t>
  </si>
  <si>
    <t>-578.396054282813 100.094852320438 -580.310937601742</t>
  </si>
  <si>
    <t>-573.472022632271 84.0438979557307 -688.537442403219</t>
  </si>
  <si>
    <t>-555.877862465125 58.431795964445 -837.649693443508</t>
  </si>
  <si>
    <t>-511.614382484503 40.9671152098645 -927.753578357791</t>
  </si>
  <si>
    <t>-552.892368340903 99.4328021572116 -775.497232334394</t>
  </si>
  <si>
    <t>-513.963736900232 240.863897166779 -765.220644923841</t>
  </si>
  <si>
    <t>-497.822936859194 291.115042826819 -453.13018775279</t>
  </si>
  <si>
    <t>-317.324464715374 161.614366479878 -317.88247760805</t>
  </si>
  <si>
    <t>-574.433082283741 40.0959143500661 -767.846966743509</t>
  </si>
  <si>
    <t>-481.616292568339 215.204052982037 -251.57570700472</t>
  </si>
  <si>
    <t>-470.427998957765 200.363997031096 203.739818106221</t>
  </si>
  <si>
    <t>-487.139192204986 158.250469872974 671.674858432705</t>
  </si>
  <si>
    <t>-335.153677798696 142.426792139827 758.815734732949</t>
  </si>
  <si>
    <t>-544.830510745726 35.0098816682845 -225.153850853817</t>
  </si>
  <si>
    <t>-436.293331791737 -27.4497462736748 212.997033540412</t>
  </si>
  <si>
    <t>-601.445654578291 -92.5393909084139 647.525347083866</t>
  </si>
  <si>
    <t>-456.003657309475 -149.684526970466 728.299990526956</t>
  </si>
  <si>
    <t>9763-20170724T164332.885607900.bin</t>
  </si>
  <si>
    <t>-514.820750063679 124.415812093057 -238.907059311305</t>
  </si>
  <si>
    <t>-557.133462970844 122.592929789584 -352.371241065285</t>
  </si>
  <si>
    <t>-574.69941926827 112.24427280637 -471.848852501831</t>
  </si>
  <si>
    <t>-580.161541799129 99.5026503101626 -580.488926945374</t>
  </si>
  <si>
    <t>-575.256430933353 83.5057712052059 -688.72427684177</t>
  </si>
  <si>
    <t>-557.66452965469 57.9829489010898 -837.852068392501</t>
  </si>
  <si>
    <t>-513.580097277657 40.6332220262699 -928.066009514212</t>
  </si>
  <si>
    <t>-554.712854239855 98.9585347213754 -775.681310550036</t>
  </si>
  <si>
    <t>-515.957868700802 240.44133926854 -765.376092539206</t>
  </si>
  <si>
    <t>-499.997255712879 290.489170383655 -453.243708358478</t>
  </si>
  <si>
    <t>-319.274311992698 161.189141590829 -318.103796998044</t>
  </si>
  <si>
    <t>-576.183950086134 39.5934563725177 -768.05404891633</t>
  </si>
  <si>
    <t>-483.190519982013 214.712234948821 -251.787755001119</t>
  </si>
  <si>
    <t>-471.281237521234 199.915311203303 203.511054150587</t>
  </si>
  <si>
    <t>-486.978865311238 158.201615024072 671.479578989089</t>
  </si>
  <si>
    <t>-335.020313184224 142.778222328373 758.739116844027</t>
  </si>
  <si>
    <t>-546.307077007615 34.0816817706614 -225.431600480796</t>
  </si>
  <si>
    <t>-437.327791489546 -27.385840994713 212.749748123578</t>
  </si>
  <si>
    <t>-601.429177124303 -93.1010925288604 647.609684766861</t>
  </si>
  <si>
    <t>-455.191897434352 -148.485230815197 728.17498815997</t>
  </si>
  <si>
    <t>9763-20170724T164332.922707100.bin</t>
  </si>
  <si>
    <t>-515.533049050508 124.453846838459 -239.091783750832</t>
  </si>
  <si>
    <t>-557.882329667479 122.61589357318 -352.541979525923</t>
  </si>
  <si>
    <t>-575.484768882154 112.277510859224 -472.015268085207</t>
  </si>
  <si>
    <t>-580.97958055432 99.5544447683929 -580.655875103517</t>
  </si>
  <si>
    <t>-576.106844729734 83.5847092436316 -688.896621066036</t>
  </si>
  <si>
    <t>-558.559374712122 58.1077367827934 -838.03754148285</t>
  </si>
  <si>
    <t>-514.527149493429 40.8117572357467 -928.287136070944</t>
  </si>
  <si>
    <t>-555.611272062106 99.071726912174 -775.858922672037</t>
  </si>
  <si>
    <t>-517.003583048404 240.592048676566 -765.561325206002</t>
  </si>
  <si>
    <t>-501.007597513382 290.551499651931 -453.416534446615</t>
  </si>
  <si>
    <t>-320.191578233137 161.341571673341 -318.314941668328</t>
  </si>
  <si>
    <t>-577.035853353514 39.6892990496003 -768.235672998912</t>
  </si>
  <si>
    <t>-483.940624070193 214.800793154225 -251.937692376686</t>
  </si>
  <si>
    <t>-471.694013671944 200.032358495609 203.352971650525</t>
  </si>
  <si>
    <t>-486.965564467727 158.578436523993 671.363480118466</t>
  </si>
  <si>
    <t>-335.113597803307 142.613798212646 758.711189812414</t>
  </si>
  <si>
    <t>-546.958037136386 34.2542084881483 -225.628166008628</t>
  </si>
  <si>
    <t>-437.926980193736 -26.9554293719886 212.576417501679</t>
  </si>
  <si>
    <t>-601.327445156886 -92.7200733157277 647.645578762655</t>
  </si>
  <si>
    <t>-455.343518684964 -148.821897743092 728.173770680532</t>
  </si>
  <si>
    <t>9763-20170724T164332.987407400.bin</t>
  </si>
  <si>
    <t>-517.063941934212 124.359452082627 -239.408149985163</t>
  </si>
  <si>
    <t>-559.487188886628 122.484106474242 -352.830167769483</t>
  </si>
  <si>
    <t>-577.194400936959 112.154540785767 -472.288647701478</t>
  </si>
  <si>
    <t>-582.797037833558 99.4535951451078 -580.926393591674</t>
  </si>
  <si>
    <t>-578.045272276237 83.5165082087138 -689.177393867107</t>
  </si>
  <si>
    <t>-560.679183583843 58.0929179543637 -838.348589903236</t>
  </si>
  <si>
    <t>-516.722945894638 40.875945458067 -928.650362476943</t>
  </si>
  <si>
    <t>-557.703641948656 99.0509027997368 -776.167362203888</t>
  </si>
  <si>
    <t>-519.358347547867 240.651960017815 -765.904108544324</t>
  </si>
  <si>
    <t>-503.201654240366 290.570754276385 -453.761008444846</t>
  </si>
  <si>
    <t>-322.177456712369 161.537036553184 -318.769958350296</t>
  </si>
  <si>
    <t>-579.022604426654 39.6332182526369 -768.522506188638</t>
  </si>
  <si>
    <t>-485.580593187549 214.726069141718 -252.153104677324</t>
  </si>
  <si>
    <t>-472.685099359605 199.993266684626 203.120735857739</t>
  </si>
  <si>
    <t>-486.922970308633 158.68629524314 671.259200698664</t>
  </si>
  <si>
    <t>-335.033688434545 143.039263313957 758.599546388754</t>
  </si>
  <si>
    <t>-548.415568317259 34.1028888558418 -226.021702701722</t>
  </si>
  <si>
    <t>-439.167072712007 -26.3616974755251 212.232174933527</t>
  </si>
  <si>
    <t>-601.176666383664 -92.4887329867655 647.820484920943</t>
  </si>
  <si>
    <t>-454.776472024249 -147.822891244391 728.123726925656</t>
  </si>
  <si>
    <t>9763-20170724T164333.020495200.bin</t>
  </si>
  <si>
    <t>-517.913822746037 124.318413728035 -239.478617206061</t>
  </si>
  <si>
    <t>-560.371007214991 122.412688956064 -352.887466840418</t>
  </si>
  <si>
    <t>-578.119878846698 112.071127419717 -472.338700086128</t>
  </si>
  <si>
    <t>-583.763882045829 99.3641656741497 -580.973509676048</t>
  </si>
  <si>
    <t>-579.057405098776 83.4239104245482 -689.226026819811</t>
  </si>
  <si>
    <t>-561.758441545729 57.9969638725025 -838.404569895291</t>
  </si>
  <si>
    <t>-517.837843132912 40.8011993268395 -928.72772966698</t>
  </si>
  <si>
    <t>-558.778601619284 98.9642810616285 -776.229707088779</t>
  </si>
  <si>
    <t>-520.564517753075 240.599722222569 -766.014146263752</t>
  </si>
  <si>
    <t>-504.308576786073 290.497289206361 -453.873018469599</t>
  </si>
  <si>
    <t>-323.166020348263 161.544903625907 -318.962864494999</t>
  </si>
  <si>
    <t>-580.046856156351 39.530927636781 -768.565713988087</t>
  </si>
  <si>
    <t>-486.514960366566 214.680840986103 -252.205977894959</t>
  </si>
  <si>
    <t>-473.248513226681 199.952429990301 203.057359211082</t>
  </si>
  <si>
    <t>-486.902320282259 158.664470758794 671.213629255149</t>
  </si>
  <si>
    <t>-334.977944797203 143.350681754749 758.552024543459</t>
  </si>
  <si>
    <t>-549.146010370533 34.0461425902959 -226.130598302665</t>
  </si>
  <si>
    <t>-439.7304858149 -26.1053951496283 212.124767912337</t>
  </si>
  <si>
    <t>-601.108365257893 -92.5109934362877 647.927444059044</t>
  </si>
  <si>
    <t>-454.687816518676 -147.899998085689 728.155905068665</t>
  </si>
  <si>
    <t>9763-20170724T164333.090189900.bin</t>
  </si>
  <si>
    <t>-519.500103777856 124.258453819 -239.641162223124</t>
  </si>
  <si>
    <t>-562.118397719672 122.280245020965 -352.988364363652</t>
  </si>
  <si>
    <t>-579.978943262677 111.943476839564 -472.423349984282</t>
  </si>
  <si>
    <t>-585.702655729579 99.267547786809 -581.057598085232</t>
  </si>
  <si>
    <t>-581.054736868381 83.3816080388612 -689.320757873344</t>
  </si>
  <si>
    <t>-563.815621823128 58.0515737844253 -838.52254559449</t>
  </si>
  <si>
    <t>-519.936791728011 40.9344535216155 -928.880987388376</t>
  </si>
  <si>
    <t>-560.858305362616 98.9944055941641 -776.330414469467</t>
  </si>
  <si>
    <t>-522.90320366057 240.694630378406 -766.097366821884</t>
  </si>
  <si>
    <t>-506.51741260643 290.696773015095 -453.979579328126</t>
  </si>
  <si>
    <t>-325.169355578996 161.804236630798 -319.288585241206</t>
  </si>
  <si>
    <t>-582.02849348429 39.5242530742146 -768.680190371909</t>
  </si>
  <si>
    <t>-488.254941335273 214.630235803003 -252.39111574787</t>
  </si>
  <si>
    <t>-474.228403860745 199.912015852409 202.849811653877</t>
  </si>
  <si>
    <t>-486.740851432078 158.684386929985 671.008399100848</t>
  </si>
  <si>
    <t>-334.957224584465 143.075449669361 758.539001289235</t>
  </si>
  <si>
    <t>-550.543356831712 33.8670378355886 -226.270445443032</t>
  </si>
  <si>
    <t>-440.611102026602 -25.6066326334785 211.947995258855</t>
  </si>
  <si>
    <t>-600.934952623484 -92.1029479997619 648.146652578773</t>
  </si>
  <si>
    <t>-454.417224186075 -147.34871708621 728.296329035257</t>
  </si>
  <si>
    <t>9763-20170724T164333.124279900.bin</t>
  </si>
  <si>
    <t>-520.248792706871 124.095175295208 -239.817073711954</t>
  </si>
  <si>
    <t>-562.946865963124 122.111240667964 -353.134163077522</t>
  </si>
  <si>
    <t>-580.863315260432 111.780428005891 -472.561231611841</t>
  </si>
  <si>
    <t>-586.626831331021 99.1136579532339 -581.194434648784</t>
  </si>
  <si>
    <t>-582.007678457221 83.2401164381433 -689.460557384985</t>
  </si>
  <si>
    <t>-564.797058234891 57.9301370807302 -838.669169880211</t>
  </si>
  <si>
    <t>-520.920250001727 40.8406540362971 -929.033713862851</t>
  </si>
  <si>
    <t>-561.847681733084 98.8711964216831 -776.47549623189</t>
  </si>
  <si>
    <t>-524.021527178132 240.609733664928 -766.233135628575</t>
  </si>
  <si>
    <t>-507.545305216399 290.498243088389 -454.102049687637</t>
  </si>
  <si>
    <t>-326.096822387866 161.737385153746 -319.420467274049</t>
  </si>
  <si>
    <t>-582.976863194281 39.3868360808176 -768.822448367343</t>
  </si>
  <si>
    <t>-488.999068492738 214.54830007496 -252.601733672252</t>
  </si>
  <si>
    <t>-474.644483519112 199.818892992526 202.628614945197</t>
  </si>
  <si>
    <t>-486.504837012367 158.722813546944 670.694059012817</t>
  </si>
  <si>
    <t>-334.942467463865 142.913729671075 758.571380970055</t>
  </si>
  <si>
    <t>-551.338834860429 33.6550388365412 -226.403457210341</t>
  </si>
  <si>
    <t>-441.136370143873 -25.6738908142295 211.766820071088</t>
  </si>
  <si>
    <t>-600.855437711093 -92.324701723532 648.211401474938</t>
  </si>
  <si>
    <t>-454.171224883961 -147.059304655391 728.407240058389</t>
  </si>
  <si>
    <t>9763-20170724T164333.187969900.bin</t>
  </si>
  <si>
    <t>-521.481300249019 123.610263532218 -240.479861205472</t>
  </si>
  <si>
    <t>-564.248270977133 121.630367413951 -353.770938566695</t>
  </si>
  <si>
    <t>-582.230569133144 111.331247152809 -473.190981707959</t>
  </si>
  <si>
    <t>-588.051781463718 98.7018670183453 -581.825525088149</t>
  </si>
  <si>
    <t>-583.488655510755 82.8726427203451 -690.100424297469</t>
  </si>
  <si>
    <t>-566.353863134834 57.6298739654556 -839.329165279383</t>
  </si>
  <si>
    <t>-522.467069606446 40.5935519866051 -929.698899205482</t>
  </si>
  <si>
    <t>-563.397363663092 98.5510848394225 -777.122793502207</t>
  </si>
  <si>
    <t>-525.745936660431 240.336842327123 -766.87694640941</t>
  </si>
  <si>
    <t>-509.239057447745 290.048326524803 -454.719151349996</t>
  </si>
  <si>
    <t>-327.61903714501 161.358125635942 -320.201190934066</t>
  </si>
  <si>
    <t>-584.473542552598 39.046932577678 -769.477345753533</t>
  </si>
  <si>
    <t>-490.089760242322 214.072502102396 -253.349727707876</t>
  </si>
  <si>
    <t>-474.979114254575 199.330680433063 201.855727142939</t>
  </si>
  <si>
    <t>-485.723727980179 158.587502024017 669.905970321058</t>
  </si>
  <si>
    <t>-334.561773017313 143.831622527772 758.6518755551</t>
  </si>
  <si>
    <t>-552.665383443993 33.1378473734759 -227.077321121817</t>
  </si>
  <si>
    <t>-442.150280519908 -25.6019810191044 211.093552950178</t>
  </si>
  <si>
    <t>-600.598572692456 -92.2575400683067 648.166881138793</t>
  </si>
  <si>
    <t>-454.078168446471 -146.906571083578 728.719729239573</t>
  </si>
  <si>
    <t>9763-20170724T164333.226071300.bin</t>
  </si>
  <si>
    <t>-522.153482421861 123.417164327323 -240.863532203597</t>
  </si>
  <si>
    <t>-564.957466624909 121.440467014313 -354.140687471635</t>
  </si>
  <si>
    <t>-582.981224174757 111.149215226194 -473.555075483987</t>
  </si>
  <si>
    <t>-588.841845606842 98.5269464655055 -582.18841541682</t>
  </si>
  <si>
    <t>-584.319908897927 82.7035299070488 -690.46580476753</t>
  </si>
  <si>
    <t>-567.244147532253 57.4663859407901 -839.702272684696</t>
  </si>
  <si>
    <t>-523.364124992504 40.4525190069079 -930.079649062393</t>
  </si>
  <si>
    <t>-564.26911421078 98.3872457492457 -777.496539955882</t>
  </si>
  <si>
    <t>-526.69391662293 240.199297849331 -767.280316048063</t>
  </si>
  <si>
    <t>-510.063513323277 289.790543960223 -455.109973297323</t>
  </si>
  <si>
    <t>-328.442625743593 161.15430355701 -320.541800031622</t>
  </si>
  <si>
    <t>-585.330100496182 38.8787851466971 -769.84296521722</t>
  </si>
  <si>
    <t>-490.704325274501 213.973905591811 -253.725134351573</t>
  </si>
  <si>
    <t>-475.205881501962 199.201638108503 201.466352411987</t>
  </si>
  <si>
    <t>-485.444139350048 158.761688461662 669.557065242168</t>
  </si>
  <si>
    <t>-334.511699456157 144.057484989372 758.701237299741</t>
  </si>
  <si>
    <t>-553.453729203543 32.9436669915543 -227.431126457867</t>
  </si>
  <si>
    <t>-442.72173297554 -25.4980693403913 210.724830649144</t>
  </si>
  <si>
    <t>-600.488405566568 -92.3205865896936 648.13637742862</t>
  </si>
  <si>
    <t>-453.76330233913 -146.216879633993 728.823723618117</t>
  </si>
  <si>
    <t>9763-20170724T164333.285284500.bin</t>
  </si>
  <si>
    <t>-523.489660174873 123.370633026014 -241.590702000715</t>
  </si>
  <si>
    <t>-566.356156874597 121.389119885338 -354.844173659394</t>
  </si>
  <si>
    <t>-584.462845437474 111.100688402771 -474.246202576097</t>
  </si>
  <si>
    <t>-590.408569776743 98.4749103908447 -582.874406054165</t>
  </si>
  <si>
    <t>-585.982805680021 82.6361992948274 -691.153681855356</t>
  </si>
  <si>
    <t>-569.053478374433 57.3604831042394 -840.400341464587</t>
  </si>
  <si>
    <t>-525.213612067308 40.3684703407652 -930.801162243131</t>
  </si>
  <si>
    <t>-566.008480332374 98.2944326264696 -778.206658793381</t>
  </si>
  <si>
    <t>-528.499592551944 240.118218931925 -768.018827422963</t>
  </si>
  <si>
    <t>-511.615968690988 289.302729603061 -455.797797966326</t>
  </si>
  <si>
    <t>-329.9309366378 161.040858808799 -320.958888959556</t>
  </si>
  <si>
    <t>-587.079984153102 38.7939858975348 -770.520045450548</t>
  </si>
  <si>
    <t>-491.897450498537 213.897957712048 -254.396960229462</t>
  </si>
  <si>
    <t>-475.592622703137 199.155345059795 200.767152802415</t>
  </si>
  <si>
    <t>-484.91249937043 158.74167325175 668.979807328875</t>
  </si>
  <si>
    <t>-334.31156775098 144.108274712829 758.69446285034</t>
  </si>
  <si>
    <t>-554.931593306628 33.0167957594497 -228.117107487582</t>
  </si>
  <si>
    <t>-443.898327263832 -24.8290721939876 210.041633348021</t>
  </si>
  <si>
    <t>-600.395982818582 -92.1476479031302 648.136195912846</t>
  </si>
  <si>
    <t>-453.548443170739 -145.631651246006 728.875146249752</t>
  </si>
  <si>
    <t>9763-20170724T164333.324390400.bin</t>
  </si>
  <si>
    <t>-524.161734549904 123.335506614069 -241.763011118468</t>
  </si>
  <si>
    <t>-567.048625204176 121.346650551515 -355.008565488269</t>
  </si>
  <si>
    <t>-585.168114159699 111.075385716128 -474.410199659779</t>
  </si>
  <si>
    <t>-591.123220801977 98.4710000850702 -583.040308068362</t>
  </si>
  <si>
    <t>-586.70544733932 82.6566207443324 -691.323564083587</t>
  </si>
  <si>
    <t>-569.78622382022 57.4154245157895 -840.577066770168</t>
  </si>
  <si>
    <t>-525.962055473826 40.4614183222404 -930.992684224029</t>
  </si>
  <si>
    <t>-566.744705089218 98.3375590922035 -778.375521043624</t>
  </si>
  <si>
    <t>-529.297397607195 240.174834262185 -768.167662205215</t>
  </si>
  <si>
    <t>-512.298279161797 289.367104330871 -455.954034549747</t>
  </si>
  <si>
    <t>-330.592273048418 161.046264809425 -321.199579139684</t>
  </si>
  <si>
    <t>-587.800230854903 38.8301689849435 -770.698704459689</t>
  </si>
  <si>
    <t>-492.528459249046 213.918517409897 -254.540235510798</t>
  </si>
  <si>
    <t>-475.9340756479 199.181413299255 200.61374742909</t>
  </si>
  <si>
    <t>-484.803746167446 158.892039085639 668.810560969948</t>
  </si>
  <si>
    <t>-334.294839059123 144.303029142453 758.686903662371</t>
  </si>
  <si>
    <t>-555.675266323318 32.8364503426853 -228.275733332639</t>
  </si>
  <si>
    <t>-444.437223991532 -24.6573541815531 209.877459593693</t>
  </si>
  <si>
    <t>-600.442661793376 -92.4144354135566 648.200925012829</t>
  </si>
  <si>
    <t>-453.425239097535 -145.304722956202 729.021764386825</t>
  </si>
  <si>
    <t>9763-20170724T164333.388091400.bin</t>
  </si>
  <si>
    <t>-525.228512873635 122.991850667135 -242.085416581413</t>
  </si>
  <si>
    <t>-568.148778107224 120.937290506223 -355.317265564984</t>
  </si>
  <si>
    <t>-586.275820753011 110.666095874374 -474.717782237545</t>
  </si>
  <si>
    <t>-592.228078986318 98.0839796251078 -583.350610901036</t>
  </si>
  <si>
    <t>-587.798634057702 82.3112133356707 -691.639444771995</t>
  </si>
  <si>
    <t>-570.854835785256 57.1451531718119 -840.902849086836</t>
  </si>
  <si>
    <t>-527.076904905264 40.2740300567837 -931.356261682453</t>
  </si>
  <si>
    <t>-567.847948744512 98.044083070025 -778.684254120949</t>
  </si>
  <si>
    <t>-530.609551423332 239.93356462413 -768.361384322986</t>
  </si>
  <si>
    <t>-513.365826471457 289.093766157721 -456.156131867202</t>
  </si>
  <si>
    <t>-331.430185315989 160.663196739968 -321.816572970564</t>
  </si>
  <si>
    <t>-588.855944330875 38.5166275552413 -771.032556025569</t>
  </si>
  <si>
    <t>-493.490052161659 213.870420167339 -254.940059293739</t>
  </si>
  <si>
    <t>-476.552249199053 199.231154068026 200.204483617763</t>
  </si>
  <si>
    <t>-484.458788393025 159.490526167606 668.294187179039</t>
  </si>
  <si>
    <t>-334.308305301969 144.353169919937 758.677788386214</t>
  </si>
  <si>
    <t>-556.739677615928 32.1087426715253 -228.538873861682</t>
  </si>
  <si>
    <t>-445.192011192467 -24.9303812926717 209.595149352058</t>
  </si>
  <si>
    <t>-600.516539199244 -93.3057654237681 648.202937197573</t>
  </si>
  <si>
    <t>-453.21399789934 -144.980555939696 729.290578839951</t>
  </si>
  <si>
    <t>9763-20170724T164333.420175300.bin</t>
  </si>
  <si>
    <t>-525.544357926333 122.722129608984 -242.227791914051</t>
  </si>
  <si>
    <t>-568.475601589374 120.632157644195 -355.454788459645</t>
  </si>
  <si>
    <t>-586.608480971994 110.348693410158 -474.85345766135</t>
  </si>
  <si>
    <t>-592.56395350744 97.764705475251 -583.485883954865</t>
  </si>
  <si>
    <t>-588.135741972353 81.998943728786 -691.775700992456</t>
  </si>
  <si>
    <t>-571.191524861013 56.8513692601944 -841.042259204665</t>
  </si>
  <si>
    <t>-527.427111080717 40.0099437300678 -931.507776035296</t>
  </si>
  <si>
    <t>-568.193901253053 97.7455866259236 -778.820048798031</t>
  </si>
  <si>
    <t>-531.009409059998 239.646046057883 -768.459886517098</t>
  </si>
  <si>
    <t>-513.798188355831 288.646655674954 -456.227854045297</t>
  </si>
  <si>
    <t>-331.791145741931 160.239525010145 -321.962716081066</t>
  </si>
  <si>
    <t>-589.183736733243 38.2111924392864 -771.172725670568</t>
  </si>
  <si>
    <t>-493.774811369854 213.622425890079 -255.107571114575</t>
  </si>
  <si>
    <t>-476.767024673834 199.077242580178 200.037300141485</t>
  </si>
  <si>
    <t>-484.305240457249 159.384271559349 668.135947854571</t>
  </si>
  <si>
    <t>-334.163786473998 144.915586398747 758.643916476461</t>
  </si>
  <si>
    <t>-557.092726462259 31.8196828905729 -228.662310647847</t>
  </si>
  <si>
    <t>-445.344486440912 -25.1374068015657 209.431178650716</t>
  </si>
  <si>
    <t>-600.482913573332 -93.5097237335315 648.108920016777</t>
  </si>
  <si>
    <t>-453.222931355544 -145.189278454278 729.27063760177</t>
  </si>
  <si>
    <t>9763-20170724T164333.487867900.bin</t>
  </si>
  <si>
    <t>-526.207080871192 122.602063723858 -242.497870787984</t>
  </si>
  <si>
    <t>-569.219932539859 120.43591408179 -355.692298778209</t>
  </si>
  <si>
    <t>-587.383271689342 110.130613905973 -475.084361149141</t>
  </si>
  <si>
    <t>-593.345351068908 97.5456315079932 -583.71641012495</t>
  </si>
  <si>
    <t>-588.90311249347 81.7953978932389 -692.00795164616</t>
  </si>
  <si>
    <t>-571.91868862037 56.6848450632842 -841.276207656351</t>
  </si>
  <si>
    <t>-528.172921763405 39.9090090535152 -931.762956174536</t>
  </si>
  <si>
    <t>-568.936487722482 97.563207908569 -779.042808080833</t>
  </si>
  <si>
    <t>-531.742455253419 239.453183150758 -768.589621175476</t>
  </si>
  <si>
    <t>-514.452946335887 288.27627715152 -456.333998131468</t>
  </si>
  <si>
    <t>-332.544991786368 159.613638854288 -322.179264358948</t>
  </si>
  <si>
    <t>-589.931016542358 38.0277958798193 -771.416311268015</t>
  </si>
  <si>
    <t>-494.424143372924 213.639274822825 -255.411028134413</t>
  </si>
  <si>
    <t>-477.163299677762 199.147669563547 199.726014166522</t>
  </si>
  <si>
    <t>-484.188818698686 159.79158765709 667.889295742332</t>
  </si>
  <si>
    <t>-334.180120852597 145.171528527132 758.592947145261</t>
  </si>
  <si>
    <t>-557.83193753172 31.6655981040527 -228.925526378834</t>
  </si>
  <si>
    <t>-445.6889012183 -25.1356819324246 209.087318623377</t>
  </si>
  <si>
    <t>-600.410103110532 -93.515671711341 647.943149559866</t>
  </si>
  <si>
    <t>-452.963637619111 -144.703669023176 729.077779184403</t>
  </si>
  <si>
    <t>9763-20170724T164333.521957800.bin</t>
  </si>
  <si>
    <t>-526.523446523118 122.44141798725 -242.593346238871</t>
  </si>
  <si>
    <t>-569.528139880141 120.228795257917 -355.790223681433</t>
  </si>
  <si>
    <t>-587.663036568435 109.90307472178 -475.184736294951</t>
  </si>
  <si>
    <t>-593.591888881915 97.3082660197804 -583.817462062723</t>
  </si>
  <si>
    <t>-589.109575091393 81.5555560968596 -692.106922386677</t>
  </si>
  <si>
    <t>-572.06321898417 56.4480331351418 -841.368619384947</t>
  </si>
  <si>
    <t>-528.300962870962 39.6921357287863 -931.851177034073</t>
  </si>
  <si>
    <t>-569.104569931403 97.3243780192791 -779.132881412797</t>
  </si>
  <si>
    <t>-531.893346207597 239.204814948223 -768.664789716353</t>
  </si>
  <si>
    <t>-514.591012201996 287.948974385546 -456.397546809688</t>
  </si>
  <si>
    <t>-332.666495874291 159.210148375394 -322.338421495635</t>
  </si>
  <si>
    <t>-590.106819565531 37.7903003678005 -771.517143694991</t>
  </si>
  <si>
    <t>-494.730015829039 213.496842864196 -255.506948338592</t>
  </si>
  <si>
    <t>-477.389786424317 199.044817873178 199.628369776356</t>
  </si>
  <si>
    <t>-484.15776874819 159.772174221973 667.802684441638</t>
  </si>
  <si>
    <t>-334.1506255033 145.388858186505 758.546858222717</t>
  </si>
  <si>
    <t>-558.148051603038 31.4488477965712 -229.042672132685</t>
  </si>
  <si>
    <t>-445.876882556872 -25.1880234664644 208.958627484446</t>
  </si>
  <si>
    <t>-600.371870720799 -93.5768441899423 647.898588676394</t>
  </si>
  <si>
    <t>-452.92405123192 -144.735344372664 729.049479897937</t>
  </si>
  <si>
    <t>9763-20170724T164333.591683300.bin</t>
  </si>
  <si>
    <t>-527.090676687873 122.138890352743 -242.858947591517</t>
  </si>
  <si>
    <t>-570.070645583061 119.804036161424 -356.062563162439</t>
  </si>
  <si>
    <t>-588.194839480856 109.411228358079 -475.453001843136</t>
  </si>
  <si>
    <t>-594.121319545552 96.7760170144823 -584.08115875078</t>
  </si>
  <si>
    <t>-589.644537760686 81.0014195887626 -692.367814370815</t>
  </si>
  <si>
    <t>-572.614373418371 55.8808950088112 -841.629116915141</t>
  </si>
  <si>
    <t>-528.867314638277 39.1533083607072 -932.1241749569</t>
  </si>
  <si>
    <t>-569.659103204295 96.7660100050025 -779.398850946769</t>
  </si>
  <si>
    <t>-532.564133110449 238.680384752007 -768.906999122675</t>
  </si>
  <si>
    <t>-515.169012996088 287.294143829886 -456.6245423873</t>
  </si>
  <si>
    <t>-333.034174175795 158.702659377962 -322.709662839291</t>
  </si>
  <si>
    <t>-590.640263906631 37.2258904214776 -771.772217602678</t>
  </si>
  <si>
    <t>-495.20574524795 213.385092475919 -255.842289004525</t>
  </si>
  <si>
    <t>-477.85656669203 199.192273740036 199.300683803982</t>
  </si>
  <si>
    <t>-484.04784050908 160.379984975715 667.434063163303</t>
  </si>
  <si>
    <t>-334.268026902304 145.114471722493 758.409295652527</t>
  </si>
  <si>
    <t>-558.801726471162 30.9810586323071 -229.226199263042</t>
  </si>
  <si>
    <t>-446.343941823986 -25.5359280330146 208.742805018253</t>
  </si>
  <si>
    <t>-600.434569564565 -93.9166409102031 647.981818324447</t>
  </si>
  <si>
    <t>-452.662094164165 -144.380939580588 728.976723689701</t>
  </si>
  <si>
    <t>9763-20170724T164333.623767200.bin</t>
  </si>
  <si>
    <t>-527.311179069317 122.055991994047 -243.041837557061</t>
  </si>
  <si>
    <t>-570.268753486578 119.642146167661 -356.252432333542</t>
  </si>
  <si>
    <t>-588.401188172511 109.217023508574 -475.638739654786</t>
  </si>
  <si>
    <t>-594.348456074803 96.57086710052 -584.264558997947</t>
  </si>
  <si>
    <t>-589.906102778005 80.8026760917728 -692.553466887343</t>
  </si>
  <si>
    <t>-572.937468474444 55.7082169109256 -841.8260847552</t>
  </si>
  <si>
    <t>-529.22368385172 39.01263889616 -932.34324285003</t>
  </si>
  <si>
    <t>-569.975134231319 96.5885271483903 -779.593138160095</t>
  </si>
  <si>
    <t>-533.001668099578 238.531422942274 -769.077699238033</t>
  </si>
  <si>
    <t>-515.50329834105 287.229253413804 -456.814098234474</t>
  </si>
  <si>
    <t>-333.259571843366 158.718259007468 -322.970233170234</t>
  </si>
  <si>
    <t>-590.91594592438 37.0348490298682 -771.961963383328</t>
  </si>
  <si>
    <t>-495.403979609495 213.388104860742 -256.078331887551</t>
  </si>
  <si>
    <t>-478.122742896839 199.339445895715 199.071865128704</t>
  </si>
  <si>
    <t>-483.929343791404 160.838946209986 667.145574720947</t>
  </si>
  <si>
    <t>-334.361275144116 144.927847974705 758.358182283453</t>
  </si>
  <si>
    <t>-559.036861164703 30.8548504374629 -229.340748647332</t>
  </si>
  <si>
    <t>-446.589754499946 -25.6278695129194 208.635245273722</t>
  </si>
  <si>
    <t>-600.485976232311 -93.7519558971462 648.024694396645</t>
  </si>
  <si>
    <t>-452.72745966669 -144.472443502982 728.884783328152</t>
  </si>
  <si>
    <t>9763-20170724T164333.688356100.bin</t>
  </si>
  <si>
    <t>-527.489188468668 121.642464899906 -243.325416013443</t>
  </si>
  <si>
    <t>-570.291526872064 119.068563393993 -356.591348609271</t>
  </si>
  <si>
    <t>-588.361598899604 108.572799761305 -475.980920701013</t>
  </si>
  <si>
    <t>-594.293457429659 95.9002628637345 -584.604435219023</t>
  </si>
  <si>
    <t>-589.876839860122 80.1428687908838 -692.895884125481</t>
  </si>
  <si>
    <t>-572.986391560232 55.1015537604496 -842.186371969654</t>
  </si>
  <si>
    <t>-529.358752484862 38.5106407015307 -932.764287788652</t>
  </si>
  <si>
    <t>-570.056828419226 95.9812855385731 -779.951533062599</t>
  </si>
  <si>
    <t>-533.40130109693 238.002361485581 -769.407955040919</t>
  </si>
  <si>
    <t>-515.604228689178 286.924634370957 -457.196314024579</t>
  </si>
  <si>
    <t>-333.139304737791 158.679992574978 -323.39820314141</t>
  </si>
  <si>
    <t>-590.862954701525 36.3819003146304 -772.308553890589</t>
  </si>
  <si>
    <t>-495.65916111134 212.921664798776 -256.397203279731</t>
  </si>
  <si>
    <t>-478.764051648102 199.237011030787 198.778553878487</t>
  </si>
  <si>
    <t>-483.823370882828 160.959152061878 667.00338491533</t>
  </si>
  <si>
    <t>-334.264720650799 145.412470449993 758.294179716992</t>
  </si>
  <si>
    <t>-559.105978797991 30.3911362858702 -229.595750679583</t>
  </si>
  <si>
    <t>-446.789247776148 -26.2187257325377 208.397371747742</t>
  </si>
  <si>
    <t>-600.507916360717 -93.9968145774397 647.966316021954</t>
  </si>
  <si>
    <t>-452.562993610895 -144.489130788268 728.628208841926</t>
  </si>
  <si>
    <t>9763-20170724T164333.721438600.bin</t>
  </si>
  <si>
    <t>-527.577486696749 121.300792886206 -243.416988403894</t>
  </si>
  <si>
    <t>-570.370165094034 118.659909233426 -356.684922253596</t>
  </si>
  <si>
    <t>-588.436657226392 108.143909566041 -476.073270161387</t>
  </si>
  <si>
    <t>-594.367865386627 95.4723757800115 -584.696831893096</t>
  </si>
  <si>
    <t>-589.953542891796 79.7349957170202 -692.991377175584</t>
  </si>
  <si>
    <t>-573.06899027101 54.7408990645786 -842.290386946746</t>
  </si>
  <si>
    <t>-529.476689075474 38.2138529817604 -932.896973135295</t>
  </si>
  <si>
    <t>-570.174360865199 95.6130878906177 -780.049011619626</t>
  </si>
  <si>
    <t>-533.695700974121 237.674010307405 -769.468581231612</t>
  </si>
  <si>
    <t>-515.851306420652 286.602578750781 -457.260702355331</t>
  </si>
  <si>
    <t>-333.213344674653 158.561720906523 -323.503669222487</t>
  </si>
  <si>
    <t>-590.905400454682 35.9868499127756 -772.411543881408</t>
  </si>
  <si>
    <t>-495.900252587574 212.602713539106 -256.455278786783</t>
  </si>
  <si>
    <t>-479.148091126847 199.108713475112 198.731387721669</t>
  </si>
  <si>
    <t>-483.895534655596 161.059247472045 667.015910152191</t>
  </si>
  <si>
    <t>-334.242975869137 145.981945088054 758.231498663673</t>
  </si>
  <si>
    <t>-559.123087841148 30.0307176469088 -229.675668660312</t>
  </si>
  <si>
    <t>-446.71922817902 -26.5671142389347 208.296582597997</t>
  </si>
  <si>
    <t>-600.437826805941 -94.1810905198103 647.861456987405</t>
  </si>
  <si>
    <t>-452.459626727147 -144.566979233641 728.528828835184</t>
  </si>
  <si>
    <t>9763-20170724T164333.787180100.bin</t>
  </si>
  <si>
    <t>-527.937402040238 120.674707531767 -243.536234060444</t>
  </si>
  <si>
    <t>-570.648284791791 117.871653329592 -356.83116877842</t>
  </si>
  <si>
    <t>-588.62921550996 107.328850127215 -476.230160399468</t>
  </si>
  <si>
    <t>-594.482900531398 94.6900650715804 -584.861873334577</t>
  </si>
  <si>
    <t>-589.991064612439 79.0423552321357 -693.166081241389</t>
  </si>
  <si>
    <t>-572.998854394738 54.2321803013061 -842.483605988126</t>
  </si>
  <si>
    <t>-529.386239655457 37.8976169386729 -933.115394257816</t>
  </si>
  <si>
    <t>-570.256834978727 95.0626410743078 -780.207899930503</t>
  </si>
  <si>
    <t>-534.268373363182 237.235613122719 -769.471223852991</t>
  </si>
  <si>
    <t>-516.534748335684 286.002515190119 -457.231580274903</t>
  </si>
  <si>
    <t>-333.527903936224 158.343039505383 -323.614407652144</t>
  </si>
  <si>
    <t>-590.777963692816 35.357176874651 -772.622750476701</t>
  </si>
  <si>
    <t>-496.561148596584 212.099567204216 -256.556378884772</t>
  </si>
  <si>
    <t>-479.6483163813 198.924593903397 198.633746242156</t>
  </si>
  <si>
    <t>-484.049504206917 161.441814770831 666.960268287954</t>
  </si>
  <si>
    <t>-334.348470200371 146.319424381549 758.088830028235</t>
  </si>
  <si>
    <t>-559.145656454216 29.3431473836394 -229.883763550646</t>
  </si>
  <si>
    <t>-446.803422856428 -26.7653112069275 208.167336824171</t>
  </si>
  <si>
    <t>-600.352018213921 -94.2676993370802 647.806477226703</t>
  </si>
  <si>
    <t>-452.343357534381 -144.621247346064 728.438227379846</t>
  </si>
  <si>
    <t>9763-20170724T164333.822274700.bin</t>
  </si>
  <si>
    <t>-528.19075194793 120.343311666972 -243.556678717255</t>
  </si>
  <si>
    <t>-570.913042570414 117.48040981728 -356.845721824598</t>
  </si>
  <si>
    <t>-588.861714109171 106.938524070993 -476.249650674381</t>
  </si>
  <si>
    <t>-594.667705994795 94.3261094374157 -584.886972777328</t>
  </si>
  <si>
    <t>-590.110067133774 78.7304262259922 -693.195971898377</t>
  </si>
  <si>
    <t>-573.007763184451 54.0195640672669 -842.517446594794</t>
  </si>
  <si>
    <t>-529.336650006362 37.806186053249 -933.142630136523</t>
  </si>
  <si>
    <t>-570.370769449298 94.8276378112768 -780.22237369911</t>
  </si>
  <si>
    <t>-534.698471964576 237.075746072577 -769.394500746341</t>
  </si>
  <si>
    <t>-517.146642328512 285.675929438226 -457.118776772031</t>
  </si>
  <si>
    <t>-333.892862807913 158.235365870208 -323.630915816157</t>
  </si>
  <si>
    <t>-590.779282261463 35.0790894810705 -772.672241190159</t>
  </si>
  <si>
    <t>-496.952323333897 211.852933636832 -256.562958349654</t>
  </si>
  <si>
    <t>-479.773650702107 198.780396874232 198.620080926994</t>
  </si>
  <si>
    <t>-484.084520488541 161.437907418637 666.950377109374</t>
  </si>
  <si>
    <t>-334.340053834021 146.613993712146 758.056656621909</t>
  </si>
  <si>
    <t>-559.31255765548 28.9489091717636 -229.871300822949</t>
  </si>
  <si>
    <t>-446.915189229984 -26.8776464090504 208.20165860087</t>
  </si>
  <si>
    <t>-600.388555615787 -94.4475370707984 647.877602725795</t>
  </si>
  <si>
    <t>-452.099312017351 -144.155570006186 728.394242834335</t>
  </si>
  <si>
    <t>9763-20170724T164333.890470100.bin</t>
  </si>
  <si>
    <t>-528.64120667245 119.502479757297 -243.621089425882</t>
  </si>
  <si>
    <t>-571.407424603975 116.4996135679 -356.890030302166</t>
  </si>
  <si>
    <t>-589.289951399261 105.964230905645 -476.304370943179</t>
  </si>
  <si>
    <t>-594.989517452336 93.421786206475 -584.955428267749</t>
  </si>
  <si>
    <t>-590.278423573054 77.9618179870625 -693.277378930377</t>
  </si>
  <si>
    <t>-572.91416512074 53.5097040765806 -842.611146871786</t>
  </si>
  <si>
    <t>-529.112709973371 37.5750286517001 -933.223008035896</t>
  </si>
  <si>
    <t>-570.526258226054 94.2542405332774 -780.264521947481</t>
  </si>
  <si>
    <t>-535.510498926837 236.651596029126 -769.227481856582</t>
  </si>
  <si>
    <t>-518.447976797728 284.986416275491 -456.883463861945</t>
  </si>
  <si>
    <t>-334.70942854232 157.927958620751 -323.697999394622</t>
  </si>
  <si>
    <t>-590.668310019807 34.4037668755727 -772.806616654917</t>
  </si>
  <si>
    <t>-497.608039457184 210.980484185993 -256.654368673809</t>
  </si>
  <si>
    <t>-479.960206711319 198.253682746113 198.520697823666</t>
  </si>
  <si>
    <t>-483.986187405414 161.095593605049 666.835308208694</t>
  </si>
  <si>
    <t>-334.137695566762 147.508760369973 757.963442750519</t>
  </si>
  <si>
    <t>-559.488451486593 28.0564698565939 -229.939036091537</t>
  </si>
  <si>
    <t>-447.083151309595 -27.1903373822949 208.20544768655</t>
  </si>
  <si>
    <t>-600.40632891056 -94.6277557928601 647.931511041563</t>
  </si>
  <si>
    <t>-451.911625999638 -144.01536720861 728.266433504974</t>
  </si>
  <si>
    <t>9763-20170724T164333.921547300.bin</t>
  </si>
  <si>
    <t>-528.779071962212 119.214975365714 -243.698323519383</t>
  </si>
  <si>
    <t>-571.541209536174 116.141226341002 -356.966776197521</t>
  </si>
  <si>
    <t>-589.375641195093 105.621215991875 -476.389648275299</t>
  </si>
  <si>
    <t>-595.012849229001 93.1306936979214 -585.049894598534</t>
  </si>
  <si>
    <t>-590.22049106321 77.7619496007644 -693.381310340533</t>
  </si>
  <si>
    <t>-572.723691395437 53.4788572264478 -842.727256861524</t>
  </si>
  <si>
    <t>-528.829992033248 37.6927956178756 -933.320433396009</t>
  </si>
  <si>
    <t>-570.467047894201 94.1766893254909 -780.3452150909</t>
  </si>
  <si>
    <t>-535.78280984715 236.642169981165 -769.169474969718</t>
  </si>
  <si>
    <t>-518.957459177397 284.777116981212 -456.781622798709</t>
  </si>
  <si>
    <t>-334.961332347499 157.984722286329 -323.698524752975</t>
  </si>
  <si>
    <t>-590.463986990536 34.2701403726282 -772.947459169404</t>
  </si>
  <si>
    <t>-497.905591444216 210.802519320819 -256.711102932939</t>
  </si>
  <si>
    <t>-480.160837013998 198.305888331849 198.466565122293</t>
  </si>
  <si>
    <t>-484.087732237185 161.459095828341 666.812273913885</t>
  </si>
  <si>
    <t>-334.291979232351 147.276028555549 757.936295507407</t>
  </si>
  <si>
    <t>-559.47583366857 27.7333972332002 -230.00593730913</t>
  </si>
  <si>
    <t>-447.162101912004 -27.3013212167695 208.188556624423</t>
  </si>
  <si>
    <t>-600.414523204474 -94.5086728882013 647.967270450646</t>
  </si>
  <si>
    <t>-451.961056935674 -144.16341678518 728.213712183537</t>
  </si>
  <si>
    <t>9763-20170724T164333.985231700.bin</t>
  </si>
  <si>
    <t>-528.891066688279 118.379047767773 -243.829784286954</t>
  </si>
  <si>
    <t>-571.577585541982 115.152914287029 -357.122695092071</t>
  </si>
  <si>
    <t>-589.293823840211 104.667510633839 -476.566058971783</t>
  </si>
  <si>
    <t>-594.806291911894 92.2915059510611 -585.24592212419</t>
  </si>
  <si>
    <t>-589.870903651291 77.1237758733284 -693.599216641431</t>
  </si>
  <si>
    <t>-572.155797100029 53.2127716660754 -842.979468925884</t>
  </si>
  <si>
    <t>-528.094139232183 37.6692390934066 -933.532874566559</t>
  </si>
  <si>
    <t>-570.15299290799 93.8054998110724 -780.52038027894</t>
  </si>
  <si>
    <t>-536.153725851368 236.424363789531 -769.081553855016</t>
  </si>
  <si>
    <t>-519.740356073144 284.130805159562 -456.606166348317</t>
  </si>
  <si>
    <t>-335.214879732112 157.857840337494 -323.76219784806</t>
  </si>
  <si>
    <t>-589.835325937711 33.7797743472239 -773.246291487951</t>
  </si>
  <si>
    <t>-498.302252126127 210.103488966098 -256.853430635929</t>
  </si>
  <si>
    <t>-480.416202583522 198.166443717884 198.33368007145</t>
  </si>
  <si>
    <t>-484.182760230842 161.889757767359 666.704014292095</t>
  </si>
  <si>
    <t>-334.411624760325 147.326838878083 757.808570713461</t>
  </si>
  <si>
    <t>-559.246680503106 26.6611485412739 -230.180692582615</t>
  </si>
  <si>
    <t>-447.281033103878 -27.7259482025028 208.183712742814</t>
  </si>
  <si>
    <t>-600.432965475507 -94.5776933754418 648.071055991514</t>
  </si>
  <si>
    <t>-451.90879647671 -144.283061401109 728.155163366227</t>
  </si>
  <si>
    <t>9763-20170724T164334.021328100.bin</t>
  </si>
  <si>
    <t>-528.895274706565 117.88865414014 -243.954630737246</t>
  </si>
  <si>
    <t>-571.548031011882 114.612044907578 -357.258729731649</t>
  </si>
  <si>
    <t>-589.212355210717 104.158254398313 -476.712743321732</t>
  </si>
  <si>
    <t>-594.670478082785 91.8461359215734 -585.402418453596</t>
  </si>
  <si>
    <t>-589.673516692368 76.7779915757725 -693.76677119743</t>
  </si>
  <si>
    <t>-571.865339562647 53.0431336143578 -843.164105847411</t>
  </si>
  <si>
    <t>-527.705593782886 37.5562636897045 -933.679558777444</t>
  </si>
  <si>
    <t>-569.974979959837 93.5847281543816 -780.668317084726</t>
  </si>
  <si>
    <t>-536.30288853175 236.262826392631 -769.097567575795</t>
  </si>
  <si>
    <t>-520.054256225047 283.820511926109 -456.590921847967</t>
  </si>
  <si>
    <t>-335.302513828502 157.772911507439 -323.847232090734</t>
  </si>
  <si>
    <t>-589.514909643725 33.505456077141 -773.452512006663</t>
  </si>
  <si>
    <t>-498.493042466879 209.821844697449 -256.937633317791</t>
  </si>
  <si>
    <t>-480.482197611359 198.136202302214 198.251014277963</t>
  </si>
  <si>
    <t>-484.302602522709 162.34618358997 666.677602167998</t>
  </si>
  <si>
    <t>-334.642195242589 146.704909378264 757.785379339193</t>
  </si>
  <si>
    <t>-559.118060189169 26.0616323314192 -230.340199921093</t>
  </si>
  <si>
    <t>-447.427547837726 -27.9504603306163 208.140736728881</t>
  </si>
  <si>
    <t>-600.394460938971 -94.3522659871975 648.116164905561</t>
  </si>
  <si>
    <t>-451.859384932048 -144.08700085149 728.161849917182</t>
  </si>
  <si>
    <t>9763-20170724T164334.085517100.bin</t>
  </si>
  <si>
    <t>-528.775843860886 116.499734028191 -244.123441726291</t>
  </si>
  <si>
    <t>-571.346711699903 113.127689500764 -357.455563081338</t>
  </si>
  <si>
    <t>-588.913390438946 102.744300979595 -476.930102139661</t>
  </si>
  <si>
    <t>-594.27732430746 90.5664719641755 -585.639664517076</t>
  </si>
  <si>
    <t>-589.180422047622 75.7043619994112 -694.027811841216</t>
  </si>
  <si>
    <t>-571.227029866724 52.3311888386855 -843.464708232252</t>
  </si>
  <si>
    <t>-526.860537336079 36.8638287826015 -933.882419344936</t>
  </si>
  <si>
    <t>-569.531269522438 92.7619804557149 -780.891482021016</t>
  </si>
  <si>
    <t>-536.49060074931 235.570869426757 -769.038072807758</t>
  </si>
  <si>
    <t>-520.722940406582 282.769915528517 -456.45235020013</t>
  </si>
  <si>
    <t>-335.51682643729 157.140364226505 -323.945871855601</t>
  </si>
  <si>
    <t>-588.810382782437 32.5842235289081 -773.795403854794</t>
  </si>
  <si>
    <t>-498.623240044659 208.356414088756 -257.008860895857</t>
  </si>
  <si>
    <t>-480.38043853926 197.292928274714 198.18618336662</t>
  </si>
  <si>
    <t>-484.351787906981 161.912969709967 666.71818147203</t>
  </si>
  <si>
    <t>-334.46886535749 147.608099558437 757.679648772011</t>
  </si>
  <si>
    <t>-558.747583127278 24.6969019202537 -230.558754484121</t>
  </si>
  <si>
    <t>-447.44406597563 -28.8047751244905 208.083179503096</t>
  </si>
  <si>
    <t>-600.296929825743 -94.5820975264384 648.190042143999</t>
  </si>
  <si>
    <t>-451.698574690668 -144.169108117448 728.209826222649</t>
  </si>
  <si>
    <t>9763-20170724T164334.123616600.bin</t>
  </si>
  <si>
    <t>-528.700501823977 115.874183440762 -244.173115685005</t>
  </si>
  <si>
    <t>-571.199235018055 112.458101794283 -357.530996610731</t>
  </si>
  <si>
    <t>-588.683073458733 102.110243905949 -477.020660543304</t>
  </si>
  <si>
    <t>-593.968744524825 89.9977907276213 -585.74151791147</t>
  </si>
  <si>
    <t>-588.790697529172 75.2341679319226 -694.13918126342</t>
  </si>
  <si>
    <t>-570.721764079482 52.0322076118954 -843.588815338777</t>
  </si>
  <si>
    <t>-526.25207955645 36.562644071804 -933.955463465477</t>
  </si>
  <si>
    <t>-569.134105781052 92.4091958612846 -780.978120308119</t>
  </si>
  <si>
    <t>-536.33838403446 235.251274977403 -768.982807370817</t>
  </si>
  <si>
    <t>-520.864935294354 282.330353937617 -456.364204451442</t>
  </si>
  <si>
    <t>-335.431573414048 156.956836351296 -323.933129820596</t>
  </si>
  <si>
    <t>-588.29926372336 32.1875465904667 -773.945920912491</t>
  </si>
  <si>
    <t>-498.675927982611 207.763399025438 -257.010870216638</t>
  </si>
  <si>
    <t>-480.365997519895 196.987384825473 198.188372686058</t>
  </si>
  <si>
    <t>-484.486233469013 162.02988109204 666.765759203485</t>
  </si>
  <si>
    <t>-334.554120855729 147.770674389132 757.653258682657</t>
  </si>
  <si>
    <t>-558.534306758701 24.046439622645 -230.700732676036</t>
  </si>
  <si>
    <t>-447.396207039531 -29.1128655795048 208.024699980747</t>
  </si>
  <si>
    <t>-600.123381806361 -94.4291269014009 648.124941348591</t>
  </si>
  <si>
    <t>-451.768057028717 -144.513000809246 728.286096388421</t>
  </si>
  <si>
    <t>9763-20170724T164334.187895200.bin</t>
  </si>
  <si>
    <t>-528.529626794898 114.490938749979 -244.352659854314</t>
  </si>
  <si>
    <t>-571.019764434006 110.98646088998 -357.711004625474</t>
  </si>
  <si>
    <t>-588.487802327866 100.730495162275 -477.210917009369</t>
  </si>
  <si>
    <t>-593.756165572171 88.7753125433352 -585.949902766829</t>
  </si>
  <si>
    <t>-588.557435419916 74.2424583458732 -694.377992098416</t>
  </si>
  <si>
    <t>-570.455960129467 51.437280000663 -843.884634067752</t>
  </si>
  <si>
    <t>-525.730177319232 35.8288024288783 -934.100814365397</t>
  </si>
  <si>
    <t>-568.999414428592 91.6827349001341 -781.186240140794</t>
  </si>
  <si>
    <t>-536.700552120828 234.625127920629 -768.916623986549</t>
  </si>
  <si>
    <t>-521.731579089081 281.426208010661 -456.231820913555</t>
  </si>
  <si>
    <t>-335.980982731639 156.550237659156 -323.77522718479</t>
  </si>
  <si>
    <t>-587.931280194763 31.3729673019644 -774.27892365688</t>
  </si>
  <si>
    <t>-498.912213517461 206.584830234553 -257.054726277468</t>
  </si>
  <si>
    <t>-480.44382031927 196.429394511093 198.152359155477</t>
  </si>
  <si>
    <t>-484.798908843636 162.378098491985 666.836231370302</t>
  </si>
  <si>
    <t>-334.855064778881 147.527700626388 757.609806621594</t>
  </si>
  <si>
    <t>-558.00045419725 22.5345714382013 -231.007908286821</t>
  </si>
  <si>
    <t>-447.380172096344 -29.8491695150258 207.941681570843</t>
  </si>
  <si>
    <t>-599.837994045022 -94.5525779633705 648.181822561205</t>
  </si>
  <si>
    <t>-451.268984193954 -143.834097458926 728.444519343501</t>
  </si>
  <si>
    <t>9763-20170724T164334.245551200.bin</t>
  </si>
  <si>
    <t>-528.417637705174 113.728083412398 -244.471982780323</t>
  </si>
  <si>
    <t>-570.848042523801 110.197616058525 -357.851940194619</t>
  </si>
  <si>
    <t>-588.285603328191 100.01616283899 -477.36267831359</t>
  </si>
  <si>
    <t>-593.539150389251 88.1707324298874 -586.114391209174</t>
  </si>
  <si>
    <t>-588.338116340904 73.7900521475714 -694.562526039713</t>
  </si>
  <si>
    <t>-570.24572855027 51.2405557271065 -844.109180772459</t>
  </si>
  <si>
    <t>-525.320569146059 35.4136040364887 -934.188074369518</t>
  </si>
  <si>
    <t>-568.873793232472 91.4047703713095 -781.356608088112</t>
  </si>
  <si>
    <t>-536.867076489087 234.388430826897 -768.930929319871</t>
  </si>
  <si>
    <t>-521.968574246382 280.884102936662 -456.197354531762</t>
  </si>
  <si>
    <t>-336.054884157226 156.190536310294 -323.797707963397</t>
  </si>
  <si>
    <t>-587.628191518708 31.0312699848517 -774.522113986514</t>
  </si>
  <si>
    <t>-499.004120197248 205.861731092036 -257.076992334126</t>
  </si>
  <si>
    <t>-480.391318873568 196.001483365913 198.130731043059</t>
  </si>
  <si>
    <t>-484.929870383177 162.303481937993 666.899107286483</t>
  </si>
  <si>
    <t>-334.83527648834 148.175896022697 757.538653403082</t>
  </si>
  <si>
    <t>-557.671437815799 21.7287201897842 -231.249898250825</t>
  </si>
  <si>
    <t>-447.569741404728 -30.1826789710928 207.886132036908</t>
  </si>
  <si>
    <t>-599.68343812601 -94.6317117889012 648.243904017365</t>
  </si>
  <si>
    <t>-451.120753227566 -143.848196767135 728.558058433577</t>
  </si>
  <si>
    <t>9763-20170724T164334.294193300.bin</t>
  </si>
  <si>
    <t>-528.352475951859 112.232988641756 -244.670394058476</t>
  </si>
  <si>
    <t>-570.727845279341 108.778499776534 -358.073311793709</t>
  </si>
  <si>
    <t>-588.135229120805 98.8403411913347 -477.609004359667</t>
  </si>
  <si>
    <t>-593.373252046561 87.2770708003765 -586.391851000353</t>
  </si>
  <si>
    <t>-588.169268740904 73.235821523149 -694.884174224462</t>
  </si>
  <si>
    <t>-570.085898537346 51.2132600525864 -844.510454961202</t>
  </si>
  <si>
    <t>-525.028422772497 34.5776920961846 -934.377520247041</t>
  </si>
  <si>
    <t>-568.871141854365 91.2027495733835 -781.643293205713</t>
  </si>
  <si>
    <t>-537.782833837898 234.357707239743 -768.754739777332</t>
  </si>
  <si>
    <t>-522.882520927424 280.115727252562 -455.912317761198</t>
  </si>
  <si>
    <t>-336.347689340771 155.962805715734 -323.878684696265</t>
  </si>
  <si>
    <t>-587.303230744032 30.7123237745167 -774.967734173801</t>
  </si>
  <si>
    <t>-499.413563116097 204.420883486112 -256.941006854577</t>
  </si>
  <si>
    <t>-480.355261029383 195.082204101056 198.259309966166</t>
  </si>
  <si>
    <t>-485.232802253487 161.983447801936 667.115232512877</t>
  </si>
  <si>
    <t>-334.850367830149 148.862935858105 757.428624989044</t>
  </si>
  <si>
    <t>-557.312103129339 20.254976998861 -231.712574713729</t>
  </si>
  <si>
    <t>-448.513734745155 -30.9584772526498 207.830048306854</t>
  </si>
  <si>
    <t>-599.597723892749 -94.5765409074079 648.764452365489</t>
  </si>
  <si>
    <t>-450.863505700364 -143.574803694211 728.894311540568</t>
  </si>
  <si>
    <t>9763-20170724T164334.320267600.bin</t>
  </si>
  <si>
    <t>-528.424659787838 111.647342116503 -244.899525525632</t>
  </si>
  <si>
    <t>-570.68546977531 108.28274660957 -358.347738714178</t>
  </si>
  <si>
    <t>-588.016315738537 98.5075427939295 -477.907922237914</t>
  </si>
  <si>
    <t>-593.204301487226 87.1123551398016 -586.711037948742</t>
  </si>
  <si>
    <t>-587.970971604607 73.2535062468373 -695.225456048366</t>
  </si>
  <si>
    <t>-569.869438343705 51.4941159597874 -844.887875152335</t>
  </si>
  <si>
    <t>-524.71925483808 34.2679558656986 -934.596900466398</t>
  </si>
  <si>
    <t>-568.743253313079 91.3961134245253 -781.963555617144</t>
  </si>
  <si>
    <t>-538.12051861978 234.628482536411 -768.830678745999</t>
  </si>
  <si>
    <t>-523.517483753306 279.68888045732 -455.873112531847</t>
  </si>
  <si>
    <t>-336.597128403107 156.018906678562 -323.931573536831</t>
  </si>
  <si>
    <t>-587.014340460221 30.8478528609524 -775.370284271514</t>
  </si>
  <si>
    <t>-499.735255577846 203.944510205234 -256.853991691534</t>
  </si>
  <si>
    <t>-480.317126881551 194.826466069205 198.3355133003</t>
  </si>
  <si>
    <t>-485.519177935936 162.13194130983 667.280006734788</t>
  </si>
  <si>
    <t>-335.001150408516 148.914034238658 757.352785621829</t>
  </si>
  <si>
    <t>-557.045384145932 19.6155709748853 -232.238689624511</t>
  </si>
  <si>
    <t>-449.828546011128 -31.4495538194438 207.709655932023</t>
  </si>
  <si>
    <t>-599.57671315583 -94.7512207678409 649.124125324675</t>
  </si>
  <si>
    <t>-450.722609561208 -143.513646819951 729.175223392097</t>
  </si>
  <si>
    <t>9763-20170724T164334.390985300.bin</t>
  </si>
  <si>
    <t>-528.265766763561 110.422674032924 -245.004570639405</t>
  </si>
  <si>
    <t>-570.155543193109 107.388561297322 -358.599663067265</t>
  </si>
  <si>
    <t>-587.349858235058 98.0310914640955 -478.21293564942</t>
  </si>
  <si>
    <t>-592.519475685278 87.0312600271478 -587.057623088251</t>
  </si>
  <si>
    <t>-587.375730392758 73.5725380230762 -695.626696055794</t>
  </si>
  <si>
    <t>-569.511279787146 52.3627759756287 -845.396514172069</t>
  </si>
  <si>
    <t>-524.201878790651 33.9751901890206 -934.794158079128</t>
  </si>
  <si>
    <t>-568.457921369861 92.082139583675 -782.355472718442</t>
  </si>
  <si>
    <t>-538.602147030864 235.454375993817 -768.862113003459</t>
  </si>
  <si>
    <t>-524.011206912439 279.387471331407 -455.74367112495</t>
  </si>
  <si>
    <t>-336.669744028586 156.483846833928 -323.683317223379</t>
  </si>
  <si>
    <t>-586.37352870993 31.4127837142704 -775.900689818582</t>
  </si>
  <si>
    <t>-500.310491626367 202.990171569985 -256.211051059991</t>
  </si>
  <si>
    <t>-480.180633449817 194.23166363169 198.954581760802</t>
  </si>
  <si>
    <t>-486.513875411057 162.083706184021 668.157097644394</t>
  </si>
  <si>
    <t>-335.308701447325 149.437494476968 757.15462400186</t>
  </si>
  <si>
    <t>-556.051347263043 17.8081490551893 -233.131119714623</t>
  </si>
  <si>
    <t>-452.294591248802 -32.2581300287256 207.760644362638</t>
  </si>
  <si>
    <t>-599.441872437336 -95.266763121828 649.99287235519</t>
  </si>
  <si>
    <t>-450.204263919907 -142.964628024455 729.971443702772</t>
  </si>
  <si>
    <t>9763-20170724T164334.423077300.bin</t>
  </si>
  <si>
    <t>-528.152184951839 109.837935235008 -244.81734638724</t>
  </si>
  <si>
    <t>-570.050443459156 106.939982009066 -358.412778398792</t>
  </si>
  <si>
    <t>-587.269404730005 97.7350029545403 -478.034532750249</t>
  </si>
  <si>
    <t>-592.46875274919 86.8730903374804 -586.89144490584</t>
  </si>
  <si>
    <t>-587.362849678804 73.5479762799307 -695.478951693531</t>
  </si>
  <si>
    <t>-569.55991731035 52.5156338876099 -845.281007980411</t>
  </si>
  <si>
    <t>-524.239941758772 33.622864770641 -934.56796637265</t>
  </si>
  <si>
    <t>-568.560716123123 92.1824652481064 -782.206002058836</t>
  </si>
  <si>
    <t>-539.097047402028 235.624321414022 -768.602407121796</t>
  </si>
  <si>
    <t>-524.575658563743 279.378081412974 -455.455653093967</t>
  </si>
  <si>
    <t>-337.018596247237 156.749877871389 -323.44523330246</t>
  </si>
  <si>
    <t>-586.313659089449 31.4611844265669 -775.790457083013</t>
  </si>
  <si>
    <t>-500.582410970646 202.416939558547 -255.691744523214</t>
  </si>
  <si>
    <t>-480.268083530096 193.838898057309 199.469145958399</t>
  </si>
  <si>
    <t>-487.04325640605 161.646036537028 668.68245769645</t>
  </si>
  <si>
    <t>-335.351960120583 149.971121568534 756.982808781151</t>
  </si>
  <si>
    <t>-555.636646749582 17.1760266092023 -233.187115295025</t>
  </si>
  <si>
    <t>-453.118255411982 -32.0280415606842 208.091277149265</t>
  </si>
  <si>
    <t>-599.329380164592 -94.7919302843499 650.523728749429</t>
  </si>
  <si>
    <t>-450.38258851867 -143.352637158246 730.525099153466</t>
  </si>
  <si>
    <t>9763-20170724T164334.490300600.bin</t>
  </si>
  <si>
    <t>-527.860257352266 109.056947304062 -244.075761012636</t>
  </si>
  <si>
    <t>-569.688151263743 106.201495415283 -357.698392433795</t>
  </si>
  <si>
    <t>-586.86663430416 97.138158614301 -477.336626204925</t>
  </si>
  <si>
    <t>-592.043952992244 86.4380016875577 -586.210719411399</t>
  </si>
  <si>
    <t>-586.931686007659 73.3029399497026 -694.82092661562</t>
  </si>
  <si>
    <t>-569.136566507727 52.5597378621312 -844.664345722191</t>
  </si>
  <si>
    <t>-523.872747736357 33.030088768254 -933.842524886388</t>
  </si>
  <si>
    <t>-568.254002774548 92.1375719713038 -781.531775492902</t>
  </si>
  <si>
    <t>-539.434037249079 235.671346618331 -767.763391592713</t>
  </si>
  <si>
    <t>-525.260290148182 279.758390610418 -454.647447928789</t>
  </si>
  <si>
    <t>-337.313713559863 157.781603957604 -322.58761222597</t>
  </si>
  <si>
    <t>-585.766717875715 31.3383436699574 -775.194930869068</t>
  </si>
  <si>
    <t>-500.938156022293 201.97572081657 -254.739355072848</t>
  </si>
  <si>
    <t>-480.792236844097 193.69448112068 200.434469619603</t>
  </si>
  <si>
    <t>-488.13812944635 162.094173978942 669.518377796639</t>
  </si>
  <si>
    <t>-335.740953797073 151.063644801103 756.678881851327</t>
  </si>
  <si>
    <t>-554.610535644844 16.1600200053012 -232.731862804504</t>
  </si>
  <si>
    <t>-453.694769963095 -32.2693733372693 209.001355213087</t>
  </si>
  <si>
    <t>-599.033537716932 -95.2275813807347 651.517649487839</t>
  </si>
  <si>
    <t>-449.665970559798 -142.395121488574 731.568074514597</t>
  </si>
  <si>
    <t>9763-20170724T164334.523385600.bin</t>
  </si>
  <si>
    <t>-527.609452718416 108.878217002975 -243.630534882312</t>
  </si>
  <si>
    <t>-569.403300502225 105.940552654015 -357.263467457497</t>
  </si>
  <si>
    <t>-586.565958631298 96.8677444884897 -476.903366966095</t>
  </si>
  <si>
    <t>-591.737066043834 86.1883644602592 -585.779650593767</t>
  </si>
  <si>
    <t>-586.626901270352 73.1028657325608 -694.396003711455</t>
  </si>
  <si>
    <t>-568.843094853816 52.4577520537786 -844.254373268148</t>
  </si>
  <si>
    <t>-523.600745884325 32.7217168211146 -933.398051310958</t>
  </si>
  <si>
    <t>-567.999784555954 92.0062213519336 -781.102731385633</t>
  </si>
  <si>
    <t>-539.430354695911 235.594352567728 -767.261675373244</t>
  </si>
  <si>
    <t>-525.48869591261 280.004898493977 -454.181074081419</t>
  </si>
  <si>
    <t>-337.444202850737 158.381711823684 -321.934625414069</t>
  </si>
  <si>
    <t>-585.423971848152 31.1789662367007 -774.790655098584</t>
  </si>
  <si>
    <t>-500.9090170898 201.800197969675 -254.346697005925</t>
  </si>
  <si>
    <t>-481.067517572825 193.650416057364 200.842864008277</t>
  </si>
  <si>
    <t>-488.432260455177 161.906497472149 669.833092533629</t>
  </si>
  <si>
    <t>-335.719090742633 152.063494943892 756.581614834205</t>
  </si>
  <si>
    <t>-554.168684722342 15.8993362222225 -232.279643339031</t>
  </si>
  <si>
    <t>-453.43861214275 -32.1730791985261 209.534920549902</t>
  </si>
  <si>
    <t>-598.877334896371 -95.1978702475306 651.982413336972</t>
  </si>
  <si>
    <t>-449.451767142294 -142.079044240702 732.092696660712</t>
  </si>
  <si>
    <t>9763-20170724T164334.587186000.bin</t>
  </si>
  <si>
    <t>-527.069146015518 109.253406225022 -243.048156664169</t>
  </si>
  <si>
    <t>-568.806313212744 106.137690515586 -356.697172528026</t>
  </si>
  <si>
    <t>-585.918738950034 97.0091059715603 -476.340031460783</t>
  </si>
  <si>
    <t>-591.048287266537 86.3283114026006 -585.218221458847</t>
  </si>
  <si>
    <t>-585.900982028993 73.2889314361973 -693.838342209852</t>
  </si>
  <si>
    <t>-568.070522097835 52.7562677411023 -843.706585260299</t>
  </si>
  <si>
    <t>-522.876554356559 32.7003202629414 -932.803375544791</t>
  </si>
  <si>
    <t>-567.323726662731 92.2780040201369 -780.536989645184</t>
  </si>
  <si>
    <t>-539.157599761617 235.928875882841 -766.582084684693</t>
  </si>
  <si>
    <t>-525.569786357331 280.789305195373 -453.549829535964</t>
  </si>
  <si>
    <t>-337.526221457057 159.679498859686 -320.831799431151</t>
  </si>
  <si>
    <t>-584.596119971502 31.4046572720012 -774.252062275566</t>
  </si>
  <si>
    <t>-500.732217540133 202.34571079189 -253.943567363035</t>
  </si>
  <si>
    <t>-481.419785858164 194.231545268113 201.269353632433</t>
  </si>
  <si>
    <t>-488.831292718319 162.287821199849 670.092550836068</t>
  </si>
  <si>
    <t>-336.042435588747 151.509577236177 756.596361439367</t>
  </si>
  <si>
    <t>-553.236972881716 16.2014236964638 -231.658207668261</t>
  </si>
  <si>
    <t>-453.015056745612 -31.521395345613 210.309935086686</t>
  </si>
  <si>
    <t>-598.527726339994 -95.2211485681171 652.698736040289</t>
  </si>
  <si>
    <t>-449.199720985686 -142.121195091834 732.979884073323</t>
  </si>
  <si>
    <t>9763-20170724T164334.620274500.bin</t>
  </si>
  <si>
    <t>-526.70097096013 109.52975953519 -242.917240819242</t>
  </si>
  <si>
    <t>-568.37900379082 106.344659018268 -356.586178133638</t>
  </si>
  <si>
    <t>-585.438453609702 97.1682266103561 -476.232774633342</t>
  </si>
  <si>
    <t>-590.524106929145 86.4521616210159 -585.10968250408</t>
  </si>
  <si>
    <t>-585.337444563684 73.3845365690084 -693.724379907881</t>
  </si>
  <si>
    <t>-567.45720662846 52.8191193749561 -843.582322073374</t>
  </si>
  <si>
    <t>-522.280141818925 32.6017150707368 -932.651243608873</t>
  </si>
  <si>
    <t>-566.771977197538 92.3655269841759 -780.42742756522</t>
  </si>
  <si>
    <t>-538.774195765723 236.053120150955 -766.458373057922</t>
  </si>
  <si>
    <t>-525.34231116569 281.082538005719 -453.443732833064</t>
  </si>
  <si>
    <t>-337.334538782117 160.211935144101 -320.457216643283</t>
  </si>
  <si>
    <t>-583.965275327617 31.471882282651 -774.122164944953</t>
  </si>
  <si>
    <t>-500.469882633481 202.607853718151 -253.888024047484</t>
  </si>
  <si>
    <t>-481.248589387224 194.410679955767 201.327236707799</t>
  </si>
  <si>
    <t>-488.780675428359 162.18944080835 670.077277365266</t>
  </si>
  <si>
    <t>-336.016983263352 151.574866563015 756.645717390376</t>
  </si>
  <si>
    <t>-552.752165928522 16.48858335766 -231.461865596022</t>
  </si>
  <si>
    <t>-452.784462366748 -31.1546431942819 210.572291538396</t>
  </si>
  <si>
    <t>-598.396776257143 -95.2076684758503 652.983583859476</t>
  </si>
  <si>
    <t>-449.125783525811 -142.179186185573 733.328979043143</t>
  </si>
  <si>
    <t>9763-20170724T164334.692469700.bin</t>
  </si>
  <si>
    <t>-525.864265635835 110.217226358394 -242.811816412233</t>
  </si>
  <si>
    <t>-567.488062417543 106.878445214993 -356.496063638309</t>
  </si>
  <si>
    <t>-584.459299927103 97.5856020207958 -476.146443904235</t>
  </si>
  <si>
    <t>-589.451944177166 86.781251030693 -585.018703971861</t>
  </si>
  <si>
    <t>-584.159952846018 73.6425641341945 -693.619952228357</t>
  </si>
  <si>
    <t>-566.121359886491 52.9966451513187 -843.447618303586</t>
  </si>
  <si>
    <t>-521.048588596488 32.495921441867 -932.504757301737</t>
  </si>
  <si>
    <t>-565.628621434156 92.6101319841278 -780.33308662652</t>
  </si>
  <si>
    <t>-538.212741287251 236.420345377406 -766.411937215236</t>
  </si>
  <si>
    <t>-524.977817131408 281.783234647624 -453.437042542282</t>
  </si>
  <si>
    <t>-336.964273930663 161.506031316049 -319.921752395804</t>
  </si>
  <si>
    <t>-582.577146910609 31.6535172352716 -773.973993514499</t>
  </si>
  <si>
    <t>-499.953578281437 203.494585185415 -253.778040152769</t>
  </si>
  <si>
    <t>-480.945890995613 195.058370228559 201.44190627537</t>
  </si>
  <si>
    <t>-488.888927276242 162.405978188598 670.159597709333</t>
  </si>
  <si>
    <t>-336.114065739171 151.876757621045 756.718862904395</t>
  </si>
  <si>
    <t>-551.631212840196 17.0050104564069 -231.256755713213</t>
  </si>
  <si>
    <t>-452.338353437535 -30.4430792867797 210.950594323009</t>
  </si>
  <si>
    <t>-598.102338164073 -95.4643214660264 653.335001192439</t>
  </si>
  <si>
    <t>-448.695377537478 -141.768980086917 733.814428982704</t>
  </si>
  <si>
    <t>9763-20170724T164334.755639300.bin</t>
  </si>
  <si>
    <t>-524.896676421056 111.458559175822 -242.724547594105</t>
  </si>
  <si>
    <t>-566.35506920977 107.858588823159 -356.46122486382</t>
  </si>
  <si>
    <t>-583.208113592379 98.3318655107895 -476.109781198577</t>
  </si>
  <si>
    <t>-588.117597571268 87.3226100504642 -584.96552754528</t>
  </si>
  <si>
    <t>-582.768200330864 73.9816885245761 -693.53916411897</t>
  </si>
  <si>
    <t>-564.678100305048 53.0540765469872 -843.321555630028</t>
  </si>
  <si>
    <t>-519.840284086402 32.1235344224782 -932.397257153425</t>
  </si>
  <si>
    <t>-564.290088570412 92.8078092162601 -780.294514324264</t>
  </si>
  <si>
    <t>-537.291419460895 236.720807396761 -766.589774495927</t>
  </si>
  <si>
    <t>-524.495888723506 282.919009147259 -453.718884887063</t>
  </si>
  <si>
    <t>-336.42030894759 163.935756459315 -319.135765313036</t>
  </si>
  <si>
    <t>-581.074708945949 31.8200312528252 -773.800490272897</t>
  </si>
  <si>
    <t>-499.454239827685 204.976903119444 -253.722811514161</t>
  </si>
  <si>
    <t>-481.046684445833 196.301454248428 201.517286364534</t>
  </si>
  <si>
    <t>-489.107486273386 163.21876354454 670.142574299326</t>
  </si>
  <si>
    <t>-336.370293219951 152.162779170176 756.702485536891</t>
  </si>
  <si>
    <t>-550.204261716491 18.0636900394414 -231.092986554688</t>
  </si>
  <si>
    <t>-451.805926239568 -29.4435091782519 211.307792671768</t>
  </si>
  <si>
    <t>-597.799272689052 -95.6887373084128 653.526952756126</t>
  </si>
  <si>
    <t>-448.401673461024 -141.761175166101 734.156999066959</t>
  </si>
  <si>
    <t>9763-20170724T164334.787278500.bin</t>
  </si>
  <si>
    <t>-524.412925777596 112.293585616479 -242.639532537969</t>
  </si>
  <si>
    <t>-565.728254635745 108.55216091824 -356.423695719119</t>
  </si>
  <si>
    <t>-582.508727131034 98.8786908255196 -476.070838939366</t>
  </si>
  <si>
    <t>-587.384859272528 87.7318740675283 -584.914007108673</t>
  </si>
  <si>
    <t>-582.035704971273 74.246241175101 -693.469807274172</t>
  </si>
  <si>
    <t>-563.981397326574 53.1079952791353 -843.226990173629</t>
  </si>
  <si>
    <t>-519.321374295863 31.9192465289178 -932.330862094964</t>
  </si>
  <si>
    <t>-563.611830964042 92.9589014168922 -780.261178783987</t>
  </si>
  <si>
    <t>-536.753749632161 236.90576982654 -766.771912859888</t>
  </si>
  <si>
    <t>-524.018965705712 283.792911027407 -454.00100158766</t>
  </si>
  <si>
    <t>-336.152362405737 165.392337735288 -318.614621082192</t>
  </si>
  <si>
    <t>-580.327963143234 31.9631686222662 -773.666843692616</t>
  </si>
  <si>
    <t>-499.168848249221 205.751429997784 -253.681804090077</t>
  </si>
  <si>
    <t>-481.170566432755 196.888208556886 201.571069706069</t>
  </si>
  <si>
    <t>-489.144604555021 163.206490261038 670.169004242561</t>
  </si>
  <si>
    <t>-336.339272576503 152.549855916114 756.658780016791</t>
  </si>
  <si>
    <t>-549.494966767168 18.9769505321044 -230.983062992255</t>
  </si>
  <si>
    <t>-451.481044631023 -28.7464923742216 211.479862976558</t>
  </si>
  <si>
    <t>-597.631579026364 -95.4189585027874 653.562173152772</t>
  </si>
  <si>
    <t>-448.353350440818 -141.760376017589 734.259259561824</t>
  </si>
  <si>
    <t>9763-20170724T164334.820361800.bin</t>
  </si>
  <si>
    <t>-523.803887183657 113.227601971101 -242.580188904574</t>
  </si>
  <si>
    <t>-565.075450091463 109.348966265057 -356.375666227689</t>
  </si>
  <si>
    <t>-581.832330745958 99.5300383310559 -476.014095981741</t>
  </si>
  <si>
    <t>-586.697385346012 88.2443117264384 -584.843508190013</t>
  </si>
  <si>
    <t>-581.348671120812 74.6095364892122 -693.38074598312</t>
  </si>
  <si>
    <t>-563.307772269545 53.2507303016114 -843.10825065682</t>
  </si>
  <si>
    <t>-518.824836901087 31.7671028994247 -932.230136615769</t>
  </si>
  <si>
    <t>-562.95773845661 93.2007737133663 -780.205267490517</t>
  </si>
  <si>
    <t>-536.20600241525 237.188465168914 -766.940050409995</t>
  </si>
  <si>
    <t>-523.423267194085 284.999295127626 -454.3110244112</t>
  </si>
  <si>
    <t>-335.840585757334 167.116310547377 -318.08186483459</t>
  </si>
  <si>
    <t>-579.622957165704 32.2019211531984 -773.511591463175</t>
  </si>
  <si>
    <t>-498.838770691501 206.595156172828 -253.621566079107</t>
  </si>
  <si>
    <t>-481.226711024385 197.515341298021 201.642210114951</t>
  </si>
  <si>
    <t>-489.21265671336 163.176042888964 670.231788028331</t>
  </si>
  <si>
    <t>-336.309061315632 152.963387351895 756.60135875913</t>
  </si>
  <si>
    <t>-548.585390265605 20.0067154294453 -230.897887994564</t>
  </si>
  <si>
    <t>-451.102726043272 -28.0256619025692 211.648873810899</t>
  </si>
  <si>
    <t>-597.461648541523 -95.2915437399468 653.562028836983</t>
  </si>
  <si>
    <t>-448.212648544533 -141.611116458168 734.325481839319</t>
  </si>
  <si>
    <t>9763-20170724T164334.885551500.bin</t>
  </si>
  <si>
    <t>-522.526387471593 115.267382780634 -242.296961497873</t>
  </si>
  <si>
    <t>-563.67891979921 111.133052186336 -356.126643772371</t>
  </si>
  <si>
    <t>-580.447396368992 101.049189904482 -475.741461885737</t>
  </si>
  <si>
    <t>-585.380393187424 89.5160353336761 -584.541688964993</t>
  </si>
  <si>
    <t>-580.157884740549 75.6219929759134 -693.052303982379</t>
  </si>
  <si>
    <t>-562.353268519529 53.8873152205253 -842.753946001236</t>
  </si>
  <si>
    <t>-518.293195366412 31.6792483195705 -931.908249135419</t>
  </si>
  <si>
    <t>-561.957294813387 94.0087083772631 -779.960360736723</t>
  </si>
  <si>
    <t>-535.301488712624 238.041836743997 -767.05883341258</t>
  </si>
  <si>
    <t>-522.284028195138 287.72001537628 -454.73076788253</t>
  </si>
  <si>
    <t>-335.150600738007 170.865739390461 -317.005629245339</t>
  </si>
  <si>
    <t>-578.505243564784 32.9997430887922 -773.070891524636</t>
  </si>
  <si>
    <t>-498.105970649254 208.567208295678 -253.378009601803</t>
  </si>
  <si>
    <t>-481.419236848767 198.987234620277 201.910333131606</t>
  </si>
  <si>
    <t>-489.556612082053 163.596610293293 670.450266170232</t>
  </si>
  <si>
    <t>-336.482500484109 153.559633139766 756.537929683988</t>
  </si>
  <si>
    <t>-546.80679583183 22.0870726263113 -230.561929022835</t>
  </si>
  <si>
    <t>-450.100240134283 -26.5627551936028 212.08774930255</t>
  </si>
  <si>
    <t>-597.076002551757 -95.2208760336719 653.505393570172</t>
  </si>
  <si>
    <t>-448.065402322442 -141.964415744716 734.464582592786</t>
  </si>
  <si>
    <t>9763-20170724T164334.917665000.bin</t>
  </si>
  <si>
    <t>-521.741318174211 116.372620974995 -242.113671622696</t>
  </si>
  <si>
    <t>-562.935092446594 112.127299330921 -355.92435825424</t>
  </si>
  <si>
    <t>-579.775998478754 101.905337401427 -475.517268453803</t>
  </si>
  <si>
    <t>-584.786889659161 90.2364401610864 -584.2994861794</t>
  </si>
  <si>
    <t>-579.654751821821 76.195711472849 -692.795420711455</t>
  </si>
  <si>
    <t>-561.9880842541 54.2456060047496 -842.481973969239</t>
  </si>
  <si>
    <t>-518.166750576432 31.6112299192132 -931.646851284936</t>
  </si>
  <si>
    <t>-561.562789529383 94.4645418195483 -779.751052347338</t>
  </si>
  <si>
    <t>-534.96346992237 238.55235691435 -767.060748398379</t>
  </si>
  <si>
    <t>-522.035455717243 289.203424394589 -454.885263407175</t>
  </si>
  <si>
    <t>-335.076204895857 172.757959088946 -316.578526463581</t>
  </si>
  <si>
    <t>-578.047316474352 33.4511496127084 -772.749696158222</t>
  </si>
  <si>
    <t>-497.578369676482 209.560732311709 -253.253799937311</t>
  </si>
  <si>
    <t>-481.331536992552 199.752050510969 202.045600627384</t>
  </si>
  <si>
    <t>-489.684877158213 163.721558666572 670.546892199911</t>
  </si>
  <si>
    <t>-336.530763937897 153.794796209079 756.50483625424</t>
  </si>
  <si>
    <t>-545.768962815477 23.2929715276083 -230.313382192301</t>
  </si>
  <si>
    <t>-449.397584671307 -25.7975163785997 212.360781541465</t>
  </si>
  <si>
    <t>-596.891230872849 -95.2746707553018 653.448506716787</t>
  </si>
  <si>
    <t>-447.96211019798 -142.060333591219 734.533236862553</t>
  </si>
  <si>
    <t>9763-20170724T164334.986852400.bin</t>
  </si>
  <si>
    <t>-520.02216758302 118.227314797189 -241.778373823205</t>
  </si>
  <si>
    <t>-561.312075431401 113.742485094262 -355.54497166838</t>
  </si>
  <si>
    <t>-578.244379545845 103.221698132784 -475.099047185292</t>
  </si>
  <si>
    <t>-583.335317235055 91.25993465268 -583.845660333111</t>
  </si>
  <si>
    <t>-578.280410190733 76.9037796799711 -692.304071761109</t>
  </si>
  <si>
    <t>-560.718452771554 54.4923019111493 -841.934650201706</t>
  </si>
  <si>
    <t>-517.315675159345 31.0266730752392 -931.089290011787</t>
  </si>
  <si>
    <t>-560.327320587532 94.923969224081 -779.34029465858</t>
  </si>
  <si>
    <t>-534.004298022043 239.094754594091 -767.180936242262</t>
  </si>
  <si>
    <t>-520.940796052027 291.669633087062 -455.329369622344</t>
  </si>
  <si>
    <t>-334.468799905947 176.280115097881 -315.488358940022</t>
  </si>
  <si>
    <t>-576.650792304876 33.8933816623357 -772.115056688725</t>
  </si>
  <si>
    <t>-496.384572333185 211.504380800787 -253.027979894914</t>
  </si>
  <si>
    <t>-480.642682335095 201.057143412439 202.274902057074</t>
  </si>
  <si>
    <t>-489.894200680911 163.876173787193 670.685495621286</t>
  </si>
  <si>
    <t>-336.668810569587 153.767875311451 756.495248770948</t>
  </si>
  <si>
    <t>-543.533635011714 24.9602134620827 -229.959533326173</t>
  </si>
  <si>
    <t>-447.90645093019 -24.145301190351 212.874239782421</t>
  </si>
  <si>
    <t>-596.370574042176 -95.5759214672982 653.175482376734</t>
  </si>
  <si>
    <t>-447.303834496633 -141.285081644554 734.620458770945</t>
  </si>
  <si>
    <t>9763-20170724T164335.019935200.bin</t>
  </si>
  <si>
    <t>-519.004947731829 119.102528517115 -241.723732505481</t>
  </si>
  <si>
    <t>-560.366404196971 114.518836740445 -355.46036968576</t>
  </si>
  <si>
    <t>-577.396287338924 103.814813382282 -474.984325374008</t>
  </si>
  <si>
    <t>-582.585341909254 91.6543314124654 -583.704331744265</t>
  </si>
  <si>
    <t>-577.638243070275 77.0667943619583 -692.136710901794</t>
  </si>
  <si>
    <t>-560.235852428478 54.3003660608209 -841.732399942318</t>
  </si>
  <si>
    <t>-517.073261699872 30.4032206069682 -930.889005732982</t>
  </si>
  <si>
    <t>-559.81200803186 94.8888924155386 -779.239906379264</t>
  </si>
  <si>
    <t>-533.640257159384 239.111222293139 -767.310741751901</t>
  </si>
  <si>
    <t>-520.390945121042 292.843606280592 -455.664245594497</t>
  </si>
  <si>
    <t>-334.141755545901 178.102519384032 -314.995315642372</t>
  </si>
  <si>
    <t>-576.059766464674 33.8587356032638 -771.841994571688</t>
  </si>
  <si>
    <t>-495.57482025513 212.38122961558 -252.987022033454</t>
  </si>
  <si>
    <t>-479.965492605322 201.650594596718 202.31390931882</t>
  </si>
  <si>
    <t>-489.944931666024 163.983553658136 670.670466257343</t>
  </si>
  <si>
    <t>-336.704297851208 154.121988749259 756.481631946007</t>
  </si>
  <si>
    <t>-542.261839930752 25.9000119229329 -229.885551951147</t>
  </si>
  <si>
    <t>-447.053934119895 -23.1992906995604 213.039266626095</t>
  </si>
  <si>
    <t>-595.987081769934 -95.4902897216901 652.919371226581</t>
  </si>
  <si>
    <t>-447.135108539543 -141.333051563156 734.681563036906</t>
  </si>
  <si>
    <t>9763-20170724T164335.087618000.bin</t>
  </si>
  <si>
    <t>-516.543432500047 120.932982192365 -241.735363821291</t>
  </si>
  <si>
    <t>-557.918757633818 116.06496073079 -355.455106241241</t>
  </si>
  <si>
    <t>-575.055793842836 105.00113187748 -474.930979372613</t>
  </si>
  <si>
    <t>-580.380522273711 92.4866967928694 -583.604370910318</t>
  </si>
  <si>
    <t>-575.607792765956 77.5171935578769 -691.99237559938</t>
  </si>
  <si>
    <t>-558.487220364302 54.1911737542 -841.534377602798</t>
  </si>
  <si>
    <t>-515.749312561504 29.652122042316 -930.721197607636</t>
  </si>
  <si>
    <t>-558.012180796004 95.029505496816 -779.205307841859</t>
  </si>
  <si>
    <t>-532.045595987949 239.322134795764 -767.878785995711</t>
  </si>
  <si>
    <t>-518.396948411469 295.475408999566 -456.676651424565</t>
  </si>
  <si>
    <t>-332.673630016254 182.035674711718 -314.267693306204</t>
  </si>
  <si>
    <t>-574.11285230586 33.9949027071545 -771.528111522951</t>
  </si>
  <si>
    <t>-493.594506579781 214.263424240308 -253.04181013185</t>
  </si>
  <si>
    <t>-478.438248300007 202.993334333289 202.261425287777</t>
  </si>
  <si>
    <t>-490.097334980406 164.492751175298 670.582927587959</t>
  </si>
  <si>
    <t>-336.910671225314 154.208302703657 756.440971548794</t>
  </si>
  <si>
    <t>-539.352990097105 27.6317995837419 -229.881631928627</t>
  </si>
  <si>
    <t>-445.084888223479 -20.9670419959474 213.299312553167</t>
  </si>
  <si>
    <t>-595.049899230487 -95.5164477761164 652.276325981749</t>
  </si>
  <si>
    <t>-446.54969029433 -141.269192529666 734.725732139149</t>
  </si>
  <si>
    <t>9763-20170724T164335.121709700.bin</t>
  </si>
  <si>
    <t>-515.471935652544 121.737127735446 -241.799216597794</t>
  </si>
  <si>
    <t>-556.824994316147 116.718300583059 -355.520515176099</t>
  </si>
  <si>
    <t>-574.044206864524 105.477137865544 -474.968050411174</t>
  </si>
  <si>
    <t>-579.48781579144 92.7890694562825 -583.615210748006</t>
  </si>
  <si>
    <t>-574.878678615688 77.6302216446583 -691.984201934429</t>
  </si>
  <si>
    <t>-558.031593064507 54.0226475737576 -841.512950978817</t>
  </si>
  <si>
    <t>-515.526878271905 29.2137824697027 -930.73659635087</t>
  </si>
  <si>
    <t>-557.470432264758 94.9850654373859 -779.266038585124</t>
  </si>
  <si>
    <t>-531.627420023013 239.343649284078 -768.261199880235</t>
  </si>
  <si>
    <t>-517.722435015731 296.693117094108 -457.288681975097</t>
  </si>
  <si>
    <t>-332.205687495402 183.68133858861 -314.271436402657</t>
  </si>
  <si>
    <t>-573.501380493969 33.9514622445191 -771.436255082117</t>
  </si>
  <si>
    <t>-492.822095232 215.099212860132 -253.081872673183</t>
  </si>
  <si>
    <t>-477.93309842032 203.523044084549 202.222412215435</t>
  </si>
  <si>
    <t>-490.118934561995 164.37230110224 670.559132022115</t>
  </si>
  <si>
    <t>-336.887497695668 154.526920761917 756.388635147318</t>
  </si>
  <si>
    <t>-538.010453953616 28.4473809199729 -229.974600376514</t>
  </si>
  <si>
    <t>-444.456028326053 -19.6463771564681 213.412669747049</t>
  </si>
  <si>
    <t>-594.656122938132 -95.2484873553554 652.159196388681</t>
  </si>
  <si>
    <t>-446.479991784067 -141.577121920952 734.869592641958</t>
  </si>
  <si>
    <t>9763-20170724T164335.191463000.bin</t>
  </si>
  <si>
    <t>-513.609555758355 123.234727037921 -241.701636090195</t>
  </si>
  <si>
    <t>-554.812103384943 117.930811285039 -355.464669657504</t>
  </si>
  <si>
    <t>-572.147252630146 106.361547374175 -474.863978480065</t>
  </si>
  <si>
    <t>-577.809043095012 93.3570874954428 -583.462680105391</t>
  </si>
  <si>
    <t>-573.531931738182 77.8592382037714 -691.79713197374</t>
  </si>
  <si>
    <t>-557.263016132168 53.7542589321882 -841.310763112446</t>
  </si>
  <si>
    <t>-515.287053645257 28.6783819783576 -930.709791320824</t>
  </si>
  <si>
    <t>-556.532065097061 94.940552101359 -779.21343579124</t>
  </si>
  <si>
    <t>-530.898520482818 239.361232014251 -768.815532182333</t>
  </si>
  <si>
    <t>-516.524564861018 299.016999050068 -458.298496695673</t>
  </si>
  <si>
    <t>-331.300738775154 187.001559698451 -314.122521614415</t>
  </si>
  <si>
    <t>-572.390912953075 33.8993507148289 -771.097711805597</t>
  </si>
  <si>
    <t>-491.347060781683 216.62328255475 -253.045872972808</t>
  </si>
  <si>
    <t>-477.34269166647 204.589105595507 202.274662675054</t>
  </si>
  <si>
    <t>-490.219203011098 164.509922052797 670.504073044359</t>
  </si>
  <si>
    <t>-336.965823706679 154.63587202386 756.291036111362</t>
  </si>
  <si>
    <t>-535.80333069215 29.9832103763996 -229.676243401423</t>
  </si>
  <si>
    <t>-443.450865615388 -18.1143175810267 213.962475649709</t>
  </si>
  <si>
    <t>-594.197182526004 -95.3001936215793 652.322378995249</t>
  </si>
  <si>
    <t>-446.092692491024 -141.371108645124 735.304539941075</t>
  </si>
  <si>
    <t>9763-20170724T164335.226555100.bin</t>
  </si>
  <si>
    <t>-512.699173063308 123.9130870592 -241.58689553532</t>
  </si>
  <si>
    <t>-553.840004225366 118.492629429001 -355.366712490264</t>
  </si>
  <si>
    <t>-571.222393602586 106.760502807837 -474.743411606394</t>
  </si>
  <si>
    <t>-576.972907973869 93.5913981894404 -583.317643932654</t>
  </si>
  <si>
    <t>-572.830169574809 77.9121438408689 -691.631242587936</t>
  </si>
  <si>
    <t>-556.794870467508 53.5378504467702 -841.126348419393</t>
  </si>
  <si>
    <t>-515.120054335304 28.4901867617474 -930.674133720203</t>
  </si>
  <si>
    <t>-556.000999266237 94.8441161599869 -779.109534254268</t>
  </si>
  <si>
    <t>-530.535455137681 239.329442450226 -769.01450188627</t>
  </si>
  <si>
    <t>-516.056676565025 300.06880916894 -458.71256450669</t>
  </si>
  <si>
    <t>-330.875390279372 188.560520851533 -314.089548671233</t>
  </si>
  <si>
    <t>-571.778983556535 33.8013738042217 -770.849247745888</t>
  </si>
  <si>
    <t>-490.550081604082 217.246126120517 -252.999123234181</t>
  </si>
  <si>
    <t>-477.052966798339 205.034145480568 202.331870506439</t>
  </si>
  <si>
    <t>-490.222296809389 164.429534331704 670.50287524495</t>
  </si>
  <si>
    <t>-336.905612273944 155.17350172841 756.245768064167</t>
  </si>
  <si>
    <t>-534.675023341867 30.5896062083394 -229.480612246647</t>
  </si>
  <si>
    <t>-442.885724392891 -17.5946936412635 214.265613601064</t>
  </si>
  <si>
    <t>-594.043046182162 -95.3343920748803 652.421468117138</t>
  </si>
  <si>
    <t>-445.835145335575 -141.015967560425 735.43431675952</t>
  </si>
  <si>
    <t>9763-20170724T164335.286253800.bin</t>
  </si>
  <si>
    <t>-510.890202123309 125.051548809824 -241.29919732409</t>
  </si>
  <si>
    <t>-551.926097104186 119.450192697234 -355.108260352772</t>
  </si>
  <si>
    <t>-569.352710321121 107.447126655473 -474.451386268312</t>
  </si>
  <si>
    <t>-575.205990951122 94.000888176222 -582.986183122047</t>
  </si>
  <si>
    <t>-571.228556107577 78.0143415691767 -691.261090298412</t>
  </si>
  <si>
    <t>-555.486962356992 53.1833501630252 -840.712180816396</t>
  </si>
  <si>
    <t>-514.555843062776 28.791681644449 -930.782581467478</t>
  </si>
  <si>
    <t>-554.623931638898 94.6913604339645 -778.831242865114</t>
  </si>
  <si>
    <t>-529.340326643795 239.23826821266 -769.250992901819</t>
  </si>
  <si>
    <t>-515.053851370394 301.949664991644 -459.332706998733</t>
  </si>
  <si>
    <t>-330.023798541107 191.360375957264 -313.813048603661</t>
  </si>
  <si>
    <t>-570.280372998412 33.649237648625 -770.338187044711</t>
  </si>
  <si>
    <t>-488.974873236254 218.452449195357 -252.872484883431</t>
  </si>
  <si>
    <t>-476.194801714226 205.853230208019 202.468764508946</t>
  </si>
  <si>
    <t>-490.306570305612 164.535294228259 670.543382284419</t>
  </si>
  <si>
    <t>-337.004516065771 154.878158256286 756.268003021967</t>
  </si>
  <si>
    <t>-532.579735554246 31.6753360437811 -229.096005741407</t>
  </si>
  <si>
    <t>-442.061644244789 -16.6779436000433 214.892910282935</t>
  </si>
  <si>
    <t>-593.832383358149 -95.4918276063944 652.65174403222</t>
  </si>
  <si>
    <t>-445.514007611386 -141.119959595582 735.496449522599</t>
  </si>
  <si>
    <t>9763-20170724T164335.325356900.bin</t>
  </si>
  <si>
    <t>-510.158422072876 125.596671232577 -241.177895674262</t>
  </si>
  <si>
    <t>-551.170832264548 119.928402697712 -354.992010535473</t>
  </si>
  <si>
    <t>-568.630976369701 107.806601236971 -474.318359364629</t>
  </si>
  <si>
    <t>-574.537989940898 94.2349243434723 -582.834532138008</t>
  </si>
  <si>
    <t>-570.637371715417 78.1062961946493 -691.091190692744</t>
  </si>
  <si>
    <t>-555.025892150528 53.0618832852137 -840.520428674149</t>
  </si>
  <si>
    <t>-514.507593093051 29.205225445625 -930.919965188883</t>
  </si>
  <si>
    <t>-554.137628134175 94.6650095640868 -778.703540645584</t>
  </si>
  <si>
    <t>-528.931257788457 239.239141687346 -769.319923082962</t>
  </si>
  <si>
    <t>-514.814952997225 302.866672887793 -459.58055680514</t>
  </si>
  <si>
    <t>-329.928126011489 192.642364860459 -313.602592411409</t>
  </si>
  <si>
    <t>-569.729343152478 33.6215396852349 -770.101650964963</t>
  </si>
  <si>
    <t>-488.285073843032 218.907625938028 -252.793460668678</t>
  </si>
  <si>
    <t>-475.737985309785 206.253969769628 202.55267686498</t>
  </si>
  <si>
    <t>-490.289365168015 164.387080585716 670.5597246989</t>
  </si>
  <si>
    <t>-336.980671946846 154.870657183803 756.288276490551</t>
  </si>
  <si>
    <t>-531.901548230725 32.3423041301589 -228.872929414498</t>
  </si>
  <si>
    <t>-441.750583895897 -16.1072692007128 215.180099231721</t>
  </si>
  <si>
    <t>-593.785911277741 -95.201960940841 652.766019234253</t>
  </si>
  <si>
    <t>-445.426378753094 -141.268034015431 735.294170198038</t>
  </si>
  <si>
    <t>9763-20170724T164335.391113300.bin</t>
  </si>
  <si>
    <t>-508.946100891368 126.571681580665 -240.938972980658</t>
  </si>
  <si>
    <t>-549.874757325247 120.778110685912 -354.776903005865</t>
  </si>
  <si>
    <t>-567.345965207676 108.506322384056 -474.086374707862</t>
  </si>
  <si>
    <t>-573.301850696602 94.79587423778 -582.582423780343</t>
  </si>
  <si>
    <t>-569.488483710534 78.5283870843593 -690.82140303927</t>
  </si>
  <si>
    <t>-554.036728134614 53.2940389982828 -840.235291523291</t>
  </si>
  <si>
    <t>-514.135261957832 30.8648516283506 -931.272589974985</t>
  </si>
  <si>
    <t>-553.171323043429 94.9964032535296 -778.485027741709</t>
  </si>
  <si>
    <t>-528.079056910155 239.603976470422 -769.309979414414</t>
  </si>
  <si>
    <t>-514.121110469922 305.576710977671 -460.054486048878</t>
  </si>
  <si>
    <t>-329.792951919479 195.47547742053 -313.279389490271</t>
  </si>
  <si>
    <t>-568.575933068379 33.9224618335349 -769.763452045512</t>
  </si>
  <si>
    <t>-487.180709403402 219.701231813103 -252.637484360141</t>
  </si>
  <si>
    <t>-475.179869342072 206.941651948382 202.72049069677</t>
  </si>
  <si>
    <t>-490.425988091466 164.826014187398 670.594797992714</t>
  </si>
  <si>
    <t>-337.098222142305 155.71197133056 756.333098502726</t>
  </si>
  <si>
    <t>-530.561891773774 33.5210118893565 -228.581971711237</t>
  </si>
  <si>
    <t>-441.283345467136 -14.7617907512281 215.665469236195</t>
  </si>
  <si>
    <t>-593.80619297448 -94.3813528885135 652.987055959054</t>
  </si>
  <si>
    <t>-445.13812956927 -141.236284170844 734.509759692714</t>
  </si>
  <si>
    <t>9763-20170724T164335.420191900.bin</t>
  </si>
  <si>
    <t>-508.439045344874 126.95068986682 -240.868137168804</t>
  </si>
  <si>
    <t>-549.244458991036 121.082811184991 -354.746496835303</t>
  </si>
  <si>
    <t>-566.669480796593 108.766854724232 -474.058092506164</t>
  </si>
  <si>
    <t>-572.616320519206 95.0321916460422 -582.55166725937</t>
  </si>
  <si>
    <t>-568.826285278873 78.7578544018241 -690.790397110402</t>
  </si>
  <si>
    <t>-553.439722113804 53.5333261755166 -840.212510551803</t>
  </si>
  <si>
    <t>-513.73365847113 31.8793394047188 -931.522517923445</t>
  </si>
  <si>
    <t>-552.610936436418 95.2463188675912 -778.469046254907</t>
  </si>
  <si>
    <t>-527.75931831895 239.898360716658 -769.343611086988</t>
  </si>
  <si>
    <t>-514.133420993234 307.151653629918 -460.349328509335</t>
  </si>
  <si>
    <t>-329.983340544928 196.954815642855 -313.422601408325</t>
  </si>
  <si>
    <t>-567.884653439974 34.1424352349171 -769.726754916874</t>
  </si>
  <si>
    <t>-486.753049067547 220.035731614474 -252.584230525944</t>
  </si>
  <si>
    <t>-475.065578463289 207.260563019992 202.781409556976</t>
  </si>
  <si>
    <t>-490.489933082723 164.966575853023 670.626948788913</t>
  </si>
  <si>
    <t>-337.166626550398 155.802233876054 756.367883482286</t>
  </si>
  <si>
    <t>-529.932718408339 33.9725650165064 -228.526398655744</t>
  </si>
  <si>
    <t>-441.186614629758 -14.1451178723371 215.845579258878</t>
  </si>
  <si>
    <t>-593.807889980653 -94.190986561332 653.053516338572</t>
  </si>
  <si>
    <t>-445.014250476832 -141.394839775531 734.144575710218</t>
  </si>
  <si>
    <t>9763-20170724T164335.490387000.bin</t>
  </si>
  <si>
    <t>-507.432409387179 127.40665042477 -240.869663132387</t>
  </si>
  <si>
    <t>-548.093843486786 121.492317031736 -354.797187858489</t>
  </si>
  <si>
    <t>-565.441713127784 109.2383704972 -474.126310962618</t>
  </si>
  <si>
    <t>-571.345268937685 95.6142818784289 -582.636193464234</t>
  </si>
  <si>
    <t>-567.537101126654 79.5103637067981 -690.899877108967</t>
  </si>
  <si>
    <t>-552.149312546911 54.5896757971181 -840.372825093238</t>
  </si>
  <si>
    <t>-512.584747416052 34.4469741291157 -932.089267211678</t>
  </si>
  <si>
    <t>-551.493676888921 96.2162556686596 -778.569029623076</t>
  </si>
  <si>
    <t>-527.260813116277 240.972642089042 -769.386400404399</t>
  </si>
  <si>
    <t>-514.523486281158 310.391792736732 -460.833512436656</t>
  </si>
  <si>
    <t>-330.283161409717 199.93213972926 -314.217528383491</t>
  </si>
  <si>
    <t>-566.422210095237 35.0163530938741 -769.902433654057</t>
  </si>
  <si>
    <t>-485.969897397845 220.32061769165 -252.54707450591</t>
  </si>
  <si>
    <t>-474.829512122561 207.609025304725 202.834052979134</t>
  </si>
  <si>
    <t>-490.541175983156 165.020975777647 670.662194769372</t>
  </si>
  <si>
    <t>-337.247179968463 155.650537433004 756.433166782474</t>
  </si>
  <si>
    <t>-528.723656803365 34.5143267175665 -228.56892066023</t>
  </si>
  <si>
    <t>-441.000121066022 -13.3667168880655 216.031616903023</t>
  </si>
  <si>
    <t>-593.72210544535 -93.7991563124605 653.085580041822</t>
  </si>
  <si>
    <t>-444.635422142701 -141.027376617035 733.622341530025</t>
  </si>
  <si>
    <t>9763-20170724T164335.522472700.bin</t>
  </si>
  <si>
    <t>-506.996002915558 127.377650306906 -240.911878331754</t>
  </si>
  <si>
    <t>-547.60016628427 121.442865940723 -354.858804525549</t>
  </si>
  <si>
    <t>-564.925573247229 109.254322639455 -474.198006581541</t>
  </si>
  <si>
    <t>-570.822849933411 95.7282747014371 -582.720398554476</t>
  </si>
  <si>
    <t>-567.021431779641 79.7627806029316 -691.004819673342</t>
  </si>
  <si>
    <t>-551.6558140183 55.07820154323 -840.51916687753</t>
  </si>
  <si>
    <t>-512.081696029907 35.5926017745269 -932.373309994285</t>
  </si>
  <si>
    <t>-551.080602357001 96.6270768024079 -778.66240269481</t>
  </si>
  <si>
    <t>-527.238260204947 241.446811794553 -769.369684871749</t>
  </si>
  <si>
    <t>-515.072557015874 311.533357354403 -460.944460285065</t>
  </si>
  <si>
    <t>-330.650188048048 201.058618375944 -314.56893466598</t>
  </si>
  <si>
    <t>-565.828668863555 35.3736864950187 -770.065074215606</t>
  </si>
  <si>
    <t>-485.626370040319 220.219774767012 -252.543543020927</t>
  </si>
  <si>
    <t>-474.641956422606 207.562071383968 202.84281858136</t>
  </si>
  <si>
    <t>-490.545246324133 164.914401412483 670.683777519981</t>
  </si>
  <si>
    <t>-337.216144270073 156.04883425441 756.445668888403</t>
  </si>
  <si>
    <t>-528.175026123144 34.5305124928639 -228.653242320658</t>
  </si>
  <si>
    <t>-440.9344166295 -13.2342099184691 216.054859902651</t>
  </si>
  <si>
    <t>-593.653405398682 -93.7652469482969 653.085726944054</t>
  </si>
  <si>
    <t>-444.431097260456 -140.795769837273 733.486939086807</t>
  </si>
  <si>
    <t>9763-20170724T164335.587162700.bin</t>
  </si>
  <si>
    <t>-506.250783472098 126.930582098224 -240.991943510822</t>
  </si>
  <si>
    <t>-546.785637966397 121.021464900421 -354.96482708797</t>
  </si>
  <si>
    <t>-564.086061503414 109.077603174222 -474.332257046629</t>
  </si>
  <si>
    <t>-569.977379222831 95.8685482820076 -582.894118479193</t>
  </si>
  <si>
    <t>-566.185037936307 80.3189137162915 -691.239324021705</t>
  </si>
  <si>
    <t>-550.845215441062 56.3177978437822 -840.867688371313</t>
  </si>
  <si>
    <t>-511.200471968821 38.0192341029202 -932.935205231288</t>
  </si>
  <si>
    <t>-550.423729624372 97.6195899184863 -778.844228527959</t>
  </si>
  <si>
    <t>-527.244850586202 242.501885101938 -769.214383139257</t>
  </si>
  <si>
    <t>-516.092113494535 313.46618472759 -460.951620513201</t>
  </si>
  <si>
    <t>-331.417485772232 202.971274390761 -314.909785439098</t>
  </si>
  <si>
    <t>-564.841426647205 36.2554943364179 -770.479210757033</t>
  </si>
  <si>
    <t>-485.166403989799 219.93853244527 -252.520493803253</t>
  </si>
  <si>
    <t>-474.272355883628 207.462742099007 202.873137176558</t>
  </si>
  <si>
    <t>-490.67967648791 165.203478421874 670.702898810563</t>
  </si>
  <si>
    <t>-337.368561572607 156.176097077305 756.48001396893</t>
  </si>
  <si>
    <t>-527.167487873891 33.8851394516211 -228.844418843414</t>
  </si>
  <si>
    <t>-440.848077394301 -13.5140945670699 216.082500923496</t>
  </si>
  <si>
    <t>-593.495044359584 -94.491965361115 653.054880630624</t>
  </si>
  <si>
    <t>-443.655215191813 -139.628877426569 733.392984178793</t>
  </si>
  <si>
    <t>9763-20170724T164335.622255200.bin</t>
  </si>
  <si>
    <t>-505.971437913767 126.979835359721 -241.025693703879</t>
  </si>
  <si>
    <t>-546.486277192115 121.082931377633 -355.006233686979</t>
  </si>
  <si>
    <t>-563.775677954554 109.306439971436 -474.392063339561</t>
  </si>
  <si>
    <t>-569.659146979793 96.3172766435031 -582.980704403627</t>
  </si>
  <si>
    <t>-565.859827558021 81.058997839133 -691.367110597389</t>
  </si>
  <si>
    <t>-550.509665587188 57.5398248356364 -841.070891362859</t>
  </si>
  <si>
    <t>-510.82035162643 39.792433251221 -933.227096193267</t>
  </si>
  <si>
    <t>-550.182981575412 98.6611878744463 -778.927063210137</t>
  </si>
  <si>
    <t>-527.253860002552 243.587452880068 -768.970793433281</t>
  </si>
  <si>
    <t>-516.761122915313 314.925355967603 -460.771063386136</t>
  </si>
  <si>
    <t>-332.158381887227 204.099296269082 -314.889319405352</t>
  </si>
  <si>
    <t>-564.420268767632 37.2314838233411 -770.736090844648</t>
  </si>
  <si>
    <t>-484.918055771455 219.817273509054 -252.525722782741</t>
  </si>
  <si>
    <t>-474.059665917333 207.470993240546 202.872284887752</t>
  </si>
  <si>
    <t>-490.675198737253 165.089149576949 670.707816626586</t>
  </si>
  <si>
    <t>-337.372997547505 156.064545926049 756.501167811243</t>
  </si>
  <si>
    <t>-526.881027828647 34.1816749267678 -228.878589643003</t>
  </si>
  <si>
    <t>-440.616390482377 -13.146812835271 216.066416500526</t>
  </si>
  <si>
    <t>-593.366835735539 -93.9243554943002 653.016231476839</t>
  </si>
  <si>
    <t>-444.216442671116 -141.086647569938 733.473588287751</t>
  </si>
  <si>
    <t>9763-20170724T164335.684925800.bin</t>
  </si>
  <si>
    <t>-505.506313309774 126.610775515456 -241.047231940948</t>
  </si>
  <si>
    <t>-546.039945885079 120.768041313342 -355.023916940625</t>
  </si>
  <si>
    <t>-563.291756412175 109.296182312652 -474.444765787423</t>
  </si>
  <si>
    <t>-569.113318945761 96.7017629737292 -583.083449292088</t>
  </si>
  <si>
    <t>-565.220994963014 81.967170117057 -691.538916247962</t>
  </si>
  <si>
    <t>-549.706392799096 59.3189572891708 -841.359874715908</t>
  </si>
  <si>
    <t>-509.90531891274 42.5515935954089 -933.651428777784</t>
  </si>
  <si>
    <t>-549.660826730424 100.123115592275 -779.006533337459</t>
  </si>
  <si>
    <t>-527.573063198908 245.12951741286 -768.512836584426</t>
  </si>
  <si>
    <t>-518.366385741302 317.163787498839 -460.434107113822</t>
  </si>
  <si>
    <t>-333.914911781012 205.65621248896 -314.880611396086</t>
  </si>
  <si>
    <t>-563.481390867157 38.5571357175626 -771.130904419456</t>
  </si>
  <si>
    <t>-484.570820826694 219.405188309756 -252.510446398938</t>
  </si>
  <si>
    <t>-473.867431356743 207.322274661521 202.898338490769</t>
  </si>
  <si>
    <t>-490.767967179219 165.268439717493 670.722954321118</t>
  </si>
  <si>
    <t>-337.441799368489 156.701242622113 756.520395299079</t>
  </si>
  <si>
    <t>-526.246798008991 33.8449236131595 -228.962479075827</t>
  </si>
  <si>
    <t>-440.304140198066 -13.1516025423017 216.080058860805</t>
  </si>
  <si>
    <t>-593.235520150332 -93.8383372726434 652.996057344865</t>
  </si>
  <si>
    <t>-444.102172848854 -141.064148731408 733.447847739594</t>
  </si>
  <si>
    <t>9763-20170724T164335.723027500.bin</t>
  </si>
  <si>
    <t>-505.298132438702 126.406733244527 -241.070540333918</t>
  </si>
  <si>
    <t>-545.835357175812 120.576500181296 -355.046549726825</t>
  </si>
  <si>
    <t>-563.066139592531 109.232647632213 -474.48274329673</t>
  </si>
  <si>
    <t>-568.856723050491 96.8081077650637 -583.142417789251</t>
  </si>
  <si>
    <t>-564.920361688211 82.3016124975999 -691.627106675427</t>
  </si>
  <si>
    <t>-549.329886096941 60.0345429670162 -841.49740833232</t>
  </si>
  <si>
    <t>-509.452672832178 43.71917949197 -933.837112302085</t>
  </si>
  <si>
    <t>-549.408310641693 100.698966578857 -779.052995632063</t>
  </si>
  <si>
    <t>-527.745149451749 245.756691049887 -768.326644302012</t>
  </si>
  <si>
    <t>-519.164613239749 317.801210973856 -460.232150821227</t>
  </si>
  <si>
    <t>-334.714681227288 206.102783820508 -314.823369659539</t>
  </si>
  <si>
    <t>-563.048016224775 39.0751324244861 -771.315940197452</t>
  </si>
  <si>
    <t>-484.406463688258 219.169456423629 -252.515444136839</t>
  </si>
  <si>
    <t>-473.726212046315 207.210926412419 202.897160734314</t>
  </si>
  <si>
    <t>-490.7465688373 165.097402631913 670.732185607644</t>
  </si>
  <si>
    <t>-337.400112893724 156.845288366778 756.52426314823</t>
  </si>
  <si>
    <t>-526.017907307896 33.6586649506261 -228.976620950768</t>
  </si>
  <si>
    <t>-440.18403018813 -13.3453940824562 216.086090950537</t>
  </si>
  <si>
    <t>-593.206027857799 -93.8909242106784 652.989544792561</t>
  </si>
  <si>
    <t>-443.997822154364 -140.936728458105 733.407949218372</t>
  </si>
  <si>
    <t>9763-20170724T164335.790769400.bin</t>
  </si>
  <si>
    <t>-505.170217930728 126.271871612576 -241.032680833624</t>
  </si>
  <si>
    <t>-545.73399478526 120.448196203083 -354.999675288307</t>
  </si>
  <si>
    <t>-562.862489535669 109.330342949552 -474.471840039124</t>
  </si>
  <si>
    <t>-568.504089309336 97.2146221363572 -583.174193729141</t>
  </si>
  <si>
    <t>-564.360475236357 83.1301694434843 -691.706728456405</t>
  </si>
  <si>
    <t>-548.420360922468 61.5755333817396 -841.644515588739</t>
  </si>
  <si>
    <t>-508.255830660222 46.0693969546941 -933.998985861388</t>
  </si>
  <si>
    <t>-548.815080782547 101.97713133337 -779.030763411514</t>
  </si>
  <si>
    <t>-527.813187251697 247.099330320547 -767.830565065335</t>
  </si>
  <si>
    <t>-520.639259443876 319.403941629167 -459.761081148419</t>
  </si>
  <si>
    <t>-336.118223980983 207.319144500324 -314.740241879742</t>
  </si>
  <si>
    <t>-562.131668400717 40.2484154798266 -771.57258066818</t>
  </si>
  <si>
    <t>-484.38624401373 219.273743811082 -252.486562902771</t>
  </si>
  <si>
    <t>-473.615429327897 207.536949520879 202.929682528955</t>
  </si>
  <si>
    <t>-490.991557726393 165.90820564832 670.744357964562</t>
  </si>
  <si>
    <t>-337.756360567201 156.152439603154 756.577410526964</t>
  </si>
  <si>
    <t>-525.872801626107 33.3340723155668 -228.900886219324</t>
  </si>
  <si>
    <t>-439.841768084983 -13.4902384392014 216.1427289018</t>
  </si>
  <si>
    <t>-593.126931678447 -94.1986069388105 652.922800939558</t>
  </si>
  <si>
    <t>-443.681439351835 -140.579101234504 733.287119731202</t>
  </si>
  <si>
    <t>9763-20170724T164335.823849500.bin</t>
  </si>
  <si>
    <t>-505.201900034564 125.987802861977 -241.020729240432</t>
  </si>
  <si>
    <t>-545.823779031801 120.168857809618 -354.967237404541</t>
  </si>
  <si>
    <t>-562.938499253332 109.152231838723 -474.450540790469</t>
  </si>
  <si>
    <t>-568.536192538589 97.1724426647489 -583.170453913726</t>
  </si>
  <si>
    <t>-564.316601309342 83.2716318696021 -691.723688683626</t>
  </si>
  <si>
    <t>-548.237216239575 62.0244684859121 -841.690465005334</t>
  </si>
  <si>
    <t>-507.928449729969 46.8608626806456 -934.039032554955</t>
  </si>
  <si>
    <t>-548.746685130249 102.308828888806 -779.002152823332</t>
  </si>
  <si>
    <t>-528.015392652678 247.447447183411 -767.606940113299</t>
  </si>
  <si>
    <t>-521.767636825209 320.140479284466 -459.608777333905</t>
  </si>
  <si>
    <t>-337.267317029455 207.788961457742 -314.768006684491</t>
  </si>
  <si>
    <t>-561.957063301675 40.5424598601537 -771.667599270421</t>
  </si>
  <si>
    <t>-484.391621395223 218.932597891649 -252.483911574881</t>
  </si>
  <si>
    <t>-473.5390526639 207.26923568005 202.932327412879</t>
  </si>
  <si>
    <t>-490.919382103243 165.535577370357 670.746228673095</t>
  </si>
  <si>
    <t>-337.610544565809 156.809860637608 756.558759515992</t>
  </si>
  <si>
    <t>-525.909014566072 33.0054174040055 -228.891597658025</t>
  </si>
  <si>
    <t>-439.677958288796 -13.6592567668476 216.130073696889</t>
  </si>
  <si>
    <t>-593.090267695076 -94.5066992343219 652.882138729327</t>
  </si>
  <si>
    <t>-443.55601767117 -140.618833385416 733.235651759211</t>
  </si>
  <si>
    <t>9763-20170724T164335.890534300.bin</t>
  </si>
  <si>
    <t>-505.29168264483 125.584542759377 -241.0615683453</t>
  </si>
  <si>
    <t>-545.865031477529 119.712090965833 -355.022577979902</t>
  </si>
  <si>
    <t>-562.921792879839 108.820775914351 -474.525871807998</t>
  </si>
  <si>
    <t>-568.463448606921 97.0298789219254 -583.269215297216</t>
  </si>
  <si>
    <t>-564.183937485207 83.3943999903057 -691.853869029515</t>
  </si>
  <si>
    <t>-548.017067866603 62.5969789469986 -841.874145995208</t>
  </si>
  <si>
    <t>-507.481658086936 47.941382126071 -934.205525026618</t>
  </si>
  <si>
    <t>-548.626908274309 102.705821837846 -779.074310010028</t>
  </si>
  <si>
    <t>-528.216406737386 247.883087383841 -767.406752948214</t>
  </si>
  <si>
    <t>-523.941076294301 321.740302121768 -459.651793654856</t>
  </si>
  <si>
    <t>-339.679421006854 208.72588223941 -315.023287660449</t>
  </si>
  <si>
    <t>-561.713925204458 40.8925713463231 -771.915442321117</t>
  </si>
  <si>
    <t>-484.534859645081 218.605153469569 -252.548497870645</t>
  </si>
  <si>
    <t>-473.712288425519 207.177659300755 202.87439409304</t>
  </si>
  <si>
    <t>-490.997240146281 165.794669481599 670.700250262891</t>
  </si>
  <si>
    <t>-337.708028814031 156.915142866606 756.531963653037</t>
  </si>
  <si>
    <t>-525.853987069633 32.5868483703854 -228.992715489461</t>
  </si>
  <si>
    <t>-439.677852251753 -13.9841906171769 216.049482094153</t>
  </si>
  <si>
    <t>-593.02169882725 -94.6907507618102 652.854225119793</t>
  </si>
  <si>
    <t>-443.426845982321 -140.66851396313 733.171962954955</t>
  </si>
  <si>
    <t>9763-20170724T164335.922619600.bin</t>
  </si>
  <si>
    <t>-505.364544058888 125.488771481768 -241.157728217189</t>
  </si>
  <si>
    <t>-545.934761472437 119.619808396362 -355.12003206883</t>
  </si>
  <si>
    <t>-562.981818912293 108.763137226978 -474.627687421145</t>
  </si>
  <si>
    <t>-568.511947951816 97.0169141140396 -583.376556247591</t>
  </si>
  <si>
    <t>-564.218093094429 83.4399524600111 -691.967904786601</t>
  </si>
  <si>
    <t>-548.028163677509 62.7385739253631 -841.999029541326</t>
  </si>
  <si>
    <t>-507.393760006844 48.2606916043344 -934.31499164743</t>
  </si>
  <si>
    <t>-548.675041636349 102.812614029841 -779.177256411774</t>
  </si>
  <si>
    <t>-528.489874305513 248.010472049357 -767.450279148324</t>
  </si>
  <si>
    <t>-525.032454265441 322.415649865768 -459.817326467427</t>
  </si>
  <si>
    <t>-340.896844746354 209.220797523155 -315.169137243933</t>
  </si>
  <si>
    <t>-561.70826534389 40.9840142282458 -772.052516050299</t>
  </si>
  <si>
    <t>-484.682982981951 218.578436704092 -252.60217208336</t>
  </si>
  <si>
    <t>-473.846461388474 207.201403796901 202.821566353306</t>
  </si>
  <si>
    <t>-491.04685965436 166.015855323024 670.672293315481</t>
  </si>
  <si>
    <t>-337.749570543252 157.32050947025 756.508403230698</t>
  </si>
  <si>
    <t>-525.925128827169 32.4690548315097 -229.077768077604</t>
  </si>
  <si>
    <t>-439.75570466036 -13.947218181249 215.981778792101</t>
  </si>
  <si>
    <t>-592.992618489782 -94.4692386287347 652.86226457558</t>
  </si>
  <si>
    <t>-443.609526654774 -141.134451622901 733.177590538389</t>
  </si>
  <si>
    <t>9763-20170724T164335.992462100.bin</t>
  </si>
  <si>
    <t>-505.625114870107 125.177190550311 -241.19447110637</t>
  </si>
  <si>
    <t>-546.198635053647 119.304138625151 -355.155521193593</t>
  </si>
  <si>
    <t>-563.293919824748 108.512595915096 -474.662226024683</t>
  </si>
  <si>
    <t>-568.885706604423 96.8541933907149 -583.417315510285</t>
  </si>
  <si>
    <t>-564.671271714402 83.3940681023863 -692.02633523912</t>
  </si>
  <si>
    <t>-548.609315693509 62.8850811995828 -842.097638229349</t>
  </si>
  <si>
    <t>-507.784780939323 48.6789783999245 -934.371897202895</t>
  </si>
  <si>
    <t>-549.246367142117 102.887017751331 -779.229852132619</t>
  </si>
  <si>
    <t>-529.341580188324 248.117688358648 -767.497666327475</t>
  </si>
  <si>
    <t>-527.423684307506 323.837780980203 -460.172052689053</t>
  </si>
  <si>
    <t>-343.745918406981 210.530366176481 -315.03093229896</t>
  </si>
  <si>
    <t>-562.186108356789 41.0323452553368 -772.161623680238</t>
  </si>
  <si>
    <t>-485.039914801848 218.394389362619 -252.625648962926</t>
  </si>
  <si>
    <t>-474.058252572088 207.217317505812 202.799560348182</t>
  </si>
  <si>
    <t>-491.18085638981 166.30200593518 670.68586584015</t>
  </si>
  <si>
    <t>-337.917176993753 156.94586822818 756.512542966018</t>
  </si>
  <si>
    <t>-526.075122660661 31.9998057501138 -229.154051377994</t>
  </si>
  <si>
    <t>-439.892571742446 -14.0694178429745 215.939083611845</t>
  </si>
  <si>
    <t>-592.961616555353 -94.552582140582 652.901137867345</t>
  </si>
  <si>
    <t>-443.621462146056 -141.469132533731 733.149935907126</t>
  </si>
  <si>
    <t>9763-20170724T164336.024546400.bin</t>
  </si>
  <si>
    <t>-505.635955924782 125.0912082465 -241.220522575945</t>
  </si>
  <si>
    <t>-546.25630256858 119.235312276148 -355.165632415642</t>
  </si>
  <si>
    <t>-563.408666699426 108.478335830396 -474.667276794117</t>
  </si>
  <si>
    <t>-569.055163553074 96.8606192529976 -583.424013612198</t>
  </si>
  <si>
    <t>-564.897748883108 83.4520921212007 -692.041464124974</t>
  </si>
  <si>
    <t>-548.916723604783 63.0273986241188 -842.133012141804</t>
  </si>
  <si>
    <t>-507.969210777852 48.947372152396 -934.372004850832</t>
  </si>
  <si>
    <t>-549.54300692945 102.998488200364 -779.24542246302</t>
  </si>
  <si>
    <t>-529.720823761503 248.234965596516 -767.502550258065</t>
  </si>
  <si>
    <t>-529.125999669694 325.250140196728 -460.493676323369</t>
  </si>
  <si>
    <t>-345.881764539403 211.920477282213 -314.822848032571</t>
  </si>
  <si>
    <t>-562.432705873271 41.1309106022397 -772.19890964198</t>
  </si>
  <si>
    <t>-485.06447366083 218.250505512123 -252.634229496166</t>
  </si>
  <si>
    <t>-474.062038881641 207.133854538621 202.791894583081</t>
  </si>
  <si>
    <t>-491.16781102902 166.114973113076 670.694389681072</t>
  </si>
  <si>
    <t>-337.881615663593 157.020348158124 756.508924694071</t>
  </si>
  <si>
    <t>-526.034406683314 31.9826460579807 -229.182362678237</t>
  </si>
  <si>
    <t>-439.918334707309 -14.0719561395676 215.925078607139</t>
  </si>
  <si>
    <t>-592.933808651388 -94.430138299258 652.920651121136</t>
  </si>
  <si>
    <t>-443.819949490206 -142.0848626589 733.155343512365</t>
  </si>
  <si>
    <t>9763-20170724T164336.090446600.bin</t>
  </si>
  <si>
    <t>-505.728618950246 124.74950708552 -241.22769782892</t>
  </si>
  <si>
    <t>-546.381248872828 118.914619865482 -355.162356897491</t>
  </si>
  <si>
    <t>-563.609250509298 108.18906781923 -474.656016395027</t>
  </si>
  <si>
    <t>-569.340134045806 96.612276424426 -583.412514143478</t>
  </si>
  <si>
    <t>-565.281335961168 83.2618385030898 -692.041010218132</t>
  </si>
  <si>
    <t>-549.450720225015 62.9403555394435 -842.162444519025</t>
  </si>
  <si>
    <t>-508.014592510135 49.1031013914363 -934.219783810006</t>
  </si>
  <si>
    <t>-550.083259514265 102.881552632069 -779.255945869499</t>
  </si>
  <si>
    <t>-530.644192136918 248.177451114856 -767.57334631404</t>
  </si>
  <si>
    <t>-532.920045442661 327.477775597079 -461.154436104478</t>
  </si>
  <si>
    <t>-350.359478638379 214.261042477721 -314.540618769189</t>
  </si>
  <si>
    <t>-562.827304087091 40.9825070293338 -772.220596514664</t>
  </si>
  <si>
    <t>-485.157845804571 218.164784369662 -252.64194758386</t>
  </si>
  <si>
    <t>-473.952817565471 207.226569642878 202.783615478505</t>
  </si>
  <si>
    <t>-491.36660046045 166.727205629416 670.686038659312</t>
  </si>
  <si>
    <t>-338.182759279238 156.298220840641 756.531602785138</t>
  </si>
  <si>
    <t>-526.191980506287 31.3600270393557 -229.189575549363</t>
  </si>
  <si>
    <t>-439.925873133703 -14.4632308999008 215.91271801817</t>
  </si>
  <si>
    <t>-592.881967601952 -94.7516377834033 652.948573878136</t>
  </si>
  <si>
    <t>-443.416946999587 -141.430670167454 733.103443806141</t>
  </si>
  <si>
    <t>9763-20170724T164336.123534500.bin</t>
  </si>
  <si>
    <t>-505.728909315579 124.513459216157 -241.256258139269</t>
  </si>
  <si>
    <t>-546.438819693081 118.724084853227 -355.172799212617</t>
  </si>
  <si>
    <t>-563.755111366259 108.031428179268 -474.656723635361</t>
  </si>
  <si>
    <t>-569.576816602382 96.4829376170271 -583.411349640083</t>
  </si>
  <si>
    <t>-565.61902678282 83.1614046979706 -692.047162906677</t>
  </si>
  <si>
    <t>-549.938003435632 62.882527055442 -842.189946030843</t>
  </si>
  <si>
    <t>-508.061633504943 49.1476818280873 -934.063325229061</t>
  </si>
  <si>
    <t>-550.551306371587 102.814141738591 -779.27728783684</t>
  </si>
  <si>
    <t>-531.43202415764 248.162147024568 -767.68301988901</t>
  </si>
  <si>
    <t>-534.818271539903 328.261814921441 -461.482465848671</t>
  </si>
  <si>
    <t>-352.171211848782 215.176339886201 -314.874875088611</t>
  </si>
  <si>
    <t>-563.201428698365 40.8964991781552 -772.235602778376</t>
  </si>
  <si>
    <t>-485.189805428752 217.992232394987 -252.631120308867</t>
  </si>
  <si>
    <t>-473.806485653022 207.049525954266 202.789910813038</t>
  </si>
  <si>
    <t>-491.378527659796 166.610664316713 670.701350572559</t>
  </si>
  <si>
    <t>-338.130760932926 156.963504279856 756.524172649383</t>
  </si>
  <si>
    <t>-526.105938428242 31.0975903799788 -229.255879766185</t>
  </si>
  <si>
    <t>-439.960187174913 -14.5720696043405 215.885540014325</t>
  </si>
  <si>
    <t>-592.837542138333 -94.738743470144 652.967645559812</t>
  </si>
  <si>
    <t>-443.447974963201 -141.600575431929 733.156490595336</t>
  </si>
  <si>
    <t>9763-20170724T164336.189284100.bin</t>
  </si>
  <si>
    <t>-505.887318781959 124.226735505209 -241.300781962817</t>
  </si>
  <si>
    <t>-546.572753918491 118.432223759998 -355.225994622239</t>
  </si>
  <si>
    <t>-563.983516400237 107.745523920375 -474.69650020291</t>
  </si>
  <si>
    <t>-569.9387766488 96.2127400973806 -583.445621089057</t>
  </si>
  <si>
    <t>-566.161293693159 82.9202350269126 -692.091359627955</t>
  </si>
  <si>
    <t>-550.777766644689 62.6982309209686 -842.272664373442</t>
  </si>
  <si>
    <t>-507.910038699742 49.1773101570744 -933.719540962104</t>
  </si>
  <si>
    <t>-551.366552093009 102.624791522138 -779.356463159368</t>
  </si>
  <si>
    <t>-532.890109030393 248.065943590231 -767.944827460636</t>
  </si>
  <si>
    <t>-537.165333062917 328.518945019746 -461.848049161063</t>
  </si>
  <si>
    <t>-353.898381326598 215.680794821207 -315.824691889262</t>
  </si>
  <si>
    <t>-563.80249429324 40.6669009036291 -772.287679722761</t>
  </si>
  <si>
    <t>-485.431206264167 217.759189510398 -252.629458552675</t>
  </si>
  <si>
    <t>-473.818774647168 206.890228179266 202.787570157898</t>
  </si>
  <si>
    <t>-491.475293099769 166.674695467133 670.710438434176</t>
  </si>
  <si>
    <t>-338.219934931939 157.015958982537 756.518476751908</t>
  </si>
  <si>
    <t>-526.178931499636 30.7634356813571 -229.356845333272</t>
  </si>
  <si>
    <t>-440.206080645333 -14.7497265004502 215.834079667607</t>
  </si>
  <si>
    <t>-592.770273323973 -94.6977133886585 653.040977335792</t>
  </si>
  <si>
    <t>-443.407910610138 -141.634712871927 733.236365038279</t>
  </si>
  <si>
    <t>9763-20170724T164336.222370900.bin</t>
  </si>
  <si>
    <t>-506.017006476069 124.119758907228 -241.346848713326</t>
  </si>
  <si>
    <t>-546.76234038484 118.346949568119 -355.251621175746</t>
  </si>
  <si>
    <t>-564.242827184645 107.673458148162 -474.713170717699</t>
  </si>
  <si>
    <t>-570.264064138627 96.1507679053898 -583.459743896165</t>
  </si>
  <si>
    <t>-566.554813016687 82.8671639274682 -692.108935874302</t>
  </si>
  <si>
    <t>-551.267774920147 62.657100516377 -842.301700113285</t>
  </si>
  <si>
    <t>-507.925241323223 49.2421785626439 -933.540131753893</t>
  </si>
  <si>
    <t>-551.867735659441 102.588222461869 -779.388518650616</t>
  </si>
  <si>
    <t>-533.668339904517 248.073662944237 -768.063951257656</t>
  </si>
  <si>
    <t>-537.906166222438 328.295234312761 -461.905893588515</t>
  </si>
  <si>
    <t>-354.398855478719 215.580442871297 -316.089314188684</t>
  </si>
  <si>
    <t>-564.195892524517 40.6106477679387 -772.303594164781</t>
  </si>
  <si>
    <t>-485.736791639918 217.776320101696 -252.621886823296</t>
  </si>
  <si>
    <t>-473.801044375547 206.879379157367 202.786115836392</t>
  </si>
  <si>
    <t>-491.561166903865 166.827990541961 670.724824361509</t>
  </si>
  <si>
    <t>-338.317603607633 156.863554353179 756.518924470428</t>
  </si>
  <si>
    <t>-526.141675785935 30.5568375243052 -229.445839123097</t>
  </si>
  <si>
    <t>-440.381991980971 -14.9023328002445 215.791597275489</t>
  </si>
  <si>
    <t>-592.748283170215 -94.9359264615829 653.101005773464</t>
  </si>
  <si>
    <t>-443.378489468926 -141.830537836579 733.307317147493</t>
  </si>
  <si>
    <t>9763-20170724T164336.285618400.bin</t>
  </si>
  <si>
    <t>-506.156640746514 123.563143605892 -241.347075055727</t>
  </si>
  <si>
    <t>-546.987954953852 117.770970526626 -355.22014659409</t>
  </si>
  <si>
    <t>-564.53662633332 107.0892561987 -474.670926720866</t>
  </si>
  <si>
    <t>-570.610873731144 95.5644576667572 -583.414374303462</t>
  </si>
  <si>
    <t>-566.945695596907 82.2842193777533 -692.06540731736</t>
  </si>
  <si>
    <t>-551.710239527337 62.0847628457586 -842.264814227445</t>
  </si>
  <si>
    <t>-507.741831548199 48.8511662421377 -933.229831639089</t>
  </si>
  <si>
    <t>-552.349720469718 102.022633999615 -779.356281289627</t>
  </si>
  <si>
    <t>-534.481017286577 247.551178233067 -768.03660576229</t>
  </si>
  <si>
    <t>-539.115914228983 327.852189916835 -461.90522202099</t>
  </si>
  <si>
    <t>-355.673194336021 215.513975751614 -315.717183689584</t>
  </si>
  <si>
    <t>-564.553179807849 40.0221388829862 -772.25609424556</t>
  </si>
  <si>
    <t>-486.003116687252 217.135553059122 -252.582154308761</t>
  </si>
  <si>
    <t>-473.713757179384 206.394173029099 202.820202257309</t>
  </si>
  <si>
    <t>-491.534547309974 166.393131727204 670.744910741072</t>
  </si>
  <si>
    <t>-338.124972249592 158.449941935246 756.453216614792</t>
  </si>
  <si>
    <t>-526.160064501253 30.0002698806497 -229.415359437665</t>
  </si>
  <si>
    <t>-440.444443264569 -15.3387382442258 215.842797981652</t>
  </si>
  <si>
    <t>-592.692163280995 -95.0967052038074 653.203463772458</t>
  </si>
  <si>
    <t>-443.137235376839 -141.475118787941 733.364966346994</t>
  </si>
  <si>
    <t>9763-20170724T164336.323720800.bin</t>
  </si>
  <si>
    <t>-506.23712406716 123.603968540266 -241.329559116819</t>
  </si>
  <si>
    <t>-547.122932015619 117.795329962505 -355.182180647563</t>
  </si>
  <si>
    <t>-564.686451298309 107.120045047879 -474.631377096374</t>
  </si>
  <si>
    <t>-570.757232385168 95.6107874434205 -583.376669181539</t>
  </si>
  <si>
    <t>-567.071381754443 82.356128216733 -692.03014861547</t>
  </si>
  <si>
    <t>-551.789514680116 62.2029784813198 -842.231085880558</t>
  </si>
  <si>
    <t>-507.575421900989 49.0398695152552 -933.087160075636</t>
  </si>
  <si>
    <t>-552.46279083412 102.124128846174 -779.312411181815</t>
  </si>
  <si>
    <t>-534.647095253764 247.656905628998 -767.966183988065</t>
  </si>
  <si>
    <t>-539.957428771277 327.979538675239 -461.851313339461</t>
  </si>
  <si>
    <t>-356.584645544151 215.74851414966 -315.493371809947</t>
  </si>
  <si>
    <t>-564.639705339737 40.1161690170652 -772.231418804886</t>
  </si>
  <si>
    <t>-486.148901400033 217.228904505916 -252.575062803773</t>
  </si>
  <si>
    <t>-473.816077405751 206.53444156483 202.827256550694</t>
  </si>
  <si>
    <t>-491.625503779266 166.647990024012 670.746960759343</t>
  </si>
  <si>
    <t>-338.280639489896 157.718341189887 756.474055197226</t>
  </si>
  <si>
    <t>-526.188812371973 30.0688684368266 -229.395991847835</t>
  </si>
  <si>
    <t>-440.434594116157 -15.1519593530918 215.866789987306</t>
  </si>
  <si>
    <t>-592.64451370288 -94.9091371608354 653.20946848957</t>
  </si>
  <si>
    <t>-443.247766447367 -141.809717570377 733.362270223154</t>
  </si>
  <si>
    <t>9763-20170724T164336.387896700.bin</t>
  </si>
  <si>
    <t>-506.287632564251 123.474595166838 -241.29439609846</t>
  </si>
  <si>
    <t>-547.154277519098 117.647257094193 -355.152912159664</t>
  </si>
  <si>
    <t>-564.671692153168 106.994723523846 -474.61111717457</t>
  </si>
  <si>
    <t>-570.689757288917 95.5242354070918 -583.363351893846</t>
  </si>
  <si>
    <t>-566.940327667425 82.3274377994479 -692.021687276647</t>
  </si>
  <si>
    <t>-551.559120507786 62.275080009952 -842.225990479939</t>
  </si>
  <si>
    <t>-506.990070564285 49.1562092812612 -932.914963958131</t>
  </si>
  <si>
    <t>-552.293493873474 102.157495483677 -779.283342310871</t>
  </si>
  <si>
    <t>-534.720943827325 247.72048806131 -767.891602665635</t>
  </si>
  <si>
    <t>-541.2384105888 328.220372238982 -461.846764844182</t>
  </si>
  <si>
    <t>-358.014699479838 216.189784471317 -315.148721665826</t>
  </si>
  <si>
    <t>-564.43614979756 40.1377626160688 -772.247122643906</t>
  </si>
  <si>
    <t>-486.250386922976 217.258886812834 -252.573226031603</t>
  </si>
  <si>
    <t>-473.901858894899 206.71108876917 202.831989587942</t>
  </si>
  <si>
    <t>-491.817380757676 167.17503164861 670.761127058097</t>
  </si>
  <si>
    <t>-338.537216007595 157.295932656588 756.499701233728</t>
  </si>
  <si>
    <t>-526.13989564352 29.8413644289079 -229.374247705058</t>
  </si>
  <si>
    <t>-440.4284304452 -15.3306858207253 215.901666282196</t>
  </si>
  <si>
    <t>-592.600846734785 -95.0915051742358 653.262382029653</t>
  </si>
  <si>
    <t>-442.941600204187 -141.336613771323 733.306166872865</t>
  </si>
  <si>
    <t>9763-20170724T164336.423993400.bin</t>
  </si>
  <si>
    <t>-506.197265683058 123.311124736637 -241.285743473257</t>
  </si>
  <si>
    <t>-547.047695550643 117.506891571856 -355.151254867199</t>
  </si>
  <si>
    <t>-564.514318822211 106.869239152831 -474.61807354135</t>
  </si>
  <si>
    <t>-570.472021160964 95.4104483679258 -583.374902304894</t>
  </si>
  <si>
    <t>-566.648119375213 82.2242436994553 -692.031944367298</t>
  </si>
  <si>
    <t>-551.14902873703 62.1867478899404 -842.226067786141</t>
  </si>
  <si>
    <t>-506.408850256372 49.0723212928645 -932.831448439948</t>
  </si>
  <si>
    <t>-551.945658769347 102.065274877078 -779.281760194102</t>
  </si>
  <si>
    <t>-534.522071335973 247.638453437975 -767.879443754993</t>
  </si>
  <si>
    <t>-541.484198434708 328.296178365887 -461.88596711823</t>
  </si>
  <si>
    <t>-358.364341300244 216.267178445174 -315.057143201003</t>
  </si>
  <si>
    <t>-564.068150862646 40.0401878204255 -772.25796596621</t>
  </si>
  <si>
    <t>-486.171488564842 216.931836018956 -252.560912397188</t>
  </si>
  <si>
    <t>-473.774706791159 206.432137672218 202.844191973255</t>
  </si>
  <si>
    <t>-491.761863686324 166.819578656575 670.777753583268</t>
  </si>
  <si>
    <t>-338.383025131751 158.224481753891 756.478126819138</t>
  </si>
  <si>
    <t>-526.021403183149 29.775297403012 -229.383556337769</t>
  </si>
  <si>
    <t>-440.378588405389 -15.4162094968523 215.903600854466</t>
  </si>
  <si>
    <t>-592.569518286983 -95.0358955718937 653.278058412427</t>
  </si>
  <si>
    <t>-443.05426525445 -141.756043162721 733.315092894012</t>
  </si>
  <si>
    <t>9763-20170724T164336.487721900.bin</t>
  </si>
  <si>
    <t>-506.105919547424 122.845687488013 -241.265599230033</t>
  </si>
  <si>
    <t>-546.975856826598 117.044452548174 -355.124270940844</t>
  </si>
  <si>
    <t>-564.362062168347 106.399963358186 -474.602285397237</t>
  </si>
  <si>
    <t>-570.205617765617 94.932017272735 -583.364223222499</t>
  </si>
  <si>
    <t>-566.226504775872 81.7347431125916 -692.014444764762</t>
  </si>
  <si>
    <t>-550.470276014879 61.6807607164153 -842.179518956011</t>
  </si>
  <si>
    <t>-505.372057155403 48.5461384896615 -932.604237720512</t>
  </si>
  <si>
    <t>-551.372043736178 101.565745355904 -779.240858825003</t>
  </si>
  <si>
    <t>-534.11920850377 247.158059427476 -767.826445238242</t>
  </si>
  <si>
    <t>-542.161012199535 327.888036651195 -461.878378515065</t>
  </si>
  <si>
    <t>-359.303306401571 215.954814313955 -314.650653183488</t>
  </si>
  <si>
    <t>-563.511822533954 39.5423687149936 -772.231652775542</t>
  </si>
  <si>
    <t>-486.098509842937 216.504628119472 -252.542037063025</t>
  </si>
  <si>
    <t>-473.704341344593 206.201035868844 202.867595916806</t>
  </si>
  <si>
    <t>-491.825606148108 166.797109193404 670.813640526101</t>
  </si>
  <si>
    <t>-338.444583068086 158.129547667046 756.50283161094</t>
  </si>
  <si>
    <t>-526.002367724898 29.2137123256069 -229.337706312052</t>
  </si>
  <si>
    <t>-440.170815358768 -15.725840899529 215.938660074591</t>
  </si>
  <si>
    <t>-592.516774593242 -95.3086686837418 653.296940516384</t>
  </si>
  <si>
    <t>-442.871254056136 -141.680706912384 733.293048615974</t>
  </si>
  <si>
    <t>9763-20170724T164336.520808300.bin</t>
  </si>
  <si>
    <t>-506.054957385032 122.710682550355 -241.263412209561</t>
  </si>
  <si>
    <t>-546.898036131171 116.92401754942 -355.132358423617</t>
  </si>
  <si>
    <t>-564.19585108506 106.277062204539 -474.622931385346</t>
  </si>
  <si>
    <t>-569.934500339709 94.7993174194923 -583.389639683096</t>
  </si>
  <si>
    <t>-565.826483682676 81.5843417561404 -692.032814820766</t>
  </si>
  <si>
    <t>-549.866780799894 61.4972510659426 -842.172057010829</t>
  </si>
  <si>
    <t>-504.55912092426 48.3398311301816 -932.488565150588</t>
  </si>
  <si>
    <t>-550.842428842075 101.393986935331 -779.241854133734</t>
  </si>
  <si>
    <t>-533.652994457724 246.986605238211 -767.761576207359</t>
  </si>
  <si>
    <t>-542.205695419432 327.770835658623 -461.841822393035</t>
  </si>
  <si>
    <t>-359.512231797221 215.886919686645 -314.372774623903</t>
  </si>
  <si>
    <t>-563.014401461957 39.3763092003684 -772.238382238947</t>
  </si>
  <si>
    <t>-486.080688711609 216.518697936331 -252.533961847029</t>
  </si>
  <si>
    <t>-473.721840354019 206.239551032593 202.877102718746</t>
  </si>
  <si>
    <t>-491.924402262643 167.06756857238 670.825297026309</t>
  </si>
  <si>
    <t>-338.584449898688 157.81483419082 756.526984146934</t>
  </si>
  <si>
    <t>-525.882909013593 28.9922442797482 -229.361276747187</t>
  </si>
  <si>
    <t>-440.147805487944 -15.8745638604607 215.940997983609</t>
  </si>
  <si>
    <t>-592.499192512848 -95.5124643177518 653.312786284872</t>
  </si>
  <si>
    <t>-442.81137506179 -141.777023736137 733.291807064297</t>
  </si>
  <si>
    <t>9763-20170724T164336.588996300.bin</t>
  </si>
  <si>
    <t>-505.657404504795 122.777955625789 -241.225430629067</t>
  </si>
  <si>
    <t>-546.441154718042 116.988715873152 -355.115569515688</t>
  </si>
  <si>
    <t>-563.495359131336 106.332163158199 -474.640322946197</t>
  </si>
  <si>
    <t>-568.938553285642 94.845246958122 -583.421163261188</t>
  </si>
  <si>
    <t>-564.461411040433 81.6225989329864 -692.048825414768</t>
  </si>
  <si>
    <t>-547.914688904846 61.5282629487559 -842.123486733336</t>
  </si>
  <si>
    <t>-502.187105387119 48.387674344675 -932.230632146868</t>
  </si>
  <si>
    <t>-549.136931244843 101.428135514799 -779.199527734226</t>
  </si>
  <si>
    <t>-532.029707295846 247.013336804236 -767.550884997783</t>
  </si>
  <si>
    <t>-541.685423083341 327.92233961194 -461.696923261693</t>
  </si>
  <si>
    <t>-359.368188442915 216.041295995662 -313.760651872247</t>
  </si>
  <si>
    <t>-561.335261591663 39.4106375872633 -772.240590615755</t>
  </si>
  <si>
    <t>-485.68273473016 216.402042623003 -252.513496792888</t>
  </si>
  <si>
    <t>-473.502930570071 206.310260907989 202.906641983416</t>
  </si>
  <si>
    <t>-491.940365539691 166.954701533422 670.839721005327</t>
  </si>
  <si>
    <t>-338.616273800802 157.53755542038 756.551764320974</t>
  </si>
  <si>
    <t>-525.439934812333 29.2379829452323 -229.294234136948</t>
  </si>
  <si>
    <t>-439.752344558772 -15.7155065380566 216.008456926271</t>
  </si>
  <si>
    <t>-592.407083079653 -95.0413686495198 653.258831843797</t>
  </si>
  <si>
    <t>-443.086056777102 -142.405083838675 733.280247290103</t>
  </si>
  <si>
    <t>9763-20170724T164336.622081700.bin</t>
  </si>
  <si>
    <t>-505.476985711933 122.723854078071 -241.21245354035</t>
  </si>
  <si>
    <t>-546.323746504548 116.936107348015 -355.080145056751</t>
  </si>
  <si>
    <t>-563.325551818928 106.278779931742 -474.612208681627</t>
  </si>
  <si>
    <t>-568.67305910493 94.7915152533385 -583.397850199732</t>
  </si>
  <si>
    <t>-564.05212711183 81.5698142181533 -692.019563537286</t>
  </si>
  <si>
    <t>-547.256697417615 61.47903423726 -842.067203044674</t>
  </si>
  <si>
    <t>-501.345194184185 48.3499426258787 -932.082333359437</t>
  </si>
  <si>
    <t>-548.576265465892 101.376143223698 -779.143441213795</t>
  </si>
  <si>
    <t>-531.472731090919 246.967577938672 -767.416381422122</t>
  </si>
  <si>
    <t>-542.082480356075 327.907429499806 -461.602045542877</t>
  </si>
  <si>
    <t>-359.838024096061 216.099236545117 -313.521324498895</t>
  </si>
  <si>
    <t>-560.799968777961 39.3610295800746 -772.207989757292</t>
  </si>
  <si>
    <t>-485.578652153278 216.393946226416 -252.508261182899</t>
  </si>
  <si>
    <t>-473.462196751228 206.356176946727 202.914788582438</t>
  </si>
  <si>
    <t>-491.988699783887 167.102575003545 670.8410378067</t>
  </si>
  <si>
    <t>-338.65080973583 157.948508813621 756.556880828904</t>
  </si>
  <si>
    <t>-525.283360104062 29.1111778517819 -229.230143102781</t>
  </si>
  <si>
    <t>-439.497871137329 -15.8558690270114 216.052291649868</t>
  </si>
  <si>
    <t>-592.369436382896 -95.2842985749087 653.210191117653</t>
  </si>
  <si>
    <t>-442.886251748862 -142.12684702079 733.235584308437</t>
  </si>
  <si>
    <t>9763-20170724T164336.688263300.bin</t>
  </si>
  <si>
    <t>-505.134824868196 122.72799626556 -241.231658205983</t>
  </si>
  <si>
    <t>-545.798156614164 116.874431535042 -355.161516479422</t>
  </si>
  <si>
    <t>-562.554928263286 106.202759216792 -474.727083497057</t>
  </si>
  <si>
    <t>-567.657947716558 94.7252642540123 -583.525294142222</t>
  </si>
  <si>
    <t>-562.771453106985 81.5369773796098 -692.139630703423</t>
  </si>
  <si>
    <t>-545.586830574517 61.5180518998844 -842.152651606049</t>
  </si>
  <si>
    <t>-499.347160315134 48.4589640288961 -932.010026394419</t>
  </si>
  <si>
    <t>-547.080295191566 101.386997230747 -779.214917172726</t>
  </si>
  <si>
    <t>-530.04156006198 246.953902861844 -767.268489312131</t>
  </si>
  <si>
    <t>-542.375007758704 328.525492325919 -461.686818665438</t>
  </si>
  <si>
    <t>-360.260139124514 216.446542313106 -313.651163064651</t>
  </si>
  <si>
    <t>-559.300601055754 39.3646142430218 -772.338053927037</t>
  </si>
  <si>
    <t>-485.214970459914 216.374332852873 -252.575716200748</t>
  </si>
  <si>
    <t>-473.441805420193 206.442575415268 202.858573715119</t>
  </si>
  <si>
    <t>-492.039012886021 167.243716665239 670.810110813258</t>
  </si>
  <si>
    <t>-338.720265265976 158.08295769835 756.559519200902</t>
  </si>
  <si>
    <t>-524.836126606598 29.1836599339362 -229.322864681628</t>
  </si>
  <si>
    <t>-439.312364425823 -15.6898142859902 216.019457761541</t>
  </si>
  <si>
    <t>-592.253054667971 -95.096405243826 653.125892151346</t>
  </si>
  <si>
    <t>-443.052683159079 -142.690640257629 733.235408104937</t>
  </si>
  <si>
    <t>9763-20170724T164336.720349700.bin</t>
  </si>
  <si>
    <t>-504.879537680141 122.54686003576 -241.259554330014</t>
  </si>
  <si>
    <t>-545.522680624563 116.691374193728 -355.196607843648</t>
  </si>
  <si>
    <t>-562.19992601829 106.02559069321 -474.773650145905</t>
  </si>
  <si>
    <t>-567.206851875725 94.5586162662767 -583.57755244866</t>
  </si>
  <si>
    <t>-562.20041387654 81.3873573070646 -692.18830968049</t>
  </si>
  <si>
    <t>-544.824838664381 61.4002495215426 -842.183732545532</t>
  </si>
  <si>
    <t>-498.431784314387 48.381831555426 -931.96779768065</t>
  </si>
  <si>
    <t>-546.425558731946 101.260721936043 -779.243387491112</t>
  </si>
  <si>
    <t>-529.474119912025 246.849871739372 -767.207459325251</t>
  </si>
  <si>
    <t>-542.524731723885 328.758577891221 -461.745801846996</t>
  </si>
  <si>
    <t>-360.476612530442 216.550510012838 -313.72592132503</t>
  </si>
  <si>
    <t>-558.600423125322 39.227132778506 -772.387509682298</t>
  </si>
  <si>
    <t>-485.018308344508 216.310038722858 -252.58126286324</t>
  </si>
  <si>
    <t>-473.326096826337 206.442219801197 202.856555240521</t>
  </si>
  <si>
    <t>-492.129119580114 167.528812212145 670.807376274697</t>
  </si>
  <si>
    <t>-338.805452337748 158.513460834139 756.563324346791</t>
  </si>
  <si>
    <t>-524.565612008695 28.853299385807 -229.323030490765</t>
  </si>
  <si>
    <t>-439.151531874446 -15.9473856213306 216.04755542828</t>
  </si>
  <si>
    <t>-592.214406270006 -95.531290909429 653.08646900718</t>
  </si>
  <si>
    <t>-442.738534931171 -142.217391744973 733.216841198393</t>
  </si>
  <si>
    <t>9763-20170724T164336.791202400.bin</t>
  </si>
  <si>
    <t>-504.211281401734 122.263098149861 -241.224050614427</t>
  </si>
  <si>
    <t>-544.913290586099 116.42116466723 -355.140806502573</t>
  </si>
  <si>
    <t>-561.489932145244 105.786150861902 -474.734455605341</t>
  </si>
  <si>
    <t>-566.338735847928 94.3586088790227 -583.549732967385</t>
  </si>
  <si>
    <t>-561.107476891965 81.2414003162296 -692.156469924898</t>
  </si>
  <si>
    <t>-543.351662871069 61.3474654044645 -842.119803179719</t>
  </si>
  <si>
    <t>-496.715010152633 48.3967386408109 -931.787330875336</t>
  </si>
  <si>
    <t>-545.153409354323 101.176331064926 -779.164697847453</t>
  </si>
  <si>
    <t>-528.455863742573 246.768954457615 -766.96957781497</t>
  </si>
  <si>
    <t>-543.053431679764 329.280659281432 -461.740195099832</t>
  </si>
  <si>
    <t>-361.001167130275 217.090092331626 -313.71221180087</t>
  </si>
  <si>
    <t>-557.262775653725 39.1235591864439 -772.366599382633</t>
  </si>
  <si>
    <t>-484.363892112936 215.888836026258 -252.544852656536</t>
  </si>
  <si>
    <t>-472.769597727749 206.169537033089 202.898564820482</t>
  </si>
  <si>
    <t>-492.046980504583 167.025891910433 670.821052230101</t>
  </si>
  <si>
    <t>-338.698908491583 158.536654858009 756.587085344834</t>
  </si>
  <si>
    <t>-523.887030395494 28.6481287349182 -229.234824631867</t>
  </si>
  <si>
    <t>-438.470884855599 -16.026750014802 216.148012734531</t>
  </si>
  <si>
    <t>-592.108719413397 -95.8041969859619 652.960812070777</t>
  </si>
  <si>
    <t>-442.714844617956 -142.591330471562 733.185135376153</t>
  </si>
  <si>
    <t>9763-20170724T164336.818274300.bin</t>
  </si>
  <si>
    <t>-503.906858270611 122.34007298479 -241.238216484296</t>
  </si>
  <si>
    <t>-544.564577866662 116.447137549454 -355.168042821357</t>
  </si>
  <si>
    <t>-561.046762477079 105.801006342846 -474.774006851807</t>
  </si>
  <si>
    <t>-565.790205798403 94.3807681218997 -583.594610241552</t>
  </si>
  <si>
    <t>-560.434335161496 81.2887784831831 -692.198253133119</t>
  </si>
  <si>
    <t>-542.486243549562 61.4491309216931 -842.145804991506</t>
  </si>
  <si>
    <t>-495.720823911168 48.538290194671 -931.75221709697</t>
  </si>
  <si>
    <t>-544.385642117266 101.258246623723 -779.18118498002</t>
  </si>
  <si>
    <t>-527.820755403292 246.864340655988 -766.901729705787</t>
  </si>
  <si>
    <t>-543.192522638757 329.502181434739 -461.74440819622</t>
  </si>
  <si>
    <t>-361.145409075262 217.285623789883 -313.729783433275</t>
  </si>
  <si>
    <t>-556.469888181467 39.196913002634 -772.416255455729</t>
  </si>
  <si>
    <t>-484.075916512033 215.948984162836 -252.562126100933</t>
  </si>
  <si>
    <t>-472.585317771467 206.272945915855 202.884836117932</t>
  </si>
  <si>
    <t>-492.115983093605 167.232944045863 670.811658243152</t>
  </si>
  <si>
    <t>-338.805945581694 158.29716686042 756.600310624033</t>
  </si>
  <si>
    <t>-523.573499107732 28.7516466663668 -229.247696387405</t>
  </si>
  <si>
    <t>-438.254664810223 -15.9302424653096 216.153129790625</t>
  </si>
  <si>
    <t>-592.058094224993 -95.9237208717445 652.887766434187</t>
  </si>
  <si>
    <t>-442.743078296601 -142.87637731741 733.16214581102</t>
  </si>
  <si>
    <t>9763-20170724T164336.887462300.bin</t>
  </si>
  <si>
    <t>-503.425135059141 122.246182968724 -241.233085858213</t>
  </si>
  <si>
    <t>-543.931380833893 116.350517406919 -355.216644337695</t>
  </si>
  <si>
    <t>-560.202796114236 105.717394153066 -474.852649875823</t>
  </si>
  <si>
    <t>-564.733269701082 94.3173804426173 -583.68448757213</t>
  </si>
  <si>
    <t>-559.143572918251 81.2552113658567 -692.280045733368</t>
  </si>
  <si>
    <t>-540.850079841636 61.4680888510722 -842.192687469467</t>
  </si>
  <si>
    <t>-493.85355350589 48.6313486821534 -931.688635532257</t>
  </si>
  <si>
    <t>-542.933004545355 101.262013445974 -779.224216099309</t>
  </si>
  <si>
    <t>-526.558328357681 246.875929797592 -766.804516988899</t>
  </si>
  <si>
    <t>-542.998370142223 329.81057226499 -461.783645822561</t>
  </si>
  <si>
    <t>-361.170875204207 217.616148167067 -313.482336877591</t>
  </si>
  <si>
    <t>-554.955715983286 39.1845552623714 -772.497575277748</t>
  </si>
  <si>
    <t>-483.676670647203 215.923790518941 -252.54051789707</t>
  </si>
  <si>
    <t>-472.338540936698 206.325454659293 202.912013251179</t>
  </si>
  <si>
    <t>-492.187349917066 167.341962513395 670.820936726398</t>
  </si>
  <si>
    <t>-338.885539646285 158.380916523507 756.621505031685</t>
  </si>
  <si>
    <t>-523.049072687194 28.5700128395052 -229.30325083908</t>
  </si>
  <si>
    <t>-437.964163424875 -15.916491977091 216.161947895594</t>
  </si>
  <si>
    <t>-591.97749564584 -96.1119014453029 652.790149650216</t>
  </si>
  <si>
    <t>-442.58286369877 -142.718615660332 733.11795857506</t>
  </si>
  <si>
    <t>9763-20170724T164336.926567900.bin</t>
  </si>
  <si>
    <t>-503.281710028127 122.275289320864 -241.272224581501</t>
  </si>
  <si>
    <t>-543.792376542486 116.377626208069 -355.25429692259</t>
  </si>
  <si>
    <t>-560.011477086126 105.753219563661 -474.898085773412</t>
  </si>
  <si>
    <t>-564.471490464024 94.3650405773947 -583.734018428524</t>
  </si>
  <si>
    <t>-558.788529461232 81.3186016411319 -692.326621697605</t>
  </si>
  <si>
    <t>-540.342727396599 61.5572051867641 -842.224076176624</t>
  </si>
  <si>
    <t>-493.250820647108 48.7603263830378 -931.675702070067</t>
  </si>
  <si>
    <t>-542.50261167445 101.342599160729 -779.25282957809</t>
  </si>
  <si>
    <t>-526.253257096965 246.957645976624 -766.736043517512</t>
  </si>
  <si>
    <t>-543.096994445243 330.05556078774 -461.7816596524</t>
  </si>
  <si>
    <t>-361.341472573497 217.927338044109 -313.34224246973</t>
  </si>
  <si>
    <t>-554.506177117604 39.2594369133616 -772.545412233576</t>
  </si>
  <si>
    <t>-483.628987118586 216.005304376523 -252.534521699272</t>
  </si>
  <si>
    <t>-472.311880954675 206.401001666532 202.918401003144</t>
  </si>
  <si>
    <t>-492.246826353971 167.501832797551 670.825106707302</t>
  </si>
  <si>
    <t>-338.934891452315 158.667134788094 756.62089280721</t>
  </si>
  <si>
    <t>-522.851237202186 28.5984984989533 -229.333890247496</t>
  </si>
  <si>
    <t>-437.871139706663 -15.8288937982793 216.157108766751</t>
  </si>
  <si>
    <t>-591.943930234924 -96.0095852000903 652.758682812649</t>
  </si>
  <si>
    <t>-442.615273160722 -142.78358553348 733.112032782921</t>
  </si>
  <si>
    <t>9763-20170724T164336.988756500.bin</t>
  </si>
  <si>
    <t>-503.114791550051 122.113459263264 -241.224928581634</t>
  </si>
  <si>
    <t>-543.547818386331 116.132069283951 -355.230212311805</t>
  </si>
  <si>
    <t>-559.619200914178 105.486137837471 -474.891955074629</t>
  </si>
  <si>
    <t>-563.918028837954 94.1047802219004 -583.735152647608</t>
  </si>
  <si>
    <t>-558.047723911671 81.0915185585543 -692.321672180634</t>
  </si>
  <si>
    <t>-539.315743927894 61.4040196226586 -842.193420811074</t>
  </si>
  <si>
    <t>-492.049381091281 48.6950642854458 -931.565440785084</t>
  </si>
  <si>
    <t>-541.620104695577 101.162668853384 -779.210486070939</t>
  </si>
  <si>
    <t>-525.508232207957 246.779587380764 -766.562362057349</t>
  </si>
  <si>
    <t>-543.358249135827 330.227713348899 -461.760972020304</t>
  </si>
  <si>
    <t>-361.73286467205 218.278062482542 -313.027643341442</t>
  </si>
  <si>
    <t>-553.587959409364 39.0675492216967 -772.549231670493</t>
  </si>
  <si>
    <t>-483.476675487256 215.734757601379 -252.5285963175</t>
  </si>
  <si>
    <t>-472.359902666315 206.2041430578 202.930749449318</t>
  </si>
  <si>
    <t>-492.174948263315 167.068824630725 670.826545101715</t>
  </si>
  <si>
    <t>-338.782978026799 159.342370297047 756.586218111285</t>
  </si>
  <si>
    <t>-522.649303596981 28.4646573888885 -229.261315727044</t>
  </si>
  <si>
    <t>-437.578703060224 -15.9046567220291 216.218260925083</t>
  </si>
  <si>
    <t>-591.880002721258 -96.3978321529438 652.67025914405</t>
  </si>
  <si>
    <t>-442.419509502447 -142.736978407574 733.030570201974</t>
  </si>
  <si>
    <t>9763-20170724T164337.021848200.bin</t>
  </si>
  <si>
    <t>-503.096520211001 122.23074464019 -241.222137892609</t>
  </si>
  <si>
    <t>-543.485559822285 116.230347392412 -355.241995654149</t>
  </si>
  <si>
    <t>-559.483110452911 105.579240469869 -474.91315626772</t>
  </si>
  <si>
    <t>-563.703502305619 94.2002161830363 -583.759640277758</t>
  </si>
  <si>
    <t>-557.743434897581 81.1972986463399 -692.342584531258</t>
  </si>
  <si>
    <t>-538.875564762879 61.5335209150627 -842.200233783029</t>
  </si>
  <si>
    <t>-491.534300403153 48.8590255803674 -931.537591724989</t>
  </si>
  <si>
    <t>-541.251698354382 101.28482728169 -779.215344953989</t>
  </si>
  <si>
    <t>-525.203385773104 246.905233899704 -766.486400485374</t>
  </si>
  <si>
    <t>-543.582189549117 330.631046058052 -461.792561068915</t>
  </si>
  <si>
    <t>-361.987378169063 218.724046753128 -312.990050773482</t>
  </si>
  <si>
    <t>-553.196286346372 39.1834886488069 -772.570513100431</t>
  </si>
  <si>
    <t>-483.490209836589 215.950134431978 -252.54608805789</t>
  </si>
  <si>
    <t>-472.432355143288 206.384584105788 202.913908962416</t>
  </si>
  <si>
    <t>-492.206725456333 167.139992516267 670.81728906616</t>
  </si>
  <si>
    <t>-338.849975495523 158.878293854137 756.59002407914</t>
  </si>
  <si>
    <t>-522.55490603367 28.5470440629052 -229.27542249577</t>
  </si>
  <si>
    <t>-437.529720284948 -15.8871372502064 216.206347163843</t>
  </si>
  <si>
    <t>-591.847708612049 -96.450703843679 652.642243392665</t>
  </si>
  <si>
    <t>-442.306935334145 -142.549129381288 732.991627663813</t>
  </si>
  <si>
    <t>9763-20170724T164337.093044000.bin</t>
  </si>
  <si>
    <t>-503.027777968593 122.501954480186 -241.269831084236</t>
  </si>
  <si>
    <t>-543.35684412821 116.500642088484 -355.310883477508</t>
  </si>
  <si>
    <t>-559.238492620788 105.845578250382 -474.997115887463</t>
  </si>
  <si>
    <t>-563.331956133848 94.4627604537806 -583.84794248033</t>
  </si>
  <si>
    <t>-557.223599046845 81.4564719542382 -692.422301760297</t>
  </si>
  <si>
    <t>-538.128679805826 61.7889676391131 -842.250772805277</t>
  </si>
  <si>
    <t>-490.626374601555 49.1764830758046 -931.511333277011</t>
  </si>
  <si>
    <t>-540.621727149505 101.54553197362 -779.273656469826</t>
  </si>
  <si>
    <t>-524.779181108764 247.182945889363 -766.448500585621</t>
  </si>
  <si>
    <t>-544.046202286231 331.013372506511 -461.838096463086</t>
  </si>
  <si>
    <t>-362.488406950497 219.2449657266 -312.886415809836</t>
  </si>
  <si>
    <t>-552.533459173024 39.4368670976188 -772.638957422402</t>
  </si>
  <si>
    <t>-483.50383781907 216.362145007077 -252.556647398737</t>
  </si>
  <si>
    <t>-472.470145931135 206.737170723519 202.902834433111</t>
  </si>
  <si>
    <t>-492.362221894392 167.603356671075 670.807462777164</t>
  </si>
  <si>
    <t>-339.042177669275 158.723491943636 756.58404951718</t>
  </si>
  <si>
    <t>-522.428340047306 28.6867722503679 -229.364689840756</t>
  </si>
  <si>
    <t>-437.60358355555 -15.696398879225 216.160408749108</t>
  </si>
  <si>
    <t>-591.772592779393 -96.2939334262055 652.610057140965</t>
  </si>
  <si>
    <t>-442.298588659264 -142.54990731434 732.993103719205</t>
  </si>
  <si>
    <t>9763-20170724T164337.119113700.bin</t>
  </si>
  <si>
    <t>-502.996168972118 122.642252893886 -241.293176473175</t>
  </si>
  <si>
    <t>-543.328279396253 116.635076788417 -355.332879715681</t>
  </si>
  <si>
    <t>-559.180019171503 105.972934174738 -475.022550206156</t>
  </si>
  <si>
    <t>-563.232671652564 94.5842551796629 -583.874293209366</t>
  </si>
  <si>
    <t>-557.070088910367 81.5731852789943 -692.445054572577</t>
  </si>
  <si>
    <t>-537.88614242307 61.9007045454783 -842.261486682289</t>
  </si>
  <si>
    <t>-490.306719480511 49.3152438835889 -931.484715226054</t>
  </si>
  <si>
    <t>-540.425236765298 101.660897310955 -779.288470261901</t>
  </si>
  <si>
    <t>-524.686997130088 247.314282472528 -766.450529416317</t>
  </si>
  <si>
    <t>-544.351107160359 331.01101493869 -461.828850951575</t>
  </si>
  <si>
    <t>-362.759154626584 219.310044085255 -312.868036341638</t>
  </si>
  <si>
    <t>-552.32371290972 39.5494273795969 -772.656243009858</t>
  </si>
  <si>
    <t>-483.461021814607 216.553776466479 -252.559278389115</t>
  </si>
  <si>
    <t>-472.492668694825 206.913435125886 202.901395511085</t>
  </si>
  <si>
    <t>-492.438923629351 167.826832672782 670.801251038585</t>
  </si>
  <si>
    <t>-339.149506092862 158.483773516337 756.583434494534</t>
  </si>
  <si>
    <t>-522.412541244749 28.7614578453891 -229.364071691815</t>
  </si>
  <si>
    <t>-437.583911557944 -15.5980356650881 216.162634978117</t>
  </si>
  <si>
    <t>-591.7435817809 -96.3239458267506 652.607500469598</t>
  </si>
  <si>
    <t>-442.358573455502 -142.828482619194 733.012339954975</t>
  </si>
  <si>
    <t>9763-20170724T164337.189032400.bin</t>
  </si>
  <si>
    <t>-502.883164629967 122.657687945624 -241.290354330829</t>
  </si>
  <si>
    <t>-543.129599102746 116.657591044818 -355.360653792602</t>
  </si>
  <si>
    <t>-558.872525034647 106.010604695707 -475.065859354085</t>
  </si>
  <si>
    <t>-562.818545656963 94.639768311467 -583.923596633595</t>
  </si>
  <si>
    <t>-556.541822284442 81.6511153530915 -692.490340919209</t>
  </si>
  <si>
    <t>-537.192177497782 62.0151649196565 -842.290240303186</t>
  </si>
  <si>
    <t>-489.516972201691 49.4638459109518 -931.467310555364</t>
  </si>
  <si>
    <t>-539.80505006511 101.760709192073 -779.311111576595</t>
  </si>
  <si>
    <t>-524.182872640836 247.409737424577 -766.379205715641</t>
  </si>
  <si>
    <t>-544.614547070576 331.170981103118 -461.825872277184</t>
  </si>
  <si>
    <t>-363.091816657964 219.499148469324 -312.758885312102</t>
  </si>
  <si>
    <t>-551.702485296928 39.6461598229238 -772.705847556875</t>
  </si>
  <si>
    <t>-483.395043699599 216.767584160402 -252.565214990392</t>
  </si>
  <si>
    <t>-472.58215924974 207.055118312541 202.897581570692</t>
  </si>
  <si>
    <t>-492.542467076934 168.118047978396 670.793628644782</t>
  </si>
  <si>
    <t>-339.284494153099 158.365251280951 756.586346453773</t>
  </si>
  <si>
    <t>-522.230755074634 28.6356817296806 -229.377005590244</t>
  </si>
  <si>
    <t>-437.591553323441 -15.7549963142715 216.182556216137</t>
  </si>
  <si>
    <t>-591.72180994655 -96.6468573017486 652.630017515239</t>
  </si>
  <si>
    <t>-442.111874486915 -142.522518223325 732.977999605091</t>
  </si>
  <si>
    <t>9763-20170724T164337.223123000.bin</t>
  </si>
  <si>
    <t>-502.795728876259 122.952318031006 -241.305978094117</t>
  </si>
  <si>
    <t>-543.051329511154 116.943277852139 -355.372562232188</t>
  </si>
  <si>
    <t>-558.77081211272 106.308750191355 -475.081945634776</t>
  </si>
  <si>
    <t>-562.682137945002 94.9579631645943 -583.942973040351</t>
  </si>
  <si>
    <t>-556.357444911469 81.998418372135 -692.510515744288</t>
  </si>
  <si>
    <t>-536.927681657822 62.412335698187 -842.306612453918</t>
  </si>
  <si>
    <t>-489.199199781698 49.8904022971382 -931.459137472069</t>
  </si>
  <si>
    <t>-539.574152091977 102.136915132203 -779.315534719285</t>
  </si>
  <si>
    <t>-523.953235917877 247.783482137783 -766.322434123675</t>
  </si>
  <si>
    <t>-544.798112491915 331.610268291969 -461.815031552076</t>
  </si>
  <si>
    <t>-363.357660726362 219.906932186712 -312.671458346021</t>
  </si>
  <si>
    <t>-551.475415719041 40.0202300315947 -772.737331186472</t>
  </si>
  <si>
    <t>-483.326839413026 217.064433513973 -252.574478421316</t>
  </si>
  <si>
    <t>-472.59819859365 207.364980906267 202.890577595631</t>
  </si>
  <si>
    <t>-492.629358350909 168.440682973966 670.77973956717</t>
  </si>
  <si>
    <t>-339.405707533953 158.275759383928 756.585773682081</t>
  </si>
  <si>
    <t>-522.100396884085 28.9457759220244 -229.386137273434</t>
  </si>
  <si>
    <t>-437.547594421681 -15.3252252435235 216.20174580933</t>
  </si>
  <si>
    <t>-591.668823758317 -96.0915532319726 652.611066595512</t>
  </si>
  <si>
    <t>-442.471426463964 -143.239930704633 732.989512963782</t>
  </si>
  <si>
    <t>9763-20170724T164337.287986600.bin</t>
  </si>
  <si>
    <t>-502.597238025927 122.854719661187 -241.316029417009</t>
  </si>
  <si>
    <t>-542.818854577863 116.876567601106 -355.396162300386</t>
  </si>
  <si>
    <t>-558.480823085098 106.278429617884 -475.116385515613</t>
  </si>
  <si>
    <t>-562.331231242901 94.9613442862822 -583.983052253938</t>
  </si>
  <si>
    <t>-555.937144986188 82.0357272526888 -692.550549089228</t>
  </si>
  <si>
    <t>-536.403023149934 62.4964561618398 -842.339217004498</t>
  </si>
  <si>
    <t>-488.606108456239 49.9840213058676 -931.456366774911</t>
  </si>
  <si>
    <t>-539.075101438905 102.198200913577 -779.334835450565</t>
  </si>
  <si>
    <t>-523.464953070469 247.835637090905 -766.236915168903</t>
  </si>
  <si>
    <t>-545.023391258324 331.88080113042 -461.839422100416</t>
  </si>
  <si>
    <t>-363.817437603008 220.00850980195 -312.537523894547</t>
  </si>
  <si>
    <t>-551.017503005085 40.0858251017873 -772.789876923428</t>
  </si>
  <si>
    <t>-483.096483091016 216.951814481852 -252.563894812448</t>
  </si>
  <si>
    <t>-472.460431987625 207.182652009742 202.901883040244</t>
  </si>
  <si>
    <t>-492.605837472815 168.185170710092 670.783437134884</t>
  </si>
  <si>
    <t>-339.337389645154 158.627972346495 756.579400529055</t>
  </si>
  <si>
    <t>-521.978651802118 28.8626718382044 -229.40852248554</t>
  </si>
  <si>
    <t>-437.489719055544 -15.504663374949 216.18192810089</t>
  </si>
  <si>
    <t>-591.640210318256 -96.4211670187187 652.614661752943</t>
  </si>
  <si>
    <t>-442.314257185763 -143.217875459686 732.959672609137</t>
  </si>
  <si>
    <t>9763-20170724T164337.320072600.bin</t>
  </si>
  <si>
    <t>-502.548876587604 123.041413185764 -241.316412190688</t>
  </si>
  <si>
    <t>-542.715235777382 117.082422006171 -355.417026474136</t>
  </si>
  <si>
    <t>-558.323257526444 106.504533440774 -475.146226838339</t>
  </si>
  <si>
    <t>-562.126296579105 95.2049224297756 -584.016197168904</t>
  </si>
  <si>
    <t>-555.686876966635 82.2950413076715 -692.582974226817</t>
  </si>
  <si>
    <t>-536.09201926027 62.775249195368 -842.366175972267</t>
  </si>
  <si>
    <t>-488.26247647919 50.2726312706313 -931.467233596139</t>
  </si>
  <si>
    <t>-538.775446577151 102.466222924827 -779.355514577444</t>
  </si>
  <si>
    <t>-523.146800661722 248.095587606132 -766.214913653789</t>
  </si>
  <si>
    <t>-545.024110221655 332.21345844593 -461.86022471752</t>
  </si>
  <si>
    <t>-363.901203705541 220.312923046642 -312.478860639004</t>
  </si>
  <si>
    <t>-550.748725517381 40.3580723591456 -772.82790743975</t>
  </si>
  <si>
    <t>-483.048911194825 217.233613344543 -252.555697605534</t>
  </si>
  <si>
    <t>-472.453482818822 207.44045482687 202.910558237855</t>
  </si>
  <si>
    <t>-492.684841414814 168.439671596197 670.782130606952</t>
  </si>
  <si>
    <t>-339.45621637221 158.411793666409 756.595565264273</t>
  </si>
  <si>
    <t>-521.882823216311 28.9803036231351 -229.433375251944</t>
  </si>
  <si>
    <t>-437.537384144976 -15.4718528081099 216.175828332871</t>
  </si>
  <si>
    <t>-591.625059963239 -96.3766437945412 652.624270845844</t>
  </si>
  <si>
    <t>-442.270103593885 -143.097739141631 732.959347321896</t>
  </si>
  <si>
    <t>9763-20170724T164337.391092900.bin</t>
  </si>
  <si>
    <t>-502.361410087776 123.042446185777 -241.295069557806</t>
  </si>
  <si>
    <t>-542.52639146043 117.136740827431 -355.39904879917</t>
  </si>
  <si>
    <t>-558.062927991317 106.593384657066 -475.140509270614</t>
  </si>
  <si>
    <t>-561.772374813039 95.3180214575261 -584.016296786801</t>
  </si>
  <si>
    <t>-555.211074271614 82.4262006372238 -692.57787688438</t>
  </si>
  <si>
    <t>-535.418266746912 62.925526298935 -842.337672542074</t>
  </si>
  <si>
    <t>-487.520701112232 50.4089818633659 -931.400080750262</t>
  </si>
  <si>
    <t>-538.156426362163 102.603417590738 -779.321113859163</t>
  </si>
  <si>
    <t>-522.413122702773 248.216653046439 -766.0799050827</t>
  </si>
  <si>
    <t>-544.954506564213 332.587183225909 -461.843678621602</t>
  </si>
  <si>
    <t>-364.134177909486 220.655428463308 -312.119379923804</t>
  </si>
  <si>
    <t>-550.195531551203 40.5045165049324 -772.826131838538</t>
  </si>
  <si>
    <t>-482.798846025201 217.145350307156 -252.528925350483</t>
  </si>
  <si>
    <t>-472.331637253566 207.321977097222 202.939554972566</t>
  </si>
  <si>
    <t>-492.639024415768 168.152505359461 670.790563992481</t>
  </si>
  <si>
    <t>-339.362015209752 158.787056625314 756.592423231632</t>
  </si>
  <si>
    <t>-521.787956123365 28.927992052567 -229.406517258364</t>
  </si>
  <si>
    <t>-437.437139774197 -15.6353205940528 216.19048916982</t>
  </si>
  <si>
    <t>-591.590544091838 -96.5182494775538 652.600726185685</t>
  </si>
  <si>
    <t>-442.142106429672 -142.941458848549 732.934847724502</t>
  </si>
  <si>
    <t>9763-20170724T164337.420168900.bin</t>
  </si>
  <si>
    <t>-502.272521349654 123.073847827326 -241.307067181034</t>
  </si>
  <si>
    <t>-542.438683725149 117.165681697541 -355.410517448316</t>
  </si>
  <si>
    <t>-557.941672438272 106.616871564817 -475.155705005902</t>
  </si>
  <si>
    <t>-561.606781820097 95.3344957032741 -584.032381862941</t>
  </si>
  <si>
    <t>-554.987466520644 82.4334615825569 -692.589288621539</t>
  </si>
  <si>
    <t>-535.10055559098 62.9173956079434 -842.334524835904</t>
  </si>
  <si>
    <t>-487.165695685936 50.4019488291065 -931.377247835216</t>
  </si>
  <si>
    <t>-537.854746368438 102.597565591248 -779.320149597837</t>
  </si>
  <si>
    <t>-522.067198432659 248.205232154167 -766.043574348249</t>
  </si>
  <si>
    <t>-545.190121599404 332.639994448556 -461.868746350409</t>
  </si>
  <si>
    <t>-364.421218618696 220.707222591837 -312.08336802051</t>
  </si>
  <si>
    <t>-549.94503828647 40.5077181795695 -772.833741042388</t>
  </si>
  <si>
    <t>-482.6928086949 217.236472558803 -252.53876484988</t>
  </si>
  <si>
    <t>-472.288676624779 207.414705707787 202.931330499471</t>
  </si>
  <si>
    <t>-492.677803338785 168.271912294206 670.782726980425</t>
  </si>
  <si>
    <t>-339.42479628143 158.628005238909 756.596617399615</t>
  </si>
  <si>
    <t>-521.697693027016 28.9566119041419 -229.406826694766</t>
  </si>
  <si>
    <t>-437.364602966286 -15.5922454262411 216.195028041171</t>
  </si>
  <si>
    <t>-591.554666240155 -96.3622455597034 652.576970407519</t>
  </si>
  <si>
    <t>-442.160519491185 -142.92776642963 732.929570890494</t>
  </si>
  <si>
    <t>9763-20170724T164337.490360200.bin</t>
  </si>
  <si>
    <t>-502.144838451083 123.125010633012 -241.310395202319</t>
  </si>
  <si>
    <t>-542.241926458962 117.209173076231 -355.437636797297</t>
  </si>
  <si>
    <t>-557.65516432157 106.674750530017 -475.195719654006</t>
  </si>
  <si>
    <t>-561.233126605247 95.4058538698507 -584.076625971796</t>
  </si>
  <si>
    <t>-554.522095159257 82.5133126542278 -692.629003075084</t>
  </si>
  <si>
    <t>-534.504559148938 62.9994627467896 -842.357231687469</t>
  </si>
  <si>
    <t>-486.453943566065 50.4656898738322 -931.334764104187</t>
  </si>
  <si>
    <t>-537.265826364672 102.670122343336 -779.337001040596</t>
  </si>
  <si>
    <t>-521.100269089057 248.21487005926 -765.854249379966</t>
  </si>
  <si>
    <t>-544.706641473384 331.599903770386 -461.427117227888</t>
  </si>
  <si>
    <t>-363.445931196968 220.525068500348 -311.59727352511</t>
  </si>
  <si>
    <t>-549.457527488988 40.5973243213468 -772.877033049821</t>
  </si>
  <si>
    <t>-482.628577078706 217.391325777048 -252.532204911045</t>
  </si>
  <si>
    <t>-472.268148388055 207.475788100415 202.936819449059</t>
  </si>
  <si>
    <t>-492.728311581492 168.359665537791 670.773537297252</t>
  </si>
  <si>
    <t>-339.476484726929 158.835228936021 756.602841410552</t>
  </si>
  <si>
    <t>-521.452820212526 28.9392393978227 -229.47006275928</t>
  </si>
  <si>
    <t>-437.377146667307 -15.6624139639315 216.175125618786</t>
  </si>
  <si>
    <t>-591.535567415377 -96.87087261212 652.583633964919</t>
  </si>
  <si>
    <t>-442.147431114583 -143.433171893981 732.949423933139</t>
  </si>
  <si>
    <t>9763-20170724T164337.524450800.bin</t>
  </si>
  <si>
    <t>-502.212474616784 122.971259182385 -241.380763820458</t>
  </si>
  <si>
    <t>-542.316685009934 117.049438314094 -355.505289033789</t>
  </si>
  <si>
    <t>-557.630757739106 106.541982489303 -475.278613768657</t>
  </si>
  <si>
    <t>-561.075878095171 95.3082799956802 -584.167342521903</t>
  </si>
  <si>
    <t>-554.190250821518 82.4601939391366 -692.71395448179</t>
  </si>
  <si>
    <t>-533.888215862275 63.0161406174545 -842.412897392949</t>
  </si>
  <si>
    <t>-485.690706183421 50.540983656469 -931.319286380085</t>
  </si>
  <si>
    <t>-536.791141319834 102.66136736691 -779.383186187027</t>
  </si>
  <si>
    <t>-520.670630846937 248.257113488942 -765.976102143923</t>
  </si>
  <si>
    <t>-543.484360155547 328.586643631929 -460.668188912935</t>
  </si>
  <si>
    <t>-361.312203047846 219.072566633757 -310.794910858451</t>
  </si>
  <si>
    <t>-548.951293349316 40.5776848525997 -772.968406646044</t>
  </si>
  <si>
    <t>-482.780187719639 217.132235505934 -252.556503555135</t>
  </si>
  <si>
    <t>-472.245870957925 207.179939292038 202.90776971584</t>
  </si>
  <si>
    <t>-492.571385599774 167.849235241591 670.714681908393</t>
  </si>
  <si>
    <t>-339.292281739099 159.542867354312 756.621847474431</t>
  </si>
  <si>
    <t>-521.502753447852 28.7753270059866 -229.552714573688</t>
  </si>
  <si>
    <t>-437.421173439105 -15.5409940995162 216.119756914888</t>
  </si>
  <si>
    <t>-591.496086183164 -96.6842612270199 652.550116400597</t>
  </si>
  <si>
    <t>-442.17004246919 -143.415149569865 732.933275790601</t>
  </si>
  <si>
    <t>9763-20170724T164337.588160300.bin</t>
  </si>
  <si>
    <t>-503.035793789829 122.625159855742 -241.402926003178</t>
  </si>
  <si>
    <t>-543.150270898904 116.757410713439 -355.526579764743</t>
  </si>
  <si>
    <t>-558.289126859079 106.328057137077 -475.328948815301</t>
  </si>
  <si>
    <t>-561.500519154847 95.1694231182172 -584.232686620844</t>
  </si>
  <si>
    <t>-554.308077071018 82.3971922364216 -692.768290279098</t>
  </si>
  <si>
    <t>-533.507359139319 63.0564883719151 -842.412162165922</t>
  </si>
  <si>
    <t>-485.097355102056 50.6654568787644 -931.214890167672</t>
  </si>
  <si>
    <t>-536.757117431812 102.68241506856 -779.38721032885</t>
  </si>
  <si>
    <t>-520.966695022999 248.22031330266 -765.684697156662</t>
  </si>
  <si>
    <t>-537.224580778144 324.214645277366 -458.851317037898</t>
  </si>
  <si>
    <t>-355.481222653425 220.502900810342 -304.39975135321</t>
  </si>
  <si>
    <t>-548.664941800946 40.5458706959427 -773.011602187282</t>
  </si>
  <si>
    <t>-484.102569075956 216.905250484468 -252.498890372373</t>
  </si>
  <si>
    <t>-472.13480295978 206.351475872318 202.916415931415</t>
  </si>
  <si>
    <t>-492.191961137635 166.826829750099 670.604293527779</t>
  </si>
  <si>
    <t>-339.231486972029 159.033496332798 757.12512845596</t>
  </si>
  <si>
    <t>-521.741766542218 28.3645710970046 -229.805577578745</t>
  </si>
  <si>
    <t>-437.64720955647 -15.3087115171863 215.928022056964</t>
  </si>
  <si>
    <t>-591.491866354902 -97.0554077954315 652.415374958225</t>
  </si>
  <si>
    <t>-441.995395807403 -143.330151399353 732.745663724152</t>
  </si>
  <si>
    <t>9763-20170724T164337.623254100.bin</t>
  </si>
  <si>
    <t>-503.535885071374 122.577728235702 -241.612100434719</t>
  </si>
  <si>
    <t>-544.048797417026 116.767645572954 -355.597820687956</t>
  </si>
  <si>
    <t>-559.2735314709 106.392239312918 -475.3939852152</t>
  </si>
  <si>
    <t>-562.428562922717 95.2802698119115 -584.304252664593</t>
  </si>
  <si>
    <t>-555.04608582981 82.5520164005677 -692.832175378096</t>
  </si>
  <si>
    <t>-533.844652471092 63.2699718302293 -842.427458330578</t>
  </si>
  <si>
    <t>-485.254507439684 50.9693738770079 -931.144120370323</t>
  </si>
  <si>
    <t>-537.329353264837 102.882731968329 -779.406682436014</t>
  </si>
  <si>
    <t>-521.666115580459 248.489885473285 -765.727073831656</t>
  </si>
  <si>
    <t>-534.097017117569 322.4933497347 -458.228746418791</t>
  </si>
  <si>
    <t>-352.445062801322 223.078904757697 -300.871282010744</t>
  </si>
  <si>
    <t>-549.121897209173 40.7205928104411 -773.065633848559</t>
  </si>
  <si>
    <t>-484.965219719056 217.024778499138 -252.703931546551</t>
  </si>
  <si>
    <t>-471.846882635658 206.225320250849 202.673930834875</t>
  </si>
  <si>
    <t>-491.938431728627 166.744635129822 670.337890170685</t>
  </si>
  <si>
    <t>-339.323907311968 158.122091056061 757.389318704392</t>
  </si>
  <si>
    <t>-522.140979648473 28.1111252910451 -229.953684368009</t>
  </si>
  <si>
    <t>-437.661973995569 -15.2964667754771 215.733115731077</t>
  </si>
  <si>
    <t>-591.497935681095 -97.415520596625 652.215066585528</t>
  </si>
  <si>
    <t>-441.639393871916 -142.597596236329 732.492803138247</t>
  </si>
  <si>
    <t>9763-20170724T164337.687782300.bin</t>
  </si>
  <si>
    <t>-504.725545678412 122.758301495395 -241.948630010858</t>
  </si>
  <si>
    <t>-545.305684244291 116.782341743924 -355.9019882914</t>
  </si>
  <si>
    <t>-560.292528816353 106.293218368364 -475.718106557828</t>
  </si>
  <si>
    <t>-563.105784992482 95.1074612235266 -584.630084663285</t>
  </si>
  <si>
    <t>-555.257173748708 82.3388763635121 -693.120650600162</t>
  </si>
  <si>
    <t>-533.282893818817 63.0400468920565 -842.602142819201</t>
  </si>
  <si>
    <t>-484.264584439251 50.8807208163156 -931.102626915468</t>
  </si>
  <si>
    <t>-537.245476953569 102.685857081522 -779.630475732464</t>
  </si>
  <si>
    <t>-522.608142550251 248.394151463422 -766.453619522189</t>
  </si>
  <si>
    <t>-523.600126542963 318.8304013375 -457.869793664432</t>
  </si>
  <si>
    <t>-342.035763191178 224.701566474471 -297.195603498874</t>
  </si>
  <si>
    <t>-548.766172335276 40.4725380986131 -773.29193428064</t>
  </si>
  <si>
    <t>-486.277742595714 217.061368948997 -253.019152054399</t>
  </si>
  <si>
    <t>-471.688215606365 206.231450522074 202.313239604888</t>
  </si>
  <si>
    <t>-491.615925451586 166.338576807736 670.021275846139</t>
  </si>
  <si>
    <t>-339.222338168528 158.410250450498 757.524720505317</t>
  </si>
  <si>
    <t>-522.92631958427 28.3775397096232 -230.313707261497</t>
  </si>
  <si>
    <t>-437.765408849823 -14.8058436401571 215.265107288237</t>
  </si>
  <si>
    <t>-591.441300362076 -96.971034581597 651.784086979103</t>
  </si>
  <si>
    <t>-442.090470591179 -143.680479677391 732.13381097879</t>
  </si>
  <si>
    <t>9763-20170724T164337.719868000.bin</t>
  </si>
  <si>
    <t>-505.411382689875 123.054937816612 -242.077363382595</t>
  </si>
  <si>
    <t>-546.140479678639 117.127293116693 -355.979961870359</t>
  </si>
  <si>
    <t>-561.123988589686 106.668775506497 -475.79938747048</t>
  </si>
  <si>
    <t>-563.868497114262 95.5102612730867 -584.715776841585</t>
  </si>
  <si>
    <t>-555.88514241578 82.772474722018 -693.200195693286</t>
  </si>
  <si>
    <t>-533.656027536505 63.5242968426556 -842.65040958127</t>
  </si>
  <si>
    <t>-484.426794088953 51.4346244634516 -931.043403461998</t>
  </si>
  <si>
    <t>-537.800580161629 103.161204850088 -779.684995729327</t>
  </si>
  <si>
    <t>-523.65672149813 248.935158220119 -766.609182141193</t>
  </si>
  <si>
    <t>-517.69413126673 317.256787089812 -457.606326709478</t>
  </si>
  <si>
    <t>-335.627137156871 225.767157925616 -295.979131944339</t>
  </si>
  <si>
    <t>-549.182784799665 40.9208296088359 -773.361873650995</t>
  </si>
  <si>
    <t>-487.294969579833 217.633062806821 -253.059387597135</t>
  </si>
  <si>
    <t>-472.099940953377 206.385912834375 202.24303270651</t>
  </si>
  <si>
    <t>-491.688719916338 166.625669763186 669.95563631375</t>
  </si>
  <si>
    <t>-339.514152827874 157.283442867434 757.700361892867</t>
  </si>
  <si>
    <t>-523.492797820184 28.5713036509084 -230.443611258301</t>
  </si>
  <si>
    <t>-437.940309403132 -14.7852429593822 215.043458883359</t>
  </si>
  <si>
    <t>-591.44219091027 -97.0114843652131 651.604491267316</t>
  </si>
  <si>
    <t>-441.937596559222 -143.273777087549 731.926765890359</t>
  </si>
  <si>
    <t>9763-20170724T164337.786622700.bin</t>
  </si>
  <si>
    <t>-506.998284636153 123.333322474335 -242.387860595898</t>
  </si>
  <si>
    <t>-547.717691457867 117.370051546856 -356.292066137588</t>
  </si>
  <si>
    <t>-562.540087759041 106.938408633559 -476.133783214064</t>
  </si>
  <si>
    <t>-565.075478748294 95.8414608878551 -585.061670629416</t>
  </si>
  <si>
    <t>-556.820552126111 83.2094064785198 -693.538122321968</t>
  </si>
  <si>
    <t>-534.150588543363 64.1604867551665 -842.947758670276</t>
  </si>
  <si>
    <t>-484.631764977404 52.1831428990604 -931.19404514095</t>
  </si>
  <si>
    <t>-538.583172943189 103.730203138668 -779.959521493027</t>
  </si>
  <si>
    <t>-525.14956228451 249.602000228253 -767.044061674121</t>
  </si>
  <si>
    <t>-502.86603715766 313.065260262155 -457.751257022008</t>
  </si>
  <si>
    <t>-318.49245144818 224.921026575769 -296.881717555353</t>
  </si>
  <si>
    <t>-549.779568030344 41.4479547359193 -773.717622163213</t>
  </si>
  <si>
    <t>-488.811209139577 217.910961239384 -253.331105918385</t>
  </si>
  <si>
    <t>-473.02509198318 206.43093154703 201.94534909046</t>
  </si>
  <si>
    <t>-491.61815479096 166.554199140605 669.737547430871</t>
  </si>
  <si>
    <t>-339.492381626375 157.976977640539 757.644811461789</t>
  </si>
  <si>
    <t>-524.934587081448 28.7255057064622 -230.759385297908</t>
  </si>
  <si>
    <t>-438.505418066575 -14.7616664775855 214.545620052662</t>
  </si>
  <si>
    <t>-591.448406047697 -96.8939038536819 651.30096693606</t>
  </si>
  <si>
    <t>-442.03721104284 -143.473148695567 731.614006409748</t>
  </si>
  <si>
    <t>9763-20170724T164337.823720400.bin</t>
  </si>
  <si>
    <t>-507.653008541063 123.310197457341 -242.449334292756</t>
  </si>
  <si>
    <t>-548.415461059221 117.391525802448 -356.340539818389</t>
  </si>
  <si>
    <t>-563.257564530887 107.02301024126 -476.185308616274</t>
  </si>
  <si>
    <t>-565.800672538745 95.9894358079657 -585.119482889748</t>
  </si>
  <si>
    <t>-557.543061993223 83.4266562419753 -693.603706393773</t>
  </si>
  <si>
    <t>-534.859015116889 64.4795458264764 -843.024017650078</t>
  </si>
  <si>
    <t>-485.287816169152 52.5044803749275 -931.241400215229</t>
  </si>
  <si>
    <t>-539.290978792101 104.005239608846 -780.008214162186</t>
  </si>
  <si>
    <t>-525.778860645536 249.837958476165 -767.015003669398</t>
  </si>
  <si>
    <t>-494.654977382561 310.832464874276 -457.988795948638</t>
  </si>
  <si>
    <t>-308.928605995316 222.981543286939 -298.520978201359</t>
  </si>
  <si>
    <t>-550.501033449678 41.7208353994268 -773.812213745526</t>
  </si>
  <si>
    <t>-489.586264965471 217.974580437806 -253.378152240299</t>
  </si>
  <si>
    <t>-473.691763049325 206.342717229483 201.890707986221</t>
  </si>
  <si>
    <t>-491.649862571821 166.550136804046 669.710484884268</t>
  </si>
  <si>
    <t>-339.557619868076 157.565904381426 757.635072553563</t>
  </si>
  <si>
    <t>-525.512877355447 28.6868910078483 -230.845571880631</t>
  </si>
  <si>
    <t>-438.808245829417 -15.0970398787192 214.37677964026</t>
  </si>
  <si>
    <t>-591.472005161684 -97.2465511194145 651.188387285466</t>
  </si>
  <si>
    <t>-441.819962024145 -143.112885962306 731.463305107232</t>
  </si>
  <si>
    <t>9763-20170724T164337.892663800.bin</t>
  </si>
  <si>
    <t>-508.7638967352 123.5291560922 -242.81515039672</t>
  </si>
  <si>
    <t>-549.462019400485 117.647531204545 -356.731134225297</t>
  </si>
  <si>
    <t>-564.249228546518 107.354166885407 -476.589308086134</t>
  </si>
  <si>
    <t>-566.74886203803 96.3942547015958 -585.531809152488</t>
  </si>
  <si>
    <t>-558.455268635902 83.9054039185246 -694.021904918041</t>
  </si>
  <si>
    <t>-535.729626258476 65.05616448323 -843.448380312802</t>
  </si>
  <si>
    <t>-486.19547968365 53.0231588743411 -931.678448555178</t>
  </si>
  <si>
    <t>-540.045689409102 104.518539325794 -780.384742284001</t>
  </si>
  <si>
    <t>-525.741051578019 250.299764661785 -767.292609453425</t>
  </si>
  <si>
    <t>-478.439610132093 306.629292109753 -459.435861954155</t>
  </si>
  <si>
    <t>-290.223861508137 216.997978064282 -303.92661678556</t>
  </si>
  <si>
    <t>-551.52433469477 42.2741752667875 -774.278812127621</t>
  </si>
  <si>
    <t>-490.57123470013 218.220659045237 -253.814763769184</t>
  </si>
  <si>
    <t>-474.701128169989 206.342319586668 201.448625624543</t>
  </si>
  <si>
    <t>-491.3200475281 166.521169389258 669.252201902073</t>
  </si>
  <si>
    <t>-339.514137017879 156.972765903079 757.611048355139</t>
  </si>
  <si>
    <t>-526.764071397932 28.7669425192496 -231.184583875615</t>
  </si>
  <si>
    <t>-439.370788165869 -15.4389109896784 213.861381387347</t>
  </si>
  <si>
    <t>-591.457239945223 -97.5205725120367 650.869940752257</t>
  </si>
  <si>
    <t>-441.666438665491 -142.765303590752 731.23866614181</t>
  </si>
  <si>
    <t>9763-20170724T164337.920737400.bin</t>
  </si>
  <si>
    <t>-509.086979577304 123.610211002178 -242.959726980327</t>
  </si>
  <si>
    <t>-549.708234900563 117.772245400295 -356.905548241259</t>
  </si>
  <si>
    <t>-564.467158416802 107.516005513203 -476.77013746427</t>
  </si>
  <si>
    <t>-566.963609155143 96.5782016397799 -585.715122173921</t>
  </si>
  <si>
    <t>-558.689901212933 84.0952160485796 -694.207354259989</t>
  </si>
  <si>
    <t>-536.016189717732 65.2325971519397 -843.639996757659</t>
  </si>
  <si>
    <t>-486.54807701119 53.0973465350409 -931.89311889105</t>
  </si>
  <si>
    <t>-540.178320502435 104.678253197605 -780.555549139983</t>
  </si>
  <si>
    <t>-525.065044176429 250.344713540516 -767.37744125896</t>
  </si>
  <si>
    <t>-470.731117387717 305.011828149018 -460.383177697362</t>
  </si>
  <si>
    <t>-281.826910302473 214.260331269107 -306.365529319123</t>
  </si>
  <si>
    <t>-551.91882626089 42.4792137624542 -774.485804983274</t>
  </si>
  <si>
    <t>-490.646396209434 218.357523225542 -253.974925008753</t>
  </si>
  <si>
    <t>-474.952709305676 206.457577538551 201.293934568074</t>
  </si>
  <si>
    <t>-491.35665012634 166.874714029263 669.174328645293</t>
  </si>
  <si>
    <t>-339.567993208878 157.218926682877 757.551322741691</t>
  </si>
  <si>
    <t>-527.320794964531 28.8296456966707 -231.325008079271</t>
  </si>
  <si>
    <t>-439.531962157756 -15.5802847791341 213.622803242994</t>
  </si>
  <si>
    <t>-591.440010264893 -97.7360448650909 650.72709565588</t>
  </si>
  <si>
    <t>-441.8597821615 -143.481808495261 731.204411641958</t>
  </si>
  <si>
    <t>9763-20170724T164337.986497300.bin</t>
  </si>
  <si>
    <t>-509.451374466802 124.130279546523 -243.082237842648</t>
  </si>
  <si>
    <t>-550.14338679062 118.541137223231 -357.015166547307</t>
  </si>
  <si>
    <t>-564.933166934361 108.451186420235 -476.89019009736</t>
  </si>
  <si>
    <t>-567.441927042968 97.6138485826094 -585.844894697687</t>
  </si>
  <si>
    <t>-559.165886710776 85.1736225142617 -694.341795391135</t>
  </si>
  <si>
    <t>-536.475086841005 66.3029622409591 -843.770806712975</t>
  </si>
  <si>
    <t>-487.086989181597 53.8969924669665 -932.031262889234</t>
  </si>
  <si>
    <t>-540.330711181262 105.696418785908 -780.634337762208</t>
  </si>
  <si>
    <t>-523.030731772363 251.13141625447 -767.327221992239</t>
  </si>
  <si>
    <t>-457.763089552373 303.234858963874 -462.021464545456</t>
  </si>
  <si>
    <t>-267.900313406879 210.460971725849 -310.406149433466</t>
  </si>
  <si>
    <t>-552.699404795617 43.6088543423799 -774.671944196022</t>
  </si>
  <si>
    <t>-490.543266612691 219.012656358752 -254.009305777741</t>
  </si>
  <si>
    <t>-475.068636935449 206.846227064632 201.259968273847</t>
  </si>
  <si>
    <t>-491.587112452511 167.29675104864 669.231932210706</t>
  </si>
  <si>
    <t>-339.748964765292 156.917668210315 757.441725658181</t>
  </si>
  <si>
    <t>-528.211220103085 29.3086247156166 -231.456358902715</t>
  </si>
  <si>
    <t>-439.775153848193 -15.8269567545977 213.290267188522</t>
  </si>
  <si>
    <t>-591.418464242228 -97.6541610211934 650.559445072545</t>
  </si>
  <si>
    <t>-442.011686586033 -143.7278590405 731.171782978204</t>
  </si>
  <si>
    <t>9763-20170724T164338.022582000.bin</t>
  </si>
  <si>
    <t>-509.637290967752 124.324138089056 -243.014129604708</t>
  </si>
  <si>
    <t>-550.341570117353 118.863040433586 -356.949022441935</t>
  </si>
  <si>
    <t>-565.15988265122 108.833116311082 -476.825491832526</t>
  </si>
  <si>
    <t>-567.701826787314 98.0147341109106 -585.781332367</t>
  </si>
  <si>
    <t>-559.466549461899 85.5544415958214 -694.279006819227</t>
  </si>
  <si>
    <t>-536.840566538715 66.6118396462581 -843.708762086482</t>
  </si>
  <si>
    <t>-487.491168881793 53.9875805464406 -931.959849079239</t>
  </si>
  <si>
    <t>-540.503915718401 106.005167226003 -780.560803565359</t>
  </si>
  <si>
    <t>-522.179477512023 251.319676144993 -767.263206932163</t>
  </si>
  <si>
    <t>-452.198201089464 302.200505717349 -462.796438881943</t>
  </si>
  <si>
    <t>-262.292163499914 208.096976642836 -312.057371046641</t>
  </si>
  <si>
    <t>-553.199787883757 43.981569768445 -774.620672789756</t>
  </si>
  <si>
    <t>-490.470258262476 219.120610192336 -253.925055653331</t>
  </si>
  <si>
    <t>-475.018266877799 206.830772394242 201.34172978045</t>
  </si>
  <si>
    <t>-491.618677119348 166.920321356401 669.326132548512</t>
  </si>
  <si>
    <t>-339.65305447682 157.078921906862 757.377785789472</t>
  </si>
  <si>
    <t>-528.649843176214 29.5584109825476 -231.40852091304</t>
  </si>
  <si>
    <t>-439.874568455844 -15.9405148138896 213.233406615458</t>
  </si>
  <si>
    <t>-591.391548441409 -97.59720473293 650.521941237981</t>
  </si>
  <si>
    <t>-442.191465863895 -144.110576561022 731.264343839236</t>
  </si>
  <si>
    <t>9763-20170724T164338.084750500.bin</t>
  </si>
  <si>
    <t>-509.747938542928 124.553630905375 -242.943229031133</t>
  </si>
  <si>
    <t>-550.4602266098 119.301896670511 -356.884969029029</t>
  </si>
  <si>
    <t>-565.29884295257 109.395032429114 -476.769231269543</t>
  </si>
  <si>
    <t>-567.864888272678 98.6451223761559 -585.731154994917</t>
  </si>
  <si>
    <t>-559.659446176872 86.2079453788997 -694.233849383213</t>
  </si>
  <si>
    <t>-537.081178972877 67.2474216274727 -843.668586341479</t>
  </si>
  <si>
    <t>-487.785887111898 54.2512071019856 -931.895873469441</t>
  </si>
  <si>
    <t>-540.45281763802 106.596028598616 -780.476458194707</t>
  </si>
  <si>
    <t>-520.319094076005 251.630208124768 -767.048179662783</t>
  </si>
  <si>
    <t>-442.324647203829 299.695175000759 -464.074839309643</t>
  </si>
  <si>
    <t>-252.157533513913 205.249804908302 -313.879766459615</t>
  </si>
  <si>
    <t>-553.689900723857 44.6776455628334 -774.620295415824</t>
  </si>
  <si>
    <t>-489.987909879876 219.459218872134 -253.91926445294</t>
  </si>
  <si>
    <t>-474.875599021953 206.969791418694 201.353449651548</t>
  </si>
  <si>
    <t>-491.673051028745 167.27542027403 669.20951526151</t>
  </si>
  <si>
    <t>-339.697892568656 157.469093429236 757.248686885918</t>
  </si>
  <si>
    <t>-529.337605725816 29.6353618674724 -231.312264452951</t>
  </si>
  <si>
    <t>-439.945526429138 -16.313248651625 213.159825050382</t>
  </si>
  <si>
    <t>-591.301193693688 -97.7867098953217 650.458318245808</t>
  </si>
  <si>
    <t>-442.192487671672 -144.000484249022 731.540936986278</t>
  </si>
  <si>
    <t>9763-20170724T164338.122848300.bin</t>
  </si>
  <si>
    <t>-509.901449476152 124.760021073199 -242.924881697023</t>
  </si>
  <si>
    <t>-550.637614850192 119.620813472352 -356.863341686751</t>
  </si>
  <si>
    <t>-565.502603503721 109.782237788793 -476.749815661619</t>
  </si>
  <si>
    <t>-568.093223874238 99.0736703437953 -585.715311010538</t>
  </si>
  <si>
    <t>-559.912962534961 86.6567449273156 -694.222262790595</t>
  </si>
  <si>
    <t>-537.370346249066 67.7016154778048 -843.663094392612</t>
  </si>
  <si>
    <t>-488.12905489239 54.5524788997914 -931.897834828466</t>
  </si>
  <si>
    <t>-540.627433608827 107.028189492755 -780.451216659093</t>
  </si>
  <si>
    <t>-519.788367360813 251.980301233851 -766.946369992021</t>
  </si>
  <si>
    <t>-437.953348397843 298.752463810492 -464.784807987835</t>
  </si>
  <si>
    <t>-247.319967630912 204.992999670546 -314.751062359425</t>
  </si>
  <si>
    <t>-554.062161425272 45.1491572576955 -774.629061562302</t>
  </si>
  <si>
    <t>-489.947149187477 219.882354007228 -253.939937619268</t>
  </si>
  <si>
    <t>-474.870808702053 207.245932911562 201.329985495836</t>
  </si>
  <si>
    <t>-491.716513894952 167.632187680752 669.15891198929</t>
  </si>
  <si>
    <t>-339.841875665153 156.934731326746 757.267784328045</t>
  </si>
  <si>
    <t>-529.74977307798 29.798495099007 -231.263907496353</t>
  </si>
  <si>
    <t>-439.945649285106 -16.522253827766 213.086491316664</t>
  </si>
  <si>
    <t>-591.250981549537 -98.1052314904687 650.412840165368</t>
  </si>
  <si>
    <t>-442.204463026796 -144.095694315848 731.736401410056</t>
  </si>
  <si>
    <t>9763-20170724T164338.187029900.bin</t>
  </si>
  <si>
    <t>-510.208927600881 125.605579183655 -242.93294687073</t>
  </si>
  <si>
    <t>-551.018194928789 120.572676606077 -356.849943753172</t>
  </si>
  <si>
    <t>-565.97750236497 110.787060124637 -476.729161057132</t>
  </si>
  <si>
    <t>-568.662753293459 100.09230843915 -585.693641951532</t>
  </si>
  <si>
    <t>-560.586636322138 87.6486777758071 -694.205344141031</t>
  </si>
  <si>
    <t>-538.198866816027 68.6081459803314 -843.658473500865</t>
  </si>
  <si>
    <t>-489.088118097834 55.1736762262315 -931.92298407282</t>
  </si>
  <si>
    <t>-541.171834897153 107.926202751556 -780.427480920892</t>
  </si>
  <si>
    <t>-518.865256810121 252.601357984142 -766.62443348442</t>
  </si>
  <si>
    <t>-430.938238675027 297.543346809097 -465.899913786703</t>
  </si>
  <si>
    <t>-238.731689589877 204.938580819303 -317.16173092764</t>
  </si>
  <si>
    <t>-555.037712225095 46.139793311036 -774.632841300793</t>
  </si>
  <si>
    <t>-489.942955150797 220.757470795996 -254.041720722103</t>
  </si>
  <si>
    <t>-474.891429956943 207.853738330918 201.221422146587</t>
  </si>
  <si>
    <t>-491.586132667496 167.898672058021 668.973032345059</t>
  </si>
  <si>
    <t>-339.874484278338 156.7073385859 757.301074132372</t>
  </si>
  <si>
    <t>-530.32114616808 30.5502181188266 -231.163693326477</t>
  </si>
  <si>
    <t>-439.807220129018 -16.4772240321679 212.96839267831</t>
  </si>
  <si>
    <t>-591.228352068053 -98.3516480253741 650.300419823014</t>
  </si>
  <si>
    <t>-442.355189983495 -144.541221260271 731.828491523826</t>
  </si>
  <si>
    <t>9763-20170724T164338.221120900.bin</t>
  </si>
  <si>
    <t>-510.234605410416 126.065536684159 -242.912732911972</t>
  </si>
  <si>
    <t>-551.024907141517 121.03594506851 -356.836704566362</t>
  </si>
  <si>
    <t>-565.950196087373 111.230618972956 -476.71846212291</t>
  </si>
  <si>
    <t>-568.600292328605 100.500218175455 -585.680368787928</t>
  </si>
  <si>
    <t>-560.485739773367 87.9989341095912 -694.182598616007</t>
  </si>
  <si>
    <t>-538.042364756495 68.8511238980483 -843.613670364589</t>
  </si>
  <si>
    <t>-488.952894422329 55.2804096399333 -931.869224141804</t>
  </si>
  <si>
    <t>-540.90434929197 108.18625759955 -780.388194521896</t>
  </si>
  <si>
    <t>-517.646049133956 252.77876917727 -766.656093976081</t>
  </si>
  <si>
    <t>-429.036399195363 296.777130805667 -465.99250423406</t>
  </si>
  <si>
    <t>-236.02758916386 203.378024991328 -318.797924673066</t>
  </si>
  <si>
    <t>-555.041468548685 46.4605830439929 -774.601931984376</t>
  </si>
  <si>
    <t>-489.752269484815 221.082050384417 -254.084042578748</t>
  </si>
  <si>
    <t>-474.877764253444 208.048891216616 201.181358890281</t>
  </si>
  <si>
    <t>-491.464320528021 167.623832876255 668.925383446255</t>
  </si>
  <si>
    <t>-339.769085161617 156.591612921612 757.301609973617</t>
  </si>
  <si>
    <t>-530.518726380428 31.0795581501559 -231.098480126431</t>
  </si>
  <si>
    <t>-439.669483224244 -16.1685611332169 212.941688381018</t>
  </si>
  <si>
    <t>-591.195079838221 -98.0913974984192 650.184972138072</t>
  </si>
  <si>
    <t>-442.497947787123 -144.734302013616 731.776003152538</t>
  </si>
  <si>
    <t>9763-20170724T164338.287945000.bin</t>
  </si>
  <si>
    <t>-510.278670064307 126.680417057366 -242.90079008907</t>
  </si>
  <si>
    <t>-551.14499329141 121.74908842815 -356.801656303528</t>
  </si>
  <si>
    <t>-566.120651580124 111.850527463824 -476.669725450014</t>
  </si>
  <si>
    <t>-568.806292602384 100.947352510554 -585.613465453465</t>
  </si>
  <si>
    <t>-560.71856111334 88.180235383695 -694.086642450423</t>
  </si>
  <si>
    <t>-538.304609858721 68.5617168696853 -843.461087633374</t>
  </si>
  <si>
    <t>-489.256540830804 54.6288296967697 -931.683383248632</t>
  </si>
  <si>
    <t>-540.883919187479 108.037389813738 -780.310988064683</t>
  </si>
  <si>
    <t>-516.664877818534 252.461797201473 -766.796391207386</t>
  </si>
  <si>
    <t>-429.663703589252 295.597537690654 -465.538468187959</t>
  </si>
  <si>
    <t>-236.604390593214 198.515868853125 -320.81361640072</t>
  </si>
  <si>
    <t>-555.560156793571 46.4471964798652 -774.424156704751</t>
  </si>
  <si>
    <t>-489.304408732245 221.664939474807 -254.118442254901</t>
  </si>
  <si>
    <t>-474.810215213922 208.291799574769 201.149243304538</t>
  </si>
  <si>
    <t>-491.392373016146 167.481458438696 668.896899436677</t>
  </si>
  <si>
    <t>-339.694659410927 156.814417915299 757.3137434468</t>
  </si>
  <si>
    <t>-531.15979242699 31.7048445613935 -230.934341521412</t>
  </si>
  <si>
    <t>-439.431599018029 -15.7745724400091 212.900421382751</t>
  </si>
  <si>
    <t>-591.200722196906 -98.2260499736425 650.013554131021</t>
  </si>
  <si>
    <t>-442.31762628001 -144.407559793654 731.528016125681</t>
  </si>
  <si>
    <t>9763-20170724T164338.321033100.bin</t>
  </si>
  <si>
    <t>-510.283421621994 127.221255982123 -242.817426194744</t>
  </si>
  <si>
    <t>-551.040206305263 122.325939433599 -356.759164714787</t>
  </si>
  <si>
    <t>-565.954820931792 112.368724460086 -476.629889902907</t>
  </si>
  <si>
    <t>-568.606924949572 101.375114393594 -585.565507544576</t>
  </si>
  <si>
    <t>-560.507453643537 88.4813938001974 -694.022808524756</t>
  </si>
  <si>
    <t>-538.100105319345 68.6504876288979 -843.370212068566</t>
  </si>
  <si>
    <t>-489.05448990796 54.5496425251788 -931.56706220311</t>
  </si>
  <si>
    <t>-540.608784684761 108.200822105087 -780.26398983405</t>
  </si>
  <si>
    <t>-516.069880441575 252.573008332628 -766.899681096231</t>
  </si>
  <si>
    <t>-430.880272008367 295.151498143524 -465.045461653023</t>
  </si>
  <si>
    <t>-239.155798786941 194.986180760412 -320.647948713448</t>
  </si>
  <si>
    <t>-555.420539297879 46.6492601516198 -774.313253121045</t>
  </si>
  <si>
    <t>-489.064824845754 222.198254465351 -254.108799290762</t>
  </si>
  <si>
    <t>-474.757205064668 208.591144633724 201.157921774483</t>
  </si>
  <si>
    <t>-491.405152227971 167.550174160162 668.876195849453</t>
  </si>
  <si>
    <t>-339.758197320566 156.614732908733 757.347323045646</t>
  </si>
  <si>
    <t>-531.327743758754 32.31083694032 -230.908567047314</t>
  </si>
  <si>
    <t>-439.462278803469 -15.5068653896255 212.861602634424</t>
  </si>
  <si>
    <t>-591.244433561668 -98.0813110850952 649.983706087275</t>
  </si>
  <si>
    <t>-442.46665909916 -144.804029831091 731.381867642521</t>
  </si>
  <si>
    <t>9763-20170724T164338.392940200.bin</t>
  </si>
  <si>
    <t>-510.355977071203 128.315595213154 -242.857856256475</t>
  </si>
  <si>
    <t>-551.214657375731 123.651110783426 -356.772834658711</t>
  </si>
  <si>
    <t>-566.204161441497 113.683184692294 -476.63322849151</t>
  </si>
  <si>
    <t>-568.910465464987 102.585193303245 -585.556828840439</t>
  </si>
  <si>
    <t>-560.850944297944 89.4955565661553 -693.993778104042</t>
  </si>
  <si>
    <t>-538.484348355311 69.3005203867826 -843.298490434729</t>
  </si>
  <si>
    <t>-489.376771851653 54.9151534324855 -931.414807518815</t>
  </si>
  <si>
    <t>-540.93431288352 108.995354735751 -780.280686228576</t>
  </si>
  <si>
    <t>-516.370575490375 253.401193641751 -767.254309308082</t>
  </si>
  <si>
    <t>-433.33457295668 294.950880439584 -464.657538014656</t>
  </si>
  <si>
    <t>-244.226595008577 192.357758577024 -318.524396188459</t>
  </si>
  <si>
    <t>-555.827434013788 47.4770393371221 -774.190830729219</t>
  </si>
  <si>
    <t>-488.928003494334 223.376608157757 -254.10862438117</t>
  </si>
  <si>
    <t>-474.338583677754 209.173943568129 201.131021596564</t>
  </si>
  <si>
    <t>-491.306838778172 167.695812764069 668.73492044425</t>
  </si>
  <si>
    <t>-339.876443345509 156.208355066715 757.506484651485</t>
  </si>
  <si>
    <t>-531.621268580088 33.4508559592118 -230.953326249645</t>
  </si>
  <si>
    <t>-439.68540108712 -15.132007613664 212.719006555003</t>
  </si>
  <si>
    <t>-591.38966337478 -97.8321053296973 649.888174715551</t>
  </si>
  <si>
    <t>-442.463982105183 -144.706027369782 730.928220079735</t>
  </si>
  <si>
    <t>9763-20170724T164338.422018800.bin</t>
  </si>
  <si>
    <t>-510.376119779515 128.905438681588 -242.922990068534</t>
  </si>
  <si>
    <t>-551.267397288852 124.26522109213 -356.827280814557</t>
  </si>
  <si>
    <t>-566.313414609492 114.258863755407 -476.677308691985</t>
  </si>
  <si>
    <t>-569.080135079549 103.100098040566 -585.593404508083</t>
  </si>
  <si>
    <t>-561.090048299704 89.9236175554442 -694.024830065365</t>
  </si>
  <si>
    <t>-538.828986630017 69.5803331945214 -843.325168049654</t>
  </si>
  <si>
    <t>-489.725014308045 55.066261745493 -931.42245586455</t>
  </si>
  <si>
    <t>-541.222866206027 109.335148479047 -780.343043683651</t>
  </si>
  <si>
    <t>-516.718421285595 253.77684564124 -767.556045018298</t>
  </si>
  <si>
    <t>-434.712427818903 294.720687038064 -464.595831046773</t>
  </si>
  <si>
    <t>-246.874355048414 190.351938361838 -318.082833467614</t>
  </si>
  <si>
    <t>-556.134778895636 47.8280715686529 -774.185606279513</t>
  </si>
  <si>
    <t>-488.904948870384 223.951771205155 -254.18480590749</t>
  </si>
  <si>
    <t>-474.161024519674 209.554379228203 201.043626353751</t>
  </si>
  <si>
    <t>-491.158089704594 167.78000105335 668.521441037446</t>
  </si>
  <si>
    <t>-339.97634420848 155.529418336889 757.614092578966</t>
  </si>
  <si>
    <t>-531.638879020741 33.904270132007 -231.008070407536</t>
  </si>
  <si>
    <t>-439.64180247783 -14.7925506082922 212.639186413102</t>
  </si>
  <si>
    <t>-591.411324416959 -97.8113538774469 649.726611344953</t>
  </si>
  <si>
    <t>-442.514047364991 -144.846866117605 730.725222428183</t>
  </si>
  <si>
    <t>9763-20170724T164338.486194000.bin</t>
  </si>
  <si>
    <t>-510.188462392494 129.619333060797 -243.217178652415</t>
  </si>
  <si>
    <t>-551.18630420598 124.928454193275 -357.081137578468</t>
  </si>
  <si>
    <t>-566.353118690503 114.808624376962 -476.906458122002</t>
  </si>
  <si>
    <t>-569.233257565725 103.522646801307 -585.806321708844</t>
  </si>
  <si>
    <t>-561.359937794934 90.1946352522149 -694.227890850171</t>
  </si>
  <si>
    <t>-539.264004038499 69.6164143664003 -843.520511152983</t>
  </si>
  <si>
    <t>-490.213163694692 54.9488356849606 -931.622091628562</t>
  </si>
  <si>
    <t>-541.580546810858 109.468589654599 -780.597103427819</t>
  </si>
  <si>
    <t>-517.201390854556 253.944945481094 -768.248502201874</t>
  </si>
  <si>
    <t>-437.166280532059 296.043808155493 -464.919927437762</t>
  </si>
  <si>
    <t>-251.063690787054 189.909346746148 -317.463676094271</t>
  </si>
  <si>
    <t>-556.500976905568 47.9747262838174 -774.329239208408</t>
  </si>
  <si>
    <t>-488.664373452616 224.63626033517 -254.634623806994</t>
  </si>
  <si>
    <t>-473.620745337221 209.798403601896 200.569957999419</t>
  </si>
  <si>
    <t>-490.604380691323 167.798471486874 667.962876711505</t>
  </si>
  <si>
    <t>-339.839028062873 155.90529463068 757.806413693517</t>
  </si>
  <si>
    <t>-531.561702354499 34.6021686020177 -231.176682134958</t>
  </si>
  <si>
    <t>-439.035048616406 -14.0978902724871 212.359963311542</t>
  </si>
  <si>
    <t>-591.344576070387 -97.6954494784932 649.169557215298</t>
  </si>
  <si>
    <t>-442.501663020667 -144.74193675227 730.261608980174</t>
  </si>
  <si>
    <t>9763-20170724T164338.519280400.bin</t>
  </si>
  <si>
    <t>-510.097516700761 129.971268903421 -243.407332542648</t>
  </si>
  <si>
    <t>-551.138570343846 125.220729372532 -357.253174628161</t>
  </si>
  <si>
    <t>-566.345349972745 115.045397206579 -477.068779429644</t>
  </si>
  <si>
    <t>-569.259077355184 103.714401825097 -585.963193656712</t>
  </si>
  <si>
    <t>-561.416191803553 90.3488604231504 -694.382294439855</t>
  </si>
  <si>
    <t>-539.358457906611 69.7279641469474 -843.674737405338</t>
  </si>
  <si>
    <t>-490.335690568512 55.0615713273739 -931.791860346482</t>
  </si>
  <si>
    <t>-541.679217170485 109.602651159061 -780.765660558472</t>
  </si>
  <si>
    <t>-517.221377970724 254.083290745163 -768.612959527208</t>
  </si>
  <si>
    <t>-438.177976305249 297.095312490748 -465.152286696397</t>
  </si>
  <si>
    <t>-252.581931566685 189.163279831724 -318.363874254046</t>
  </si>
  <si>
    <t>-556.557402063317 48.1014872104694 -774.469159883967</t>
  </si>
  <si>
    <t>-488.481504082386 224.964820740846 -254.893152555904</t>
  </si>
  <si>
    <t>-473.421091195299 210.03060038688 200.307635954819</t>
  </si>
  <si>
    <t>-490.301032262956 167.651059726442 667.646169282922</t>
  </si>
  <si>
    <t>-339.787145328781 155.557493132874 757.883742639189</t>
  </si>
  <si>
    <t>-531.542031575741 34.9634324536707 -231.280207130113</t>
  </si>
  <si>
    <t>-438.576445533707 -13.6018042037287 212.179468122687</t>
  </si>
  <si>
    <t>-591.296600747132 -97.7289351411433 648.819519817897</t>
  </si>
  <si>
    <t>-442.525623311967 -144.878230319222 729.98387859614</t>
  </si>
  <si>
    <t>9763-20170724T164338.586465200.bin</t>
  </si>
  <si>
    <t>-510.027848855237 130.988787624185 -243.648912539299</t>
  </si>
  <si>
    <t>-551.170428968036 126.185972988255 -357.455964525513</t>
  </si>
  <si>
    <t>-566.527215322924 115.997486372962 -477.25122267085</t>
  </si>
  <si>
    <t>-569.593313781219 104.679601755284 -586.142831998416</t>
  </si>
  <si>
    <t>-561.916792468274 91.3568166537652 -694.579033805803</t>
  </si>
  <si>
    <t>-540.102451635958 70.8306734343084 -843.920388848204</t>
  </si>
  <si>
    <t>-491.154461496417 56.3146550041266 -932.103936779312</t>
  </si>
  <si>
    <t>-542.423445880271 110.688236594452 -781.000500361026</t>
  </si>
  <si>
    <t>-518.078494515374 255.216662786335 -769.192382360356</t>
  </si>
  <si>
    <t>-438.356325059946 298.554629053394 -465.955819708554</t>
  </si>
  <si>
    <t>-254.048760164868 187.149964817557 -320.141638941596</t>
  </si>
  <si>
    <t>-557.085849552919 49.1374731451271 -774.682349298523</t>
  </si>
  <si>
    <t>-488.581878914861 225.909418642124 -255.204473536643</t>
  </si>
  <si>
    <t>-473.074558417423 210.347751212653 199.960339383438</t>
  </si>
  <si>
    <t>-489.844513041672 167.250574622524 667.277123689039</t>
  </si>
  <si>
    <t>-339.765956041727 155.176448395213 758.239403866456</t>
  </si>
  <si>
    <t>-531.35329308094 36.2170443652164 -231.446978672258</t>
  </si>
  <si>
    <t>-437.566314398545 -12.7200354298021 211.798804554512</t>
  </si>
  <si>
    <t>-591.190850214366 -97.5435741766681 648.043803339612</t>
  </si>
  <si>
    <t>-442.843368238066 -145.69992112709 729.391760221494</t>
  </si>
  <si>
    <t>9763-20170724T164338.620577400.bin</t>
  </si>
  <si>
    <t>-510.045206325162 131.559883290472 -243.797563364892</t>
  </si>
  <si>
    <t>-551.346229476465 126.735158855091 -357.546189465506</t>
  </si>
  <si>
    <t>-566.869472073904 116.560587781898 -477.321309187188</t>
  </si>
  <si>
    <t>-570.085932979118 105.273586021898 -586.211717288172</t>
  </si>
  <si>
    <t>-562.557700387 92.0020310023569 -694.664514594151</t>
  </si>
  <si>
    <t>-540.945897935489 71.5701543537103 -844.048133444692</t>
  </si>
  <si>
    <t>-492.08039941117 57.1632517061105 -932.295485598568</t>
  </si>
  <si>
    <t>-543.219966109999 111.39641080415 -781.106883433921</t>
  </si>
  <si>
    <t>-518.947914097194 255.955841670072 -769.376270613855</t>
  </si>
  <si>
    <t>-437.802086835743 299.028553497083 -466.479878864399</t>
  </si>
  <si>
    <t>-253.651031873191 187.848700581877 -320.296730292792</t>
  </si>
  <si>
    <t>-557.796929986289 49.8248117059008 -774.794385915637</t>
  </si>
  <si>
    <t>-488.705504182101 226.405773175555 -255.385401574775</t>
  </si>
  <si>
    <t>-472.910740288647 210.465867946509 199.756425099398</t>
  </si>
  <si>
    <t>-489.60234031117 167.021447538966 667.067074007259</t>
  </si>
  <si>
    <t>-339.779062952572 155.001806496923 758.456490420753</t>
  </si>
  <si>
    <t>-531.330321640173 36.8233097119197 -231.522022759728</t>
  </si>
  <si>
    <t>-437.066927324028 -12.2191519239207 211.611146822568</t>
  </si>
  <si>
    <t>-591.120094207745 -97.304570161144 647.580172972672</t>
  </si>
  <si>
    <t>-442.778870707723 -145.33385328469 729.014603059859</t>
  </si>
  <si>
    <t>9763-20170724T164338.689747100.bin</t>
  </si>
  <si>
    <t>-509.899749029577 132.145812387613 -244.091490889296</t>
  </si>
  <si>
    <t>-551.283075289386 127.183996429831 -357.80432656836</t>
  </si>
  <si>
    <t>-567.08234780973 117.040657018331 -477.54600514123</t>
  </si>
  <si>
    <t>-570.625939804162 105.854213818118 -586.436478733231</t>
  </si>
  <si>
    <t>-563.498957716339 92.7572750009402 -694.937798531646</t>
  </si>
  <si>
    <t>-542.516791424696 72.6456795359007 -844.454585582185</t>
  </si>
  <si>
    <t>-493.915550886465 58.4644666850152 -932.88417321681</t>
  </si>
  <si>
    <t>-544.543580002988 112.340894087284 -781.422131814808</t>
  </si>
  <si>
    <t>-520.079002960113 256.86031583204 -769.71474149127</t>
  </si>
  <si>
    <t>-435.550435723545 297.622897248129 -467.424350562707</t>
  </si>
  <si>
    <t>-251.600560410945 185.758983774181 -321.509974542699</t>
  </si>
  <si>
    <t>-559.057876613682 50.7479553898396 -775.173982033942</t>
  </si>
  <si>
    <t>-488.441166939684 226.866954604174 -255.737129751115</t>
  </si>
  <si>
    <t>-472.801242224134 210.549205390714 199.396727878496</t>
  </si>
  <si>
    <t>-489.252708196872 166.369785321652 666.746534892771</t>
  </si>
  <si>
    <t>-339.591351559173 155.349396102455 758.526420977324</t>
  </si>
  <si>
    <t>-531.159597797664 37.3347241293934 -231.778848469143</t>
  </si>
  <si>
    <t>-436.253297610283 -11.5875426337739 211.230321971353</t>
  </si>
  <si>
    <t>-590.969426005898 -97.7626120776044 646.739206635395</t>
  </si>
  <si>
    <t>-442.778295005024 -145.788515076773 728.448448809818</t>
  </si>
  <si>
    <t>9763-20170724T164338.718821800.bin</t>
  </si>
  <si>
    <t>-509.788817502742 132.594179722129 -244.230448805023</t>
  </si>
  <si>
    <t>-551.168311815244 127.57474568626 -357.942011797428</t>
  </si>
  <si>
    <t>-567.060714417891 117.456712727564 -477.673478728891</t>
  </si>
  <si>
    <t>-570.72793066104 106.328565251045 -586.566065137985</t>
  </si>
  <si>
    <t>-563.762828399915 93.325752824043 -695.089073424463</t>
  </si>
  <si>
    <t>-543.043495131255 73.3827784214199 -844.66506013949</t>
  </si>
  <si>
    <t>-494.584401498108 59.3024276915901 -933.188788372554</t>
  </si>
  <si>
    <t>-544.956240964405 113.006193810185 -781.583888989045</t>
  </si>
  <si>
    <t>-520.300766386265 257.507775583932 -769.83972581752</t>
  </si>
  <si>
    <t>-434.057289119778 296.40747069682 -467.788349901505</t>
  </si>
  <si>
    <t>-250.091320656022 184.629310239276 -321.828734622088</t>
  </si>
  <si>
    <t>-559.466000308017 51.4076193714766 -775.380845018307</t>
  </si>
  <si>
    <t>-488.353560656619 227.458753992985 -255.909197226455</t>
  </si>
  <si>
    <t>-472.942240182055 210.968924390471 199.226280593583</t>
  </si>
  <si>
    <t>-489.335464879445 166.939320654277 666.601971359425</t>
  </si>
  <si>
    <t>-339.862929452913 154.628567769886 758.52546224313</t>
  </si>
  <si>
    <t>-531.088520966097 37.783357537385 -231.865653986942</t>
  </si>
  <si>
    <t>-435.946955255745 -11.2824765117873 211.077099001999</t>
  </si>
  <si>
    <t>-590.882971021301 -97.7047778881814 646.390757498177</t>
  </si>
  <si>
    <t>-442.622141154128 -145.33371041993 728.205804842119</t>
  </si>
  <si>
    <t>9763-20170724T164338.788028500.bin</t>
  </si>
  <si>
    <t>-509.437148496516 133.207856107468 -244.394072359437</t>
  </si>
  <si>
    <t>-550.669491277904 128.180990404085 -358.158979506584</t>
  </si>
  <si>
    <t>-566.599818811807 118.116620574513 -477.889942557686</t>
  </si>
  <si>
    <t>-570.379485400657 107.062604720425 -586.786029722754</t>
  </si>
  <si>
    <t>-563.604004096063 94.1602605277926 -695.333088682004</t>
  </si>
  <si>
    <t>-543.225732910124 74.3841491162545 -844.978083285258</t>
  </si>
  <si>
    <t>-495.047798902953 60.345800673955 -933.661866834307</t>
  </si>
  <si>
    <t>-544.921861112094 113.921234337035 -781.8365181372</t>
  </si>
  <si>
    <t>-519.717834377657 258.309661464098 -769.936973673544</t>
  </si>
  <si>
    <t>-430.935901218862 293.847501684858 -468.207088249988</t>
  </si>
  <si>
    <t>-245.991858773544 183.832511863057 -322.143864069228</t>
  </si>
  <si>
    <t>-559.563067653525 52.34773889505 -775.69314969303</t>
  </si>
  <si>
    <t>-487.81725341603 228.082318327657 -256.098574145841</t>
  </si>
  <si>
    <t>-473.152710614136 211.239390425143 199.048525606336</t>
  </si>
  <si>
    <t>-489.399947728514 166.94007834873 666.511348372201</t>
  </si>
  <si>
    <t>-339.962042607329 154.462335629416 758.468624670187</t>
  </si>
  <si>
    <t>-530.878489352063 38.3450061310771 -232.031916400687</t>
  </si>
  <si>
    <t>-435.667146834768 -11.180006492996 210.844772015824</t>
  </si>
  <si>
    <t>-590.844707516017 -98.0308946728913 645.97083200812</t>
  </si>
  <si>
    <t>-442.404622613066 -144.997794615566 727.84363544641</t>
  </si>
  <si>
    <t>9763-20170724T164338.830130000.bin</t>
  </si>
  <si>
    <t>-509.110809141843 133.407742974328 -244.432714296766</t>
  </si>
  <si>
    <t>-550.31649566998 128.43849133213 -358.209733858517</t>
  </si>
  <si>
    <t>-566.285199009573 118.432128106504 -477.940283308389</t>
  </si>
  <si>
    <t>-570.126509993499 107.430099294014 -586.839639743287</t>
  </si>
  <si>
    <t>-563.439049449245 94.5790999968108 -695.39819422751</t>
  </si>
  <si>
    <t>-543.209638664965 74.8734794090344 -845.072819209978</t>
  </si>
  <si>
    <t>-495.163867389298 60.7922627010731 -933.821436685405</t>
  </si>
  <si>
    <t>-544.779215216338 114.366629850317 -781.900515002007</t>
  </si>
  <si>
    <t>-519.252652517021 258.702148274317 -769.903185344001</t>
  </si>
  <si>
    <t>-429.61917372801 292.937635839372 -468.274382632004</t>
  </si>
  <si>
    <t>-244.2979810757 183.353177873802 -322.365581086671</t>
  </si>
  <si>
    <t>-559.541857377326 52.8186131728666 -775.792501078872</t>
  </si>
  <si>
    <t>-487.306515480026 228.073303144189 -256.094330087186</t>
  </si>
  <si>
    <t>-473.064592022785 211.158370738937 199.063613397193</t>
  </si>
  <si>
    <t>-489.361828240418 166.349992485977 666.554638608357</t>
  </si>
  <si>
    <t>-339.801843114567 154.590280359757 758.407890588569</t>
  </si>
  <si>
    <t>-530.740170607339 38.7276131703718 -232.064966871381</t>
  </si>
  <si>
    <t>-435.615123416814 -11.0295097694647 210.804214239022</t>
  </si>
  <si>
    <t>-590.864088029194 -97.7408293528643 645.881955794636</t>
  </si>
  <si>
    <t>-442.708250885384 -145.651055750436 727.723074946358</t>
  </si>
  <si>
    <t>9763-20170724T164338.886285300.bin</t>
  </si>
  <si>
    <t>-508.584140203908 133.951999047345 -244.352485964587</t>
  </si>
  <si>
    <t>-549.732068394057 129.135155731168 -358.156870434409</t>
  </si>
  <si>
    <t>-565.66312159459 119.186082964535 -477.89746492948</t>
  </si>
  <si>
    <t>-569.47983561326 108.194105596344 -586.798537127031</t>
  </si>
  <si>
    <t>-562.777598678277 95.3108376181665 -695.352421663557</t>
  </si>
  <si>
    <t>-542.538343892013 75.5154515548736 -845.013958579943</t>
  </si>
  <si>
    <t>-494.682379696118 61.1878386684781 -933.825558788681</t>
  </si>
  <si>
    <t>-543.944254090998 115.008526502638 -781.837596944281</t>
  </si>
  <si>
    <t>-517.777900033292 259.21758079157 -769.833389145476</t>
  </si>
  <si>
    <t>-427.623448100121 292.348316861588 -468.236385249953</t>
  </si>
  <si>
    <t>-241.497046069632 183.282814850796 -322.965121355906</t>
  </si>
  <si>
    <t>-559.042866696015 53.5401321569459 -775.749232797228</t>
  </si>
  <si>
    <t>-486.382128902163 228.613538929461 -256.024601959676</t>
  </si>
  <si>
    <t>-472.729092947798 211.511414611829 199.144376557249</t>
  </si>
  <si>
    <t>-489.596445809465 166.696357086549 666.57829052924</t>
  </si>
  <si>
    <t>-340.084686872999 153.896955724234 758.371001050788</t>
  </si>
  <si>
    <t>-530.635255042489 39.2955881169837 -231.960683787216</t>
  </si>
  <si>
    <t>-435.530980693033 -10.8105943932021 210.873576002941</t>
  </si>
  <si>
    <t>-590.979205821428 -97.3171106792384 645.856390855502</t>
  </si>
  <si>
    <t>-443.011324976385 -146.097172640367 727.523503360042</t>
  </si>
  <si>
    <t>9763-20170724T164338.924387300.bin</t>
  </si>
  <si>
    <t>-508.249507475603 133.870257811183 -244.292051392346</t>
  </si>
  <si>
    <t>-549.390640595225 129.160651796643 -358.103445357282</t>
  </si>
  <si>
    <t>-565.338569900357 119.246533752709 -477.844670024802</t>
  </si>
  <si>
    <t>-569.180032831362 108.257368662525 -586.745068269087</t>
  </si>
  <si>
    <t>-562.511478924721 95.3491748454925 -695.298144791679</t>
  </si>
  <si>
    <t>-542.328066276534 75.4912526801617 -844.958769605488</t>
  </si>
  <si>
    <t>-494.585933197836 61.0161556577118 -933.807754526238</t>
  </si>
  <si>
    <t>-543.632217336793 114.992674243824 -781.785556539848</t>
  </si>
  <si>
    <t>-517.320228870465 259.179211383844 -769.823641853058</t>
  </si>
  <si>
    <t>-427.153780158347 292.192162342302 -468.21733961541</t>
  </si>
  <si>
    <t>-240.553704139823 183.062247554857 -323.603483140191</t>
  </si>
  <si>
    <t>-558.885005693863 53.5629236050555 -775.691648857611</t>
  </si>
  <si>
    <t>-485.770690769786 228.538875270592 -255.973034984299</t>
  </si>
  <si>
    <t>-472.278818424751 211.423547121257 199.200186787004</t>
  </si>
  <si>
    <t>-489.664905000497 166.583878046251 666.635134063753</t>
  </si>
  <si>
    <t>-340.095412426248 153.866985214554 758.34534407341</t>
  </si>
  <si>
    <t>-530.531196168833 39.1571636843932 -231.920132109306</t>
  </si>
  <si>
    <t>-435.509929859651 -11.0837577555884 210.916713117838</t>
  </si>
  <si>
    <t>-591.054713553977 -97.5587138470104 645.883101796527</t>
  </si>
  <si>
    <t>-442.832139708323 -145.76543011078 727.428672049881</t>
  </si>
  <si>
    <t>9763-20170724T164338.987109800.bin</t>
  </si>
  <si>
    <t>-507.72533838785 133.957592647927 -244.071252497095</t>
  </si>
  <si>
    <t>-548.912065794649 129.501490844679 -357.876428849113</t>
  </si>
  <si>
    <t>-564.93868368145 119.710194454648 -477.617169203136</t>
  </si>
  <si>
    <t>-568.863241493948 108.779879602222 -586.520743454487</t>
  </si>
  <si>
    <t>-562.288680324315 95.8805262555765 -695.080525945994</t>
  </si>
  <si>
    <t>-542.246225295602 75.984301273544 -844.754961461561</t>
  </si>
  <si>
    <t>-494.733252203297 61.336227547962 -933.698380373262</t>
  </si>
  <si>
    <t>-543.358911857934 115.470972148794 -781.568896101211</t>
  </si>
  <si>
    <t>-516.847510678918 259.635910715775 -769.658262605346</t>
  </si>
  <si>
    <t>-428.03199901309 292.020190332035 -467.583277852439</t>
  </si>
  <si>
    <t>-240.119636384135 183.48449587072 -324.227157510438</t>
  </si>
  <si>
    <t>-558.869861671163 54.10454744261 -775.488528702913</t>
  </si>
  <si>
    <t>-484.86333494607 228.672851082541 -255.650753181989</t>
  </si>
  <si>
    <t>-471.48727963408 211.448318700041 199.52178947962</t>
  </si>
  <si>
    <t>-490.137702169747 166.78798813721 667.001585348788</t>
  </si>
  <si>
    <t>-340.358797325415 153.772177855224 758.327299738138</t>
  </si>
  <si>
    <t>-530.464322294409 39.3272132607251 -231.760759210261</t>
  </si>
  <si>
    <t>-435.608609070802 -11.4890636313946 211.045944453857</t>
  </si>
  <si>
    <t>-591.173418635654 -97.4744278377578 646.014016798312</t>
  </si>
  <si>
    <t>-442.754639042549 -145.500090378825 727.309210324061</t>
  </si>
  <si>
    <t>9763-20170724T164339.019195400.bin</t>
  </si>
  <si>
    <t>-507.5885534084 133.872496740026 -243.863864221656</t>
  </si>
  <si>
    <t>-548.749500205545 129.530446535176 -357.682683427646</t>
  </si>
  <si>
    <t>-564.750070532225 119.769344598084 -477.429347401746</t>
  </si>
  <si>
    <t>-568.651104229679 108.832200167665 -586.333088194279</t>
  </si>
  <si>
    <t>-562.053273516921 95.8921842102602 -694.886582059314</t>
  </si>
  <si>
    <t>-541.978776596463 75.9049229285312 -844.544642156218</t>
  </si>
  <si>
    <t>-494.529779972255 61.1701194658234 -933.507900176818</t>
  </si>
  <si>
    <t>-543.047829456125 115.416465846467 -781.373293306384</t>
  </si>
  <si>
    <t>-516.457160159055 259.55995717986 -769.490930647593</t>
  </si>
  <si>
    <t>-428.727562764895 291.768368608638 -467.079984522153</t>
  </si>
  <si>
    <t>-240.200717814259 183.342735179421 -324.449220219162</t>
  </si>
  <si>
    <t>-558.6743390478 54.0808921755292 -775.277789532434</t>
  </si>
  <si>
    <t>-484.572185980798 228.420241572391 -255.385472618713</t>
  </si>
  <si>
    <t>-471.187481453572 211.164602174913 199.785633400775</t>
  </si>
  <si>
    <t>-490.306206538496 166.261731546325 667.253098410141</t>
  </si>
  <si>
    <t>-340.276338504391 154.136247098346 758.288916196417</t>
  </si>
  <si>
    <t>-530.451460981659 39.3464110271266 -231.632226338338</t>
  </si>
  <si>
    <t>-435.674520363153 -11.6567835572898 211.169880246058</t>
  </si>
  <si>
    <t>-591.236896620048 -97.2871957439086 646.15033974335</t>
  </si>
  <si>
    <t>-442.913957558678 -145.764710641049 727.35209946936</t>
  </si>
  <si>
    <t>9763-20170724T164339.092529200.bin</t>
  </si>
  <si>
    <t>-507.404790920665 133.929984961933 -243.413875950198</t>
  </si>
  <si>
    <t>-548.569847600595 129.772994397782 -357.238168891211</t>
  </si>
  <si>
    <t>-564.517650996558 120.100724807739 -476.998986302403</t>
  </si>
  <si>
    <t>-568.346911303766 109.20526201589 -585.909551467117</t>
  </si>
  <si>
    <t>-561.653554034112 96.2700345851158 -694.45782530302</t>
  </si>
  <si>
    <t>-541.42240555718 76.2520244308834 -844.090551980646</t>
  </si>
  <si>
    <t>-493.908975172488 61.4093804182183 -933.001501858255</t>
  </si>
  <si>
    <t>-542.470694790605 115.755667553393 -780.91399329747</t>
  </si>
  <si>
    <t>-515.722234100925 259.852537029767 -768.904661372772</t>
  </si>
  <si>
    <t>-430.794753963057 292.165874157788 -465.7060853468</t>
  </si>
  <si>
    <t>-241.803184771264 183.83604077269 -323.618544247479</t>
  </si>
  <si>
    <t>-558.277351797817 54.4630213879541 -774.851485384196</t>
  </si>
  <si>
    <t>-484.210299804126 228.462803795821 -254.849708184659</t>
  </si>
  <si>
    <t>-471.016991045575 211.158293686483 200.325124559832</t>
  </si>
  <si>
    <t>-490.881251805774 166.408623774358 667.745257205394</t>
  </si>
  <si>
    <t>-340.593218181777 153.498706977568 758.245916894238</t>
  </si>
  <si>
    <t>-530.455325179742 39.4016074243237 -231.29206462143</t>
  </si>
  <si>
    <t>-435.898804800257 -11.7473132988036 211.540300659156</t>
  </si>
  <si>
    <t>-591.343543910629 -97.1561436999472 646.496288403461</t>
  </si>
  <si>
    <t>-443.22000933186 -146.427297446214 727.584393592251</t>
  </si>
  <si>
    <t>9763-20170724T164339.117590800.bin</t>
  </si>
  <si>
    <t>-507.29127874829 133.777771833161 -243.275939597808</t>
  </si>
  <si>
    <t>-548.368464272066 129.659015885766 -357.13331548197</t>
  </si>
  <si>
    <t>-564.181045315042 119.996417644809 -476.912900467241</t>
  </si>
  <si>
    <t>-567.870152381756 109.098073706298 -585.827926054914</t>
  </si>
  <si>
    <t>-561.019624884219 96.148569813562 -694.364726650568</t>
  </si>
  <si>
    <t>-540.553986951875 76.0992986757772 -843.961509509936</t>
  </si>
  <si>
    <t>-492.953933639648 61.2214051751609 -932.820132892672</t>
  </si>
  <si>
    <t>-541.670061882311 115.608615389302 -780.789562876278</t>
  </si>
  <si>
    <t>-514.868530654352 259.694821532045 -768.721223197388</t>
  </si>
  <si>
    <t>-431.125674269037 292.15000960929 -465.208342594582</t>
  </si>
  <si>
    <t>-241.768332403575 184.738489261558 -322.91078296013</t>
  </si>
  <si>
    <t>-557.548702822449 54.3322992542415 -774.749496730994</t>
  </si>
  <si>
    <t>-483.955753851833 228.19311481775 -254.743277716745</t>
  </si>
  <si>
    <t>-470.901095668564 210.933170746982 200.437266765707</t>
  </si>
  <si>
    <t>-490.853942542602 166.132200930387 667.735129311209</t>
  </si>
  <si>
    <t>-340.449739467772 154.148182042091 758.170087751625</t>
  </si>
  <si>
    <t>-530.418449512453 39.3759357747265 -231.174699447504</t>
  </si>
  <si>
    <t>-436.008705615263 -11.9230168285902 211.671649875577</t>
  </si>
  <si>
    <t>-591.386019981204 -97.1118350982497 646.654503191339</t>
  </si>
  <si>
    <t>-443.182933379568 -146.244262338038 727.681368857833</t>
  </si>
  <si>
    <t>9763-20170724T164339.189785600.bin</t>
  </si>
  <si>
    <t>-506.987132776739 133.647005209347 -243.087213059416</t>
  </si>
  <si>
    <t>-548.050072350895 129.541030006182 -356.950224894305</t>
  </si>
  <si>
    <t>-563.733827642472 119.890311396092 -476.747796943777</t>
  </si>
  <si>
    <t>-567.259997992452 109.000684257465 -585.668973102793</t>
  </si>
  <si>
    <t>-560.201771192838 96.0571353593542 -694.193138891319</t>
  </si>
  <si>
    <t>-539.402788101359 76.0128640585536 -843.744633112546</t>
  </si>
  <si>
    <t>-491.599438716874 61.1315704191698 -932.493594152227</t>
  </si>
  <si>
    <t>-540.640902566559 115.51554627734 -780.570825956762</t>
  </si>
  <si>
    <t>-513.900979538452 259.595685227226 -768.330353610191</t>
  </si>
  <si>
    <t>-431.809397943637 291.822182885088 -464.342440030376</t>
  </si>
  <si>
    <t>-241.106152639326 187.344815045407 -321.658197460082</t>
  </si>
  <si>
    <t>-556.570509536259 54.248118205441 -774.574647300444</t>
  </si>
  <si>
    <t>-483.663579579279 228.09681799081 -254.616003830193</t>
  </si>
  <si>
    <t>-470.68624299412 210.847047330191 200.567177376887</t>
  </si>
  <si>
    <t>-490.92207765106 166.092258747145 667.864415790827</t>
  </si>
  <si>
    <t>-340.498784629996 153.777859380558 758.223152857796</t>
  </si>
  <si>
    <t>-530.137454715779 39.2422195301473 -230.93835764964</t>
  </si>
  <si>
    <t>-435.794543984184 -11.9628475095109 211.933082173745</t>
  </si>
  <si>
    <t>-591.409779987468 -96.935355383742 646.834617629638</t>
  </si>
  <si>
    <t>-443.264773718616 -146.273400172427 727.842717756894</t>
  </si>
  <si>
    <t>9763-20170724T164339.219865200.bin</t>
  </si>
  <si>
    <t>-506.912043792094 133.565317170491 -243.044407267402</t>
  </si>
  <si>
    <t>-547.943141340806 129.39901755143 -356.916772491642</t>
  </si>
  <si>
    <t>-563.512543373589 119.716574462128 -476.72660726863</t>
  </si>
  <si>
    <t>-566.902420809965 108.808692964649 -585.650389674445</t>
  </si>
  <si>
    <t>-559.676316288783 95.8566020934664 -694.162374549024</t>
  </si>
  <si>
    <t>-538.613169884256 75.8101262583439 -843.676616633175</t>
  </si>
  <si>
    <t>-490.708161314893 60.9485028431158 -932.373895481821</t>
  </si>
  <si>
    <t>-539.96412834682 115.31402249698 -780.50586039141</t>
  </si>
  <si>
    <t>-513.073027127336 259.342720228147 -768.090663756373</t>
  </si>
  <si>
    <t>-431.095821498785 291.56272441579 -464.071348678447</t>
  </si>
  <si>
    <t>-239.915153355465 188.495321844819 -321.000922440248</t>
  </si>
  <si>
    <t>-555.901840583763 54.0461422702998 -774.536511696155</t>
  </si>
  <si>
    <t>-483.658142090505 228.108736347158 -254.612330623494</t>
  </si>
  <si>
    <t>-470.753701958575 210.958056806716 200.576721247955</t>
  </si>
  <si>
    <t>-490.972322519705 166.452107358041 667.811103022355</t>
  </si>
  <si>
    <t>-340.65280498818 153.504563798899 758.25398608484</t>
  </si>
  <si>
    <t>-529.992857347595 39.0259011311656 -230.858039681043</t>
  </si>
  <si>
    <t>-435.584934457504 -12.0344049287355 212.016269383813</t>
  </si>
  <si>
    <t>-591.423487069202 -97.2413513235544 646.867598489921</t>
  </si>
  <si>
    <t>-443.020024592857 -145.82411826523 727.859214368106</t>
  </si>
  <si>
    <t>9763-20170724T164339.289080700.bin</t>
  </si>
  <si>
    <t>-506.719695251812 133.55554711511 -243.161036208299</t>
  </si>
  <si>
    <t>-547.785798137375 129.266277479954 -357.016163996512</t>
  </si>
  <si>
    <t>-563.232836636739 119.543533072046 -476.838698563771</t>
  </si>
  <si>
    <t>-566.448698570446 108.626018211034 -585.766737975812</t>
  </si>
  <si>
    <t>-558.98767164239 95.6867444393632 -694.264396638478</t>
  </si>
  <si>
    <t>-537.53775235484 75.677686494464 -843.728555327078</t>
  </si>
  <si>
    <t>-489.501712693179 60.9267291907254 -932.373612106355</t>
  </si>
  <si>
    <t>-539.06246411102 115.168306070256 -780.553480681672</t>
  </si>
  <si>
    <t>-511.962130910833 259.141013584372 -767.941407562053</t>
  </si>
  <si>
    <t>-428.724809703318 290.853993532582 -464.211182167233</t>
  </si>
  <si>
    <t>-238.663926728316 186.155499490186 -320.833574913941</t>
  </si>
  <si>
    <t>-554.994840904387 53.8938792220456 -774.637063044385</t>
  </si>
  <si>
    <t>-483.672918699883 228.116147305113 -254.862466585796</t>
  </si>
  <si>
    <t>-470.520200608071 211.032466820859 200.321955667521</t>
  </si>
  <si>
    <t>-490.57699381627 166.389268805106 667.493820931044</t>
  </si>
  <si>
    <t>-340.585523909139 152.916670207426 758.403433064168</t>
  </si>
  <si>
    <t>-529.625284497238 39.0840883807129 -230.866317189776</t>
  </si>
  <si>
    <t>-435.025412405877 -11.680428700829 212.001028158824</t>
  </si>
  <si>
    <t>-591.419398647625 -97.1525921992599 646.734035714317</t>
  </si>
  <si>
    <t>-443.296327655531 -146.509521667345 727.770789183213</t>
  </si>
  <si>
    <t>9763-20170724T164339.321165000.bin</t>
  </si>
  <si>
    <t>-506.713862906881 133.651917970972 -243.277648741947</t>
  </si>
  <si>
    <t>-547.797647736115 129.333180228503 -357.12526914919</t>
  </si>
  <si>
    <t>-563.173166716486 119.614807504739 -476.957373834212</t>
  </si>
  <si>
    <t>-566.288156562463 108.712661549941 -585.889801880543</t>
  </si>
  <si>
    <t>-558.690987672745 95.7986080589401 -694.381103972199</t>
  </si>
  <si>
    <t>-537.016995237536 75.833266530036 -843.81884919115</t>
  </si>
  <si>
    <t>-488.902663067073 61.1849394385172 -932.438357482563</t>
  </si>
  <si>
    <t>-538.649128166686 115.308477049571 -780.636834648012</t>
  </si>
  <si>
    <t>-511.51408623646 259.277374593318 -767.90418889336</t>
  </si>
  <si>
    <t>-427.573915574554 290.744436286728 -464.341946950708</t>
  </si>
  <si>
    <t>-237.829210543502 185.764448775281 -320.751540831352</t>
  </si>
  <si>
    <t>-554.565042298468 54.0261767410465 -774.757698758386</t>
  </si>
  <si>
    <t>-483.753989957647 228.015262479397 -254.963101998765</t>
  </si>
  <si>
    <t>-470.494945512654 210.964574060773 200.219426434062</t>
  </si>
  <si>
    <t>-490.396312840173 166.078103838996 667.408179454945</t>
  </si>
  <si>
    <t>-340.486821068212 153.117711772294 758.527261015495</t>
  </si>
  <si>
    <t>-529.561562952176 39.3402107153131 -230.955130401701</t>
  </si>
  <si>
    <t>-434.879356111096 -11.2151254177193 211.918526593859</t>
  </si>
  <si>
    <t>-591.370492371873 -96.354593177885 646.595674159861</t>
  </si>
  <si>
    <t>-443.582924250672 -146.676103820485 727.651772934548</t>
  </si>
  <si>
    <t>9763-20170724T164339.401120900.bin</t>
  </si>
  <si>
    <t>-506.711257848467 133.408256912719 -243.504729844696</t>
  </si>
  <si>
    <t>-547.752444214493 129.036969788621 -357.365690376074</t>
  </si>
  <si>
    <t>-563.060362069857 119.280619486811 -477.203262073732</t>
  </si>
  <si>
    <t>-566.104562790606 108.35167275033 -586.13518795932</t>
  </si>
  <si>
    <t>-558.427415771631 95.4189175386984 -694.618564917423</t>
  </si>
  <si>
    <t>-536.633356180675 75.4370875442254 -844.036644278038</t>
  </si>
  <si>
    <t>-488.42810863409 60.9057771667453 -932.62602039111</t>
  </si>
  <si>
    <t>-538.351460134193 114.927786125035 -780.866665531052</t>
  </si>
  <si>
    <t>-511.431377285462 258.912835341181 -768.042720052778</t>
  </si>
  <si>
    <t>-425.40768704778 289.269746386589 -464.951004111204</t>
  </si>
  <si>
    <t>-234.657375128363 185.291994214714 -321.965008952191</t>
  </si>
  <si>
    <t>-554.201678704987 53.6290935447141 -774.980994535665</t>
  </si>
  <si>
    <t>-483.89637874244 227.785211350369 -255.178790032511</t>
  </si>
  <si>
    <t>-470.664087534699 210.618660542566 200.000109721136</t>
  </si>
  <si>
    <t>-490.174994499048 165.921304953806 667.288438475285</t>
  </si>
  <si>
    <t>-340.517058380366 152.810392333002 758.79860582789</t>
  </si>
  <si>
    <t>-529.434918888691 39.0162986667214 -231.176705946245</t>
  </si>
  <si>
    <t>-434.656670161826 -11.2936663448349 211.704404966768</t>
  </si>
  <si>
    <t>-591.412672565098 -96.8004414325941 646.30140328882</t>
  </si>
  <si>
    <t>-443.332431244723 -146.307647847343 727.324803842483</t>
  </si>
  <si>
    <t>9763-20170724T164339.420169700.bin</t>
  </si>
  <si>
    <t>-506.679815352803 133.265437642494 -243.524395689156</t>
  </si>
  <si>
    <t>-547.665733970663 128.884253263428 -357.404945338589</t>
  </si>
  <si>
    <t>-562.967725524101 119.131345192532 -477.243541235328</t>
  </si>
  <si>
    <t>-566.026825639014 108.214450091288 -586.176218155431</t>
  </si>
  <si>
    <t>-558.384531380226 95.3049339179303 -694.664809283533</t>
  </si>
  <si>
    <t>-536.658550543638 75.3684472439387 -844.098844277636</t>
  </si>
  <si>
    <t>-488.425310561734 60.8952359949447 -932.682430706023</t>
  </si>
  <si>
    <t>-538.367051750838 114.844545386545 -780.919436696262</t>
  </si>
  <si>
    <t>-511.481736815887 258.845204389063 -768.072420439306</t>
  </si>
  <si>
    <t>-424.782792490114 288.575270323357 -465.111178036054</t>
  </si>
  <si>
    <t>-232.893141792109 185.979814488459 -322.652031200412</t>
  </si>
  <si>
    <t>-554.176219289811 53.5348713925787 -775.038475298745</t>
  </si>
  <si>
    <t>-483.808076906385 227.658741228659 -255.17194595794</t>
  </si>
  <si>
    <t>-470.820010073094 210.476507578669 200.013487920819</t>
  </si>
  <si>
    <t>-490.242180155674 165.760829136016 667.385736277105</t>
  </si>
  <si>
    <t>-340.51970633801 153.035654067685 758.844811212456</t>
  </si>
  <si>
    <t>-529.455085399636 38.8485854139211 -231.218641321178</t>
  </si>
  <si>
    <t>-434.607973661969 -11.4148214980522 211.653000975436</t>
  </si>
  <si>
    <t>-591.445697497279 -96.9865967217342 646.217787295895</t>
  </si>
  <si>
    <t>-443.326395807742 -146.400258020452 727.226982125038</t>
  </si>
  <si>
    <t>9763-20170724T164339.490073200.bin</t>
  </si>
  <si>
    <t>-506.347072485074 133.077490505055 -243.457575834807</t>
  </si>
  <si>
    <t>-547.24189208324 128.705104498575 -357.371152428498</t>
  </si>
  <si>
    <t>-562.54694058295 118.954522604787 -477.209576113914</t>
  </si>
  <si>
    <t>-565.648198405132 108.04139805649 -586.141360711391</t>
  </si>
  <si>
    <t>-558.086519477414 95.1395106903196 -694.63648476296</t>
  </si>
  <si>
    <t>-536.510990214856 75.2201202991992 -844.094636898831</t>
  </si>
  <si>
    <t>-488.255983975948 60.7465635236721 -932.666390799749</t>
  </si>
  <si>
    <t>-538.139039145412 114.684943435209 -780.906035880356</t>
  </si>
  <si>
    <t>-511.197903926224 258.692533762578 -768.126628432599</t>
  </si>
  <si>
    <t>-423.880811310548 287.508444081803 -465.254472259203</t>
  </si>
  <si>
    <t>-230.757804192923 186.097449758191 -323.616307776426</t>
  </si>
  <si>
    <t>-553.97594216506 53.3827265213259 -775.022088119318</t>
  </si>
  <si>
    <t>-483.362574806352 227.457517631194 -255.068727753403</t>
  </si>
  <si>
    <t>-470.842888608491 210.335425000592 200.132031964703</t>
  </si>
  <si>
    <t>-490.461433117129 165.654934991271 667.548640350434</t>
  </si>
  <si>
    <t>-340.590364538258 152.980531181113 758.771183046939</t>
  </si>
  <si>
    <t>-529.171485875884 38.7636497451485 -231.18279776005</t>
  </si>
  <si>
    <t>-434.496481292871 -11.715184890532 211.701094902357</t>
  </si>
  <si>
    <t>-591.515041611811 -96.9131832396578 646.185917977791</t>
  </si>
  <si>
    <t>-443.31187217799 -146.170197545648 727.136923711672</t>
  </si>
  <si>
    <t>9763-20170724T164339.523155300.bin</t>
  </si>
  <si>
    <t>-506.059403965123 133.11438723167 -243.348607608856</t>
  </si>
  <si>
    <t>-546.986028641698 128.801336830459 -357.253052327485</t>
  </si>
  <si>
    <t>-562.378760281806 119.071461292981 -477.081953308437</t>
  </si>
  <si>
    <t>-565.581531532693 108.160790985596 -586.01098377551</t>
  </si>
  <si>
    <t>-558.14267849842 95.2453678115617 -694.513092757115</t>
  </si>
  <si>
    <t>-536.758973400414 75.2904092496466 -843.993974711157</t>
  </si>
  <si>
    <t>-488.554232413782 60.7086494080574 -932.575381577313</t>
  </si>
  <si>
    <t>-538.261680707677 114.759650190216 -780.805096222806</t>
  </si>
  <si>
    <t>-511.312337241265 258.763038176686 -768.101991865156</t>
  </si>
  <si>
    <t>-423.746879208921 287.756991043073 -465.318612924866</t>
  </si>
  <si>
    <t>-230.022737838334 187.270792064623 -323.842301219139</t>
  </si>
  <si>
    <t>-554.179522586062 53.4801535246505 -774.901647365416</t>
  </si>
  <si>
    <t>-483.017744656914 227.367332116925 -254.914241687331</t>
  </si>
  <si>
    <t>-470.632240341291 210.263654257304 200.290879314275</t>
  </si>
  <si>
    <t>-490.61270711884 165.366022089866 667.756072005794</t>
  </si>
  <si>
    <t>-340.585332251279 152.90359987561 758.750486981004</t>
  </si>
  <si>
    <t>-528.976777282044 38.9833801157592 -231.06563670724</t>
  </si>
  <si>
    <t>-434.324425267562 -11.5955624675422 211.811716855185</t>
  </si>
  <si>
    <t>-591.506844051651 -96.4210217342444 646.200481368957</t>
  </si>
  <si>
    <t>-443.603619974784 -146.563401167957 727.156671252686</t>
  </si>
  <si>
    <t>9763-20170724T164339.587330200.bin</t>
  </si>
  <si>
    <t>-505.272024680314 132.836903426421 -242.721114461951</t>
  </si>
  <si>
    <t>-546.106324610005 128.561738024996 -356.660072110474</t>
  </si>
  <si>
    <t>-561.452948600167 118.830120338999 -476.494695836704</t>
  </si>
  <si>
    <t>-564.635756265994 107.893808844077 -585.421843024421</t>
  </si>
  <si>
    <t>-557.199960753803 94.9249118971546 -693.917774690665</t>
  </si>
  <si>
    <t>-535.844928026837 74.8625882363241 -843.388435959499</t>
  </si>
  <si>
    <t>-487.697315268348 59.9647667969228 -931.948279290505</t>
  </si>
  <si>
    <t>-537.160689450267 114.334129045824 -780.196738019297</t>
  </si>
  <si>
    <t>-509.944540808891 258.279517275074 -767.525365919687</t>
  </si>
  <si>
    <t>-422.26097691051 289.3068519788 -464.977680973149</t>
  </si>
  <si>
    <t>-228.400059074335 190.4300543712 -322.558213849805</t>
  </si>
  <si>
    <t>-553.427023995249 53.1449294347552 -774.307752546512</t>
  </si>
  <si>
    <t>-481.95189726712 226.984730275129 -254.238625768589</t>
  </si>
  <si>
    <t>-470.130018157651 210.000115797441 200.985848899148</t>
  </si>
  <si>
    <t>-491.3651887365 164.993762076108 668.56615054122</t>
  </si>
  <si>
    <t>-340.72506839262 153.032578769842 758.610574903944</t>
  </si>
  <si>
    <t>-528.420956598145 38.6567100674463 -230.529528859182</t>
  </si>
  <si>
    <t>-433.802308970703 -12.0147322060741 212.344479485238</t>
  </si>
  <si>
    <t>-591.535829801028 -96.9117927837085 646.410980850292</t>
  </si>
  <si>
    <t>-443.302875639292 -146.094635836011 727.352560274416</t>
  </si>
  <si>
    <t>9763-20170724T164339.621429300.bin</t>
  </si>
  <si>
    <t>-504.878622523989 132.787193721594 -242.460877947425</t>
  </si>
  <si>
    <t>-545.780759596531 128.664854647323 -356.381097225192</t>
  </si>
  <si>
    <t>-560.97444451039 118.904200380729 -476.232940834179</t>
  </si>
  <si>
    <t>-563.92634959468 107.872584285067 -585.156910510215</t>
  </si>
  <si>
    <t>-556.168393415343 94.7438341867875 -693.611080074658</t>
  </si>
  <si>
    <t>-534.273896919097 74.3966871482132 -842.96510379842</t>
  </si>
  <si>
    <t>-486.073211096942 59.3608434963262 -931.472849207316</t>
  </si>
  <si>
    <t>-535.774569265607 113.977876833588 -779.846228969884</t>
  </si>
  <si>
    <t>-508.346998034664 257.900713928423 -767.127689904358</t>
  </si>
  <si>
    <t>-420.974688469634 289.730399975622 -464.573321300297</t>
  </si>
  <si>
    <t>-227.567876457581 191.214480420242 -321.288840325301</t>
  </si>
  <si>
    <t>-552.148550132072 52.8214650070614 -773.914940156808</t>
  </si>
  <si>
    <t>-481.483201998743 227.060007292943 -253.820654083555</t>
  </si>
  <si>
    <t>-469.861430969138 210.073029694648 201.40897673747</t>
  </si>
  <si>
    <t>-491.95465209754 165.466548380258 668.995746008059</t>
  </si>
  <si>
    <t>-341.064714087098 152.587916533519 758.493668951279</t>
  </si>
  <si>
    <t>-528.262701283576 38.5497875139702 -230.291323959524</t>
  </si>
  <si>
    <t>-433.852266683232 -12.114951169948 212.62791673628</t>
  </si>
  <si>
    <t>-591.522536179007 -97.0398363360957 646.633048979941</t>
  </si>
  <si>
    <t>-443.26052300918 -146.04252041238 727.630706418651</t>
  </si>
  <si>
    <t>9763-20170724T164339.688609600.bin</t>
  </si>
  <si>
    <t>-504.14496629546 132.459102879197 -241.71701022003</t>
  </si>
  <si>
    <t>-544.707749506393 128.53840303951 -355.76574449118</t>
  </si>
  <si>
    <t>-559.437562722467 118.666640255902 -475.666150515562</t>
  </si>
  <si>
    <t>-561.923485656733 107.411944174521 -584.579086460794</t>
  </si>
  <si>
    <t>-553.657014849802 93.9417628992643 -692.953741814686</t>
  </si>
  <si>
    <t>-531.016802002631 73.0013959081892 -842.114443104693</t>
  </si>
  <si>
    <t>-482.627177189553 57.6701793425574 -930.468120270141</t>
  </si>
  <si>
    <t>-532.758341849771 112.814588347193 -779.147863358434</t>
  </si>
  <si>
    <t>-505.009023218885 256.689106496207 -766.587837480537</t>
  </si>
  <si>
    <t>-419.370633796205 288.895196899086 -463.577894996233</t>
  </si>
  <si>
    <t>-226.389914962728 191.044917297994 -319.266376194482</t>
  </si>
  <si>
    <t>-549.31037517644 51.7191835659514 -773.083063326147</t>
  </si>
  <si>
    <t>-480.45341631992 226.62135484667 -252.951807152405</t>
  </si>
  <si>
    <t>-468.877320145362 209.495936794842 202.273880073533</t>
  </si>
  <si>
    <t>-492.613312027104 164.871972624493 669.7902800398</t>
  </si>
  <si>
    <t>-341.028138951564 153.095203348679 758.25935539841</t>
  </si>
  <si>
    <t>-527.619606547369 38.3623449035968 -229.823121655007</t>
  </si>
  <si>
    <t>-434.324848188647 -12.5402687528854 213.305183154843</t>
  </si>
  <si>
    <t>-591.547250510599 -96.7968666331954 647.413392168429</t>
  </si>
  <si>
    <t>-443.572410430217 -146.502883121894 728.507752212873</t>
  </si>
  <si>
    <t>9763-20170724T164339.721703000.bin</t>
  </si>
  <si>
    <t>-503.800488704115 132.234697583632 -241.333627723766</t>
  </si>
  <si>
    <t>-544.292615800374 128.441335471574 -355.411703724939</t>
  </si>
  <si>
    <t>-558.952467379394 118.616806749588 -475.324748875722</t>
  </si>
  <si>
    <t>-561.375248448806 107.376881560437 -584.240618287746</t>
  </si>
  <si>
    <t>-553.045757827136 93.8968783275398 -692.609049796852</t>
  </si>
  <si>
    <t>-530.31806770822 72.920137640252 -841.751515543831</t>
  </si>
  <si>
    <t>-481.841343521126 57.5228480338084 -930.045899152596</t>
  </si>
  <si>
    <t>-532.09652912551 112.748619208279 -778.795503936711</t>
  </si>
  <si>
    <t>-504.329251944314 256.594057781726 -766.18016979464</t>
  </si>
  <si>
    <t>-420.162697774372 289.175717758847 -462.798321453791</t>
  </si>
  <si>
    <t>-227.450824331974 191.355684717145 -318.107449276784</t>
  </si>
  <si>
    <t>-548.652252586238 51.6547642687717 -772.725725550693</t>
  </si>
  <si>
    <t>-479.944384574825 226.289341737089 -252.520048283487</t>
  </si>
  <si>
    <t>-468.524800320643 209.216330858163 202.711477927794</t>
  </si>
  <si>
    <t>-492.856779887274 164.54928760004 670.096990206166</t>
  </si>
  <si>
    <t>-341.004991401872 153.424051239026 758.192268795668</t>
  </si>
  <si>
    <t>-527.501427249064 38.1522882716691 -229.47635050701</t>
  </si>
  <si>
    <t>-434.35916628272 -12.8036469377802 213.677950350114</t>
  </si>
  <si>
    <t>-591.567342584202 -96.861997106949 647.807397009379</t>
  </si>
  <si>
    <t>-443.743573690486 -146.929006220449 728.954969361676</t>
  </si>
  <si>
    <t>9763-20170724T164339.786878300.bin</t>
  </si>
  <si>
    <t>-503.305280118536 132.276267233346 -240.694306257956</t>
  </si>
  <si>
    <t>-543.733679934629 128.534413381294 -354.796698366097</t>
  </si>
  <si>
    <t>-558.144594122155 118.77886453221 -474.745539638243</t>
  </si>
  <si>
    <t>-560.264368027497 107.624156112818 -583.676276461765</t>
  </si>
  <si>
    <t>-551.554515721918 94.2622680465427 -692.029726007063</t>
  </si>
  <si>
    <t>-528.219523085174 73.4934062164912 -841.107217864943</t>
  </si>
  <si>
    <t>-479.464680176282 58.1906606894329 -929.265055371424</t>
  </si>
  <si>
    <t>-530.325440983771 113.251976738418 -778.117286636906</t>
  </si>
  <si>
    <t>-502.944576648599 257.120020186414 -765.207252354643</t>
  </si>
  <si>
    <t>-422.533332858103 291.495546187519 -461.005622522223</t>
  </si>
  <si>
    <t>-229.656160454106 195.538834114598 -315.29106423973</t>
  </si>
  <si>
    <t>-546.763607447086 52.1140412611277 -772.172843220659</t>
  </si>
  <si>
    <t>-479.232290863164 226.247616429855 -252.055187360095</t>
  </si>
  <si>
    <t>-468.376688645125 209.218074057945 203.191685727876</t>
  </si>
  <si>
    <t>-493.022610221316 164.539883663666 670.356876202852</t>
  </si>
  <si>
    <t>-341.016621888486 153.380693768698 758.181429620674</t>
  </si>
  <si>
    <t>-527.180572010441 38.3483776247938 -228.764271431847</t>
  </si>
  <si>
    <t>-433.98309332695 -12.8476631600381 214.350648267326</t>
  </si>
  <si>
    <t>-591.568952178766 -96.4938616016465 648.3965124805</t>
  </si>
  <si>
    <t>-443.876909181792 -146.871307733277 729.591832286293</t>
  </si>
  <si>
    <t>9763-20170724T164339.821971800.bin</t>
  </si>
  <si>
    <t>-502.991756850402 132.428908500534 -240.475316381588</t>
  </si>
  <si>
    <t>-543.35986754968 128.648565691261 -354.597752529595</t>
  </si>
  <si>
    <t>-557.699415717618 118.929154334457 -474.558033659739</t>
  </si>
  <si>
    <t>-559.750148476306 107.8433894876 -583.497264538459</t>
  </si>
  <si>
    <t>-550.966499195876 94.5899139009115 -691.858016400453</t>
  </si>
  <si>
    <t>-527.523836134033 74.0156094068217 -840.94573063984</t>
  </si>
  <si>
    <t>-478.67117997669 58.8126516324629 -929.066414254881</t>
  </si>
  <si>
    <t>-529.719482199695 113.703031815671 -777.913906313706</t>
  </si>
  <si>
    <t>-502.465145428547 257.626112888103 -764.840737116386</t>
  </si>
  <si>
    <t>-423.61311242152 293.0640386564 -460.353124414956</t>
  </si>
  <si>
    <t>-230.805007189995 197.691354824957 -314.16449570296</t>
  </si>
  <si>
    <t>-546.073546636215 52.5353028396634 -772.044127732936</t>
  </si>
  <si>
    <t>-478.91026634474 226.442064912283 -251.935565524884</t>
  </si>
  <si>
    <t>-468.264834575317 209.452964850897 203.317847425175</t>
  </si>
  <si>
    <t>-493.10718772131 164.77676237228 670.470082737854</t>
  </si>
  <si>
    <t>-341.101892056988 153.086702657487 758.227007224894</t>
  </si>
  <si>
    <t>-526.79824812709 38.4972888425078 -228.536781528191</t>
  </si>
  <si>
    <t>-433.723318182405 -12.5931386363093 214.61606878748</t>
  </si>
  <si>
    <t>-591.548360591251 -96.3773067776805 648.583687660764</t>
  </si>
  <si>
    <t>-443.813814134135 -146.585001932335 729.806806295942</t>
  </si>
  <si>
    <t>9763-20170724T164339.889078700.bin</t>
  </si>
  <si>
    <t>-502.694442804309 132.625942478888 -240.207421560052</t>
  </si>
  <si>
    <t>-543.116257457699 128.905497044753 -354.312826748249</t>
  </si>
  <si>
    <t>-557.444255407559 119.252272062423 -474.27989229225</t>
  </si>
  <si>
    <t>-559.456539009801 108.230444726514 -583.226181694887</t>
  </si>
  <si>
    <t>-550.606363609319 95.045852719487 -691.589962295264</t>
  </si>
  <si>
    <t>-527.042890341389 74.5734412396953 -840.672655984675</t>
  </si>
  <si>
    <t>-478.076802006647 59.522841225192 -928.756670829462</t>
  </si>
  <si>
    <t>-529.319036315844 114.22501480244 -777.621137910975</t>
  </si>
  <si>
    <t>-501.999249948679 258.12447592664 -764.460609004843</t>
  </si>
  <si>
    <t>-427.943745053082 293.322463654232 -458.743280187439</t>
  </si>
  <si>
    <t>-236.255557435733 196.47437138512 -312.052599834232</t>
  </si>
  <si>
    <t>-545.618871770219 53.0386614261116 -771.795196424698</t>
  </si>
  <si>
    <t>-478.728669789689 226.762794056119 -251.591627687693</t>
  </si>
  <si>
    <t>-467.888826778851 209.609684337273 203.651115204559</t>
  </si>
  <si>
    <t>-493.383226923104 164.958869904073 670.847408213629</t>
  </si>
  <si>
    <t>-341.181473880497 153.254759631298 758.260993815422</t>
  </si>
  <si>
    <t>-526.624752113799 38.5116715175824 -228.253625675037</t>
  </si>
  <si>
    <t>-433.493524647203 -12.3763027211359 214.910825581053</t>
  </si>
  <si>
    <t>-591.489624517683 -96.8031134399534 648.819470384126</t>
  </si>
  <si>
    <t>-443.587185556523 -146.313290439187 730.165185515327</t>
  </si>
  <si>
    <t>9763-20170724T164339.921164000.bin</t>
  </si>
  <si>
    <t>-502.670284162038 132.791784146207 -240.008943744792</t>
  </si>
  <si>
    <t>-543.133504875699 129.087636528631 -354.100165493692</t>
  </si>
  <si>
    <t>-557.422899795099 119.412821203818 -474.070129935064</t>
  </si>
  <si>
    <t>-559.367019561609 108.355520433039 -583.014269731491</t>
  </si>
  <si>
    <t>-550.416314870837 95.1196265566254 -691.363449682685</t>
  </si>
  <si>
    <t>-526.680668432155 74.5595473706019 -840.406767237027</t>
  </si>
  <si>
    <t>-477.689948414368 59.5102312315941 -928.477134558187</t>
  </si>
  <si>
    <t>-529.018695363861 114.245480790145 -777.379095007959</t>
  </si>
  <si>
    <t>-501.582390438444 258.124720897633 -764.14028253292</t>
  </si>
  <si>
    <t>-429.47519823314 293.142798843479 -457.937021804854</t>
  </si>
  <si>
    <t>-238.358930179255 195.308850549853 -311.154395229915</t>
  </si>
  <si>
    <t>-545.347233239755 53.0680123357925 -771.540271553748</t>
  </si>
  <si>
    <t>-478.706805291078 226.980733120922 -251.358725713941</t>
  </si>
  <si>
    <t>-467.73093138771 209.721141626159 203.876731768164</t>
  </si>
  <si>
    <t>-493.517445209544 164.915693227643 671.049726383216</t>
  </si>
  <si>
    <t>-341.229540354631 152.936457299668 758.27594199142</t>
  </si>
  <si>
    <t>-526.525033669637 38.5740093404049 -228.046342124742</t>
  </si>
  <si>
    <t>-433.415254380171 -12.1187726574777 215.144883162661</t>
  </si>
  <si>
    <t>-591.487706937383 -96.9936766874769 648.969221937848</t>
  </si>
  <si>
    <t>-443.537356462386 -146.306117399061 730.347965166087</t>
  </si>
  <si>
    <t>9763-20170724T164339.987343500.bin</t>
  </si>
  <si>
    <t>-502.630855708108 133.314208050562 -239.654515526762</t>
  </si>
  <si>
    <t>-543.213807786788 129.614318754732 -353.703353726723</t>
  </si>
  <si>
    <t>-557.687101893257 119.868605378679 -473.645490330293</t>
  </si>
  <si>
    <t>-559.822923509469 108.710672332859 -582.575709867938</t>
  </si>
  <si>
    <t>-551.088193264725 95.3350517265517 -690.92529494677</t>
  </si>
  <si>
    <t>-527.676767015378 74.537014060198 -839.986906888776</t>
  </si>
  <si>
    <t>-478.806254205249 59.3232835676881 -928.09597772013</t>
  </si>
  <si>
    <t>-529.759913041729 114.294026112735 -776.995167516381</t>
  </si>
  <si>
    <t>-501.822857313019 258.07933227161 -763.908157916266</t>
  </si>
  <si>
    <t>-432.51360686495 293.054429252539 -457.054555157087</t>
  </si>
  <si>
    <t>-242.592842604488 194.135889293983 -309.449453147293</t>
  </si>
  <si>
    <t>-546.311359476935 53.1849327281272 -771.068485075607</t>
  </si>
  <si>
    <t>-478.525533178894 227.304391383461 -251.108438813909</t>
  </si>
  <si>
    <t>-467.605355207151 209.904482339665 204.122921243189</t>
  </si>
  <si>
    <t>-493.514963998451 164.67314346804 671.183240169353</t>
  </si>
  <si>
    <t>-341.10828781809 153.104355097254 758.257163700718</t>
  </si>
  <si>
    <t>-526.581945858207 39.2217192510741 -227.577427740665</t>
  </si>
  <si>
    <t>-433.189212471671 -11.5795741785789 215.541864509081</t>
  </si>
  <si>
    <t>-591.470743962661 -96.6832139762138 649.224014529112</t>
  </si>
  <si>
    <t>-443.732807149606 -146.566377647247 730.640817078966</t>
  </si>
  <si>
    <t>9763-20170724T164340.021433900.bin</t>
  </si>
  <si>
    <t>-502.673732162111 133.53757447039 -239.550950764396</t>
  </si>
  <si>
    <t>-543.368092690212 129.879501500125 -353.561484369681</t>
  </si>
  <si>
    <t>-558.034586884333 120.114187124063 -473.478553130499</t>
  </si>
  <si>
    <t>-560.377452015209 108.90752891905 -582.399493297861</t>
  </si>
  <si>
    <t>-551.881272392789 95.4488710175807 -690.757775963952</t>
  </si>
  <si>
    <t>-528.83230616839 74.4967817633663 -839.854278002002</t>
  </si>
  <si>
    <t>-480.05841852579 59.1515747383927 -927.994028131797</t>
  </si>
  <si>
    <t>-530.676139324185 114.29701492863 -776.882463516802</t>
  </si>
  <si>
    <t>-502.388199449839 257.995722588894 -763.869012639473</t>
  </si>
  <si>
    <t>-433.667253115833 293.892829721399 -456.989504074054</t>
  </si>
  <si>
    <t>-244.363774770393 194.278640007737 -309.059701945088</t>
  </si>
  <si>
    <t>-547.385398647981 53.2377659710269 -770.885139145693</t>
  </si>
  <si>
    <t>-478.511827870356 227.603563919484 -251.037536506598</t>
  </si>
  <si>
    <t>-467.556867434031 210.116454189069 204.189666408016</t>
  </si>
  <si>
    <t>-493.573911973385 164.885392936784 671.246424667619</t>
  </si>
  <si>
    <t>-341.154036482439 153.108520837675 758.269378156057</t>
  </si>
  <si>
    <t>-526.695008423557 39.4778965326076 -227.416619059817</t>
  </si>
  <si>
    <t>-433.135115937356 -11.5097823045992 215.645973160092</t>
  </si>
  <si>
    <t>-591.477471112921 -96.724391532533 649.320800493694</t>
  </si>
  <si>
    <t>-443.698085797096 -146.466944893661 730.74820858417</t>
  </si>
  <si>
    <t>9763-20170724T164340.085607000.bin</t>
  </si>
  <si>
    <t>-502.75109774628 133.805404925291 -239.337303288485</t>
  </si>
  <si>
    <t>-543.552247080393 130.247154114724 -353.312942488644</t>
  </si>
  <si>
    <t>-558.549454183901 120.421105212738 -473.183983744085</t>
  </si>
  <si>
    <t>-561.283107012548 109.084387201636 -582.08235125949</t>
  </si>
  <si>
    <t>-553.266937996188 95.4151300570256 -690.450975799174</t>
  </si>
  <si>
    <t>-530.974683553191 74.081290610839 -839.608362384495</t>
  </si>
  <si>
    <t>-482.435859208024 58.4478762958454 -927.827186899038</t>
  </si>
  <si>
    <t>-532.332294938638 113.999694853491 -776.698941553019</t>
  </si>
  <si>
    <t>-503.205028486337 257.603963793711 -764.139536519529</t>
  </si>
  <si>
    <t>-436.30317107813 294.482634271401 -456.974598113425</t>
  </si>
  <si>
    <t>-248.044755894345 194.103505724804 -308.230493502579</t>
  </si>
  <si>
    <t>-549.344329294029 53.0420114798894 -770.52270765167</t>
  </si>
  <si>
    <t>-478.325244402545 227.825853969196 -250.876229902523</t>
  </si>
  <si>
    <t>-467.397412405232 210.262102442377 204.348721424217</t>
  </si>
  <si>
    <t>-493.655674849591 164.998601758013 671.409080020052</t>
  </si>
  <si>
    <t>-341.107333178547 153.547064853482 758.250175346119</t>
  </si>
  <si>
    <t>-527.023289527465 39.7008208247853 -227.169404570439</t>
  </si>
  <si>
    <t>-433.267141822431 -11.3730898304488 215.841761911916</t>
  </si>
  <si>
    <t>-591.526007087563 -96.7996325825397 649.537172839828</t>
  </si>
  <si>
    <t>-443.668268775538 -146.286229428691 730.978301223994</t>
  </si>
  <si>
    <t>9763-20170724T164340.123712200.bin</t>
  </si>
  <si>
    <t>-502.80292825909 133.926166126399 -239.242283677151</t>
  </si>
  <si>
    <t>-543.665377087743 130.451427291474 -353.198392828331</t>
  </si>
  <si>
    <t>-558.841055120545 120.627141351239 -473.04723517314</t>
  </si>
  <si>
    <t>-561.78333725091 109.255607223786 -581.936485276193</t>
  </si>
  <si>
    <t>-554.021558601529 95.5135213066142 -690.314358403869</t>
  </si>
  <si>
    <t>-532.128573048439 74.0372336433837 -839.510519402502</t>
  </si>
  <si>
    <t>-483.764666035109 58.2636326927101 -927.800326990653</t>
  </si>
  <si>
    <t>-533.2394071994 113.995232988905 -776.621317943856</t>
  </si>
  <si>
    <t>-503.854766015166 257.548694691478 -764.305353360221</t>
  </si>
  <si>
    <t>-437.947385638123 294.452154045852 -456.92849702682</t>
  </si>
  <si>
    <t>-249.992374375984 194.152832671294 -307.74724967572</t>
  </si>
  <si>
    <t>-550.391729313444 53.084466356654 -770.370340128342</t>
  </si>
  <si>
    <t>-478.268166544344 228.030698483938 -250.762143522349</t>
  </si>
  <si>
    <t>-467.347325899508 210.354057873226 204.458721463934</t>
  </si>
  <si>
    <t>-493.747416259862 165.08207705318 671.525029438695</t>
  </si>
  <si>
    <t>-341.17867077898 152.984556949069 758.242586246048</t>
  </si>
  <si>
    <t>-527.211817408572 39.7953806428643 -227.083080704558</t>
  </si>
  <si>
    <t>-433.411385494253 -11.285773195127 215.917857065817</t>
  </si>
  <si>
    <t>-591.547420812086 -96.7046135647844 649.668122204107</t>
  </si>
  <si>
    <t>-443.801687269965 -146.507583462972 731.119780409916</t>
  </si>
  <si>
    <t>9763-20170724T164340.188798600.bin</t>
  </si>
  <si>
    <t>-502.870368376538 134.156489508646 -239.013466742768</t>
  </si>
  <si>
    <t>-543.772514294388 130.878543645642 -352.961080266851</t>
  </si>
  <si>
    <t>-559.263668486801 121.143049027267 -472.776874815334</t>
  </si>
  <si>
    <t>-562.604561421784 109.799033927904 -581.657511153169</t>
  </si>
  <si>
    <t>-555.352211018318 96.0267507875384 -690.066818508523</t>
  </si>
  <si>
    <t>-534.278600455738 74.4440145796098 -839.365660420613</t>
  </si>
  <si>
    <t>-486.293014929808 58.4514514581084 -927.822374167986</t>
  </si>
  <si>
    <t>-534.873561295716 114.401545508264 -776.469181919019</t>
  </si>
  <si>
    <t>-505.016311551747 257.87366050078 -764.416017712101</t>
  </si>
  <si>
    <t>-440.253369885253 295.611790470633 -456.897366845866</t>
  </si>
  <si>
    <t>-252.885934140884 195.216761699779 -307.042881412205</t>
  </si>
  <si>
    <t>-552.332433559228 53.5858552972441 -770.141880782337</t>
  </si>
  <si>
    <t>-477.969306692982 228.290842517984 -250.53420825467</t>
  </si>
  <si>
    <t>-467.06196643577 210.455644428957 204.680674898519</t>
  </si>
  <si>
    <t>-493.816981875525 165.098450772623 671.667530666273</t>
  </si>
  <si>
    <t>-341.129981915171 153.296486825294 758.217518215959</t>
  </si>
  <si>
    <t>-527.599015497146 40.0830148779293 -226.876806635054</t>
  </si>
  <si>
    <t>-433.711671124151 -11.4690878385172 216.051157357242</t>
  </si>
  <si>
    <t>-591.62100110948 -96.7717337021007 649.921947940395</t>
  </si>
  <si>
    <t>-443.910286571096 -146.67782860529 731.374040778245</t>
  </si>
  <si>
    <t>9763-20170724T164340.221886800.bin</t>
  </si>
  <si>
    <t>-502.777183386401 134.351583620466 -238.920197354175</t>
  </si>
  <si>
    <t>-543.716522635442 131.152486031491 -352.856706720141</t>
  </si>
  <si>
    <t>-559.365196618004 121.465358406941 -472.655959765881</t>
  </si>
  <si>
    <t>-562.897797636424 110.148699277483 -581.533375334376</t>
  </si>
  <si>
    <t>-555.885347690507 96.3851804196467 -689.959561066221</t>
  </si>
  <si>
    <t>-535.193070559008 74.7929757860789 -839.310214017995</t>
  </si>
  <si>
    <t>-487.381527491952 58.7052866067378 -927.843928683675</t>
  </si>
  <si>
    <t>-535.552881930921 114.734429047859 -776.401766382552</t>
  </si>
  <si>
    <t>-505.364901999033 258.168202424179 -764.52428945038</t>
  </si>
  <si>
    <t>-441.440097496589 296.052596670069 -456.848089157523</t>
  </si>
  <si>
    <t>-254.451546687212 195.443118094318 -306.664789208664</t>
  </si>
  <si>
    <t>-553.144613466056 53.9593091317033 -770.052608231353</t>
  </si>
  <si>
    <t>-477.739905240821 228.39578758327 -250.424804152445</t>
  </si>
  <si>
    <t>-466.852959766921 210.488659705493 204.787660363487</t>
  </si>
  <si>
    <t>-493.829347814817 165.001184593532 671.748815730497</t>
  </si>
  <si>
    <t>-341.066248143005 153.52199622567 758.208039209292</t>
  </si>
  <si>
    <t>-527.656364729105 40.3645332946498 -226.777882301835</t>
  </si>
  <si>
    <t>-433.78880795531 -11.4090942387024 216.128445904619</t>
  </si>
  <si>
    <t>-591.64962158123 -96.6190606246641 650.04409006842</t>
  </si>
  <si>
    <t>-444.111782740257 -147.010879113103 731.510312670729</t>
  </si>
  <si>
    <t>9763-20170724T164340.286694200.bin</t>
  </si>
  <si>
    <t>-502.649448547775 134.718391951823 -238.706175099226</t>
  </si>
  <si>
    <t>-543.62072378787 131.719423218575 -352.636618546084</t>
  </si>
  <si>
    <t>-559.516718520449 122.169024368852 -472.41419516758</t>
  </si>
  <si>
    <t>-563.361429076935 110.944315357487 -581.290769154676</t>
  </si>
  <si>
    <t>-556.747173208251 97.2383479860931 -689.749164261485</t>
  </si>
  <si>
    <t>-536.694585533768 75.6869190290224 -839.192944048349</t>
  </si>
  <si>
    <t>-489.187456000486 59.4395252169675 -927.861306203352</t>
  </si>
  <si>
    <t>-536.656463815847 115.576114236338 -776.250330063046</t>
  </si>
  <si>
    <t>-505.879375990465 258.872188138069 -764.445057994308</t>
  </si>
  <si>
    <t>-443.410378351351 296.896387709309 -456.487424238578</t>
  </si>
  <si>
    <t>-256.964648352514 195.527933596149 -306.139437931586</t>
  </si>
  <si>
    <t>-554.477952401732 54.8694093238233 -769.887116379212</t>
  </si>
  <si>
    <t>-477.358834264729 228.928322764851 -250.181832801096</t>
  </si>
  <si>
    <t>-466.425578608538 210.73777102813 205.018338437052</t>
  </si>
  <si>
    <t>-494.000279034384 165.272221704066 671.94451699957</t>
  </si>
  <si>
    <t>-341.187603992118 153.062915897707 758.21577416134</t>
  </si>
  <si>
    <t>-527.815319177282 40.5612663731149 -226.613285793774</t>
  </si>
  <si>
    <t>-434.079995529822 -11.657935355789 216.268709357109</t>
  </si>
  <si>
    <t>-591.742852559655 -97.0646384795285 650.281465578307</t>
  </si>
  <si>
    <t>-443.773573116773 -146.223084481137 731.718886963171</t>
  </si>
  <si>
    <t>9763-20170724T164340.323792400.bin</t>
  </si>
  <si>
    <t>-502.519753724865 135.003109564456 -238.60225743819</t>
  </si>
  <si>
    <t>-543.525097103698 132.08511796739 -352.522674257814</t>
  </si>
  <si>
    <t>-559.540209470298 122.619517102875 -472.291194393782</t>
  </si>
  <si>
    <t>-563.527342806435 111.469436705273 -581.170111777223</t>
  </si>
  <si>
    <t>-557.089444906259 97.8336732454194 -689.648005839028</t>
  </si>
  <si>
    <t>-537.316032668666 76.3733629850682 -839.142046640789</t>
  </si>
  <si>
    <t>-489.930225425222 60.0792519290706 -927.866730508575</t>
  </si>
  <si>
    <t>-537.103759397178 116.208566525598 -776.16559064047</t>
  </si>
  <si>
    <t>-506.114633713964 259.459989934727 -764.266937857285</t>
  </si>
  <si>
    <t>-444.220511301082 297.795416072269 -456.231691705719</t>
  </si>
  <si>
    <t>-257.797142390877 196.380688405436 -305.887292559495</t>
  </si>
  <si>
    <t>-555.026561459318 55.5292582110158 -769.825530210925</t>
  </si>
  <si>
    <t>-477.059204113824 229.038307245221 -250.047759288458</t>
  </si>
  <si>
    <t>-466.053850751865 210.735611808192 205.146215841437</t>
  </si>
  <si>
    <t>-493.965852417541 164.936208284513 672.029353911658</t>
  </si>
  <si>
    <t>-341.040908738691 153.458074056155 758.20203821399</t>
  </si>
  <si>
    <t>-527.828340888518 41.0188447111586 -226.531082508216</t>
  </si>
  <si>
    <t>-434.148500313437 -11.3386376099876 216.346452600324</t>
  </si>
  <si>
    <t>-591.727393741841 -96.433552953914 650.374703357161</t>
  </si>
  <si>
    <t>-444.2194317613 -146.87400272662 731.865054282532</t>
  </si>
  <si>
    <t>9763-20170724T164340.387663300.bin</t>
  </si>
  <si>
    <t>-502.090699123189 135.274953658438 -238.418927089274</t>
  </si>
  <si>
    <t>-543.090380150302 132.463499582555 -352.344158570544</t>
  </si>
  <si>
    <t>-559.211059699287 123.100958636501 -472.106496419969</t>
  </si>
  <si>
    <t>-563.339539158354 112.039849979035 -580.989244598595</t>
  </si>
  <si>
    <t>-557.087986067159 98.4872779340304 -689.488560602589</t>
  </si>
  <si>
    <t>-537.618666056395 77.1351456204893 -839.038028552092</t>
  </si>
  <si>
    <t>-490.342599395496 60.8226106969225 -927.817808087932</t>
  </si>
  <si>
    <t>-537.204973026642 116.904343940306 -776.020814846202</t>
  </si>
  <si>
    <t>-505.930380897607 260.091972015886 -764.021349627224</t>
  </si>
  <si>
    <t>-446.206161238415 298.234908267549 -455.534151869566</t>
  </si>
  <si>
    <t>-259.693000473464 196.183518696617 -305.732905681385</t>
  </si>
  <si>
    <t>-555.261439620227 56.2613228030826 -769.713135319748</t>
  </si>
  <si>
    <t>-476.395186438382 229.307874166632 -249.864214131486</t>
  </si>
  <si>
    <t>-465.490846868835 210.845104493844 205.32577449754</t>
  </si>
  <si>
    <t>-493.998128876565 165.036851916587 672.101035676834</t>
  </si>
  <si>
    <t>-341.046221510522 153.39424266951 758.203700029904</t>
  </si>
  <si>
    <t>-527.59753218689 41.2807454451036 -226.364651905171</t>
  </si>
  <si>
    <t>-434.093451738306 -11.3466180162296 216.517976769371</t>
  </si>
  <si>
    <t>-591.766660344894 -96.5268649208825 650.539556147131</t>
  </si>
  <si>
    <t>-444.125562540409 -146.52249368099 732.062764380919</t>
  </si>
  <si>
    <t>9763-20170724T164340.422756800.bin</t>
  </si>
  <si>
    <t>-501.898421641628 135.593296609235 -238.363957205883</t>
  </si>
  <si>
    <t>-542.931313761815 132.813448606648 -352.277864569499</t>
  </si>
  <si>
    <t>-559.095773752206 123.490372934344 -472.037436795329</t>
  </si>
  <si>
    <t>-563.26756430634 112.467454842063 -580.922414059552</t>
  </si>
  <si>
    <t>-557.062601023433 98.955887465361 -689.429533614554</t>
  </si>
  <si>
    <t>-537.660957321867 77.6629116986709 -838.996041558259</t>
  </si>
  <si>
    <t>-490.403671922103 61.3665015062618 -927.78887621687</t>
  </si>
  <si>
    <t>-537.203208086299 117.402712538547 -775.960833729576</t>
  </si>
  <si>
    <t>-505.864784890292 260.556838780167 -763.857949638235</t>
  </si>
  <si>
    <t>-447.106960330818 299.151365538816 -455.241343809412</t>
  </si>
  <si>
    <t>-260.467472217324 197.064496034309 -305.621785798165</t>
  </si>
  <si>
    <t>-555.287995849274 56.7659863225963 -769.674188691636</t>
  </si>
  <si>
    <t>-476.162263517493 229.699251099344 -249.813119417472</t>
  </si>
  <si>
    <t>-465.275458911446 211.135524020359 205.3732265559</t>
  </si>
  <si>
    <t>-494.00524368287 165.131833265414 672.121004008083</t>
  </si>
  <si>
    <t>-341.135758734951 152.547781506127 758.237643248377</t>
  </si>
  <si>
    <t>-527.472441467653 41.5637385978739 -226.273665742058</t>
  </si>
  <si>
    <t>-434.016209638978 -11.1731598298259 216.605978002486</t>
  </si>
  <si>
    <t>-591.779087956367 -96.4574318509698 650.597660154865</t>
  </si>
  <si>
    <t>-444.236374838157 -146.698114835359 732.148531681946</t>
  </si>
  <si>
    <t>9763-20170724T164340.486642200.bin</t>
  </si>
  <si>
    <t>-501.345827510132 135.8233529929 -238.262913623381</t>
  </si>
  <si>
    <t>-542.332895769434 133.065653516376 -352.193746800881</t>
  </si>
  <si>
    <t>-558.51834114179 123.809744669803 -471.955813790911</t>
  </si>
  <si>
    <t>-562.737179102388 112.866076315753 -580.846946458718</t>
  </si>
  <si>
    <t>-556.60663548766 99.4518650400405 -689.370336739725</t>
  </si>
  <si>
    <t>-537.336029419109 78.3130014369051 -838.975859179472</t>
  </si>
  <si>
    <t>-490.089335550032 62.0990758863258 -927.789397636619</t>
  </si>
  <si>
    <t>-536.817503143115 117.986342152531 -775.899122294291</t>
  </si>
  <si>
    <t>-505.572420473534 261.154146465162 -763.633619790775</t>
  </si>
  <si>
    <t>-448.925135939361 299.81174867307 -454.630556332723</t>
  </si>
  <si>
    <t>-262.168363600293 197.176146618918 -305.533677516938</t>
  </si>
  <si>
    <t>-554.907749550882 57.3461737219012 -769.660952768135</t>
  </si>
  <si>
    <t>-475.482794172372 229.919520670027 -249.722501490796</t>
  </si>
  <si>
    <t>-464.737052684299 211.271190666236 205.463630233189</t>
  </si>
  <si>
    <t>-494.02620909985 165.337279341173 672.155162446908</t>
  </si>
  <si>
    <t>-341.139503940903 152.802565994249 758.248346536761</t>
  </si>
  <si>
    <t>-527.045009890356 41.7777134656717 -226.16748954095</t>
  </si>
  <si>
    <t>-433.780934535621 -11.0190011864728 216.745559282358</t>
  </si>
  <si>
    <t>-591.797564014546 -96.5119710517373 650.668700076427</t>
  </si>
  <si>
    <t>-444.182310349034 -146.489625434356 732.249885536686</t>
  </si>
  <si>
    <t>9763-20170724T164340.517722900.bin</t>
  </si>
  <si>
    <t>-501.143713846085 136.010838582089 -238.198067507069</t>
  </si>
  <si>
    <t>-542.099266523775 133.248064196702 -352.140141244729</t>
  </si>
  <si>
    <t>-558.269305092614 124.020116455033 -471.906361526728</t>
  </si>
  <si>
    <t>-562.481426114805 113.114621180566 -580.80159313791</t>
  </si>
  <si>
    <t>-556.351549309176 99.7507740498535 -689.331321227516</t>
  </si>
  <si>
    <t>-537.089424399993 78.6942759462816 -838.949432161228</t>
  </si>
  <si>
    <t>-489.820365078085 62.5355383837723 -927.76106740502</t>
  </si>
  <si>
    <t>-536.570966652781 118.333901615118 -775.851465569269</t>
  </si>
  <si>
    <t>-505.381617409868 261.503826261268 -763.473615596033</t>
  </si>
  <si>
    <t>-449.663893041844 300.468310319192 -454.340242505883</t>
  </si>
  <si>
    <t>-262.907428076947 197.684273494878 -305.34517166965</t>
  </si>
  <si>
    <t>-554.653708438636 57.6883299069146 -769.644582562806</t>
  </si>
  <si>
    <t>-475.285372973025 230.102711856243 -249.658608383876</t>
  </si>
  <si>
    <t>-464.483188312166 211.345671036696 205.521790435753</t>
  </si>
  <si>
    <t>-493.978903457362 165.13000010277 672.190313806353</t>
  </si>
  <si>
    <t>-341.063538628507 152.828191691897 758.266253517251</t>
  </si>
  <si>
    <t>-526.838300582006 41.9661577240242 -226.118466599413</t>
  </si>
  <si>
    <t>-433.647436097175 -10.8208690991991 216.811137996877</t>
  </si>
  <si>
    <t>-591.798726938788 -96.415715837248 650.689406785566</t>
  </si>
  <si>
    <t>-444.28882461204 -146.651662967552 732.302457042261</t>
  </si>
  <si>
    <t>9763-20170724T164340.587931100.bin</t>
  </si>
  <si>
    <t>-500.704759273541 136.049272278373 -238.117209897709</t>
  </si>
  <si>
    <t>-541.684925072565 133.323919307133 -352.05139535585</t>
  </si>
  <si>
    <t>-557.871788733916 124.173717826 -471.821369308328</t>
  </si>
  <si>
    <t>-562.095527298794 113.354849093204 -580.724785320185</t>
  </si>
  <si>
    <t>-555.973171070665 100.093721230752 -689.267387986945</t>
  </si>
  <si>
    <t>-536.717178415056 79.1966322906807 -838.908725159297</t>
  </si>
  <si>
    <t>-489.395531885166 63.1446554131678 -927.711852991463</t>
  </si>
  <si>
    <t>-536.212467510011 118.773598797927 -775.771483316761</t>
  </si>
  <si>
    <t>-505.181421426887 261.962150584006 -763.218602576274</t>
  </si>
  <si>
    <t>-451.286008972767 301.321266434077 -453.812238587196</t>
  </si>
  <si>
    <t>-264.597822022533 198.345341871748 -304.864223798317</t>
  </si>
  <si>
    <t>-554.262320832085 58.1123002086498 -769.622912912733</t>
  </si>
  <si>
    <t>-474.790190211917 229.965042869338 -249.536196319772</t>
  </si>
  <si>
    <t>-463.985332492771 211.106077813032 205.639938418884</t>
  </si>
  <si>
    <t>-493.829243156381 164.486569835308 672.253642844355</t>
  </si>
  <si>
    <t>-340.779609018986 153.511549804871 758.270428231496</t>
  </si>
  <si>
    <t>-526.446908341225 42.101125751677 -226.054981388486</t>
  </si>
  <si>
    <t>-433.36519851671 -10.6331350795096 216.903845791125</t>
  </si>
  <si>
    <t>-591.764678295538 -96.3833871477677 650.645809869691</t>
  </si>
  <si>
    <t>-444.372138083052 -146.780274606353 732.371603029361</t>
  </si>
  <si>
    <t>9763-20170724T164340.622019300.bin</t>
  </si>
  <si>
    <t>-500.536857862655 136.19938747454 -238.081290041114</t>
  </si>
  <si>
    <t>-541.504833155902 133.470567268505 -352.019726619976</t>
  </si>
  <si>
    <t>-557.686306104082 124.343300753437 -471.792159366675</t>
  </si>
  <si>
    <t>-561.907864069459 113.556526075927 -580.698756502794</t>
  </si>
  <si>
    <t>-555.786047217784 100.339554328265 -689.246938973458</t>
  </si>
  <si>
    <t>-536.533144488946 79.516392485325 -838.898892124241</t>
  </si>
  <si>
    <t>-489.184676101983 63.5331088939007 -927.699991249186</t>
  </si>
  <si>
    <t>-536.044479944529 119.067079890303 -775.744931044051</t>
  </si>
  <si>
    <t>-505.128456423745 262.27259771555 -763.095587627812</t>
  </si>
  <si>
    <t>-451.966442021462 301.977407181461 -453.606546935722</t>
  </si>
  <si>
    <t>-265.321975097463 198.843506709727 -304.713016688196</t>
  </si>
  <si>
    <t>-554.059397250132 58.3929381702065 -769.62011573859</t>
  </si>
  <si>
    <t>-474.658478466465 230.334358490868 -249.501919449348</t>
  </si>
  <si>
    <t>-463.841037846908 211.378753985767 205.669842464035</t>
  </si>
  <si>
    <t>-493.954666233311 165.041052175909 672.260601940692</t>
  </si>
  <si>
    <t>-341.013274138493 152.84384475424 758.305207985706</t>
  </si>
  <si>
    <t>-526.272503906032 42.0838459094043 -226.041471230676</t>
  </si>
  <si>
    <t>-433.281082038467 -10.5970737143622 216.942667439891</t>
  </si>
  <si>
    <t>-591.780763458648 -96.675336378924 650.658508477464</t>
  </si>
  <si>
    <t>-444.221236272033 -146.559833304183 732.397358672955</t>
  </si>
  <si>
    <t>9763-20170724T164340.689209000.bin</t>
  </si>
  <si>
    <t>-500.293453769088 136.537823332754 -238.050406497326</t>
  </si>
  <si>
    <t>-541.198544384082 133.797763238017 -352.011292466924</t>
  </si>
  <si>
    <t>-557.314111907821 124.700249254379 -471.794818393914</t>
  </si>
  <si>
    <t>-561.475528460272 113.957887469894 -580.708144490361</t>
  </si>
  <si>
    <t>-555.293574912026 100.802868997749 -689.260429427012</t>
  </si>
  <si>
    <t>-535.957286717489 80.0841867636965 -838.916136314149</t>
  </si>
  <si>
    <t>-488.499414169512 64.2234720835864 -927.680920520044</t>
  </si>
  <si>
    <t>-535.532103691902 119.598622494025 -775.739156520097</t>
  </si>
  <si>
    <t>-504.858337459359 262.843974561561 -762.955374251385</t>
  </si>
  <si>
    <t>-452.924283662166 302.801911999465 -453.290440644524</t>
  </si>
  <si>
    <t>-266.274786696221 199.712090275518 -304.372626356385</t>
  </si>
  <si>
    <t>-553.493839400446 58.9044417969401 -769.657251909848</t>
  </si>
  <si>
    <t>-474.426826676076 230.55474463383 -249.447094781125</t>
  </si>
  <si>
    <t>-463.71854657643 211.509903116391 205.723451255325</t>
  </si>
  <si>
    <t>-493.918141314217 164.961231434338 672.281686159751</t>
  </si>
  <si>
    <t>-340.88542906684 153.642835606491 758.283929345458</t>
  </si>
  <si>
    <t>-526.005275959585 42.5695267242787 -226.019840881356</t>
  </si>
  <si>
    <t>-433.222958928163 -10.1671055267497 217.001615980346</t>
  </si>
  <si>
    <t>-591.772070749489 -96.1979650725797 650.669215650945</t>
  </si>
  <si>
    <t>-444.423543986259 -146.637920939458 732.447772601024</t>
  </si>
  <si>
    <t>9763-20170724T164340.722296100.bin</t>
  </si>
  <si>
    <t>-500.252728689124 136.795970839763 -238.051594790687</t>
  </si>
  <si>
    <t>-541.147383887265 134.043496829849 -352.015902330429</t>
  </si>
  <si>
    <t>-557.248598280289 124.945965258704 -471.801395535936</t>
  </si>
  <si>
    <t>-561.395496784803 114.209363297056 -580.715980444737</t>
  </si>
  <si>
    <t>-555.197404502856 101.066037117257 -689.268626018756</t>
  </si>
  <si>
    <t>-535.837209442312 80.37031162835 -838.924506884246</t>
  </si>
  <si>
    <t>-488.34443262454 64.5652517737421 -927.680384359964</t>
  </si>
  <si>
    <t>-535.439874206962 119.880062062521 -775.744240380109</t>
  </si>
  <si>
    <t>-504.887692741248 263.152168190487 -762.872557764273</t>
  </si>
  <si>
    <t>-453.542050222318 303.292148069695 -453.132982891473</t>
  </si>
  <si>
    <t>-267.052033654794 200.497978621671 -303.811538583038</t>
  </si>
  <si>
    <t>-553.367150099338 59.175088020643 -769.66853018172</t>
  </si>
  <si>
    <t>-474.416598085929 230.634601966278 -249.433762498727</t>
  </si>
  <si>
    <t>-463.746205326864 211.553209795814 205.736311711881</t>
  </si>
  <si>
    <t>-493.799298615429 164.492430007367 672.298637926229</t>
  </si>
  <si>
    <t>-340.740427407904 153.422136453846 758.286644368394</t>
  </si>
  <si>
    <t>-525.985161122936 43.0419480393661 -226.01069488728</t>
  </si>
  <si>
    <t>-433.229125831123 -9.83485124326647 216.999462921656</t>
  </si>
  <si>
    <t>-591.744346505002 -95.6069233640524 650.661592041387</t>
  </si>
  <si>
    <t>-444.828604530053 -147.226599945712 732.482673702776</t>
  </si>
  <si>
    <t>9763-20170724T164340.786481600.bin</t>
  </si>
  <si>
    <t>-500.338214462844 136.937533051552 -238.069840910394</t>
  </si>
  <si>
    <t>-541.147147970844 134.197998833027 -352.065133699797</t>
  </si>
  <si>
    <t>-557.164147057232 125.103061318575 -471.862185604612</t>
  </si>
  <si>
    <t>-561.236551987284 114.365894406692 -580.779481893009</t>
  </si>
  <si>
    <t>-554.966196689239 101.219745013005 -689.327619268971</t>
  </si>
  <si>
    <t>-535.508136521971 80.5184229968168 -838.970044341489</t>
  </si>
  <si>
    <t>-487.940993473314 64.7976617488574 -927.701132613278</t>
  </si>
  <si>
    <t>-535.176227336104 120.037140322465 -775.795041460168</t>
  </si>
  <si>
    <t>-504.843769457863 263.347304215811 -762.86004035504</t>
  </si>
  <si>
    <t>-455.797640496592 304.472547736384 -452.87723006522</t>
  </si>
  <si>
    <t>-270.074121555493 201.633475798917 -302.634151083553</t>
  </si>
  <si>
    <t>-553.059243882162 59.3189993283564 -769.720678539841</t>
  </si>
  <si>
    <t>-474.47773873068 230.849098948552 -249.421834155049</t>
  </si>
  <si>
    <t>-463.875047096028 211.646241253821 205.744529536286</t>
  </si>
  <si>
    <t>-493.753159923132 164.415941051948 672.299053352881</t>
  </si>
  <si>
    <t>-340.701066108136 153.269695615812 758.289400856508</t>
  </si>
  <si>
    <t>-526.011323727165 42.9538167886078 -226.08961278044</t>
  </si>
  <si>
    <t>-433.526846844483 -9.97171730818516 216.971543459124</t>
  </si>
  <si>
    <t>-591.837787764884 -96.2482738160046 650.718099869005</t>
  </si>
  <si>
    <t>-444.514121073684 -146.735145094187 732.512549816326</t>
  </si>
  <si>
    <t>9763-20170724T164340.822568400.bin</t>
  </si>
  <si>
    <t>-500.404701450773 137.021501876288 -238.077936963892</t>
  </si>
  <si>
    <t>-541.224741959399 134.279388587829 -352.069052161031</t>
  </si>
  <si>
    <t>-557.229059490885 125.186118018042 -471.867931877349</t>
  </si>
  <si>
    <t>-561.280194905417 114.451813714849 -580.786285620245</t>
  </si>
  <si>
    <t>-554.978781309496 101.309722432555 -689.333163694383</t>
  </si>
  <si>
    <t>-535.467925303229 80.6149125877273 -838.969650785505</t>
  </si>
  <si>
    <t>-487.863496075387 64.9265164121496 -927.686459756324</t>
  </si>
  <si>
    <t>-535.174295851168 120.135408768763 -775.795553002056</t>
  </si>
  <si>
    <t>-505.011531745322 263.4724602376 -762.791866739491</t>
  </si>
  <si>
    <t>-457.363454286747 305.135238254314 -452.662753519245</t>
  </si>
  <si>
    <t>-271.949862118889 202.163271084582 -302.128249431405</t>
  </si>
  <si>
    <t>-553.027400349243 59.408057419439 -769.724698423228</t>
  </si>
  <si>
    <t>-474.602150333142 231.11801958124 -249.419042423697</t>
  </si>
  <si>
    <t>-463.964400310642 211.862037367946 205.744338598397</t>
  </si>
  <si>
    <t>-493.825340635165 164.805037046691 672.290664114602</t>
  </si>
  <si>
    <t>-340.877230417382 152.535730129746 758.312947284524</t>
  </si>
  <si>
    <t>-526.023323181849 42.8776253082538 -226.106638110747</t>
  </si>
  <si>
    <t>-433.655867924392 -10.0456166937649 216.979138724623</t>
  </si>
  <si>
    <t>-591.885061182821 -96.4885077145038 650.748907142248</t>
  </si>
  <si>
    <t>-444.33410638539 -146.342762995307 732.521575155444</t>
  </si>
  <si>
    <t>9763-20170724T164340.889769800.bin</t>
  </si>
  <si>
    <t>-500.613383775871 137.124070917153 -238.06392434531</t>
  </si>
  <si>
    <t>-541.470768233701 134.340604837 -352.040812476442</t>
  </si>
  <si>
    <t>-557.459990487284 125.262463623198 -471.842788260999</t>
  </si>
  <si>
    <t>-561.475187469411 114.566773837685 -580.766272795171</t>
  </si>
  <si>
    <t>-555.115508444963 101.488749940996 -689.317483920961</t>
  </si>
  <si>
    <t>-535.500589189487 80.910736045925 -838.956548689631</t>
  </si>
  <si>
    <t>-487.797986798561 65.2990496451803 -927.634064605901</t>
  </si>
  <si>
    <t>-535.310300053748 120.398276357083 -775.761418776306</t>
  </si>
  <si>
    <t>-505.61656081087 263.806370426394 -762.576789371872</t>
  </si>
  <si>
    <t>-459.375345823346 306.002178946224 -452.306820087351</t>
  </si>
  <si>
    <t>-273.384080925846 202.739379375536 -302.686854046547</t>
  </si>
  <si>
    <t>-553.04886137339 59.6334130001921 -769.730305216842</t>
  </si>
  <si>
    <t>-474.886745049751 231.09636268614 -249.399772242922</t>
  </si>
  <si>
    <t>-464.193300375362 211.811432767021 205.761086445191</t>
  </si>
  <si>
    <t>-493.685949987851 164.39878902931 672.286478556406</t>
  </si>
  <si>
    <t>-340.643839591105 153.244913963533 758.293603619317</t>
  </si>
  <si>
    <t>-526.177796870221 43.1328366323526 -226.051145174387</t>
  </si>
  <si>
    <t>-433.648391087624 -9.8809573595641 216.990008231527</t>
  </si>
  <si>
    <t>-591.928309236907 -96.4155415251825 650.740725840754</t>
  </si>
  <si>
    <t>-444.521790120047 -146.695542661945 732.513389728047</t>
  </si>
  <si>
    <t>9763-20170724T164340.924855900.bin</t>
  </si>
  <si>
    <t>-500.738075991043 137.225501519464 -238.053490753911</t>
  </si>
  <si>
    <t>-541.600185886088 134.388254396153 -352.02731249758</t>
  </si>
  <si>
    <t>-557.583432106002 125.312575534543 -471.830168116809</t>
  </si>
  <si>
    <t>-561.588780150104 114.641980004347 -580.75656430196</t>
  </si>
  <si>
    <t>-555.215020631888 101.61211526163 -689.312741997582</t>
  </si>
  <si>
    <t>-535.576069296355 81.1246063995732 -838.960964992153</t>
  </si>
  <si>
    <t>-487.821064531607 65.5662805677453 -927.619744198994</t>
  </si>
  <si>
    <t>-535.426514302778 120.582320875179 -775.747189156044</t>
  </si>
  <si>
    <t>-505.930313745693 264.025891101035 -762.484925152449</t>
  </si>
  <si>
    <t>-459.480917388334 306.071706005945 -452.225655073135</t>
  </si>
  <si>
    <t>-273.122737520942 202.746961895036 -303.106088927101</t>
  </si>
  <si>
    <t>-553.104858179238 59.7970337973385 -769.745416278284</t>
  </si>
  <si>
    <t>-475.072968422559 231.187996137058 -249.409919488175</t>
  </si>
  <si>
    <t>-464.387606282358 211.895466171374 205.750857342401</t>
  </si>
  <si>
    <t>-493.656114671148 164.387062278695 672.27283220008</t>
  </si>
  <si>
    <t>-340.622999697037 153.232213104531 758.295718827722</t>
  </si>
  <si>
    <t>-526.224284316865 43.2327751306209 -226.046401264267</t>
  </si>
  <si>
    <t>-433.660267268709 -9.76798921867582 216.989131587102</t>
  </si>
  <si>
    <t>-591.943727501988 -96.3484271501168 650.733776760211</t>
  </si>
  <si>
    <t>-444.632151562434 -146.910920280341 732.503287067765</t>
  </si>
  <si>
    <t>9763-20170724T164340.989870800.bin</t>
  </si>
  <si>
    <t>-500.924325556783 137.135886150556 -238.091101682863</t>
  </si>
  <si>
    <t>-541.829398912758 134.231607985646 -352.047734967847</t>
  </si>
  <si>
    <t>-557.844462272323 125.173360579357 -471.847705096779</t>
  </si>
  <si>
    <t>-561.87336219606 114.553887950072 -580.778191778444</t>
  </si>
  <si>
    <t>-555.517340692504 101.610627041782 -689.345760528397</t>
  </si>
  <si>
    <t>-535.896697843608 81.2802187984831 -839.017949748766</t>
  </si>
  <si>
    <t>-488.066310623792 65.8907958315059 -927.665403485436</t>
  </si>
  <si>
    <t>-535.77853150763 120.682265986854 -775.769217965602</t>
  </si>
  <si>
    <t>-506.418777963904 264.148791485695 -762.37396761252</t>
  </si>
  <si>
    <t>-459.613575811666 305.755228585851 -452.108951037313</t>
  </si>
  <si>
    <t>-273.267700431011 202.323278875293 -303.048283664408</t>
  </si>
  <si>
    <t>-553.377880692763 59.8693266792206 -769.815959146604</t>
  </si>
  <si>
    <t>-475.310835085717 231.083244699578 -249.476024753883</t>
  </si>
  <si>
    <t>-464.587297599787 211.828222114083 205.68537375484</t>
  </si>
  <si>
    <t>-493.535769731584 164.191595676353 672.226687436274</t>
  </si>
  <si>
    <t>-340.486108663229 153.384452451101 758.264619321185</t>
  </si>
  <si>
    <t>-526.398315789725 43.1109433137064 -226.053901536897</t>
  </si>
  <si>
    <t>-433.749740134713 -9.83744976105734 216.970189440453</t>
  </si>
  <si>
    <t>-591.986322281578 -96.3698158587271 650.727433136198</t>
  </si>
  <si>
    <t>-444.38390906251 -146.145933978892 732.454892151713</t>
  </si>
  <si>
    <t>9763-20170724T164341.024963900.bin</t>
  </si>
  <si>
    <t>-500.990221762295 137.268616037458 -238.089290259397</t>
  </si>
  <si>
    <t>-541.844806699066 134.354279570543 -352.063875555416</t>
  </si>
  <si>
    <t>-557.827379124271 125.340212301859 -471.871557684896</t>
  </si>
  <si>
    <t>-561.834452392406 114.785569912959 -580.80903257723</t>
  </si>
  <si>
    <t>-555.464008440863 101.933238738897 -689.386533767048</t>
  </si>
  <si>
    <t>-535.830394593552 81.7578466961833 -839.07798879623</t>
  </si>
  <si>
    <t>-488.002781559152 66.4911410449804 -927.748256925293</t>
  </si>
  <si>
    <t>-535.742720896378 121.101224729577 -775.792792919007</t>
  </si>
  <si>
    <t>-506.472656551386 264.57267738623 -762.300327212283</t>
  </si>
  <si>
    <t>-459.851318016302 306.020920465864 -451.986537056508</t>
  </si>
  <si>
    <t>-273.507278202835 202.55682084845 -302.945791491205</t>
  </si>
  <si>
    <t>-553.292522324142 60.2684208831414 -769.895517643442</t>
  </si>
  <si>
    <t>-475.347706414761 231.253934549474 -249.497352649052</t>
  </si>
  <si>
    <t>-464.648169052816 212.014129947071 205.66536824706</t>
  </si>
  <si>
    <t>-493.573390447824 164.436482504205 672.216464526904</t>
  </si>
  <si>
    <t>-340.587084987638 152.893705569421 758.271449217777</t>
  </si>
  <si>
    <t>-526.4332700071 43.3100995244624 -226.068416115512</t>
  </si>
  <si>
    <t>-433.792605266179 -9.63987529113071 216.957211714156</t>
  </si>
  <si>
    <t>-592.003047513794 -96.0973862451058 650.737937769079</t>
  </si>
  <si>
    <t>-444.630393329867 -146.55038741029 732.46507020461</t>
  </si>
  <si>
    <t>9763-20170724T164341.093156200.bin</t>
  </si>
  <si>
    <t>-500.964557970525 137.037667572127 -238.129389539692</t>
  </si>
  <si>
    <t>-541.872128172656 134.18876990157 -352.086737723508</t>
  </si>
  <si>
    <t>-557.878093129398 125.329096995745 -471.902747537954</t>
  </si>
  <si>
    <t>-561.891291906073 114.957980319103 -580.857684222509</t>
  </si>
  <si>
    <t>-555.510411103696 102.338079474038 -689.461872854709</t>
  </si>
  <si>
    <t>-535.844007022292 82.5406002266331 -839.199254058223</t>
  </si>
  <si>
    <t>-488.068110960023 67.4972120175252 -927.935723492893</t>
  </si>
  <si>
    <t>-535.823670866115 121.738643658604 -775.823974483679</t>
  </si>
  <si>
    <t>-506.873956367588 265.254365058633 -762.042578252345</t>
  </si>
  <si>
    <t>-460.79183881369 306.120776496859 -451.570995621867</t>
  </si>
  <si>
    <t>-274.000359530404 202.811068286887 -302.984129936622</t>
  </si>
  <si>
    <t>-553.267923048056 60.8621155317961 -770.066407214545</t>
  </si>
  <si>
    <t>-475.240977670034 230.990210975806 -249.501974811224</t>
  </si>
  <si>
    <t>-464.651525996632 211.805635555275 205.665565927536</t>
  </si>
  <si>
    <t>-493.538242265895 164.343731585984 672.233124532543</t>
  </si>
  <si>
    <t>-340.453241953618 153.674304543221 758.225296024781</t>
  </si>
  <si>
    <t>-526.555516467185 43.0365501661529 -226.067974157582</t>
  </si>
  <si>
    <t>-433.848641520312 -10.0211633904617 216.930846046454</t>
  </si>
  <si>
    <t>-592.09167076941 -96.6094505611209 650.739774451851</t>
  </si>
  <si>
    <t>-444.365450470698 -146.100104680933 732.416981836261</t>
  </si>
  <si>
    <t>9763-20170724T164341.121232900.bin</t>
  </si>
  <si>
    <t>-500.985841598566 137.040941712631 -238.140760610126</t>
  </si>
  <si>
    <t>-541.821286860053 134.21385325509 -352.124436939905</t>
  </si>
  <si>
    <t>-557.814129155078 125.417931188949 -471.946860113031</t>
  </si>
  <si>
    <t>-561.8399443481 115.125015788395 -580.908763166549</t>
  </si>
  <si>
    <t>-555.495592644601 102.605756524651 -689.526839105051</t>
  </si>
  <si>
    <t>-535.903617009249 82.9731927139881 -839.295702108918</t>
  </si>
  <si>
    <t>-488.178612556439 68.0156912976549 -928.073909363586</t>
  </si>
  <si>
    <t>-535.874909037864 122.107692340679 -775.881043300289</t>
  </si>
  <si>
    <t>-507.062984404737 265.64859136484 -762.01309688978</t>
  </si>
  <si>
    <t>-461.264236480886 306.313732617549 -451.473183825259</t>
  </si>
  <si>
    <t>-274.249563043747 203.163027045598 -303.056589846386</t>
  </si>
  <si>
    <t>-553.269976570306 61.2123640606275 -770.174096899705</t>
  </si>
  <si>
    <t>-364.823627332788 0.107819981717363 -451.408671181341</t>
  </si>
  <si>
    <t>-475.206070692045 230.963637065048 -249.506822160327</t>
  </si>
  <si>
    <t>-464.631351240408 211.800718543402 205.661987568265</t>
  </si>
  <si>
    <t>-493.536917127195 164.361195515783 672.23867695426</t>
  </si>
  <si>
    <t>-340.494815042275 153.131989049017 758.236018830546</t>
  </si>
  <si>
    <t>-526.591666302784 43.1530042100873 -226.1235579651</t>
  </si>
  <si>
    <t>-433.945503276126 -9.94866173019746 216.882732979109</t>
  </si>
  <si>
    <t>-592.090323426791 -96.1870943331379 650.729172362774</t>
  </si>
  <si>
    <t>-444.626955767097 -146.411288234402 732.433487066797</t>
  </si>
  <si>
    <t>9763-20170724T164341.187982300.bin</t>
  </si>
  <si>
    <t>-500.824249064649 137.230102557927 -238.198858811015</t>
  </si>
  <si>
    <t>-541.633329325882 134.471523757695 -352.193620461665</t>
  </si>
  <si>
    <t>-557.676764498086 125.791772121536 -472.0178448577</t>
  </si>
  <si>
    <t>-561.779844365291 115.624599933602 -580.98867044235</t>
  </si>
  <si>
    <t>-555.543155431889 103.25228967673 -689.629663965306</t>
  </si>
  <si>
    <t>-536.131055654214 83.8464633491432 -839.451658714147</t>
  </si>
  <si>
    <t>-488.506269770199 68.9924603252759 -928.301099772653</t>
  </si>
  <si>
    <t>-536.032403997286 122.88656499111 -775.978981216533</t>
  </si>
  <si>
    <t>-507.308278918203 266.428840650248 -761.992172740024</t>
  </si>
  <si>
    <t>-462.281978950656 306.652812516129 -451.281809772866</t>
  </si>
  <si>
    <t>-275.102830197888 203.379698177023 -303.158032772433</t>
  </si>
  <si>
    <t>-553.408168338697 61.9793261443974 -770.341206546559</t>
  </si>
  <si>
    <t>-364.658019045382 0.513749364203647 -451.706239510754</t>
  </si>
  <si>
    <t>-474.985198594793 231.128843710181 -249.530913334537</t>
  </si>
  <si>
    <t>-464.448519549042 212.03941744202 205.641891124381</t>
  </si>
  <si>
    <t>-493.617995007786 164.859618741676 672.219109733795</t>
  </si>
  <si>
    <t>-340.676399305489 152.560684239601 758.248836594897</t>
  </si>
  <si>
    <t>-526.50192935022 43.4015859494727 -226.238143274859</t>
  </si>
  <si>
    <t>-434.099342942216 -9.67894774356613 216.821594346444</t>
  </si>
  <si>
    <t>-592.11089957986 -95.6388163481991 650.747494865846</t>
  </si>
  <si>
    <t>-445.007739843661 -146.850309591628 732.488402828422</t>
  </si>
  <si>
    <t>9763-20170724T164341.220072500.bin</t>
  </si>
  <si>
    <t>-500.795599275935 137.115191631775 -238.204019002491</t>
  </si>
  <si>
    <t>-541.609714952107 134.384346536381 -352.197693389114</t>
  </si>
  <si>
    <t>-557.665819331126 125.74403099961 -472.023048719643</t>
  </si>
  <si>
    <t>-561.783154254532 115.618248655075 -580.99719678134</t>
  </si>
  <si>
    <t>-555.563165794809 103.293935914188 -689.644643169235</t>
  </si>
  <si>
    <t>-536.176381140197 83.9621342605565 -839.479412022946</t>
  </si>
  <si>
    <t>-488.62319005351 69.1609568460503 -928.375902529232</t>
  </si>
  <si>
    <t>-536.075899624572 122.973307831162 -775.98886472368</t>
  </si>
  <si>
    <t>-507.422884046505 266.521212776121 -761.921390805372</t>
  </si>
  <si>
    <t>-462.484448778227 306.600251213825 -451.179738889036</t>
  </si>
  <si>
    <t>-275.244951403269 203.364744793922 -303.105906276337</t>
  </si>
  <si>
    <t>-553.433000032704 62.0584418772445 -770.375381349273</t>
  </si>
  <si>
    <t>-364.589722326861 0.425651586115222 -451.880950001218</t>
  </si>
  <si>
    <t>-474.931403693832 231.031931069367 -249.529816304551</t>
  </si>
  <si>
    <t>-464.365567967048 211.976466378494 205.643706074984</t>
  </si>
  <si>
    <t>-493.627921500767 164.955743206788 672.219110696289</t>
  </si>
  <si>
    <t>-340.701078645752 152.549409083755 758.259555879213</t>
  </si>
  <si>
    <t>-526.518640006104 43.2402456433658 -226.244128269995</t>
  </si>
  <si>
    <t>-434.117431345193 -9.82539892399114 216.817615458821</t>
  </si>
  <si>
    <t>-592.147960944487 -95.7900223512811 650.749518260781</t>
  </si>
  <si>
    <t>-444.912908971881 -146.632438011265 732.483134276848</t>
  </si>
  <si>
    <t>9763-20170724T164341.285359600.bin</t>
  </si>
  <si>
    <t>-500.585027486395 136.689306844294 -238.20715026404</t>
  </si>
  <si>
    <t>-541.400812441938 133.958792389692 -352.20022457836</t>
  </si>
  <si>
    <t>-557.484296486605 125.37172717726 -472.025678791085</t>
  </si>
  <si>
    <t>-561.636497928473 115.316666398756 -581.005100064856</t>
  </si>
  <si>
    <t>-555.461196961012 103.0860159452 -689.665733942286</t>
  </si>
  <si>
    <t>-536.145992765045 83.9086521450981 -839.529506889148</t>
  </si>
  <si>
    <t>-488.689830178136 69.1990850412596 -928.493142656802</t>
  </si>
  <si>
    <t>-536.021423833134 122.856044217394 -776.000001514079</t>
  </si>
  <si>
    <t>-507.281915219635 266.380534028861 -761.804733146303</t>
  </si>
  <si>
    <t>-462.745273257253 306.464975734425 -451.005921351468</t>
  </si>
  <si>
    <t>-275.409176003063 203.301945565597 -303.003822214763</t>
  </si>
  <si>
    <t>-553.363266904924 61.9320146405953 -770.438876738275</t>
  </si>
  <si>
    <t>-364.319767119978 0.123607615095949 -452.296348206238</t>
  </si>
  <si>
    <t>-474.648866302747 230.380561702469 -249.539060142904</t>
  </si>
  <si>
    <t>-464.161463091575 211.46242693484 205.642036474381</t>
  </si>
  <si>
    <t>-493.490903038683 164.449837365958 672.227543750026</t>
  </si>
  <si>
    <t>-340.440004747711 153.437849478665 758.237215110826</t>
  </si>
  <si>
    <t>-526.375613644881 42.986707344493 -226.239576554469</t>
  </si>
  <si>
    <t>-433.989874283683 -10.0145760331492 216.833049174389</t>
  </si>
  <si>
    <t>-592.175943511575 -95.8124410644751 650.714724981779</t>
  </si>
  <si>
    <t>-445.192255385084 -147.310308326274 732.490585744429</t>
  </si>
  <si>
    <t>9763-20170724T164341.322458100.bin</t>
  </si>
  <si>
    <t>-500.495779740356 136.467767945734 -238.227219700323</t>
  </si>
  <si>
    <t>-541.33050555125 133.740024658855 -352.213590766585</t>
  </si>
  <si>
    <t>-557.416501894415 125.173133133075 -472.040182764523</t>
  </si>
  <si>
    <t>-561.564027422873 115.143361381461 -581.022095323458</t>
  </si>
  <si>
    <t>-555.377112394935 102.944861179355 -689.685630419734</t>
  </si>
  <si>
    <t>-536.038540294604 83.8193980868158 -839.553075264925</t>
  </si>
  <si>
    <t>-488.579617601911 69.1410641672356 -928.520257933942</t>
  </si>
  <si>
    <t>-535.9197443069 122.743660834774 -776.009241422403</t>
  </si>
  <si>
    <t>-507.167370017826 266.248367686285 -761.730245573651</t>
  </si>
  <si>
    <t>-462.878178303486 306.408497262579 -450.905941244441</t>
  </si>
  <si>
    <t>-275.503040203194 203.184982256787 -302.995365592558</t>
  </si>
  <si>
    <t>-553.270762465982 61.8199659787242 -770.473340079799</t>
  </si>
  <si>
    <t>-474.538369129136 230.210207705256 -249.558311456555</t>
  </si>
  <si>
    <t>-464.081792542178 211.359587327187 205.626246122435</t>
  </si>
  <si>
    <t>-493.489296078997 164.492927722404 672.222732051831</t>
  </si>
  <si>
    <t>-340.464542026493 153.192408281136 758.241523278962</t>
  </si>
  <si>
    <t>-526.30416201646 42.7145914893502 -226.261088346502</t>
  </si>
  <si>
    <t>-433.947329310772 -10.1870264077712 216.829480111986</t>
  </si>
  <si>
    <t>-592.184549414831 -95.8608583134625 650.703577187922</t>
  </si>
  <si>
    <t>-444.885524602271 -146.479291008807 732.461027927773</t>
  </si>
  <si>
    <t>9763-20170724T164341.387641100.bin</t>
  </si>
  <si>
    <t>-500.306500698466 136.074773418663 -238.227782969394</t>
  </si>
  <si>
    <t>-541.112405850067 133.335975802608 -352.224177008438</t>
  </si>
  <si>
    <t>-557.168964458664 124.775312089254 -472.055126378555</t>
  </si>
  <si>
    <t>-561.289513183856 114.7610679815 -581.039460268327</t>
  </si>
  <si>
    <t>-555.074984481185 102.589741193814 -689.70462361783</t>
  </si>
  <si>
    <t>-535.697456120638 83.5157086735422 -839.573463413442</t>
  </si>
  <si>
    <t>-488.296893828189 68.9067304576772 -928.583429900268</t>
  </si>
  <si>
    <t>-535.614041979352 122.423236360405 -776.019554201788</t>
  </si>
  <si>
    <t>-506.95618930762 265.953020656847 -761.661748867196</t>
  </si>
  <si>
    <t>-463.074906136587 306.425656728008 -450.820068233473</t>
  </si>
  <si>
    <t>-275.406632227695 203.377791299764 -303.158855654419</t>
  </si>
  <si>
    <t>-552.928850863618 61.4875097867809 -770.502829372901</t>
  </si>
  <si>
    <t>-474.272757809589 229.786310147562 -249.575327111353</t>
  </si>
  <si>
    <t>-463.862674234016 211.040670603948 205.614706745765</t>
  </si>
  <si>
    <t>-493.43771048361 164.328844505648 672.223018439645</t>
  </si>
  <si>
    <t>-340.404311946881 153.190800261266 758.247607811134</t>
  </si>
  <si>
    <t>-526.190220181155 42.386640679617 -226.265433163266</t>
  </si>
  <si>
    <t>-433.870848371449 -10.4813801135061 216.836986940128</t>
  </si>
  <si>
    <t>-592.23423227525 -95.9862879335081 650.725175153286</t>
  </si>
  <si>
    <t>-444.891778897386 -146.475769898868 732.484027477811</t>
  </si>
  <si>
    <t>9763-20170724T164341.421736000.bin</t>
  </si>
  <si>
    <t>-500.207627059378 135.943726980667 -238.235308505704</t>
  </si>
  <si>
    <t>-541.026551895176 133.211987362806 -352.227204656037</t>
  </si>
  <si>
    <t>-557.075917988707 124.650547587997 -472.059241673196</t>
  </si>
  <si>
    <t>-561.180951901302 114.635003553904 -581.043963773745</t>
  </si>
  <si>
    <t>-554.941600908701 102.463049659286 -689.707535543335</t>
  </si>
  <si>
    <t>-535.519813655331 83.3905430093198 -839.570994778155</t>
  </si>
  <si>
    <t>-488.136538729711 68.8087809623358 -928.594339354587</t>
  </si>
  <si>
    <t>-535.47438106528 122.302645306897 -776.019657689233</t>
  </si>
  <si>
    <t>-506.926768686132 265.831409265664 -761.626208275579</t>
  </si>
  <si>
    <t>-463.28440763632 306.166662043054 -450.732994223698</t>
  </si>
  <si>
    <t>-275.477723350788 203.175438209203 -303.208368089105</t>
  </si>
  <si>
    <t>-552.752338770306 61.3564856485501 -770.502499663361</t>
  </si>
  <si>
    <t>-474.161505885323 229.60321557891 -249.581709113037</t>
  </si>
  <si>
    <t>-463.749676157856 210.900387877831 205.60996767376</t>
  </si>
  <si>
    <t>-493.419293290364 164.27306737322 672.226897977605</t>
  </si>
  <si>
    <t>-340.362119711853 153.386720180425 758.241493853479</t>
  </si>
  <si>
    <t>-526.099587632456 42.3090326369033 -226.2682327701</t>
  </si>
  <si>
    <t>-433.81344472791 -10.571052395135 216.839613835948</t>
  </si>
  <si>
    <t>-592.254912224626 -96.004097543914 650.727111438738</t>
  </si>
  <si>
    <t>-444.945348703312 -146.573167130503 732.49603552448</t>
  </si>
  <si>
    <t>9763-20170724T164341.488927500.bin</t>
  </si>
  <si>
    <t>-500.173397633384 135.742208501673 -238.220527661164</t>
  </si>
  <si>
    <t>-541.01600247841 132.990648723471 -352.203476197014</t>
  </si>
  <si>
    <t>-557.017965167597 124.420085729952 -472.041101048116</t>
  </si>
  <si>
    <t>-561.050068929582 114.403064729238 -581.028457634024</t>
  </si>
  <si>
    <t>-554.708286352749 102.238264311022 -689.686864024574</t>
  </si>
  <si>
    <t>-535.113910334752 83.1857355698638 -839.530328331916</t>
  </si>
  <si>
    <t>-487.680871273511 68.6256478478294 -928.530893771088</t>
  </si>
  <si>
    <t>-535.162074528596 122.094763498649 -775.977111861175</t>
  </si>
  <si>
    <t>-506.783614596011 265.651152995587 -761.48935617727</t>
  </si>
  <si>
    <t>-463.372830883929 305.978832168811 -450.562818213293</t>
  </si>
  <si>
    <t>-275.379990835217 203.162543848812 -303.153310093985</t>
  </si>
  <si>
    <t>-552.405532558076 61.1369443677491 -770.481278959567</t>
  </si>
  <si>
    <t>-474.171936457618 229.479693728464 -249.578695745601</t>
  </si>
  <si>
    <t>-463.69674750723 210.877730116363 205.615635667529</t>
  </si>
  <si>
    <t>-493.471619189143 164.485196843021 672.242447723889</t>
  </si>
  <si>
    <t>-340.452675127743 153.099515346121 758.260294613931</t>
  </si>
  <si>
    <t>-526.011856336995 42.0249896383631 -226.215003014576</t>
  </si>
  <si>
    <t>-433.722769622765 -10.7103737134645 216.909550914949</t>
  </si>
  <si>
    <t>-592.314984526761 -96.1959230176188 650.73862791676</t>
  </si>
  <si>
    <t>-444.922748648379 -146.547542391267 732.492844821168</t>
  </si>
  <si>
    <t>9763-20170724T164341.521012500.bin</t>
  </si>
  <si>
    <t>-500.17285900732 135.756434846408 -238.228041376351</t>
  </si>
  <si>
    <t>-541.034475788207 133.002681904844 -352.204101899559</t>
  </si>
  <si>
    <t>-557.027881381951 124.423672988831 -472.042186116661</t>
  </si>
  <si>
    <t>-561.040604003781 114.396810961595 -581.029368780679</t>
  </si>
  <si>
    <t>-554.667751501978 102.220492573674 -689.684792036435</t>
  </si>
  <si>
    <t>-535.018512965409 83.1505164891648 -839.518751143703</t>
  </si>
  <si>
    <t>-487.551956594084 68.5991542199975 -928.502862319108</t>
  </si>
  <si>
    <t>-535.091706279547 122.067408481299 -775.970472405912</t>
  </si>
  <si>
    <t>-506.77703602447 265.640481347063 -761.469043457997</t>
  </si>
  <si>
    <t>-463.516415175372 305.835087149984 -450.504319795261</t>
  </si>
  <si>
    <t>-275.556933081046 203.053580208854 -303.028028606077</t>
  </si>
  <si>
    <t>-552.333643189704 61.1092827545696 -770.473218997396</t>
  </si>
  <si>
    <t>-474.221457621311 229.552619243573 -249.584243778261</t>
  </si>
  <si>
    <t>-463.785276568449 210.99969191192 205.61300265978</t>
  </si>
  <si>
    <t>-493.532098190826 164.775196755777 672.240429092931</t>
  </si>
  <si>
    <t>-340.574976328995 152.702671384443 758.274609137498</t>
  </si>
  <si>
    <t>-526.002135237022 42.0300408138014 -226.193717757947</t>
  </si>
  <si>
    <t>-433.654796706791 -10.6975904204789 216.919692726104</t>
  </si>
  <si>
    <t>-592.31202382723 -96.0479232696625 650.717867190565</t>
  </si>
  <si>
    <t>-444.9048986708 -146.361512323897 732.468581251966</t>
  </si>
  <si>
    <t>9763-20170724T164341.586745900.bin</t>
  </si>
  <si>
    <t>-500.196364663128 135.585802217958 -238.223665417388</t>
  </si>
  <si>
    <t>-540.976409593231 132.751353022794 -352.226997419992</t>
  </si>
  <si>
    <t>-556.931526081179 124.119966015998 -472.06648488135</t>
  </si>
  <si>
    <t>-560.929871634684 114.053565529437 -581.050516709254</t>
  </si>
  <si>
    <t>-554.563440743195 101.842882446305 -689.702310855672</t>
  </si>
  <si>
    <t>-534.945195503796 82.7281750044221 -839.534828076162</t>
  </si>
  <si>
    <t>-487.541484296164 68.1990310301525 -928.556017110767</t>
  </si>
  <si>
    <t>-534.994066372474 121.661092157605 -775.996343115557</t>
  </si>
  <si>
    <t>-506.672480271425 265.226921505643 -761.498155704325</t>
  </si>
  <si>
    <t>-463.664236270996 305.496846582436 -450.508124904793</t>
  </si>
  <si>
    <t>-275.798817758894 202.660365269849 -302.950352906259</t>
  </si>
  <si>
    <t>-552.257338309153 60.7106029411844 -770.480936545513</t>
  </si>
  <si>
    <t>-474.304636394399 229.38381948552 -249.627432987623</t>
  </si>
  <si>
    <t>-463.975383566423 210.942639028365 205.57674758609</t>
  </si>
  <si>
    <t>-493.519348645728 164.807274306241 672.231701639825</t>
  </si>
  <si>
    <t>-340.595140655767 152.396559542893 758.276204084467</t>
  </si>
  <si>
    <t>-525.906774582506 41.7599413467655 -226.223017450571</t>
  </si>
  <si>
    <t>-433.652226655424 -10.8077879147655 216.928646506343</t>
  </si>
  <si>
    <t>-592.375755835171 -96.2208123960615 650.745131364811</t>
  </si>
  <si>
    <t>-444.969323740761 -146.573042313387 732.473350351552</t>
  </si>
  <si>
    <t>9763-20170724T164341.623843000.bin</t>
  </si>
  <si>
    <t>-500.153184883318 135.388586383948 -238.284382679617</t>
  </si>
  <si>
    <t>-541.02789579875 132.577574025933 -352.254311492075</t>
  </si>
  <si>
    <t>-557.034473911041 123.954189920266 -472.087553241166</t>
  </si>
  <si>
    <t>-561.059984231333 113.888961514035 -581.070786659019</t>
  </si>
  <si>
    <t>-554.701135247405 101.673518909275 -689.722444046691</t>
  </si>
  <si>
    <t>-535.072885024684 82.5466150502016 -839.551958595672</t>
  </si>
  <si>
    <t>-487.662144977823 68.0340854578394 -928.572210473989</t>
  </si>
  <si>
    <t>-535.136572519824 121.487517393983 -776.018526812527</t>
  </si>
  <si>
    <t>-506.886159759969 265.069007149637 -761.506627523355</t>
  </si>
  <si>
    <t>-463.98548776232 305.375812614552 -450.506407353534</t>
  </si>
  <si>
    <t>-276.114743146328 202.63618905401 -302.887896133343</t>
  </si>
  <si>
    <t>-552.379020557972 60.531829152303 -770.495779186101</t>
  </si>
  <si>
    <t>-474.32908753282 229.101368745247 -249.638987981684</t>
  </si>
  <si>
    <t>-463.988110836926 210.730318261947 205.567774878274</t>
  </si>
  <si>
    <t>-493.454879202616 164.568643158437 672.237725689954</t>
  </si>
  <si>
    <t>-340.465495803259 152.851677113399 758.263700167531</t>
  </si>
  <si>
    <t>-525.866404011175 41.6807915125491 -226.238501608147</t>
  </si>
  <si>
    <t>-433.644840871028 -10.8060025044712 216.929627745096</t>
  </si>
  <si>
    <t>-592.383268724416 -95.9186641583314 650.744050473463</t>
  </si>
  <si>
    <t>-445.120261477513 -146.701290298494 732.464573580926</t>
  </si>
  <si>
    <t>9763-20170724T164341.688020700.bin</t>
  </si>
  <si>
    <t>-500.003425739695 135.055752176695 -238.268539215163</t>
  </si>
  <si>
    <t>-540.759033864097 132.182058020977 -352.279586638431</t>
  </si>
  <si>
    <t>-556.622270821561 123.501984562519 -472.127816018352</t>
  </si>
  <si>
    <t>-560.509423576485 113.392341183189 -581.111867377157</t>
  </si>
  <si>
    <t>-554.004207576378 101.141503653011 -689.751036304147</t>
  </si>
  <si>
    <t>-534.1651952229 81.9769478824473 -839.548020448412</t>
  </si>
  <si>
    <t>-486.719569708768 67.4974929734287 -928.554903911375</t>
  </si>
  <si>
    <t>-534.349635689703 120.942161877503 -776.029534294359</t>
  </si>
  <si>
    <t>-506.258375792902 264.54597328523 -761.489404310276</t>
  </si>
  <si>
    <t>-463.731830918768 305.093498513229 -450.469158690283</t>
  </si>
  <si>
    <t>-275.751035279751 202.507122606543 -302.884136444589</t>
  </si>
  <si>
    <t>-551.537140046161 59.9711456743959 -770.505399999178</t>
  </si>
  <si>
    <t>-474.125822626164 228.675844328726 -249.673334368512</t>
  </si>
  <si>
    <t>-463.931935066239 210.46774446896 205.543265028491</t>
  </si>
  <si>
    <t>-493.351177942357 164.247075425804 672.230398532815</t>
  </si>
  <si>
    <t>-340.336937536056 152.794828661251 758.24779161554</t>
  </si>
  <si>
    <t>-525.693635901304 41.4007599592206 -226.250714659542</t>
  </si>
  <si>
    <t>-433.541995609877 -10.9620909566553 216.946644449589</t>
  </si>
  <si>
    <t>-592.427070633155 -96.0229989199635 650.735344858661</t>
  </si>
  <si>
    <t>-445.166156688626 -146.798552616749 732.463931686034</t>
  </si>
  <si>
    <t>9763-20170724T164341.720104300.bin</t>
  </si>
  <si>
    <t>-499.885919409338 134.705871651163 -238.267280532222</t>
  </si>
  <si>
    <t>-540.664295700217 131.838807673262 -352.270485548214</t>
  </si>
  <si>
    <t>-556.503699292647 123.152744653947 -472.121234223968</t>
  </si>
  <si>
    <t>-560.349593461394 113.033554586209 -581.106005479671</t>
  </si>
  <si>
    <t>-553.783687298399 100.770405161956 -689.740030184814</t>
  </si>
  <si>
    <t>-533.840402436508 81.5863948641295 -839.520633955596</t>
  </si>
  <si>
    <t>-486.358981015131 67.1041929558465 -928.508174721262</t>
  </si>
  <si>
    <t>-534.07204024739 120.560694699229 -776.007929103143</t>
  </si>
  <si>
    <t>-506.018519394959 264.178179339627 -761.425883528844</t>
  </si>
  <si>
    <t>-463.845957831508 304.90097280726 -450.380319995626</t>
  </si>
  <si>
    <t>-275.768539555491 202.400155595579 -302.859165254807</t>
  </si>
  <si>
    <t>-551.257299676987 59.5887070546167 -770.486904065213</t>
  </si>
  <si>
    <t>-474.005549713227 228.352960591815 -249.670265603652</t>
  </si>
  <si>
    <t>-463.850409207648 210.185586502421 205.548953857003</t>
  </si>
  <si>
    <t>-493.286723263368 163.998639507027 672.239640620678</t>
  </si>
  <si>
    <t>-340.212608908763 153.171891718065 758.231546702302</t>
  </si>
  <si>
    <t>-525.63035244119 40.9949125878789 -226.216382818174</t>
  </si>
  <si>
    <t>-433.495537723889 -11.3502812051678 216.986448049311</t>
  </si>
  <si>
    <t>-592.469529649364 -96.3554535639684 650.748747321767</t>
  </si>
  <si>
    <t>-444.775366116365 -145.933088172401 732.431095860758</t>
  </si>
  <si>
    <t>9763-20170724T164341.790274700.bin</t>
  </si>
  <si>
    <t>-499.706096432676 134.552803479939 -238.291453326099</t>
  </si>
  <si>
    <t>-540.501449198811 131.690361659575 -352.288557645722</t>
  </si>
  <si>
    <t>-556.350181367886 122.993510638054 -472.137373006207</t>
  </si>
  <si>
    <t>-560.201154206747 112.857916657893 -581.120466714468</t>
  </si>
  <si>
    <t>-553.636815107119 100.571390328553 -689.751911082166</t>
  </si>
  <si>
    <t>-533.692357886621 81.3476868387652 -839.527310479119</t>
  </si>
  <si>
    <t>-486.286922436133 66.8496592414272 -928.552740454899</t>
  </si>
  <si>
    <t>-533.915743077284 120.336464129686 -776.023433557953</t>
  </si>
  <si>
    <t>-505.934417698964 263.962144488689 -761.449450768939</t>
  </si>
  <si>
    <t>-464.40996186094 304.748747232295 -450.325129033567</t>
  </si>
  <si>
    <t>-276.355176431198 202.359580664827 -302.697656576719</t>
  </si>
  <si>
    <t>-551.118619616637 59.3706174504111 -770.489236008528</t>
  </si>
  <si>
    <t>-473.770453392517 228.148802908196 -249.683759729676</t>
  </si>
  <si>
    <t>-463.512603231602 210.110739209196 205.538244179564</t>
  </si>
  <si>
    <t>-493.290143851949 164.074615951136 672.237790847074</t>
  </si>
  <si>
    <t>-340.244462441073 152.90159503378 758.236119753502</t>
  </si>
  <si>
    <t>-525.489343399394 40.9571015344518 -226.228512019416</t>
  </si>
  <si>
    <t>-433.376995500751 -11.3489598583773 216.983739807154</t>
  </si>
  <si>
    <t>-592.479934938573 -96.0380058792001 650.736993333634</t>
  </si>
  <si>
    <t>-444.92749705423 -146.003376864274 732.439139407525</t>
  </si>
  <si>
    <t>9763-20170724T164341.817341600.bin</t>
  </si>
  <si>
    <t>-499.617756740804 134.454073698631 -238.286876132276</t>
  </si>
  <si>
    <t>-540.425117387557 131.597604815438 -352.279919063436</t>
  </si>
  <si>
    <t>-556.265131785066 122.895847749282 -472.129530182888</t>
  </si>
  <si>
    <t>-560.099717272405 112.750718910895 -581.112230651949</t>
  </si>
  <si>
    <t>-553.510809939631 100.449217054114 -689.740502474173</t>
  </si>
  <si>
    <t>-533.52386165704 81.198940472422 -839.506841232478</t>
  </si>
  <si>
    <t>-486.279140625346 66.7158995509723 -928.620123349076</t>
  </si>
  <si>
    <t>-533.758446943482 120.197176449454 -776.008912917548</t>
  </si>
  <si>
    <t>-505.753479739539 263.82020684466 -761.430559932378</t>
  </si>
  <si>
    <t>-464.638259817012 304.720110587222 -450.266724921793</t>
  </si>
  <si>
    <t>-276.625004760216 202.354228283405 -302.570070443181</t>
  </si>
  <si>
    <t>-550.97642979766 59.2359575040986 -770.471001597946</t>
  </si>
  <si>
    <t>-473.674849443483 228.082173080335 -249.67912036725</t>
  </si>
  <si>
    <t>-463.403178553895 210.078520104257 205.543882011837</t>
  </si>
  <si>
    <t>-493.325323626868 164.235780258345 672.240438801349</t>
  </si>
  <si>
    <t>-340.314282453957 152.666121949075 758.247849199791</t>
  </si>
  <si>
    <t>-525.385567891455 40.8514885385363 -226.234813736479</t>
  </si>
  <si>
    <t>-433.320334417488 -11.3492568340287 216.99954453693</t>
  </si>
  <si>
    <t>-592.487920471879 -95.9372929144161 650.727834143605</t>
  </si>
  <si>
    <t>-444.911954106783 -145.839601717857 732.426110413411</t>
  </si>
  <si>
    <t>9763-20170724T164341.889544500.bin</t>
  </si>
  <si>
    <t>-499.493240784179 134.165853286803 -238.262931410664</t>
  </si>
  <si>
    <t>-540.268999748656 131.272326162935 -352.266437126868</t>
  </si>
  <si>
    <t>-556.063956756207 122.54986268849 -472.120538246541</t>
  </si>
  <si>
    <t>-559.853377734898 112.390469112237 -581.10336901132</t>
  </si>
  <si>
    <t>-553.215571796754 100.078051183517 -689.727462653299</t>
  </si>
  <si>
    <t>-533.157463570697 80.814613412886 -839.482648876413</t>
  </si>
  <si>
    <t>-486.850551381429 66.467559704903 -929.108599177851</t>
  </si>
  <si>
    <t>-533.402673995673 119.813272168559 -775.984848338404</t>
  </si>
  <si>
    <t>-505.449246472175 263.439740735455 -761.345276138015</t>
  </si>
  <si>
    <t>-465.325776302191 304.868758504537 -450.122071976789</t>
  </si>
  <si>
    <t>-277.353903146182 202.533208110937 -302.351647647799</t>
  </si>
  <si>
    <t>-550.662349981008 58.8629363623875 -770.45637559973</t>
  </si>
  <si>
    <t>-473.574328903332 227.7283965606 -249.691590425643</t>
  </si>
  <si>
    <t>-463.371374049143 209.865522840115 205.538562467481</t>
  </si>
  <si>
    <t>-493.262812871253 164.07516369388 672.232622485924</t>
  </si>
  <si>
    <t>-340.172560834998 153.423257190711 758.217544881612</t>
  </si>
  <si>
    <t>-525.240198919672 40.6013621031158 -226.200737147063</t>
  </si>
  <si>
    <t>-433.173125187019 -11.4900874744871 217.046161316545</t>
  </si>
  <si>
    <t>-592.525271415835 -96.1635409518919 650.716213136871</t>
  </si>
  <si>
    <t>-444.960009700928 -146.101609942487 732.411983186267</t>
  </si>
  <si>
    <t>9763-20170724T164341.921630500.bin</t>
  </si>
  <si>
    <t>-499.415914089236 134.290272175845 -238.295184048081</t>
  </si>
  <si>
    <t>-540.23393952882 131.391237145567 -352.283271937784</t>
  </si>
  <si>
    <t>-556.009536063197 122.658581330408 -472.139266916759</t>
  </si>
  <si>
    <t>-559.755828449572 112.487390524466 -581.122583618089</t>
  </si>
  <si>
    <t>-553.049546755789 100.160150179938 -689.740766349482</t>
  </si>
  <si>
    <t>-532.870801135306 80.8729199916345 -839.476617058865</t>
  </si>
  <si>
    <t>-487.21388615844 66.6397106202154 -929.45345385551</t>
  </si>
  <si>
    <t>-533.164524497459 119.880917443197 -775.984802387459</t>
  </si>
  <si>
    <t>-505.309515934015 263.520376440927 -761.286271520121</t>
  </si>
  <si>
    <t>-465.828374540866 305.192076987504 -450.013191765049</t>
  </si>
  <si>
    <t>-277.868546905849 202.892168408779 -302.202774667422</t>
  </si>
  <si>
    <t>-550.434022427436 58.9329221414784 -770.461419553566</t>
  </si>
  <si>
    <t>-473.570045140911 227.855514246167 -249.708283261537</t>
  </si>
  <si>
    <t>-463.402415847699 210.034831086206 205.524273290443</t>
  </si>
  <si>
    <t>-493.32260763533 164.377326885218 672.224739043459</t>
  </si>
  <si>
    <t>-340.266646114529 153.344007546935 758.222812931032</t>
  </si>
  <si>
    <t>-525.149814591502 40.8366514822758 -226.196749220041</t>
  </si>
  <si>
    <t>-433.067720550197 -11.2220458857936 217.050779741611</t>
  </si>
  <si>
    <t>-592.500882306169 -95.7077213031041 650.680591303484</t>
  </si>
  <si>
    <t>-445.285420378543 -146.606167442195 732.41460640807</t>
  </si>
  <si>
    <t>9763-20170724T164341.986414800.bin</t>
  </si>
  <si>
    <t>-499.269965005094 134.177057079403 -238.330325681717</t>
  </si>
  <si>
    <t>-539.985828423326 131.227001045618 -352.353665652729</t>
  </si>
  <si>
    <t>-555.612966861119 122.443653207845 -472.225340012697</t>
  </si>
  <si>
    <t>-559.2081203321 112.224331221647 -581.209219640419</t>
  </si>
  <si>
    <t>-552.335842298151 99.8452239449029 -689.81116571209</t>
  </si>
  <si>
    <t>-531.91247178417 80.4808876433509 -839.503954159524</t>
  </si>
  <si>
    <t>-487.382209825093 66.4639136927308 -930.077400833489</t>
  </si>
  <si>
    <t>-532.304921209416 119.520245428147 -776.03193666295</t>
  </si>
  <si>
    <t>-504.478890457554 263.166616274743 -761.299939603098</t>
  </si>
  <si>
    <t>-466.37893411983 305.400912504454 -449.930752716665</t>
  </si>
  <si>
    <t>-278.447292339188 203.181593891777 -302.028826976971</t>
  </si>
  <si>
    <t>-549.593430394437 58.5777877616278 -770.507047265308</t>
  </si>
  <si>
    <t>-473.425616308133 227.723811838626 -249.749579330936</t>
  </si>
  <si>
    <t>-463.396353372205 210.013483290067 205.49031078424</t>
  </si>
  <si>
    <t>-493.280344662282 164.332458777352 672.210512947357</t>
  </si>
  <si>
    <t>-340.229274459363 153.259598769026 758.212170466025</t>
  </si>
  <si>
    <t>-524.944811599884 40.621065900283 -226.278372819209</t>
  </si>
  <si>
    <t>-433.090084652343 -11.3004671480223 217.032460475444</t>
  </si>
  <si>
    <t>-592.547828183965 -95.9751829772536 650.681537077288</t>
  </si>
  <si>
    <t>-445.259174440253 -146.659711602873 732.416752795182</t>
  </si>
  <si>
    <t>9763-20170724T164342.020505400.bin</t>
  </si>
  <si>
    <t>-499.148612842409 134.063704586791 -238.354829991096</t>
  </si>
  <si>
    <t>-539.803867633307 131.097245184084 -352.39937523019</t>
  </si>
  <si>
    <t>-555.378790402851 122.289373980053 -472.275940900317</t>
  </si>
  <si>
    <t>-558.931427203639 112.0440160956 -581.258837854772</t>
  </si>
  <si>
    <t>-552.021586405364 99.6344805391261 -689.854878039668</t>
  </si>
  <si>
    <t>-531.551911624852 80.2226230334385 -839.53517317266</t>
  </si>
  <si>
    <t>-487.424372316957 66.284181626939 -930.317612769402</t>
  </si>
  <si>
    <t>-531.964668519118 119.282335530814 -776.075772007914</t>
  </si>
  <si>
    <t>-504.085991382824 262.912428653363 -761.377228631703</t>
  </si>
  <si>
    <t>-466.583636259239 305.549792187643 -449.990279876091</t>
  </si>
  <si>
    <t>-278.719164579267 203.358276819235 -301.984053611624</t>
  </si>
  <si>
    <t>-549.253537540831 58.3412385298772 -770.536852420257</t>
  </si>
  <si>
    <t>-473.312801709508 227.629069143933 -249.763426590322</t>
  </si>
  <si>
    <t>-463.410725454455 209.977796304711 205.481665323422</t>
  </si>
  <si>
    <t>-493.26167843744 164.285407242792 672.209581342661</t>
  </si>
  <si>
    <t>-340.241948966616 152.84848470843 758.219333472867</t>
  </si>
  <si>
    <t>-524.829533458585 40.4655817674556 -226.317275549288</t>
  </si>
  <si>
    <t>-433.120946400042 -11.4049875360989 217.029920286122</t>
  </si>
  <si>
    <t>-592.56431565231 -96.0637407620165 650.682824179922</t>
  </si>
  <si>
    <t>-445.156571893183 -146.397216994278 732.420161281289</t>
  </si>
  <si>
    <t>9763-20170724T164342.085457800.bin</t>
  </si>
  <si>
    <t>-498.837889319982 134.033988955735 -238.362579484367</t>
  </si>
  <si>
    <t>-539.485474428591 131.062126397181 -352.409643350814</t>
  </si>
  <si>
    <t>-555.004504135998 122.195068098089 -472.289160798678</t>
  </si>
  <si>
    <t>-558.486650323088 111.876242261822 -581.267351384109</t>
  </si>
  <si>
    <t>-551.486796164405 99.3747477157196 -689.847186574853</t>
  </si>
  <si>
    <t>-530.872346969881 79.8173836947776 -839.488668567201</t>
  </si>
  <si>
    <t>-487.162983936183 65.9722100237446 -930.487373868053</t>
  </si>
  <si>
    <t>-531.355984625405 118.941311499473 -776.069288978543</t>
  </si>
  <si>
    <t>-503.50118048594 262.591353170066 -761.41988177809</t>
  </si>
  <si>
    <t>-467.360890681458 306.055457562526 -449.986217029527</t>
  </si>
  <si>
    <t>-279.541622776354 203.753305626047 -301.998924770632</t>
  </si>
  <si>
    <t>-548.631174330877 58.0005387363363 -770.484548636221</t>
  </si>
  <si>
    <t>-473.010937459881 227.708993220052 -249.766395467972</t>
  </si>
  <si>
    <t>-463.232577881624 210.143850761033 205.48470439642</t>
  </si>
  <si>
    <t>-493.358418676192 164.817810326075 672.192374048089</t>
  </si>
  <si>
    <t>-340.414568474045 152.630475369531 758.234100751314</t>
  </si>
  <si>
    <t>-524.532723224245 40.4081660529576 -226.275540009286</t>
  </si>
  <si>
    <t>-432.91624613526 -11.4892836962245 217.087504341303</t>
  </si>
  <si>
    <t>-592.590336779717 -96.1800099958374 650.663021392715</t>
  </si>
  <si>
    <t>-445.064978232107 -146.154735160705 732.408494541744</t>
  </si>
  <si>
    <t>9763-20170724T164342.118545600.bin</t>
  </si>
  <si>
    <t>-498.525500742742 133.789300063348 -238.337648426466</t>
  </si>
  <si>
    <t>-539.139798568113 130.793610986841 -352.39610680779</t>
  </si>
  <si>
    <t>-554.645886227884 121.901207032993 -472.275457739526</t>
  </si>
  <si>
    <t>-558.124795697004 111.560638580763 -581.251642283618</t>
  </si>
  <si>
    <t>-551.130179622654 99.0393366755713 -689.829466908634</t>
  </si>
  <si>
    <t>-530.531565827024 79.4574606262612 -839.469919361368</t>
  </si>
  <si>
    <t>-486.905337074979 65.6462633868505 -930.513711111377</t>
  </si>
  <si>
    <t>-531.016985757507 118.594044913314 -776.058361700115</t>
  </si>
  <si>
    <t>-503.170337953922 262.238984612774 -761.444954932065</t>
  </si>
  <si>
    <t>-467.626692655812 306.170088559285 -450.008195855319</t>
  </si>
  <si>
    <t>-279.7607733861 203.82628557141 -302.108754264158</t>
  </si>
  <si>
    <t>-548.274625122579 57.649654895182 -770.458751478984</t>
  </si>
  <si>
    <t>-472.624959231206 227.275338984321 -249.769662590815</t>
  </si>
  <si>
    <t>-462.945170659988 209.764099553481 205.485520595576</t>
  </si>
  <si>
    <t>-493.206563001662 164.219630921163 672.197157646795</t>
  </si>
  <si>
    <t>-340.135628070087 153.446627497376 758.201428733626</t>
  </si>
  <si>
    <t>-524.247730963648 40.2645245135554 -226.273377966639</t>
  </si>
  <si>
    <t>-432.77158171655 -11.6136246587688 217.120917381264</t>
  </si>
  <si>
    <t>-592.596319245566 -96.2188728148063 650.648341429316</t>
  </si>
  <si>
    <t>-445.084996613856 -146.224991612651 732.399905207971</t>
  </si>
  <si>
    <t>9763-20170724T164342.185250900.bin</t>
  </si>
  <si>
    <t>-497.950420151744 134.028775771665 -238.3485610154</t>
  </si>
  <si>
    <t>-538.517042457459 130.99135167634 -352.42281691737</t>
  </si>
  <si>
    <t>-554.014977740597 122.039624168624 -472.29868305251</t>
  </si>
  <si>
    <t>-557.503772368753 111.637752412809 -581.268749295203</t>
  </si>
  <si>
    <t>-550.53630006017 99.0471714655655 -689.840390941909</t>
  </si>
  <si>
    <t>-529.993324642664 79.3601014343878 -839.47462069843</t>
  </si>
  <si>
    <t>-486.422182246408 65.5310769120823 -930.542199159349</t>
  </si>
  <si>
    <t>-530.454249707224 118.540975866162 -776.090291668541</t>
  </si>
  <si>
    <t>-502.724342408885 262.217471258906 -761.539676048977</t>
  </si>
  <si>
    <t>-467.932573922626 306.724789210883 -450.099630412592</t>
  </si>
  <si>
    <t>-279.968186448037 204.433245531098 -302.28933249038</t>
  </si>
  <si>
    <t>-547.711650184199 57.6010692591139 -770.441804599972</t>
  </si>
  <si>
    <t>-472.104945253988 227.564851584332 -249.776329273086</t>
  </si>
  <si>
    <t>-462.512988524033 210.08929151406 205.482090503471</t>
  </si>
  <si>
    <t>-493.273521927457 164.56616317601 672.183202873986</t>
  </si>
  <si>
    <t>-340.325050445193 152.445603038778 758.226097052524</t>
  </si>
  <si>
    <t>-523.629365056072 40.5701906264641 -226.280149126654</t>
  </si>
  <si>
    <t>-432.463796882352 -11.1905587327729 217.191775965872</t>
  </si>
  <si>
    <t>-592.537922535124 -95.6833936499611 650.592725621619</t>
  </si>
  <si>
    <t>-445.303936974465 -146.405976985832 732.402791101297</t>
  </si>
  <si>
    <t>9763-20170724T164342.223355800.bin</t>
  </si>
  <si>
    <t>-497.642133141574 133.914724265932 -238.335839372303</t>
  </si>
  <si>
    <t>-538.19432471957 130.855595078109 -352.414529262775</t>
  </si>
  <si>
    <t>-553.665594724688 121.885053963689 -472.292578403399</t>
  </si>
  <si>
    <t>-557.125212273019 111.468345287627 -581.262080152031</t>
  </si>
  <si>
    <t>-550.123814377997 98.8654988317262 -689.830087111803</t>
  </si>
  <si>
    <t>-529.528908211071 79.1643828187716 -839.455280984345</t>
  </si>
  <si>
    <t>-485.911226830742 65.3268838185435 -930.499231614427</t>
  </si>
  <si>
    <t>-530.023572555117 118.354376835323 -776.076959975652</t>
  </si>
  <si>
    <t>-502.30792852873 262.038025154786 -761.542759399511</t>
  </si>
  <si>
    <t>-468.030568692493 306.855734117127 -450.090361480732</t>
  </si>
  <si>
    <t>-280.001878381778 204.542637280476 -302.376719059372</t>
  </si>
  <si>
    <t>-547.259377342113 57.4086573241376 -770.42468708648</t>
  </si>
  <si>
    <t>-471.792090438356 227.395013799188 -249.76527663152</t>
  </si>
  <si>
    <t>-462.265528539728 209.971860089069 205.496592470837</t>
  </si>
  <si>
    <t>-493.244141093779 164.494779080546 672.176198556106</t>
  </si>
  <si>
    <t>-340.227111389444 153.132241562437 758.200616668443</t>
  </si>
  <si>
    <t>-523.337308418333 40.4345025882221 -226.251853691294</t>
  </si>
  <si>
    <t>-432.231008362845 -11.2104066628204 217.245827775073</t>
  </si>
  <si>
    <t>-592.524667112599 -95.7031067478796 650.566826006172</t>
  </si>
  <si>
    <t>-445.291912695935 -146.393594938058 732.398972141355</t>
  </si>
  <si>
    <t>9763-20170724T164342.289948200.bin</t>
  </si>
  <si>
    <t>-497.044559301522 133.675592868539 -238.354914336613</t>
  </si>
  <si>
    <t>-537.589328674145 130.548682363178 -352.434530327866</t>
  </si>
  <si>
    <t>-553.044814704221 121.506269580834 -472.30905501171</t>
  </si>
  <si>
    <t>-556.487324202216 111.021911445976 -581.272738020294</t>
  </si>
  <si>
    <t>-549.466232374212 98.3483993926345 -689.831155350644</t>
  </si>
  <si>
    <t>-528.84181218983 78.545648125001 -839.438893643502</t>
  </si>
  <si>
    <t>-484.974136937117 64.6295914984949 -930.350741936404</t>
  </si>
  <si>
    <t>-529.339917544058 117.776200073119 -776.085756556597</t>
  </si>
  <si>
    <t>-501.596900254452 261.459880567047 -761.579759654008</t>
  </si>
  <si>
    <t>-468.420255668338 307.197031478385 -450.141890912404</t>
  </si>
  <si>
    <t>-280.365134818297 204.810717571608 -302.512667098329</t>
  </si>
  <si>
    <t>-546.595071271468 56.8392506069292 -770.398566576817</t>
  </si>
  <si>
    <t>-471.179271177695 227.052455165482 -249.811560718592</t>
  </si>
  <si>
    <t>-461.956009461894 209.7603344829 205.461434163938</t>
  </si>
  <si>
    <t>-493.114523289851 164.175342353558 672.125623834512</t>
  </si>
  <si>
    <t>-340.074289521865 153.273054299494 758.168324998225</t>
  </si>
  <si>
    <t>-522.766162309233 40.2834468913174 -226.201778979787</t>
  </si>
  <si>
    <t>-431.865140337491 -11.3991531234556 217.333563366747</t>
  </si>
  <si>
    <t>-592.527558815556 -96.1081769583625 650.529455235155</t>
  </si>
  <si>
    <t>-445.239126409378 -146.567862068928 732.404161524151</t>
  </si>
  <si>
    <t>9763-20170724T164342.323032800.bin</t>
  </si>
  <si>
    <t>-496.834891672842 133.703540714915 -238.356508400946</t>
  </si>
  <si>
    <t>-537.259499491432 130.524042113429 -352.477220955437</t>
  </si>
  <si>
    <t>-552.675197825893 121.446546352361 -472.354356546773</t>
  </si>
  <si>
    <t>-556.116983523795 110.935786390411 -581.31546542134</t>
  </si>
  <si>
    <t>-549.130929953733 98.2396726823329 -689.873450664613</t>
  </si>
  <si>
    <t>-528.59208016579 78.4080517659689 -839.489223535184</t>
  </si>
  <si>
    <t>-484.45524349397 64.4456409769768 -930.263583265187</t>
  </si>
  <si>
    <t>-529.051300299622 117.65011817822 -776.1428578964</t>
  </si>
  <si>
    <t>-501.315160100878 261.33570324143 -761.675032069857</t>
  </si>
  <si>
    <t>-468.561601364603 307.351255911451 -450.233208039417</t>
  </si>
  <si>
    <t>-280.519315242356 205.022036183831 -302.548115304104</t>
  </si>
  <si>
    <t>-546.30847047047 56.7156916186842 -770.435010430945</t>
  </si>
  <si>
    <t>-471.001167782326 227.154776627408 -249.849483282242</t>
  </si>
  <si>
    <t>-461.945577968364 209.907369919733 205.428767629968</t>
  </si>
  <si>
    <t>-493.157395698289 164.463911296352 672.103246843581</t>
  </si>
  <si>
    <t>-340.194764019538 152.808207984292 758.185035684483</t>
  </si>
  <si>
    <t>-522.485580670965 40.2589503996912 -226.250449698565</t>
  </si>
  <si>
    <t>-431.810568298987 -11.3355968519483 217.341406692874</t>
  </si>
  <si>
    <t>-592.511682120341 -95.9246226109012 650.525794035559</t>
  </si>
  <si>
    <t>-445.222373517665 -146.346344216692 732.422173176708</t>
  </si>
  <si>
    <t>9763-20170724T164342.388044100.bin</t>
  </si>
  <si>
    <t>-496.307016126158 133.491642579879 -238.43215426155</t>
  </si>
  <si>
    <t>-536.67425234392 130.292174122777 -352.572650096996</t>
  </si>
  <si>
    <t>-552.128491003583 121.184413012982 -472.442568541244</t>
  </si>
  <si>
    <t>-555.645244897205 110.642124930294 -581.398211090568</t>
  </si>
  <si>
    <t>-548.773918465754 97.9099678947648 -689.959371542628</t>
  </si>
  <si>
    <t>-528.434585631279 78.0232326922695 -839.595051182761</t>
  </si>
  <si>
    <t>-483.363565780086 63.9190920848062 -929.887143319508</t>
  </si>
  <si>
    <t>-528.837989045612 117.296318703212 -776.267521088309</t>
  </si>
  <si>
    <t>-501.17595088285 261.009352122221 -761.880126129014</t>
  </si>
  <si>
    <t>-468.812025429766 307.405287760874 -450.454011043461</t>
  </si>
  <si>
    <t>-280.740518045512 205.340547192692 -302.623302899055</t>
  </si>
  <si>
    <t>-546.030281461974 56.348732638533 -770.504438577456</t>
  </si>
  <si>
    <t>-470.55765708591 227.013119445283 -249.896588473479</t>
  </si>
  <si>
    <t>-461.795665662364 209.901098796391 205.392465128296</t>
  </si>
  <si>
    <t>-493.180698911791 164.767325053799 672.06352774973</t>
  </si>
  <si>
    <t>-340.244033026898 153.033584538575 758.180917419557</t>
  </si>
  <si>
    <t>-521.925495735193 40.0804348571805 -226.316734220578</t>
  </si>
  <si>
    <t>-431.636148942432 -11.2520235553289 217.384221383008</t>
  </si>
  <si>
    <t>-592.502375422385 -95.8164755100175 650.509037528839</t>
  </si>
  <si>
    <t>-445.313885309247 -146.439498598149 732.462367287573</t>
  </si>
  <si>
    <t>9763-20170724T164342.421139000.bin</t>
  </si>
  <si>
    <t>-496.088902016692 133.497078725028 -238.43880878698</t>
  </si>
  <si>
    <t>-536.446955231594 130.26865830799 -352.581728884749</t>
  </si>
  <si>
    <t>-551.927570458556 121.135305794686 -472.446313307821</t>
  </si>
  <si>
    <t>-555.482775848661 110.571799578311 -581.398750292358</t>
  </si>
  <si>
    <t>-548.664421673504 97.820257464976 -689.960885421272</t>
  </si>
  <si>
    <t>-528.41301513919 77.9083756201823 -839.605096929438</t>
  </si>
  <si>
    <t>-482.791113212409 63.7205005371921 -929.60686413091</t>
  </si>
  <si>
    <t>-528.798187389594 117.19710871941 -776.287260719267</t>
  </si>
  <si>
    <t>-501.226098112544 260.924579101855 -761.945947624675</t>
  </si>
  <si>
    <t>-468.920287854432 307.524578531024 -450.544409562611</t>
  </si>
  <si>
    <t>-280.792875017408 205.57858706689 -302.702792451378</t>
  </si>
  <si>
    <t>-545.94906507589 56.2404113940239 -770.497301249196</t>
  </si>
  <si>
    <t>-470.355792526763 226.936652961017 -249.896643797236</t>
  </si>
  <si>
    <t>-461.621147358784 209.894535695223 205.395507561198</t>
  </si>
  <si>
    <t>-493.127066791543 164.548537371285 672.071820956293</t>
  </si>
  <si>
    <t>-340.191225037467 152.823774245265 758.191969794958</t>
  </si>
  <si>
    <t>-521.674079980956 40.1044415648319 -226.315231243695</t>
  </si>
  <si>
    <t>-431.473249247733 -11.1554717760204 217.412032392157</t>
  </si>
  <si>
    <t>-592.485995708959 -95.7434660124099 650.485163701538</t>
  </si>
  <si>
    <t>-445.498955893598 -146.885897695768 732.47765461953</t>
  </si>
  <si>
    <t>9763-20170724T164342.490899300.bin</t>
  </si>
  <si>
    <t>-495.587304445206 133.301498568146 -238.376786436939</t>
  </si>
  <si>
    <t>-535.924593631572 129.994037636272 -352.524855948257</t>
  </si>
  <si>
    <t>-551.324074242316 120.78187400179 -472.393650353866</t>
  </si>
  <si>
    <t>-554.781130204114 110.150866381785 -581.342615274676</t>
  </si>
  <si>
    <t>-547.84008050078 97.3379925095197 -689.889946359012</t>
  </si>
  <si>
    <t>-527.393812025067 77.3493627683241 -839.497429465702</t>
  </si>
  <si>
    <t>-480.82300590642 63.0849244565407 -928.999729699683</t>
  </si>
  <si>
    <t>-527.900662686672 116.680950140822 -776.206932967357</t>
  </si>
  <si>
    <t>-500.576713233054 260.457443752245 -761.888446944922</t>
  </si>
  <si>
    <t>-468.940076654897 307.773828931659 -450.526099700186</t>
  </si>
  <si>
    <t>-280.52006260312 206.012709597093 -302.929897965184</t>
  </si>
  <si>
    <t>-544.98051115774 55.7064588403189 -770.394462630973</t>
  </si>
  <si>
    <t>-469.894762190985 226.637298985613 -249.880153948964</t>
  </si>
  <si>
    <t>-461.253830712308 209.754748770709 205.419807114275</t>
  </si>
  <si>
    <t>-493.049889307155 164.328237377944 672.066415327085</t>
  </si>
  <si>
    <t>-340.058351422153 153.319472464897 758.181980101631</t>
  </si>
  <si>
    <t>-521.102112707966 39.9096697408309 -226.229540750608</t>
  </si>
  <si>
    <t>-431.091816956243 -11.3337427613276 217.538310733512</t>
  </si>
  <si>
    <t>-592.500646955318 -96.0311301093867 650.460793612483</t>
  </si>
  <si>
    <t>-445.433863268666 -146.918719498995 732.468842868652</t>
  </si>
  <si>
    <t>9763-20170724T164342.524989600.bin</t>
  </si>
  <si>
    <t>-495.375027578184 133.234251072384 -238.383295344015</t>
  </si>
  <si>
    <t>-535.766040141164 129.919902877009 -352.51196976954</t>
  </si>
  <si>
    <t>-551.15891206606 120.69372787302 -472.380653050573</t>
  </si>
  <si>
    <t>-554.58416718873 110.048863477697 -581.329291266632</t>
  </si>
  <si>
    <t>-547.585580215162 97.2215294967404 -689.871193335421</t>
  </si>
  <si>
    <t>-527.033046902255 77.2132825005116 -839.461506444878</t>
  </si>
  <si>
    <t>-480.081826224133 62.9193693792271 -928.760241291112</t>
  </si>
  <si>
    <t>-527.599544583084 116.557071445581 -776.179120273028</t>
  </si>
  <si>
    <t>-500.310455345869 260.337104226932 -761.828835076285</t>
  </si>
  <si>
    <t>-469.278596242126 308.048119850128 -450.465741149395</t>
  </si>
  <si>
    <t>-280.745383926361 206.426185355335 -302.918434245319</t>
  </si>
  <si>
    <t>-544.654277256371 55.5755979296391 -770.365768738518</t>
  </si>
  <si>
    <t>-469.754832452295 226.62876194121 -249.881536141462</t>
  </si>
  <si>
    <t>-461.023530708579 209.798977947778 205.41849972375</t>
  </si>
  <si>
    <t>-493.046609933653 164.390247323314 672.055485897359</t>
  </si>
  <si>
    <t>-340.093224043262 153.043050562343 758.195001951338</t>
  </si>
  <si>
    <t>-520.861671309998 39.8543199930036 -226.200425536474</t>
  </si>
  <si>
    <t>-430.870000998493 -11.3150272107688 217.579769687425</t>
  </si>
  <si>
    <t>-592.467396346261 -95.8324672585738 650.415409076874</t>
  </si>
  <si>
    <t>-445.318058996607 -146.444899080756 732.445593056253</t>
  </si>
  <si>
    <t>9763-20170724T164342.588734700.bin</t>
  </si>
  <si>
    <t>-494.926326673147 132.880560213975 -238.40561233646</t>
  </si>
  <si>
    <t>-535.279062773726 129.523255782843 -352.546671514701</t>
  </si>
  <si>
    <t>-550.581865740663 120.261596133545 -472.424233552464</t>
  </si>
  <si>
    <t>-553.904851755916 109.589288324315 -581.373331727149</t>
  </si>
  <si>
    <t>-546.783969530313 96.7400349791863 -689.904554618354</t>
  </si>
  <si>
    <t>-526.041508803494 76.7082309299068 -839.465496646649</t>
  </si>
  <si>
    <t>-478.632971486052 62.365152954902 -928.514366656888</t>
  </si>
  <si>
    <t>-526.714048747724 116.068744761975 -776.194597306917</t>
  </si>
  <si>
    <t>-499.529304078923 259.870526776514 -761.81541677457</t>
  </si>
  <si>
    <t>-470.031577330847 307.824361323984 -450.340743460427</t>
  </si>
  <si>
    <t>-281.363107578551 206.336252301317 -302.87412755098</t>
  </si>
  <si>
    <t>-543.7247577525 55.074661723669 -770.384431140779</t>
  </si>
  <si>
    <t>-469.267574116491 226.386107950396 -249.912065240395</t>
  </si>
  <si>
    <t>-460.609634741113 209.719737637377 205.395525114533</t>
  </si>
  <si>
    <t>-493.096166482194 164.794634431458 672.005887950082</t>
  </si>
  <si>
    <t>-340.196066031829 153.126845043657 758.197172257439</t>
  </si>
  <si>
    <t>-520.397802867462 39.3766715058767 -226.239917607683</t>
  </si>
  <si>
    <t>-430.638580637082 -11.5227487726771 217.61841800321</t>
  </si>
  <si>
    <t>-592.466362011832 -96.298999309406 650.379600083876</t>
  </si>
  <si>
    <t>-445.016915429248 -145.977467277668 732.442005576797</t>
  </si>
  <si>
    <t>9763-20170724T164342.623828500.bin</t>
  </si>
  <si>
    <t>-494.749225818081 132.532814780109 -238.432634924223</t>
  </si>
  <si>
    <t>-535.026032048828 129.154960826409 -352.600037490594</t>
  </si>
  <si>
    <t>-550.26218971644 119.877488842441 -472.484796056153</t>
  </si>
  <si>
    <t>-553.53006188928 109.192537945569 -581.434289587837</t>
  </si>
  <si>
    <t>-546.359775756292 96.3325362149768 -689.960989505421</t>
  </si>
  <si>
    <t>-525.555009516556 76.2870602258458 -839.511556764651</t>
  </si>
  <si>
    <t>-478.01902581097 61.9165562216649 -928.487847313346</t>
  </si>
  <si>
    <t>-526.270122028628 115.65755315832 -776.247233039913</t>
  </si>
  <si>
    <t>-499.18639913082 259.472612016748 -761.833812659191</t>
  </si>
  <si>
    <t>-470.267183065966 307.689351298541 -450.345465013687</t>
  </si>
  <si>
    <t>-281.607528598926 206.210695786445 -302.860933408168</t>
  </si>
  <si>
    <t>-543.250790692381 54.6555130145702 -770.432912879729</t>
  </si>
  <si>
    <t>-469.126163880271 225.975224215785 -249.925180878808</t>
  </si>
  <si>
    <t>-460.4862255923 209.396702123409 205.38590333738</t>
  </si>
  <si>
    <t>-492.988903350587 164.368661770198 672.00804104889</t>
  </si>
  <si>
    <t>-340.009186180919 153.664374625918 758.183079172084</t>
  </si>
  <si>
    <t>-520.18453088292 39.0897759334325 -226.308054467621</t>
  </si>
  <si>
    <t>-430.622353878688 -11.6092902344351 217.612999341993</t>
  </si>
  <si>
    <t>-592.46578337162 -96.264545212065 650.391751057655</t>
  </si>
  <si>
    <t>-445.157455036809 -146.289885637737 732.496875153797</t>
  </si>
  <si>
    <t>9763-20170724T164342.691011600.bin</t>
  </si>
  <si>
    <t>-494.517327146199 132.213389646315 -238.489754405281</t>
  </si>
  <si>
    <t>-534.747492974416 128.77647358835 -352.671762243406</t>
  </si>
  <si>
    <t>-549.915387262215 119.455480728592 -472.561753457139</t>
  </si>
  <si>
    <t>-553.113407164005 108.738398977731 -581.510215429773</t>
  </si>
  <si>
    <t>-545.865828660075 95.8533856331191 -690.028986690653</t>
  </si>
  <si>
    <t>-524.946502715889 75.7813436434323 -839.559816176165</t>
  </si>
  <si>
    <t>-477.24551494225 61.3684413371763 -928.441015333009</t>
  </si>
  <si>
    <t>-525.749220592348 115.173341880604 -776.309939475894</t>
  </si>
  <si>
    <t>-498.823166892553 259.017478176743 -761.901494079738</t>
  </si>
  <si>
    <t>-470.918690234029 307.692453169243 -450.391929997987</t>
  </si>
  <si>
    <t>-282.386131945757 206.493815212593 -302.553024199149</t>
  </si>
  <si>
    <t>-542.65602325987 54.1518973929105 -770.484164565204</t>
  </si>
  <si>
    <t>-468.9747088351 225.603527365647 -249.988476609615</t>
  </si>
  <si>
    <t>-460.557021720001 209.245312449203 205.334769921926</t>
  </si>
  <si>
    <t>-492.942180184893 164.337740232241 671.968729677828</t>
  </si>
  <si>
    <t>-339.977648738814 153.600955988214 758.166635728403</t>
  </si>
  <si>
    <t>-519.946178793852 38.875449540927 -226.326301364001</t>
  </si>
  <si>
    <t>-430.502157044059 -11.7023248550787 217.632330068677</t>
  </si>
  <si>
    <t>-592.450714715365 -96.3109339922306 650.374319980332</t>
  </si>
  <si>
    <t>-445.248028751295 -146.545192410357 732.541281345601</t>
  </si>
  <si>
    <t>9763-20170724T164342.726105500.bin</t>
  </si>
  <si>
    <t>-494.432262074935 132.1571539696 -238.498257188251</t>
  </si>
  <si>
    <t>-534.622834399967 128.68468638399 -352.693059836761</t>
  </si>
  <si>
    <t>-549.739602771144 119.323869035942 -472.586553298615</t>
  </si>
  <si>
    <t>-552.887363604168 108.569705951255 -581.532811681539</t>
  </si>
  <si>
    <t>-545.585721349897 95.646741438995 -690.043382005204</t>
  </si>
  <si>
    <t>-524.588000080025 75.5211498920586 -839.556094569436</t>
  </si>
  <si>
    <t>-476.817234165701 61.0842426201473 -928.395893803023</t>
  </si>
  <si>
    <t>-525.436595987681 114.93907095297 -776.32296387841</t>
  </si>
  <si>
    <t>-498.610496372423 258.813041707313 -761.92360573617</t>
  </si>
  <si>
    <t>-471.16655891415 307.773589753532 -450.41787194443</t>
  </si>
  <si>
    <t>-282.693577861724 206.694445119749 -302.421088139475</t>
  </si>
  <si>
    <t>-542.321025903722 53.9131294058651 -770.479655951284</t>
  </si>
  <si>
    <t>-468.931198553115 225.566704987495 -250.014756094598</t>
  </si>
  <si>
    <t>-460.562409981589 209.325659979125 205.313508845832</t>
  </si>
  <si>
    <t>-493.000395209338 164.643541827401 671.957296414076</t>
  </si>
  <si>
    <t>-340.072936873532 153.564073233589 758.177637230319</t>
  </si>
  <si>
    <t>-519.767710911869 38.8095331587307 -226.341313708322</t>
  </si>
  <si>
    <t>-430.396119943457 -11.6291716203218 217.647793106494</t>
  </si>
  <si>
    <t>-592.442071200295 -96.1745965583831 650.368811121645</t>
  </si>
  <si>
    <t>-445.341584496893 -146.678837039801 732.55325385519</t>
  </si>
  <si>
    <t>9763-20170724T164342.789298700.bin</t>
  </si>
  <si>
    <t>-494.218926185766 131.92958473598 -238.485005742223</t>
  </si>
  <si>
    <t>-534.392956999134 128.393873902443 -352.683729731305</t>
  </si>
  <si>
    <t>-549.462551857747 118.961292363461 -472.577486173863</t>
  </si>
  <si>
    <t>-552.555422327338 108.140013563342 -581.518648148459</t>
  </si>
  <si>
    <t>-545.187169851431 95.1485103170185 -690.016555070333</t>
  </si>
  <si>
    <t>-524.085121433017 74.9269328940594 -839.50161292205</t>
  </si>
  <si>
    <t>-476.191601098602 60.4549516842214 -928.269581673207</t>
  </si>
  <si>
    <t>-525.002303552804 114.391841102253 -776.298755457714</t>
  </si>
  <si>
    <t>-498.330210611586 258.29882899449 -761.953468918052</t>
  </si>
  <si>
    <t>-471.711136948866 308.078770984058 -450.50599301098</t>
  </si>
  <si>
    <t>-283.288953932077 207.420986374322 -302.157897011421</t>
  </si>
  <si>
    <t>-541.841899569816 53.3569014170731 -770.419407039102</t>
  </si>
  <si>
    <t>-468.789117899925 225.382439024798 -250.035993203125</t>
  </si>
  <si>
    <t>-460.409158944437 209.312805307221 205.298204468321</t>
  </si>
  <si>
    <t>-492.99012122452 164.661156923416 671.954644129556</t>
  </si>
  <si>
    <t>-340.146338963921 152.756500434751 758.213427278321</t>
  </si>
  <si>
    <t>-519.491991853553 38.461167949603 -226.303528953177</t>
  </si>
  <si>
    <t>-430.163429368765 -11.7603581926375 217.718861555602</t>
  </si>
  <si>
    <t>-592.458849213511 -96.5433929550056 650.342204352304</t>
  </si>
  <si>
    <t>-445.062321435506 -146.204316627521 732.510140466348</t>
  </si>
  <si>
    <t>9763-20170724T164342.822364300.bin</t>
  </si>
  <si>
    <t>-494.086313250044 131.835904235833 -238.493767130039</t>
  </si>
  <si>
    <t>-534.297255447056 128.276570931336 -352.678834185428</t>
  </si>
  <si>
    <t>-549.370083338199 118.810647669938 -472.569464451958</t>
  </si>
  <si>
    <t>-552.450999917534 107.957162257904 -581.507814267481</t>
  </si>
  <si>
    <t>-545.055921401726 94.9328954502203 -689.999994031235</t>
  </si>
  <si>
    <t>-523.90144493559 74.666060408859 -839.471483814976</t>
  </si>
  <si>
    <t>-475.942209481583 60.1810493605185 -928.201844032684</t>
  </si>
  <si>
    <t>-524.862911500744 114.155826172544 -776.284791132382</t>
  </si>
  <si>
    <t>-498.344991490705 258.090303970094 -761.97865153369</t>
  </si>
  <si>
    <t>-472.092546996037 308.0583033155 -450.530042096963</t>
  </si>
  <si>
    <t>-283.692529302483 207.609348887713 -302.012527983499</t>
  </si>
  <si>
    <t>-541.660353817141 53.1112256344363 -770.385053760679</t>
  </si>
  <si>
    <t>-468.693847468409 225.167891102761 -250.048257614477</t>
  </si>
  <si>
    <t>-460.338581799632 209.200596830763 205.289924903285</t>
  </si>
  <si>
    <t>-492.994443660677 164.731223774711 671.949778152162</t>
  </si>
  <si>
    <t>-340.088713936718 153.538602238958 758.194010422983</t>
  </si>
  <si>
    <t>-519.362177202116 38.5205703006725 -226.293081775393</t>
  </si>
  <si>
    <t>-430.030849882127 -11.5911660067344 217.741193650194</t>
  </si>
  <si>
    <t>-592.414835581025 -96.0607545672871 650.308602066742</t>
  </si>
  <si>
    <t>-445.382773471586 -146.691457315489 732.537640009768</t>
  </si>
  <si>
    <t>9763-20170724T164342.887548300.bin</t>
  </si>
  <si>
    <t>-493.979218523681 131.331734453656 -238.498091500859</t>
  </si>
  <si>
    <t>-534.180895588666 127.703535431064 -352.684183671423</t>
  </si>
  <si>
    <t>-549.260647577587 118.183601499028 -472.569710219585</t>
  </si>
  <si>
    <t>-552.354834877049 107.287837085978 -581.503509670598</t>
  </si>
  <si>
    <t>-544.979949527884 94.2275195573589 -689.992515402368</t>
  </si>
  <si>
    <t>-523.860459394435 73.9171518347129 -839.463063940896</t>
  </si>
  <si>
    <t>-475.80228005148 59.399231182835 -928.134620984339</t>
  </si>
  <si>
    <t>-524.84290909013 113.434471720885 -776.294026980677</t>
  </si>
  <si>
    <t>-498.517371760602 257.413156904655 -762.094040014572</t>
  </si>
  <si>
    <t>-472.836085392846 307.801063787122 -450.66553596942</t>
  </si>
  <si>
    <t>-284.53006757482 207.712402421304 -301.785767527401</t>
  </si>
  <si>
    <t>-541.567495676284 52.3732522525379 -770.360019678644</t>
  </si>
  <si>
    <t>-468.6730707058 224.595856207335 -250.062143189598</t>
  </si>
  <si>
    <t>-460.263277345389 208.813106471941 205.281602609796</t>
  </si>
  <si>
    <t>-492.877638333662 164.238840424899 671.965261534905</t>
  </si>
  <si>
    <t>-339.908037507163 153.790873015071 758.189713337736</t>
  </si>
  <si>
    <t>-519.130211470229 38.0628860268897 -226.28555453787</t>
  </si>
  <si>
    <t>-429.874953421306 -11.8165857544861 217.790060607803</t>
  </si>
  <si>
    <t>-592.438410920541 -96.2806552772197 650.310365041967</t>
  </si>
  <si>
    <t>-445.281052409319 -146.526285719427 732.551473305131</t>
  </si>
  <si>
    <t>9763-20170724T164342.920635800.bin</t>
  </si>
  <si>
    <t>-493.932156893714 131.217714370116 -238.525481769687</t>
  </si>
  <si>
    <t>-534.115751946081 127.566023951778 -352.717313717682</t>
  </si>
  <si>
    <t>-549.189333379453 118.019390665687 -472.601426640945</t>
  </si>
  <si>
    <t>-552.283002735716 107.098563656961 -581.532677458383</t>
  </si>
  <si>
    <t>-544.912795347917 94.0122779227839 -690.01905307202</t>
  </si>
  <si>
    <t>-523.805333305299 73.6649157901024 -839.486201124381</t>
  </si>
  <si>
    <t>-475.712180923323 59.1366973560318 -928.137102755773</t>
  </si>
  <si>
    <t>-524.802589576383 113.202907769939 -776.330347002296</t>
  </si>
  <si>
    <t>-498.599746458072 257.209016429917 -762.171460568087</t>
  </si>
  <si>
    <t>-473.098532362641 307.830930834434 -450.766080136125</t>
  </si>
  <si>
    <t>-284.871219559934 207.858655412433 -301.708873559513</t>
  </si>
  <si>
    <t>-541.4868582196 52.1329947544497 -770.372855686345</t>
  </si>
  <si>
    <t>-468.714974417962 224.45572917633 -250.076562783196</t>
  </si>
  <si>
    <t>-460.301021162281 208.76861287427 205.270262278797</t>
  </si>
  <si>
    <t>-492.907929412163 164.380227728094 671.96499893824</t>
  </si>
  <si>
    <t>-339.954495765683 153.752553525642 758.19621441916</t>
  </si>
  <si>
    <t>-519.007079419468 38.0384866918801 -226.318523822869</t>
  </si>
  <si>
    <t>-429.868202524307 -11.7204889273422 217.794076561767</t>
  </si>
  <si>
    <t>-592.424648405736 -96.0887428170552 650.290567945284</t>
  </si>
  <si>
    <t>-445.360512325097 -146.567194104333 732.555775401694</t>
  </si>
  <si>
    <t>9763-20170724T164342.997844100.bin</t>
  </si>
  <si>
    <t>-494.029166785916 130.772426158365 -238.542744275044</t>
  </si>
  <si>
    <t>-534.207744731204 127.092141060472 -352.735153104417</t>
  </si>
  <si>
    <t>-549.235183364043 117.481658689361 -472.620052761425</t>
  </si>
  <si>
    <t>-552.270272076339 106.490194761363 -581.545883614252</t>
  </si>
  <si>
    <t>-544.824904921131 93.3210206910227 -690.016978458635</t>
  </si>
  <si>
    <t>-523.596539772125 72.8468258663328 -839.449944544437</t>
  </si>
  <si>
    <t>-475.402600097056 58.2702455066505 -928.037942573478</t>
  </si>
  <si>
    <t>-524.675482354547 112.44627402839 -776.333789250569</t>
  </si>
  <si>
    <t>-498.661157541482 256.489382034122 -762.237640204202</t>
  </si>
  <si>
    <t>-473.617558178967 307.626475661741 -450.879307059303</t>
  </si>
  <si>
    <t>-285.464131805729 207.97514492104 -301.51420336506</t>
  </si>
  <si>
    <t>-541.303485357761 51.3658057974045 -770.327178957315</t>
  </si>
  <si>
    <t>-468.903371076673 224.009536738325 -250.095008456</t>
  </si>
  <si>
    <t>-460.36305705362 208.477649427658 205.254852432102</t>
  </si>
  <si>
    <t>-492.871024291687 164.237418922743 671.977603967325</t>
  </si>
  <si>
    <t>-339.853514509144 154.347172625617 758.182883439806</t>
  </si>
  <si>
    <t>-519.027711850017 37.5502899970811 -226.341928358184</t>
  </si>
  <si>
    <t>-429.940128442818 -12.0319771862314 217.800711784155</t>
  </si>
  <si>
    <t>-592.442460626978 -96.4705131761541 650.278868867338</t>
  </si>
  <si>
    <t>-445.161978450154 -146.316642018662 732.54276360668</t>
  </si>
  <si>
    <t>9763-20170724T164343.021908800.bin</t>
  </si>
  <si>
    <t>-494.136278324175 130.879928687504 -238.554027293955</t>
  </si>
  <si>
    <t>-534.349612890987 127.199828598747 -352.734290943586</t>
  </si>
  <si>
    <t>-549.365409470027 117.544784071679 -472.617043368367</t>
  </si>
  <si>
    <t>-552.370035854831 106.496502778256 -581.537908729143</t>
  </si>
  <si>
    <t>-544.874527191363 93.2554605529922 -689.996905247155</t>
  </si>
  <si>
    <t>-523.556492868687 72.666680610722 -839.401250385952</t>
  </si>
  <si>
    <t>-475.303288192701 58.0583397778132 -927.951812510409</t>
  </si>
  <si>
    <t>-524.681365991531 112.316592265604 -776.317588822106</t>
  </si>
  <si>
    <t>-498.73211828009 256.381529053454 -762.229839745439</t>
  </si>
  <si>
    <t>-474.037794248906 307.860797872526 -450.900033313212</t>
  </si>
  <si>
    <t>-285.892679095155 208.369197191478 -301.417945763619</t>
  </si>
  <si>
    <t>-541.296841069911 51.2366090680955 -770.271230525043</t>
  </si>
  <si>
    <t>-469.108109137602 224.207283665074 -250.11076465097</t>
  </si>
  <si>
    <t>-460.550505415988 208.727261002788 205.240524853021</t>
  </si>
  <si>
    <t>-492.940032347255 164.55984173733 671.970655144754</t>
  </si>
  <si>
    <t>-340.025881245982 153.429311694709 758.20807366118</t>
  </si>
  <si>
    <t>-519.053670639104 37.6422114192717 -226.348946722347</t>
  </si>
  <si>
    <t>-429.964660280153 -11.8567024783756 217.80266611606</t>
  </si>
  <si>
    <t>-592.442897529943 -96.264261563121 650.289243902959</t>
  </si>
  <si>
    <t>-445.309458892391 -146.526530975639 732.562948919678</t>
  </si>
  <si>
    <t>9763-20170724T164343.088106000.bin</t>
  </si>
  <si>
    <t>-494.262032301523 130.897897372156 -238.549094344275</t>
  </si>
  <si>
    <t>-534.379157108676 127.115750002247 -352.759918623724</t>
  </si>
  <si>
    <t>-549.256568752276 117.323296808674 -472.648672815325</t>
  </si>
  <si>
    <t>-552.120143739319 106.138360629937 -581.559523604206</t>
  </si>
  <si>
    <t>-544.469157163649 92.7492910509433 -689.989305217178</t>
  </si>
  <si>
    <t>-522.921225711229 71.9442036349865 -839.330669525344</t>
  </si>
  <si>
    <t>-474.505562279145 57.2686206568359 -927.781412847177</t>
  </si>
  <si>
    <t>-524.162191319335 111.690238665405 -776.309931819064</t>
  </si>
  <si>
    <t>-498.340387665084 255.780632733315 -762.316951194808</t>
  </si>
  <si>
    <t>-474.460087875418 307.835267667626 -451.019297715804</t>
  </si>
  <si>
    <t>-286.411501348956 208.660744994281 -301.205335240999</t>
  </si>
  <si>
    <t>-540.748911075222 50.6093667825208 -770.193813718441</t>
  </si>
  <si>
    <t>-469.281467756873 224.115741013895 -250.159653095474</t>
  </si>
  <si>
    <t>-460.859621321734 208.770178942795 205.198656867643</t>
  </si>
  <si>
    <t>-492.902498173677 164.493020405463 671.969019965284</t>
  </si>
  <si>
    <t>-340.006696288075 153.084378962928 758.202595840593</t>
  </si>
  <si>
    <t>-519.054518363496 37.6558991169151 -226.347846164323</t>
  </si>
  <si>
    <t>-430.037932507567 -11.7092406572272 217.833210390507</t>
  </si>
  <si>
    <t>-592.45479245867 -96.0191264162291 650.300887522295</t>
  </si>
  <si>
    <t>-445.444332412594 -146.637123304521 732.576298778162</t>
  </si>
  <si>
    <t>9763-20170724T164343.119194500.bin</t>
  </si>
  <si>
    <t>-494.308574402149 130.710227612082 -238.567628299758</t>
  </si>
  <si>
    <t>-534.439070158891 126.916891631254 -352.773252614113</t>
  </si>
  <si>
    <t>-549.298718160968 117.081294147954 -472.660963358289</t>
  </si>
  <si>
    <t>-552.1333657172 105.84512001064 -581.567053408813</t>
  </si>
  <si>
    <t>-544.440690694104 92.3930457514562 -689.986123875397</t>
  </si>
  <si>
    <t>-522.822050848786 71.488643906757 -839.303464737445</t>
  </si>
  <si>
    <t>-474.332156219256 56.7574946836675 -927.704373662236</t>
  </si>
  <si>
    <t>-524.103554212764 111.279311443382 -776.311601416431</t>
  </si>
  <si>
    <t>-498.344761758407 255.391877580009 -762.36204514144</t>
  </si>
  <si>
    <t>-474.943274106685 307.743159439337 -451.077750462218</t>
  </si>
  <si>
    <t>-287.020043976197 208.760525170642 -300.980020948996</t>
  </si>
  <si>
    <t>-540.671563016063 50.1970704156101 -770.158838445542</t>
  </si>
  <si>
    <t>-469.380923178609 223.999343154095 -250.177894760954</t>
  </si>
  <si>
    <t>-460.988642450652 208.718564525455 205.183226776373</t>
  </si>
  <si>
    <t>-492.950693384929 164.706240143895 671.96947738521</t>
  </si>
  <si>
    <t>-340.033708911377 153.480695330348 758.18949488626</t>
  </si>
  <si>
    <t>-519.068462277155 37.4292220987328 -226.345979402747</t>
  </si>
  <si>
    <t>-430.073381447175 -11.8502681371674 217.84882706994</t>
  </si>
  <si>
    <t>-592.484986859434 -96.1750142925156 650.321524798599</t>
  </si>
  <si>
    <t>-445.318014153864 -146.388869770478 732.564785948851</t>
  </si>
  <si>
    <t>9763-20170724T164343.188382500.bin</t>
  </si>
  <si>
    <t>-494.338221110727 130.334559323709 -238.576603920569</t>
  </si>
  <si>
    <t>-534.494866495756 126.49871923546 -352.771724201947</t>
  </si>
  <si>
    <t>-549.314291315461 116.564260048544 -472.656105569505</t>
  </si>
  <si>
    <t>-552.084569616021 105.218643105756 -581.552609514117</t>
  </si>
  <si>
    <t>-544.299981020506 91.638702344497 -689.949288832081</t>
  </si>
  <si>
    <t>-522.525996417865 70.5394692999644 -839.216596384604</t>
  </si>
  <si>
    <t>-473.917624656176 55.6676773652787 -927.52877518683</t>
  </si>
  <si>
    <t>-523.897490026651 110.418473209228 -776.282514204582</t>
  </si>
  <si>
    <t>-498.335694308243 254.565940899727 -762.422960790246</t>
  </si>
  <si>
    <t>-475.917048665349 307.636420151503 -451.188102558421</t>
  </si>
  <si>
    <t>-288.124488414464 208.992619471126 -300.704198712957</t>
  </si>
  <si>
    <t>-540.423134830146 49.3319796162447 -770.058429932776</t>
  </si>
  <si>
    <t>-469.450945488142 223.519286322839 -250.197572942653</t>
  </si>
  <si>
    <t>-460.920418971435 208.380962214447 205.165686804169</t>
  </si>
  <si>
    <t>-492.86002491744 164.379474911576 671.980074596831</t>
  </si>
  <si>
    <t>-339.876869941879 153.818822396557 758.166693892526</t>
  </si>
  <si>
    <t>-519.059986233838 37.0875797482344 -226.310750025384</t>
  </si>
  <si>
    <t>-429.963413319079 -12.1584724487863 217.867475650131</t>
  </si>
  <si>
    <t>-592.53031760737 -96.4790710620534 650.331661639514</t>
  </si>
  <si>
    <t>-445.288098828202 -146.519973615141 732.545712190935</t>
  </si>
  <si>
    <t>9763-20170724T164343.222471000.bin</t>
  </si>
  <si>
    <t>-494.351579695617 130.120873367794 -238.542757835781</t>
  </si>
  <si>
    <t>-534.539235090593 126.263786113692 -352.72644027707</t>
  </si>
  <si>
    <t>-549.335795752578 116.293353551206 -472.61049802319</t>
  </si>
  <si>
    <t>-552.062706771939 104.910840129946 -581.504317712364</t>
  </si>
  <si>
    <t>-544.212161522457 91.2909145458446 -689.891084934929</t>
  </si>
  <si>
    <t>-522.32362064699 70.1339755843943 -839.133618059206</t>
  </si>
  <si>
    <t>-473.649631487146 55.1999857028101 -927.399042836029</t>
  </si>
  <si>
    <t>-523.753436583183 110.039853014639 -776.217825161039</t>
  </si>
  <si>
    <t>-498.277024297214 254.203592130417 -762.380366053448</t>
  </si>
  <si>
    <t>-476.326366118529 307.448708501845 -451.141971138228</t>
  </si>
  <si>
    <t>-288.470502061021 208.837380584611 -300.715809175652</t>
  </si>
  <si>
    <t>-540.263799319515 48.9506838511833 -769.979181283407</t>
  </si>
  <si>
    <t>-469.457603446658 223.465876230518 -250.191271373703</t>
  </si>
  <si>
    <t>-460.902676947454 208.397819307819 205.173818921962</t>
  </si>
  <si>
    <t>-492.952589617122 164.774576588369 671.983873496397</t>
  </si>
  <si>
    <t>-340.00184841569 153.773742315834 758.172984268113</t>
  </si>
  <si>
    <t>-519.084093542241 36.7274056875749 -226.258657060162</t>
  </si>
  <si>
    <t>-429.874048888978 -12.4238864054421 217.907242361026</t>
  </si>
  <si>
    <t>-592.561857600308 -96.8585899017935 650.338515908838</t>
  </si>
  <si>
    <t>-444.985628924196 -145.979692508728 732.508353398884</t>
  </si>
  <si>
    <t>9763-20170724T164343.288670300.bin</t>
  </si>
  <si>
    <t>-494.436500887297 130.051684836185 -238.542377774745</t>
  </si>
  <si>
    <t>-534.67633187385 126.168116530461 -352.706729610728</t>
  </si>
  <si>
    <t>-549.449765940377 116.12717834887 -472.587797180007</t>
  </si>
  <si>
    <t>-552.124116184808 104.664079804304 -581.47439970507</t>
  </si>
  <si>
    <t>-544.189763441357 90.9477672828006 -689.84304863409</t>
  </si>
  <si>
    <t>-522.153305497715 69.6412235901208 -839.042379861634</t>
  </si>
  <si>
    <t>-473.357723035054 54.6075385171528 -927.223848456687</t>
  </si>
  <si>
    <t>-523.65283861148 109.61197189531 -776.169475368559</t>
  </si>
  <si>
    <t>-498.241952424794 253.797016049058 -762.427991646786</t>
  </si>
  <si>
    <t>-476.815700182065 307.491650504257 -451.230385793173</t>
  </si>
  <si>
    <t>-288.966391795534 208.827469459828 -300.83056180201</t>
  </si>
  <si>
    <t>-540.154638880128 48.5253767883793 -769.883176327706</t>
  </si>
  <si>
    <t>-469.55743814029 223.311313299945 -250.198304875559</t>
  </si>
  <si>
    <t>-460.842369186554 208.315595749534 205.166265827081</t>
  </si>
  <si>
    <t>-492.926732935905 164.721623562712 671.988798675571</t>
  </si>
  <si>
    <t>-339.942452235459 154.03147074878 758.15741986486</t>
  </si>
  <si>
    <t>-519.152256542924 36.8860023386758 -226.224225709381</t>
  </si>
  <si>
    <t>-429.787301466392 -12.2338203919159 217.91404972773</t>
  </si>
  <si>
    <t>-592.548380918724 -96.3126272055881 650.33447606641</t>
  </si>
  <si>
    <t>-445.309292573298 -146.417982024551 732.514864706557</t>
  </si>
  <si>
    <t>9763-20170724T164343.323763100.bin</t>
  </si>
  <si>
    <t>-494.529089280703 130.018426740714 -238.542790215627</t>
  </si>
  <si>
    <t>-534.771984101193 126.116886247332 -352.705191169582</t>
  </si>
  <si>
    <t>-549.540583125803 116.030514706593 -472.583241478982</t>
  </si>
  <si>
    <t>-552.207389275242 104.514180925351 -581.464409502132</t>
  </si>
  <si>
    <t>-544.262900327108 90.7318658065324 -689.823981752087</t>
  </si>
  <si>
    <t>-522.20982916276 69.319930165646 -839.005803629595</t>
  </si>
  <si>
    <t>-473.378419943166 54.2222941184039 -927.156295445074</t>
  </si>
  <si>
    <t>-523.709595925533 109.33342666795 -776.159959136896</t>
  </si>
  <si>
    <t>-498.299222616572 253.528529100461 -762.499953509371</t>
  </si>
  <si>
    <t>-476.901320049001 307.426384470556 -451.335519415682</t>
  </si>
  <si>
    <t>-289.124396967248 208.791383925779 -300.826236861915</t>
  </si>
  <si>
    <t>-540.225703305934 48.2546952099968 -769.834865074052</t>
  </si>
  <si>
    <t>-469.654301904958 223.236296733758 -250.199564497104</t>
  </si>
  <si>
    <t>-460.814411173505 208.238351644758 205.162470629197</t>
  </si>
  <si>
    <t>-492.865552476355 164.490605357142 671.992277633754</t>
  </si>
  <si>
    <t>-339.863942915249 153.960930666933 758.149921083142</t>
  </si>
  <si>
    <t>-519.232150812975 36.8186992016322 -226.226327679526</t>
  </si>
  <si>
    <t>-429.827639562216 -12.225186347089 217.912438298036</t>
  </si>
  <si>
    <t>-592.552474584149 -96.3167449282181 650.340889780446</t>
  </si>
  <si>
    <t>-445.314293150838 -146.422327790176 732.522758942322</t>
  </si>
  <si>
    <t>9763-20170724T164343.389944400.bin</t>
  </si>
  <si>
    <t>-494.79911445633 129.91984260497 -238.522823163447</t>
  </si>
  <si>
    <t>-535.089634070397 126.019017036188 -352.668610249997</t>
  </si>
  <si>
    <t>-549.892327895229 115.868381707167 -472.536813874515</t>
  </si>
  <si>
    <t>-552.583723723558 104.267263967454 -581.408455127293</t>
  </si>
  <si>
    <t>-544.657477106633 90.3734574976052 -689.755138064751</t>
  </si>
  <si>
    <t>-522.623620538885 68.7788763669258 -838.913258221139</t>
  </si>
  <si>
    <t>-473.770668265415 53.5551970511918 -927.0303917957</t>
  </si>
  <si>
    <t>-524.105479199794 108.86684008377 -776.114575695061</t>
  </si>
  <si>
    <t>-498.681360674189 253.07437086856 -762.606003131939</t>
  </si>
  <si>
    <t>-477.456465094859 307.258124488445 -451.479279681124</t>
  </si>
  <si>
    <t>-289.757842615126 208.880952970729 -300.70402364898</t>
  </si>
  <si>
    <t>-540.640315507799 47.8008255893785 -769.716195494317</t>
  </si>
  <si>
    <t>-469.916426827564 223.175761717846 -250.201512068738</t>
  </si>
  <si>
    <t>-461.002665119576 208.220082827558 205.160453265015</t>
  </si>
  <si>
    <t>-492.864008254655 164.521645752176 671.997040425677</t>
  </si>
  <si>
    <t>-339.858310556917 153.911970045854 758.137584583303</t>
  </si>
  <si>
    <t>-519.512915750263 36.6528654033768 -226.200311662592</t>
  </si>
  <si>
    <t>-429.966574518881 -12.3949073785246 217.909401450399</t>
  </si>
  <si>
    <t>-592.594410586659 -96.6325264309156 650.38497731759</t>
  </si>
  <si>
    <t>-445.268662292187 -146.521232319536 732.541833593557</t>
  </si>
  <si>
    <t>9763-20170724T164343.422028600.bin</t>
  </si>
  <si>
    <t>-494.922802521156 129.852247041837 -238.525525901379</t>
  </si>
  <si>
    <t>-535.232478198245 125.960877549116 -352.664887594499</t>
  </si>
  <si>
    <t>-550.046406662553 115.787787735461 -472.529951228503</t>
  </si>
  <si>
    <t>-552.744203434859 104.154081883357 -581.397885283223</t>
  </si>
  <si>
    <t>-544.820451321675 90.2159559220676 -689.739000598258</t>
  </si>
  <si>
    <t>-522.785956532397 68.5482881184318 -838.886561805324</t>
  </si>
  <si>
    <t>-473.938818970302 53.2515571496545 -926.994133615596</t>
  </si>
  <si>
    <t>-524.260311985428 108.665061303303 -776.105950124846</t>
  </si>
  <si>
    <t>-498.836822242549 252.878041383056 -762.664321713749</t>
  </si>
  <si>
    <t>-477.87873065 307.174511828204 -451.539091093235</t>
  </si>
  <si>
    <t>-290.211403269299 208.868911518906 -300.678228845646</t>
  </si>
  <si>
    <t>-540.810750728497 47.6061090666172 -769.680683830153</t>
  </si>
  <si>
    <t>-470.030884725766 223.089556907184 -250.214590618451</t>
  </si>
  <si>
    <t>-461.080051738804 208.107501734543 205.145806897484</t>
  </si>
  <si>
    <t>-492.824331089783 164.405857536559 671.995861394384</t>
  </si>
  <si>
    <t>-339.800982798533 153.994323305009 758.129239280709</t>
  </si>
  <si>
    <t>-519.675109054117 36.5476086640625 -226.193418670109</t>
  </si>
  <si>
    <t>-430.0660679703 -12.5100097431546 217.902675607396</t>
  </si>
  <si>
    <t>-592.630841821161 -96.7792925758075 650.42984753014</t>
  </si>
  <si>
    <t>-445.257158679741 -146.559167134119 732.566793933125</t>
  </si>
  <si>
    <t>9763-20170724T164343.488230400.bin</t>
  </si>
  <si>
    <t>-495.255154761754 129.863360485724 -238.494146283997</t>
  </si>
  <si>
    <t>-535.59845421786 125.998924283207 -352.622483000307</t>
  </si>
  <si>
    <t>-550.451312275475 115.793859902393 -472.48002979712</t>
  </si>
  <si>
    <t>-553.18565909211 104.108249927794 -581.341631992644</t>
  </si>
  <si>
    <t>-545.299453269459 90.0960441276362 -689.675839279013</t>
  </si>
  <si>
    <t>-523.317809586565 68.3031389835256 -838.812876084361</t>
  </si>
  <si>
    <t>-474.476657584755 52.866008406947 -926.899339374438</t>
  </si>
  <si>
    <t>-524.755424164538 108.46897260603 -776.062969742345</t>
  </si>
  <si>
    <t>-499.260911795827 252.683889455273 -762.735055173268</t>
  </si>
  <si>
    <t>-478.693483218841 307.183557893653 -451.619339322726</t>
  </si>
  <si>
    <t>-291.163772499713 208.91399916852 -300.563823473385</t>
  </si>
  <si>
    <t>-541.332571002879 47.4226927083923 -769.585763473607</t>
  </si>
  <si>
    <t>-470.343519840343 223.275557935649 -250.209062336252</t>
  </si>
  <si>
    <t>-461.294093587132 208.249913056761 205.148037848804</t>
  </si>
  <si>
    <t>-492.920061878803 164.850627508235 672.001788576698</t>
  </si>
  <si>
    <t>-339.911956435755 154.173395357805 758.129856515695</t>
  </si>
  <si>
    <t>-520.030174040773 36.4813942348183 -226.162778741566</t>
  </si>
  <si>
    <t>-430.297548778685 -12.5861232605324 217.907185157847</t>
  </si>
  <si>
    <t>-592.6832406987 -96.814790852953 650.498507621227</t>
  </si>
  <si>
    <t>-445.22732170467 -146.415529279353 732.596104292029</t>
  </si>
  <si>
    <t>9763-20170724T164343.521318200.bin</t>
  </si>
  <si>
    <t>-495.360955795323 130.046609945952 -238.496022487679</t>
  </si>
  <si>
    <t>-535.731524175329 126.195622968314 -352.615182004326</t>
  </si>
  <si>
    <t>-550.607624940455 115.980517512511 -472.468983533046</t>
  </si>
  <si>
    <t>-553.36094306442 104.276388138318 -581.328004550766</t>
  </si>
  <si>
    <t>-545.491295300937 90.2365968958903 -689.659860205579</t>
  </si>
  <si>
    <t>-523.53018552057 68.3959739340002 -838.793059709737</t>
  </si>
  <si>
    <t>-474.690229267469 52.9048714389537 -926.870710593099</t>
  </si>
  <si>
    <t>-524.956548187978 108.581203344968 -776.055138516811</t>
  </si>
  <si>
    <t>-499.445630569939 252.793749254659 -762.782720829462</t>
  </si>
  <si>
    <t>-479.027841348333 307.380869470831 -451.672463780918</t>
  </si>
  <si>
    <t>-291.518077201782 209.104958130553 -300.596424700957</t>
  </si>
  <si>
    <t>-541.537980849638 47.5383698220332 -769.557218008533</t>
  </si>
  <si>
    <t>-470.45193079191 223.460946567188 -250.204912688032</t>
  </si>
  <si>
    <t>-461.317962642518 208.434092312808 205.150362547594</t>
  </si>
  <si>
    <t>-492.939709623231 164.957593792367 672.002635819658</t>
  </si>
  <si>
    <t>-339.985832197505 153.63480648296 758.144484520991</t>
  </si>
  <si>
    <t>-520.112518698898 36.7116352135716 -226.159229775658</t>
  </si>
  <si>
    <t>-430.342567544281 -12.3751167776933 217.901041287015</t>
  </si>
  <si>
    <t>-592.669977603844 -96.4898861263811 650.496817225781</t>
  </si>
  <si>
    <t>-445.456101205013 -146.771886572218 732.614474055224</t>
  </si>
  <si>
    <t>9763-20170724T164343.589593300.bin</t>
  </si>
  <si>
    <t>-495.505391341898 130.181504157479 -238.491275178603</t>
  </si>
  <si>
    <t>-535.931222504931 126.330526781619 -352.59097091474</t>
  </si>
  <si>
    <t>-550.882020257503 116.101463917371 -472.434246382602</t>
  </si>
  <si>
    <t>-553.709588261659 104.380665617034 -581.289532913271</t>
  </si>
  <si>
    <t>-545.920009772025 90.3207841228187 -689.624575903267</t>
  </si>
  <si>
    <t>-524.075456861621 68.449661693326 -838.770429967951</t>
  </si>
  <si>
    <t>-475.249217899557 52.8932227687451 -926.844173811402</t>
  </si>
  <si>
    <t>-525.457135232107 108.648806070524 -776.040518908076</t>
  </si>
  <si>
    <t>-499.887718961613 252.86007732347 -762.852953017206</t>
  </si>
  <si>
    <t>-479.761010098468 307.726726896708 -451.772948646489</t>
  </si>
  <si>
    <t>-292.262942787624 209.520529501875 -300.637112141831</t>
  </si>
  <si>
    <t>-542.024824546394 47.6050972232891 -769.5154443159</t>
  </si>
  <si>
    <t>-470.594611620802 223.589032559251 -250.198777587316</t>
  </si>
  <si>
    <t>-461.314493632823 208.5220040665 205.152310461934</t>
  </si>
  <si>
    <t>-492.935398152097 165.026041866757 672.000684380193</t>
  </si>
  <si>
    <t>-339.998547170041 153.491960381013 758.144754385514</t>
  </si>
  <si>
    <t>-520.258270375468 36.7798567568072 -226.123790825573</t>
  </si>
  <si>
    <t>-430.386290855686 -12.3289990958922 217.913355916526</t>
  </si>
  <si>
    <t>-592.680089071074 -96.5442506269649 650.496359532616</t>
  </si>
  <si>
    <t>-445.361729988471 -146.517826043103 732.614935895651</t>
  </si>
  <si>
    <t>9763-20170724T164343.622682200.bin</t>
  </si>
  <si>
    <t>-495.521392048268 130.062054801188 -238.490182584565</t>
  </si>
  <si>
    <t>-535.95549935494 126.211935523915 -352.586983184894</t>
  </si>
  <si>
    <t>-550.93867298314 115.988205621343 -472.426569563283</t>
  </si>
  <si>
    <t>-553.804945881257 104.275139324497 -581.281792034723</t>
  </si>
  <si>
    <t>-546.063032490437 90.2266072215956 -689.621799971976</t>
  </si>
  <si>
    <t>-524.293295402247 68.3752779699951 -838.781406532205</t>
  </si>
  <si>
    <t>-475.48349271817 52.8097156445804 -926.862539466675</t>
  </si>
  <si>
    <t>-525.648976829439 108.567506629491 -776.046492527565</t>
  </si>
  <si>
    <t>-500.061364712681 252.778262989507 -762.886185367637</t>
  </si>
  <si>
    <t>-480.128819095291 307.717283712363 -451.806539162304</t>
  </si>
  <si>
    <t>-292.629163710069 209.586785873473 -300.623367135007</t>
  </si>
  <si>
    <t>-542.202438819955 47.5201425745834 -769.519260037323</t>
  </si>
  <si>
    <t>-470.550459468404 223.336056564715 -250.201842083854</t>
  </si>
  <si>
    <t>-461.270198222835 208.279735911045 205.149468282282</t>
  </si>
  <si>
    <t>-492.818217293113 164.579919062789 672.003280655037</t>
  </si>
  <si>
    <t>-339.780195391698 154.216762117975 758.116446730861</t>
  </si>
  <si>
    <t>-520.31233445025 36.7639596292429 -226.115526732065</t>
  </si>
  <si>
    <t>-430.378714069003 -12.3858339028191 217.904643044544</t>
  </si>
  <si>
    <t>-592.680786886353 -96.5084722729001 650.500855913163</t>
  </si>
  <si>
    <t>-445.409511110367 -146.600524456278 732.631663357731</t>
  </si>
  <si>
    <t>9763-20170724T164343.688369800.bin</t>
  </si>
  <si>
    <t>-495.607093803509 130.069008933872 -238.48173738524</t>
  </si>
  <si>
    <t>-536.102738337833 126.234949167365 -352.557230784975</t>
  </si>
  <si>
    <t>-551.230999583667 116.056768280922 -472.382473995873</t>
  </si>
  <si>
    <t>-554.261397963232 104.396552175223 -581.238872039286</t>
  </si>
  <si>
    <t>-546.715223081426 90.4121134600576 -689.600973628501</t>
  </si>
  <si>
    <t>-525.248347010249 68.6610635666707 -838.819156427314</t>
  </si>
  <si>
    <t>-476.54964258158 53.093837879271 -926.961611445928</t>
  </si>
  <si>
    <t>-526.482370568184 108.812487734728 -776.055730221169</t>
  </si>
  <si>
    <t>-500.896038661249 253.02369102016 -762.86789847721</t>
  </si>
  <si>
    <t>-481.26376844435 307.983972171333 -451.772902948137</t>
  </si>
  <si>
    <t>-293.800486173297 209.878729597211 -300.528352454819</t>
  </si>
  <si>
    <t>-543.011166468264 47.7579373930731 -769.533827076186</t>
  </si>
  <si>
    <t>-470.666508265753 223.483588485498 -250.202121717861</t>
  </si>
  <si>
    <t>-461.220213201871 208.391240592801 205.144571972441</t>
  </si>
  <si>
    <t>-492.903755639039 165.002992656918 671.999125763539</t>
  </si>
  <si>
    <t>-339.907402759153 154.154185601913 758.126571552682</t>
  </si>
  <si>
    <t>-520.400631696614 36.6870584363551 -226.116917499936</t>
  </si>
  <si>
    <t>-430.41196391291 -12.4291618565213 217.895744121968</t>
  </si>
  <si>
    <t>-592.692835242662 -96.5768062396602 650.510046875335</t>
  </si>
  <si>
    <t>-445.355836384272 -146.457613557208 732.651537105099</t>
  </si>
  <si>
    <t>9763-20170724T164343.721456900.bin</t>
  </si>
  <si>
    <t>-495.601881405768 130.017301941242 -238.468378031104</t>
  </si>
  <si>
    <t>-536.115200479697 126.201104940851 -352.538130665415</t>
  </si>
  <si>
    <t>-551.29696286681 116.052330005192 -472.359167748995</t>
  </si>
  <si>
    <t>-554.390112563102 104.423536276571 -581.217194724395</t>
  </si>
  <si>
    <t>-546.920228986082 90.4755180634569 -689.589249002397</t>
  </si>
  <si>
    <t>-525.572643978078 68.7803208956153 -838.832728630609</t>
  </si>
  <si>
    <t>-476.926743485669 53.2305936371569 -927.007243361621</t>
  </si>
  <si>
    <t>-526.761460738143 108.909531344167 -776.054089681986</t>
  </si>
  <si>
    <t>-501.190287097914 253.119940426575 -762.8510471433</t>
  </si>
  <si>
    <t>-481.747512435518 308.032048647899 -451.735547321882</t>
  </si>
  <si>
    <t>-294.251799559126 209.944749195024 -300.519570101589</t>
  </si>
  <si>
    <t>-543.27509315598 47.8499771100748 -769.540047281297</t>
  </si>
  <si>
    <t>-470.623823939946 223.336690809366 -250.187075914807</t>
  </si>
  <si>
    <t>-461.137894782183 208.241800088337 205.158844753289</t>
  </si>
  <si>
    <t>-492.803608143444 164.599153946893 672.007019856449</t>
  </si>
  <si>
    <t>-339.756585962364 154.341090393122 758.116742699898</t>
  </si>
  <si>
    <t>-520.40336620302 36.7679430049232 -226.105539864515</t>
  </si>
  <si>
    <t>-430.416382552325 -12.4073655359122 217.900986757222</t>
  </si>
  <si>
    <t>-592.68527339622 -96.4460919278725 650.505308718795</t>
  </si>
  <si>
    <t>-445.391242097508 -146.431901933386 732.659973821506</t>
  </si>
  <si>
    <t>9763-20170724T164343.789665400.bin</t>
  </si>
  <si>
    <t>-495.722424384302 130.307522883363 -238.461842944881</t>
  </si>
  <si>
    <t>-536.308576001147 126.514627660945 -352.5065272384</t>
  </si>
  <si>
    <t>-551.628474786374 116.446528190035 -472.316765184606</t>
  </si>
  <si>
    <t>-554.87158436367 104.915689622238 -581.180740535114</t>
  </si>
  <si>
    <t>-547.574960811169 91.0912457813841 -689.58042487238</t>
  </si>
  <si>
    <t>-526.490499627013 69.5949182878033 -838.890063678229</t>
  </si>
  <si>
    <t>-477.96928639274 54.1355332753157 -927.149175603784</t>
  </si>
  <si>
    <t>-527.586260095663 109.644827819289 -776.059225089118</t>
  </si>
  <si>
    <t>-502.062178074002 253.858122091301 -762.746110617272</t>
  </si>
  <si>
    <t>-482.984659084323 308.672632926385 -451.590906876938</t>
  </si>
  <si>
    <t>-295.435759950208 210.543410668218 -300.468011463146</t>
  </si>
  <si>
    <t>-544.053194166907 48.5678413323496 -769.591107188819</t>
  </si>
  <si>
    <t>-470.783957552918 223.703951447881 -250.186047570155</t>
  </si>
  <si>
    <t>-461.144283243904 208.575553069521 205.155379947725</t>
  </si>
  <si>
    <t>-492.886328850757 165.05137101049 671.997648895249</t>
  </si>
  <si>
    <t>-339.931761400607 153.765230623993 758.143198828258</t>
  </si>
  <si>
    <t>-520.50390742545 36.9673351796149 -226.091988206485</t>
  </si>
  <si>
    <t>-430.384194720477 -12.2036307165805 217.88804627331</t>
  </si>
  <si>
    <t>-592.681287671758 -96.3506608548451 650.486895123443</t>
  </si>
  <si>
    <t>-445.635529596114 -146.98870646242 732.686924996672</t>
  </si>
  <si>
    <t>9763-20170724T164343.823761700.bin</t>
  </si>
  <si>
    <t>-495.772555743807 130.213753635854 -238.44979925083</t>
  </si>
  <si>
    <t>-536.372098356876 126.432013483161 -352.490072699629</t>
  </si>
  <si>
    <t>-551.739039351794 116.39444330397 -472.296846357461</t>
  </si>
  <si>
    <t>-555.038047639691 104.899454459384 -581.163042530601</t>
  </si>
  <si>
    <t>-547.810297677644 91.1190849135211 -689.57288123363</t>
  </si>
  <si>
    <t>-526.833950963855 69.6926508922637 -838.907817085381</t>
  </si>
  <si>
    <t>-478.360975684063 54.2855267825626 -927.202684884227</t>
  </si>
  <si>
    <t>-527.887935187741 109.714162239022 -776.058073832876</t>
  </si>
  <si>
    <t>-502.390242839815 253.924781640894 -762.707317593262</t>
  </si>
  <si>
    <t>-483.544087137343 308.646345714168 -451.521600519529</t>
  </si>
  <si>
    <t>-295.983005382305 210.519014913439 -300.412616898837</t>
  </si>
  <si>
    <t>-544.342781612587 48.6322582643691 -769.605408721886</t>
  </si>
  <si>
    <t>-470.786091230149 223.575681951448 -250.178687513402</t>
  </si>
  <si>
    <t>-461.116992569932 208.456917667326 205.162515195078</t>
  </si>
  <si>
    <t>-492.80554505299 164.791442957261 671.994367563047</t>
  </si>
  <si>
    <t>-339.827522650921 153.821420064852 758.138931210305</t>
  </si>
  <si>
    <t>-520.595270104455 36.8346249069682 -226.08005786537</t>
  </si>
  <si>
    <t>-430.391374562882 -12.3572869255083 217.880563212893</t>
  </si>
  <si>
    <t>-592.704263739945 -96.5934348899313 650.481498133956</t>
  </si>
  <si>
    <t>-445.395478014399 -146.509022183518 732.652459107336</t>
  </si>
  <si>
    <t>9763-20170724T164343.890940200.bin</t>
  </si>
  <si>
    <t>-495.877150233274 130.253157205747 -238.489930884414</t>
  </si>
  <si>
    <t>-536.508456010547 126.474006653954 -352.519077721791</t>
  </si>
  <si>
    <t>-552.002673343068 116.513306102229 -472.315827535433</t>
  </si>
  <si>
    <t>-555.456079856536 105.115346964563 -581.187305679914</t>
  </si>
  <si>
    <t>-548.4206593672 91.4576470504105 -689.625430014461</t>
  </si>
  <si>
    <t>-527.749380840297 70.2264624057181 -839.030713538864</t>
  </si>
  <si>
    <t>-479.373838494995 54.9377599795913 -927.399598230992</t>
  </si>
  <si>
    <t>-528.685778832705 110.168476348344 -776.128645536818</t>
  </si>
  <si>
    <t>-503.222289309079 254.374026193363 -762.682124370828</t>
  </si>
  <si>
    <t>-484.712764007218 308.99799778888 -451.459047728708</t>
  </si>
  <si>
    <t>-297.161697175651 210.902153201846 -300.317249534475</t>
  </si>
  <si>
    <t>-545.105800749928 49.0727224765888 -769.718400767931</t>
  </si>
  <si>
    <t>-470.958387296041 223.701607253361 -250.192602176189</t>
  </si>
  <si>
    <t>-461.188409036988 208.551604056897 205.145410525794</t>
  </si>
  <si>
    <t>-492.871045648796 165.148592273689 671.986288067849</t>
  </si>
  <si>
    <t>-339.938302790937 153.728229699237 758.152803174588</t>
  </si>
  <si>
    <t>-520.647829330946 36.8229185572114 -226.140247928968</t>
  </si>
  <si>
    <t>-430.52891789734 -12.3197790468405 217.843095345527</t>
  </si>
  <si>
    <t>-592.739437906526 -96.6590389324082 650.495263959642</t>
  </si>
  <si>
    <t>-445.576152268867 -147.004522988836 732.664698432813</t>
  </si>
  <si>
    <t>9763-20170724T164343.919014500.bin</t>
  </si>
  <si>
    <t>-495.983006264746 130.084648330994 -238.495619357006</t>
  </si>
  <si>
    <t>-536.619827168417 126.319023403898 -352.523132045731</t>
  </si>
  <si>
    <t>-552.16368341191 116.40147675003 -472.317001573783</t>
  </si>
  <si>
    <t>-555.679588964668 105.055452674034 -581.191962218081</t>
  </si>
  <si>
    <t>-548.723785887448 91.4626269087045 -689.643427801925</t>
  </si>
  <si>
    <t>-528.17986056417 70.3351718631679 -839.08100428261</t>
  </si>
  <si>
    <t>-479.848133716477 55.1130909945824 -927.485172505623</t>
  </si>
  <si>
    <t>-529.08097545777 110.238113022545 -776.15355726327</t>
  </si>
  <si>
    <t>-503.697607430957 254.457355574952 -762.668038556278</t>
  </si>
  <si>
    <t>-485.307003624131 309.041840752907 -451.431045508378</t>
  </si>
  <si>
    <t>-297.73819024923 210.931538644011 -300.320670677878</t>
  </si>
  <si>
    <t>-545.458880696282 49.128727680606 -769.76534435944</t>
  </si>
  <si>
    <t>-471.056989448005 223.451659405656 -250.185132073959</t>
  </si>
  <si>
    <t>-461.188814742509 208.296323145456 205.150618132514</t>
  </si>
  <si>
    <t>-492.792430778945 164.828685996244 671.997009202345</t>
  </si>
  <si>
    <t>-339.752357326961 154.635543138752 758.126861423797</t>
  </si>
  <si>
    <t>-520.770066415851 36.6994334953438 -226.146646409291</t>
  </si>
  <si>
    <t>-430.56893905997 -12.4544618687749 217.818763663693</t>
  </si>
  <si>
    <t>-592.746564761221 -96.6719478440604 650.493964861946</t>
  </si>
  <si>
    <t>-445.513050738525 -146.822992149266 732.65650031275</t>
  </si>
  <si>
    <t>9763-20170724T164343.990210700.bin</t>
  </si>
  <si>
    <t>-496.314409955535 130.157787720591 -238.502991237371</t>
  </si>
  <si>
    <t>-537.039798178325 126.41141306075 -352.499594167655</t>
  </si>
  <si>
    <t>-552.717009712318 116.590760790546 -472.284205010946</t>
  </si>
  <si>
    <t>-556.370122862799 105.365379534349 -581.167090931813</t>
  </si>
  <si>
    <t>-549.566278292581 91.9271645389939 -689.647444207356</t>
  </si>
  <si>
    <t>-529.24766359547 71.0502515800267 -839.150952423443</t>
  </si>
  <si>
    <t>-481.002473770047 55.958964900265 -927.624933063706</t>
  </si>
  <si>
    <t>-530.083233841292 110.85494556099 -776.160473969326</t>
  </si>
  <si>
    <t>-504.819280710397 255.074296883342 -762.569497084464</t>
  </si>
  <si>
    <t>-486.78762292209 309.554101639877 -451.293092042408</t>
  </si>
  <si>
    <t>-299.173780979603 211.385719435521 -300.276341344989</t>
  </si>
  <si>
    <t>-546.392816016712 49.7202857409994 -769.840131443873</t>
  </si>
  <si>
    <t>-471.387361397496 223.713254687462 -250.190115213357</t>
  </si>
  <si>
    <t>-461.407553241412 208.604701222975 205.144685241252</t>
  </si>
  <si>
    <t>-492.878215422826 165.254019415088 671.991395030151</t>
  </si>
  <si>
    <t>-339.981317185845 153.396066248566 758.162315774567</t>
  </si>
  <si>
    <t>-521.063310322398 36.6140185463036 -226.153802467926</t>
  </si>
  <si>
    <t>-430.636656904904 -12.48281397364 217.772094298767</t>
  </si>
  <si>
    <t>-592.771538392827 -96.6375765049105 650.494319147858</t>
  </si>
  <si>
    <t>-445.425890988481 -146.48212425231 732.642281231294</t>
  </si>
  <si>
    <t>9763-20170724T164344.020289300.bin</t>
  </si>
  <si>
    <t>-496.434854209994 130.056003920754 -238.515602472625</t>
  </si>
  <si>
    <t>-537.213937427781 126.329863747139 -352.493595591741</t>
  </si>
  <si>
    <t>-552.953234257532 116.55639336942 -472.273889943715</t>
  </si>
  <si>
    <t>-556.664979085878 105.38473945443 -581.16031507193</t>
  </si>
  <si>
    <t>-549.921886743262 92.0110682509943 -689.652583648631</t>
  </si>
  <si>
    <t>-529.688904223206 71.2352065454225 -839.181713316253</t>
  </si>
  <si>
    <t>-481.468896299296 56.2050488364686 -927.679765114014</t>
  </si>
  <si>
    <t>-530.488586914592 110.997373974102 -776.163959934514</t>
  </si>
  <si>
    <t>-505.223067711558 255.219956233571 -762.503595566961</t>
  </si>
  <si>
    <t>-487.434152460538 309.68559492426 -451.2106652611</t>
  </si>
  <si>
    <t>-299.826067375062 211.490501659246 -300.204057633217</t>
  </si>
  <si>
    <t>-546.794181401475 49.858368296428 -769.875417758132</t>
  </si>
  <si>
    <t>-471.505198028437 223.59601136814 -250.204150700689</t>
  </si>
  <si>
    <t>-461.445903767329 208.483481333805 205.128763566786</t>
  </si>
  <si>
    <t>-492.861929614821 165.215929305004 671.985371861718</t>
  </si>
  <si>
    <t>-339.905090850745 154.02751637206 758.139575172118</t>
  </si>
  <si>
    <t>-521.199577782253 36.5168838451383 -226.167623741566</t>
  </si>
  <si>
    <t>-430.72209444158 -12.5500683508327 217.751124572967</t>
  </si>
  <si>
    <t>-592.788903374413 -96.678193346111 650.501614166585</t>
  </si>
  <si>
    <t>-445.445927633981 -146.538841048327 732.644572124165</t>
  </si>
  <si>
    <t>9763-20170724T164344.084468000.bin</t>
  </si>
  <si>
    <t>-496.756159864637 129.874490079072 -238.534826824289</t>
  </si>
  <si>
    <t>-537.574533582811 126.196014593101 -352.500331429647</t>
  </si>
  <si>
    <t>-553.403108114661 116.517592607138 -472.276527647075</t>
  </si>
  <si>
    <t>-557.215105770899 105.451126242865 -581.170325871985</t>
  </si>
  <si>
    <t>-550.590973810014 92.2018049038931 -689.684932115145</t>
  </si>
  <si>
    <t>-530.541377366377 71.6184595636729 -839.265502372067</t>
  </si>
  <si>
    <t>-482.381259262762 56.7222666364761 -927.818858100341</t>
  </si>
  <si>
    <t>-531.270665128157 111.301203604224 -776.196831595607</t>
  </si>
  <si>
    <t>-506.01896066785 255.515478261597 -762.442557475541</t>
  </si>
  <si>
    <t>-488.627753005817 309.810297299446 -451.097349471764</t>
  </si>
  <si>
    <t>-301.096543414697 211.495133059543 -300.073517216097</t>
  </si>
  <si>
    <t>-547.554857129216 50.1507470133055 -769.964716703865</t>
  </si>
  <si>
    <t>-471.756516365615 223.462530850467 -250.210315453893</t>
  </si>
  <si>
    <t>-461.483463052851 208.340581195885 205.117558757102</t>
  </si>
  <si>
    <t>-492.875909101502 165.311014871258 671.978285301358</t>
  </si>
  <si>
    <t>-339.917778069623 154.134257152171 758.13170074789</t>
  </si>
  <si>
    <t>-521.585944813734 36.3191548589021 -226.224254260156</t>
  </si>
  <si>
    <t>-430.974053965119 -12.8384626697182 217.657067052258</t>
  </si>
  <si>
    <t>-592.839429038983 -96.9425999062164 650.533109916736</t>
  </si>
  <si>
    <t>-445.337785070031 -146.397783395761 732.636383831688</t>
  </si>
  <si>
    <t>9763-20170724T164344.122570100.bin</t>
  </si>
  <si>
    <t>-496.93385407365 129.913303579033 -238.56322618067</t>
  </si>
  <si>
    <t>-537.792563732615 126.274271194238 -352.515638491451</t>
  </si>
  <si>
    <t>-553.674063499743 116.642617195195 -472.288683456542</t>
  </si>
  <si>
    <t>-557.538465575739 105.621106979788 -581.185046911207</t>
  </si>
  <si>
    <t>-550.970713053607 92.4191809931249 -689.708858997184</t>
  </si>
  <si>
    <t>-531.003104098429 71.9040242519823 -839.309855107323</t>
  </si>
  <si>
    <t>-482.868321103649 57.0573275478006 -927.885159941231</t>
  </si>
  <si>
    <t>-531.69608303756 111.557603686264 -776.222192093307</t>
  </si>
  <si>
    <t>-506.458092220206 255.772156278295 -762.434212294335</t>
  </si>
  <si>
    <t>-489.25741670324 310.059446609439 -451.077153405333</t>
  </si>
  <si>
    <t>-301.759395671425 211.717827187855 -300.029156477716</t>
  </si>
  <si>
    <t>-547.980243041689 50.4051292987455 -770.009822408498</t>
  </si>
  <si>
    <t>-471.945366617721 223.457752164595 -250.216917646093</t>
  </si>
  <si>
    <t>-461.564948212512 208.321219926821 205.107988589558</t>
  </si>
  <si>
    <t>-492.874127779241 165.323539054941 671.976382413782</t>
  </si>
  <si>
    <t>-339.900234591291 154.345189010625 758.127167871195</t>
  </si>
  <si>
    <t>-521.75855302554 36.4412825540541 -226.26928259394</t>
  </si>
  <si>
    <t>-431.121044451283 -12.7212461726691 217.606315127891</t>
  </si>
  <si>
    <t>-592.842028247881 -96.6074915133942 650.548326060466</t>
  </si>
  <si>
    <t>-445.655288721579 -146.963318543954 732.66935956773</t>
  </si>
  <si>
    <t>9763-20170724T164344.189753100.bin</t>
  </si>
  <si>
    <t>-497.468447879051 129.726442556664 -238.573706458241</t>
  </si>
  <si>
    <t>-538.353844929163 126.125847029846 -352.517694073963</t>
  </si>
  <si>
    <t>-554.317192062975 116.552389986884 -472.284534740095</t>
  </si>
  <si>
    <t>-558.277941083302 105.589948842553 -581.183494302952</t>
  </si>
  <si>
    <t>-551.828154202081 92.4529665252009 -689.722241701032</t>
  </si>
  <si>
    <t>-532.045932023089 72.0332093077943 -839.360752625773</t>
  </si>
  <si>
    <t>-483.962269972229 57.2427202561242 -927.973397298108</t>
  </si>
  <si>
    <t>-532.647781946969 111.64333063837 -776.245156412125</t>
  </si>
  <si>
    <t>-507.375141155014 255.847935740684 -762.419168739272</t>
  </si>
  <si>
    <t>-490.595011683298 310.133766542771 -451.038826617707</t>
  </si>
  <si>
    <t>-303.199545397898 211.728589484828 -299.90517720722</t>
  </si>
  <si>
    <t>-548.950181927822 50.4933502923534 -770.055791226053</t>
  </si>
  <si>
    <t>-472.444120066293 223.311865041621 -250.226596008861</t>
  </si>
  <si>
    <t>-461.899615364102 208.185500691351 205.09495531925</t>
  </si>
  <si>
    <t>-492.816899901203 165.101221913389 671.990149562334</t>
  </si>
  <si>
    <t>-339.847544420003 153.994210367792 758.132652097498</t>
  </si>
  <si>
    <t>-522.313584072835 36.0750326764063 -226.287131944138</t>
  </si>
  <si>
    <t>-431.457387273142 -13.1590852422264 217.535776535325</t>
  </si>
  <si>
    <t>-592.938481625446 -97.214541646957 650.607217412053</t>
  </si>
  <si>
    <t>-445.317763179187 -146.406499020469 732.654697610657</t>
  </si>
  <si>
    <t>9763-20170724T164344.217827800.bin</t>
  </si>
  <si>
    <t>-497.688302000389 129.678385283093 -238.581956388535</t>
  </si>
  <si>
    <t>-538.62044421094 126.105540490684 -352.509959786594</t>
  </si>
  <si>
    <t>-554.631565089962 116.565191320496 -472.273129189222</t>
  </si>
  <si>
    <t>-558.6351459067 105.634889866981 -581.173698145731</t>
  </si>
  <si>
    <t>-552.227309803352 92.5319884480489 -689.719142539112</t>
  </si>
  <si>
    <t>-532.50214489666 72.1616078152255 -839.372015596412</t>
  </si>
  <si>
    <t>-484.43444452429 57.3991735261402 -927.997860790792</t>
  </si>
  <si>
    <t>-533.075889615247 111.749921905388 -776.242207346375</t>
  </si>
  <si>
    <t>-507.788849510814 255.946616943137 -762.391726943797</t>
  </si>
  <si>
    <t>-491.195133131029 310.316787418751 -451.016215772357</t>
  </si>
  <si>
    <t>-303.840353838366 211.880821740864 -299.852047010496</t>
  </si>
  <si>
    <t>-549.383961059337 50.5998578752018 -770.06828113075</t>
  </si>
  <si>
    <t>-472.675412943195 223.17361831892 -250.228090357864</t>
  </si>
  <si>
    <t>-462.076961666007 208.043882745527 205.092146966842</t>
  </si>
  <si>
    <t>-492.75167283052 164.855592164107 671.997219076427</t>
  </si>
  <si>
    <t>-339.730753234989 154.317220910549 758.119589911836</t>
  </si>
  <si>
    <t>-522.534934187344 36.1658341302427 -226.312037194915</t>
  </si>
  <si>
    <t>-431.606896165847 -13.0901224275088 217.493804730435</t>
  </si>
  <si>
    <t>-592.938972491172 -96.8469790342117 650.613916010863</t>
  </si>
  <si>
    <t>-445.64208981242 -146.973665505306 732.677676911281</t>
  </si>
  <si>
    <t>9763-20170724T164344.291552900.bin</t>
  </si>
  <si>
    <t>-498.208458556794 129.703192130402 -238.626882081949</t>
  </si>
  <si>
    <t>-539.182217257984 126.192189251149 -352.541928700782</t>
  </si>
  <si>
    <t>-555.275857191431 116.709779999425 -472.298497515684</t>
  </si>
  <si>
    <t>-559.370112562495 105.829233236861 -581.200778135071</t>
  </si>
  <si>
    <t>-553.068437012029 92.7726783188914 -689.75793963155</t>
  </si>
  <si>
    <t>-533.505901321873 72.4626519927152 -839.440325402598</t>
  </si>
  <si>
    <t>-485.470681241675 57.7336920129422 -928.089433800481</t>
  </si>
  <si>
    <t>-533.995048633776 112.021519412836 -776.291494815786</t>
  </si>
  <si>
    <t>-508.663594662255 256.209627501912 -762.411689246547</t>
  </si>
  <si>
    <t>-492.438341129232 310.703403065891 -451.038416477655</t>
  </si>
  <si>
    <t>-305.174116737677 212.295195643609 -299.744081832281</t>
  </si>
  <si>
    <t>-550.328348364812 50.8769631740917 -770.129528359158</t>
  </si>
  <si>
    <t>-473.180259425454 223.287031824444 -250.260624734084</t>
  </si>
  <si>
    <t>-462.383859857995 208.133784245918 205.054063944207</t>
  </si>
  <si>
    <t>-492.780709054135 165.07972519287 671.984614136324</t>
  </si>
  <si>
    <t>-339.785552118313 154.254456458372 758.117179880067</t>
  </si>
  <si>
    <t>-523.06927375055 36.1274041714392 -226.382047766262</t>
  </si>
  <si>
    <t>-431.920926641944 -13.1346474815031 217.377879924377</t>
  </si>
  <si>
    <t>-592.974589148046 -96.8961229542376 650.6140693599</t>
  </si>
  <si>
    <t>-445.667050928826 -146.987017771923 732.68048633687</t>
  </si>
  <si>
    <t>9763-20170724T164344.318624400.bin</t>
  </si>
  <si>
    <t>-498.394048146782 129.831220981435 -238.654556602768</t>
  </si>
  <si>
    <t>-539.428192945381 126.355010355937 -352.548915733092</t>
  </si>
  <si>
    <t>-555.591881426391 116.907762259924 -472.298885811994</t>
  </si>
  <si>
    <t>-559.752284451953 106.059866763858 -581.201851418697</t>
  </si>
  <si>
    <t>-553.518692349109 93.0374630518304 -689.76711992861</t>
  </si>
  <si>
    <t>-534.05211543622 72.7766158513317 -839.468734935917</t>
  </si>
  <si>
    <t>-486.039881427706 58.0798693332282 -928.135542813197</t>
  </si>
  <si>
    <t>-534.503459515663 112.315385213518 -776.306928178848</t>
  </si>
  <si>
    <t>-509.162532320336 256.501028729248 -762.419451686524</t>
  </si>
  <si>
    <t>-493.144824382336 311.05239279946 -451.045342050153</t>
  </si>
  <si>
    <t>-305.909918230583 212.625283400141 -299.726917999455</t>
  </si>
  <si>
    <t>-550.827447583431 51.167436776234 -770.153879146048</t>
  </si>
  <si>
    <t>-473.35943105737 223.412091813612 -250.264625711804</t>
  </si>
  <si>
    <t>-462.468367129753 208.243293943686 205.047379138361</t>
  </si>
  <si>
    <t>-492.798596233913 165.201947036781 671.981377276798</t>
  </si>
  <si>
    <t>-339.818878440164 154.184774459231 758.11690312899</t>
  </si>
  <si>
    <t>-523.251395010918 36.2925949743126 -226.404030720598</t>
  </si>
  <si>
    <t>-432.015663517138 -12.9721637780938 217.337636984449</t>
  </si>
  <si>
    <t>-592.963876340998 -96.5603247948334 650.601434930473</t>
  </si>
  <si>
    <t>-445.83346747021 -147.13315237219 732.690139900699</t>
  </si>
  <si>
    <t>9763-20170724T164344.388334700.bin</t>
  </si>
  <si>
    <t>-498.761603824462 129.793926903186 -238.67037070617</t>
  </si>
  <si>
    <t>-539.843264458873 126.346763415646 -352.548505975276</t>
  </si>
  <si>
    <t>-556.077846367408 116.937714070712 -472.291921950382</t>
  </si>
  <si>
    <t>-560.310960366419 106.128012166162 -581.195845049628</t>
  </si>
  <si>
    <t>-554.158101430033 93.1475376514505 -689.770801155759</t>
  </si>
  <si>
    <t>-534.81138281901 72.9490010403939 -839.496262467377</t>
  </si>
  <si>
    <t>-486.835607203534 58.2979523439897 -928.190402743446</t>
  </si>
  <si>
    <t>-535.211634799372 112.461309719656 -776.317634400871</t>
  </si>
  <si>
    <t>-509.863188444475 256.649922762492 -762.444177429126</t>
  </si>
  <si>
    <t>-494.299403740321 311.410943420411 -451.083883182717</t>
  </si>
  <si>
    <t>-307.065984772543 212.906381027497 -299.814099367486</t>
  </si>
  <si>
    <t>-551.531819349632 51.3111591218467 -770.177126991014</t>
  </si>
  <si>
    <t>-473.719894201474 223.486979097595 -250.2740182912</t>
  </si>
  <si>
    <t>-462.591845724964 208.29578611433 205.031474257188</t>
  </si>
  <si>
    <t>-492.809071503096 165.313566303895 671.972855923912</t>
  </si>
  <si>
    <t>-339.899542314786 153.497437176339 758.127217285075</t>
  </si>
  <si>
    <t>-523.640544490411 36.0846586369006 -226.421766673953</t>
  </si>
  <si>
    <t>-432.184816097788 -13.1832070058263 217.274352390399</t>
  </si>
  <si>
    <t>-593.015616590348 -96.9374206722952 650.600444306421</t>
  </si>
  <si>
    <t>-445.506620365963 -146.468425603496 732.644863155618</t>
  </si>
  <si>
    <t>9763-20170724T164344.422425300.bin</t>
  </si>
  <si>
    <t>-498.859498994668 129.933346554291 -238.688253087333</t>
  </si>
  <si>
    <t>-539.986242522548 126.500589498933 -352.550564092704</t>
  </si>
  <si>
    <t>-556.27485304979 117.107649503415 -472.287720373526</t>
  </si>
  <si>
    <t>-560.55971868694 106.313807089037 -581.191321937846</t>
  </si>
  <si>
    <t>-554.46093820783 93.3507745914619 -689.77128980819</t>
  </si>
  <si>
    <t>-535.191206649304 73.1782264114558 -839.510334624665</t>
  </si>
  <si>
    <t>-487.24792688169 58.5491543291918 -928.225624159195</t>
  </si>
  <si>
    <t>-535.566352470452 112.681439127375 -776.325763994471</t>
  </si>
  <si>
    <t>-510.232016568993 256.868903791227 -762.458750260107</t>
  </si>
  <si>
    <t>-494.832815752549 311.705477822176 -451.103713056183</t>
  </si>
  <si>
    <t>-307.620096144047 213.159518623172 -299.835127714491</t>
  </si>
  <si>
    <t>-551.868564803346 51.5264586127659 -770.185033582554</t>
  </si>
  <si>
    <t>-473.803644140211 223.562934262262 -250.281376593871</t>
  </si>
  <si>
    <t>-462.584663744414 208.371909090986 205.021850829921</t>
  </si>
  <si>
    <t>-492.811923555976 165.378314662521 671.965472054194</t>
  </si>
  <si>
    <t>-339.903178187328 153.565265789489 758.121536235069</t>
  </si>
  <si>
    <t>-523.744696133175 36.377745381849 -226.441165802096</t>
  </si>
  <si>
    <t>-432.223761579842 -12.9184957225512 217.23827813188</t>
  </si>
  <si>
    <t>-592.981825458066 -96.404955474968 650.574947880545</t>
  </si>
  <si>
    <t>-445.842687444601 -146.96639376308 732.654895112049</t>
  </si>
  <si>
    <t>9763-20170724T164344.483666500.bin</t>
  </si>
  <si>
    <t>-499.099264300112 129.817516724088 -238.705088007613</t>
  </si>
  <si>
    <t>-540.24510896644 126.384262332331 -352.560427101102</t>
  </si>
  <si>
    <t>-556.565384686254 116.995890069828 -472.293656082241</t>
  </si>
  <si>
    <t>-560.883933249165 106.206830141022 -581.196441794994</t>
  </si>
  <si>
    <t>-554.823795272602 93.2481576040996 -689.779075633871</t>
  </si>
  <si>
    <t>-535.612953907692 73.0805930657373 -839.526325378905</t>
  </si>
  <si>
    <t>-487.6926459683 58.4781036439633 -928.2584443433</t>
  </si>
  <si>
    <t>-535.965313013856 112.582174462405 -776.340678431522</t>
  </si>
  <si>
    <t>-510.655606439225 256.774259299069 -762.493687673067</t>
  </si>
  <si>
    <t>-495.629909070979 311.913937147633 -451.173929454059</t>
  </si>
  <si>
    <t>-308.438087796423 213.165256223056 -300.011705110992</t>
  </si>
  <si>
    <t>-552.261065637571 51.4260578250622 -770.194892212757</t>
  </si>
  <si>
    <t>-474.056679872339 223.327381036858 -250.288410589514</t>
  </si>
  <si>
    <t>-462.62501282066 208.10362293123 205.008489571428</t>
  </si>
  <si>
    <t>-492.698674268528 164.963071955268 671.970926383315</t>
  </si>
  <si>
    <t>-339.680075582723 154.390204277314 758.093134184017</t>
  </si>
  <si>
    <t>-523.965912037297 36.2407326927391 -226.477314206068</t>
  </si>
  <si>
    <t>-432.327316835466 -13.0082193363768 217.183057471626</t>
  </si>
  <si>
    <t>-593.023968995765 -96.6638304996723 650.58151837906</t>
  </si>
  <si>
    <t>-445.761107924128 -146.862967257997 732.661982130472</t>
  </si>
  <si>
    <t>9763-20170724T164344.520764900.bin</t>
  </si>
  <si>
    <t>-499.281649511225 129.795716905554 -238.692012686119</t>
  </si>
  <si>
    <t>-540.468937184858 126.379749140984 -352.532946826021</t>
  </si>
  <si>
    <t>-556.798870758118 117.00128325323 -472.26559144965</t>
  </si>
  <si>
    <t>-561.112304117029 106.218490539686 -581.169197621496</t>
  </si>
  <si>
    <t>-555.033176275477 93.2639163361044 -689.751251069929</t>
  </si>
  <si>
    <t>-535.781545443386 73.1001050053295 -839.493786485011</t>
  </si>
  <si>
    <t>-487.858998545318 58.5132871329155 -928.227343710536</t>
  </si>
  <si>
    <t>-536.152058264314 112.600369009083 -776.307473041375</t>
  </si>
  <si>
    <t>-510.854805300891 256.805683258579 -762.48004124862</t>
  </si>
  <si>
    <t>-496.093769496455 312.167474350937 -451.18700266264</t>
  </si>
  <si>
    <t>-308.878683142476 213.151263460892 -300.22884531236</t>
  </si>
  <si>
    <t>-552.44764321082 51.4436205414006 -770.167297590606</t>
  </si>
  <si>
    <t>-474.258497327248 223.437414960525 -250.285755294493</t>
  </si>
  <si>
    <t>-462.735419429813 208.183758361951 205.007825365001</t>
  </si>
  <si>
    <t>-492.769850194529 165.315409549178 671.960482313808</t>
  </si>
  <si>
    <t>-339.805686388924 154.109703411162 758.099399735944</t>
  </si>
  <si>
    <t>-524.186250769743 36.1718532445733 -226.441114760994</t>
  </si>
  <si>
    <t>-432.402422381836 -13.1331836571668 217.183051076419</t>
  </si>
  <si>
    <t>-593.044837565973 -96.8781770537928 650.577018489138</t>
  </si>
  <si>
    <t>-445.703121988197 -146.854855801046 732.651724528398</t>
  </si>
  <si>
    <t>9763-20170724T164344.589955800.bin</t>
  </si>
  <si>
    <t>-499.665712675103 129.644363371544 -238.736293726006</t>
  </si>
  <si>
    <t>-540.910807784091 126.246147288957 -352.556764299508</t>
  </si>
  <si>
    <t>-557.27687000751 116.85019928513 -472.283321199816</t>
  </si>
  <si>
    <t>-561.613221845076 106.036838029182 -581.182814493322</t>
  </si>
  <si>
    <t>-555.547177795335 93.0365991252636 -689.760241456594</t>
  </si>
  <si>
    <t>-536.303476935719 72.7937266991364 -839.492994491179</t>
  </si>
  <si>
    <t>-488.367334825888 58.2062036500843 -928.219067776849</t>
  </si>
  <si>
    <t>-536.667360153395 112.326547775961 -776.3270121154</t>
  </si>
  <si>
    <t>-511.455500834434 256.548689586615 -762.565428703961</t>
  </si>
  <si>
    <t>-497.107750087626 312.416299675722 -451.343483585554</t>
  </si>
  <si>
    <t>-309.830923453072 212.952243986284 -300.756778480784</t>
  </si>
  <si>
    <t>-552.969024890583 51.1746059531087 -770.154852279997</t>
  </si>
  <si>
    <t>-474.646667814334 223.238807956293 -250.307907365276</t>
  </si>
  <si>
    <t>-462.8940970176 207.931066516384 204.977936033976</t>
  </si>
  <si>
    <t>-492.628669263115 164.813931150057 671.958490255449</t>
  </si>
  <si>
    <t>-339.602198261783 154.332556302171 758.077834347121</t>
  </si>
  <si>
    <t>-524.516404726327 36.066953735439 -226.50466366156</t>
  </si>
  <si>
    <t>-432.663717982392 -13.2534773854333 217.103543248963</t>
  </si>
  <si>
    <t>-593.081064021736 -96.9205021836556 650.589886251327</t>
  </si>
  <si>
    <t>-445.551936054115 -146.416265726397 732.61936249058</t>
  </si>
  <si>
    <t>9763-20170724T164344.623039400.bin</t>
  </si>
  <si>
    <t>-499.901660298832 129.834999303178 -238.757566840744</t>
  </si>
  <si>
    <t>-541.089665668615 126.429005241792 -352.598475020343</t>
  </si>
  <si>
    <t>-557.450119238799 117.018682994463 -472.324510450425</t>
  </si>
  <si>
    <t>-561.803630343035 106.189421975007 -581.221916377891</t>
  </si>
  <si>
    <t>-555.776667173633 93.1703517806302 -689.799228581228</t>
  </si>
  <si>
    <t>-536.609908171702 72.8976823694047 -839.537851434549</t>
  </si>
  <si>
    <t>-488.682984471727 58.3061505383944 -928.268269808119</t>
  </si>
  <si>
    <t>-536.946319184751 112.444319602939 -776.380374976929</t>
  </si>
  <si>
    <t>-511.829311502259 256.68357141409 -762.672342602517</t>
  </si>
  <si>
    <t>-497.510672380535 312.800738266602 -451.493837366818</t>
  </si>
  <si>
    <t>-310.220398525933 213.3398772606 -300.921975326111</t>
  </si>
  <si>
    <t>-553.23493133736 51.2911703123728 -770.185916058669</t>
  </si>
  <si>
    <t>-474.899789952973 223.481485603175 -250.32685737458</t>
  </si>
  <si>
    <t>-463.145714441982 208.161978162568 204.958548683886</t>
  </si>
  <si>
    <t>-492.682605668353 165.108045157983 671.943099737101</t>
  </si>
  <si>
    <t>-339.713697380405 153.97963723065 758.083669880878</t>
  </si>
  <si>
    <t>-524.730119587723 36.2288317261035 -226.544338773176</t>
  </si>
  <si>
    <t>-432.834498578118 -13.076447910915 217.056622055556</t>
  </si>
  <si>
    <t>-593.097530880054 -96.7937935604325 650.596363994975</t>
  </si>
  <si>
    <t>-445.834403827384 -147.059010074877 732.636042379145</t>
  </si>
  <si>
    <t>9763-20170724T164344.692051800.bin</t>
  </si>
  <si>
    <t>-500.387900620663 129.907016390021 -238.797560378592</t>
  </si>
  <si>
    <t>-541.632208940274 126.539427094408 -352.619233745955</t>
  </si>
  <si>
    <t>-558.051139423095 117.121854332233 -472.33681760761</t>
  </si>
  <si>
    <t>-562.457352195053 106.266658683801 -581.229427444663</t>
  </si>
  <si>
    <t>-556.48273677936 93.2016933276245 -689.804034447915</t>
  </si>
  <si>
    <t>-537.388130485628 72.844251599133 -839.540510250688</t>
  </si>
  <si>
    <t>-489.486804820243 58.2175889116108 -928.278951036493</t>
  </si>
  <si>
    <t>-537.688111070877 112.425142813272 -776.404203238533</t>
  </si>
  <si>
    <t>-512.610633175607 256.678538210254 -762.754026190123</t>
  </si>
  <si>
    <t>-498.404925721074 313.050523788961 -451.616404775556</t>
  </si>
  <si>
    <t>-311.19504644284 213.538723785319 -300.978055443575</t>
  </si>
  <si>
    <t>-553.985782329735 51.2785122818815 -770.169267127491</t>
  </si>
  <si>
    <t>-475.43422113464 223.658929755344 -250.361631653644</t>
  </si>
  <si>
    <t>-463.5440136554 208.301811470241 204.919019421452</t>
  </si>
  <si>
    <t>-492.702383831563 165.306872727303 671.927597076735</t>
  </si>
  <si>
    <t>-339.787647262955 153.625892014914 758.091121049033</t>
  </si>
  <si>
    <t>-525.182500926338 36.1343089656184 -226.599471543687</t>
  </si>
  <si>
    <t>-433.128764863176 -13.2031231824423 216.965104346757</t>
  </si>
  <si>
    <t>-593.155320196395 -97.0116943429173 650.602160198587</t>
  </si>
  <si>
    <t>-445.615171055807 -146.517092817526 732.606107223075</t>
  </si>
  <si>
    <t>9763-20170724T164344.719119400.bin</t>
  </si>
  <si>
    <t>-500.571786493177 129.845407878099 -238.794884740605</t>
  </si>
  <si>
    <t>-541.856086540814 126.49434317208 -352.602612896713</t>
  </si>
  <si>
    <t>-558.307346518969 117.086202261997 -472.316364990177</t>
  </si>
  <si>
    <t>-562.739135871611 106.236225650433 -581.208452888632</t>
  </si>
  <si>
    <t>-556.786162380684 93.1731408488159 -689.7846710199</t>
  </si>
  <si>
    <t>-537.71738549532 72.8146901236993 -839.524129444381</t>
  </si>
  <si>
    <t>-489.827761182785 58.1831099966182 -928.268150368316</t>
  </si>
  <si>
    <t>-538.004378118788 112.395489430987 -776.387785295516</t>
  </si>
  <si>
    <t>-512.913517582219 256.641065782755 -762.73299774326</t>
  </si>
  <si>
    <t>-498.800518331576 313.158897020867 -451.61756771602</t>
  </si>
  <si>
    <t>-311.652314080907 213.646691469728 -300.902767260774</t>
  </si>
  <si>
    <t>-554.305092276661 51.2499051711747 -770.150324776659</t>
  </si>
  <si>
    <t>-475.615041515933 223.569119061144 -250.357641567078</t>
  </si>
  <si>
    <t>-463.637093860142 208.191124947512 204.919903458604</t>
  </si>
  <si>
    <t>-492.637423948319 165.052268483263 671.93823972346</t>
  </si>
  <si>
    <t>-339.655228688375 154.084542386792 758.075660073774</t>
  </si>
  <si>
    <t>-525.353972458738 36.1005231203148 -226.596626004013</t>
  </si>
  <si>
    <t>-433.178130245102 -13.2364796296433 216.94265755301</t>
  </si>
  <si>
    <t>-593.160074646603 -96.9254002596007 650.586413230957</t>
  </si>
  <si>
    <t>-445.577210334995 -146.300831013913 732.591765759069</t>
  </si>
  <si>
    <t>9763-20170724T164344.787311000.bin</t>
  </si>
  <si>
    <t>-500.941438933558 130.028383692616 -238.80934397877</t>
  </si>
  <si>
    <t>-542.261904287766 126.69306669814 -352.604402383976</t>
  </si>
  <si>
    <t>-558.705065782003 117.281360133255 -472.319083499993</t>
  </si>
  <si>
    <t>-563.110573207929 106.420957278137 -581.211102139546</t>
  </si>
  <si>
    <t>-557.112438682258 93.3405843372506 -689.782733753208</t>
  </si>
  <si>
    <t>-537.96174022023 72.9516744155422 -839.507572325656</t>
  </si>
  <si>
    <t>-490.037118003795 58.3218429035173 -928.232943321737</t>
  </si>
  <si>
    <t>-538.272509839378 112.542581144021 -776.377730601299</t>
  </si>
  <si>
    <t>-513.178825949756 256.791329226944 -762.706258133018</t>
  </si>
  <si>
    <t>-499.357829282629 313.271150594318 -451.570899863561</t>
  </si>
  <si>
    <t>-312.283815062997 213.734809654797 -300.779975674796</t>
  </si>
  <si>
    <t>-554.598135685971 51.4036707137527 -770.140295616152</t>
  </si>
  <si>
    <t>-475.948531024495 223.728401865106 -250.371503126884</t>
  </si>
  <si>
    <t>-463.796061901644 208.305037887611 204.900012724815</t>
  </si>
  <si>
    <t>-492.655122139865 165.228238214976 671.920068592806</t>
  </si>
  <si>
    <t>-339.672688209216 154.240366412148 758.05449215056</t>
  </si>
  <si>
    <t>-525.753426883982 36.3239102571408 -226.612313318662</t>
  </si>
  <si>
    <t>-433.372828945925 -13.1175478983902 216.872760002234</t>
  </si>
  <si>
    <t>-593.171718879526 -96.8703783263503 650.562262482344</t>
  </si>
  <si>
    <t>-445.627961248434 -146.360814289075 732.568631406316</t>
  </si>
  <si>
    <t>9763-20170724T164344.819388900.bin</t>
  </si>
  <si>
    <t>-501.12657549403 130.162081257845 -238.824038240797</t>
  </si>
  <si>
    <t>-542.486601644842 126.85766417927 -352.605578516566</t>
  </si>
  <si>
    <t>-558.945052276555 117.455281078839 -472.318853368132</t>
  </si>
  <si>
    <t>-563.353814106579 106.594010587881 -581.210737109835</t>
  </si>
  <si>
    <t>-557.34821060298 93.5036440305637 -689.780675205649</t>
  </si>
  <si>
    <t>-538.176296615793 73.0913630428017 -839.499697685059</t>
  </si>
  <si>
    <t>-490.234026376754 58.46639458831 -928.216151753195</t>
  </si>
  <si>
    <t>-538.489042656893 112.690410147607 -776.374872870522</t>
  </si>
  <si>
    <t>-513.37785855678 256.937253195892 -762.705431570778</t>
  </si>
  <si>
    <t>-499.772917232891 313.287239132722 -451.537117251939</t>
  </si>
  <si>
    <t>-312.696434109922 213.798374134765 -300.71799266594</t>
  </si>
  <si>
    <t>-554.829498097558 51.5559395680958 -770.132385205116</t>
  </si>
  <si>
    <t>-476.142659538633 223.887211046356 -250.370062851831</t>
  </si>
  <si>
    <t>-463.885394488988 208.409133753033 204.896744310597</t>
  </si>
  <si>
    <t>-492.670913009194 165.355021543216 671.912156969512</t>
  </si>
  <si>
    <t>-339.688685741321 154.374313043519 758.047984049883</t>
  </si>
  <si>
    <t>-525.95274458614 36.505183922993 -226.630789113576</t>
  </si>
  <si>
    <t>-433.496273541207 -12.9909830215413 216.83231995929</t>
  </si>
  <si>
    <t>-593.169778283221 -96.5951182800077 650.557292412866</t>
  </si>
  <si>
    <t>-445.828938625283 -146.667895487154 732.574918627873</t>
  </si>
  <si>
    <t>9763-20170724T164344.889459900.bin</t>
  </si>
  <si>
    <t>-501.558009756692 130.280880954273 -238.863056926645</t>
  </si>
  <si>
    <t>-542.904931282634 126.978818141219 -352.649388923864</t>
  </si>
  <si>
    <t>-559.331928703083 117.59186921828 -472.368293770312</t>
  </si>
  <si>
    <t>-563.705272896026 106.748706294857 -581.263323311612</t>
  </si>
  <si>
    <t>-557.657700351603 93.6797342706444 -689.833539661255</t>
  </si>
  <si>
    <t>-538.420945470467 73.2998257612071 -839.548653799754</t>
  </si>
  <si>
    <t>-490.46162939178 58.7223764412321 -928.263931190864</t>
  </si>
  <si>
    <t>-538.75926215203 112.884743353114 -776.41513750039</t>
  </si>
  <si>
    <t>-513.678834491474 257.136432164754 -762.701487659929</t>
  </si>
  <si>
    <t>-500.339903385798 313.495674258734 -451.523371161041</t>
  </si>
  <si>
    <t>-313.294095161359 213.974216720939 -300.687717323191</t>
  </si>
  <si>
    <t>-555.105910433338 51.7498128432671 -770.193559554365</t>
  </si>
  <si>
    <t>-476.58719896625 224.120451870265 -250.400543247977</t>
  </si>
  <si>
    <t>-464.227032179069 208.593856734428 204.861836711155</t>
  </si>
  <si>
    <t>-492.727265193926 165.692249661588 671.892514735291</t>
  </si>
  <si>
    <t>-339.794305750316 154.180125972162 758.046344809361</t>
  </si>
  <si>
    <t>-526.365444875143 36.4895266762328 -226.691738433238</t>
  </si>
  <si>
    <t>-433.793220269735 -13.0721347470134 216.740028943959</t>
  </si>
  <si>
    <t>-593.230699213928 -96.8483566053355 650.582708609605</t>
  </si>
  <si>
    <t>-445.703129141492 -146.424254312331 732.566617430385</t>
  </si>
  <si>
    <t>9763-20170724T164344.921544200.bin</t>
  </si>
  <si>
    <t>-501.741414150818 130.461652401366 -238.879327435638</t>
  </si>
  <si>
    <t>-543.1126539237 127.164232675357 -352.657042356284</t>
  </si>
  <si>
    <t>-559.539804159438 117.778458714971 -472.375970546415</t>
  </si>
  <si>
    <t>-563.903085819036 106.934866617992 -581.271341220495</t>
  </si>
  <si>
    <t>-557.835325856484 93.8639954112507 -689.840139525624</t>
  </si>
  <si>
    <t>-538.560182798565 73.4800445795465 -839.549776396417</t>
  </si>
  <si>
    <t>-490.597234343134 58.9173248005634 -928.265418111204</t>
  </si>
  <si>
    <t>-538.918614286887 113.06769449103 -776.418189742137</t>
  </si>
  <si>
    <t>-513.862523114902 257.316170668388 -762.682351575304</t>
  </si>
  <si>
    <t>-500.55620217353 313.762573546241 -451.518541129794</t>
  </si>
  <si>
    <t>-313.546147033036 214.25494694841 -300.629437735993</t>
  </si>
  <si>
    <t>-555.259065658838 51.9309852773186 -770.19776235867</t>
  </si>
  <si>
    <t>-476.773743629199 224.176079763952 -250.41261045813</t>
  </si>
  <si>
    <t>-464.348358492351 208.618119603231 204.846912306928</t>
  </si>
  <si>
    <t>-492.658401416016 165.442557965427 671.894585089</t>
  </si>
  <si>
    <t>-339.71914263023 153.993027423105 758.045634199027</t>
  </si>
  <si>
    <t>-526.541065854661 36.8105764792736 -226.713477044964</t>
  </si>
  <si>
    <t>-433.911421870099 -12.7881141126659 216.702098547384</t>
  </si>
  <si>
    <t>-593.22189848329 -96.4083284212916 650.586152771541</t>
  </si>
  <si>
    <t>-446.187299661202 -147.376694731801 732.601716202013</t>
  </si>
  <si>
    <t>9763-20170724T164344.989780800.bin</t>
  </si>
  <si>
    <t>-502.092697595664 130.296374458245 -238.890325411262</t>
  </si>
  <si>
    <t>-543.482659644329 126.998126100967 -352.661073570788</t>
  </si>
  <si>
    <t>-559.904149262019 117.617022032084 -472.381168827408</t>
  </si>
  <si>
    <t>-564.251953097964 106.779725832706 -581.277844937553</t>
  </si>
  <si>
    <t>-558.158503313929 93.7171998879638 -689.846278461062</t>
  </si>
  <si>
    <t>-538.837353163265 73.3470706467718 -839.55175129127</t>
  </si>
  <si>
    <t>-490.890395948702 58.8192282320087 -928.281858680307</t>
  </si>
  <si>
    <t>-539.215958621413 112.929069249621 -776.416633762077</t>
  </si>
  <si>
    <t>-514.199211228563 257.18166838518 -762.635902802855</t>
  </si>
  <si>
    <t>-501.044424869294 313.740020979213 -451.485780397158</t>
  </si>
  <si>
    <t>-314.027562593816 214.239942486486 -300.600275837553</t>
  </si>
  <si>
    <t>-555.556800950793 51.7913917062794 -770.206798839354</t>
  </si>
  <si>
    <t>-477.108007053362 224.104067799187 -250.423120001871</t>
  </si>
  <si>
    <t>-464.556203925809 208.519378581487 204.831904833567</t>
  </si>
  <si>
    <t>-492.680269459844 165.551277861316 671.897055460258</t>
  </si>
  <si>
    <t>-339.719084631744 154.246950126357 758.028438963836</t>
  </si>
  <si>
    <t>-526.90609843324 36.4705658848786 -226.714414101876</t>
  </si>
  <si>
    <t>-434.120585864137 -13.1827583858625 216.662471516464</t>
  </si>
  <si>
    <t>-593.296749927495 -96.8577168497525 650.616737283171</t>
  </si>
  <si>
    <t>-445.560770592576 -145.953559874097 732.514128029161</t>
  </si>
  <si>
    <t>9763-20170724T164345.022872500.bin</t>
  </si>
  <si>
    <t>-502.236380500858 130.382958850556 -238.873428747775</t>
  </si>
  <si>
    <t>-543.646366434171 127.093121649453 -352.637268047177</t>
  </si>
  <si>
    <t>-560.076772398292 117.71518519053 -472.35627380479</t>
  </si>
  <si>
    <t>-564.42748888836 106.879034251102 -581.252998279061</t>
  </si>
  <si>
    <t>-558.331873128584 93.8163044531409 -689.821135967147</t>
  </si>
  <si>
    <t>-539.002505336035 73.4447609359508 -839.525517423784</t>
  </si>
  <si>
    <t>-491.102859086025 58.9360105220377 -928.284127749943</t>
  </si>
  <si>
    <t>-539.386754553048 113.027829394666 -776.391206254482</t>
  </si>
  <si>
    <t>-514.39754170495 257.284838578565 -762.599235430523</t>
  </si>
  <si>
    <t>-501.350571358414 313.9084711567 -451.456591606107</t>
  </si>
  <si>
    <t>-314.318913770453 214.413932638848 -300.585545745357</t>
  </si>
  <si>
    <t>-555.723629105809 51.8891717408598 -770.180875143255</t>
  </si>
  <si>
    <t>-477.283103578851 224.218787977507 -250.409783412906</t>
  </si>
  <si>
    <t>-464.68467754658 208.575043329316 204.841938356475</t>
  </si>
  <si>
    <t>-492.719437183707 165.711126738496 671.907954105036</t>
  </si>
  <si>
    <t>-339.749915851307 154.422020806106 758.026412687964</t>
  </si>
  <si>
    <t>-527.042986172053 36.6357383522137 -226.698146122139</t>
  </si>
  <si>
    <t>-434.174154916278 -13.0340690068496 216.659491704563</t>
  </si>
  <si>
    <t>-593.307568861662 -96.6559202926701 650.62084861405</t>
  </si>
  <si>
    <t>-445.860230393842 -146.595611877363 732.528158413395</t>
  </si>
  <si>
    <t>9763-20170724T164345.089053500.bin</t>
  </si>
  <si>
    <t>-502.511263526493 130.631592009528 -238.863967551284</t>
  </si>
  <si>
    <t>-543.948361265605 127.359248737034 -352.618428428364</t>
  </si>
  <si>
    <t>-560.381464387791 118.002603653252 -472.338714978139</t>
  </si>
  <si>
    <t>-564.724129768547 107.188429950437 -581.238090008337</t>
  </si>
  <si>
    <t>-558.609562643785 94.1511146509049 -689.808243415012</t>
  </si>
  <si>
    <t>-539.24261014189 73.819050892271 -839.513069245161</t>
  </si>
  <si>
    <t>-491.628494426388 59.3965584374155 -928.439138136925</t>
  </si>
  <si>
    <t>-539.639958064989 113.384788993828 -776.367858447321</t>
  </si>
  <si>
    <t>-514.682912117567 257.640447697092 -762.523292396005</t>
  </si>
  <si>
    <t>-501.899418195802 314.247449794078 -451.366637543845</t>
  </si>
  <si>
    <t>-314.78500792842 214.727535273587 -300.615157695186</t>
  </si>
  <si>
    <t>-555.983773233345 52.2458336395061 -770.17878143023</t>
  </si>
  <si>
    <t>-477.576919168403 224.540226353124 -250.400399461809</t>
  </si>
  <si>
    <t>-464.962247676601 208.841555258309 204.849040997712</t>
  </si>
  <si>
    <t>-492.786261576073 166.008645153331 671.916091781758</t>
  </si>
  <si>
    <t>-339.866857378672 154.049213405537 758.0331167281</t>
  </si>
  <si>
    <t>-527.303912251027 36.8603534158946 -226.679728147241</t>
  </si>
  <si>
    <t>-434.26151968729 -12.8960268460003 216.631805952912</t>
  </si>
  <si>
    <t>-593.320137705433 -96.4865735695566 650.597360325754</t>
  </si>
  <si>
    <t>-445.869935112442 -146.422428984125 732.50186859198</t>
  </si>
  <si>
    <t>9763-20170724T164345.122140600.bin</t>
  </si>
  <si>
    <t>-502.636273104022 130.798305135163 -238.85493328913</t>
  </si>
  <si>
    <t>-544.069783088109 127.522977004997 -352.610607385312</t>
  </si>
  <si>
    <t>-560.482211200023 118.172147939022 -472.334201976192</t>
  </si>
  <si>
    <t>-564.799063940974 107.367191708884 -581.235437069795</t>
  </si>
  <si>
    <t>-558.651716818424 94.3433651858825 -689.805476826561</t>
  </si>
  <si>
    <t>-539.232229528599 74.0347991363438 -839.506602925374</t>
  </si>
  <si>
    <t>-491.821735854924 59.6637147489203 -928.549970350879</t>
  </si>
  <si>
    <t>-539.653565264845 113.591097795958 -776.35568061225</t>
  </si>
  <si>
    <t>-514.69956185631 257.845125830698 -762.481034054928</t>
  </si>
  <si>
    <t>-502.081793550586 314.393854637354 -451.307024723241</t>
  </si>
  <si>
    <t>-314.947779989872 214.889246292345 -300.569676903753</t>
  </si>
  <si>
    <t>-555.995859856582 52.4502637436612 -770.181272603784</t>
  </si>
  <si>
    <t>-477.728753482963 224.72497192728 -250.399848403891</t>
  </si>
  <si>
    <t>-465.106710656036 208.975725663716 204.847697877118</t>
  </si>
  <si>
    <t>-492.811339103784 166.144684224639 671.915716482267</t>
  </si>
  <si>
    <t>-339.918235136767 153.877000132878 758.036025298698</t>
  </si>
  <si>
    <t>-527.402575533885 36.9902167587956 -226.672486532236</t>
  </si>
  <si>
    <t>-434.317697200123 -12.8200638928447 216.624033826425</t>
  </si>
  <si>
    <t>-593.334092906406 -96.5342534416531 650.590841060922</t>
  </si>
  <si>
    <t>-445.994701129814 -146.775681785593 732.508017397455</t>
  </si>
  <si>
    <t>9763-20170724T164345.189889200.bin</t>
  </si>
  <si>
    <t>-502.792776773694 130.831629564367 -238.862190848858</t>
  </si>
  <si>
    <t>-544.238139299646 127.572483339185 -352.613874936185</t>
  </si>
  <si>
    <t>-560.670131426399 118.264355871345 -472.338317076746</t>
  </si>
  <si>
    <t>-565.007481955512 107.50992162837 -581.2436125336</t>
  </si>
  <si>
    <t>-558.8829940912 94.5489456067249 -689.822451807108</t>
  </si>
  <si>
    <t>-539.497298932262 74.3413274021654 -839.541722484643</t>
  </si>
  <si>
    <t>-492.495894038514 60.0906579217903 -928.820907412337</t>
  </si>
  <si>
    <t>-539.907560725602 113.85585078575 -776.364509252506</t>
  </si>
  <si>
    <t>-514.897934718476 258.099455800975 -762.423496932207</t>
  </si>
  <si>
    <t>-502.601608756983 314.577385786026 -451.22382041239</t>
  </si>
  <si>
    <t>-315.514511331899 215.012832794576 -300.467975019757</t>
  </si>
  <si>
    <t>-556.242208121857 52.7093184058833 -770.226639332621</t>
  </si>
  <si>
    <t>-477.8606296101 224.677656693806 -250.411434980503</t>
  </si>
  <si>
    <t>-465.339312778865 208.872266486607 204.836908445134</t>
  </si>
  <si>
    <t>-492.722057595753 165.813303983239 671.930193709267</t>
  </si>
  <si>
    <t>-339.793399606875 153.807484922709 758.024360849535</t>
  </si>
  <si>
    <t>-527.587605420296 36.9185516514926 -226.668364694879</t>
  </si>
  <si>
    <t>-434.404145287303 -12.8673894873146 216.610249228647</t>
  </si>
  <si>
    <t>-593.389616741071 -96.855223385416 650.591193563841</t>
  </si>
  <si>
    <t>-445.989577684493 -146.955540558156 732.485689082377</t>
  </si>
  <si>
    <t>9763-20170724T164345.222975600.bin</t>
  </si>
  <si>
    <t>-502.866817406308 130.849230433538 -238.861621716762</t>
  </si>
  <si>
    <t>-544.287928628329 127.57594076856 -352.621871888676</t>
  </si>
  <si>
    <t>-560.728195265231 118.273451662367 -472.345551636397</t>
  </si>
  <si>
    <t>-565.086505708459 107.533559014235 -581.251447143584</t>
  </si>
  <si>
    <t>-558.996188510831 94.5974069474667 -689.835196568964</t>
  </si>
  <si>
    <t>-539.671152611937 74.4351963236135 -839.568362262221</t>
  </si>
  <si>
    <t>-492.849864238411 60.2365933602623 -928.950410494176</t>
  </si>
  <si>
    <t>-540.063098334447 113.932374913644 -776.380124947697</t>
  </si>
  <si>
    <t>-515.075559017141 258.174457918321 -762.419487809603</t>
  </si>
  <si>
    <t>-502.821468457544 314.585455953835 -451.206071762795</t>
  </si>
  <si>
    <t>-315.743011370766 215.011599509836 -300.445420996963</t>
  </si>
  <si>
    <t>-556.380655415645 52.780258393409 -770.251879471511</t>
  </si>
  <si>
    <t>-477.949472246612 224.696797464679 -250.427002859718</t>
  </si>
  <si>
    <t>-465.548288782324 208.8587685274 204.823524940251</t>
  </si>
  <si>
    <t>-492.721299523578 165.836315933893 671.933530517596</t>
  </si>
  <si>
    <t>-339.776503266437 153.871417761023 758.004638529981</t>
  </si>
  <si>
    <t>-527.654334092482 36.9768951981478 -226.670450762768</t>
  </si>
  <si>
    <t>-434.436639477724 -12.8195108417675 216.599708253165</t>
  </si>
  <si>
    <t>-593.402572953844 -96.6804807357537 650.589213149839</t>
  </si>
  <si>
    <t>-446.104986002683 -147.093277889846 732.476368297362</t>
  </si>
  <si>
    <t>9763-20170724T164345.288188600.bin</t>
  </si>
  <si>
    <t>-503.05319592126 130.976337084692 -238.833042824542</t>
  </si>
  <si>
    <t>-544.522733042844 127.710591023412 -352.575779299693</t>
  </si>
  <si>
    <t>-561.005154282783 118.416374667481 -472.294278220105</t>
  </si>
  <si>
    <t>-565.397288510313 107.68851266522 -581.200018621998</t>
  </si>
  <si>
    <t>-559.335644208827 94.771671120708 -689.787636079493</t>
  </si>
  <si>
    <t>-540.044306413666 74.6463750714592 -839.530177755245</t>
  </si>
  <si>
    <t>-493.455769864803 60.509478882341 -929.043541988518</t>
  </si>
  <si>
    <t>-540.436816114361 114.131697167145 -776.334666964683</t>
  </si>
  <si>
    <t>-515.478467309182 258.383113041125 -762.396207731558</t>
  </si>
  <si>
    <t>-503.327040171067 314.794939508434 -451.17885805073</t>
  </si>
  <si>
    <t>-316.166478530406 215.313320496633 -300.459249201431</t>
  </si>
  <si>
    <t>-556.723409956626 52.970672241075 -770.21278409912</t>
  </si>
  <si>
    <t>-478.150054914344 224.871120357296 -250.425593603302</t>
  </si>
  <si>
    <t>-465.963177300671 208.995701296257 204.829425552549</t>
  </si>
  <si>
    <t>-492.725883263248 165.905989821382 671.953524220785</t>
  </si>
  <si>
    <t>-339.784766157747 153.636540772549 757.988420332236</t>
  </si>
  <si>
    <t>-527.832540428515 37.1282397387505 -226.580681098345</t>
  </si>
  <si>
    <t>-434.443221734751 -12.8380099961781 216.634234039734</t>
  </si>
  <si>
    <t>-593.447718860365 -96.6300207139863 650.573430906274</t>
  </si>
  <si>
    <t>-446.07911357043 -146.915357541973 732.410946601484</t>
  </si>
  <si>
    <t>9763-20170724T164345.322297300.bin</t>
  </si>
  <si>
    <t>-503.141903260264 131.057509455331 -238.828931328507</t>
  </si>
  <si>
    <t>-544.633960861764 127.786142932336 -352.56335171429</t>
  </si>
  <si>
    <t>-561.139346030431 118.481615836487 -472.277864162394</t>
  </si>
  <si>
    <t>-565.551678183837 107.743988412041 -581.181927316247</t>
  </si>
  <si>
    <t>-559.509542909196 94.8177202807687 -689.769366043167</t>
  </si>
  <si>
    <t>-540.244036187061 74.6806573224192 -839.513772389971</t>
  </si>
  <si>
    <t>-493.725346210198 60.5543646583001 -929.065030286477</t>
  </si>
  <si>
    <t>-540.624108399011 114.170550607933 -776.320884868621</t>
  </si>
  <si>
    <t>-515.677597017106 258.419376427189 -762.39221199499</t>
  </si>
  <si>
    <t>-503.6725670193 314.953707172337 -451.191553333395</t>
  </si>
  <si>
    <t>-316.48509725815 215.513856443615 -300.477691992377</t>
  </si>
  <si>
    <t>-556.912767861945 53.0108102733733 -770.191996858805</t>
  </si>
  <si>
    <t>-478.235863485738 224.992956809203 -250.43558839075</t>
  </si>
  <si>
    <t>-466.126382625756 209.097644413066 204.820788122309</t>
  </si>
  <si>
    <t>-492.718307980997 165.939163247559 671.955152943274</t>
  </si>
  <si>
    <t>-339.816433200542 153.191827580047 757.990137251665</t>
  </si>
  <si>
    <t>-527.891833477965 37.1461549276339 -226.57513680444</t>
  </si>
  <si>
    <t>-434.481613220058 -12.8584306883614 216.63106462001</t>
  </si>
  <si>
    <t>-593.479776299495 -96.6722823039865 650.574971865498</t>
  </si>
  <si>
    <t>-445.963477357176 -146.592702923845 732.369816523102</t>
  </si>
  <si>
    <t>9763-20170724T164345.389549400.bin</t>
  </si>
  <si>
    <t>-503.08829373612 130.884827728961 -238.835508260863</t>
  </si>
  <si>
    <t>-544.50179830873 127.590471779954 -352.597892486093</t>
  </si>
  <si>
    <t>-560.986145014594 118.259301385379 -472.313100554327</t>
  </si>
  <si>
    <t>-565.404232366232 107.497217527091 -581.214532854403</t>
  </si>
  <si>
    <t>-559.392212368964 94.5469516643264 -689.800944347122</t>
  </si>
  <si>
    <t>-540.193671628509 74.3772587785431 -839.54942285642</t>
  </si>
  <si>
    <t>-493.751009730219 60.2281456488761 -929.136565016384</t>
  </si>
  <si>
    <t>-540.545017607477 113.880873679179 -776.36508276412</t>
  </si>
  <si>
    <t>-515.610200235879 258.138469333507 -762.479223131753</t>
  </si>
  <si>
    <t>-503.776477128541 314.995704235876 -451.330800023141</t>
  </si>
  <si>
    <t>-316.593543204903 215.577325197018 -300.597266649969</t>
  </si>
  <si>
    <t>-556.831829131295 52.7226347952038 -770.215647363737</t>
  </si>
  <si>
    <t>-478.124697729309 224.840579788252 -250.459700445713</t>
  </si>
  <si>
    <t>-466.269078555302 208.94783957651 204.803528932593</t>
  </si>
  <si>
    <t>-492.705260485597 165.956569394147 671.961648796481</t>
  </si>
  <si>
    <t>-339.735895207864 153.747398672433 757.954751622985</t>
  </si>
  <si>
    <t>-527.842439902716 36.894285324987 -226.590018668849</t>
  </si>
  <si>
    <t>-434.574697833228 -13.1326323322959 216.64363798905</t>
  </si>
  <si>
    <t>-593.567203560933 -97.1553905093201 650.60756734109</t>
  </si>
  <si>
    <t>-445.784551521554 -146.394287301733 732.334689141199</t>
  </si>
  <si>
    <t>9763-20170724T164345.423652500.bin</t>
  </si>
  <si>
    <t>-502.936923398848 130.948623763848 -238.839178207425</t>
  </si>
  <si>
    <t>-544.354442437924 127.648774702508 -352.599944065509</t>
  </si>
  <si>
    <t>-560.852195179205 118.302700456488 -472.312242778045</t>
  </si>
  <si>
    <t>-565.286359347368 107.522395407722 -581.211202320942</t>
  </si>
  <si>
    <t>-559.294482558301 94.5485494013626 -689.795845592083</t>
  </si>
  <si>
    <t>-540.128126513567 74.3399739810095 -839.543105548012</t>
  </si>
  <si>
    <t>-493.689849368268 60.1554022444609 -929.12702961016</t>
  </si>
  <si>
    <t>-540.460679664727 113.858581402656 -776.368218624171</t>
  </si>
  <si>
    <t>-515.561193089049 258.122668630547 -762.487025434331</t>
  </si>
  <si>
    <t>-503.830472966943 315.057633345346 -451.348752274745</t>
  </si>
  <si>
    <t>-316.617029640208 215.677648528181 -300.627974205371</t>
  </si>
  <si>
    <t>-556.756557904144 52.7046319282253 -770.201099218495</t>
  </si>
  <si>
    <t>-477.926461018852 224.843693458257 -250.458395020438</t>
  </si>
  <si>
    <t>-466.143938960979 208.957084692103 204.806811236102</t>
  </si>
  <si>
    <t>-492.697947875813 165.960516810848 671.965008163324</t>
  </si>
  <si>
    <t>-339.731450041391 153.677735542393 757.952803311024</t>
  </si>
  <si>
    <t>-527.759577724578 37.0865218387823 -226.579707456325</t>
  </si>
  <si>
    <t>-434.485657622698 -12.9300794623731 216.653848024276</t>
  </si>
  <si>
    <t>-593.558142307644 -96.725480994773 650.59391496684</t>
  </si>
  <si>
    <t>-446.140753803202 -146.994157682138 732.353792297814</t>
  </si>
  <si>
    <t>9763-20170724T164345.490834100.bin</t>
  </si>
  <si>
    <t>-502.670207702121 130.909772473125 -238.823174327981</t>
  </si>
  <si>
    <t>-544.106150026226 127.585838689228 -352.576538321089</t>
  </si>
  <si>
    <t>-560.607398795787 118.230215268326 -472.287626489195</t>
  </si>
  <si>
    <t>-565.03875163482 107.445742968857 -581.18621599164</t>
  </si>
  <si>
    <t>-559.038178422976 94.4714451417211 -689.77041902045</t>
  </si>
  <si>
    <t>-539.854124263973 74.265322430388 -839.515669282897</t>
  </si>
  <si>
    <t>-493.397004322648 60.0452410280825 -929.084234426052</t>
  </si>
  <si>
    <t>-540.190738789732 113.782112139312 -776.339618620912</t>
  </si>
  <si>
    <t>-515.328593101007 258.047151087132 -762.438327983042</t>
  </si>
  <si>
    <t>-503.86199287805 315.249323933085 -451.339257097053</t>
  </si>
  <si>
    <t>-316.620425751529 215.941177647316 -300.605820653952</t>
  </si>
  <si>
    <t>-556.494153499017 52.6296916087367 -770.176427356597</t>
  </si>
  <si>
    <t>-477.705265834164 224.771493602898 -250.446523121455</t>
  </si>
  <si>
    <t>-465.931488689746 208.910197024265 204.819836951604</t>
  </si>
  <si>
    <t>-492.610967058842 165.640051387596 671.97612261725</t>
  </si>
  <si>
    <t>-339.633331453555 153.428272347666 757.954076849697</t>
  </si>
  <si>
    <t>-527.456912501101 37.0678420860649 -226.550546072796</t>
  </si>
  <si>
    <t>-434.273515651182 -12.9659046449749 216.700030999835</t>
  </si>
  <si>
    <t>-593.572814513166 -96.7599752846065 650.5660378895</t>
  </si>
  <si>
    <t>-446.060784372952 -146.732502796682 732.336867163793</t>
  </si>
  <si>
    <t>9763-20170724T164345.522919400.bin</t>
  </si>
  <si>
    <t>-502.597719245822 131.126594238151 -238.821836764988</t>
  </si>
  <si>
    <t>-544.032341529132 127.798820640495 -352.575397507586</t>
  </si>
  <si>
    <t>-560.528600561542 118.445205631453 -472.287319965033</t>
  </si>
  <si>
    <t>-564.95387209054 107.66527158848 -581.186721477012</t>
  </si>
  <si>
    <t>-558.945701042222 94.6979132047701 -689.771237219023</t>
  </si>
  <si>
    <t>-539.749447512317 74.5042290914494 -839.516850867865</t>
  </si>
  <si>
    <t>-493.273625677401 60.2875658702193 -929.076011910683</t>
  </si>
  <si>
    <t>-540.091500714411 114.015882545342 -776.337430248761</t>
  </si>
  <si>
    <t>-515.23613594624 258.284587445427 -762.418520256975</t>
  </si>
  <si>
    <t>-504.01924260732 315.56838350843 -451.325301255741</t>
  </si>
  <si>
    <t>-316.757089259692 216.296981186978 -300.593358966296</t>
  </si>
  <si>
    <t>-556.394968270712 52.8628385595532 -770.180697519346</t>
  </si>
  <si>
    <t>-477.660176865205 225.143313602534 -250.447156733197</t>
  </si>
  <si>
    <t>-465.924124709915 209.278374799478 204.820121734579</t>
  </si>
  <si>
    <t>-492.749482108558 166.278966923459 671.968465685576</t>
  </si>
  <si>
    <t>-339.917858215415 152.603408829567 757.985723013293</t>
  </si>
  <si>
    <t>-527.385826982017 37.1630071516 -226.538064532213</t>
  </si>
  <si>
    <t>-434.248005502899 -12.858823109251 216.723527551638</t>
  </si>
  <si>
    <t>-593.578995078744 -96.7683622849022 650.552514674195</t>
  </si>
  <si>
    <t>-445.938429784419 -146.366847727173 732.319007187634</t>
  </si>
  <si>
    <t>9763-20170724T164345.587660300.bin</t>
  </si>
  <si>
    <t>-502.401103405666 131.134200635954 -238.815025137153</t>
  </si>
  <si>
    <t>-543.845347298657 127.83492103226 -352.566074020879</t>
  </si>
  <si>
    <t>-560.365744746535 118.473790611095 -472.27403720666</t>
  </si>
  <si>
    <t>-564.818124544652 107.673624394328 -581.170287040309</t>
  </si>
  <si>
    <t>-558.842190809468 94.6737967680634 -689.752639322544</t>
  </si>
  <si>
    <t>-539.695331729203 74.4227719722959 -839.496837730564</t>
  </si>
  <si>
    <t>-493.203780388232 60.1972982685184 -929.046436644119</t>
  </si>
  <si>
    <t>-540.011365694005 113.957292405699 -776.331469180884</t>
  </si>
  <si>
    <t>-515.323297523417 258.262979318651 -762.476892960982</t>
  </si>
  <si>
    <t>-504.527693257966 315.650257224284 -451.38797375191</t>
  </si>
  <si>
    <t>-317.292947073385 216.647126549819 -300.445606601987</t>
  </si>
  <si>
    <t>-556.322968176916 52.8091430233355 -770.147691830073</t>
  </si>
  <si>
    <t>-477.410294114691 225.006551906343 -250.427258101207</t>
  </si>
  <si>
    <t>-465.701940183144 209.139344637142 204.840615955361</t>
  </si>
  <si>
    <t>-492.682708045767 166.04609630011 671.973107858462</t>
  </si>
  <si>
    <t>-339.753198945841 153.324006072018 757.962748403585</t>
  </si>
  <si>
    <t>-527.239397571436 37.273624181171 -226.538367403179</t>
  </si>
  <si>
    <t>-434.218070849419 -12.7582112417511 216.746538714502</t>
  </si>
  <si>
    <t>-593.595919138417 -96.5516309182202 650.560919081297</t>
  </si>
  <si>
    <t>-446.162074667254 -146.727185670719 732.348367378561</t>
  </si>
  <si>
    <t>9763-20170724T164345.621750200.bin</t>
  </si>
  <si>
    <t>-502.293048855209 131.12855868124 -238.817258015062</t>
  </si>
  <si>
    <t>-543.723651480586 127.831350500435 -352.573293738791</t>
  </si>
  <si>
    <t>-560.255960965605 118.451671718054 -472.278310802354</t>
  </si>
  <si>
    <t>-564.729520165196 107.628381407483 -581.171301166538</t>
  </si>
  <si>
    <t>-558.784630990133 94.6000445645839 -689.752117064347</t>
  </si>
  <si>
    <t>-539.690803030348 74.3050147569141 -839.496931427774</t>
  </si>
  <si>
    <t>-493.169892114391 60.0749644179689 -929.030705693109</t>
  </si>
  <si>
    <t>-539.995056106818 113.860693468066 -776.344953529979</t>
  </si>
  <si>
    <t>-515.39067385998 258.194826700317 -762.608007270819</t>
  </si>
  <si>
    <t>-504.802656099802 315.521349735605 -451.500699002793</t>
  </si>
  <si>
    <t>-317.572793647101 216.659353851206 -300.459951890516</t>
  </si>
  <si>
    <t>-556.283363999635 52.7091525800889 -770.133927870349</t>
  </si>
  <si>
    <t>-477.263443748293 224.916381949728 -250.428966357816</t>
  </si>
  <si>
    <t>-465.664373592113 209.084059673295 204.842852174354</t>
  </si>
  <si>
    <t>-492.63307133486 165.874716049675 671.976817191952</t>
  </si>
  <si>
    <t>-339.693147320945 153.256455151365 757.963219294825</t>
  </si>
  <si>
    <t>-527.148287809622 37.3216296919692 -226.549442888229</t>
  </si>
  <si>
    <t>-434.23743115464 -12.6302941516045 216.767673436861</t>
  </si>
  <si>
    <t>-593.601417186108 -96.35603900775 650.567867213563</t>
  </si>
  <si>
    <t>-446.308922091935 -146.927832558298 732.365998783678</t>
  </si>
  <si>
    <t>9763-20170724T164345.689943900.bin</t>
  </si>
  <si>
    <t>-502.061804562478 130.797008940782 -238.828301798072</t>
  </si>
  <si>
    <t>-543.373827346772 127.488362023802 -352.627116449678</t>
  </si>
  <si>
    <t>-559.860204583989 118.040682347795 -472.333055897262</t>
  </si>
  <si>
    <t>-564.323578509089 107.133608945351 -581.218247772129</t>
  </si>
  <si>
    <t>-558.40002746228 93.999433638589 -689.787303812496</t>
  </si>
  <si>
    <t>-539.368536498463 73.5346388419014 -839.517120766608</t>
  </si>
  <si>
    <t>-492.681280093032 59.2480501103864 -928.955138778402</t>
  </si>
  <si>
    <t>-539.669550009977 113.167674202605 -776.413573354107</t>
  </si>
  <si>
    <t>-515.233884532267 257.542751164743 -762.894834035873</t>
  </si>
  <si>
    <t>-505.009511065164 315.187294294353 -451.834265337287</t>
  </si>
  <si>
    <t>-317.898096960811 216.414979724953 -300.587892672944</t>
  </si>
  <si>
    <t>-555.909148208374 52.0116850470362 -770.119103053278</t>
  </si>
  <si>
    <t>-477.012828557577 224.773441334943 -250.427880557704</t>
  </si>
  <si>
    <t>-465.562403056574 208.972921117204 204.848722172191</t>
  </si>
  <si>
    <t>-492.671520396021 166.096049421273 671.975559991899</t>
  </si>
  <si>
    <t>-339.751013785945 153.331084423872 757.974858638357</t>
  </si>
  <si>
    <t>-526.906327945174 36.8177042936669 -226.611573460735</t>
  </si>
  <si>
    <t>-434.312805009812 -13.0570430128579 216.780541795569</t>
  </si>
  <si>
    <t>-593.695564962464 -97.0918458093197 650.626018347469</t>
  </si>
  <si>
    <t>-445.898745295891 -146.268567505493 732.365101734362</t>
  </si>
  <si>
    <t>9763-20170724T164345.722030300.bin</t>
  </si>
  <si>
    <t>-501.86613521968 130.848742133445 -238.82619976445</t>
  </si>
  <si>
    <t>-543.160533838317 127.547196161341 -352.631607202863</t>
  </si>
  <si>
    <t>-559.638516476134 118.076654557788 -472.336915324993</t>
  </si>
  <si>
    <t>-564.097950198739 107.137649584497 -581.218899555876</t>
  </si>
  <si>
    <t>-558.174216544566 93.9609197261138 -689.782891148268</t>
  </si>
  <si>
    <t>-539.146198642259 73.4264546658798 -839.503555070637</t>
  </si>
  <si>
    <t>-492.365791737532 59.1083282973998 -928.887976936498</t>
  </si>
  <si>
    <t>-539.460961602878 113.092601901917 -776.420984168091</t>
  </si>
  <si>
    <t>-515.099998709848 257.48914612294 -762.995093380046</t>
  </si>
  <si>
    <t>-505.040348559415 315.419319742137 -451.982170551287</t>
  </si>
  <si>
    <t>-318.011669732322 216.699777257906 -300.599307194853</t>
  </si>
  <si>
    <t>-555.670095935667 51.9320626333001 -770.092645641634</t>
  </si>
  <si>
    <t>-476.827983624436 224.72448564415 -250.411640497408</t>
  </si>
  <si>
    <t>-465.395818460037 208.964132391307 204.86700226228</t>
  </si>
  <si>
    <t>-492.625764509452 165.922701046394 671.97662753797</t>
  </si>
  <si>
    <t>-339.659990836589 153.634204096963 757.964896793109</t>
  </si>
  <si>
    <t>-526.727740620288 37.0263479969351 -226.614171244697</t>
  </si>
  <si>
    <t>-434.216021614085 -12.8352227986682 216.796547598339</t>
  </si>
  <si>
    <t>-593.668166380223 -96.6243606639507 650.601705421113</t>
  </si>
  <si>
    <t>-446.298908489389 -146.968485454603 732.401944029079</t>
  </si>
  <si>
    <t>9763-20170724T164345.788451700.bin</t>
  </si>
  <si>
    <t>-501.439080902571 130.627788434754 -238.79785197422</t>
  </si>
  <si>
    <t>-542.765922874136 127.291576043578 -352.590649716879</t>
  </si>
  <si>
    <t>-559.233951477967 117.735695414854 -472.290434727832</t>
  </si>
  <si>
    <t>-563.666277421086 106.701326463869 -581.163951619422</t>
  </si>
  <si>
    <t>-557.697063235107 93.4126789524345 -689.711771974958</t>
  </si>
  <si>
    <t>-538.587179983963 72.7069557148969 -839.398493316162</t>
  </si>
  <si>
    <t>-491.59839457505 58.3077977736524 -928.660416791709</t>
  </si>
  <si>
    <t>-538.963611775686 112.451977144682 -776.36590950121</t>
  </si>
  <si>
    <t>-514.796713700527 256.894926295016 -763.0826983811</t>
  </si>
  <si>
    <t>-505.151529570206 315.544136442431 -452.191362074439</t>
  </si>
  <si>
    <t>-318.186460480255 216.976193491019 -300.631348060803</t>
  </si>
  <si>
    <t>-555.121817793905 51.2852159250832 -769.967600485599</t>
  </si>
  <si>
    <t>-476.339294369806 224.43644650245 -250.393216630232</t>
  </si>
  <si>
    <t>-464.812246887857 208.731397238941 204.884914773142</t>
  </si>
  <si>
    <t>-492.503348310432 165.485253717576 671.965419707377</t>
  </si>
  <si>
    <t>-339.473941857314 153.991349771309 757.950278427259</t>
  </si>
  <si>
    <t>-526.348089672138 36.8008324866127 -226.56719469945</t>
  </si>
  <si>
    <t>-433.884263978904 -12.9635812096954 216.864451900644</t>
  </si>
  <si>
    <t>-593.672615566959 -96.8187720078489 650.576947420181</t>
  </si>
  <si>
    <t>-445.870200677616 -145.908661399162 732.357926016734</t>
  </si>
  <si>
    <t>9763-20170724T164345.821539100.bin</t>
  </si>
  <si>
    <t>-501.208520112928 130.681943388536 -238.781938881629</t>
  </si>
  <si>
    <t>-542.547219838274 127.328676719344 -352.569873974189</t>
  </si>
  <si>
    <t>-559.008247176953 117.737662144815 -472.267824117984</t>
  </si>
  <si>
    <t>-563.425798260503 106.665469907543 -581.13824594443</t>
  </si>
  <si>
    <t>-557.433655805519 93.3337405732801 -689.67946232791</t>
  </si>
  <si>
    <t>-538.28343853881 72.5635554551339 -839.351968549592</t>
  </si>
  <si>
    <t>-491.200788979072 58.1363819786206 -928.560040254755</t>
  </si>
  <si>
    <t>-538.692813463316 112.339657163113 -776.339152249314</t>
  </si>
  <si>
    <t>-514.641220381227 256.808017845424 -763.1314614672</t>
  </si>
  <si>
    <t>-505.215548900308 315.840586317412 -452.30595857538</t>
  </si>
  <si>
    <t>-318.303439086934 217.331927554412 -300.64193166841</t>
  </si>
  <si>
    <t>-554.82092054791 51.1677983349239 -769.913791035774</t>
  </si>
  <si>
    <t>-476.112224770003 224.493123571042 -250.382619088195</t>
  </si>
  <si>
    <t>-464.571879238319 208.813192492538 204.895961722541</t>
  </si>
  <si>
    <t>-492.540720888557 165.683809495503 671.957739526557</t>
  </si>
  <si>
    <t>-339.533557420554 154.003758657906 757.957184495928</t>
  </si>
  <si>
    <t>-526.139100271977 36.927105430092 -226.537076853985</t>
  </si>
  <si>
    <t>-433.715928904084 -12.8817071567793 216.898112723712</t>
  </si>
  <si>
    <t>-593.652065434033 -96.7486840780182 650.545805774269</t>
  </si>
  <si>
    <t>-446.028000249957 -146.308483782741 732.36550305829</t>
  </si>
  <si>
    <t>9763-20170724T164345.889741300.bin</t>
  </si>
  <si>
    <t>-500.854129799492 130.966595769844 -238.813000541358</t>
  </si>
  <si>
    <t>-542.160759466095 127.552258031623 -352.610584216765</t>
  </si>
  <si>
    <t>-558.585001501753 117.891667275193 -472.308121222128</t>
  </si>
  <si>
    <t>-562.968177674027 106.753676463761 -581.173128477302</t>
  </si>
  <si>
    <t>-556.940672747731 93.3531757552889 -689.704004978341</t>
  </si>
  <si>
    <t>-537.74089284498 72.4844846755227 -839.356411489259</t>
  </si>
  <si>
    <t>-490.490916298732 58.0097590199311 -928.468247523161</t>
  </si>
  <si>
    <t>-538.19732193682 112.308511083746 -776.374277142941</t>
  </si>
  <si>
    <t>-514.354278408596 256.825680027451 -763.288169950965</t>
  </si>
  <si>
    <t>-505.45717544697 316.408290407578 -452.551949156167</t>
  </si>
  <si>
    <t>-318.696651497291 217.897065396515 -300.70283433085</t>
  </si>
  <si>
    <t>-554.275105159448 51.128004200772 -769.905500585277</t>
  </si>
  <si>
    <t>-475.812328733545 224.713577730102 -250.391149101802</t>
  </si>
  <si>
    <t>-464.245454520884 209.05327948349 204.887430533662</t>
  </si>
  <si>
    <t>-492.55549589603 165.812508676893 671.936038437561</t>
  </si>
  <si>
    <t>-339.571710694098 153.951097136813 757.952166927337</t>
  </si>
  <si>
    <t>-525.742636698368 37.2744242334507 -226.571138483309</t>
  </si>
  <si>
    <t>-433.564828410142 -12.4445424375423 216.925107420119</t>
  </si>
  <si>
    <t>-593.612494793349 -96.3973062204881 650.524726683883</t>
  </si>
  <si>
    <t>-446.303924030833 -146.791518853678 732.403427109034</t>
  </si>
  <si>
    <t>9763-20170724T164345.923829500.bin</t>
  </si>
  <si>
    <t>-500.739969649726 130.97301805289 -238.806516601198</t>
  </si>
  <si>
    <t>-542.0211472121 127.548909171677 -352.613181601018</t>
  </si>
  <si>
    <t>-558.417115157869 117.858287956623 -472.312073093843</t>
  </si>
  <si>
    <t>-562.773451534324 106.68663323094 -581.174630583255</t>
  </si>
  <si>
    <t>-556.718043930862 93.2470118723903 -689.699173631353</t>
  </si>
  <si>
    <t>-537.478329428197 72.3191388520959 -839.338213048116</t>
  </si>
  <si>
    <t>-490.15801393686 57.8309513479769 -928.410514490471</t>
  </si>
  <si>
    <t>-537.975062115962 112.173798427763 -776.375700289846</t>
  </si>
  <si>
    <t>-514.255167243283 256.718411317026 -763.369776220916</t>
  </si>
  <si>
    <t>-505.586560202024 316.461366384994 -452.657953789943</t>
  </si>
  <si>
    <t>-318.909435877407 217.979917199978 -300.687158495187</t>
  </si>
  <si>
    <t>-554.007516669958 50.9842952897557 -769.879453256267</t>
  </si>
  <si>
    <t>-475.713501121198 224.642000316211 -250.386623781831</t>
  </si>
  <si>
    <t>-464.177174960124 209.002066481988 204.893564677885</t>
  </si>
  <si>
    <t>-492.500754452401 165.608610242846 671.931818194835</t>
  </si>
  <si>
    <t>-339.473658688463 154.243094555135 757.937845830059</t>
  </si>
  <si>
    <t>-525.621708026997 37.3133839923235 -226.569167526663</t>
  </si>
  <si>
    <t>-433.53499674569 -12.3487373082351 216.952454774742</t>
  </si>
  <si>
    <t>-593.605717714916 -96.3384901309963 650.531698362464</t>
  </si>
  <si>
    <t>-446.401114185477 -147.000957529666 732.43192028984</t>
  </si>
  <si>
    <t>9763-20170724T164345.988521300.bin</t>
  </si>
  <si>
    <t>-500.617946054596 130.927132850572 -238.780153499141</t>
  </si>
  <si>
    <t>-541.862599575835 127.47592049535 -352.599223565726</t>
  </si>
  <si>
    <t>-558.196092811863 117.718483645437 -472.301232767039</t>
  </si>
  <si>
    <t>-562.485318011298 106.473722591417 -581.158974629561</t>
  </si>
  <si>
    <t>-556.352239418722 92.9502476139189 -689.668789816669</t>
  </si>
  <si>
    <t>-536.994003737869 71.896706171016 -839.274936451531</t>
  </si>
  <si>
    <t>-489.555212923739 57.3801286390216 -928.279453036425</t>
  </si>
  <si>
    <t>-537.577972410963 111.813384428298 -776.3524310586</t>
  </si>
  <si>
    <t>-514.066322693373 256.401502505355 -763.437304285637</t>
  </si>
  <si>
    <t>-505.878999011671 316.431262841594 -452.767837525431</t>
  </si>
  <si>
    <t>-319.313667204696 218.055294565418 -300.591546228135</t>
  </si>
  <si>
    <t>-553.54091115417 50.6111210088967 -769.805152768983</t>
  </si>
  <si>
    <t>-475.633376159154 224.669588697751 -250.387164692029</t>
  </si>
  <si>
    <t>-464.217900048152 209.041067273182 204.896357060064</t>
  </si>
  <si>
    <t>-492.524626526211 165.761832298606 671.928904219538</t>
  </si>
  <si>
    <t>-339.535498912231 154.00616857649 757.950120361376</t>
  </si>
  <si>
    <t>-525.434347764108 37.207792441429 -226.553282197581</t>
  </si>
  <si>
    <t>-433.507201750486 -12.4570954496831 217.001046375031</t>
  </si>
  <si>
    <t>-593.638214053731 -96.4950500954859 650.562940061013</t>
  </si>
  <si>
    <t>-446.196306658369 -146.511957386465 732.433039580464</t>
  </si>
  <si>
    <t>9763-20170724T164346.023614400.bin</t>
  </si>
  <si>
    <t>-500.522154867096 130.878863254472 -238.77389181335</t>
  </si>
  <si>
    <t>-541.751638119052 127.398562807598 -352.597546927453</t>
  </si>
  <si>
    <t>-558.025623687485 117.610919583028 -472.305174410479</t>
  </si>
  <si>
    <t>-562.242652297656 106.339986370687 -581.162967363257</t>
  </si>
  <si>
    <t>-556.019725597222 92.7924279670468 -689.664582194388</t>
  </si>
  <si>
    <t>-536.518866757015 71.7085859787403 -839.247970696635</t>
  </si>
  <si>
    <t>-488.98750323489 57.189081658443 -928.202623929043</t>
  </si>
  <si>
    <t>-537.181625172166 111.64257471975 -776.337307796375</t>
  </si>
  <si>
    <t>-513.805732126478 256.245411929831 -763.446387066532</t>
  </si>
  <si>
    <t>-505.891938460938 316.422739992583 -452.798211341828</t>
  </si>
  <si>
    <t>-319.369016945746 218.103361340875 -300.533482623487</t>
  </si>
  <si>
    <t>-553.113170093229 50.4324861249368 -769.786659114353</t>
  </si>
  <si>
    <t>-475.553275085881 224.507869578192 -250.389925498669</t>
  </si>
  <si>
    <t>-464.183550147469 208.911776226923 204.895930536464</t>
  </si>
  <si>
    <t>-492.463492557708 165.52092138011 671.933137938783</t>
  </si>
  <si>
    <t>-339.389487363314 154.706861883171 757.926860983173</t>
  </si>
  <si>
    <t>-525.329102065268 37.2531233242111 -226.533630138206</t>
  </si>
  <si>
    <t>-433.427475006494 -12.3290323234725 217.035331822864</t>
  </si>
  <si>
    <t>-593.625075838892 -96.2796334827773 650.559238173608</t>
  </si>
  <si>
    <t>-446.434281711153 -146.987881861216 732.455802642422</t>
  </si>
  <si>
    <t>9763-20170724T164346.088303100.bin</t>
  </si>
  <si>
    <t>-500.433239411361 130.727812023321 -238.768179637288</t>
  </si>
  <si>
    <t>-541.665500892171 127.235474886847 -352.590466381771</t>
  </si>
  <si>
    <t>-557.842176476156 117.404560266599 -472.307768636137</t>
  </si>
  <si>
    <t>-561.929407057035 106.08559638327 -581.165625627825</t>
  </si>
  <si>
    <t>-555.535547134117 92.4833285242911 -689.650373826924</t>
  </si>
  <si>
    <t>-535.755690197784 71.3190973572932 -839.185834128456</t>
  </si>
  <si>
    <t>-488.038944693503 56.8033488694069 -928.041858777085</t>
  </si>
  <si>
    <t>-536.563652493964 111.293673735155 -776.302488836316</t>
  </si>
  <si>
    <t>-513.386380320802 255.933537559518 -763.420682165966</t>
  </si>
  <si>
    <t>-506.090905078885 316.428701516381 -452.819261793258</t>
  </si>
  <si>
    <t>-319.633066942323 218.263969157701 -300.375083861148</t>
  </si>
  <si>
    <t>-552.451743866683 50.0736026490751 -769.739552725695</t>
  </si>
  <si>
    <t>-475.486221463963 224.537669857598 -250.387620037975</t>
  </si>
  <si>
    <t>-464.185804188847 209.014682944614 204.90253852402</t>
  </si>
  <si>
    <t>-492.523884484704 165.825040398956 671.933451935867</t>
  </si>
  <si>
    <t>-339.547231527454 153.93767798478 757.958616845313</t>
  </si>
  <si>
    <t>-525.226959883738 36.9674575949924 -226.492043896366</t>
  </si>
  <si>
    <t>-433.343128508088 -12.6189058462087 217.080086234679</t>
  </si>
  <si>
    <t>-593.661329455375 -96.761140790884 650.552053911287</t>
  </si>
  <si>
    <t>-446.026884924382 -146.215284829858 732.416944785779</t>
  </si>
  <si>
    <t>9763-20170724T164346.121391600.bin</t>
  </si>
  <si>
    <t>-500.334991649898 130.854686551761 -238.789371683778</t>
  </si>
  <si>
    <t>-541.536723016961 127.328534164291 -352.621674213942</t>
  </si>
  <si>
    <t>-557.650028475007 117.470964167932 -472.345305126231</t>
  </si>
  <si>
    <t>-561.666958228305 106.131650738966 -581.203655651861</t>
  </si>
  <si>
    <t>-555.190230278209 92.513687151232 -689.68150834861</t>
  </si>
  <si>
    <t>-535.282824165925 71.3327251402695 -839.197680496303</t>
  </si>
  <si>
    <t>-487.480674856956 56.8288254684157 -928.009694512765</t>
  </si>
  <si>
    <t>-536.158479989023 111.317704515486 -776.32199827739</t>
  </si>
  <si>
    <t>-513.086310700627 255.97847089291 -763.450224894354</t>
  </si>
  <si>
    <t>-506.146473659509 316.571514270197 -452.859660072245</t>
  </si>
  <si>
    <t>-319.721307504853 218.512948781152 -300.307213586885</t>
  </si>
  <si>
    <t>-552.024049803765 50.0915933836597 -769.760801305411</t>
  </si>
  <si>
    <t>-475.41144375848 224.592038548973 -250.403656150768</t>
  </si>
  <si>
    <t>-464.135057824704 209.111481283117 204.888444494846</t>
  </si>
  <si>
    <t>-492.548874906129 165.945502336835 671.925954996228</t>
  </si>
  <si>
    <t>-339.575556276921 154.056596483041 757.957020426757</t>
  </si>
  <si>
    <t>-525.090610332251 37.1887512815406 -226.516750112617</t>
  </si>
  <si>
    <t>-433.307560543998 -12.3464632912933 217.081966970785</t>
  </si>
  <si>
    <t>-593.637459248217 -96.4297853009414 650.542458712213</t>
  </si>
  <si>
    <t>-446.354369222011 -146.854937105049 732.447966473278</t>
  </si>
  <si>
    <t>9763-20170724T164346.186212500.bin</t>
  </si>
  <si>
    <t>-500.233070388403 130.575705368763 -238.791131946649</t>
  </si>
  <si>
    <t>-541.399240862635 127.041050459138 -352.63595452616</t>
  </si>
  <si>
    <t>-557.432932433462 117.162940554012 -472.368708065401</t>
  </si>
  <si>
    <t>-561.360037727014 105.801367089309 -581.227943327474</t>
  </si>
  <si>
    <t>-554.776407904811 92.1582682099453 -689.696210992135</t>
  </si>
  <si>
    <t>-534.703559221035 70.9400584143889 -839.184876805601</t>
  </si>
  <si>
    <t>-486.773042994336 56.4485078656452 -927.9298352282</t>
  </si>
  <si>
    <t>-535.671560577479 110.946142303902 -776.323954918361</t>
  </si>
  <si>
    <t>-512.760498148555 255.634504949332 -763.426699313443</t>
  </si>
  <si>
    <t>-506.316688969506 316.423384198178 -452.863658254247</t>
  </si>
  <si>
    <t>-320.04551228797 218.474923647678 -300.052671552677</t>
  </si>
  <si>
    <t>-551.498834996821 49.7107382584771 -769.757637982783</t>
  </si>
  <si>
    <t>-475.352632077272 224.33519653859 -250.401884719765</t>
  </si>
  <si>
    <t>-464.094758220987 208.899804140831 204.892203832829</t>
  </si>
  <si>
    <t>-492.486971150635 165.703526609573 671.933792155728</t>
  </si>
  <si>
    <t>-339.509921439741 153.875625673356 757.966452840141</t>
  </si>
  <si>
    <t>-524.971530735336 36.7897809360908 -226.534568994514</t>
  </si>
  <si>
    <t>-433.326715413915 -12.5740924085541 217.111835272585</t>
  </si>
  <si>
    <t>-593.691750044251 -96.8738696956753 650.573279658459</t>
  </si>
  <si>
    <t>-446.067553589258 -146.341757559438 732.44831409222</t>
  </si>
  <si>
    <t>9763-20170724T164346.223311700.bin</t>
  </si>
  <si>
    <t>-500.2369360122 130.491168369133 -238.799196354868</t>
  </si>
  <si>
    <t>-541.40987321998 126.951096597418 -352.641450989525</t>
  </si>
  <si>
    <t>-557.417241490798 117.062357138326 -472.376819737789</t>
  </si>
  <si>
    <t>-561.306685945141 105.690218148139 -581.236257767026</t>
  </si>
  <si>
    <t>-554.671692717421 92.0363207683192 -689.700191885528</t>
  </si>
  <si>
    <t>-534.51357581006 70.8037305224336 -839.175358210562</t>
  </si>
  <si>
    <t>-486.537989256182 56.3175648178787 -927.896609276962</t>
  </si>
  <si>
    <t>-535.532139735636 110.819477127167 -776.321335930002</t>
  </si>
  <si>
    <t>-512.704245437766 255.518898491806 -763.420955467555</t>
  </si>
  <si>
    <t>-506.512449421606 316.413293741739 -452.873432568504</t>
  </si>
  <si>
    <t>-320.317471532607 218.518322365219 -299.935364668459</t>
  </si>
  <si>
    <t>-551.333678614167 49.5775787153751 -769.752949549538</t>
  </si>
  <si>
    <t>-475.395928398171 224.229499734068 -250.405855503324</t>
  </si>
  <si>
    <t>-464.109383923747 208.8197856908 204.888375988338</t>
  </si>
  <si>
    <t>-492.471611631856 165.627004824947 671.939033318735</t>
  </si>
  <si>
    <t>-339.470589511316 154.045253741254 757.962707207457</t>
  </si>
  <si>
    <t>-524.945341111245 36.7672840760912 -226.525771339987</t>
  </si>
  <si>
    <t>-433.286025957167 -12.5924164365677 217.118130591025</t>
  </si>
  <si>
    <t>-593.689038200601 -96.7433443660929 650.564607245041</t>
  </si>
  <si>
    <t>-446.138572432738 -146.412553431276 732.450729414266</t>
  </si>
  <si>
    <t>9763-20170724T164346.292078700.bin</t>
  </si>
  <si>
    <t>-500.187978344863 130.652222034729 -238.777286881034</t>
  </si>
  <si>
    <t>-541.347600952811 127.077530626699 -352.623254687937</t>
  </si>
  <si>
    <t>-557.271822587794 117.163361167032 -472.367627947058</t>
  </si>
  <si>
    <t>-561.057052090846 105.775678360876 -581.229228415713</t>
  </si>
  <si>
    <t>-554.28944009072 92.1156485129942 -689.683962565934</t>
  </si>
  <si>
    <t>-533.918187608954 70.8863491961109 -839.130735454287</t>
  </si>
  <si>
    <t>-485.848026318736 56.4348104268112 -927.806530965723</t>
  </si>
  <si>
    <t>-535.06006204323 110.908731201472 -776.283073963374</t>
  </si>
  <si>
    <t>-512.348458649103 255.615016207121 -763.347397007304</t>
  </si>
  <si>
    <t>-506.783815678422 316.690035788591 -452.823544315453</t>
  </si>
  <si>
    <t>-320.650272064719 218.901694651673 -299.742736510676</t>
  </si>
  <si>
    <t>-550.803670168556 49.6505845374285 -769.727311475626</t>
  </si>
  <si>
    <t>-475.364370491248 224.367561684918 -250.404830459447</t>
  </si>
  <si>
    <t>-464.170938519023 209.076768267967 204.895677285188</t>
  </si>
  <si>
    <t>-492.551416178212 165.992261295272 671.939854224569</t>
  </si>
  <si>
    <t>-339.634313538115 153.494211576273 757.984497635126</t>
  </si>
  <si>
    <t>-524.837460983677 37.0189151119213 -226.503672344074</t>
  </si>
  <si>
    <t>-433.165972152004 -12.2712256978279 217.145314791047</t>
  </si>
  <si>
    <t>-593.667787451202 -96.2231050267117 650.534700590066</t>
  </si>
  <si>
    <t>-446.462768793945 -146.862723388707 732.448103233159</t>
  </si>
  <si>
    <t>9763-20170724T164346.319148400.bin</t>
  </si>
  <si>
    <t>-500.159782245758 130.552159707316 -238.787253318824</t>
  </si>
  <si>
    <t>-541.320894031729 126.980031780066 -352.63280403632</t>
  </si>
  <si>
    <t>-557.215491892831 117.05996286325 -472.380512027936</t>
  </si>
  <si>
    <t>-560.961131385854 105.664284446966 -581.242567592227</t>
  </si>
  <si>
    <t>-554.141137639417 91.9939673130251 -689.692894078354</t>
  </si>
  <si>
    <t>-533.684493008129 70.749040070021 -839.12577481144</t>
  </si>
  <si>
    <t>-485.561837024196 56.3048998360604 -927.774261754002</t>
  </si>
  <si>
    <t>-534.868350398005 110.779445525244 -776.284050890495</t>
  </si>
  <si>
    <t>-512.232950963386 255.506209211694 -763.34486711624</t>
  </si>
  <si>
    <t>-507.006780427537 316.642667485725 -452.827181669117</t>
  </si>
  <si>
    <t>-320.904905186222 218.951281449291 -299.645857275417</t>
  </si>
  <si>
    <t>-550.603553333058 49.5191096477006 -769.728650838554</t>
  </si>
  <si>
    <t>-475.335966857636 224.280141802963 -250.406987731921</t>
  </si>
  <si>
    <t>-464.068720301189 208.993838619432 204.891808580965</t>
  </si>
  <si>
    <t>-492.530373235469 165.919077833611 671.938675695592</t>
  </si>
  <si>
    <t>-339.577814389541 153.815145913269 757.976446962919</t>
  </si>
  <si>
    <t>-524.817501371095 36.8530143976494 -226.516936417598</t>
  </si>
  <si>
    <t>-433.12304061482 -12.3892653951852 217.132706523453</t>
  </si>
  <si>
    <t>-593.679581543191 -96.3854581422292 650.517205675132</t>
  </si>
  <si>
    <t>-446.236982901862 -146.360205546948 732.411871686669</t>
  </si>
  <si>
    <t>9763-20170724T164346.390343200.bin</t>
  </si>
  <si>
    <t>-500.107985151643 130.182288821999 -238.799643949408</t>
  </si>
  <si>
    <t>-541.265914628437 126.616431034872 -352.646619653637</t>
  </si>
  <si>
    <t>-557.128221886244 116.695438720707 -472.398610126928</t>
  </si>
  <si>
    <t>-560.832495179367 105.296864952235 -581.261796084514</t>
  </si>
  <si>
    <t>-553.95939073729 91.6222506572894 -689.708130972328</t>
  </si>
  <si>
    <t>-533.417060552597 70.3700763271515 -839.128189665287</t>
  </si>
  <si>
    <t>-485.227120679459 55.941146693254 -927.742622469158</t>
  </si>
  <si>
    <t>-534.653822171544 110.407524068532 -776.291997745577</t>
  </si>
  <si>
    <t>-512.093378749246 255.143080155382 -763.347721478873</t>
  </si>
  <si>
    <t>-507.34781280609 316.499117980156 -452.865520502409</t>
  </si>
  <si>
    <t>-321.41044437335 218.914194718764 -299.416768977518</t>
  </si>
  <si>
    <t>-550.358971485831 49.1394496832479 -769.736848021791</t>
  </si>
  <si>
    <t>-475.263408312763 223.810872183066 -250.399777736875</t>
  </si>
  <si>
    <t>-463.95246650592 208.585272040344 204.900041838771</t>
  </si>
  <si>
    <t>-492.404363533125 165.417989229082 671.945665287088</t>
  </si>
  <si>
    <t>-339.369218638083 154.25525436916 757.964015334563</t>
  </si>
  <si>
    <t>-524.767738017093 36.5340909563709 -226.545711278053</t>
  </si>
  <si>
    <t>-433.127732402769 -12.6259483631503 217.124292133362</t>
  </si>
  <si>
    <t>-593.70988212979 -96.6659317643088 650.51164095981</t>
  </si>
  <si>
    <t>-446.136310870608 -146.264689264902 732.398836413819</t>
  </si>
  <si>
    <t>9763-20170724T164346.424433100.bin</t>
  </si>
  <si>
    <t>-500.146514501849 130.275396156879 -238.813094162656</t>
  </si>
  <si>
    <t>-541.291754914297 126.688957534764 -352.663859537164</t>
  </si>
  <si>
    <t>-557.138613641203 116.764992392311 -472.417661239864</t>
  </si>
  <si>
    <t>-560.828182289063 105.370790873102 -581.281834293927</t>
  </si>
  <si>
    <t>-553.939683412721 91.7074913301524 -689.728616776008</t>
  </si>
  <si>
    <t>-533.375485101965 70.4780457324476 -839.14889482356</t>
  </si>
  <si>
    <t>-485.163538641058 56.0624490984288 -927.753670138104</t>
  </si>
  <si>
    <t>-534.628588982929 110.50762626799 -776.307907830617</t>
  </si>
  <si>
    <t>-512.102807455147 255.25007147623 -763.347560287513</t>
  </si>
  <si>
    <t>-507.671016361758 316.694075230683 -452.878290928823</t>
  </si>
  <si>
    <t>-321.804580305619 219.109924553602 -299.34314125519</t>
  </si>
  <si>
    <t>-550.320479058531 49.2351829036659 -769.762156166838</t>
  </si>
  <si>
    <t>-475.375248936176 224.015921143194 -250.416758996434</t>
  </si>
  <si>
    <t>-464.053610579669 208.814373928815 204.8836268947</t>
  </si>
  <si>
    <t>-492.534466459251 165.989212152983 671.93331133727</t>
  </si>
  <si>
    <t>-339.565861008594 154.118339122502 757.975215904242</t>
  </si>
  <si>
    <t>-524.786757250683 36.6102418048769 -226.549654785175</t>
  </si>
  <si>
    <t>-433.133802856666 -12.5438519513741 217.118284845562</t>
  </si>
  <si>
    <t>-593.710216728617 -96.5053321338773 650.505593889969</t>
  </si>
  <si>
    <t>-446.288807243836 -146.542027414619 732.400378235347</t>
  </si>
  <si>
    <t>9763-20170724T164346.487130200.bin</t>
  </si>
  <si>
    <t>-500.17951516575 130.222714936177 -238.808150259096</t>
  </si>
  <si>
    <t>-541.321499415523 126.623528441652 -352.65975674816</t>
  </si>
  <si>
    <t>-557.151804487662 116.679684414148 -472.414018132624</t>
  </si>
  <si>
    <t>-560.821277918953 105.263190857306 -581.276638629317</t>
  </si>
  <si>
    <t>-553.908022721873 91.5727550616918 -689.718369912975</t>
  </si>
  <si>
    <t>-533.304967773079 70.2999023837946 -839.12709447276</t>
  </si>
  <si>
    <t>-485.053588867262 55.8623071384902 -927.706808214333</t>
  </si>
  <si>
    <t>-534.569103028027 110.346456925766 -776.297254874676</t>
  </si>
  <si>
    <t>-512.034024923709 255.08803740863 -763.330857646878</t>
  </si>
  <si>
    <t>-508.047548611579 316.76526650417 -452.901815706301</t>
  </si>
  <si>
    <t>-322.349811281417 219.299760303978 -299.087416054134</t>
  </si>
  <si>
    <t>-550.273272054553 49.0784390804023 -769.739452799342</t>
  </si>
  <si>
    <t>-475.389601552068 223.891270540276 -250.434351824755</t>
  </si>
  <si>
    <t>-464.108918903796 208.770660045959 204.869643475846</t>
  </si>
  <si>
    <t>-492.475037817786 165.784318008782 671.931433424506</t>
  </si>
  <si>
    <t>-339.484169258301 154.173847126262 757.969188874455</t>
  </si>
  <si>
    <t>-524.782311379798 36.6153207687402 -226.562335511267</t>
  </si>
  <si>
    <t>-433.090428394648 -12.4605872509595 217.106244968788</t>
  </si>
  <si>
    <t>-593.709323149301 -96.3846661592039 650.472972739767</t>
  </si>
  <si>
    <t>-446.356806999719 -146.616578655013 732.372425358147</t>
  </si>
  <si>
    <t>9763-20170724T164346.520224000.bin</t>
  </si>
  <si>
    <t>-500.165276191737 130.206480287365 -238.829938636257</t>
  </si>
  <si>
    <t>-541.342951786775 126.613261286303 -352.668897541421</t>
  </si>
  <si>
    <t>-557.187646109025 116.665072025409 -472.420961698023</t>
  </si>
  <si>
    <t>-560.861127035274 105.239771260708 -581.282371891425</t>
  </si>
  <si>
    <t>-553.942839691254 91.5349760044142 -689.722095747272</t>
  </si>
  <si>
    <t>-533.32357441823 70.2363438395911 -839.124892706185</t>
  </si>
  <si>
    <t>-485.052782396886 55.790728393296 -927.692626521118</t>
  </si>
  <si>
    <t>-534.588847556207 110.292452425115 -776.301111278557</t>
  </si>
  <si>
    <t>-512.050641608628 255.024161488988 -763.327495855021</t>
  </si>
  <si>
    <t>-508.210084677202 316.89178320823 -452.934535200117</t>
  </si>
  <si>
    <t>-322.603309166276 219.435936197763 -299.004297527815</t>
  </si>
  <si>
    <t>-550.305179005034 49.0282408668669 -769.736379355326</t>
  </si>
  <si>
    <t>-475.419920370414 223.877559930245 -250.435890051676</t>
  </si>
  <si>
    <t>-464.088126410888 208.749258891829 204.866629217341</t>
  </si>
  <si>
    <t>-492.487406807114 165.848568098723 671.930152051087</t>
  </si>
  <si>
    <t>-339.490456489782 154.299581509093 757.965476207807</t>
  </si>
  <si>
    <t>-524.782851727595 36.5779113333196 -226.572521868793</t>
  </si>
  <si>
    <t>-433.096867561536 -12.4726119780374 217.100104646191</t>
  </si>
  <si>
    <t>-593.723419020489 -96.4076801622568 650.474500559018</t>
  </si>
  <si>
    <t>-446.404475490307 -146.744121984633 732.370037938791</t>
  </si>
  <si>
    <t>9763-20170724T164346.588433200.bin</t>
  </si>
  <si>
    <t>-500.186267704283 130.076729265858 -238.806733008997</t>
  </si>
  <si>
    <t>-541.320248589873 126.476687429892 -352.661225169588</t>
  </si>
  <si>
    <t>-557.131787423494 116.507375240321 -472.415887102392</t>
  </si>
  <si>
    <t>-560.780143428206 105.057008761513 -581.275608414902</t>
  </si>
  <si>
    <t>-553.842048126662 91.3214402616522 -689.710141558438</t>
  </si>
  <si>
    <t>-533.200890425476 69.9738117399156 -839.102977253492</t>
  </si>
  <si>
    <t>-484.889028290529 55.5231215324921 -927.647463860922</t>
  </si>
  <si>
    <t>-534.472004722326 110.0497285476 -776.291937761908</t>
  </si>
  <si>
    <t>-511.946279962388 254.789500871457 -763.340320027634</t>
  </si>
  <si>
    <t>-508.581308306285 316.896151338333 -452.989480905369</t>
  </si>
  <si>
    <t>-323.014808808041 219.480154888567 -298.985500034099</t>
  </si>
  <si>
    <t>-550.195918218785 48.7892730108623 -769.710660320616</t>
  </si>
  <si>
    <t>-475.397881745576 223.761228886122 -250.428077723958</t>
  </si>
  <si>
    <t>-464.090658458886 208.644102285484 204.875454946643</t>
  </si>
  <si>
    <t>-492.448474676679 165.69920017711 671.932239522058</t>
  </si>
  <si>
    <t>-339.445876797337 154.210565248203 757.965543660035</t>
  </si>
  <si>
    <t>-524.80059986692 36.4044992875586 -226.56907341755</t>
  </si>
  <si>
    <t>-433.130096337476 -12.6260063703572 217.108920234578</t>
  </si>
  <si>
    <t>-593.74621143698 -96.5468154342445 650.469789629512</t>
  </si>
  <si>
    <t>-446.13932384068 -146.078007835673 732.337909966384</t>
  </si>
  <si>
    <t>9763-20170724T164346.622525600.bin</t>
  </si>
  <si>
    <t>-500.211339840563 130.172759173034 -238.828361119523</t>
  </si>
  <si>
    <t>-541.371111704761 126.575803131412 -352.673719091639</t>
  </si>
  <si>
    <t>-557.203993326932 116.60607881328 -472.425425932687</t>
  </si>
  <si>
    <t>-560.86940640511 105.154523321469 -581.284400021185</t>
  </si>
  <si>
    <t>-553.945775655483 91.4169968717583 -689.719601751143</t>
  </si>
  <si>
    <t>-533.321935468143 70.0663144610469 -839.114323581514</t>
  </si>
  <si>
    <t>-485.011019404331 55.6201305310861 -927.660231131796</t>
  </si>
  <si>
    <t>-534.588007141497 110.143957197011 -776.304479874681</t>
  </si>
  <si>
    <t>-512.097190708403 254.888913635546 -763.36386484736</t>
  </si>
  <si>
    <t>-509.005334557596 317.075202188842 -453.026197330838</t>
  </si>
  <si>
    <t>-323.450952304598 219.686234925714 -298.99044143142</t>
  </si>
  <si>
    <t>-550.306674224702 48.8825931963962 -769.719331600218</t>
  </si>
  <si>
    <t>-475.470806982742 223.967263413971 -250.439234155066</t>
  </si>
  <si>
    <t>-464.131461401379 208.840447548534 204.863229347536</t>
  </si>
  <si>
    <t>-492.543311897522 166.116936497011 671.922988244525</t>
  </si>
  <si>
    <t>-339.614888874091 153.830815536587 757.977892540712</t>
  </si>
  <si>
    <t>-524.83306645947 36.453171627824 -226.575114030329</t>
  </si>
  <si>
    <t>-433.146991632189 -12.552695075255 217.102467117772</t>
  </si>
  <si>
    <t>-593.74857404112 -96.4681796188177 650.466562700344</t>
  </si>
  <si>
    <t>-446.217405710705 -146.213869514632 732.341102857317</t>
  </si>
  <si>
    <t>9763-20170724T164346.690953800.bin</t>
  </si>
  <si>
    <t>-500.294310367244 130.153845042088 -238.822617655423</t>
  </si>
  <si>
    <t>-541.413390411904 126.530750170458 -352.681771687488</t>
  </si>
  <si>
    <t>-557.232014684084 116.555178493063 -472.434933599172</t>
  </si>
  <si>
    <t>-560.895957492371 105.107176931049 -581.294290184128</t>
  </si>
  <si>
    <t>-553.982243805853 91.3822491955567 -689.731652210591</t>
  </si>
  <si>
    <t>-533.383832403614 70.0585675606157 -839.133842057702</t>
  </si>
  <si>
    <t>-485.076671093156 55.6280069231189 -927.684276147194</t>
  </si>
  <si>
    <t>-534.653944432154 110.128373314173 -776.318900787617</t>
  </si>
  <si>
    <t>-512.208343897909 254.885607108163 -763.390078906063</t>
  </si>
  <si>
    <t>-509.515721596268 317.205431614404 -453.075320895287</t>
  </si>
  <si>
    <t>-323.97894836781 219.906369348977 -298.96160453777</t>
  </si>
  <si>
    <t>-550.342030944633 48.8588321955657 -769.737187256935</t>
  </si>
  <si>
    <t>-475.547496986538 223.950304821682 -250.445914912328</t>
  </si>
  <si>
    <t>-464.26055011337 208.850320338837 204.858640876456</t>
  </si>
  <si>
    <t>-492.528996276656 166.061565580907 671.927405910043</t>
  </si>
  <si>
    <t>-339.583443405881 153.90945619813 757.970945078191</t>
  </si>
  <si>
    <t>-524.864430993655 36.4076321721959 -226.565636578238</t>
  </si>
  <si>
    <t>-433.162986432945 -12.5967583845928 217.108927854118</t>
  </si>
  <si>
    <t>-593.780819156735 -96.7699222843341 650.465861496519</t>
  </si>
  <si>
    <t>-446.176678883171 -146.307978899209 732.334734126885</t>
  </si>
  <si>
    <t>9763-20170724T164346.724041600.bin</t>
  </si>
  <si>
    <t>-500.268976601076 130.288141115658 -238.844803064365</t>
  </si>
  <si>
    <t>-541.399844539324 126.646925486908 -352.699131942891</t>
  </si>
  <si>
    <t>-557.22971516125 116.676264163971 -472.451165483713</t>
  </si>
  <si>
    <t>-560.903475279433 105.242085177667 -581.311738278687</t>
  </si>
  <si>
    <t>-553.999185891226 91.5404181775256 -689.752759915124</t>
  </si>
  <si>
    <t>-533.413325605795 70.2588251341383 -839.162502996536</t>
  </si>
  <si>
    <t>-485.127899761556 55.8521299445163 -927.72876593502</t>
  </si>
  <si>
    <t>-534.686407991483 110.312902249089 -776.337666014805</t>
  </si>
  <si>
    <t>-512.314355672917 255.07399576952 -763.399526255849</t>
  </si>
  <si>
    <t>-509.77869981208 317.452757154745 -453.095506148067</t>
  </si>
  <si>
    <t>-324.246373130028 220.211957812862 -298.939560251111</t>
  </si>
  <si>
    <t>-550.357428797186 49.0376108019382 -769.76899308338</t>
  </si>
  <si>
    <t>-475.527722633227 224.037954448446 -250.457298279118</t>
  </si>
  <si>
    <t>-464.266047041157 208.942837203108 204.848021730856</t>
  </si>
  <si>
    <t>-492.532532585602 166.092745806121 671.922675230534</t>
  </si>
  <si>
    <t>-339.615411995968 153.616012806396 757.970285516018</t>
  </si>
  <si>
    <t>-524.859071137581 36.5901027015237 -226.560748242658</t>
  </si>
  <si>
    <t>-433.133878795035 -12.4049932132531 217.109888223391</t>
  </si>
  <si>
    <t>-593.764873635643 -96.5162003824813 650.452008629278</t>
  </si>
  <si>
    <t>-446.37169970446 -146.6448118284 732.341486062762</t>
  </si>
  <si>
    <t>9763-20170724T164346.790088900.bin</t>
  </si>
  <si>
    <t>-500.303980312107 130.155859285184 -238.856295297885</t>
  </si>
  <si>
    <t>-541.390926376836 126.518320178921 -352.726604953729</t>
  </si>
  <si>
    <t>-557.188952513023 116.571375809572 -472.484850905846</t>
  </si>
  <si>
    <t>-560.840782620773 105.161380613391 -581.348613086788</t>
  </si>
  <si>
    <t>-553.92225961165 91.4832868295147 -689.791685004701</t>
  </si>
  <si>
    <t>-533.325318174411 70.2307930795585 -839.204236203194</t>
  </si>
  <si>
    <t>-485.14182898359 55.8468985002812 -927.829561864304</t>
  </si>
  <si>
    <t>-534.571604959294 110.265235131223 -776.366171901154</t>
  </si>
  <si>
    <t>-512.190616358967 255.030163591478 -763.383353169723</t>
  </si>
  <si>
    <t>-510.051597214054 317.561109693762 -453.106820553677</t>
  </si>
  <si>
    <t>-324.558946723204 220.364596670988 -298.875305805109</t>
  </si>
  <si>
    <t>-550.306069845606 49.0035920470277 -769.821395487496</t>
  </si>
  <si>
    <t>-475.576113056088 223.86801393495 -250.461844173487</t>
  </si>
  <si>
    <t>-464.282173980875 208.797692776372 204.843514770049</t>
  </si>
  <si>
    <t>-492.49264237172 165.94300281366 671.920996582009</t>
  </si>
  <si>
    <t>-339.520476493241 154.030758396194 757.950827866463</t>
  </si>
  <si>
    <t>-524.876980630774 36.4312692434962 -226.607133418169</t>
  </si>
  <si>
    <t>-433.146455631694 -12.4556712139643 217.074299597555</t>
  </si>
  <si>
    <t>-593.776055106285 -96.6262140055841 650.440072002907</t>
  </si>
  <si>
    <t>-446.343138612503 -146.633785026378 732.332112922596</t>
  </si>
  <si>
    <t>9763-20170724T164346.824178100.bin</t>
  </si>
  <si>
    <t>-500.353643044353 130.115310840384 -238.895844762938</t>
  </si>
  <si>
    <t>-541.447516333317 126.487447194917 -352.76394930288</t>
  </si>
  <si>
    <t>-557.27670056126 116.559774196068 -472.519744253331</t>
  </si>
  <si>
    <t>-560.968446686549 105.162244205553 -581.383515603291</t>
  </si>
  <si>
    <t>-554.102408610236 91.4864339687861 -689.830063103829</t>
  </si>
  <si>
    <t>-533.591996508455 70.2213566736516 -839.252723488269</t>
  </si>
  <si>
    <t>-485.494307400523 55.785105090938 -927.916169794029</t>
  </si>
  <si>
    <t>-534.752237477114 110.249164189864 -776.408951195535</t>
  </si>
  <si>
    <t>-512.322599607424 255.00290462943 -763.405444476115</t>
  </si>
  <si>
    <t>-510.403286633878 317.363185571401 -453.093243142861</t>
  </si>
  <si>
    <t>-325.016569608641 220.187011199382 -298.721558248619</t>
  </si>
  <si>
    <t>-550.582199937816 49.0118491085072 -769.866807731155</t>
  </si>
  <si>
    <t>-475.711673291353 223.806207028259 -250.450222548955</t>
  </si>
  <si>
    <t>-464.315562731425 208.687135849917 204.850984738403</t>
  </si>
  <si>
    <t>-492.453843892486 165.761303614279 671.937310292059</t>
  </si>
  <si>
    <t>-339.435611032744 154.322431344981 757.949367303</t>
  </si>
  <si>
    <t>-524.867210921072 36.4700626068484 -226.666702240433</t>
  </si>
  <si>
    <t>-433.161518625593 -12.3802123677761 217.023989174258</t>
  </si>
  <si>
    <t>-593.759135105542 -96.3034394349621 650.417657212053</t>
  </si>
  <si>
    <t>-446.448278703775 -146.644789510298 732.324791846106</t>
  </si>
  <si>
    <t>9763-20170724T164346.889977900.bin</t>
  </si>
  <si>
    <t>-500.495415928306 130.188319546388 -238.927006076235</t>
  </si>
  <si>
    <t>-541.514565567243 126.520658725561 -352.820697616013</t>
  </si>
  <si>
    <t>-557.389876415297 116.598575786321 -472.57086309432</t>
  </si>
  <si>
    <t>-561.180184609257 105.197436257241 -581.430857962204</t>
  </si>
  <si>
    <t>-554.472395753247 91.4926238852406 -689.883752496044</t>
  </si>
  <si>
    <t>-534.245571996743 70.1456456149309 -839.333480007066</t>
  </si>
  <si>
    <t>-486.376139325546 55.5171936572268 -928.0888455041</t>
  </si>
  <si>
    <t>-535.113790780953 110.165912052885 -776.480056432266</t>
  </si>
  <si>
    <t>-512.077554764635 254.813462552784 -763.434062845341</t>
  </si>
  <si>
    <t>-510.752988892034 316.984374812791 -453.080695297553</t>
  </si>
  <si>
    <t>-325.924724726219 219.620774921572 -298.158442592058</t>
  </si>
  <si>
    <t>-551.27688524957 49.0161687027426 -769.933175394232</t>
  </si>
  <si>
    <t>-476.00551759466 224.042981715166 -250.449278346782</t>
  </si>
  <si>
    <t>-464.589097874451 208.951065133875 204.852328011367</t>
  </si>
  <si>
    <t>-492.529478394179 166.136519461776 671.923951157515</t>
  </si>
  <si>
    <t>-339.580471522936 153.879388676007 757.946488019506</t>
  </si>
  <si>
    <t>-524.837077753328 36.3831478429229 -226.759285245197</t>
  </si>
  <si>
    <t>-433.303765391576 -12.5695945965746 216.955631287401</t>
  </si>
  <si>
    <t>-593.794333030492 -96.8825451537176 650.385098803331</t>
  </si>
  <si>
    <t>-446.224414672907 -146.462195114132 732.290549886693</t>
  </si>
  <si>
    <t>9763-20170724T164346.923066000.bin</t>
  </si>
  <si>
    <t>-500.568051876911 130.35987947347 -238.938675007493</t>
  </si>
  <si>
    <t>-541.547862981252 126.671995430619 -352.845954280233</t>
  </si>
  <si>
    <t>-557.444726321831 116.736337098875 -472.5922250891</t>
  </si>
  <si>
    <t>-561.281935410816 105.317287936827 -581.448677735914</t>
  </si>
  <si>
    <t>-554.64944624186 91.5836590580212 -689.902513978124</t>
  </si>
  <si>
    <t>-534.556950885821 70.1802272428462 -839.362175298161</t>
  </si>
  <si>
    <t>-486.831502826942 55.4419806581933 -928.176906743185</t>
  </si>
  <si>
    <t>-535.30236073252 110.20788156986 -776.511879333934</t>
  </si>
  <si>
    <t>-511.934792996074 254.814098722737 -763.524960180405</t>
  </si>
  <si>
    <t>-510.913094451349 317.003203580934 -453.174160659532</t>
  </si>
  <si>
    <t>-326.449766090256 219.457435732936 -297.931944159004</t>
  </si>
  <si>
    <t>-551.592100146483 49.0933250210697 -769.949824784975</t>
  </si>
  <si>
    <t>-476.102676119786 224.224231744135 -250.463625846494</t>
  </si>
  <si>
    <t>-464.748903306441 209.108967778236 204.838784612468</t>
  </si>
  <si>
    <t>-492.548967936602 166.271802575208 671.911662026988</t>
  </si>
  <si>
    <t>-339.610607572889 153.890011347296 757.935256426189</t>
  </si>
  <si>
    <t>-524.897755106411 36.5286565063057 -226.770980432921</t>
  </si>
  <si>
    <t>-433.359954213084 -12.3703199507779 216.949003405021</t>
  </si>
  <si>
    <t>-593.786666651713 -96.6403680359953 650.376093404054</t>
  </si>
  <si>
    <t>-446.305155793681 -146.471059684454 732.28834524993</t>
  </si>
  <si>
    <t>9763-20170724T164346.988076300.bin</t>
  </si>
  <si>
    <t>-500.70446195625 130.52758205704 -238.971174675918</t>
  </si>
  <si>
    <t>-541.716042865312 126.843603584869 -352.867114868607</t>
  </si>
  <si>
    <t>-557.718872557787 116.863442775164 -472.595400981682</t>
  </si>
  <si>
    <t>-561.683674719109 105.375908331158 -581.440103000191</t>
  </si>
  <si>
    <t>-555.210625181126 91.5408126064001 -689.890656062183</t>
  </si>
  <si>
    <t>-535.372800891273 69.9575708240916 -839.358532869986</t>
  </si>
  <si>
    <t>-487.945869121068 54.964102337673 -928.290391255412</t>
  </si>
  <si>
    <t>-535.913658302523 110.036448690147 -776.538871925338</t>
  </si>
  <si>
    <t>-512.191036942497 254.598191545833 -763.680567422265</t>
  </si>
  <si>
    <t>-511.326735194094 317.335500629665 -453.439550028308</t>
  </si>
  <si>
    <t>-327.288187989732 219.67867913475 -297.76350834836</t>
  </si>
  <si>
    <t>-552.38718325061 48.9785820448026 -769.908489539593</t>
  </si>
  <si>
    <t>-476.145455881023 224.250538449894 -250.510057328841</t>
  </si>
  <si>
    <t>-464.910162007279 209.039323052799 204.79217659086</t>
  </si>
  <si>
    <t>-492.396122473221 165.778460718555 671.879793726133</t>
  </si>
  <si>
    <t>-339.384525075468 154.215240952995 757.887189781497</t>
  </si>
  <si>
    <t>-525.120787904067 36.7390995739322 -226.779259707456</t>
  </si>
  <si>
    <t>-433.439700248838 -12.2840828569677 216.897391155425</t>
  </si>
  <si>
    <t>-593.782837846454 -96.582163194616 650.345108320868</t>
  </si>
  <si>
    <t>-446.273535622597 -146.325716689013 732.260309800338</t>
  </si>
  <si>
    <t>9763-20170724T164347.021163700.bin</t>
  </si>
  <si>
    <t>-500.783956973687 130.574721855096 -238.952992162414</t>
  </si>
  <si>
    <t>-541.791060854056 126.902233843411 -352.850774384399</t>
  </si>
  <si>
    <t>-557.804156948517 116.886067376661 -472.574768257451</t>
  </si>
  <si>
    <t>-561.784714923226 105.345042003961 -581.413215375495</t>
  </si>
  <si>
    <t>-555.334103673564 91.4347736235028 -689.855651105567</t>
  </si>
  <si>
    <t>-535.534395505831 69.7237225876259 -839.30991234884</t>
  </si>
  <si>
    <t>-488.295302710201 54.6159990087539 -928.322343289067</t>
  </si>
  <si>
    <t>-536.026498998177 109.847970466746 -776.518842793596</t>
  </si>
  <si>
    <t>-512.202605495111 254.403833673118 -763.773163411077</t>
  </si>
  <si>
    <t>-511.480577221448 317.331914112692 -453.57031884401</t>
  </si>
  <si>
    <t>-327.45382745126 219.765552046935 -297.823742000607</t>
  </si>
  <si>
    <t>-552.563752566838 48.81234740913 -769.843157913208</t>
  </si>
  <si>
    <t>-476.177322633426 224.38816263428 -250.512914441275</t>
  </si>
  <si>
    <t>-464.933190774725 209.128161324621 204.787452553001</t>
  </si>
  <si>
    <t>-492.428427410872 165.943174685137 671.871372811984</t>
  </si>
  <si>
    <t>-339.448715680232 154.04814315471 757.890102368237</t>
  </si>
  <si>
    <t>-525.22353983561 36.7346320655781 -226.777515137113</t>
  </si>
  <si>
    <t>-433.477661250625 -12.4214833509987 216.871037841714</t>
  </si>
  <si>
    <t>-593.800409242708 -96.7361648370541 650.344060039904</t>
  </si>
  <si>
    <t>-446.248035817654 -146.360405077691 732.253957991716</t>
  </si>
  <si>
    <t>9763-20170724T164347.091352200.bin</t>
  </si>
  <si>
    <t>-500.947972976521 130.704155188854 -238.937897221197</t>
  </si>
  <si>
    <t>-542.041918090458 127.064890085831 -352.805537644926</t>
  </si>
  <si>
    <t>-558.075206913974 116.969440883055 -472.520048322589</t>
  </si>
  <si>
    <t>-562.046460052539 105.306039445458 -581.345936431082</t>
  </si>
  <si>
    <t>-555.559886089274 91.2202084098367 -689.763472488334</t>
  </si>
  <si>
    <t>-535.684099775766 69.207961377306 -839.163555862469</t>
  </si>
  <si>
    <t>-488.95405840573 53.8958812986311 -928.409546562707</t>
  </si>
  <si>
    <t>-536.130697695493 109.439079207137 -776.440586062098</t>
  </si>
  <si>
    <t>-512.111416809775 253.973243663066 -763.889729812856</t>
  </si>
  <si>
    <t>-511.673830513113 317.437183579011 -453.795714352584</t>
  </si>
  <si>
    <t>-327.720470483818 220.055512641327 -297.847039272193</t>
  </si>
  <si>
    <t>-552.826317867498 48.4562759445115 -769.676840632776</t>
  </si>
  <si>
    <t>-476.285551471791 224.570242880117 -250.492318116252</t>
  </si>
  <si>
    <t>-464.856371475464 209.130644663971 204.797353422452</t>
  </si>
  <si>
    <t>-492.380154846607 165.710722065018 671.882683963425</t>
  </si>
  <si>
    <t>-339.387939904823 153.837708861373 757.882218845235</t>
  </si>
  <si>
    <t>-525.454978454283 36.8209909379748 -226.728589631395</t>
  </si>
  <si>
    <t>-433.55347981944 -12.5043883344952 216.868929969639</t>
  </si>
  <si>
    <t>-593.820506372602 -96.9764678340145 650.352430781805</t>
  </si>
  <si>
    <t>-446.125719125144 -146.218454006982 732.236409748372</t>
  </si>
  <si>
    <t>9763-20170724T164347.119431100.bin</t>
  </si>
  <si>
    <t>-501.099538899438 130.992616172136 -238.934633673654</t>
  </si>
  <si>
    <t>-542.195072054614 127.350895922043 -352.801669947094</t>
  </si>
  <si>
    <t>-558.191920512213 117.211228435274 -472.517351924868</t>
  </si>
  <si>
    <t>-562.115662420851 105.486534741089 -581.338394486774</t>
  </si>
  <si>
    <t>-555.5681119395 91.3158606169116 -689.741083906341</t>
  </si>
  <si>
    <t>-535.594951826439 69.1592508001619 -839.106957004987</t>
  </si>
  <si>
    <t>-489.135962831342 53.7732908348624 -928.481570319428</t>
  </si>
  <si>
    <t>-536.041230287236 109.440440261051 -776.41613255949</t>
  </si>
  <si>
    <t>-511.81958735499 253.941178093354 -763.912339831155</t>
  </si>
  <si>
    <t>-511.596059249759 317.674586735773 -453.873259762859</t>
  </si>
  <si>
    <t>-327.805877606957 220.306132032661 -297.723959970676</t>
  </si>
  <si>
    <t>-552.82367864825 48.4852242712538 -769.618259502912</t>
  </si>
  <si>
    <t>-476.46476961016 224.898196824782 -250.483554289926</t>
  </si>
  <si>
    <t>-464.912030924386 209.390067968891 204.800662619381</t>
  </si>
  <si>
    <t>-492.456607883759 166.032377070974 671.879442739638</t>
  </si>
  <si>
    <t>-339.510604518272 153.623569870539 757.885577780133</t>
  </si>
  <si>
    <t>-525.55929151577 37.1310201736996 -226.738683320608</t>
  </si>
  <si>
    <t>-433.626461402205 -12.1456364249864 216.857712773964</t>
  </si>
  <si>
    <t>-593.79558579216 -96.6222893826845 650.357407457603</t>
  </si>
  <si>
    <t>-446.432470927915 -146.79245638359 732.27550882158</t>
  </si>
  <si>
    <t>9763-20170724T164347.188199800.bin</t>
  </si>
  <si>
    <t>-501.360254254827 131.105887649012 -238.943439303315</t>
  </si>
  <si>
    <t>-542.407257163975 127.433630372309 -352.82694287483</t>
  </si>
  <si>
    <t>-558.36605697967 117.201193459537 -472.539979123883</t>
  </si>
  <si>
    <t>-562.262461129205 105.359620519487 -581.349104799579</t>
  </si>
  <si>
    <t>-555.696203419235 91.0348862199744 -689.73060413581</t>
  </si>
  <si>
    <t>-535.707658036822 68.6213452182669 -839.056043127729</t>
  </si>
  <si>
    <t>-489.939911548467 53.125371367001 -928.767550344294</t>
  </si>
  <si>
    <t>-536.096777119486 108.993973857812 -776.42357445805</t>
  </si>
  <si>
    <t>-511.584116777097 253.458442200886 -764.062975731242</t>
  </si>
  <si>
    <t>-511.771627545664 317.312207625826 -454.048636743587</t>
  </si>
  <si>
    <t>-328.3385635072 219.820147232904 -297.55688410833</t>
  </si>
  <si>
    <t>-553.007153251557 48.0832840775694 -769.544733235168</t>
  </si>
  <si>
    <t>-476.726537274186 225.014046999181 -250.491164289421</t>
  </si>
  <si>
    <t>-465.253497148149 209.442127030398 204.792812973423</t>
  </si>
  <si>
    <t>-492.460901763472 166.127254544057 671.853214558025</t>
  </si>
  <si>
    <t>-339.470516766063 154.217296254771 757.850918490579</t>
  </si>
  <si>
    <t>-525.83318684615 37.1918614965509 -226.73933396271</t>
  </si>
  <si>
    <t>-433.81316924751 -12.2345075548952 216.822421131939</t>
  </si>
  <si>
    <t>-593.814281519075 -96.8831431592106 650.381060659043</t>
  </si>
  <si>
    <t>-446.31716213166 -146.672549573465 732.290304521149</t>
  </si>
  <si>
    <t>9763-20170724T164347.220285200.bin</t>
  </si>
  <si>
    <t>-501.473539364983 131.130634227165 -238.953463796266</t>
  </si>
  <si>
    <t>-542.52685956115 127.460946630367 -352.834793368549</t>
  </si>
  <si>
    <t>-558.505412571509 117.210938015958 -472.543655899049</t>
  </si>
  <si>
    <t>-562.425913637811 105.342537947749 -581.349085398509</t>
  </si>
  <si>
    <t>-555.890253046811 90.9781710793223 -689.727081903224</t>
  </si>
  <si>
    <t>-535.951008110999 68.494923392102 -839.048729977903</t>
  </si>
  <si>
    <t>-490.46377466509 52.9592496096367 -928.8959614202</t>
  </si>
  <si>
    <t>-536.294154488687 108.89028096816 -776.430640687851</t>
  </si>
  <si>
    <t>-511.674024758953 253.334760914222 -764.10385453666</t>
  </si>
  <si>
    <t>-512.064266910553 317.383511321219 -454.130077212376</t>
  </si>
  <si>
    <t>-328.754393091725 219.824765012946 -297.535624577341</t>
  </si>
  <si>
    <t>-553.252878165945 47.9959050448222 -769.526316469682</t>
  </si>
  <si>
    <t>-476.854291802066 225.093956381915 -250.510765783672</t>
  </si>
  <si>
    <t>-465.430930676735 209.46757169148 204.772672646402</t>
  </si>
  <si>
    <t>-492.458266890013 166.15487594704 671.847110400254</t>
  </si>
  <si>
    <t>-339.470196483083 154.221095181071 757.845660041284</t>
  </si>
  <si>
    <t>-525.944890379016 37.1336501131352 -226.755574670688</t>
  </si>
  <si>
    <t>-433.944264148649 -12.2801995034639 216.811622897501</t>
  </si>
  <si>
    <t>-593.840116122347 -97.0295670492837 650.407301433223</t>
  </si>
  <si>
    <t>-446.188717041651 -146.408989914092 732.28682385486</t>
  </si>
  <si>
    <t>9763-20170724T164347.286519300.bin</t>
  </si>
  <si>
    <t>-501.624082152343 131.369771498084 -238.970108148902</t>
  </si>
  <si>
    <t>-542.64165634966 127.734300161145 -352.86555691352</t>
  </si>
  <si>
    <t>-558.645764444422 117.460150227365 -472.568660802608</t>
  </si>
  <si>
    <t>-562.614753493942 105.546925341971 -581.36751412316</t>
  </si>
  <si>
    <t>-556.152681312994 91.1153592302636 -689.741054422352</t>
  </si>
  <si>
    <t>-536.340930391594 68.5158649965318 -839.062129669277</t>
  </si>
  <si>
    <t>-491.198917676137 52.9288957125138 -929.074430499343</t>
  </si>
  <si>
    <t>-536.600812607083 108.952210753523 -776.470187418263</t>
  </si>
  <si>
    <t>-511.888057814841 253.392571074793 -764.2444043555</t>
  </si>
  <si>
    <t>-512.499034327569 317.74064861798 -454.333022376987</t>
  </si>
  <si>
    <t>-329.410459184375 220.082828223091 -297.5413590464</t>
  </si>
  <si>
    <t>-553.613156144278 48.0786414798509 -769.514158888031</t>
  </si>
  <si>
    <t>-476.939196981859 225.348263929074 -250.547484832053</t>
  </si>
  <si>
    <t>-465.610222946117 209.630796361421 204.735182921145</t>
  </si>
  <si>
    <t>-492.498807566726 166.392541737354 671.831980740064</t>
  </si>
  <si>
    <t>-339.539132582995 154.169420896149 757.840342371255</t>
  </si>
  <si>
    <t>-526.132686536612 37.4590649273412 -226.777605316863</t>
  </si>
  <si>
    <t>-434.139834065531 -12.0145558393652 216.784480886475</t>
  </si>
  <si>
    <t>-593.832535357101 -96.6070270694734 650.431848492634</t>
  </si>
  <si>
    <t>-446.302420122033 -146.349972378212 732.309874972425</t>
  </si>
  <si>
    <t>9763-20170724T164347.319612400.bin</t>
  </si>
  <si>
    <t>-501.667130623556 131.514705321519 -238.956502894644</t>
  </si>
  <si>
    <t>-542.750164789285 127.910599554399 -352.829292687985</t>
  </si>
  <si>
    <t>-558.784859060406 117.633341317835 -472.528197410765</t>
  </si>
  <si>
    <t>-562.765587948465 105.705693084112 -581.325066594921</t>
  </si>
  <si>
    <t>-556.298638731314 91.2497600290479 -689.69500574887</t>
  </si>
  <si>
    <t>-536.463122593591 68.6076087970081 -839.006339929524</t>
  </si>
  <si>
    <t>-491.295258351524 53.0114199766357 -929.004168543071</t>
  </si>
  <si>
    <t>-536.731924355895 109.06158339391 -776.425879214091</t>
  </si>
  <si>
    <t>-511.968921721691 253.497294854246 -764.242302591279</t>
  </si>
  <si>
    <t>-512.590698473814 318.132831536188 -454.390587360343</t>
  </si>
  <si>
    <t>-329.553408753024 220.43669742446 -297.563085573567</t>
  </si>
  <si>
    <t>-553.747595794061 48.1905296669625 -769.455500613201</t>
  </si>
  <si>
    <t>-476.961872122926 225.481758644588 -250.541643088121</t>
  </si>
  <si>
    <t>-465.575835875283 209.677069808724 204.736639330661</t>
  </si>
  <si>
    <t>-492.483758462752 166.333203218434 671.83743944675</t>
  </si>
  <si>
    <t>-339.527951581903 154.060119691963 757.845699309906</t>
  </si>
  <si>
    <t>-526.237248040095 37.6415592298662 -226.734482640663</t>
  </si>
  <si>
    <t>-434.13377595549 -11.9704249672968 216.789178745941</t>
  </si>
  <si>
    <t>-593.822447741839 -96.4549759675165 650.42520302654</t>
  </si>
  <si>
    <t>-446.376902585384 -146.434322386712 732.311665486848</t>
  </si>
  <si>
    <t>9763-20170724T164347.387764900.bin</t>
  </si>
  <si>
    <t>-501.695917288368 131.630963701276 -238.917893177145</t>
  </si>
  <si>
    <t>-542.783755007073 128.014314062189 -352.788498362627</t>
  </si>
  <si>
    <t>-558.81918784691 117.729567934743 -472.486827938573</t>
  </si>
  <si>
    <t>-562.79803994345 105.799944999428 -581.283347952177</t>
  </si>
  <si>
    <t>-556.32646787395 91.348765025026 -689.653686854389</t>
  </si>
  <si>
    <t>-536.481139516877 68.7217872760889 -838.966100859979</t>
  </si>
  <si>
    <t>-491.197452162236 53.1553040242874 -928.910787929263</t>
  </si>
  <si>
    <t>-536.757547823954 109.170268507231 -776.38206353771</t>
  </si>
  <si>
    <t>-511.945564532138 253.606458683802 -764.23698663583</t>
  </si>
  <si>
    <t>-512.415414777533 318.743009370111 -454.490048298174</t>
  </si>
  <si>
    <t>-329.396139069087 220.896873257232 -297.734984945212</t>
  </si>
  <si>
    <t>-553.766656565823 48.2967627679665 -769.417841271451</t>
  </si>
  <si>
    <t>-476.946849703434 225.567313797654 -250.53350465673</t>
  </si>
  <si>
    <t>-465.537926646827 209.749772618498 204.743741979061</t>
  </si>
  <si>
    <t>-492.503267161403 166.421065483432 671.837625662959</t>
  </si>
  <si>
    <t>-339.57077384356 153.855242883302 757.844923523613</t>
  </si>
  <si>
    <t>-526.239006303756 37.715378074223 -226.689366808961</t>
  </si>
  <si>
    <t>-434.065753251964 -11.9537442712286 216.813396687626</t>
  </si>
  <si>
    <t>-593.840295923863 -96.597113610192 650.431220932931</t>
  </si>
  <si>
    <t>-446.487743253003 -146.847581787102 732.319025507381</t>
  </si>
  <si>
    <t>9763-20170724T164347.420852300.bin</t>
  </si>
  <si>
    <t>-501.680346558271 131.634512852567 -238.916507910535</t>
  </si>
  <si>
    <t>-542.809970936656 128.011827439719 -352.771882420789</t>
  </si>
  <si>
    <t>-558.887268016901 117.74976273441 -472.466370512154</t>
  </si>
  <si>
    <t>-562.903398450469 105.852838918413 -581.265196352565</t>
  </si>
  <si>
    <t>-556.467763454468 91.4465976999656 -689.64368489734</t>
  </si>
  <si>
    <t>-536.670742762435 68.8950449286614 -838.973846290369</t>
  </si>
  <si>
    <t>-491.392462366672 53.379141013535 -928.930086759968</t>
  </si>
  <si>
    <t>-536.937728855906 109.314791110061 -776.371231724959</t>
  </si>
  <si>
    <t>-512.162099058277 253.753878758117 -764.206505920564</t>
  </si>
  <si>
    <t>-512.655260856904 319.089810157822 -454.501496501793</t>
  </si>
  <si>
    <t>-329.571182964031 221.105905461214 -297.908201747572</t>
  </si>
  <si>
    <t>-553.922894090246 48.4320643298187 -769.428636157581</t>
  </si>
  <si>
    <t>-477.005787875701 225.5192505888 -250.530394063117</t>
  </si>
  <si>
    <t>-465.597662780134 209.667690075342 204.745572772128</t>
  </si>
  <si>
    <t>-492.457790714909 166.217929192143 671.846402124493</t>
  </si>
  <si>
    <t>-339.488854422619 153.990999761302 757.8378248452</t>
  </si>
  <si>
    <t>-526.20026741425 37.769118483707 -226.661487073987</t>
  </si>
  <si>
    <t>-433.996727259084 -11.8535901789559 216.840245776764</t>
  </si>
  <si>
    <t>-593.823793936199 -96.3695561225441 650.41623099828</t>
  </si>
  <si>
    <t>-446.534924327508 -146.796052110863 732.310401499351</t>
  </si>
  <si>
    <t>9763-20170724T164347.489043500.bin</t>
  </si>
  <si>
    <t>-501.861232312825 131.582869475428 -238.916074182992</t>
  </si>
  <si>
    <t>-542.995860163785 127.946443014761 -352.769166783418</t>
  </si>
  <si>
    <t>-559.154785639459 117.762894244867 -472.45942043224</t>
  </si>
  <si>
    <t>-563.275876736199 105.974710716503 -581.266152501854</t>
  </si>
  <si>
    <t>-556.975403581307 91.7144204492371 -689.671827170481</t>
  </si>
  <si>
    <t>-537.395767219407 69.4035328677493 -839.066856516071</t>
  </si>
  <si>
    <t>-492.125781134022 54.03277033707 -929.052130607829</t>
  </si>
  <si>
    <t>-537.597471360358 109.72902494081 -776.403253714853</t>
  </si>
  <si>
    <t>-512.930289028402 254.173521481051 -764.120020240817</t>
  </si>
  <si>
    <t>-513.539819109946 319.49861920798 -454.413001593998</t>
  </si>
  <si>
    <t>-330.239130844264 221.369679712683 -298.164376194784</t>
  </si>
  <si>
    <t>-554.520893409291 48.8218236500373 -769.525141427457</t>
  </si>
  <si>
    <t>-477.234868645865 225.461146277629 -250.527690922571</t>
  </si>
  <si>
    <t>-465.809930129216 209.631800073905 204.748551193091</t>
  </si>
  <si>
    <t>-492.43411068801 166.130777853445 671.859958539609</t>
  </si>
  <si>
    <t>-339.483838359293 153.671537120214 757.851103056101</t>
  </si>
  <si>
    <t>-526.302717810388 37.7179236896218 -226.661055947089</t>
  </si>
  <si>
    <t>-434.034361176231 -11.8809143033727 216.829826453626</t>
  </si>
  <si>
    <t>-593.820888734893 -96.3416012272567 650.383970121611</t>
  </si>
  <si>
    <t>-446.437943488583 -146.486260739626 732.282065969668</t>
  </si>
  <si>
    <t>9763-20170724T164347.520126000.bin</t>
  </si>
  <si>
    <t>-501.880182362894 131.434949231494 -238.955480726121</t>
  </si>
  <si>
    <t>-543.039125275695 127.821664604726 -352.800530137648</t>
  </si>
  <si>
    <t>-559.264213817434 117.703880218917 -472.487389353161</t>
  </si>
  <si>
    <t>-563.461403477538 105.993648255376 -581.299596559135</t>
  </si>
  <si>
    <t>-557.252401376128 91.8304470075078 -689.723261058073</t>
  </si>
  <si>
    <t>-537.814726921346 69.674961782706 -839.160009203928</t>
  </si>
  <si>
    <t>-492.492577669755 54.3918103022624 -929.133972140141</t>
  </si>
  <si>
    <t>-537.977703564834 109.940623740555 -776.457811987288</t>
  </si>
  <si>
    <t>-513.392358134467 254.399555849547 -764.112813471077</t>
  </si>
  <si>
    <t>-514.044032502032 319.54983403609 -454.36902045344</t>
  </si>
  <si>
    <t>-330.645738336878 221.415849891078 -298.238166241159</t>
  </si>
  <si>
    <t>-554.852914059379 49.0154861971804 -769.620044438457</t>
  </si>
  <si>
    <t>-477.266124149818 225.289471069429 -250.533037568068</t>
  </si>
  <si>
    <t>-465.84744532791 209.456743707952 204.743261456045</t>
  </si>
  <si>
    <t>-492.42534008301 166.090634940847 671.868589097963</t>
  </si>
  <si>
    <t>-339.419782041428 154.191454065222 757.84072751633</t>
  </si>
  <si>
    <t>-526.308212532379 37.5787304367499 -226.719045237618</t>
  </si>
  <si>
    <t>-434.128439345779 -11.9499662373269 216.798084049816</t>
  </si>
  <si>
    <t>-593.845166559728 -96.4491115322806 650.397690957407</t>
  </si>
  <si>
    <t>-446.384060431658 -146.384533835202 732.282942119311</t>
  </si>
  <si>
    <t>9763-20170724T164347.589311900.bin</t>
  </si>
  <si>
    <t>-502.011122427736 131.415647174185 -238.984461602694</t>
  </si>
  <si>
    <t>-543.143227888004 127.828942787243 -352.839955797642</t>
  </si>
  <si>
    <t>-559.494485432223 117.817027945639 -472.518515263213</t>
  </si>
  <si>
    <t>-563.868172779102 106.236535013637 -581.33774127358</t>
  </si>
  <si>
    <t>-557.896261967678 92.2374351655382 -689.796103082119</t>
  </si>
  <si>
    <t>-538.848099950854 70.3457309418991 -839.321714565095</t>
  </si>
  <si>
    <t>-493.121150371665 55.2341727004473 -929.11974315482</t>
  </si>
  <si>
    <t>-538.886433208847 110.510728770835 -776.554826532184</t>
  </si>
  <si>
    <t>-514.604063796838 255.019427106687 -764.143641947467</t>
  </si>
  <si>
    <t>-514.844289756203 319.682076137867 -454.297246056847</t>
  </si>
  <si>
    <t>-331.364104682098 221.320205360094 -298.40609751978</t>
  </si>
  <si>
    <t>-555.666216853318 49.553555437856 -769.767750746328</t>
  </si>
  <si>
    <t>-477.445460325588 225.337045272886 -250.541250255197</t>
  </si>
  <si>
    <t>-466.002338304776 209.514931682189 204.735035187836</t>
  </si>
  <si>
    <t>-492.489834361284 166.381806000031 671.874883590747</t>
  </si>
  <si>
    <t>-339.531898530545 153.940270994499 757.855024781569</t>
  </si>
  <si>
    <t>-526.408949500211 37.5711749809721 -226.774048839819</t>
  </si>
  <si>
    <t>-434.31583785199 -11.9872390502645 216.757769296522</t>
  </si>
  <si>
    <t>-593.880362311305 -96.324651983418 650.41883723728</t>
  </si>
  <si>
    <t>-446.509313989684 -146.52267100691 732.305658214131</t>
  </si>
  <si>
    <t>9763-20170724T164347.622400100.bin</t>
  </si>
  <si>
    <t>-502.033671133685 131.43483654747 -239.003080229593</t>
  </si>
  <si>
    <t>-543.19471092868 127.861643629765 -352.848607463866</t>
  </si>
  <si>
    <t>-559.604829153636 117.891150462058 -472.522700313358</t>
  </si>
  <si>
    <t>-564.043495006636 106.359718895325 -581.344396763444</t>
  </si>
  <si>
    <t>-558.147590413026 92.4210994449073 -689.814652570295</t>
  </si>
  <si>
    <t>-539.215774566804 70.6256786058291 -839.369216590432</t>
  </si>
  <si>
    <t>-493.068903012856 55.567488592762 -928.961095783941</t>
  </si>
  <si>
    <t>-539.219780251176 110.753969417435 -776.578806622758</t>
  </si>
  <si>
    <t>-515.12908072865 255.279291115587 -764.146790872095</t>
  </si>
  <si>
    <t>-514.982457377781 319.688052876324 -454.247479195433</t>
  </si>
  <si>
    <t>-331.417682733101 221.324963499779 -298.45675724376</t>
  </si>
  <si>
    <t>-555.965260436815 49.7850264196467 -769.813168595991</t>
  </si>
  <si>
    <t>-477.470757280251 225.294952626399 -250.548013604829</t>
  </si>
  <si>
    <t>-466.023744894342 209.491381763642 204.728721770161</t>
  </si>
  <si>
    <t>-492.486360619517 166.38354350549 671.876880872508</t>
  </si>
  <si>
    <t>-339.518943221929 154.035192884503 757.853600740067</t>
  </si>
  <si>
    <t>-526.434228104602 37.6368276335738 -226.801831395519</t>
  </si>
  <si>
    <t>-434.36855582137 -11.8821460563142 216.740062660113</t>
  </si>
  <si>
    <t>-593.899999972511 -96.2470525740292 650.436796222369</t>
  </si>
  <si>
    <t>-446.789402622283 -147.193350615108 732.329771439519</t>
  </si>
  <si>
    <t>9763-20170724T164347.687605000.bin</t>
  </si>
  <si>
    <t>-502.112611489023 131.123331173433 -238.947876839218</t>
  </si>
  <si>
    <t>-543.353065802157 127.513549754107 -352.763466978192</t>
  </si>
  <si>
    <t>-559.782757557049 117.568811836898 -472.436893716724</t>
  </si>
  <si>
    <t>-564.21314075234 106.087647811362 -581.264383065536</t>
  </si>
  <si>
    <t>-558.282581070255 92.2272854243716 -689.742647480984</t>
  </si>
  <si>
    <t>-539.275137922793 70.570352269774 -839.307755599234</t>
  </si>
  <si>
    <t>-492.304221342105 55.5415209413747 -928.475364854277</t>
  </si>
  <si>
    <t>-539.335986958042 110.64693248475 -776.484284811477</t>
  </si>
  <si>
    <t>-515.627472167079 255.233588221131 -763.986285624845</t>
  </si>
  <si>
    <t>-515.141381451611 319.303177739122 -454.016880597728</t>
  </si>
  <si>
    <t>-331.079218916944 221.100472594508 -298.712719797826</t>
  </si>
  <si>
    <t>-556.034769679566 49.6588936808908 -769.775526947565</t>
  </si>
  <si>
    <t>-477.554352440687 224.92930308643 -250.53641063314</t>
  </si>
  <si>
    <t>-465.947502237827 209.184028710162 204.738264803476</t>
  </si>
  <si>
    <t>-492.410252688385 166.070631463668 671.891245386282</t>
  </si>
  <si>
    <t>-339.371310611933 154.474358886551 757.845401311127</t>
  </si>
  <si>
    <t>-526.518760168009 37.3163015139163 -226.707175520424</t>
  </si>
  <si>
    <t>-434.245618546447 -12.2182052859657 216.78991098996</t>
  </si>
  <si>
    <t>-593.941918622388 -96.3478643074196 650.437652199079</t>
  </si>
  <si>
    <t>-446.484832797211 -146.409321910177 732.2531937608</t>
  </si>
  <si>
    <t>9763-20170724T164347.718676500.bin</t>
  </si>
  <si>
    <t>-502.283126767891 131.211189403438 -238.951333204937</t>
  </si>
  <si>
    <t>-543.620461758067 127.581615879578 -352.731226732105</t>
  </si>
  <si>
    <t>-560.074102601385 117.64464548462 -472.402051353942</t>
  </si>
  <si>
    <t>-564.494908955009 106.18092239624 -581.231767286996</t>
  </si>
  <si>
    <t>-558.523586784234 92.3483524198971 -689.711523613087</t>
  </si>
  <si>
    <t>-539.427683136829 70.740405185782 -839.272243752549</t>
  </si>
  <si>
    <t>-492.148905822618 55.7143277671003 -928.277424770269</t>
  </si>
  <si>
    <t>-539.527104167736 110.796716603292 -776.435934053301</t>
  </si>
  <si>
    <t>-515.942893284261 255.401513910831 -763.896769002361</t>
  </si>
  <si>
    <t>-515.649896074782 319.361069744416 -453.904368535956</t>
  </si>
  <si>
    <t>-331.378446093323 221.261364049578 -298.783410266474</t>
  </si>
  <si>
    <t>-556.227056616373 49.8058058974885 -769.756510866067</t>
  </si>
  <si>
    <t>-477.75599250875 225.075660670651 -250.545522400288</t>
  </si>
  <si>
    <t>-466.00053888048 209.32402676016 204.725215345032</t>
  </si>
  <si>
    <t>-492.450917474823 166.259920010084 671.887419185264</t>
  </si>
  <si>
    <t>-339.481663605938 153.910348926049 757.860744694289</t>
  </si>
  <si>
    <t>-526.692638124172 37.3736052455088 -226.669937425339</t>
  </si>
  <si>
    <t>-434.24059836947 -12.1274789384712 216.793629800191</t>
  </si>
  <si>
    <t>-593.95708864296 -96.4195944056339 650.434221397953</t>
  </si>
  <si>
    <t>-446.575247514187 -146.726727598901 732.234465080811</t>
  </si>
  <si>
    <t>9763-20170724T164347.786760900.bin</t>
  </si>
  <si>
    <t>-502.815095288326 130.908510911331 -238.990172961484</t>
  </si>
  <si>
    <t>-544.099674867374 127.226303887327 -352.78742490297</t>
  </si>
  <si>
    <t>-560.463654744848 117.290138210874 -472.470565733046</t>
  </si>
  <si>
    <t>-564.789481904177 105.848159594462 -581.306330565939</t>
  </si>
  <si>
    <t>-558.710071360088 92.0572581103441 -689.785382835349</t>
  </si>
  <si>
    <t>-539.451486354157 70.5276362325262 -839.336594197158</t>
  </si>
  <si>
    <t>-491.851686086441 55.5254977435859 -928.174581556748</t>
  </si>
  <si>
    <t>-539.636967270656 110.555532247119 -776.482410655106</t>
  </si>
  <si>
    <t>-516.263982475625 255.194728671001 -763.870115867823</t>
  </si>
  <si>
    <t>-516.190652778448 319.037591087443 -453.853506640561</t>
  </si>
  <si>
    <t>-331.868022976671 220.883312018836 -298.827817043737</t>
  </si>
  <si>
    <t>-556.308739158728 49.5520730456794 -769.847162322623</t>
  </si>
  <si>
    <t>-478.228038776294 224.837562402964 -250.593836139659</t>
  </si>
  <si>
    <t>-466.396503801697 209.134392683513 204.676542180069</t>
  </si>
  <si>
    <t>-492.434997304896 166.199046328432 671.871984316955</t>
  </si>
  <si>
    <t>-339.457911502042 153.911673144932 757.840369696909</t>
  </si>
  <si>
    <t>-527.214417498537 36.8886559595809 -226.768217786372</t>
  </si>
  <si>
    <t>-434.710258313437 -12.4441888244192 216.703166542566</t>
  </si>
  <si>
    <t>-594.066406728858 -96.7723942681361 650.568224118898</t>
  </si>
  <si>
    <t>-446.253528643821 -146.097933071434 732.188434905793</t>
  </si>
  <si>
    <t>9763-20170724T164347.818843700.bin</t>
  </si>
  <si>
    <t>-503.111529424828 130.650835641714 -239.037913867045</t>
  </si>
  <si>
    <t>-544.393487872674 126.98478448206 -352.836751428071</t>
  </si>
  <si>
    <t>-560.715361555583 117.055555567039 -472.526175778632</t>
  </si>
  <si>
    <t>-564.986888102203 105.616293695293 -581.364270874721</t>
  </si>
  <si>
    <t>-558.837449674725 91.8250597671003 -689.839408555978</t>
  </si>
  <si>
    <t>-539.465464103283 70.2918399393517 -839.37555650107</t>
  </si>
  <si>
    <t>-491.7727834507 55.3094639545727 -928.166933140346</t>
  </si>
  <si>
    <t>-539.71076502237 110.324419228898 -776.524406456458</t>
  </si>
  <si>
    <t>-516.402309296362 254.967473247524 -763.882948999844</t>
  </si>
  <si>
    <t>-516.531533136106 318.785003488059 -453.861209440028</t>
  </si>
  <si>
    <t>-332.205738352288 220.686634306271 -298.803884225127</t>
  </si>
  <si>
    <t>-556.363193805754 49.3148434801076 -769.896282484161</t>
  </si>
  <si>
    <t>-478.532490337313 224.578264779925 -250.616332334887</t>
  </si>
  <si>
    <t>-466.688889413463 208.923730302727 204.655430515507</t>
  </si>
  <si>
    <t>-492.409056002476 166.098134072593 671.866554119312</t>
  </si>
  <si>
    <t>-339.377476874394 154.379924972924 757.81720882695</t>
  </si>
  <si>
    <t>-527.540442908136 36.7087041584788 -226.801121821917</t>
  </si>
  <si>
    <t>-434.999613517132 -12.6815374328662 216.656331508552</t>
  </si>
  <si>
    <t>-594.127537224895 -96.6444602156987 650.662736865841</t>
  </si>
  <si>
    <t>-446.296234139301 -146.058192132897 732.19612366627</t>
  </si>
  <si>
    <t>9763-20170724T164347.892054800.bin</t>
  </si>
  <si>
    <t>-503.664246137108 130.32665310172 -239.112707831994</t>
  </si>
  <si>
    <t>-544.927712618464 126.671694996329 -352.918693593193</t>
  </si>
  <si>
    <t>-561.132680820851 116.739687649605 -472.623742293437</t>
  </si>
  <si>
    <t>-565.258127617807 105.293737103082 -581.46677849272</t>
  </si>
  <si>
    <t>-558.923203136854 91.4924551342429 -689.929947228879</t>
  </si>
  <si>
    <t>-539.254226403471 69.9431450723791 -839.424886077535</t>
  </si>
  <si>
    <t>-491.465814060015 54.9937560625658 -928.170441010178</t>
  </si>
  <si>
    <t>-539.646451904719 109.988059538731 -776.582587542559</t>
  </si>
  <si>
    <t>-516.536994753254 254.655065597038 -763.876236529544</t>
  </si>
  <si>
    <t>-517.347772812152 318.38310759495 -453.837049851834</t>
  </si>
  <si>
    <t>-333.096350752181 220.359748202955 -298.644069024612</t>
  </si>
  <si>
    <t>-556.267826450637 48.9680323496552 -769.973498532252</t>
  </si>
  <si>
    <t>-479.088712012824 224.211731819323 -250.686915431566</t>
  </si>
  <si>
    <t>-467.169340401879 208.70166761856 204.587714370832</t>
  </si>
  <si>
    <t>-492.372707353804 166.088444832676 671.830637822285</t>
  </si>
  <si>
    <t>-339.332689150875 154.563921168845 757.792546180228</t>
  </si>
  <si>
    <t>-528.030560950261 36.4711075207611 -226.88669249386</t>
  </si>
  <si>
    <t>-435.450860251869 -13.0890208340485 216.543615503527</t>
  </si>
  <si>
    <t>-594.251539617465 -96.7943275606452 650.776888563748</t>
  </si>
  <si>
    <t>-446.313159231547 -146.11622957822 732.171576581753</t>
  </si>
  <si>
    <t>9763-20170724T164347.920128000.bin</t>
  </si>
  <si>
    <t>-503.883880566605 130.253034864609 -239.138668613197</t>
  </si>
  <si>
    <t>-545.141155311311 126.614148101887 -352.947217964493</t>
  </si>
  <si>
    <t>-561.265678752557 116.675458279206 -472.662734064259</t>
  </si>
  <si>
    <t>-565.287752623383 105.215276248722 -581.508179679752</t>
  </si>
  <si>
    <t>-558.819562205776 91.3926007316918 -689.960698874089</t>
  </si>
  <si>
    <t>-538.935358961871 69.8069367202098 -839.421951007887</t>
  </si>
  <si>
    <t>-491.101518591555 54.8641781826732 -928.144085854093</t>
  </si>
  <si>
    <t>-539.426663278967 109.869324353496 -776.591400892309</t>
  </si>
  <si>
    <t>-516.379118973195 254.5479952373 -763.874862936335</t>
  </si>
  <si>
    <t>-517.588461327555 318.427353513936 -453.868084622975</t>
  </si>
  <si>
    <t>-333.412325169593 220.413411876241 -298.579723165952</t>
  </si>
  <si>
    <t>-556.040296080479 48.8464754601125 -769.988622571659</t>
  </si>
  <si>
    <t>-479.316207209535 224.119627175974 -250.708118265877</t>
  </si>
  <si>
    <t>-467.294707579162 208.654407375716 204.565330342689</t>
  </si>
  <si>
    <t>-492.340000885373 165.961090196241 671.835024699056</t>
  </si>
  <si>
    <t>-339.338463111095 154.037303662348 757.811033257044</t>
  </si>
  <si>
    <t>-528.233695310664 36.4102484035704 -226.930463397149</t>
  </si>
  <si>
    <t>-435.674765279246 -13.1361898745053 216.505734325998</t>
  </si>
  <si>
    <t>-594.283823642869 -96.7055576216704 650.804577422562</t>
  </si>
  <si>
    <t>-446.443268807317 -146.366914913437 732.170566777857</t>
  </si>
  <si>
    <t>9763-20170724T164347.991822100.bin</t>
  </si>
  <si>
    <t>-504.295138308265 130.029234247604 -239.192265658173</t>
  </si>
  <si>
    <t>-545.628567149938 126.420216832644 -352.974202579145</t>
  </si>
  <si>
    <t>-561.605050829449 116.45552963505 -472.707330285826</t>
  </si>
  <si>
    <t>-565.3995125426 104.95173144768 -581.556365576327</t>
  </si>
  <si>
    <t>-558.611547809521 91.0676860122914 -689.981539411532</t>
  </si>
  <si>
    <t>-538.19013350633 69.3807742571716 -839.355603908779</t>
  </si>
  <si>
    <t>-490.148373912621 54.464726090306 -927.969950469522</t>
  </si>
  <si>
    <t>-538.922314043121 109.489489800857 -776.556988099605</t>
  </si>
  <si>
    <t>-515.95461895647 254.175809422389 -763.819397381577</t>
  </si>
  <si>
    <t>-518.005579172176 318.440199963652 -453.896586507494</t>
  </si>
  <si>
    <t>-333.954488701674 220.450711486946 -298.444639643948</t>
  </si>
  <si>
    <t>-555.529594692928 48.4635519320059 -769.96742971418</t>
  </si>
  <si>
    <t>-479.738877471726 223.897091447031 -250.73361228473</t>
  </si>
  <si>
    <t>-467.525288064433 208.536601220955 204.538264964018</t>
  </si>
  <si>
    <t>-492.372008790939 166.110601910299 671.832508496478</t>
  </si>
  <si>
    <t>-339.362323414426 154.274411149933 757.806063405688</t>
  </si>
  <si>
    <t>-528.741520030267 36.1615920399902 -226.980751365349</t>
  </si>
  <si>
    <t>-435.909077056247 -13.2549101187011 216.412721635862</t>
  </si>
  <si>
    <t>-594.313523020512 -96.6254952243529 650.822308592066</t>
  </si>
  <si>
    <t>-446.541639610283 -146.557914409245 732.147063896175</t>
  </si>
  <si>
    <t>9763-20170724T164348.022905300.bin</t>
  </si>
  <si>
    <t>-504.487623647698 130.014468362198 -239.199963195747</t>
  </si>
  <si>
    <t>-545.777995167493 126.369635632461 -352.996336786375</t>
  </si>
  <si>
    <t>-561.678099607343 116.379523092326 -472.737499561076</t>
  </si>
  <si>
    <t>-565.390508262023 104.857712563522 -581.587496093905</t>
  </si>
  <si>
    <t>-558.508078930247 90.9610226004321 -690.00503231467</t>
  </si>
  <si>
    <t>-537.943511662988 69.2624432936288 -839.357911694904</t>
  </si>
  <si>
    <t>-489.810706605021 54.3624376133809 -927.925492604824</t>
  </si>
  <si>
    <t>-538.75025698207 109.379745234312 -776.56569706377</t>
  </si>
  <si>
    <t>-515.833253069199 254.075841958803 -763.812767280187</t>
  </si>
  <si>
    <t>-518.23255544347 318.527014451436 -453.931338871963</t>
  </si>
  <si>
    <t>-334.241804795485 220.551342197001 -298.399302747057</t>
  </si>
  <si>
    <t>-555.33517579993 48.3469779808722 -769.982251487983</t>
  </si>
  <si>
    <t>-479.946482467582 223.998669170357 -250.755962005238</t>
  </si>
  <si>
    <t>-467.710229796426 208.670721988483 204.516467055681</t>
  </si>
  <si>
    <t>-492.48357362089 166.60615259652 671.822293373553</t>
  </si>
  <si>
    <t>-339.536616886756 154.109109097026 757.813909597116</t>
  </si>
  <si>
    <t>-528.874459176277 36.0510054456171 -227.012809903135</t>
  </si>
  <si>
    <t>-436.026542784904 -13.2783207672358 216.38715784829</t>
  </si>
  <si>
    <t>-594.334516656039 -96.6061548177429 650.851221501502</t>
  </si>
  <si>
    <t>-446.419565147167 -146.202770260594 732.121436891858</t>
  </si>
  <si>
    <t>9763-20170724T164348.168328500.bin</t>
  </si>
  <si>
    <t>-504.599043337511 129.889527223569 -239.201572507943</t>
  </si>
  <si>
    <t>-545.871398629762 126.226575124024 -353.003997992053</t>
  </si>
  <si>
    <t>-561.728884703139 116.208406708901 -472.748530856641</t>
  </si>
  <si>
    <t>-565.392967639282 104.658087965891 -581.597076438269</t>
  </si>
  <si>
    <t>-558.452751353747 90.7301980703809 -690.006950994637</t>
  </si>
  <si>
    <t>-537.798464058618 68.9862049109664 -839.340841603345</t>
  </si>
  <si>
    <t>-489.583580606477 54.0686519456548 -927.860767892679</t>
  </si>
  <si>
    <t>-538.652819886504 109.12513836738 -776.562886242079</t>
  </si>
  <si>
    <t>-515.769618847928 253.833300331574 -763.82495339207</t>
  </si>
  <si>
    <t>-518.433511703349 318.413688690211 -453.972622154788</t>
  </si>
  <si>
    <t>-334.487641027045 220.508395811082 -298.34311318226</t>
  </si>
  <si>
    <t>-555.221848552408 48.0893833905555 -769.967338311295</t>
  </si>
  <si>
    <t>-480.041848366926 223.871310701213 -250.766503764257</t>
  </si>
  <si>
    <t>-467.827026261426 208.610094676784 204.508832694901</t>
  </si>
  <si>
    <t>-492.457869862642 166.481209663288 671.823315177447</t>
  </si>
  <si>
    <t>-339.510912134621 154.002388283573 757.817523871386</t>
  </si>
  <si>
    <t>-528.956131985128 35.9263585823986 -227.02230797389</t>
  </si>
  <si>
    <t>-436.105768460809 -13.45532699538 216.371338334976</t>
  </si>
  <si>
    <t>-594.371916930925 -96.7530488672273 650.889454551351</t>
  </si>
  <si>
    <t>-446.474079264401 -146.448027526816 732.130802831374</t>
  </si>
  <si>
    <t>9763-20170724T164348.178355500.bin</t>
  </si>
  <si>
    <t>-504.689999430287 129.71844174981 -239.251765028653</t>
  </si>
  <si>
    <t>-545.98569186408 126.024403305144 -353.044674393604</t>
  </si>
  <si>
    <t>-561.827839832156 115.968794205284 -472.788096112942</t>
  </si>
  <si>
    <t>-565.461841807827 104.382416744422 -581.633757996059</t>
  </si>
  <si>
    <t>-558.475702530178 90.4166398425492 -690.035881810214</t>
  </si>
  <si>
    <t>-537.741466580429 68.6182050584048 -839.350710548198</t>
  </si>
  <si>
    <t>-489.420454758904 53.6600921222637 -927.80603324885</t>
  </si>
  <si>
    <t>-538.639626490292 108.782570425728 -776.589806043157</t>
  </si>
  <si>
    <t>-515.91948570099 253.514550942243 -763.876080405458</t>
  </si>
  <si>
    <t>-519.142509379262 318.304586629798 -454.072863907902</t>
  </si>
  <si>
    <t>-335.242448202919 220.614264566401 -298.254200280957</t>
  </si>
  <si>
    <t>-555.191843136051 47.7440756666437 -769.977306776167</t>
  </si>
  <si>
    <t>-480.19404715075 223.710868291141 -250.814449590744</t>
  </si>
  <si>
    <t>-467.966176462212 208.557001225954 204.464041532775</t>
  </si>
  <si>
    <t>-492.459648003028 166.506142266481 671.807312733627</t>
  </si>
  <si>
    <t>-339.554415135254 153.611210492126 757.814401381657</t>
  </si>
  <si>
    <t>-529.039817201389 35.75798777913 -227.042825353622</t>
  </si>
  <si>
    <t>-436.132316809617 -13.4631164336955 216.356694787952</t>
  </si>
  <si>
    <t>-594.356107190048 -96.4513148051542 650.894701145598</t>
  </si>
  <si>
    <t>-446.510848521663 -146.321809846206 732.124191687031</t>
  </si>
  <si>
    <t>9763-20170724T164348.286663900.bin</t>
  </si>
  <si>
    <t>-504.605729042481 129.076362319186 -239.28411991714</t>
  </si>
  <si>
    <t>-545.839099090983 125.326157114104 -353.097873536231</t>
  </si>
  <si>
    <t>-561.536375081009 115.179613668867 -472.852568033526</t>
  </si>
  <si>
    <t>-565.00621783243 103.499485609969 -581.693613431387</t>
  </si>
  <si>
    <t>-557.824212549078 89.4302056827482 -690.069509262304</t>
  </si>
  <si>
    <t>-536.786413874138 67.4794594060958 -839.319506634427</t>
  </si>
  <si>
    <t>-488.299486906075 52.4893722324565 -927.678558079073</t>
  </si>
  <si>
    <t>-537.859606260253 107.719752010309 -776.610054220689</t>
  </si>
  <si>
    <t>-515.397175718218 252.502658187682 -763.967251422317</t>
  </si>
  <si>
    <t>-519.468828191433 317.754444155411 -454.270889762301</t>
  </si>
  <si>
    <t>-335.696042313036 220.461633392967 -298.053796399663</t>
  </si>
  <si>
    <t>-554.330321319224 46.6641526277415 -769.95209024524</t>
  </si>
  <si>
    <t>-480.165209840802 222.907071679313 -250.839453463045</t>
  </si>
  <si>
    <t>-467.963524927576 207.889912500249 204.44431272829</t>
  </si>
  <si>
    <t>-492.306708933958 165.833732132338 671.807479009823</t>
  </si>
  <si>
    <t>-339.191229240124 155.209430010129 757.751005401578</t>
  </si>
  <si>
    <t>-528.887409354125 35.2276869288485 -227.060007823169</t>
  </si>
  <si>
    <t>-436.06465347268 -13.9301747196399 216.364266212474</t>
  </si>
  <si>
    <t>-594.366026113571 -96.8585489656355 650.908517202575</t>
  </si>
  <si>
    <t>-446.226910597505 -145.842051205762 732.142259465782</t>
  </si>
  <si>
    <t>9763-20170724T164348.321756000.bin</t>
  </si>
  <si>
    <t>-504.459327203145 129.212538617529 -239.300929333496</t>
  </si>
  <si>
    <t>-545.670953402121 125.395531129986 -353.120348637499</t>
  </si>
  <si>
    <t>-561.162788686043 115.11365200464 -472.890280747505</t>
  </si>
  <si>
    <t>-564.371575655324 103.287238864353 -581.723559193527</t>
  </si>
  <si>
    <t>-556.855251561662 89.0501173677075 -690.054868214416</t>
  </si>
  <si>
    <t>-535.280210246465 66.8467256298125 -839.190768681027</t>
  </si>
  <si>
    <t>-487.247329285187 51.8911892930163 -927.803107920053</t>
  </si>
  <si>
    <t>-536.626397481683 107.204923434024 -776.562381548819</t>
  </si>
  <si>
    <t>-514.57903348763 252.053237524917 -763.978270207149</t>
  </si>
  <si>
    <t>-520.209426315685 318.451804401379 -454.550138703121</t>
  </si>
  <si>
    <t>-336.477421512273 221.470682011163 -298.091690321413</t>
  </si>
  <si>
    <t>-553.026536132651 46.1371099586423 -769.843051312386</t>
  </si>
  <si>
    <t>-480.171122672124 223.181079776468 -250.869272597552</t>
  </si>
  <si>
    <t>-467.895778392252 208.303621574144 204.416939843888</t>
  </si>
  <si>
    <t>-492.467937296119 166.549407291461 671.779368515825</t>
  </si>
  <si>
    <t>-339.491920405212 154.424934195871 757.772616794836</t>
  </si>
  <si>
    <t>-528.594931234834 35.3448869049179 -227.064108528327</t>
  </si>
  <si>
    <t>-435.814625365219 -13.6159635225443 216.390805699598</t>
  </si>
  <si>
    <t>-594.277776652328 -96.6105093030014 650.813408634365</t>
  </si>
  <si>
    <t>-446.368637856967 -146.069496056482 732.177899153343</t>
  </si>
  <si>
    <t>9763-20170724T164348.393790700.bin</t>
  </si>
  <si>
    <t>-504.420358300968 129.319788474022 -239.289880926567</t>
  </si>
  <si>
    <t>-545.579160883903 125.459784270278 -353.126713011554</t>
  </si>
  <si>
    <t>-560.74172099846 115.04769536507 -472.927697799648</t>
  </si>
  <si>
    <t>-563.540229824005 103.07152990027 -581.755895226749</t>
  </si>
  <si>
    <t>-555.504727103629 88.6553755521529 -690.026322360628</t>
  </si>
  <si>
    <t>-533.100465873055 66.1757754146209 -838.998495245973</t>
  </si>
  <si>
    <t>-485.657678547019 51.2600048147833 -927.934881520336</t>
  </si>
  <si>
    <t>-534.836622023432 106.660329995541 -776.461221005266</t>
  </si>
  <si>
    <t>-513.124755794431 251.55978745677 -763.897669077044</t>
  </si>
  <si>
    <t>-520.377356922935 318.731341891526 -454.670343729436</t>
  </si>
  <si>
    <t>-336.685788477364 221.989117637933 -298.016548236841</t>
  </si>
  <si>
    <t>-551.19075468805 45.5842765565544 -769.704565748946</t>
  </si>
  <si>
    <t>-480.235369907786 223.212880140467 -250.860595268567</t>
  </si>
  <si>
    <t>-467.821231010126 208.37703342473 204.423355860938</t>
  </si>
  <si>
    <t>-492.46351977249 166.541813462365 671.779796627488</t>
  </si>
  <si>
    <t>-339.490982978744 154.43133707345 757.781238137473</t>
  </si>
  <si>
    <t>-528.460104010261 35.4702730368317 -227.056730214095</t>
  </si>
  <si>
    <t>-435.54376780504 -13.3300704891641 216.387496460088</t>
  </si>
  <si>
    <t>-594.195632663698 -96.5361590411753 650.702746383168</t>
  </si>
  <si>
    <t>-446.423640483516 -146.204834658589 732.188791146523</t>
  </si>
  <si>
    <t>9763-20170724T164348.423871400.bin</t>
  </si>
  <si>
    <t>-504.513333671391 129.378056887099 -239.298195633391</t>
  </si>
  <si>
    <t>-545.670275246487 125.493980367789 -353.134993812911</t>
  </si>
  <si>
    <t>-560.593998929811 114.97459586891 -472.956488735941</t>
  </si>
  <si>
    <t>-563.080400489316 102.865852709439 -581.777693711378</t>
  </si>
  <si>
    <t>-554.640186919559 88.2814807697735 -689.994621680226</t>
  </si>
  <si>
    <t>-531.582439406059 65.5312656084659 -838.825897715795</t>
  </si>
  <si>
    <t>-484.296687589626 50.5520365011427 -927.835398458354</t>
  </si>
  <si>
    <t>-533.579661785592 106.126145708118 -776.368087818038</t>
  </si>
  <si>
    <t>-512.046944244048 251.055458696264 -763.809268047295</t>
  </si>
  <si>
    <t>-520.371260690131 318.502558140996 -454.668881427943</t>
  </si>
  <si>
    <t>-336.706307236215 221.938051113233 -297.874320643568</t>
  </si>
  <si>
    <t>-549.989874750562 45.0688757947893 -769.577309154896</t>
  </si>
  <si>
    <t>-480.382075278369 223.250384814771 -250.86298237374</t>
  </si>
  <si>
    <t>-467.881614550551 208.435131087726 204.419221363598</t>
  </si>
  <si>
    <t>-492.444500019505 166.473550289605 671.774765790097</t>
  </si>
  <si>
    <t>-339.485526779879 154.229726306921 757.781528726444</t>
  </si>
  <si>
    <t>-528.521886897169 35.4923449576269 -227.070627198366</t>
  </si>
  <si>
    <t>-435.511707426739 -13.210053718795 216.364569327825</t>
  </si>
  <si>
    <t>-594.174692771046 -96.5423672453887 650.66491626655</t>
  </si>
  <si>
    <t>-446.410614649001 -146.183413499631 732.182078175687</t>
  </si>
  <si>
    <t>9763-20170724T164348.486575900.bin</t>
  </si>
  <si>
    <t>-504.898627659122 129.269567831372 -239.291247636272</t>
  </si>
  <si>
    <t>-546.064590442896 125.393593001308 -353.125118205855</t>
  </si>
  <si>
    <t>-560.472811310767 114.6901716876 -472.993366605477</t>
  </si>
  <si>
    <t>-562.279394585827 102.336814202968 -581.800465258859</t>
  </si>
  <si>
    <t>-552.953135459451 87.431507637502 -689.900866068571</t>
  </si>
  <si>
    <t>-528.46089002357 64.1588881698034 -838.422030759252</t>
  </si>
  <si>
    <t>-481.758780744652 49.1785491911469 -927.738800358898</t>
  </si>
  <si>
    <t>-531.019935295696 104.963013497209 -776.121117680798</t>
  </si>
  <si>
    <t>-509.542452732817 249.899484031425 -763.60709361605</t>
  </si>
  <si>
    <t>-520.31625689292 318.1000170131 -454.707649682692</t>
  </si>
  <si>
    <t>-336.919488382272 221.809672468038 -297.431460619707</t>
  </si>
  <si>
    <t>-547.575911778649 43.9495444841814 -769.290882419585</t>
  </si>
  <si>
    <t>-480.753927042728 223.117983943576 -250.841869507778</t>
  </si>
  <si>
    <t>-468.108304366777 208.297296936322 204.436127636629</t>
  </si>
  <si>
    <t>-492.38569231732 166.231267086161 671.780053563015</t>
  </si>
  <si>
    <t>-339.365245106161 154.651573351845 757.769425374911</t>
  </si>
  <si>
    <t>-528.971529792666 35.427153107004 -227.004207258405</t>
  </si>
  <si>
    <t>-435.476113388509 -13.3304345367252 216.323012214981</t>
  </si>
  <si>
    <t>-594.162861419115 -96.756892988278 650.587023251831</t>
  </si>
  <si>
    <t>-446.159662391782 -145.693214021418 732.096601689586</t>
  </si>
  <si>
    <t>9763-20170724T164348.583336500.bin</t>
  </si>
  <si>
    <t>-505.068312764867 129.397337589482 -239.353254664606</t>
  </si>
  <si>
    <t>-546.156593755207 125.511248751154 -353.214823132647</t>
  </si>
  <si>
    <t>-560.374331856488 114.725352701046 -473.098466023957</t>
  </si>
  <si>
    <t>-561.964224511018 102.268271203688 -581.897042144058</t>
  </si>
  <si>
    <t>-552.379498742869 87.2310625088882 -689.956703375307</t>
  </si>
  <si>
    <t>-527.487767639757 63.7465573010692 -838.378035436653</t>
  </si>
  <si>
    <t>-481.191359755834 48.8491365749778 -927.919684489864</t>
  </si>
  <si>
    <t>-530.19914709356 104.635768732328 -776.139487846192</t>
  </si>
  <si>
    <t>-508.698099417911 249.581292898025 -763.70543725268</t>
  </si>
  <si>
    <t>-520.274591419156 318.074955773295 -454.899951653516</t>
  </si>
  <si>
    <t>-337.199252000492 221.928340196748 -297.161892434842</t>
  </si>
  <si>
    <t>-546.80394428301 43.6396239695457 -769.272903599047</t>
  </si>
  <si>
    <t>-480.861757933897 223.052869005198 -250.87634308771</t>
  </si>
  <si>
    <t>-468.289022234823 208.234029999921 204.403850341612</t>
  </si>
  <si>
    <t>-492.322989804895 166.011073990471 671.769141329841</t>
  </si>
  <si>
    <t>-339.242289710848 155.135328096811 757.74313645218</t>
  </si>
  <si>
    <t>-529.107966583895 35.7662614519149 -227.104730041762</t>
  </si>
  <si>
    <t>-435.644578967232 -13.0544652949248 216.222278704402</t>
  </si>
  <si>
    <t>-594.137661974998 -96.2440742478748 650.563268830814</t>
  </si>
  <si>
    <t>-446.565030330505 -146.414279895747 732.103348648296</t>
  </si>
  <si>
    <t>9763-20170724T164348.619603100.bin</t>
  </si>
  <si>
    <t>-505.142160999337 129.321665753116 -239.469541892834</t>
  </si>
  <si>
    <t>-545.871620426943 125.410469777225 -353.459107655966</t>
  </si>
  <si>
    <t>-559.810007223735 114.373974617965 -473.35274751738</t>
  </si>
  <si>
    <t>-561.186032736877 101.601410472667 -582.117617420496</t>
  </si>
  <si>
    <t>-551.42881140223 86.1615066003051 -690.104931766536</t>
  </si>
  <si>
    <t>-526.342458001394 62.0289386566371 -838.389442280023</t>
  </si>
  <si>
    <t>-480.933166639857 47.3588655507612 -928.421614374436</t>
  </si>
  <si>
    <t>-529.148534813778 103.192922236253 -776.336465631436</t>
  </si>
  <si>
    <t>-507.806763404998 248.197122094004 -764.297692142058</t>
  </si>
  <si>
    <t>-520.455726609138 318.311079298003 -455.898217611508</t>
  </si>
  <si>
    <t>-338.199277052005 222.446386372639 -297.044172245917</t>
  </si>
  <si>
    <t>-545.736234152481 42.220797861336 -769.219860753453</t>
  </si>
  <si>
    <t>-480.934560571782 223.336054379059 -250.990675405851</t>
  </si>
  <si>
    <t>-469.305591521816 208.500718908733 204.31397905975</t>
  </si>
  <si>
    <t>-492.413133436659 166.597399579752 671.706715038147</t>
  </si>
  <si>
    <t>-339.41902813743 154.844456478207 757.719456966312</t>
  </si>
  <si>
    <t>-529.221389594532 35.3735152530902 -227.326560962217</t>
  </si>
  <si>
    <t>-436.243079135832 -13.5384781581407 216.09232339226</t>
  </si>
  <si>
    <t>-594.26731845459 -96.8815297418996 650.680907427199</t>
  </si>
  <si>
    <t>-446.234628592852 -145.872691481165 732.103896633595</t>
  </si>
  <si>
    <t>9763-20170724T164348.691783800.bin</t>
  </si>
  <si>
    <t>-504.810082055802 129.563925228994 -239.410207693429</t>
  </si>
  <si>
    <t>-545.484598846615 125.485101338336 -353.413484671926</t>
  </si>
  <si>
    <t>-559.423356346466 114.292016735479 -473.292659125465</t>
  </si>
  <si>
    <t>-560.824577355016 101.37964180033 -582.040773067502</t>
  </si>
  <si>
    <t>-551.117898522228 85.7995073673809 -690.012390416252</t>
  </si>
  <si>
    <t>-526.128297115488 61.4693391141769 -838.280876721625</t>
  </si>
  <si>
    <t>-481.019365348907 46.93228654841 -928.485407135846</t>
  </si>
  <si>
    <t>-528.88673052894 102.714202714268 -776.279556506666</t>
  </si>
  <si>
    <t>-507.548875853133 247.719541515709 -764.416981373407</t>
  </si>
  <si>
    <t>-521.045888319224 319.176079273917 -456.361901229875</t>
  </si>
  <si>
    <t>-338.790916654297 223.516473164767 -297.382687910418</t>
  </si>
  <si>
    <t>-545.484166625744 41.7551849696873 -769.073861299118</t>
  </si>
  <si>
    <t>-480.69639745246 223.463370968892 -251.023365015992</t>
  </si>
  <si>
    <t>-469.501732583159 208.696929930411 204.294538886689</t>
  </si>
  <si>
    <t>-492.42907819537 166.686873031567 671.700513786053</t>
  </si>
  <si>
    <t>-339.395804900523 155.200492967684 757.679694925066</t>
  </si>
  <si>
    <t>-528.734044699927 35.7026353672216 -227.186985437061</t>
  </si>
  <si>
    <t>-435.65696171764 -13.1582732306698 216.216815069143</t>
  </si>
  <si>
    <t>-594.207548310827 -96.626461459479 650.562354180118</t>
  </si>
  <si>
    <t>-446.44712126328 -146.330126579062 732.048026873968</t>
  </si>
  <si>
    <t>9763-20170724T164348.719859900.bin</t>
  </si>
  <si>
    <t>-504.545197845371 129.639666031243 -239.381970071131</t>
  </si>
  <si>
    <t>-545.240511055656 125.509299977896 -353.376053424916</t>
  </si>
  <si>
    <t>-559.212283617184 114.277307271518 -473.247626265582</t>
  </si>
  <si>
    <t>-560.647856486049 101.335886293594 -581.991753710797</t>
  </si>
  <si>
    <t>-550.979655485387 85.7331638291203 -689.963674385909</t>
  </si>
  <si>
    <t>-526.047243939902 61.3789417555045 -838.238005628935</t>
  </si>
  <si>
    <t>-480.995083566946 46.8834906027356 -928.477489152953</t>
  </si>
  <si>
    <t>-528.796346554958 102.637432001892 -776.245285887026</t>
  </si>
  <si>
    <t>-507.471250889672 247.641026849596 -764.391752478956</t>
  </si>
  <si>
    <t>-521.107413642393 319.957468916573 -456.543527029818</t>
  </si>
  <si>
    <t>-338.910175471981 224.305848620625 -297.493214593174</t>
  </si>
  <si>
    <t>-545.361779600584 41.672418542247 -769.017225975415</t>
  </si>
  <si>
    <t>-480.435073264205 223.514581628435 -251.024460727896</t>
  </si>
  <si>
    <t>-469.35800176449 208.718994930277 204.295392431178</t>
  </si>
  <si>
    <t>-492.387124780365 166.518690740192 671.701481175895</t>
  </si>
  <si>
    <t>-339.341666238394 155.147370789884 757.674006588521</t>
  </si>
  <si>
    <t>-528.492425010753 35.7801613689081 -227.117353240041</t>
  </si>
  <si>
    <t>-435.367216140642 -13.0409490557204 216.280739538185</t>
  </si>
  <si>
    <t>-594.176794137814 -96.9108560187743 650.487338324458</t>
  </si>
  <si>
    <t>-446.379711279118 -146.454965810657 732.003706700512</t>
  </si>
  <si>
    <t>9763-20170724T164348.791060300.bin</t>
  </si>
  <si>
    <t>-504.03008021923 129.957059279687 -239.369414033728</t>
  </si>
  <si>
    <t>-544.729668240458 125.769889144089 -353.359945312939</t>
  </si>
  <si>
    <t>-558.750004621971 114.476783578362 -473.22002099485</t>
  </si>
  <si>
    <t>-560.246533869886 101.482932020216 -581.957317454526</t>
  </si>
  <si>
    <t>-550.655243218238 85.8332197876347 -689.929191183452</t>
  </si>
  <si>
    <t>-525.844625468421 61.4213411300556 -838.214353581448</t>
  </si>
  <si>
    <t>-480.786633321464 46.9222619251294 -928.450409059738</t>
  </si>
  <si>
    <t>-528.583681952294 102.714055093507 -776.243957693191</t>
  </si>
  <si>
    <t>-507.368103973575 247.755170441023 -764.463265742435</t>
  </si>
  <si>
    <t>-521.426981326325 321.211520934372 -456.904104514944</t>
  </si>
  <si>
    <t>-339.305317925934 225.412761578585 -297.855745457128</t>
  </si>
  <si>
    <t>-545.061342366737 41.7316059347911 -768.961602710908</t>
  </si>
  <si>
    <t>-479.96147244313 223.956878103723 -251.010509715345</t>
  </si>
  <si>
    <t>-468.925016491287 209.073314068492 204.307412220365</t>
  </si>
  <si>
    <t>-492.465188404734 166.820846475791 671.689776662396</t>
  </si>
  <si>
    <t>-339.500065413911 154.559235977914 757.682948630147</t>
  </si>
  <si>
    <t>-527.982696067084 35.9359400386552 -227.104390065665</t>
  </si>
  <si>
    <t>-434.959564227747 -12.7654386846162 216.328312984225</t>
  </si>
  <si>
    <t>-594.084876947238 -96.9778418947214 650.372438758101</t>
  </si>
  <si>
    <t>-446.233551257579 -146.252631832158 731.953569395559</t>
  </si>
  <si>
    <t>9763-20170724T164348.856231400.bin</t>
  </si>
  <si>
    <t>-503.585029437567 130.015589135752 -239.341492478063</t>
  </si>
  <si>
    <t>-544.241459887726 125.802297743386 -353.34639513033</t>
  </si>
  <si>
    <t>-558.303658168594 114.466219452259 -473.197605574433</t>
  </si>
  <si>
    <t>-559.872193970825 101.432277508232 -581.928963628699</t>
  </si>
  <si>
    <t>-550.385456462622 85.744311835948 -689.90455847962</t>
  </si>
  <si>
    <t>-525.752073985338 61.2837885978898 -838.211297251075</t>
  </si>
  <si>
    <t>-480.656995333418 46.7164523899473 -928.417781022755</t>
  </si>
  <si>
    <t>-528.473231512519 102.610501294691 -776.262761034353</t>
  </si>
  <si>
    <t>-507.464042456882 247.69101775659 -764.561468203644</t>
  </si>
  <si>
    <t>-521.891012372066 321.682227430674 -457.147531037924</t>
  </si>
  <si>
    <t>-339.623011940968 225.912281241295 -298.249529062627</t>
  </si>
  <si>
    <t>-544.829890396152 41.6030663221807 -768.917557636152</t>
  </si>
  <si>
    <t>-479.47901170728 223.840285490241 -250.973572263017</t>
  </si>
  <si>
    <t>-468.587011073682 208.868811397961 204.34494559538</t>
  </si>
  <si>
    <t>-492.328498655918 166.178996053899 671.698424289762</t>
  </si>
  <si>
    <t>-339.248328256829 155.168838638107 757.656160671898</t>
  </si>
  <si>
    <t>-527.502005795944 36.1297793413804 -227.053831736323</t>
  </si>
  <si>
    <t>-434.728437201431 -12.7045060326435 216.416433169209</t>
  </si>
  <si>
    <t>-594.05137004622 -96.9032600661187 650.366652342956</t>
  </si>
  <si>
    <t>-446.200792986929 -146.136510495575 731.97432782892</t>
  </si>
  <si>
    <t>9763-20170724T164348.889341800.bin</t>
  </si>
  <si>
    <t>-503.456289914307 130.279693915267 -239.350422347254</t>
  </si>
  <si>
    <t>-544.100271311627 126.055266035095 -353.359336840553</t>
  </si>
  <si>
    <t>-558.181572199699 114.693895800093 -473.20584128762</t>
  </si>
  <si>
    <t>-559.779713715073 101.634701519722 -581.933715662271</t>
  </si>
  <si>
    <t>-550.334207857709 85.9209040160268 -689.909316244833</t>
  </si>
  <si>
    <t>-525.769175284855 61.4256516257649 -838.22161592945</t>
  </si>
  <si>
    <t>-480.651473732422 46.8173489458218 -928.410051670182</t>
  </si>
  <si>
    <t>-528.485883021637 102.772741686522 -776.286561677529</t>
  </si>
  <si>
    <t>-507.591987140732 247.868898382379 -764.64185734152</t>
  </si>
  <si>
    <t>-522.027435641909 321.940723202027 -457.247796899219</t>
  </si>
  <si>
    <t>-339.76613885551 226.185544243389 -298.333182363867</t>
  </si>
  <si>
    <t>-544.790964266639 41.7553250971699 -768.909439219018</t>
  </si>
  <si>
    <t>-479.395935003517 224.187152974723 -250.979689179619</t>
  </si>
  <si>
    <t>-468.595119436143 209.186160163369 204.339986451963</t>
  </si>
  <si>
    <t>-492.441577526785 166.651822847302 671.687404091883</t>
  </si>
  <si>
    <t>-339.457407531854 154.583417192547 757.674159231971</t>
  </si>
  <si>
    <t>-527.353111314956 36.3678627832775 -227.037539131534</t>
  </si>
  <si>
    <t>-434.646411923634 -12.4891097710584 216.444291056093</t>
  </si>
  <si>
    <t>-594.028106175358 -96.8874428051553 650.348057768913</t>
  </si>
  <si>
    <t>-446.313606000967 -146.457711666926 731.998000778441</t>
  </si>
  <si>
    <t>9763-20170724T164348.922445400.bin</t>
  </si>
  <si>
    <t>-503.365895645689 130.40032728863 -239.322192968143</t>
  </si>
  <si>
    <t>-543.991169019401 126.149073963084 -353.336726631164</t>
  </si>
  <si>
    <t>-558.089587261 114.758789597812 -473.178506025318</t>
  </si>
  <si>
    <t>-559.717548869551 101.675676257909 -581.903166139929</t>
  </si>
  <si>
    <t>-550.315400423456 85.9419719542518 -689.879575904836</t>
  </si>
  <si>
    <t>-525.823828182005 61.4244981517686 -838.200373439814</t>
  </si>
  <si>
    <t>-480.685175802166 46.7816923064042 -928.372815405334</t>
  </si>
  <si>
    <t>-528.536075059677 102.787159301031 -776.275507497543</t>
  </si>
  <si>
    <t>-507.65435469102 247.876008609618 -764.642661807728</t>
  </si>
  <si>
    <t>-521.84398904072 322.230293218637 -457.305139057098</t>
  </si>
  <si>
    <t>-339.737539799839 226.384086633076 -298.268163471298</t>
  </si>
  <si>
    <t>-544.785172490796 41.7582281786535 -768.870492316625</t>
  </si>
  <si>
    <t>-479.338186358412 224.328473263464 -250.977337406243</t>
  </si>
  <si>
    <t>-468.5267936253 209.292912542296 204.340796522769</t>
  </si>
  <si>
    <t>-492.448781033594 166.666688385448 671.684070371616</t>
  </si>
  <si>
    <t>-339.460342586989 154.667540939984 757.672908776398</t>
  </si>
  <si>
    <t>-527.217934741707 36.4684820886814 -227.011302328277</t>
  </si>
  <si>
    <t>-434.592716654875 -12.4215635308962 216.483956897274</t>
  </si>
  <si>
    <t>-594.000680329209 -96.7402778847235 650.339123572435</t>
  </si>
  <si>
    <t>-446.213092939872 -146.078676759804 731.997373459223</t>
  </si>
  <si>
    <t>9763-20170724T164348.987169000.bin</t>
  </si>
  <si>
    <t>-503.263221108566 130.439074021022 -239.300335433826</t>
  </si>
  <si>
    <t>-543.904681704674 126.175916096656 -353.308759067824</t>
  </si>
  <si>
    <t>-557.990468637878 114.747284440867 -473.148455334175</t>
  </si>
  <si>
    <t>-559.593180063628 101.626253910382 -581.868795769922</t>
  </si>
  <si>
    <t>-550.151392668614 85.8558691203575 -689.836287217116</t>
  </si>
  <si>
    <t>-525.589254943439 61.2929446799452 -838.137914499945</t>
  </si>
  <si>
    <t>-480.229118872612 46.5528527442288 -928.183276310187</t>
  </si>
  <si>
    <t>-528.391049031226 102.689096492138 -776.239327528374</t>
  </si>
  <si>
    <t>-507.401084637365 247.774146753663 -764.669917996675</t>
  </si>
  <si>
    <t>-521.394106769254 323.463595616099 -457.649455262215</t>
  </si>
  <si>
    <t>-339.770011128747 227.158199572668 -298.338464545529</t>
  </si>
  <si>
    <t>-544.52341375419 41.633533433635 -768.798765343578</t>
  </si>
  <si>
    <t>-479.232495818834 224.360477839273 -250.969715863207</t>
  </si>
  <si>
    <t>-468.496875450739 209.301644802446 204.349556788899</t>
  </si>
  <si>
    <t>-492.423448359011 166.546764637777 671.679232461909</t>
  </si>
  <si>
    <t>-339.415999099546 154.765791657973 757.664357994924</t>
  </si>
  <si>
    <t>-527.155084594065 36.4585016243147 -226.978433192755</t>
  </si>
  <si>
    <t>-434.580667851459 -12.5135804037606 216.518343495939</t>
  </si>
  <si>
    <t>-594.002808237827 -97.0035147557206 650.35762841844</t>
  </si>
  <si>
    <t>-446.063547530785 -145.925485735375 731.991817859103</t>
  </si>
  <si>
    <t>9763-20170724T164349.024268200.bin</t>
  </si>
  <si>
    <t>-503.235836918929 130.571872473047 -239.303923302662</t>
  </si>
  <si>
    <t>-543.849740088996 126.281757477207 -353.321082279809</t>
  </si>
  <si>
    <t>-557.977596248938 114.842253059858 -473.154644593294</t>
  </si>
  <si>
    <t>-559.647158025306 101.718023323362 -581.873670642861</t>
  </si>
  <si>
    <t>-550.300232327381 85.9508634865758 -689.850022050209</t>
  </si>
  <si>
    <t>-525.897923534852 61.3986903788811 -838.179682434147</t>
  </si>
  <si>
    <t>-480.391848189771 46.5642902175677 -928.136083402131</t>
  </si>
  <si>
    <t>-528.642795606844 102.79263503236 -776.277288062801</t>
  </si>
  <si>
    <t>-507.597092887023 247.880577546828 -764.763289939085</t>
  </si>
  <si>
    <t>-521.346872310936 324.159431475554 -457.877877689539</t>
  </si>
  <si>
    <t>-339.92168008197 227.749479012407 -298.40355826272</t>
  </si>
  <si>
    <t>-544.747591818625 41.7318887148593 -768.819602024961</t>
  </si>
  <si>
    <t>-479.231187884728 224.463646869676 -250.975456859428</t>
  </si>
  <si>
    <t>-468.502338946638 209.384932765703 204.343377022922</t>
  </si>
  <si>
    <t>-492.448999108962 166.645878708584 671.672826065282</t>
  </si>
  <si>
    <t>-339.424451366423 155.063415905704 757.654445780395</t>
  </si>
  <si>
    <t>-527.069351891523 36.680124965418 -227.001012234972</t>
  </si>
  <si>
    <t>-434.617808292576 -12.3286496187766 216.517387058012</t>
  </si>
  <si>
    <t>-593.983376480424 -96.7392195402471 650.370718377219</t>
  </si>
  <si>
    <t>-446.307121356901 -146.414838167703 732.025986121613</t>
  </si>
  <si>
    <t>9763-20170724T164349.086440200.bin</t>
  </si>
  <si>
    <t>-503.290354716578 130.723852135362 -239.259238543552</t>
  </si>
  <si>
    <t>-543.930477688046 126.459442123965 -353.26810598532</t>
  </si>
  <si>
    <t>-558.188401217916 115.041839361525 -473.088372322171</t>
  </si>
  <si>
    <t>-560.016910174442 101.937679050574 -581.807221548633</t>
  </si>
  <si>
    <t>-550.868271152564 86.1914097887006 -689.803545443431</t>
  </si>
  <si>
    <t>-526.779792155851 61.669985915927 -838.189701405939</t>
  </si>
  <si>
    <t>-481.005883099109 46.5799577647303 -927.967415139951</t>
  </si>
  <si>
    <t>-529.397012135616 103.051923193216 -776.273513758166</t>
  </si>
  <si>
    <t>-508.398523930306 248.14618094586 -764.834261054368</t>
  </si>
  <si>
    <t>-521.84834717728 325.307768498993 -458.156453817597</t>
  </si>
  <si>
    <t>-340.518735787255 228.947512878131 -298.543409233236</t>
  </si>
  <si>
    <t>-545.479399795501 41.9880039966228 -768.793318853491</t>
  </si>
  <si>
    <t>-479.253989155139 224.68077913692 -250.962977623087</t>
  </si>
  <si>
    <t>-468.41519383581 209.589311996815 204.352753424011</t>
  </si>
  <si>
    <t>-492.540146479521 166.983663548155 671.670407074765</t>
  </si>
  <si>
    <t>-339.563054379855 154.845791781963 757.65997398676</t>
  </si>
  <si>
    <t>-527.198550396541 36.8064086608045 -226.948997582792</t>
  </si>
  <si>
    <t>-434.736333128968 -12.4046157455637 216.544703722526</t>
  </si>
  <si>
    <t>-594.008069531832 -96.8405960424259 650.449014178705</t>
  </si>
  <si>
    <t>-446.315961021648 -146.522407866717 732.071779874724</t>
  </si>
  <si>
    <t>9763-20170724T164349.120533000.bin</t>
  </si>
  <si>
    <t>-503.359105835881 130.722173341207 -239.261193747702</t>
  </si>
  <si>
    <t>-544.082131951413 126.504113432971 -353.242026907245</t>
  </si>
  <si>
    <t>-558.416174705726 115.109689768835 -473.055556418622</t>
  </si>
  <si>
    <t>-560.308508449907 102.018885319481 -581.774945118043</t>
  </si>
  <si>
    <t>-551.217892688725 86.2795888482348 -689.77710917052</t>
  </si>
  <si>
    <t>-527.203299620142 61.7621939561596 -838.175932195593</t>
  </si>
  <si>
    <t>-481.335741789012 46.554798728561 -927.885875973942</t>
  </si>
  <si>
    <t>-529.788107313221 103.142068905716 -776.257039151552</t>
  </si>
  <si>
    <t>-508.813184478584 248.241354364699 -764.836390375813</t>
  </si>
  <si>
    <t>-522.532883339083 325.629237058985 -458.227375169423</t>
  </si>
  <si>
    <t>-341.200236760451 229.375875768761 -298.553267603536</t>
  </si>
  <si>
    <t>-545.869949919303 42.078695489469 -768.77113410164</t>
  </si>
  <si>
    <t>-479.280341180935 224.569654197842 -250.943827005897</t>
  </si>
  <si>
    <t>-468.257009876004 209.446443637119 204.366353004589</t>
  </si>
  <si>
    <t>-492.463064617428 166.596161211175 671.686550834311</t>
  </si>
  <si>
    <t>-339.410617189677 155.229755564734 757.647312948634</t>
  </si>
  <si>
    <t>-527.308369468032 36.8575562988246 -226.936878728537</t>
  </si>
  <si>
    <t>-434.783209854616 -12.3658782043398 216.542280423109</t>
  </si>
  <si>
    <t>-593.9915274546 -96.4951569039342 650.472869957851</t>
  </si>
  <si>
    <t>-446.402014273349 -146.488760911203 732.090658393044</t>
  </si>
  <si>
    <t>9763-20170724T164349.190723900.bin</t>
  </si>
  <si>
    <t>-503.579418587768 130.750456754594 -239.257668097667</t>
  </si>
  <si>
    <t>-544.395035366532 126.619185038433 -353.208610938256</t>
  </si>
  <si>
    <t>-558.897188772506 115.294345068868 -473.008434807908</t>
  </si>
  <si>
    <t>-560.96974074588 102.261775005921 -581.731500546709</t>
  </si>
  <si>
    <t>-552.085059335238 86.5779307999127 -689.75897865024</t>
  </si>
  <si>
    <t>-528.380750067011 62.1361913391366 -838.220038121952</t>
  </si>
  <si>
    <t>-482.49478357901 46.7735156290261 -927.894212035824</t>
  </si>
  <si>
    <t>-530.818565389762 103.48032984977 -776.271320406986</t>
  </si>
  <si>
    <t>-509.725311240325 248.569484906633 -764.867143774568</t>
  </si>
  <si>
    <t>-524.056691269003 326.282228440451 -458.368332814756</t>
  </si>
  <si>
    <t>-342.980870383192 229.822082755659 -298.527598791874</t>
  </si>
  <si>
    <t>-546.919772028953 42.4215309723326 -768.789859831865</t>
  </si>
  <si>
    <t>-479.347335382433 224.599039751441 -250.916789747587</t>
  </si>
  <si>
    <t>-468.167191574909 209.463545371226 204.389249260393</t>
  </si>
  <si>
    <t>-492.49643856068 166.676710466401 671.688369876181</t>
  </si>
  <si>
    <t>-339.474611463816 154.941491137825 757.654182705282</t>
  </si>
  <si>
    <t>-527.627985463442 36.9361124437534 -226.92176358668</t>
  </si>
  <si>
    <t>-434.957447275958 -12.445655105991 216.509507733523</t>
  </si>
  <si>
    <t>-594.003936682984 -96.3836877119109 650.543661963851</t>
  </si>
  <si>
    <t>-446.453089570176 -146.531540508606 732.137003018237</t>
  </si>
  <si>
    <t>9763-20170724T164349.220803900.bin</t>
  </si>
  <si>
    <t>-503.695511276425 130.7506247024 -239.250133468345</t>
  </si>
  <si>
    <t>-544.500141143493 126.638442987759 -353.205652773257</t>
  </si>
  <si>
    <t>-559.053272697405 115.32877204888 -473.000766758286</t>
  </si>
  <si>
    <t>-561.197460599165 102.307678047324 -581.723808777041</t>
  </si>
  <si>
    <t>-552.409286913124 86.6324210143512 -689.760342409219</t>
  </si>
  <si>
    <t>-528.863862730419 62.199076404944 -838.248310805059</t>
  </si>
  <si>
    <t>-482.981700876501 46.7769549973267 -927.914058430068</t>
  </si>
  <si>
    <t>-531.221399444924 103.53635349256 -776.291967503806</t>
  </si>
  <si>
    <t>-510.042409843918 248.615034770902 -764.906047999701</t>
  </si>
  <si>
    <t>-524.692840256461 326.393022376369 -458.438856431016</t>
  </si>
  <si>
    <t>-343.796688604143 229.800739313724 -298.474623533632</t>
  </si>
  <si>
    <t>-547.342528694762 42.4838193991858 -768.802021945161</t>
  </si>
  <si>
    <t>-479.420412867089 224.609150736738 -250.916193606838</t>
  </si>
  <si>
    <t>-468.238909879286 209.492608221916 204.390434881602</t>
  </si>
  <si>
    <t>-492.493015079382 166.641113828852 671.691135232833</t>
  </si>
  <si>
    <t>-339.48881482428 154.714853084059 757.661943276881</t>
  </si>
  <si>
    <t>-527.75506389048 36.9100350615876 -226.929576657326</t>
  </si>
  <si>
    <t>-435.101363679585 -12.5652968304359 216.49473155222</t>
  </si>
  <si>
    <t>-594.026918760978 -96.5011865107926 650.583468497262</t>
  </si>
  <si>
    <t>-446.430345608352 -146.540785565923 732.160320396658</t>
  </si>
  <si>
    <t>9763-20170724T164349.284987600.bin</t>
  </si>
  <si>
    <t>-503.939578054795 130.651116972453 -239.244551937992</t>
  </si>
  <si>
    <t>-544.784588401567 126.570384703973 -353.186721158694</t>
  </si>
  <si>
    <t>-559.419970968517 115.320479534019 -472.977487755926</t>
  </si>
  <si>
    <t>-561.654100277377 102.366825431526 -581.70673076873</t>
  </si>
  <si>
    <t>-552.970200633634 86.7735599970133 -689.763737192999</t>
  </si>
  <si>
    <t>-529.582920380419 62.4699939264684 -838.297731567366</t>
  </si>
  <si>
    <t>-483.703701745678 47.0410862164665 -927.964065948504</t>
  </si>
  <si>
    <t>-531.891107987397 103.757063767094 -776.30608789701</t>
  </si>
  <si>
    <t>-510.708881396956 248.835229030719 -764.90780642607</t>
  </si>
  <si>
    <t>-525.767349637852 326.701519919568 -458.482883298048</t>
  </si>
  <si>
    <t>-345.134830438798 230.046618044638 -298.258782382929</t>
  </si>
  <si>
    <t>-547.970945167413 42.6900310145274 -768.845943813719</t>
  </si>
  <si>
    <t>-479.644052922569 224.494519583393 -250.920486771077</t>
  </si>
  <si>
    <t>-468.341031155771 209.404079774717 204.384068492063</t>
  </si>
  <si>
    <t>-492.469383752844 166.529383088456 671.692342184232</t>
  </si>
  <si>
    <t>-339.457630783435 154.706807576714 757.664054930667</t>
  </si>
  <si>
    <t>-528.053531502141 36.7993968192371 -226.929581010259</t>
  </si>
  <si>
    <t>-435.22444926334 -12.5858413351582 216.468133446411</t>
  </si>
  <si>
    <t>-594.029421824641 -96.3950432218987 650.618168931566</t>
  </si>
  <si>
    <t>-446.563234151076 -146.811466279426 732.198795254527</t>
  </si>
  <si>
    <t>9763-20170724T164349.323092100.bin</t>
  </si>
  <si>
    <t>-504.01850174291 130.477219140978 -239.265956038479</t>
  </si>
  <si>
    <t>-544.931804673287 126.416521280399 -353.184296513117</t>
  </si>
  <si>
    <t>-559.624198167006 115.190223776499 -472.970348431187</t>
  </si>
  <si>
    <t>-561.903766874954 102.260424827477 -581.701518383505</t>
  </si>
  <si>
    <t>-553.258454625386 86.6941597471436 -689.76541083865</t>
  </si>
  <si>
    <t>-529.91729752391 62.4321187882964 -838.313591195598</t>
  </si>
  <si>
    <t>-484.013382746975 47.0217896703949 -927.970245761266</t>
  </si>
  <si>
    <t>-532.222681039294 103.705790956476 -776.312799215809</t>
  </si>
  <si>
    <t>-511.076017861621 248.783634268091 -764.890052791328</t>
  </si>
  <si>
    <t>-526.373937764574 326.761893108561 -458.505436129238</t>
  </si>
  <si>
    <t>-345.790571094079 230.188922884927 -298.176542038618</t>
  </si>
  <si>
    <t>-548.267387987381 42.6288464259739 -768.858283585563</t>
  </si>
  <si>
    <t>-479.759001510918 224.340963588437 -250.917853150593</t>
  </si>
  <si>
    <t>-468.369805702077 209.264673577301 204.384933905236</t>
  </si>
  <si>
    <t>-492.456916222844 166.46831948321 671.695535405429</t>
  </si>
  <si>
    <t>-339.407431975394 155.069857031635 757.657380273252</t>
  </si>
  <si>
    <t>-528.080690207088 36.5946028179624 -226.946541511739</t>
  </si>
  <si>
    <t>-435.255814834727 -12.7274610960311 216.459124579356</t>
  </si>
  <si>
    <t>-594.050681264269 -96.6564997721134 650.633053023849</t>
  </si>
  <si>
    <t>-446.382421533952 -146.503291360322 732.19827554841</t>
  </si>
  <si>
    <t>9763-20170724T164349.388804700.bin</t>
  </si>
  <si>
    <t>-504.218172581516 130.354733864997 -239.273033180384</t>
  </si>
  <si>
    <t>-545.118854692686 126.235666926229 -353.193994083948</t>
  </si>
  <si>
    <t>-559.874652321403 115.023499587713 -472.97341038771</t>
  </si>
  <si>
    <t>-562.242751495234 102.136869352041 -581.707916680652</t>
  </si>
  <si>
    <t>-553.715970213715 86.6438953852528 -689.791693538696</t>
  </si>
  <si>
    <t>-530.569339143562 62.5146605329934 -838.391911191348</t>
  </si>
  <si>
    <t>-484.641408429206 47.1720314009771 -928.048003110424</t>
  </si>
  <si>
    <t>-532.835970763674 103.743044876314 -776.359600621788</t>
  </si>
  <si>
    <t>-511.843755254367 248.841031826128 -764.95186469254</t>
  </si>
  <si>
    <t>-527.499889074848 327.145605366485 -458.6685060937</t>
  </si>
  <si>
    <t>-346.948886592225 230.638520789521 -298.263481945473</t>
  </si>
  <si>
    <t>-548.786057874217 42.6391876566404 -768.922273802974</t>
  </si>
  <si>
    <t>-480.067796287591 224.380070284302 -250.94699356619</t>
  </si>
  <si>
    <t>-468.630762563663 209.366545698754 204.356743831224</t>
  </si>
  <si>
    <t>-492.541637970627 166.833531900306 671.686113262106</t>
  </si>
  <si>
    <t>-339.552848063301 154.802908488154 757.669846906295</t>
  </si>
  <si>
    <t>-528.202109846012 36.3448918518873 -226.94023479131</t>
  </si>
  <si>
    <t>-435.348147167323 -12.8906064797848 216.46889944296</t>
  </si>
  <si>
    <t>-594.065789992931 -96.9314245658098 650.648860434761</t>
  </si>
  <si>
    <t>-446.145242270608 -146.049356763882 732.199131172175</t>
  </si>
  <si>
    <t>9763-20170724T164349.423898200.bin</t>
  </si>
  <si>
    <t>-504.288281680821 130.434529205182 -239.26465069023</t>
  </si>
  <si>
    <t>-545.196700106422 126.300490430966 -353.182226696186</t>
  </si>
  <si>
    <t>-559.985862514593 115.105430643717 -472.959184248702</t>
  </si>
  <si>
    <t>-562.394034577238 102.249547878838 -581.696461981636</t>
  </si>
  <si>
    <t>-553.916609129268 86.8035436236917 -689.790779344273</t>
  </si>
  <si>
    <t>-530.846898845894 62.7571522171958 -838.416478353274</t>
  </si>
  <si>
    <t>-484.905326254688 47.4733836672772 -928.075583500427</t>
  </si>
  <si>
    <t>-533.119364653394 103.959903116494 -776.367332422008</t>
  </si>
  <si>
    <t>-512.254985953072 249.076348910349 -764.945561323891</t>
  </si>
  <si>
    <t>-528.054360880135 327.473278541539 -458.693296322721</t>
  </si>
  <si>
    <t>-347.454402107307 231.01152547683 -298.316136608409</t>
  </si>
  <si>
    <t>-548.989715358195 42.8339555402301 -768.941049559938</t>
  </si>
  <si>
    <t>-480.200006365425 224.404551262995 -250.950546684948</t>
  </si>
  <si>
    <t>-468.727055991227 209.447266320651 204.354106015539</t>
  </si>
  <si>
    <t>-492.544276143907 166.831763274399 671.685378081721</t>
  </si>
  <si>
    <t>-339.554593341479 154.784050647366 757.665187007364</t>
  </si>
  <si>
    <t>-528.207755945523 36.5141749233137 -226.935006488902</t>
  </si>
  <si>
    <t>-435.336829006382 -12.6682593997987 216.476454812535</t>
  </si>
  <si>
    <t>-594.045046186103 -96.6607711003447 650.64241415997</t>
  </si>
  <si>
    <t>-446.448758413165 -146.696637140251 732.22215542953</t>
  </si>
  <si>
    <t>9763-20170724T164349.490582000.bin</t>
  </si>
  <si>
    <t>-504.386927999287 130.241484233372 -239.250626394114</t>
  </si>
  <si>
    <t>-545.375792337834 126.085715504443 -353.13846981403</t>
  </si>
  <si>
    <t>-560.302297836936 114.962057161917 -472.9050404558</t>
  </si>
  <si>
    <t>-562.855124525503 102.213554521823 -581.651614374579</t>
  </si>
  <si>
    <t>-554.540632335813 86.920131884978 -689.780373284624</t>
  </si>
  <si>
    <t>-531.713579913314 63.1350594061421 -838.485467431079</t>
  </si>
  <si>
    <t>-485.805413783536 48.0107352258821 -928.188717075361</t>
  </si>
  <si>
    <t>-533.967551145128 104.248143882576 -776.376254015801</t>
  </si>
  <si>
    <t>-513.437421799505 249.407788342738 -764.87849107153</t>
  </si>
  <si>
    <t>-529.443455791091 327.618437465469 -458.589410234716</t>
  </si>
  <si>
    <t>-348.6678453581 231.325231124991 -298.308640539164</t>
  </si>
  <si>
    <t>-549.660102905059 43.0702800409457 -768.999756984289</t>
  </si>
  <si>
    <t>-480.410893905345 224.272349706673 -250.945082028674</t>
  </si>
  <si>
    <t>-468.764078983372 209.376116616482 204.357136611883</t>
  </si>
  <si>
    <t>-492.592033246553 167.019729091954 671.686138880392</t>
  </si>
  <si>
    <t>-339.561552291219 155.408786514171 757.653403426748</t>
  </si>
  <si>
    <t>-528.220019320407 36.2479973059341 -226.918855315845</t>
  </si>
  <si>
    <t>-435.229508953646 -12.7515407577879 216.487872340165</t>
  </si>
  <si>
    <t>-594.044766692355 -96.8009441535464 650.616518121724</t>
  </si>
  <si>
    <t>-446.102426197235 -145.841741310639 732.173739368269</t>
  </si>
  <si>
    <t>9763-20170724T164349.523669400.bin</t>
  </si>
  <si>
    <t>-504.42500247028 130.069699886325 -239.248584505884</t>
  </si>
  <si>
    <t>-545.435620399085 125.906604998551 -353.128341355944</t>
  </si>
  <si>
    <t>-560.416178701996 114.828073610694 -472.892292189916</t>
  </si>
  <si>
    <t>-563.030158448725 102.144151616483 -581.645025789055</t>
  </si>
  <si>
    <t>-554.78799076367 86.940074539723 -689.791887978881</t>
  </si>
  <si>
    <t>-532.071963435022 63.3055494891805 -838.537952878793</t>
  </si>
  <si>
    <t>-486.181734674942 48.274051246861 -928.266056253045</t>
  </si>
  <si>
    <t>-534.318011379274 104.364673375271 -776.392877395472</t>
  </si>
  <si>
    <t>-513.905653664828 249.532421171096 -764.825707937628</t>
  </si>
  <si>
    <t>-530.021912731619 327.60538390883 -458.507177364172</t>
  </si>
  <si>
    <t>-349.181197525178 231.362588238919 -298.269744284253</t>
  </si>
  <si>
    <t>-549.928179305134 43.1614625780699 -769.052117921751</t>
  </si>
  <si>
    <t>-480.472486964883 224.049128468954 -250.93833575978</t>
  </si>
  <si>
    <t>-468.740910347191 209.16522808245 204.362086202457</t>
  </si>
  <si>
    <t>-492.489896162529 166.564848857446 671.692246595261</t>
  </si>
  <si>
    <t>-339.422943581374 155.386304706159 757.651859910581</t>
  </si>
  <si>
    <t>-528.23096282945 36.1136717859611 -226.921180617031</t>
  </si>
  <si>
    <t>-435.228648017951 -12.8263495425676 216.489607413828</t>
  </si>
  <si>
    <t>-594.039030244622 -96.7983700923626 650.602402548617</t>
  </si>
  <si>
    <t>-446.024711934476 -145.632365142392 732.153098756111</t>
  </si>
  <si>
    <t>9763-20170724T164349.586872500.bin</t>
  </si>
  <si>
    <t>-504.578595676007 129.928244688596 -239.263528580584</t>
  </si>
  <si>
    <t>-545.64018897626 125.769294377756 -353.125049856057</t>
  </si>
  <si>
    <t>-560.779627555446 114.772518241 -472.876525620836</t>
  </si>
  <si>
    <t>-563.579555661168 102.197400417028 -581.637269445695</t>
  </si>
  <si>
    <t>-555.563127515873 87.1383324215178 -689.821447503292</t>
  </si>
  <si>
    <t>-533.199104332604 63.7442443846269 -838.658827031021</t>
  </si>
  <si>
    <t>-487.397770413346 48.8732969677042 -928.458975214709</t>
  </si>
  <si>
    <t>-535.349463834239 104.714861705818 -776.451889020529</t>
  </si>
  <si>
    <t>-515.138660336668 249.906501152064 -764.837573680777</t>
  </si>
  <si>
    <t>-531.503983526185 327.745237399336 -458.472610740593</t>
  </si>
  <si>
    <t>-350.671463112016 231.486798718009 -298.235364702017</t>
  </si>
  <si>
    <t>-550.839494866031 43.4759503974135 -769.153920413739</t>
  </si>
  <si>
    <t>-480.675103123097 224.000047355641 -250.940687431618</t>
  </si>
  <si>
    <t>-468.799215437328 209.167435629035 204.357777306044</t>
  </si>
  <si>
    <t>-492.551676866173 166.797216760378 671.692329460903</t>
  </si>
  <si>
    <t>-339.51716212509 155.219153812501 757.656852038553</t>
  </si>
  <si>
    <t>-528.334659028559 35.8694198520182 -226.931510015195</t>
  </si>
  <si>
    <t>-435.273628048935 -12.9924334683006 216.47556243602</t>
  </si>
  <si>
    <t>-594.066256551256 -97.075852449616 650.607424601592</t>
  </si>
  <si>
    <t>-445.937298611873 -145.618218440089 732.124071467673</t>
  </si>
  <si>
    <t>9763-20170724T164349.623947400.bin</t>
  </si>
  <si>
    <t>-504.665677366511 130.072840917749 -239.260166936928</t>
  </si>
  <si>
    <t>-545.718888894975 125.910163097377 -353.124639171626</t>
  </si>
  <si>
    <t>-560.916586162684 114.96731310782 -472.873685153431</t>
  </si>
  <si>
    <t>-563.79617708675 102.466444415955 -581.640788816627</t>
  </si>
  <si>
    <t>-555.885024093157 87.5082135487752 -689.846720014143</t>
  </si>
  <si>
    <t>-533.692419402512 64.282376480926 -838.736221204468</t>
  </si>
  <si>
    <t>-487.942697210043 49.5159281546699 -928.579880405469</t>
  </si>
  <si>
    <t>-535.80163143391 105.189651880842 -776.486044723428</t>
  </si>
  <si>
    <t>-515.663797442627 250.385399828095 -764.830059793831</t>
  </si>
  <si>
    <t>-532.158529902701 328.242454088016 -458.476661344445</t>
  </si>
  <si>
    <t>-351.307573786899 231.832634406957 -298.351214240218</t>
  </si>
  <si>
    <t>-551.222308899879 43.9285427173942 -769.22832248741</t>
  </si>
  <si>
    <t>-480.769260303647 224.110964241945 -250.94487013745</t>
  </si>
  <si>
    <t>-468.8896509145 209.306323662001 204.354308981761</t>
  </si>
  <si>
    <t>-492.579519949405 166.906461086446 671.691689284734</t>
  </si>
  <si>
    <t>-339.594186689313 154.789600036139 757.669407462752</t>
  </si>
  <si>
    <t>-528.415926057737 36.090159902072 -226.931920925088</t>
  </si>
  <si>
    <t>-435.310282823804 -12.7604565557953 216.467026017107</t>
  </si>
  <si>
    <t>-594.064269783591 -96.7781486750039 650.614566040448</t>
  </si>
  <si>
    <t>-446.249399930079 -146.256452546184 732.138698555027</t>
  </si>
  <si>
    <t>9763-20170724T164349.688684700.bin</t>
  </si>
  <si>
    <t>-504.788312665238 129.937828488117 -239.262482478268</t>
  </si>
  <si>
    <t>-545.908893721257 125.798336714806 -353.103418430971</t>
  </si>
  <si>
    <t>-561.260777667041 115.008788659634 -472.84678720827</t>
  </si>
  <si>
    <t>-564.312059150403 102.708007270325 -581.631958592216</t>
  </si>
  <si>
    <t>-556.601890978695 88.0156711597143 -689.88891840859</t>
  </si>
  <si>
    <t>-534.715333023659 65.2318239518084 -838.891777449332</t>
  </si>
  <si>
    <t>-489.039183626109 50.7200881014136 -928.814469703046</t>
  </si>
  <si>
    <t>-536.77791790293 105.972841356445 -776.531285548766</t>
  </si>
  <si>
    <t>-516.852045540091 251.196468567218 -764.841939256217</t>
  </si>
  <si>
    <t>-533.559276037942 329.071551941385 -458.504770149381</t>
  </si>
  <si>
    <t>-352.741845682851 232.35598159223 -298.52597977668</t>
  </si>
  <si>
    <t>-552.021044979506 44.6531849486837 -769.393921472363</t>
  </si>
  <si>
    <t>-480.910825895854 224.082549343447 -250.960978060732</t>
  </si>
  <si>
    <t>-468.899823240813 209.362553444958 204.337591456082</t>
  </si>
  <si>
    <t>-492.677069546181 167.319894166369 671.687387628474</t>
  </si>
  <si>
    <t>-339.770975936373 154.399179537877 757.689008558219</t>
  </si>
  <si>
    <t>-528.502206777107 35.7800461015677 -226.939112859537</t>
  </si>
  <si>
    <t>-435.368986081206 -12.98321787602 216.463641226519</t>
  </si>
  <si>
    <t>-594.11316971356 -97.1473984972565 650.640408846364</t>
  </si>
  <si>
    <t>-446.077040428103 -146.035528657566 732.119130873156</t>
  </si>
  <si>
    <t>9763-20170724T164349.719764000.bin</t>
  </si>
  <si>
    <t>-504.840739929298 129.801090450544 -239.233242774264</t>
  </si>
  <si>
    <t>-546.025642483433 125.69400492114 -353.05207366645</t>
  </si>
  <si>
    <t>-561.450572700006 115.008865300697 -472.795438866231</t>
  </si>
  <si>
    <t>-564.568969832845 102.837869733575 -581.593407174854</t>
  </si>
  <si>
    <t>-556.925375274019 88.3139470963974 -689.877687950831</t>
  </si>
  <si>
    <t>-535.129042087269 65.8073673514771 -838.935967836385</t>
  </si>
  <si>
    <t>-489.469122283712 51.4266417789327 -928.887926730409</t>
  </si>
  <si>
    <t>-537.208223781715 106.444554859915 -776.508338357858</t>
  </si>
  <si>
    <t>-517.380986689902 251.681246686231 -764.783608614606</t>
  </si>
  <si>
    <t>-534.269045694898 329.551283961062 -458.454781645374</t>
  </si>
  <si>
    <t>-353.416514960345 232.83104360414 -298.518645355772</t>
  </si>
  <si>
    <t>-552.338267175485 45.087065971121 -769.456230051244</t>
  </si>
  <si>
    <t>-480.938640119999 223.854224876155 -250.940381425582</t>
  </si>
  <si>
    <t>-468.813415877768 209.153478724302 204.355620785068</t>
  </si>
  <si>
    <t>-492.594200851063 166.876094808101 671.715890728581</t>
  </si>
  <si>
    <t>-339.623091917638 154.577339309012 757.693241049581</t>
  </si>
  <si>
    <t>-528.584365202862 35.7198225116062 -226.904226560095</t>
  </si>
  <si>
    <t>-435.26911589591 -13.038386405129 216.460765213271</t>
  </si>
  <si>
    <t>-594.089641974286 -96.9066109852538 650.608753072768</t>
  </si>
  <si>
    <t>-446.158107517672 -146.066833649884 732.113674921862</t>
  </si>
  <si>
    <t>9763-20170724T164349.787867000.bin</t>
  </si>
  <si>
    <t>-505.055528061526 129.484690531335 -239.201519068104</t>
  </si>
  <si>
    <t>-546.431413786909 125.469200444209 -352.954333277655</t>
  </si>
  <si>
    <t>-562.027167376604 115.00460999153 -472.695158678594</t>
  </si>
  <si>
    <t>-565.286019404213 103.09640228711 -581.517970977899</t>
  </si>
  <si>
    <t>-557.765823028575 88.9050872393055 -689.854932064107</t>
  </si>
  <si>
    <t>-536.120465250935 66.9389901143758 -839.015943447113</t>
  </si>
  <si>
    <t>-490.451096737371 52.8109478375946 -929.002991450359</t>
  </si>
  <si>
    <t>-538.227796845586 107.37026197517 -776.455601624265</t>
  </si>
  <si>
    <t>-518.638427632489 252.625719191482 -764.564549329217</t>
  </si>
  <si>
    <t>-535.72424666342 330.534582639805 -458.256762003218</t>
  </si>
  <si>
    <t>-354.847977565604 233.818743652669 -298.344654877048</t>
  </si>
  <si>
    <t>-553.168020458831 45.9464085336072 -769.578093434706</t>
  </si>
  <si>
    <t>-481.17787497635 223.467206051892 -250.873945882229</t>
  </si>
  <si>
    <t>-468.572214100926 208.819982987759 204.410926391142</t>
  </si>
  <si>
    <t>-492.622179070035 166.754461576272 671.786487514614</t>
  </si>
  <si>
    <t>-339.568945680516 155.140577638571 757.712892328903</t>
  </si>
  <si>
    <t>-528.813730442411 35.499324397837 -226.854541320565</t>
  </si>
  <si>
    <t>-435.144735683427 -13.1805872038162 216.444556760132</t>
  </si>
  <si>
    <t>-594.076768232008 -96.8192460116132 650.562307424509</t>
  </si>
  <si>
    <t>-446.234604184572 -146.210844834339 732.089356427583</t>
  </si>
  <si>
    <t>9763-20170724T164349.820957000.bin</t>
  </si>
  <si>
    <t>-505.236983912453 129.437245556621 -239.209292959316</t>
  </si>
  <si>
    <t>-546.659293797812 125.461531274869 -352.946672088584</t>
  </si>
  <si>
    <t>-562.334325942585 115.105202266358 -472.686392751734</t>
  </si>
  <si>
    <t>-565.676872697977 103.325298444557 -581.520775578421</t>
  </si>
  <si>
    <t>-558.250867210557 89.2941589972438 -689.885113315123</t>
  </si>
  <si>
    <t>-536.746211175426 67.5849852819756 -839.103927993175</t>
  </si>
  <si>
    <t>-491.07496627165 53.5660986907259 -929.107268401876</t>
  </si>
  <si>
    <t>-538.816866631956 107.913419766566 -776.476012868969</t>
  </si>
  <si>
    <t>-519.259264093332 253.171553539692 -764.484216082547</t>
  </si>
  <si>
    <t>-536.620947486071 330.92421675188 -458.15210205654</t>
  </si>
  <si>
    <t>-355.737349999338 234.231134715749 -298.234575310713</t>
  </si>
  <si>
    <t>-553.70583810043 46.4678224951736 -769.682359204961</t>
  </si>
  <si>
    <t>-481.365471983763 223.539276471762 -250.865240378699</t>
  </si>
  <si>
    <t>-468.598641706948 208.922638524242 204.416002662247</t>
  </si>
  <si>
    <t>-492.697309199545 167.049917088288 671.786497092807</t>
  </si>
  <si>
    <t>-339.719249046479 154.612377194635 757.731456927759</t>
  </si>
  <si>
    <t>-528.975598434616 35.3633689088969 -226.893094749155</t>
  </si>
  <si>
    <t>-435.228645799441 -13.177657994671 216.404653873465</t>
  </si>
  <si>
    <t>-594.089509183136 -96.8521577479979 650.566014968833</t>
  </si>
  <si>
    <t>-446.329702237213 -146.48027237034 732.098794712257</t>
  </si>
  <si>
    <t>9763-20170724T164349.885630800.bin</t>
  </si>
  <si>
    <t>-505.454724305647 128.999669879289 -239.228145455038</t>
  </si>
  <si>
    <t>-546.873617540713 125.075318146732 -352.968608379895</t>
  </si>
  <si>
    <t>-562.652026464193 114.875698347174 -472.708175876209</t>
  </si>
  <si>
    <t>-566.130987080194 103.284306235949 -581.55839978306</t>
  </si>
  <si>
    <t>-558.882568787351 89.49046511482 -689.965332926629</t>
  </si>
  <si>
    <t>-537.6644520983 68.1631563233228 -839.280224852849</t>
  </si>
  <si>
    <t>-492.013842680269 54.3351303316857 -929.323424795549</t>
  </si>
  <si>
    <t>-539.648847408322 108.338822949891 -776.551405921192</t>
  </si>
  <si>
    <t>-520.136864950015 253.589279587313 -764.43002614803</t>
  </si>
  <si>
    <t>-538.039068561154 331.201960162816 -458.093690532502</t>
  </si>
  <si>
    <t>-357.299169585325 234.224893399186 -298.185591613685</t>
  </si>
  <si>
    <t>-554.456747195081 46.860835009292 -769.874522483225</t>
  </si>
  <si>
    <t>-481.437090276239 223.038053103484 -250.879092281101</t>
  </si>
  <si>
    <t>-468.590699527021 208.544824292767 204.403872171752</t>
  </si>
  <si>
    <t>-492.655754836004 166.845124720113 671.789777242563</t>
  </si>
  <si>
    <t>-339.629332032446 154.957157055205 757.72629167839</t>
  </si>
  <si>
    <t>-529.264179033386 34.9626667625693 -226.924728362934</t>
  </si>
  <si>
    <t>-435.35006678004 -13.535445441103 216.342428501004</t>
  </si>
  <si>
    <t>-594.126868952043 -96.7896942451072 650.592446305141</t>
  </si>
  <si>
    <t>-446.337183494371 -146.358598110369 732.107116456572</t>
  </si>
  <si>
    <t>9763-20170724T164349.922231400.bin</t>
  </si>
  <si>
    <t>-505.543017408667 128.802667380727 -239.255439183374</t>
  </si>
  <si>
    <t>-547.012587047277 124.918419297529 -352.978738092348</t>
  </si>
  <si>
    <t>-562.857325898726 114.78559348151 -472.715297003056</t>
  </si>
  <si>
    <t>-566.40155089687 103.266667535946 -581.571240708715</t>
  </si>
  <si>
    <t>-559.222657787618 89.557874231571 -689.993459863229</t>
  </si>
  <si>
    <t>-538.104963062025 68.3626426232285 -839.341422548958</t>
  </si>
  <si>
    <t>-492.462093959942 54.6178027894362 -929.401288884853</t>
  </si>
  <si>
    <t>-540.060364774945 108.485760935031 -776.578000999493</t>
  </si>
  <si>
    <t>-520.58395539135 253.742430136557 -764.435125623787</t>
  </si>
  <si>
    <t>-538.816237574957 331.350953047184 -458.11708913103</t>
  </si>
  <si>
    <t>-358.164335545551 234.234703083732 -298.194209293049</t>
  </si>
  <si>
    <t>-554.837387173792 46.9960154824195 -769.941007438041</t>
  </si>
  <si>
    <t>-481.519841913049 222.830029065638 -250.890671393569</t>
  </si>
  <si>
    <t>-468.603935412495 208.42112140817 204.392998240529</t>
  </si>
  <si>
    <t>-492.660786292094 166.870219972546 671.79017278278</t>
  </si>
  <si>
    <t>-339.620648222584 155.140267259235 757.724062924969</t>
  </si>
  <si>
    <t>-529.369570603709 34.7981084175972 -226.944946882852</t>
  </si>
  <si>
    <t>-435.360454148907 -13.6589200328705 216.306524505995</t>
  </si>
  <si>
    <t>-594.148909823825 -96.7677959478153 650.601845469002</t>
  </si>
  <si>
    <t>-446.463640746453 -146.647820401666 732.115930664019</t>
  </si>
  <si>
    <t>9763-20170724T164349.989931400.bin</t>
  </si>
  <si>
    <t>-505.790820892861 128.374592278343 -239.293327568508</t>
  </si>
  <si>
    <t>-547.311038056405 124.543105020472 -352.999955732015</t>
  </si>
  <si>
    <t>-563.247799824705 114.536883167796 -472.73492364207</t>
  </si>
  <si>
    <t>-566.890707713118 103.165496629769 -581.603116820119</t>
  </si>
  <si>
    <t>-559.824664975982 89.63868660693 -690.05564751909</t>
  </si>
  <si>
    <t>-538.876827705444 68.7335992226741 -839.468292227594</t>
  </si>
  <si>
    <t>-493.165984648297 55.166670052876 -929.52082610046</t>
  </si>
  <si>
    <t>-540.795901306617 108.742488516377 -776.631020243971</t>
  </si>
  <si>
    <t>-521.444427558046 254.00678621303 -764.403081608711</t>
  </si>
  <si>
    <t>-540.198390627503 331.894451134844 -458.187381424123</t>
  </si>
  <si>
    <t>-359.670584587912 234.663905614868 -298.19371877421</t>
  </si>
  <si>
    <t>-555.495341166397 47.2244451206702 -770.084628133728</t>
  </si>
  <si>
    <t>-481.74298818154 222.263993563503 -250.912185883684</t>
  </si>
  <si>
    <t>-468.566298006746 207.974939481156 204.367875932296</t>
  </si>
  <si>
    <t>-492.522978968073 166.270451160076 671.798303869593</t>
  </si>
  <si>
    <t>-339.431341709333 155.163920097898 757.723359633231</t>
  </si>
  <si>
    <t>-529.662837836688 34.4330558206855 -227.018523159304</t>
  </si>
  <si>
    <t>-435.550717725528 -13.9277271772053 216.221562401109</t>
  </si>
  <si>
    <t>-594.193880196933 -96.7326724821404 650.614090250888</t>
  </si>
  <si>
    <t>-446.452329282911 -146.507938302561 732.090242519048</t>
  </si>
  <si>
    <t>9763-20170724T164350.024016400.bin</t>
  </si>
  <si>
    <t>-505.974740861709 128.279917825122 -239.307193251107</t>
  </si>
  <si>
    <t>-547.497979949072 124.475849889991 -353.013652100309</t>
  </si>
  <si>
    <t>-563.456100189695 114.524121428386 -472.750303626728</t>
  </si>
  <si>
    <t>-567.125115760941 103.215260134646 -581.623998163138</t>
  </si>
  <si>
    <t>-560.091339471692 89.7657316892258 -690.088284310547</t>
  </si>
  <si>
    <t>-539.194271825259 68.9844201203196 -839.525391063464</t>
  </si>
  <si>
    <t>-493.338902939273 55.4924836690064 -929.515651228724</t>
  </si>
  <si>
    <t>-541.116273823364 108.946557246303 -776.658529401968</t>
  </si>
  <si>
    <t>-521.817065794806 254.214126746978 -764.39182345371</t>
  </si>
  <si>
    <t>-540.743400521132 332.247182387162 -458.223865940721</t>
  </si>
  <si>
    <t>-360.235829127434 235.040504791554 -298.192935838501</t>
  </si>
  <si>
    <t>-555.764918801434 47.4124220155265 -770.149807157795</t>
  </si>
  <si>
    <t>-481.93900736819 222.299208133546 -250.922934971598</t>
  </si>
  <si>
    <t>-468.678722641418 208.068205553681 204.356393022501</t>
  </si>
  <si>
    <t>-492.639799099579 166.78726888165 671.792594633103</t>
  </si>
  <si>
    <t>-339.646603988871 154.640369332916 757.75216932314</t>
  </si>
  <si>
    <t>-529.830941029049 34.2982712021154 -227.05291641041</t>
  </si>
  <si>
    <t>-435.682748019453 -14.1032263056905 216.175173213275</t>
  </si>
  <si>
    <t>-594.221594396112 -96.8711354661881 650.619263563416</t>
  </si>
  <si>
    <t>-446.362585317454 -146.337756364512 732.070336921271</t>
  </si>
  <si>
    <t>9763-20170724T164350.087250900.bin</t>
  </si>
  <si>
    <t>-506.278587456231 128.077110592395 -239.34288012225</t>
  </si>
  <si>
    <t>-547.907035890493 124.304240199119 -353.011908119539</t>
  </si>
  <si>
    <t>-563.960027114214 114.429727193979 -472.742242371954</t>
  </si>
  <si>
    <t>-567.707873099044 103.215239704783 -581.623061482956</t>
  </si>
  <si>
    <t>-560.744393219376 89.8878496324104 -690.106933227514</t>
  </si>
  <si>
    <t>-539.934833917693 69.30814134118 -839.584146505489</t>
  </si>
  <si>
    <t>-493.508414838486 55.9219850076773 -929.296865979488</t>
  </si>
  <si>
    <t>-541.874076912407 109.197302478249 -776.67140440338</t>
  </si>
  <si>
    <t>-522.792864752207 254.490487347775 -764.347001285898</t>
  </si>
  <si>
    <t>-542.087171397012 332.850720930959 -458.285480093241</t>
  </si>
  <si>
    <t>-361.464041331884 235.73973559392 -298.326657420048</t>
  </si>
  <si>
    <t>-556.41074939364 47.6307312304704 -770.218951725169</t>
  </si>
  <si>
    <t>-482.288385202242 222.084649922472 -250.930780504807</t>
  </si>
  <si>
    <t>-468.822870925149 207.954892220025 204.345685703667</t>
  </si>
  <si>
    <t>-492.627591986595 166.720891353246 671.801638647684</t>
  </si>
  <si>
    <t>-339.632797014986 154.588921773255 757.760464599278</t>
  </si>
  <si>
    <t>-530.143297897557 34.046539356078 -227.071655637141</t>
  </si>
  <si>
    <t>-435.825416702461 -14.3923363675995 216.116228971717</t>
  </si>
  <si>
    <t>-594.270817422049 -96.9745856980936 650.617797017136</t>
  </si>
  <si>
    <t>-446.249619568156 -146.05198174201 732.009822951157</t>
  </si>
  <si>
    <t>9763-20170724T164350.120339000.bin</t>
  </si>
  <si>
    <t>-506.432875411535 127.907826797385 -239.346124258923</t>
  </si>
  <si>
    <t>-548.030568968735 124.138841417358 -353.026523876355</t>
  </si>
  <si>
    <t>-564.100637374937 114.294324648356 -472.757115865146</t>
  </si>
  <si>
    <t>-567.883548099972 103.120227570682 -581.640872456402</t>
  </si>
  <si>
    <t>-560.974123086663 89.8480231151552 -690.134954534595</t>
  </si>
  <si>
    <t>-540.258517255876 69.3617093358988 -839.638044666477</t>
  </si>
  <si>
    <t>-493.391047694383 56.0260863673851 -929.128789364952</t>
  </si>
  <si>
    <t>-542.188815700186 109.2182923211 -776.704415551028</t>
  </si>
  <si>
    <t>-523.190422949236 254.520522075783 -764.376484055613</t>
  </si>
  <si>
    <t>-542.678585357023 332.955628159475 -458.346549031574</t>
  </si>
  <si>
    <t>-361.967017994456 235.960253136338 -298.417586386697</t>
  </si>
  <si>
    <t>-556.660273643426 47.6342960933937 -770.270799429297</t>
  </si>
  <si>
    <t>-482.414905777982 221.85580761228 -250.943743074567</t>
  </si>
  <si>
    <t>-468.90351651784 207.773112407921 204.332842506136</t>
  </si>
  <si>
    <t>-492.599849669327 166.596429962151 671.803020370468</t>
  </si>
  <si>
    <t>-339.560451758683 154.933500543571 757.74722239756</t>
  </si>
  <si>
    <t>-530.258136568845 33.9363753256689 -227.110771476938</t>
  </si>
  <si>
    <t>-435.917380057605 -14.4135237866636 216.081900199901</t>
  </si>
  <si>
    <t>-594.287386262699 -96.8852084691186 650.619615150613</t>
  </si>
  <si>
    <t>-446.393409489229 -146.355026714862 732.005281233409</t>
  </si>
  <si>
    <t>9763-20170724T164350.187055600.bin</t>
  </si>
  <si>
    <t>-506.689662547995 127.813121575491 -239.387377414898</t>
  </si>
  <si>
    <t>-548.281089065998 124.014801251303 -353.069112604894</t>
  </si>
  <si>
    <t>-564.407882377069 114.149144387154 -472.790242082502</t>
  </si>
  <si>
    <t>-568.266728956505 102.964862867653 -581.670363575157</t>
  </si>
  <si>
    <t>-561.456972431038 89.6944308562522 -690.170902932509</t>
  </si>
  <si>
    <t>-540.902802595319 69.2254912445383 -839.698710616314</t>
  </si>
  <si>
    <t>-493.211719019771 55.9227630201581 -928.758170131466</t>
  </si>
  <si>
    <t>-542.844864216452 109.091932837214 -776.771631100412</t>
  </si>
  <si>
    <t>-524.312739056935 254.460743941061 -764.542538754011</t>
  </si>
  <si>
    <t>-543.673253178431 332.968676581168 -458.523240456085</t>
  </si>
  <si>
    <t>-362.578781227103 236.634971878621 -298.627353532362</t>
  </si>
  <si>
    <t>-557.149897602653 47.4728066871724 -770.30289724614</t>
  </si>
  <si>
    <t>-482.796765518959 221.723264232177 -250.97408183753</t>
  </si>
  <si>
    <t>-469.128643651402 207.706881944596 204.299928975711</t>
  </si>
  <si>
    <t>-492.613330745513 166.634042937611 671.80736119114</t>
  </si>
  <si>
    <t>-339.567754477991 154.996733757732 757.744257737644</t>
  </si>
  <si>
    <t>-530.402628515049 33.9159509938094 -227.176944307524</t>
  </si>
  <si>
    <t>-436.064003100309 -14.2897375310456 216.03195250312</t>
  </si>
  <si>
    <t>-594.292205501473 -96.4939814468268 650.626528744147</t>
  </si>
  <si>
    <t>-446.621323256734 -146.601844190594 732.026925877631</t>
  </si>
  <si>
    <t>9763-20170724T164350.219140900.bin</t>
  </si>
  <si>
    <t>-506.825182608094 127.552823649778 -239.391560206388</t>
  </si>
  <si>
    <t>-548.47294649744 123.749012858142 -353.052499077261</t>
  </si>
  <si>
    <t>-564.614748925077 113.872558643935 -472.77088561346</t>
  </si>
  <si>
    <t>-568.468676268072 102.680577375101 -581.650257941607</t>
  </si>
  <si>
    <t>-561.634850419789 89.4068303180311 -690.148869427678</t>
  </si>
  <si>
    <t>-541.027298277033 68.940276237243 -839.669559251906</t>
  </si>
  <si>
    <t>-492.954499891993 55.6814762826108 -928.530223092181</t>
  </si>
  <si>
    <t>-543.038171208571 108.81562218082 -776.750433709316</t>
  </si>
  <si>
    <t>-524.792605143727 254.220107867849 -764.557284020854</t>
  </si>
  <si>
    <t>-544.195877912908 332.837268342151 -458.568603781505</t>
  </si>
  <si>
    <t>-362.745451146535 236.997792461952 -298.779570118206</t>
  </si>
  <si>
    <t>-557.252902995468 47.1765891411002 -770.272273310901</t>
  </si>
  <si>
    <t>-483.01536771259 221.517030340402 -250.966295957189</t>
  </si>
  <si>
    <t>-469.230564816208 207.540742718373 204.305408008558</t>
  </si>
  <si>
    <t>-492.589939468175 166.51870087795 671.819233360972</t>
  </si>
  <si>
    <t>-339.515766212925 155.147818261962 757.740696276823</t>
  </si>
  <si>
    <t>-530.501985692731 33.5811009524462 -227.143672028143</t>
  </si>
  <si>
    <t>-436.083647354453 -14.615727251943 216.049210821993</t>
  </si>
  <si>
    <t>-594.331501628289 -96.9261796552792 650.629075355987</t>
  </si>
  <si>
    <t>-446.330278941992 -146.110749580542 731.992629430616</t>
  </si>
  <si>
    <t>9763-20170724T164350.291349500.bin</t>
  </si>
  <si>
    <t>-507.166688379639 127.696720634212 -239.371410599911</t>
  </si>
  <si>
    <t>-548.849486777588 123.844412844049 -353.017967605925</t>
  </si>
  <si>
    <t>-564.939690130125 113.849816151727 -472.733318124629</t>
  </si>
  <si>
    <t>-568.709421064027 102.529359281767 -581.602355074944</t>
  </si>
  <si>
    <t>-561.753994513021 89.1097742864947 -690.075386415976</t>
  </si>
  <si>
    <t>-540.939388121813 68.4264406780027 -839.537539488639</t>
  </si>
  <si>
    <t>-492.318179575585 55.1429131242056 -928.095548217046</t>
  </si>
  <si>
    <t>-543.103359842215 108.406935537061 -776.690161718865</t>
  </si>
  <si>
    <t>-525.374255082953 253.887054079288 -764.654920108708</t>
  </si>
  <si>
    <t>-545.021345186596 333.194901824036 -458.860052486648</t>
  </si>
  <si>
    <t>-362.983318718438 238.282409384292 -299.185901064315</t>
  </si>
  <si>
    <t>-557.195172462093 46.7494043942029 -770.120176993839</t>
  </si>
  <si>
    <t>-483.471243361204 221.629193174533 -250.961535174358</t>
  </si>
  <si>
    <t>-469.488101232501 207.704915588467 204.305695172675</t>
  </si>
  <si>
    <t>-492.623471549833 166.590436499116 671.8411046182</t>
  </si>
  <si>
    <t>-339.588120967155 154.647577237988 757.754140252487</t>
  </si>
  <si>
    <t>-530.672295369286 33.7547356384097 -227.12564860696</t>
  </si>
  <si>
    <t>-436.120488549327 -14.3776438442384 216.045724543292</t>
  </si>
  <si>
    <t>-594.343720359984 -96.6416997028994 650.614020117057</t>
  </si>
  <si>
    <t>-446.614908325616 -146.636075525976 731.978928376001</t>
  </si>
  <si>
    <t>9763-20170724T164350.324433100.bin</t>
  </si>
  <si>
    <t>-507.311095355209 127.692756446436 -239.372621307978</t>
  </si>
  <si>
    <t>-548.990069524871 123.848511858068 -353.02073059414</t>
  </si>
  <si>
    <t>-565.016235180434 113.829105659416 -472.742600340266</t>
  </si>
  <si>
    <t>-568.703486715318 102.472248450203 -581.610698364805</t>
  </si>
  <si>
    <t>-561.641856964544 89.0019259427405 -690.070685087065</t>
  </si>
  <si>
    <t>-540.656053439495 68.2330572944624 -839.497023236213</t>
  </si>
  <si>
    <t>-491.830206114953 54.9249029472087 -927.938667110468</t>
  </si>
  <si>
    <t>-542.881095194951 108.247203366437 -776.673135803665</t>
  </si>
  <si>
    <t>-525.142102960543 253.714385632973 -764.653807434029</t>
  </si>
  <si>
    <t>-545.246463898466 333.618530518555 -459.044089194082</t>
  </si>
  <si>
    <t>-363.09760473097 238.832545670856 -299.421128449895</t>
  </si>
  <si>
    <t>-557.002099132629 46.5980251616526 -770.087673236219</t>
  </si>
  <si>
    <t>-483.656052623185 221.64420862506 -250.95898729459</t>
  </si>
  <si>
    <t>-469.619141828707 207.738820099977 204.30712492994</t>
  </si>
  <si>
    <t>-492.652152834228 166.710166322176 671.847889351824</t>
  </si>
  <si>
    <t>-339.617838406579 154.669847642078 757.749218922093</t>
  </si>
  <si>
    <t>-530.798015042149 33.7352384707076 -227.140695210034</t>
  </si>
  <si>
    <t>-436.243092256053 -14.4170354092099 216.027878016631</t>
  </si>
  <si>
    <t>-594.360308639991 -96.6270442252607 650.613035441188</t>
  </si>
  <si>
    <t>-446.599636716593 -146.548277062053 731.965255089634</t>
  </si>
  <si>
    <t>9763-20170724T164350.389124200.bin</t>
  </si>
  <si>
    <t>-507.641945849333 127.4387879873 -239.397074231779</t>
  </si>
  <si>
    <t>-549.303745860255 123.639898714344 -353.053060997445</t>
  </si>
  <si>
    <t>-565.262915259264 113.576108185833 -472.780220217659</t>
  </si>
  <si>
    <t>-568.869544469021 102.139407110842 -581.642588438567</t>
  </si>
  <si>
    <t>-561.708344113484 88.5485572171192 -690.08087509422</t>
  </si>
  <si>
    <t>-540.565737899925 67.5687694302773 -839.455738505065</t>
  </si>
  <si>
    <t>-491.50706813831 53.9897842912769 -927.727119485742</t>
  </si>
  <si>
    <t>-542.785265331288 107.656471014154 -776.678557713153</t>
  </si>
  <si>
    <t>-524.643510705707 253.097825288025 -764.717146283257</t>
  </si>
  <si>
    <t>-545.781176841312 334.016892032563 -459.444192402104</t>
  </si>
  <si>
    <t>-364.120657037295 238.038301586018 -299.977630098132</t>
  </si>
  <si>
    <t>-557.056079812875 46.0468555783454 -770.045451897054</t>
  </si>
  <si>
    <t>-483.917792399831 221.578289575768 -250.979754967682</t>
  </si>
  <si>
    <t>-469.826638812591 207.670256079892 204.284709720542</t>
  </si>
  <si>
    <t>-492.694200231522 166.92039599132 671.839048995483</t>
  </si>
  <si>
    <t>-339.725337277544 154.176170831022 757.755483445151</t>
  </si>
  <si>
    <t>-531.199691482508 33.2195919229623 -227.186586087732</t>
  </si>
  <si>
    <t>-436.571591411589 -14.8550600704628 215.974847236252</t>
  </si>
  <si>
    <t>-594.441725571066 -97.2123078485137 650.660865942901</t>
  </si>
  <si>
    <t>-446.208018315299 -145.822717778076 731.946259856976</t>
  </si>
  <si>
    <t>9763-20170724T164350.420207700.bin</t>
  </si>
  <si>
    <t>-507.713502775966 127.331308887914 -239.41522556427</t>
  </si>
  <si>
    <t>-549.393723468348 123.587132809263 -353.066222911554</t>
  </si>
  <si>
    <t>-565.349163673992 113.508365432671 -472.79253591533</t>
  </si>
  <si>
    <t>-568.942588853807 102.030755087815 -581.651312303271</t>
  </si>
  <si>
    <t>-561.757970078848 88.3724674392588 -690.079485184093</t>
  </si>
  <si>
    <t>-540.572541327625 67.2724651520331 -839.43128415425</t>
  </si>
  <si>
    <t>-491.498326368523 53.3785661189395 -927.645059761138</t>
  </si>
  <si>
    <t>-542.785355541586 107.405431216538 -776.682811524222</t>
  </si>
  <si>
    <t>-524.461040549704 252.830042250184 -764.744964553443</t>
  </si>
  <si>
    <t>-545.890647708472 334.138455265256 -459.596061294048</t>
  </si>
  <si>
    <t>-364.597799157393 237.802767989083 -299.926372921681</t>
  </si>
  <si>
    <t>-557.10749688296 45.8117038490351 -770.012745365978</t>
  </si>
  <si>
    <t>-483.904395441958 221.408946494816 -250.986718813233</t>
  </si>
  <si>
    <t>-469.850269793587 207.493684366992 204.278544193424</t>
  </si>
  <si>
    <t>-492.609262223412 166.603187659868 671.837570658046</t>
  </si>
  <si>
    <t>-339.597933759415 154.296415188357 757.742084525603</t>
  </si>
  <si>
    <t>-531.367426982636 33.2438952292635 -227.203982895942</t>
  </si>
  <si>
    <t>-436.695561575363 -14.9107957141153 215.939303549902</t>
  </si>
  <si>
    <t>-594.452999899696 -96.9341668885018 650.689047129435</t>
  </si>
  <si>
    <t>-446.380515604703 -146.040225632647 731.970307845046</t>
  </si>
  <si>
    <t>9763-20170724T164350.485885500.bin</t>
  </si>
  <si>
    <t>-507.768669350215 127.532237114144 -239.398776204431</t>
  </si>
  <si>
    <t>-549.374608353219 123.809865271826 -353.077704202819</t>
  </si>
  <si>
    <t>-565.281277822293 113.704380729345 -472.808368043338</t>
  </si>
  <si>
    <t>-568.842475097425 102.180262522731 -581.663103216393</t>
  </si>
  <si>
    <t>-561.638096883764 88.451678470777 -690.081086863769</t>
  </si>
  <si>
    <t>-540.438627883397 67.2280629973267 -839.413375583362</t>
  </si>
  <si>
    <t>-491.474859517459 52.4146961521063 -927.538899827272</t>
  </si>
  <si>
    <t>-542.614788178795 107.403837803555 -776.69117629507</t>
  </si>
  <si>
    <t>-524.298273973854 252.812153880094 -764.652226036963</t>
  </si>
  <si>
    <t>-546.122012030895 334.203687965312 -459.553403702273</t>
  </si>
  <si>
    <t>-365.153578954036 237.828995812317 -299.539705407589</t>
  </si>
  <si>
    <t>-557.022776439164 45.8339461006243 -769.98594776327</t>
  </si>
  <si>
    <t>-483.893954592404 221.642505808027 -250.993151883952</t>
  </si>
  <si>
    <t>-469.864108901439 207.724946704338 204.272832327102</t>
  </si>
  <si>
    <t>-492.69440937354 167.070417735091 671.832614320334</t>
  </si>
  <si>
    <t>-339.745937768656 154.105615264507 757.752246179586</t>
  </si>
  <si>
    <t>-531.419062309602 33.5165298167006 -227.219219639882</t>
  </si>
  <si>
    <t>-436.834541134672 -14.8586299861583 215.918755580764</t>
  </si>
  <si>
    <t>-594.509220325698 -96.6936970658039 650.754921925993</t>
  </si>
  <si>
    <t>-446.681266389463 -146.572472256356 732.010789500041</t>
  </si>
  <si>
    <t>9763-20170724T164350.523632100.bin</t>
  </si>
  <si>
    <t>-507.685552168797 127.438349987604 -239.401282340833</t>
  </si>
  <si>
    <t>-549.325364208467 123.731141809803 -353.068217333828</t>
  </si>
  <si>
    <t>-565.214437605504 113.664375421309 -472.804473198513</t>
  </si>
  <si>
    <t>-568.738640084947 102.182833136868 -581.664961506054</t>
  </si>
  <si>
    <t>-561.476625410836 88.5033532584294 -690.085302587297</t>
  </si>
  <si>
    <t>-540.176475160014 67.3537967970132 -839.413875897413</t>
  </si>
  <si>
    <t>-491.292319439648 52.0853704949729 -927.505838106352</t>
  </si>
  <si>
    <t>-542.390609903279 107.497471026509 -776.672338498491</t>
  </si>
  <si>
    <t>-524.12953793654 252.898663109171 -764.461933952477</t>
  </si>
  <si>
    <t>-546.244216770734 334.054229627974 -459.321038169089</t>
  </si>
  <si>
    <t>-365.232911496662 237.979608445004 -299.175410634488</t>
  </si>
  <si>
    <t>-556.811643058486 45.9261749277603 -770.008894542328</t>
  </si>
  <si>
    <t>-483.845011874476 221.544203069171 -250.971691480081</t>
  </si>
  <si>
    <t>-469.840843902715 207.614140008401 204.294701045767</t>
  </si>
  <si>
    <t>-492.64172917468 166.86719497811 671.837277196574</t>
  </si>
  <si>
    <t>-339.62974007177 154.532764600512 757.736612838094</t>
  </si>
  <si>
    <t>-531.350387610151 33.3475946016237 -227.205582559807</t>
  </si>
  <si>
    <t>-436.741099888469 -14.9803150206767 215.932206492553</t>
  </si>
  <si>
    <t>-594.532422979581 -97.0313385861359 650.739141938041</t>
  </si>
  <si>
    <t>-446.608480522113 -146.617471680487 731.999356406912</t>
  </si>
  <si>
    <t>9763-20170724T164350.588537200.bin</t>
  </si>
  <si>
    <t>-507.551036353633 127.572012757127 -239.382854529545</t>
  </si>
  <si>
    <t>-549.122901900653 123.753118175877 -353.07106329503</t>
  </si>
  <si>
    <t>-564.883228009773 113.652674823587 -472.821381178576</t>
  </si>
  <si>
    <t>-568.269328762654 102.165828218801 -581.685710344444</t>
  </si>
  <si>
    <t>-560.849953841462 88.5018725473081 -690.097389404951</t>
  </si>
  <si>
    <t>-539.313279650794 67.3914613910854 -839.397551274036</t>
  </si>
  <si>
    <t>-490.628971623323 51.3340376267783 -927.459848068195</t>
  </si>
  <si>
    <t>-541.612298730435 107.515538559862 -776.646582521749</t>
  </si>
  <si>
    <t>-523.495997608197 252.917779075959 -764.247017911678</t>
  </si>
  <si>
    <t>-546.083918180133 333.827527636433 -459.075643155094</t>
  </si>
  <si>
    <t>-365.070392722687 238.28194442777 -298.616295764247</t>
  </si>
  <si>
    <t>-556.072903818262 45.9487340376704 -770.027194683443</t>
  </si>
  <si>
    <t>-483.824195263517 221.719858797683 -250.966077247073</t>
  </si>
  <si>
    <t>-469.87567088759 207.798659993048 204.302287570192</t>
  </si>
  <si>
    <t>-492.700191832451 167.178794655421 671.838272792171</t>
  </si>
  <si>
    <t>-339.709155372849 154.610772726228 757.741015254225</t>
  </si>
  <si>
    <t>-531.111703244509 33.4846460872759 -227.186723222479</t>
  </si>
  <si>
    <t>-436.544567920699 -14.7040021939335 215.975224740012</t>
  </si>
  <si>
    <t>-594.495434210682 -96.7726579687509 650.66317413582</t>
  </si>
  <si>
    <t>-446.511645878295 -146.152838376653 731.939804827817</t>
  </si>
  <si>
    <t>9763-20170724T164350.622627500.bin</t>
  </si>
  <si>
    <t>-507.410814174623 127.702308356257 -239.412316745839</t>
  </si>
  <si>
    <t>-548.978429214819 123.860421045833 -353.101212361755</t>
  </si>
  <si>
    <t>-564.70381187514 113.754330790082 -472.855912293927</t>
  </si>
  <si>
    <t>-568.046617091644 102.265803368432 -581.721224556058</t>
  </si>
  <si>
    <t>-560.573365412792 88.6011964703301 -690.129149972818</t>
  </si>
  <si>
    <t>-538.951657031835 67.4892421269894 -839.416850648635</t>
  </si>
  <si>
    <t>-490.331741332318 51.2041016259169 -927.473048883587</t>
  </si>
  <si>
    <t>-541.275596581548 107.611670133206 -776.665703940617</t>
  </si>
  <si>
    <t>-523.094545424935 252.998787115231 -764.20535372386</t>
  </si>
  <si>
    <t>-545.890486985329 334.11294910524 -459.103787264912</t>
  </si>
  <si>
    <t>-364.992458566201 238.511524305263 -298.547527216816</t>
  </si>
  <si>
    <t>-555.761611174711 46.0495959407443 -770.057761824897</t>
  </si>
  <si>
    <t>-483.75486584355 221.84930734277 -250.971293369915</t>
  </si>
  <si>
    <t>-469.870656122997 207.900960600282 204.298148784477</t>
  </si>
  <si>
    <t>-492.709526447222 167.243409793232 671.838533560529</t>
  </si>
  <si>
    <t>-339.703760282813 154.81132140252 757.734961087847</t>
  </si>
  <si>
    <t>-530.916082128 33.6402717735144 -227.224543183308</t>
  </si>
  <si>
    <t>-436.471311480154 -14.4630342759079 215.972769296737</t>
  </si>
  <si>
    <t>-594.472849190807 -96.5175579322401 650.632454259758</t>
  </si>
  <si>
    <t>-446.610891384089 -146.216104229498 731.936932667886</t>
  </si>
  <si>
    <t>9763-20170724T164350.691831400.bin</t>
  </si>
  <si>
    <t>-507.181889325282 127.904801406926 -239.409620061184</t>
  </si>
  <si>
    <t>-548.660136437021 124.040188655927 -353.130529295178</t>
  </si>
  <si>
    <t>-564.275679624801 113.829163824417 -472.890537584508</t>
  </si>
  <si>
    <t>-567.512669863573 102.21029881622 -581.745369151891</t>
  </si>
  <si>
    <t>-559.928293941082 88.3792777787621 -690.124524597683</t>
  </si>
  <si>
    <t>-538.148221594382 66.9975803310406 -839.350572023876</t>
  </si>
  <si>
    <t>-489.633598363322 50.3951176622574 -927.405607762224</t>
  </si>
  <si>
    <t>-540.514744367452 107.228196740963 -776.670343911853</t>
  </si>
  <si>
    <t>-522.270093867627 252.622478013191 -764.333716800729</t>
  </si>
  <si>
    <t>-545.293651101141 333.867382278995 -459.283958469999</t>
  </si>
  <si>
    <t>-364.820434518008 238.060977781665 -298.372096612115</t>
  </si>
  <si>
    <t>-555.055660972474 45.6884820588616 -769.974891511691</t>
  </si>
  <si>
    <t>-483.473371615545 221.96513354126 -250.968806585221</t>
  </si>
  <si>
    <t>-469.735742973395 207.954886006188 204.303236632</t>
  </si>
  <si>
    <t>-492.645260070842 167.018222622185 671.837150001964</t>
  </si>
  <si>
    <t>-339.61373331599 154.813617758281 757.720163507776</t>
  </si>
  <si>
    <t>-530.729322732396 33.8256109944734 -227.220198732687</t>
  </si>
  <si>
    <t>-436.408973633604 -14.4519558211131 215.984737985112</t>
  </si>
  <si>
    <t>-594.484828564046 -96.7992143761115 650.611311039153</t>
  </si>
  <si>
    <t>-446.589502936758 -146.347701845945 731.946591306389</t>
  </si>
  <si>
    <t>9763-20170724T164350.718903600.bin</t>
  </si>
  <si>
    <t>-507.065481370108 127.930895223766 -239.428314393979</t>
  </si>
  <si>
    <t>-548.560578125743 124.094609755661 -353.144011510708</t>
  </si>
  <si>
    <t>-564.173995364286 113.826775148306 -472.899408342728</t>
  </si>
  <si>
    <t>-567.400477030994 102.122974525526 -581.745447132719</t>
  </si>
  <si>
    <t>-559.796940277393 88.1745803847635 -690.10811157346</t>
  </si>
  <si>
    <t>-537.981342062433 66.5968330988215 -839.300924330866</t>
  </si>
  <si>
    <t>-489.531619473553 49.9184807686377 -927.377253326932</t>
  </si>
  <si>
    <t>-540.351568994042 106.907311401934 -776.671999760727</t>
  </si>
  <si>
    <t>-522.105874617419 252.313845119128 -764.443472016639</t>
  </si>
  <si>
    <t>-545.243617723513 333.631636522785 -459.421681830606</t>
  </si>
  <si>
    <t>-364.979821786734 237.770924286729 -298.307641568839</t>
  </si>
  <si>
    <t>-554.916519524504 45.3813436598769 -769.903345359208</t>
  </si>
  <si>
    <t>-483.344753910824 222.052142541581 -250.969804554928</t>
  </si>
  <si>
    <t>-469.639367091073 207.947639986077 204.300229182886</t>
  </si>
  <si>
    <t>-492.636062911607 167.007746184469 671.832113137477</t>
  </si>
  <si>
    <t>-339.597914715621 154.885377974923 757.715119410805</t>
  </si>
  <si>
    <t>-530.652286399618 33.8199919710095 -227.226479925673</t>
  </si>
  <si>
    <t>-436.430649490659 -14.5334594206317 215.991089420134</t>
  </si>
  <si>
    <t>-594.500657358035 -96.9047644485849 650.623543342906</t>
  </si>
  <si>
    <t>-446.487917476357 -146.105407150822 731.956484787975</t>
  </si>
  <si>
    <t>9763-20170724T164350.787640300.bin</t>
  </si>
  <si>
    <t>-506.943278251992 128.106077992625 -239.378519568257</t>
  </si>
  <si>
    <t>-548.384693315126 124.266960869645 -353.113556325733</t>
  </si>
  <si>
    <t>-563.919721331962 113.83793625928 -472.865313644694</t>
  </si>
  <si>
    <t>-567.06580965022 101.923652428224 -581.690696044235</t>
  </si>
  <si>
    <t>-559.373327678314 87.6999637745971 -690.011383021065</t>
  </si>
  <si>
    <t>-537.426455199749 65.6730851794267 -839.119256055328</t>
  </si>
  <si>
    <t>-489.107078190743 48.9440504730019 -927.257725909538</t>
  </si>
  <si>
    <t>-539.805408952516 106.161897607965 -776.606053657116</t>
  </si>
  <si>
    <t>-521.42732703373 251.565144083971 -764.608839844045</t>
  </si>
  <si>
    <t>-544.838942245214 333.466554511405 -459.764124931009</t>
  </si>
  <si>
    <t>-365.062273448995 237.40589012587 -298.225472866705</t>
  </si>
  <si>
    <t>-554.46910366651 44.6766911706688 -769.68136224568</t>
  </si>
  <si>
    <t>-483.103632588093 222.152229329899 -250.948661807205</t>
  </si>
  <si>
    <t>-469.552361380322 207.946550403732 204.32293472078</t>
  </si>
  <si>
    <t>-492.562255259995 166.730291715775 671.829679062994</t>
  </si>
  <si>
    <t>-339.494676841085 154.93541820213 757.705838455284</t>
  </si>
  <si>
    <t>-530.625423855528 34.1092739338211 -227.184019761785</t>
  </si>
  <si>
    <t>-436.446015670639 -14.4123272123784 216.024223965369</t>
  </si>
  <si>
    <t>-594.50562182021 -96.8404376595831 650.632547125844</t>
  </si>
  <si>
    <t>-446.645980565558 -146.467831150122 731.984539763213</t>
  </si>
  <si>
    <t>9763-20170724T164350.822733800.bin</t>
  </si>
  <si>
    <t>-506.940105348433 128.442537069575 -239.393747381169</t>
  </si>
  <si>
    <t>-548.363789355854 124.607787911723 -353.135436123551</t>
  </si>
  <si>
    <t>-563.828976169288 114.107707085217 -472.890098489125</t>
  </si>
  <si>
    <t>-566.890775960713 102.098554534766 -581.707557502844</t>
  </si>
  <si>
    <t>-559.093718461474 87.749951799121 -690.004290766525</t>
  </si>
  <si>
    <t>-536.981654601176 65.5186030618537 -839.057352002522</t>
  </si>
  <si>
    <t>-488.74380392535 48.8528740986443 -927.252310245619</t>
  </si>
  <si>
    <t>-539.415382875281 106.089940862746 -776.599598338173</t>
  </si>
  <si>
    <t>-520.986641919885 251.497504188147 -764.718010720184</t>
  </si>
  <si>
    <t>-544.640292455922 333.812345537813 -460.003465833111</t>
  </si>
  <si>
    <t>-365.106296465837 237.624300702472 -298.27080807143</t>
  </si>
  <si>
    <t>-554.115694375583 44.6206289725081 -769.612313981166</t>
  </si>
  <si>
    <t>-483.098965559775 222.556670857183 -250.949290245408</t>
  </si>
  <si>
    <t>-469.609638476777 208.252419283415 204.321195715716</t>
  </si>
  <si>
    <t>-492.622770148187 167.030537435 671.821279596347</t>
  </si>
  <si>
    <t>-339.627009735655 154.465116641036 757.71614189725</t>
  </si>
  <si>
    <t>-530.644155455342 34.4200102192924 -227.196449143647</t>
  </si>
  <si>
    <t>-436.509312451522 -14.1580270350316 216.015157165343</t>
  </si>
  <si>
    <t>-594.494782707173 -96.5953978217323 650.632280202658</t>
  </si>
  <si>
    <t>-446.683542547925 -146.358386001899 731.989488076791</t>
  </si>
  <si>
    <t>9763-20170724T164350.887962700.bin</t>
  </si>
  <si>
    <t>-506.902880316108 128.765030008328 -239.40670849606</t>
  </si>
  <si>
    <t>-548.304847556906 124.954958521211 -353.15708938201</t>
  </si>
  <si>
    <t>-563.642442553073 114.342598920528 -472.918112033375</t>
  </si>
  <si>
    <t>-566.545451323047 102.177746248683 -581.722779057575</t>
  </si>
  <si>
    <t>-558.547385536737 87.6208133961167 -689.977098490552</t>
  </si>
  <si>
    <t>-536.114366648534 65.0471505789894 -838.930630237641</t>
  </si>
  <si>
    <t>-488.175594326866 48.7177353266846 -927.351338143991</t>
  </si>
  <si>
    <t>-538.653459020464 105.755478717887 -776.566374257003</t>
  </si>
  <si>
    <t>-520.058510237089 251.154419249795 -764.855328415612</t>
  </si>
  <si>
    <t>-544.454972239676 334.654479909301 -460.522034540987</t>
  </si>
  <si>
    <t>-365.415444396129 238.197382274144 -298.401919535372</t>
  </si>
  <si>
    <t>-553.427136074298 44.3150974829012 -769.480098565486</t>
  </si>
  <si>
    <t>-482.988504798774 222.779611973936 -250.942464589668</t>
  </si>
  <si>
    <t>-469.627399344762 208.311749695555 204.326538086741</t>
  </si>
  <si>
    <t>-492.542486693111 166.749718066029 671.814386863704</t>
  </si>
  <si>
    <t>-339.481270218492 154.857286753077 757.688325912498</t>
  </si>
  <si>
    <t>-530.676231137416 34.7150003235446 -227.187012691845</t>
  </si>
  <si>
    <t>-436.619965784045 -14.122057263357 216.012769594556</t>
  </si>
  <si>
    <t>-594.51051579259 -96.8443586249119 650.647719954173</t>
  </si>
  <si>
    <t>-446.561259704099 -146.219447208906 731.990341726389</t>
  </si>
  <si>
    <t>9763-20170724T164350.926065400.bin</t>
  </si>
  <si>
    <t>-506.875644317147 129.129434763251 -239.419060827092</t>
  </si>
  <si>
    <t>-548.216922810191 125.313453199921 -353.191394669789</t>
  </si>
  <si>
    <t>-563.481948518995 114.633906064885 -472.955756499157</t>
  </si>
  <si>
    <t>-566.314460468053 102.386643505785 -581.752933274521</t>
  </si>
  <si>
    <t>-558.241528730722 87.7278683229058 -689.987833527994</t>
  </si>
  <si>
    <t>-535.700313030505 64.9945510662341 -838.900928640326</t>
  </si>
  <si>
    <t>-488.009749700758 48.9106110774683 -927.500517304229</t>
  </si>
  <si>
    <t>-538.295609116946 105.772098335626 -776.584171387427</t>
  </si>
  <si>
    <t>-519.739818493538 251.193209470187 -764.981650633447</t>
  </si>
  <si>
    <t>-544.546136484491 335.162870781815 -460.81081047072</t>
  </si>
  <si>
    <t>-365.703101265525 238.623917353729 -298.522751376387</t>
  </si>
  <si>
    <t>-553.052580790089 44.3345533855484 -769.438802076565</t>
  </si>
  <si>
    <t>-482.939067459594 223.185612871096 -250.961556481085</t>
  </si>
  <si>
    <t>-469.681124645417 208.62103029999 204.307303051412</t>
  </si>
  <si>
    <t>-492.608692753798 167.110831664424 671.797415289919</t>
  </si>
  <si>
    <t>-339.617476427286 154.5139168837 757.695652651484</t>
  </si>
  <si>
    <t>-530.660240163843 35.09694099895 -227.2298232929</t>
  </si>
  <si>
    <t>-436.710127873616 -13.819726752735 215.983736751437</t>
  </si>
  <si>
    <t>-594.493108877671 -96.5308798877641 650.651493850051</t>
  </si>
  <si>
    <t>-446.883216521398 -146.85403128447 732.029625952346</t>
  </si>
  <si>
    <t>9763-20170724T164350.986727500.bin</t>
  </si>
  <si>
    <t>-506.763038809702 129.257471994015 -239.435345891368</t>
  </si>
  <si>
    <t>-548.024477769338 125.480932408399 -353.238006792995</t>
  </si>
  <si>
    <t>-563.150635046198 114.690417682876 -473.010010218018</t>
  </si>
  <si>
    <t>-565.832718383049 102.289031243186 -581.793408193119</t>
  </si>
  <si>
    <t>-557.585001203487 87.4274518999271 -689.987556848667</t>
  </si>
  <si>
    <t>-534.776699890923 64.3663378629549 -838.809491214383</t>
  </si>
  <si>
    <t>-487.620652065873 48.8292716075397 -927.792044699169</t>
  </si>
  <si>
    <t>-537.528368740714 105.290721845365 -776.595808133198</t>
  </si>
  <si>
    <t>-519.250468155786 250.754363907875 -765.224579282474</t>
  </si>
  <si>
    <t>-544.729489203507 335.505896776988 -461.326305104587</t>
  </si>
  <si>
    <t>-366.040011728208 238.99548031538 -298.852137951392</t>
  </si>
  <si>
    <t>-552.208970340015 43.8495940864273 -769.324974063159</t>
  </si>
  <si>
    <t>-482.758550511637 223.31166133279 -250.947849072626</t>
  </si>
  <si>
    <t>-469.67230250131 208.526789325579 204.319008816054</t>
  </si>
  <si>
    <t>-492.487716645433 166.626851384859 671.797618787384</t>
  </si>
  <si>
    <t>-339.418788547693 154.838290095348 757.672265384856</t>
  </si>
  <si>
    <t>-530.627260779731 35.1632451617039 -227.277923515167</t>
  </si>
  <si>
    <t>-436.881178491966 -13.7782247282482 215.975993687475</t>
  </si>
  <si>
    <t>-594.517929535184 -96.5815936719808 650.707022892437</t>
  </si>
  <si>
    <t>-446.794347611015 -146.575371615243 732.082003619026</t>
  </si>
  <si>
    <t>9763-20170724T164351.020918000.bin</t>
  </si>
  <si>
    <t>-506.718021994294 129.407644182648 -239.447488160363</t>
  </si>
  <si>
    <t>-547.963005502704 125.627996140173 -353.255963052365</t>
  </si>
  <si>
    <t>-563.061877758837 114.819868291334 -473.029956082347</t>
  </si>
  <si>
    <t>-565.714638440693 102.398940621619 -581.81194672061</t>
  </si>
  <si>
    <t>-557.432815499919 87.5155881778135 -690.000402166301</t>
  </si>
  <si>
    <t>-534.572463203175 64.4233711340016 -838.809589558438</t>
  </si>
  <si>
    <t>-487.660829298801 49.1515863523172 -927.966997039216</t>
  </si>
  <si>
    <t>-537.372282731672 105.366466150713 -776.610319939169</t>
  </si>
  <si>
    <t>-519.180926088742 250.85304298549 -765.284766293628</t>
  </si>
  <si>
    <t>-545.042160126811 335.815578115115 -461.477498778292</t>
  </si>
  <si>
    <t>-366.367559924356 239.382155728784 -298.941279350054</t>
  </si>
  <si>
    <t>-552.002688043492 43.9154266848958 -769.321815443239</t>
  </si>
  <si>
    <t>-482.718495212103 223.548976491624 -250.937081460262</t>
  </si>
  <si>
    <t>-469.712024640798 208.68250526584 204.329302276965</t>
  </si>
  <si>
    <t>-492.573288079493 167.003900767808 671.791747892649</t>
  </si>
  <si>
    <t>-339.520584350239 155.019946748078 757.668207214558</t>
  </si>
  <si>
    <t>-530.591453856619 35.3105970366745 -227.27837336042</t>
  </si>
  <si>
    <t>-436.920819857549 -13.7428825275808 215.979204059448</t>
  </si>
  <si>
    <t>-594.525971963708 -96.6656265646348 650.712257145639</t>
  </si>
  <si>
    <t>-446.705999089636 -146.377196582838 732.084968008786</t>
  </si>
  <si>
    <t>9763-20170724T164351.086096100.bin</t>
  </si>
  <si>
    <t>-506.504099919855 129.830668221708 -239.382512342665</t>
  </si>
  <si>
    <t>-547.633414439829 126.007967844836 -353.231304337396</t>
  </si>
  <si>
    <t>-562.591030299239 115.153201697413 -473.018746983775</t>
  </si>
  <si>
    <t>-565.105417238353 102.698404340015 -581.800225206883</t>
  </si>
  <si>
    <t>-556.675074524681 87.794752990279 -689.974436680825</t>
  </si>
  <si>
    <t>-533.59774179722 64.6936378286021 -838.748714003301</t>
  </si>
  <si>
    <t>-487.01466363502 49.8113302893756 -928.143990545842</t>
  </si>
  <si>
    <t>-536.586039155253 105.661451263265 -776.574373765864</t>
  </si>
  <si>
    <t>-518.769304166458 251.190437464829 -765.269509768051</t>
  </si>
  <si>
    <t>-545.16001549278 336.655180718675 -461.648802881012</t>
  </si>
  <si>
    <t>-366.488131033259 240.293687210558 -299.066960392072</t>
  </si>
  <si>
    <t>-551.031469525541 44.1689498324147 -769.266884343016</t>
  </si>
  <si>
    <t>-482.52502339338 224.043922770953 -250.895200539682</t>
  </si>
  <si>
    <t>-469.79035625966 208.990288236794 204.372787274338</t>
  </si>
  <si>
    <t>-492.563309813812 166.980531735622 671.801171485478</t>
  </si>
  <si>
    <t>-339.512744152853 154.855800790817 757.661742114953</t>
  </si>
  <si>
    <t>-530.304690919332 35.6887603682814 -227.262253923834</t>
  </si>
  <si>
    <t>-436.921989150034 -13.4426299997665 216.04736195649</t>
  </si>
  <si>
    <t>-594.518932261028 -96.6716413723705 650.720099771037</t>
  </si>
  <si>
    <t>-446.691334068255 -146.361617389758 732.0921697559</t>
  </si>
  <si>
    <t>9763-20170724T164351.120697300.bin</t>
  </si>
  <si>
    <t>-506.372756947122 130.130333901689 -239.372424683377</t>
  </si>
  <si>
    <t>-547.492190132639 126.306330237307 -353.224951212752</t>
  </si>
  <si>
    <t>-562.415869610074 115.458422610765 -473.0171681845</t>
  </si>
  <si>
    <t>-564.889318096278 103.016677024022 -581.801006426926</t>
  </si>
  <si>
    <t>-556.407505957923 88.1351002435071 -689.974256367771</t>
  </si>
  <si>
    <t>-533.247970355864 65.0758965650962 -838.742165996835</t>
  </si>
  <si>
    <t>-486.781829547225 50.3513503027532 -928.224567287862</t>
  </si>
  <si>
    <t>-536.310825149198 106.034676087653 -776.565733087053</t>
  </si>
  <si>
    <t>-518.650323274401 251.587488853412 -765.234732054363</t>
  </si>
  <si>
    <t>-545.336573884178 337.104313556094 -461.654575265877</t>
  </si>
  <si>
    <t>-366.602659462929 240.905546542295 -299.044539864587</t>
  </si>
  <si>
    <t>-550.679840481668 44.5230619347862 -769.268266805479</t>
  </si>
  <si>
    <t>-482.421452142625 224.37874900561 -250.871560886822</t>
  </si>
  <si>
    <t>-469.751227777895 209.224367363905 204.394784756149</t>
  </si>
  <si>
    <t>-492.584563028701 167.066967715601 671.808173441913</t>
  </si>
  <si>
    <t>-339.588993361544 154.309033186989 757.674898270106</t>
  </si>
  <si>
    <t>-530.16966736558 35.9263915257635 -227.248459031603</t>
  </si>
  <si>
    <t>-436.872523087314 -13.2123296193242 216.078315142643</t>
  </si>
  <si>
    <t>-594.515901329457 -96.6869730462953 650.716275073934</t>
  </si>
  <si>
    <t>-446.683433164937 -146.363934696861 732.087544091291</t>
  </si>
  <si>
    <t>9763-20170724T164351.189885400.bin</t>
  </si>
  <si>
    <t>-506.186186519292 130.724582864442 -239.335598065901</t>
  </si>
  <si>
    <t>-547.246677024829 126.848329054037 -353.207541284006</t>
  </si>
  <si>
    <t>-562.112674303581 116.015217721704 -473.008121901709</t>
  </si>
  <si>
    <t>-564.534840399645 103.618656791202 -581.798398388694</t>
  </si>
  <si>
    <t>-556.002468315813 88.8163374397997 -689.978526578167</t>
  </si>
  <si>
    <t>-532.773409541455 65.9047886440113 -838.758456977388</t>
  </si>
  <si>
    <t>-486.511238917855 51.3875686969626 -928.380155938247</t>
  </si>
  <si>
    <t>-535.933403736463 106.816243726739 -776.555604054732</t>
  </si>
  <si>
    <t>-518.520418221695 252.3897904285 -765.123602667297</t>
  </si>
  <si>
    <t>-545.791319526529 337.815164346533 -461.569656682687</t>
  </si>
  <si>
    <t>-366.985635276553 241.799999624817 -298.929956886395</t>
  </si>
  <si>
    <t>-550.169673706542 45.2687439179336 -769.300387242157</t>
  </si>
  <si>
    <t>-482.239054559054 224.979132148232 -250.824536081917</t>
  </si>
  <si>
    <t>-469.725615241197 209.633677531426 204.439856597278</t>
  </si>
  <si>
    <t>-492.61693004981 167.206929401567 671.809110180399</t>
  </si>
  <si>
    <t>-339.626716676553 154.312688913808 757.66507932239</t>
  </si>
  <si>
    <t>-529.975350526069 36.5012326666282 -227.21179584868</t>
  </si>
  <si>
    <t>-436.847059588388 -12.918620177126 216.11931102477</t>
  </si>
  <si>
    <t>-594.526549261348 -96.650086999411 650.732027308716</t>
  </si>
  <si>
    <t>-446.720960401318 -146.475339504781 732.061396276808</t>
  </si>
  <si>
    <t>9763-20170724T164351.223975700.bin</t>
  </si>
  <si>
    <t>-505.956183865761 130.936434311595 -239.302988755241</t>
  </si>
  <si>
    <t>-546.976257730611 127.027199496927 -353.188368113558</t>
  </si>
  <si>
    <t>-561.815786114726 116.199454515941 -472.992814791171</t>
  </si>
  <si>
    <t>-564.220042687268 103.825510994827 -581.785979758379</t>
  </si>
  <si>
    <t>-555.675877590488 89.0648761660137 -689.970958708558</t>
  </si>
  <si>
    <t>-532.436394988823 66.2319358045824 -838.761480666245</t>
  </si>
  <si>
    <t>-486.269281438362 51.7895594590384 -928.444119767017</t>
  </si>
  <si>
    <t>-535.629162690876 107.116353142929 -776.542405128284</t>
  </si>
  <si>
    <t>-518.30650156074 252.691525790915 -765.048640319632</t>
  </si>
  <si>
    <t>-545.88473754865 338.207753090666 -461.547996897387</t>
  </si>
  <si>
    <t>-367.12134515643 242.201954109061 -298.856220595027</t>
  </si>
  <si>
    <t>-549.809047771434 45.5532432568832 -769.30991480757</t>
  </si>
  <si>
    <t>-482.012641690914 225.187069994376 -250.80135810718</t>
  </si>
  <si>
    <t>-469.686251129822 209.762743888302 204.465386888265</t>
  </si>
  <si>
    <t>-492.604977005308 167.135726801495 671.816173238414</t>
  </si>
  <si>
    <t>-339.619985266937 154.14534623252 757.666949597682</t>
  </si>
  <si>
    <t>-529.707155334115 36.6349619050683 -227.183745553188</t>
  </si>
  <si>
    <t>-436.741040897249 -12.7962331454459 216.180123821818</t>
  </si>
  <si>
    <t>-594.536860965342 -96.6609709539862 650.747376156204</t>
  </si>
  <si>
    <t>-446.659683143738 -146.327724816989 732.043563198968</t>
  </si>
  <si>
    <t>9763-20170724T164351.286645600.bin</t>
  </si>
  <si>
    <t>-505.285665282768 131.063335412998 -239.263660627532</t>
  </si>
  <si>
    <t>-546.261048459883 127.140387901092 -353.164562027646</t>
  </si>
  <si>
    <t>-561.080046417957 116.363038411001 -472.976087963012</t>
  </si>
  <si>
    <t>-563.475875897438 104.064133362298 -581.778099212131</t>
  </si>
  <si>
    <t>-554.932899061972 89.4096711361152 -689.977480121385</t>
  </si>
  <si>
    <t>-531.704700867866 66.7580721097144 -838.797326215843</t>
  </si>
  <si>
    <t>-485.705292303676 52.4490607489002 -928.587690608759</t>
  </si>
  <si>
    <t>-534.917142177857 107.571757605512 -776.533073107317</t>
  </si>
  <si>
    <t>-517.644773143194 253.14278691248 -764.874582335244</t>
  </si>
  <si>
    <t>-546.332839809724 339.196694462474 -461.628934761599</t>
  </si>
  <si>
    <t>-367.705286528263 242.901253478507 -298.959307465981</t>
  </si>
  <si>
    <t>-549.047758085888 45.989690390148 -769.36525360486</t>
  </si>
  <si>
    <t>-481.293504406217 225.363477025262 -250.778010770365</t>
  </si>
  <si>
    <t>-469.329750505177 209.801212809993 204.493654536833</t>
  </si>
  <si>
    <t>-492.599584528969 167.115705774779 671.81683247651</t>
  </si>
  <si>
    <t>-339.533169857398 154.907756613606 757.637299157788</t>
  </si>
  <si>
    <t>-529.110877849411 36.7411595341395 -227.106190756876</t>
  </si>
  <si>
    <t>-436.374890294571 -12.7847586077078 216.295217529229</t>
  </si>
  <si>
    <t>-594.512244674481 -96.8014848808263 650.710176289694</t>
  </si>
  <si>
    <t>-446.3870887614 -145.727336406596 732.004204079215</t>
  </si>
  <si>
    <t>9763-20170724T164351.324806500.bin</t>
  </si>
  <si>
    <t>-504.840412944834 131.141513232155 -239.226206909834</t>
  </si>
  <si>
    <t>-545.780492493481 127.214921692799 -353.139799066994</t>
  </si>
  <si>
    <t>-560.589768510893 116.45142778068 -472.953835673671</t>
  </si>
  <si>
    <t>-562.987699382252 104.173135032139 -581.757865041734</t>
  </si>
  <si>
    <t>-554.457603507144 89.547829634308 -689.962272706009</t>
  </si>
  <si>
    <t>-531.258083280869 66.945865805367 -838.794179998281</t>
  </si>
  <si>
    <t>-485.331733371098 52.6942944685516 -928.631044430429</t>
  </si>
  <si>
    <t>-534.466038020075 107.740305566812 -776.517029171454</t>
  </si>
  <si>
    <t>-517.21449770925 253.316838337096 -764.814937175882</t>
  </si>
  <si>
    <t>-546.411022956477 339.84747797326 -461.7535191268</t>
  </si>
  <si>
    <t>-367.890822407302 243.384497541562 -299.065298711141</t>
  </si>
  <si>
    <t>-548.580366613643 46.1527992984523 -769.364307747921</t>
  </si>
  <si>
    <t>-480.805879732724 225.393636844268 -250.745202852916</t>
  </si>
  <si>
    <t>-469.043595201447 209.785599463203 204.530221195623</t>
  </si>
  <si>
    <t>-492.551180445886 166.873252591069 671.830124249691</t>
  </si>
  <si>
    <t>-339.466993024404 154.836401434241 757.643015315015</t>
  </si>
  <si>
    <t>-528.68128677189 36.9269014124071 -227.072037483489</t>
  </si>
  <si>
    <t>-436.126636570521 -12.6340126477619 216.363502452293</t>
  </si>
  <si>
    <t>-594.480812259949 -96.6667761532393 650.678252847315</t>
  </si>
  <si>
    <t>-446.504147562754 -145.972406117533 732.013219465482</t>
  </si>
  <si>
    <t>9763-20170724T164351.385472500.bin</t>
  </si>
  <si>
    <t>-503.829004724201 131.55342475037 -239.204098598314</t>
  </si>
  <si>
    <t>-544.703411270845 127.639832529442 -353.141623487205</t>
  </si>
  <si>
    <t>-559.514277938143 116.909759404766 -472.958497467484</t>
  </si>
  <si>
    <t>-561.941940759088 104.670120427592 -581.766341348458</t>
  </si>
  <si>
    <t>-553.469732492015 90.0918831640901 -689.981604704491</t>
  </si>
  <si>
    <t>-530.37862763023 67.5638972965475 -838.841586225564</t>
  </si>
  <si>
    <t>-484.59998904907 53.4220705789439 -928.771025307711</t>
  </si>
  <si>
    <t>-533.533831642325 108.325837216503 -776.540560290631</t>
  </si>
  <si>
    <t>-516.16771221234 253.875436707111 -764.785000233778</t>
  </si>
  <si>
    <t>-546.507260945251 341.702536229373 -462.209269982684</t>
  </si>
  <si>
    <t>-368.301910605956 244.740076247495 -299.472563022755</t>
  </si>
  <si>
    <t>-547.657526336372 46.7377941475006 -769.410835089203</t>
  </si>
  <si>
    <t>-479.704136259288 225.717543871573 -250.700338459838</t>
  </si>
  <si>
    <t>-468.278099428186 210.025954741044 204.580810642745</t>
  </si>
  <si>
    <t>-492.57897464022 166.959770735171 671.828066990273</t>
  </si>
  <si>
    <t>-339.503597566014 154.874428183114 757.649918016239</t>
  </si>
  <si>
    <t>-527.778992698149 37.487007236283 -227.052849822726</t>
  </si>
  <si>
    <t>-435.687463393552 -12.362006576416 216.446775453192</t>
  </si>
  <si>
    <t>-594.403924204334 -96.4726194706757 650.613828884503</t>
  </si>
  <si>
    <t>-446.711315069482 -146.461814000104 732.047720582336</t>
  </si>
  <si>
    <t>9763-20170724T164351.417131500.bin</t>
  </si>
  <si>
    <t>-503.316030764927 131.712759500097 -239.179728414485</t>
  </si>
  <si>
    <t>-544.14366681077 127.804566127374 -353.134292023254</t>
  </si>
  <si>
    <t>-558.942490864076 117.089004323594 -472.953895954211</t>
  </si>
  <si>
    <t>-561.374165774201 104.866913325912 -581.763616382803</t>
  </si>
  <si>
    <t>-552.920683758972 90.3106907525339 -689.983405708376</t>
  </si>
  <si>
    <t>-529.870414551461 67.8185093348336 -838.855052511982</t>
  </si>
  <si>
    <t>-484.147013523243 53.7289658377466 -928.820858697038</t>
  </si>
  <si>
    <t>-533.00781823137 108.565317045706 -776.543160668702</t>
  </si>
  <si>
    <t>-515.659864409594 254.117343341543 -764.781282589676</t>
  </si>
  <si>
    <t>-546.504420397174 342.742871562962 -462.489513835398</t>
  </si>
  <si>
    <t>-368.473887346739 245.558596978209 -299.693999233822</t>
  </si>
  <si>
    <t>-547.130919944803 46.9758439793023 -769.424661944718</t>
  </si>
  <si>
    <t>-479.11491632275 225.827224357613 -250.674487981493</t>
  </si>
  <si>
    <t>-467.907447371891 210.121365331786 204.611470074023</t>
  </si>
  <si>
    <t>-492.565178914572 166.863739491633 671.833281613482</t>
  </si>
  <si>
    <t>-339.47973957002 154.893652063445 757.653359126713</t>
  </si>
  <si>
    <t>-527.356851254379 37.6057611758933 -227.021810344826</t>
  </si>
  <si>
    <t>-435.413074323133 -12.4020963776913 216.490643107272</t>
  </si>
  <si>
    <t>-594.38195183875 -96.6998716441635 650.581587951322</t>
  </si>
  <si>
    <t>-446.684003314996 -146.60357476849 732.058264164395</t>
  </si>
  <si>
    <t>9763-20170724T164351.488326300.bin</t>
  </si>
  <si>
    <t>-502.311966191501 132.10769206851 -239.133673493332</t>
  </si>
  <si>
    <t>-543.089073913375 128.20532357624 -353.106517160451</t>
  </si>
  <si>
    <t>-557.910778549963 117.52690873201 -472.92647278867</t>
  </si>
  <si>
    <t>-560.393526668678 105.352177154023 -581.740451987042</t>
  </si>
  <si>
    <t>-552.020880388319 90.8575634740502 -689.974682090197</t>
  </si>
  <si>
    <t>-529.112834445177 68.4658786732487 -838.883521481231</t>
  </si>
  <si>
    <t>-483.522900570434 54.4839368552991 -928.933795048048</t>
  </si>
  <si>
    <t>-532.18561561381 109.169559625505 -776.540212519903</t>
  </si>
  <si>
    <t>-514.787838747758 254.713444521899 -764.716831153994</t>
  </si>
  <si>
    <t>-546.67592265433 344.847667367798 -462.979887611238</t>
  </si>
  <si>
    <t>-368.98434482553 247.359803691178 -299.995774708385</t>
  </si>
  <si>
    <t>-546.312256508044 47.5774387947121 -769.451704236658</t>
  </si>
  <si>
    <t>-478.051155770534 226.282841460365 -250.635421501599</t>
  </si>
  <si>
    <t>-467.275523343541 210.536721666278 204.659644520448</t>
  </si>
  <si>
    <t>-492.645029430883 167.187033235375 671.827683113976</t>
  </si>
  <si>
    <t>-339.663557052316 154.213092724612 757.687170970894</t>
  </si>
  <si>
    <t>-526.392381433448 37.9159766698009 -226.966927783215</t>
  </si>
  <si>
    <t>-434.880262308147 -12.0900734547167 216.634911974338</t>
  </si>
  <si>
    <t>-594.307081101045 -96.5838155977223 650.511688036724</t>
  </si>
  <si>
    <t>-446.575089741581 -146.258332837735 732.06674004349</t>
  </si>
  <si>
    <t>9763-20170724T164351.521418300.bin</t>
  </si>
  <si>
    <t>-501.718487362288 131.96914734228 -239.104844454035</t>
  </si>
  <si>
    <t>-542.428944804066 128.049533821689 -353.100855579598</t>
  </si>
  <si>
    <t>-557.24356545045 117.38154460362 -472.922779426433</t>
  </si>
  <si>
    <t>-559.745645205938 105.226583756276 -581.73839849404</t>
  </si>
  <si>
    <t>-551.417916143966 90.7616360113792 -689.980091607988</t>
  </si>
  <si>
    <t>-528.598285714382 68.4206794432294 -838.910049987796</t>
  </si>
  <si>
    <t>-483.085612055464 54.4975635192423 -929.008665511562</t>
  </si>
  <si>
    <t>-531.633182515077 109.102963526261 -776.55104799894</t>
  </si>
  <si>
    <t>-514.25384459088 254.650783544581 -764.706836323327</t>
  </si>
  <si>
    <t>-546.610648434644 345.436141989786 -463.215238692486</t>
  </si>
  <si>
    <t>-369.0696600537 247.876573626654 -300.10975178675</t>
  </si>
  <si>
    <t>-545.757381420532 47.5088089683415 -769.475404418758</t>
  </si>
  <si>
    <t>-477.384434970102 225.960973814671 -250.61102982168</t>
  </si>
  <si>
    <t>-466.80314028017 210.193427601909 204.68786774567</t>
  </si>
  <si>
    <t>-492.507959434418 166.562063285384 671.83450028166</t>
  </si>
  <si>
    <t>-339.379881244055 155.164326631457 757.656375540681</t>
  </si>
  <si>
    <t>-525.855335338062 37.900104751503 -226.95738764146</t>
  </si>
  <si>
    <t>-434.571613708264 -12.0015106182456 216.703337664934</t>
  </si>
  <si>
    <t>-594.257557608573 -96.4979237150827 650.469068234856</t>
  </si>
  <si>
    <t>-446.658288515936 -146.464945634597 732.085553757702</t>
  </si>
  <si>
    <t>9763-20170724T164351.585590400.bin</t>
  </si>
  <si>
    <t>-500.72398226674 132.238336088582 -239.042617885827</t>
  </si>
  <si>
    <t>-541.36902235481 128.274790888543 -353.060429911931</t>
  </si>
  <si>
    <t>-556.186991200441 117.609625010041 -472.882061326016</t>
  </si>
  <si>
    <t>-558.721918436323 105.474968756447 -581.699349743193</t>
  </si>
  <si>
    <t>-550.456566092564 91.0468101909751 -689.950757669345</t>
  </si>
  <si>
    <t>-527.753757572527 68.7729245833152 -838.908572279623</t>
  </si>
  <si>
    <t>-482.358485177286 54.9255188847105 -929.077875917775</t>
  </si>
  <si>
    <t>-530.739229266499 109.427060424639 -776.528739738366</t>
  </si>
  <si>
    <t>-513.486412930397 254.979469434253 -764.67105552537</t>
  </si>
  <si>
    <t>-546.644776801124 346.472898891854 -463.480663474809</t>
  </si>
  <si>
    <t>-369.263066248996 249.058300143596 -300.115469970887</t>
  </si>
  <si>
    <t>-544.858843543734 47.8298775689582 -769.470043428961</t>
  </si>
  <si>
    <t>-476.448461909748 226.366094565791 -250.567120670879</t>
  </si>
  <si>
    <t>-466.346596498144 210.570461932474 204.741700853898</t>
  </si>
  <si>
    <t>-492.580958549249 166.847748263534 671.825563784542</t>
  </si>
  <si>
    <t>-339.538611991283 154.607766356132 757.684349802817</t>
  </si>
  <si>
    <t>-524.890871866379 38.1899259592236 -226.864863916157</t>
  </si>
  <si>
    <t>-433.878109858686 -11.6512264413665 216.858285062832</t>
  </si>
  <si>
    <t>-594.146005783134 -96.4794028119434 650.348829372245</t>
  </si>
  <si>
    <t>-446.708067172318 -146.729623985527 732.083159132396</t>
  </si>
  <si>
    <t>9763-20170724T164351.621228300.bin</t>
  </si>
  <si>
    <t>-500.22925228836 132.482693244294 -239.037463155209</t>
  </si>
  <si>
    <t>-540.815088336522 128.474508828838 -353.074886802213</t>
  </si>
  <si>
    <t>-555.587736508057 117.791675018039 -472.900602867585</t>
  </si>
  <si>
    <t>-558.089220270336 105.648772917464 -581.717514590554</t>
  </si>
  <si>
    <t>-549.799020998143 91.217870551932 -689.966791399939</t>
  </si>
  <si>
    <t>-527.070993502933 68.9436295252718 -838.920713481953</t>
  </si>
  <si>
    <t>-481.708818089954 55.1188583220084 -929.1101839845</t>
  </si>
  <si>
    <t>-530.051018595418 109.594499087654 -776.538425717039</t>
  </si>
  <si>
    <t>-512.862801427706 255.153995713364 -764.621476490957</t>
  </si>
  <si>
    <t>-546.55187516684 347.036352690339 -463.608360968395</t>
  </si>
  <si>
    <t>-369.193451502474 249.696588559068 -300.173315568806</t>
  </si>
  <si>
    <t>-544.203874711926 48.0040265657576 -769.488017437513</t>
  </si>
  <si>
    <t>-475.96845813301 226.628894523106 -250.560374335265</t>
  </si>
  <si>
    <t>-466.088580915917 210.807942891881 204.752362487504</t>
  </si>
  <si>
    <t>-492.587862443315 166.87175449373 671.813245225097</t>
  </si>
  <si>
    <t>-339.598211114725 154.147491905262 757.695603033424</t>
  </si>
  <si>
    <t>-524.317289230489 38.3831826091267 -226.864943542093</t>
  </si>
  <si>
    <t>-433.630336313678 -11.428292564822 216.928306661277</t>
  </si>
  <si>
    <t>-594.098768859795 -96.3776701184902 650.313233629168</t>
  </si>
  <si>
    <t>-446.561823835432 -146.290903461701 732.075196667704</t>
  </si>
  <si>
    <t>9763-20170724T164351.685892000.bin</t>
  </si>
  <si>
    <t>-499.158444769412 132.543147211217 -239.017891953987</t>
  </si>
  <si>
    <t>-539.563953462689 128.458903374124 -353.116513055751</t>
  </si>
  <si>
    <t>-554.185521909144 117.736754630655 -472.957300398906</t>
  </si>
  <si>
    <t>-556.568069854569 105.563684465204 -581.773721767988</t>
  </si>
  <si>
    <t>-548.178812349691 91.1017435919206 -690.011040460012</t>
  </si>
  <si>
    <t>-525.335782217297 68.7778816999293 -838.939912360167</t>
  </si>
  <si>
    <t>-480.006912097829 55.0152162755988 -929.155637637982</t>
  </si>
  <si>
    <t>-528.327029831419 109.441788343131 -776.566836484516</t>
  </si>
  <si>
    <t>-511.21847457585 255.004912317851 -764.608094254519</t>
  </si>
  <si>
    <t>-546.007151307991 347.531161907533 -463.917558672397</t>
  </si>
  <si>
    <t>-368.999041992228 250.334016247752 -300.018384873391</t>
  </si>
  <si>
    <t>-542.559128154735 47.8691303998199 -769.520203236998</t>
  </si>
  <si>
    <t>-474.94706312267 226.731672830841 -250.527219656787</t>
  </si>
  <si>
    <t>-465.470244362865 210.882636000453 204.793139051302</t>
  </si>
  <si>
    <t>-492.609495736535 166.949680394014 671.792878179278</t>
  </si>
  <si>
    <t>-339.567908813367 154.921495844265 757.683004739844</t>
  </si>
  <si>
    <t>-523.215953410447 38.3630042115983 -226.86817380631</t>
  </si>
  <si>
    <t>-433.07244619376 -11.2395197718723 217.059007765851</t>
  </si>
  <si>
    <t>-594.014363717516 -96.6849965777914 650.224241871346</t>
  </si>
  <si>
    <t>-446.433941318712 -146.280247169351 732.101230916941</t>
  </si>
  <si>
    <t>9763-20170724T164351.717632100.bin</t>
  </si>
  <si>
    <t>-498.636416007141 132.690922333801 -239.001558837326</t>
  </si>
  <si>
    <t>-538.985071413014 128.573081566649 -353.119123717305</t>
  </si>
  <si>
    <t>-553.574464502373 117.827733666355 -472.961812997333</t>
  </si>
  <si>
    <t>-555.939642357112 105.634263706586 -581.776266236749</t>
  </si>
  <si>
    <t>-547.545791187376 91.150220703321 -690.010151352083</t>
  </si>
  <si>
    <t>-524.709640138663 68.7917591817222 -838.935128060063</t>
  </si>
  <si>
    <t>-479.41406118061 55.0537708338943 -929.171307643402</t>
  </si>
  <si>
    <t>-527.688891355044 109.468286046948 -776.569499419482</t>
  </si>
  <si>
    <t>-510.58140739778 255.037933282522 -764.60574739418</t>
  </si>
  <si>
    <t>-545.91277838745 347.91875484338 -464.087809808627</t>
  </si>
  <si>
    <t>-369.083819125637 250.721267476177 -299.995674910036</t>
  </si>
  <si>
    <t>-541.938863452853 47.901074447018 -769.511378270937</t>
  </si>
  <si>
    <t>-474.479634417835 226.843316355559 -250.510601340543</t>
  </si>
  <si>
    <t>-465.290441031972 210.972818365723 204.814833473064</t>
  </si>
  <si>
    <t>-492.602240644825 166.912884956455 671.782832074789</t>
  </si>
  <si>
    <t>-339.532410557261 155.275400784901 757.676463724442</t>
  </si>
  <si>
    <t>-522.65949482172 38.6109576133584 -226.860132209952</t>
  </si>
  <si>
    <t>-432.755685733178 -10.9468185803922 217.120700366434</t>
  </si>
  <si>
    <t>-593.934542387754 -96.4096140205416 650.168346998057</t>
  </si>
  <si>
    <t>-446.617881659514 -146.655821838654 732.123344455748</t>
  </si>
  <si>
    <t>9763-20170724T164351.786817300.bin</t>
  </si>
  <si>
    <t>-497.620406957801 132.884226901317 -238.974457883976</t>
  </si>
  <si>
    <t>-537.840058604379 128.67019684746 -353.134013340157</t>
  </si>
  <si>
    <t>-552.369915475179 117.850179362749 -472.977204476254</t>
  </si>
  <si>
    <t>-554.712990204761 105.594085065439 -581.785036559782</t>
  </si>
  <si>
    <t>-546.329444265008 91.0493432524694 -690.011703821996</t>
  </si>
  <si>
    <t>-523.541872780308 68.6060526844376 -838.93132382038</t>
  </si>
  <si>
    <t>-478.285492482056 54.8889445540811 -929.190224401241</t>
  </si>
  <si>
    <t>-526.486019732436 109.314975984213 -776.58518458396</t>
  </si>
  <si>
    <t>-509.423510135414 254.879697905831 -764.57795484891</t>
  </si>
  <si>
    <t>-545.661705638694 348.80747918842 -464.493741335995</t>
  </si>
  <si>
    <t>-369.189564487598 251.529601470519 -300.065472830978</t>
  </si>
  <si>
    <t>-540.763349411124 47.758067829437 -769.492759204854</t>
  </si>
  <si>
    <t>-473.480604410608 226.843171729806 -250.501643358327</t>
  </si>
  <si>
    <t>-464.748334861202 210.983688924692 204.833318453093</t>
  </si>
  <si>
    <t>-492.530406176936 166.574575481759 671.771170065905</t>
  </si>
  <si>
    <t>-339.405668471157 155.708088894047 757.667915317605</t>
  </si>
  <si>
    <t>-521.591645374785 38.9551899621903 -226.812074947764</t>
  </si>
  <si>
    <t>-432.130763538723 -10.5175943430003 217.267686576346</t>
  </si>
  <si>
    <t>-593.816793072321 -95.9235635086633 650.096041465619</t>
  </si>
  <si>
    <t>-446.864592341403 -147.051176829053 732.160165253113</t>
  </si>
  <si>
    <t>9763-20170724T164351.823459900.bin</t>
  </si>
  <si>
    <t>-497.15159169841 133.04703135526 -238.936716725866</t>
  </si>
  <si>
    <t>-537.345086680433 128.806369136273 -353.104538876741</t>
  </si>
  <si>
    <t>-551.847687988268 117.959399913755 -472.948635344177</t>
  </si>
  <si>
    <t>-554.166186044369 105.678615299959 -581.754157648157</t>
  </si>
  <si>
    <t>-545.758535756991 91.109069412088 -689.975563501678</t>
  </si>
  <si>
    <t>-522.937907725512 68.6310507314517 -838.884861027066</t>
  </si>
  <si>
    <t>-477.681406366845 54.9166066177275 -929.144197416078</t>
  </si>
  <si>
    <t>-525.89438679094 109.354229180261 -776.548779911871</t>
  </si>
  <si>
    <t>-508.864070842874 254.928234741881 -764.555802348777</t>
  </si>
  <si>
    <t>-545.76411121451 349.506861338713 -464.756730419093</t>
  </si>
  <si>
    <t>-369.345928353938 252.207663558082 -300.28329260228</t>
  </si>
  <si>
    <t>-540.1763509452 47.799592414141 -769.44574046264</t>
  </si>
  <si>
    <t>-473.028958316328 227.056531678066 -250.488545035912</t>
  </si>
  <si>
    <t>-464.518746843505 211.22987361492 204.851847446207</t>
  </si>
  <si>
    <t>-492.602972226303 166.880775891797 671.756143094078</t>
  </si>
  <si>
    <t>-339.556903477116 155.209080284839 757.687336643076</t>
  </si>
  <si>
    <t>-521.162457104961 39.092122587741 -226.747759123074</t>
  </si>
  <si>
    <t>-431.857258311948 -10.3839434335113 217.362997237977</t>
  </si>
  <si>
    <t>-593.782297629473 -96.048328438566 650.056767936547</t>
  </si>
  <si>
    <t>-446.70165219868 -146.774201745155 732.14012346153</t>
  </si>
  <si>
    <t>9763-20170724T164351.891201500.bin</t>
  </si>
  <si>
    <t>-496.31110071363 132.915641275206 -238.934715285126</t>
  </si>
  <si>
    <t>-536.385950338132 128.66172328502 -353.143685940285</t>
  </si>
  <si>
    <t>-550.781345449858 117.737762534727 -472.993680903119</t>
  </si>
  <si>
    <t>-553.008964084391 105.363158297996 -581.790558284962</t>
  </si>
  <si>
    <t>-544.517159834456 90.6767095458147 -689.989691677605</t>
  </si>
  <si>
    <t>-521.587236920121 68.0128731834884 -838.85392025685</t>
  </si>
  <si>
    <t>-476.295189923616 54.2573829046665 -929.089182620476</t>
  </si>
  <si>
    <t>-524.603304228529 108.816682115011 -776.573317776035</t>
  </si>
  <si>
    <t>-507.782598085313 254.424788514226 -764.697495736377</t>
  </si>
  <si>
    <t>-545.817347898107 350.534416486618 -465.527703778138</t>
  </si>
  <si>
    <t>-369.472616239594 253.24305299027 -300.970884538067</t>
  </si>
  <si>
    <t>-538.862790969695 47.2651616799445 -769.398808573752</t>
  </si>
  <si>
    <t>-472.172859090273 226.924901582692 -250.467228688176</t>
  </si>
  <si>
    <t>-463.914934046477 211.060955550128 204.876413987217</t>
  </si>
  <si>
    <t>-492.559632795241 166.60805274441 671.761385752807</t>
  </si>
  <si>
    <t>-339.474040955516 155.499707501001 757.696941173079</t>
  </si>
  <si>
    <t>-520.284489142738 38.9051857840386 -226.802708713391</t>
  </si>
  <si>
    <t>-431.521514067053 -10.5040957621279 217.42414739884</t>
  </si>
  <si>
    <t>-593.729871212079 -96.445969235188 650.015893034238</t>
  </si>
  <si>
    <t>-446.4100334766 -146.376990554394 732.157605123014</t>
  </si>
  <si>
    <t>9763-20170724T164351.922283900.bin</t>
  </si>
  <si>
    <t>-495.90362966469 132.921726057827 -238.937067032276</t>
  </si>
  <si>
    <t>-535.96393927237 128.661325994775 -353.15096930342</t>
  </si>
  <si>
    <t>-550.333939826938 117.688616281692 -472.999561914865</t>
  </si>
  <si>
    <t>-552.534340731915 105.252809605679 -581.790031569446</t>
  </si>
  <si>
    <t>-544.011405194205 90.4881415775358 -689.976002964306</t>
  </si>
  <si>
    <t>-521.034643639642 67.6982645820329 -838.813866315393</t>
  </si>
  <si>
    <t>-475.713010325296 53.9048389924506 -929.02846561665</t>
  </si>
  <si>
    <t>-524.074257955353 108.555679681388 -776.569426587009</t>
  </si>
  <si>
    <t>-507.336078571685 254.177137146702 -764.790746612506</t>
  </si>
  <si>
    <t>-545.948954952838 350.970323939702 -465.915562685718</t>
  </si>
  <si>
    <t>-369.65703088654 253.808981751381 -301.225306506151</t>
  </si>
  <si>
    <t>-538.328051325952 47.0085692980078 -769.345862796084</t>
  </si>
  <si>
    <t>-471.765855021703 226.885590791741 -250.443836408251</t>
  </si>
  <si>
    <t>-463.614920572507 211.018008448067 204.90155647436</t>
  </si>
  <si>
    <t>-492.511615470338 166.347479692706 671.761724004036</t>
  </si>
  <si>
    <t>-339.438179855953 155.161250096856 757.708898926212</t>
  </si>
  <si>
    <t>-519.897776667049 38.9595934718338 -226.788837045066</t>
  </si>
  <si>
    <t>-431.364017995271 -10.4854149811354 217.479889541938</t>
  </si>
  <si>
    <t>-593.686105068348 -96.4541823337264 649.989440735752</t>
  </si>
  <si>
    <t>-446.4343299549 -146.50292174133 732.181665342526</t>
  </si>
  <si>
    <t>9763-20170724T164351.987960300.bin</t>
  </si>
  <si>
    <t>-495.172264777837 132.96122340268 -238.915814118234</t>
  </si>
  <si>
    <t>-535.170330632412 128.669259675405 -353.150547605975</t>
  </si>
  <si>
    <t>-549.47342979803 117.603410163651 -472.998471082848</t>
  </si>
  <si>
    <t>-551.612315225537 105.05880487687 -581.777560103423</t>
  </si>
  <si>
    <t>-543.027541901836 90.1608316133804 -689.940445380303</t>
  </si>
  <si>
    <t>-519.965202733434 67.1606591635765 -838.732668756769</t>
  </si>
  <si>
    <t>-474.540484929538 53.2662868836681 -928.879984305167</t>
  </si>
  <si>
    <t>-523.035833889585 108.104938188831 -776.547057451343</t>
  </si>
  <si>
    <t>-506.301914465112 253.748312984808 -764.966819332339</t>
  </si>
  <si>
    <t>-546.024676842275 352.134931387458 -466.758128459728</t>
  </si>
  <si>
    <t>-370.149311502285 255.04070056779 -301.583580111231</t>
  </si>
  <si>
    <t>-537.303423442 46.5701003646099 -769.246459238903</t>
  </si>
  <si>
    <t>-470.973806552537 226.848561116329 -250.430410967441</t>
  </si>
  <si>
    <t>-463.05361154269 211.026968633405 204.920638906925</t>
  </si>
  <si>
    <t>-492.533744645881 166.401097764421 671.736507722754</t>
  </si>
  <si>
    <t>-339.456731818139 155.406123222873 757.701940838779</t>
  </si>
  <si>
    <t>-519.183318902699 39.039381530956 -226.760035164149</t>
  </si>
  <si>
    <t>-430.999696165676 -10.3380626294099 217.58574319723</t>
  </si>
  <si>
    <t>-593.616281498516 -96.4729207387299 649.964488315093</t>
  </si>
  <si>
    <t>-446.379891455927 -146.464991506003 732.218710223316</t>
  </si>
  <si>
    <t>9763-20170724T164352.022071000.bin</t>
  </si>
  <si>
    <t>-494.919667797298 133.153133117981 -238.912647694098</t>
  </si>
  <si>
    <t>-534.891613437705 128.832172530425 -353.155222331964</t>
  </si>
  <si>
    <t>-549.174777379086 117.710612891909 -473.000405308184</t>
  </si>
  <si>
    <t>-551.298785503005 105.1046782581 -581.77289666065</t>
  </si>
  <si>
    <t>-542.702316770106 90.1342917887494 -689.924770526454</t>
  </si>
  <si>
    <t>-519.627245291743 67.0220109736938 -838.697596626621</t>
  </si>
  <si>
    <t>-474.08650651582 53.0486950538659 -928.77409689504</t>
  </si>
  <si>
    <t>-522.700491715549 108.012576797845 -776.542591740597</t>
  </si>
  <si>
    <t>-505.884725254272 253.640276267197 -765.02897599905</t>
  </si>
  <si>
    <t>-546.030652689221 352.883614759268 -467.161067312228</t>
  </si>
  <si>
    <t>-370.467553445182 255.802775311193 -301.646900664313</t>
  </si>
  <si>
    <t>-536.973993800191 46.4843468489382 -769.197840844065</t>
  </si>
  <si>
    <t>-470.743490546183 227.090307023991 -250.443138518849</t>
  </si>
  <si>
    <t>-462.948655695276 211.304115376998 204.911244265927</t>
  </si>
  <si>
    <t>-492.604814762675 166.704952729678 671.713322508135</t>
  </si>
  <si>
    <t>-339.625423817302 154.732124931234 757.721853153646</t>
  </si>
  <si>
    <t>-518.973570448499 39.2404296059685 -226.741238307651</t>
  </si>
  <si>
    <t>-430.865447169442 -10.1531911720343 217.617775225604</t>
  </si>
  <si>
    <t>-593.565673558547 -96.3097445761476 649.950290685525</t>
  </si>
  <si>
    <t>-446.475821754755 -146.658280140534 732.249288928063</t>
  </si>
  <si>
    <t>9763-20170724T164352.086744500.bin</t>
  </si>
  <si>
    <t>-494.338511449786 132.849777638292 -238.939050178816</t>
  </si>
  <si>
    <t>-534.252297435706 128.482629804758 -353.200184704055</t>
  </si>
  <si>
    <t>-548.466600200604 117.271776505829 -473.045227461733</t>
  </si>
  <si>
    <t>-550.525326873324 104.565367752848 -581.807283897648</t>
  </si>
  <si>
    <t>-541.86187693346 89.4734856228952 -689.936906210596</t>
  </si>
  <si>
    <t>-518.692913405898 66.1693180528315 -838.665198803558</t>
  </si>
  <si>
    <t>-472.90437450617 52.0130275644135 -928.587299865283</t>
  </si>
  <si>
    <t>-521.788042941434 107.236412387699 -776.56175831579</t>
  </si>
  <si>
    <t>-504.881578995058 252.876712527357 -765.213509414912</t>
  </si>
  <si>
    <t>-546.02744147833 353.430903364407 -467.922288734801</t>
  </si>
  <si>
    <t>-370.934511002042 256.428715095995 -301.864813217782</t>
  </si>
  <si>
    <t>-536.100829790031 45.7249770885746 -769.153243590997</t>
  </si>
  <si>
    <t>-470.133262500447 226.777226770841 -250.474290325247</t>
  </si>
  <si>
    <t>-462.619977838698 211.07738763794 204.887944646731</t>
  </si>
  <si>
    <t>-492.596870490573 166.679809805 671.675660369407</t>
  </si>
  <si>
    <t>-339.541684173633 155.746206513611 757.687682149412</t>
  </si>
  <si>
    <t>-518.385317758309 38.8961510810764 -226.766889734358</t>
  </si>
  <si>
    <t>-430.545043679426 -10.3404232080313 217.662527457944</t>
  </si>
  <si>
    <t>-593.484422895854 -96.7503007963271 649.902873742873</t>
  </si>
  <si>
    <t>-446.057689908874 -145.992533263205 732.268348473012</t>
  </si>
  <si>
    <t>9763-20170724T164352.119390200.bin</t>
  </si>
  <si>
    <t>-494.099102580768 132.795985430012 -238.933456781634</t>
  </si>
  <si>
    <t>-533.929226952161 128.376438327753 -353.221832422085</t>
  </si>
  <si>
    <t>-548.059711597405 117.098941747084 -473.070498525095</t>
  </si>
  <si>
    <t>-550.044127068024 104.326172857025 -581.82607853055</t>
  </si>
  <si>
    <t>-541.308751326227 89.1617956521025 -689.939827706957</t>
  </si>
  <si>
    <t>-518.042942761915 65.7500742639368 -838.636256310119</t>
  </si>
  <si>
    <t>-472.068370862703 51.5007661361701 -928.448592038847</t>
  </si>
  <si>
    <t>-521.188446995964 106.864096244607 -776.566411937397</t>
  </si>
  <si>
    <t>-504.326802376951 252.512713140244 -765.296095540651</t>
  </si>
  <si>
    <t>-546.001020644832 353.776295103154 -468.319446716974</t>
  </si>
  <si>
    <t>-371.123451181423 256.754338717327 -302.046621942334</t>
  </si>
  <si>
    <t>-535.486264641042 45.3539248652971 -769.11886443325</t>
  </si>
  <si>
    <t>-469.911258149606 226.785555576983 -250.480662676952</t>
  </si>
  <si>
    <t>-462.466154947013 211.089025424337 204.882774314253</t>
  </si>
  <si>
    <t>-492.600350097765 166.646435362342 671.66854037911</t>
  </si>
  <si>
    <t>-339.599375972831 155.196433651353 757.709917448309</t>
  </si>
  <si>
    <t>-518.134384118055 38.81211138135 -226.748986879676</t>
  </si>
  <si>
    <t>-430.404151667859 -10.4166318494311 217.703083436668</t>
  </si>
  <si>
    <t>-593.464291423338 -97.0003598474713 649.906090804197</t>
  </si>
  <si>
    <t>-445.98327156806 -146.031560724583 732.300258677108</t>
  </si>
  <si>
    <t>9763-20170724T164352.186571500.bin</t>
  </si>
  <si>
    <t>-493.390370136209 132.719479799734 -238.927702496807</t>
  </si>
  <si>
    <t>-533.17121263887 128.271912234108 -353.232083318537</t>
  </si>
  <si>
    <t>-547.216398778533 116.929470561547 -473.08471031411</t>
  </si>
  <si>
    <t>-549.108714913595 104.088645648323 -581.833905325618</t>
  </si>
  <si>
    <t>-540.266438888297 88.8501368655683 -689.928564988184</t>
  </si>
  <si>
    <t>-516.837242177013 65.332668062693 -838.582425497026</t>
  </si>
  <si>
    <t>-470.164920285155 50.9288241110113 -928.009728331768</t>
  </si>
  <si>
    <t>-520.092831389392 106.499640447768 -776.553523611089</t>
  </si>
  <si>
    <t>-503.339185328719 252.169048722555 -765.441220170277</t>
  </si>
  <si>
    <t>-545.96352472763 355.075707498753 -469.164983147353</t>
  </si>
  <si>
    <t>-371.555157389979 257.574157599503 -302.680294888836</t>
  </si>
  <si>
    <t>-534.314941353485 44.9771865695643 -769.06201501882</t>
  </si>
  <si>
    <t>-469.183456233303 226.483651950581 -250.486261267962</t>
  </si>
  <si>
    <t>-462.035294077489 210.966967687202 204.888109481393</t>
  </si>
  <si>
    <t>-492.564524688399 166.471103838885 671.645330375914</t>
  </si>
  <si>
    <t>-339.556924628428 155.333450967478 757.715835412912</t>
  </si>
  <si>
    <t>-517.458075347085 38.9549522833899 -226.72100214317</t>
  </si>
  <si>
    <t>-430.026846143563 -10.2468611648404 217.792846755398</t>
  </si>
  <si>
    <t>-593.372757893144 -96.6471596631924 649.887595854305</t>
  </si>
  <si>
    <t>-446.2242914708 -146.528036641024 732.366419972456</t>
  </si>
  <si>
    <t>9763-20170724T164352.217681100.bin</t>
  </si>
  <si>
    <t>-493.055238423854 132.397217013264 -238.917433760029</t>
  </si>
  <si>
    <t>-532.754218176275 127.928956686724 -353.24952250368</t>
  </si>
  <si>
    <t>-546.773953140043 116.56890823971 -473.103464274324</t>
  </si>
  <si>
    <t>-548.667306316117 103.71461606134 -581.851072471808</t>
  </si>
  <si>
    <t>-539.849900181038 88.4658920505958 -689.946324278746</t>
  </si>
  <si>
    <t>-516.479415805809 64.937801944689 -838.607770617487</t>
  </si>
  <si>
    <t>-469.285045346262 50.4320799201609 -927.743908983284</t>
  </si>
  <si>
    <t>-519.730021778304 106.113253692445 -776.584137104608</t>
  </si>
  <si>
    <t>-503.035422645882 251.805785144325 -765.543765782067</t>
  </si>
  <si>
    <t>-546.015136067707 355.378267650357 -469.551160190075</t>
  </si>
  <si>
    <t>-371.748593248368 257.638598284684 -303.057291564971</t>
  </si>
  <si>
    <t>-533.910236930853 44.5833067697852 -769.075215781826</t>
  </si>
  <si>
    <t>-468.831082835792 226.037999720373 -250.487083807932</t>
  </si>
  <si>
    <t>-461.723413039218 210.576171703057 204.889806306009</t>
  </si>
  <si>
    <t>-492.419418295737 165.870107197438 671.642980808165</t>
  </si>
  <si>
    <t>-339.299019827754 156.233213013799 757.694111717205</t>
  </si>
  <si>
    <t>-517.121545685836 38.6896946442968 -226.737037741439</t>
  </si>
  <si>
    <t>-429.819967013731 -10.4294544614141 217.811579275021</t>
  </si>
  <si>
    <t>-593.340823956787 -96.7089338073053 649.872654311112</t>
  </si>
  <si>
    <t>-446.136833435559 -146.385401301442 732.375643298148</t>
  </si>
  <si>
    <t>9763-20170724T164352.289987700.bin</t>
  </si>
  <si>
    <t>-492.550944327484 132.539345006985 -238.92960547888</t>
  </si>
  <si>
    <t>-532.26458943916 128.066735880896 -353.256432730702</t>
  </si>
  <si>
    <t>-546.252394579476 116.669145811152 -473.110451553524</t>
  </si>
  <si>
    <t>-548.096820973407 103.770930027402 -581.853687674415</t>
  </si>
  <si>
    <t>-539.210605769728 88.4703912078737 -689.936028093681</t>
  </si>
  <si>
    <t>-515.724258566527 64.8641391280266 -838.56687030998</t>
  </si>
  <si>
    <t>-467.4850828557 50.2254710193216 -927.120111669004</t>
  </si>
  <si>
    <t>-519.070037853662 106.08181083193 -776.576374423969</t>
  </si>
  <si>
    <t>-502.595146673842 251.80342434343 -765.624703765714</t>
  </si>
  <si>
    <t>-546.042244079649 355.957565051375 -469.904507242962</t>
  </si>
  <si>
    <t>-371.776924119701 258.241943410708 -303.395421576635</t>
  </si>
  <si>
    <t>-533.162395862718 44.5364572631905 -769.028238799793</t>
  </si>
  <si>
    <t>-468.462450424083 226.256337888997 -250.474871745814</t>
  </si>
  <si>
    <t>-461.097286711279 210.953504027384 204.903190327699</t>
  </si>
  <si>
    <t>-492.62458171931 166.618981006694 671.634685867898</t>
  </si>
  <si>
    <t>-339.63452222095 155.584875892109 757.749660917957</t>
  </si>
  <si>
    <t>-516.507405304633 38.9080681017875 -226.750816012877</t>
  </si>
  <si>
    <t>-429.446523014021 -9.99679961428778 217.868546631155</t>
  </si>
  <si>
    <t>-593.211193160589 -96.1633839682273 649.796006931984</t>
  </si>
  <si>
    <t>-446.512223642858 -147.084219745365 732.439706243021</t>
  </si>
  <si>
    <t>9763-20170724T164352.326081200.bin</t>
  </si>
  <si>
    <t>-492.391603400669 132.326696684369 -238.915075929717</t>
  </si>
  <si>
    <t>-532.130458433362 127.860345166039 -353.233477633414</t>
  </si>
  <si>
    <t>-546.006392552696 116.416668157418 -473.096267299912</t>
  </si>
  <si>
    <t>-547.692428907566 103.459350086703 -581.834920281835</t>
  </si>
  <si>
    <t>-538.591920314362 88.0847360465488 -689.888851760347</t>
  </si>
  <si>
    <t>-514.751804606817 64.3626522463012 -838.444922817483</t>
  </si>
  <si>
    <t>-466.008788515554 49.6708919673447 -926.713052592031</t>
  </si>
  <si>
    <t>-518.279191995701 105.635592956392 -776.501235144052</t>
  </si>
  <si>
    <t>-501.938303058236 251.368769024608 -765.56715699146</t>
  </si>
  <si>
    <t>-545.723331335404 355.535384001951 -469.90119031447</t>
  </si>
  <si>
    <t>-371.449636478583 257.994393867559 -303.298426776326</t>
  </si>
  <si>
    <t>-532.321475012901 44.0822078642697 -768.925696262327</t>
  </si>
  <si>
    <t>-468.322799674733 226.054122900719 -250.43889371442</t>
  </si>
  <si>
    <t>-460.579627288666 210.769362210613 204.933582549685</t>
  </si>
  <si>
    <t>-492.620243769908 166.48095687357 671.651924050763</t>
  </si>
  <si>
    <t>-339.600908877178 155.806684422334 757.760339182974</t>
  </si>
  <si>
    <t>-516.322629941708 38.6145127353852 -226.756642879918</t>
  </si>
  <si>
    <t>-429.323790968618 -10.1882552629761 217.886098376885</t>
  </si>
  <si>
    <t>-593.183704607506 -96.5454952658193 649.768697695137</t>
  </si>
  <si>
    <t>-446.218532564397 -146.665023701158 732.429427848052</t>
  </si>
  <si>
    <t>9763-20170724T164352.389250100.bin</t>
  </si>
  <si>
    <t>-492.232062240531 132.118754057558 -238.889061043519</t>
  </si>
  <si>
    <t>-532.096288238516 127.659933305026 -353.164045665553</t>
  </si>
  <si>
    <t>-545.87606300972 116.218990328471 -473.038203897084</t>
  </si>
  <si>
    <t>-547.382132238764 103.267217858347 -581.78010404663</t>
  </si>
  <si>
    <t>-538.009888835553 87.9045204412364 -689.812543147249</t>
  </si>
  <si>
    <t>-513.699700267803 64.2093014809654 -838.296747661465</t>
  </si>
  <si>
    <t>-464.127041634899 49.5191900353966 -926.101883927243</t>
  </si>
  <si>
    <t>-517.483446069745 105.483346982152 -776.368931935368</t>
  </si>
  <si>
    <t>-501.350135535092 251.244424000351 -765.362548139145</t>
  </si>
  <si>
    <t>-545.970093074967 355.407512982531 -469.820169516915</t>
  </si>
  <si>
    <t>-371.812848633143 258.011058493749 -303.01111227497</t>
  </si>
  <si>
    <t>-531.429016613863 43.9040300436586 -768.825340670556</t>
  </si>
  <si>
    <t>-468.274445316571 225.852195926759 -250.356969186283</t>
  </si>
  <si>
    <t>-459.82957688518 210.636081279936 205.005256918783</t>
  </si>
  <si>
    <t>-492.653015391524 166.350754859232 671.667946536816</t>
  </si>
  <si>
    <t>-339.626777285324 155.737794168106 757.771677986939</t>
  </si>
  <si>
    <t>-516.017005828475 38.3691418973452 -226.748564169332</t>
  </si>
  <si>
    <t>-429.148085821092 -10.1257187106882 217.953207017627</t>
  </si>
  <si>
    <t>-593.093887140175 -96.625504674626 649.74467985232</t>
  </si>
  <si>
    <t>-446.167928124384 -146.740256251479 732.477891389442</t>
  </si>
  <si>
    <t>9763-20170724T164352.421340300.bin</t>
  </si>
  <si>
    <t>-492.20545264976 132.100702851822 -238.883624392608</t>
  </si>
  <si>
    <t>-532.114599933482 127.639740830312 -353.142752975468</t>
  </si>
  <si>
    <t>-545.874193039361 116.20980674852 -473.020206597832</t>
  </si>
  <si>
    <t>-547.334772147278 103.274499678142 -581.764953509798</t>
  </si>
  <si>
    <t>-537.889882315344 87.9354817531011 -689.79427788622</t>
  </si>
  <si>
    <t>-513.451631608318 64.2814854492138 -838.26404801605</t>
  </si>
  <si>
    <t>-463.542599728417 49.6283001223954 -925.88451687309</t>
  </si>
  <si>
    <t>-517.305022269785 105.541635179608 -776.331260238671</t>
  </si>
  <si>
    <t>-501.314469279279 251.299776810054 -765.288293741744</t>
  </si>
  <si>
    <t>-546.42062623879 355.526176676528 -469.842023063245</t>
  </si>
  <si>
    <t>-372.280477229852 258.057433693056 -303.057483597844</t>
  </si>
  <si>
    <t>-531.22458656976 43.9536828503459 -768.810237314994</t>
  </si>
  <si>
    <t>-468.333580286258 225.924574394706 -250.347384013875</t>
  </si>
  <si>
    <t>-459.709907548832 210.750885556075 205.012995579585</t>
  </si>
  <si>
    <t>-492.781037687098 166.804364344572 671.659292174154</t>
  </si>
  <si>
    <t>-339.829577048379 155.346181817183 757.787459621177</t>
  </si>
  <si>
    <t>-515.944772175456 38.2791892112869 -226.74510463276</t>
  </si>
  <si>
    <t>-429.116521480908 -10.1687159782434 217.969770377122</t>
  </si>
  <si>
    <t>-593.054687721553 -96.8023703164042 649.747917988226</t>
  </si>
  <si>
    <t>-446.038825657146 -146.61728701752 732.502431742402</t>
  </si>
  <si>
    <t>9763-20170724T164352.486515200.bin</t>
  </si>
  <si>
    <t>-492.197210896913 131.782773527418 -238.877800469344</t>
  </si>
  <si>
    <t>-532.058184994139 127.322312993154 -353.153836139432</t>
  </si>
  <si>
    <t>-545.74710004919 115.931737393791 -473.043028574253</t>
  </si>
  <si>
    <t>-547.134897294285 103.050269548578 -581.7950540716</t>
  </si>
  <si>
    <t>-537.60891403815 87.7846088292787 -689.827658871722</t>
  </si>
  <si>
    <t>-513.049715289259 64.254123330315 -838.297095165262</t>
  </si>
  <si>
    <t>-462.737812148682 49.7338946763113 -925.709218507773</t>
  </si>
  <si>
    <t>-516.996412405093 105.471379515944 -776.34167272922</t>
  </si>
  <si>
    <t>-501.281177754748 251.264228778307 -765.163109174016</t>
  </si>
  <si>
    <t>-547.3091390641 355.686470961409 -469.928151294463</t>
  </si>
  <si>
    <t>-373.14584855508 258.284242328945 -303.12893885022</t>
  </si>
  <si>
    <t>-530.836382667792 43.8599043972602 -768.866475449032</t>
  </si>
  <si>
    <t>-468.347497902624 225.553169873214 -250.345894850644</t>
  </si>
  <si>
    <t>-459.736579748134 210.499740613469 205.018836762835</t>
  </si>
  <si>
    <t>-492.748521748923 166.542617825911 671.668211231404</t>
  </si>
  <si>
    <t>-339.738681768348 155.75828173987 757.77985694346</t>
  </si>
  <si>
    <t>-515.863837577024 37.9846814417405 -226.786316676146</t>
  </si>
  <si>
    <t>-429.163524536392 -10.3229904535412 217.968764449811</t>
  </si>
  <si>
    <t>-593.014399336338 -96.9002721380559 649.793389426137</t>
  </si>
  <si>
    <t>-446.011097502312 -146.662040600921 732.602205575248</t>
  </si>
  <si>
    <t>9763-20170724T164352.518108300.bin</t>
  </si>
  <si>
    <t>-492.283349256301 131.586740390915 -238.901527719261</t>
  </si>
  <si>
    <t>-532.133962183197 127.132612580272 -353.181501102525</t>
  </si>
  <si>
    <t>-545.806375489604 115.764501971812 -473.074750917144</t>
  </si>
  <si>
    <t>-547.177084259805 102.909689514566 -581.830101324682</t>
  </si>
  <si>
    <t>-537.631945892452 87.6769790864258 -689.865768196228</t>
  </si>
  <si>
    <t>-513.044045993196 64.1984858937746 -838.33869843758</t>
  </si>
  <si>
    <t>-462.655606154127 49.7471695817702 -925.718035392003</t>
  </si>
  <si>
    <t>-517.019902166154 105.397482607693 -776.372892133225</t>
  </si>
  <si>
    <t>-501.421287274121 251.186287146407 -765.135417694801</t>
  </si>
  <si>
    <t>-547.939513654006 355.618189243792 -469.980820760929</t>
  </si>
  <si>
    <t>-373.803872233039 258.394215117858 -303.048761782553</t>
  </si>
  <si>
    <t>-530.826936217458 43.776479841809 -768.915107591464</t>
  </si>
  <si>
    <t>-468.486708039933 225.318491871421 -250.359982089791</t>
  </si>
  <si>
    <t>-459.817576917777 210.332810966756 205.005704415556</t>
  </si>
  <si>
    <t>-492.725060765898 166.389704549173 671.670208038241</t>
  </si>
  <si>
    <t>-339.70545822677 155.719829117344 757.77875847592</t>
  </si>
  <si>
    <t>-515.931697493086 37.805976460093 -226.822407395864</t>
  </si>
  <si>
    <t>-429.25413961749 -10.3879716402957 217.949447411138</t>
  </si>
  <si>
    <t>-593.008772151966 -96.886210536376 649.833001307007</t>
  </si>
  <si>
    <t>-446.123585899253 -146.955327613292 732.666070605952</t>
  </si>
  <si>
    <t>9763-20170724T164352.586292100.bin</t>
  </si>
  <si>
    <t>-492.652390600086 131.288043786647 -238.958009334247</t>
  </si>
  <si>
    <t>-532.511111464654 126.845026918611 -353.235588116094</t>
  </si>
  <si>
    <t>-546.114745894733 115.513082972622 -473.140065918464</t>
  </si>
  <si>
    <t>-547.391715287737 102.701834282278 -581.901832379524</t>
  </si>
  <si>
    <t>-537.722415824842 87.5240920079337 -689.934016054449</t>
  </si>
  <si>
    <t>-512.931524748382 64.1343977628939 -838.387250154171</t>
  </si>
  <si>
    <t>-462.384678718115 49.7905336499398 -925.692761801091</t>
  </si>
  <si>
    <t>-517.018031319734 105.301477400922 -776.407512516344</t>
  </si>
  <si>
    <t>-501.549518747388 251.095258010692 -765.052840247593</t>
  </si>
  <si>
    <t>-549.034528806225 355.779177782371 -470.141489432638</t>
  </si>
  <si>
    <t>-375.07738971241 258.602397969312 -302.995904200688</t>
  </si>
  <si>
    <t>-530.783430986978 43.6657223516494 -768.995174408062</t>
  </si>
  <si>
    <t>-468.8977456826 225.069241055754 -250.384863863522</t>
  </si>
  <si>
    <t>-460.107199652527 210.195353200174 204.982281489041</t>
  </si>
  <si>
    <t>-492.756669385246 166.436993934889 671.675915870626</t>
  </si>
  <si>
    <t>-339.770864307752 155.42105681237 757.800742823362</t>
  </si>
  <si>
    <t>-516.251278516929 37.4911917801228 -226.87826963305</t>
  </si>
  <si>
    <t>-429.40193668014 -10.5633026233345 217.875259019606</t>
  </si>
  <si>
    <t>-592.969547786602 -96.9099033478103 649.844686855118</t>
  </si>
  <si>
    <t>-445.980953392449 -146.639974555334 732.698614328439</t>
  </si>
  <si>
    <t>9763-20170724T164352.668012200.bin</t>
  </si>
  <si>
    <t>-492.775066879988 131.269314080112 -238.949722233919</t>
  </si>
  <si>
    <t>-532.619674832546 126.822176863447 -353.231847728493</t>
  </si>
  <si>
    <t>-546.187947108429 115.497868402102 -473.141168643648</t>
  </si>
  <si>
    <t>-547.424482564166 102.699333909094 -581.904780529452</t>
  </si>
  <si>
    <t>-537.706342317855 87.5407849542375 -689.935351757742</t>
  </si>
  <si>
    <t>-512.839327918278 64.1852468613841 -838.38120549892</t>
  </si>
  <si>
    <t>-462.214860253186 49.8639955584036 -925.645385343704</t>
  </si>
  <si>
    <t>-516.966494183581 105.339814350382 -776.395954045527</t>
  </si>
  <si>
    <t>-501.524121089333 251.139544751379 -764.981622327547</t>
  </si>
  <si>
    <t>-549.372930355972 356.088559281013 -470.223355245734</t>
  </si>
  <si>
    <t>-375.541494776719 258.837506859297 -302.990191811358</t>
  </si>
  <si>
    <t>-530.717957827376 43.6988261852322 -769.001202687951</t>
  </si>
  <si>
    <t>-469.044311728013 225.078134537318 -250.396942773239</t>
  </si>
  <si>
    <t>-460.269498221966 210.252030467819 204.972029428252</t>
  </si>
  <si>
    <t>-492.839106993123 166.726232162019 671.675736934714</t>
  </si>
  <si>
    <t>-339.856878855478 155.646253278734 757.79878538487</t>
  </si>
  <si>
    <t>-516.324949932472 37.4908302604514 -226.897251520262</t>
  </si>
  <si>
    <t>-429.444776115921 -10.4798298668356 217.859262264928</t>
  </si>
  <si>
    <t>-592.935899526569 -96.6414857052448 649.837676249025</t>
  </si>
  <si>
    <t>-446.051852262441 -146.662140962075 732.702129202522</t>
  </si>
  <si>
    <t>9763-20170724T164352.722838800.bin</t>
  </si>
  <si>
    <t>-493.230520780067 131.125920090568 -238.963845710348</t>
  </si>
  <si>
    <t>-533.175399854431 126.721270873368 -353.212776147737</t>
  </si>
  <si>
    <t>-546.78024731418 115.44298020385 -473.122186793452</t>
  </si>
  <si>
    <t>-548.021700829611 102.689143322585 -581.890994337934</t>
  </si>
  <si>
    <t>-538.280208753035 87.5794359783398 -689.926384035167</t>
  </si>
  <si>
    <t>-513.351691173141 64.2973529021799 -838.373369882245</t>
  </si>
  <si>
    <t>-462.560351710914 49.98470216331 -925.542058056866</t>
  </si>
  <si>
    <t>-517.508800532198 105.422167444404 -776.370217894896</t>
  </si>
  <si>
    <t>-502.000378362928 251.207789443022 -764.83591288145</t>
  </si>
  <si>
    <t>-550.795658458897 356.131931128712 -470.223939409224</t>
  </si>
  <si>
    <t>-377.284016714172 258.825273183394 -302.691362770997</t>
  </si>
  <si>
    <t>-531.254746660156 43.77579338239 -769.010105119354</t>
  </si>
  <si>
    <t>-469.490494055693 224.856130664002 -250.390960735126</t>
  </si>
  <si>
    <t>-460.391238905521 210.001889884296 204.970782622831</t>
  </si>
  <si>
    <t>-492.769656236856 166.247471289928 671.703202754908</t>
  </si>
  <si>
    <t>-339.74216327547 155.563970825611 757.795949457084</t>
  </si>
  <si>
    <t>-516.823076773522 37.3731311450217 -226.88094332647</t>
  </si>
  <si>
    <t>-429.610796903229 -10.6988400627497 217.799605983136</t>
  </si>
  <si>
    <t>-592.938737046397 -96.9182092895536 649.875870299431</t>
  </si>
  <si>
    <t>-446.071357662712 -147.030078393467 732.714748190725</t>
  </si>
  <si>
    <t>9763-20170724T164352.788012000.bin</t>
  </si>
  <si>
    <t>-493.581428742877 131.266197743733 -238.974313226514</t>
  </si>
  <si>
    <t>-533.555005430544 126.884787619505 -353.214011172253</t>
  </si>
  <si>
    <t>-547.207992630607 115.628868925855 -473.120086584555</t>
  </si>
  <si>
    <t>-548.500162253209 102.89514437078 -581.89066749778</t>
  </si>
  <si>
    <t>-538.815963113068 87.8059742357558 -689.934086726799</t>
  </si>
  <si>
    <t>-513.973190409148 64.552697517224 -838.399917002632</t>
  </si>
  <si>
    <t>-463.166734395887 50.204526344574 -925.553971059268</t>
  </si>
  <si>
    <t>-518.084075458146 105.663299088809 -776.38447112863</t>
  </si>
  <si>
    <t>-502.544123383483 251.428745879612 -764.699148508651</t>
  </si>
  <si>
    <t>-551.717679260458 356.247124709587 -470.112550289041</t>
  </si>
  <si>
    <t>-378.386381205409 258.791772664169 -302.479750167861</t>
  </si>
  <si>
    <t>-531.846605859797 44.0197192618173 -769.032399752029</t>
  </si>
  <si>
    <t>-469.860439736545 225.168825703039 -250.398129970093</t>
  </si>
  <si>
    <t>-460.727662231979 210.227710741786 204.96004212126</t>
  </si>
  <si>
    <t>-492.936651384934 166.852607938488 671.702466669</t>
  </si>
  <si>
    <t>-339.973187501521 155.350775533746 757.803564250432</t>
  </si>
  <si>
    <t>-517.132207287744 37.3507911997192 -226.906189429899</t>
  </si>
  <si>
    <t>-429.867702132096 -10.7288187346128 217.763252437149</t>
  </si>
  <si>
    <t>-592.960818683805 -97.1012704472074 649.928058923594</t>
  </si>
  <si>
    <t>-445.859746569137 -146.629624210046 732.703160156307</t>
  </si>
  <si>
    <t>9763-20170724T164352.820642800.bin</t>
  </si>
  <si>
    <t>-493.764442972079 131.409121454958 -238.970674251895</t>
  </si>
  <si>
    <t>-533.741712877933 127.04403392161 -353.209786349776</t>
  </si>
  <si>
    <t>-547.427793505557 115.806438970918 -473.11380872594</t>
  </si>
  <si>
    <t>-548.761597309372 103.090727656609 -581.88594038497</t>
  </si>
  <si>
    <t>-539.130177770135 88.0211091060482 -689.936911885833</t>
  </si>
  <si>
    <t>-514.371633084759 64.7970418063282 -838.421282889316</t>
  </si>
  <si>
    <t>-463.581122073289 50.4368223667211 -925.582671800944</t>
  </si>
  <si>
    <t>-518.44509080653 105.895062808585 -776.394863945862</t>
  </si>
  <si>
    <t>-502.894331459336 251.653831245547 -764.692894925486</t>
  </si>
  <si>
    <t>-552.230900463361 356.491468851917 -470.140413105597</t>
  </si>
  <si>
    <t>-378.97975252557 259.013740238427 -302.437677347662</t>
  </si>
  <si>
    <t>-532.207976675391 44.250889768531 -769.048141637709</t>
  </si>
  <si>
    <t>-470.03823551453 225.341538838884 -250.399188182592</t>
  </si>
  <si>
    <t>-460.979777999106 210.366770267623 204.959347863267</t>
  </si>
  <si>
    <t>-493.010463139267 167.118572713509 671.707342454861</t>
  </si>
  <si>
    <t>-340.062504969236 155.373545309139 757.803168379648</t>
  </si>
  <si>
    <t>-517.351344973701 37.4970292935008 -226.891350268528</t>
  </si>
  <si>
    <t>-429.982316180819 -10.6360778183443 217.75179776055</t>
  </si>
  <si>
    <t>-592.963259645725 -96.9988162936728 649.942794265131</t>
  </si>
  <si>
    <t>-446.000136052282 -146.956684979975 732.704824593727</t>
  </si>
  <si>
    <t>9763-20170724T164352.884815200.bin</t>
  </si>
  <si>
    <t>-494.078326822764 131.45741585452 -238.990147732613</t>
  </si>
  <si>
    <t>-534.070244401768 127.120988207092 -353.225232405548</t>
  </si>
  <si>
    <t>-547.815570736764 115.903833742706 -473.124262514774</t>
  </si>
  <si>
    <t>-549.219618520692 103.207195077884 -581.897826352943</t>
  </si>
  <si>
    <t>-539.673944165044 88.1597327466804 -689.959415970778</t>
  </si>
  <si>
    <t>-515.049027248915 64.9717032116468 -838.471886732637</t>
  </si>
  <si>
    <t>-464.309751019135 50.6227838668324 -925.664750147167</t>
  </si>
  <si>
    <t>-519.08095790434 106.057514558267 -776.434524848439</t>
  </si>
  <si>
    <t>-503.616045645096 251.827269679653 -764.675942436156</t>
  </si>
  <si>
    <t>-553.236924444504 356.900456704359 -470.255141857053</t>
  </si>
  <si>
    <t>-380.079096453965 259.316328136937 -302.517957420082</t>
  </si>
  <si>
    <t>-532.808649667454 44.4058539333509 -769.084817542857</t>
  </si>
  <si>
    <t>-470.347860567925 225.439012461138 -250.429113545901</t>
  </si>
  <si>
    <t>-461.465018137785 210.345439785255 204.928929066173</t>
  </si>
  <si>
    <t>-493.019977221583 167.128172883761 671.712159786407</t>
  </si>
  <si>
    <t>-340.053276113217 155.509405704468 757.791839471888</t>
  </si>
  <si>
    <t>-517.679909372857 37.4722003075916 -226.894230475748</t>
  </si>
  <si>
    <t>-430.185174055438 -10.7965649552205 217.709594067796</t>
  </si>
  <si>
    <t>-593.001361529273 -97.1532959706895 649.973249419563</t>
  </si>
  <si>
    <t>-445.73691164272 -146.400005530337 732.625807046799</t>
  </si>
  <si>
    <t>9763-20170724T164352.922284600.bin</t>
  </si>
  <si>
    <t>-494.22750332435 131.591366528174 -238.985578272454</t>
  </si>
  <si>
    <t>-534.180524286135 127.255664218848 -353.234196822015</t>
  </si>
  <si>
    <t>-547.897659467231 116.040399062357 -473.13682392654</t>
  </si>
  <si>
    <t>-549.280736891033 103.348299707271 -581.911109154471</t>
  </si>
  <si>
    <t>-539.718302610623 88.3095640134648 -689.972397811655</t>
  </si>
  <si>
    <t>-515.074429549853 65.1392259902557 -838.484496663115</t>
  </si>
  <si>
    <t>-464.338227046966 50.8266749322549 -925.685227011339</t>
  </si>
  <si>
    <t>-519.128614589754 106.220501839015 -776.445635528264</t>
  </si>
  <si>
    <t>-503.739415364915 251.990533954364 -764.683192465354</t>
  </si>
  <si>
    <t>-553.55390847537 357.205366972763 -470.345833036396</t>
  </si>
  <si>
    <t>-380.355296953444 259.65605030277 -302.630472497734</t>
  </si>
  <si>
    <t>-532.828602606273 44.5622759237031 -769.099301791366</t>
  </si>
  <si>
    <t>-470.498667770866 225.551591001537 -250.436977657502</t>
  </si>
  <si>
    <t>-461.715871125513 210.391738940574 204.920802857262</t>
  </si>
  <si>
    <t>-492.993279440419 166.966072282814 671.72589025709</t>
  </si>
  <si>
    <t>-340.032693526169 155.218972596319 757.798958737767</t>
  </si>
  <si>
    <t>-517.808165088268 37.6794101815555 -226.909469092393</t>
  </si>
  <si>
    <t>-430.32915720464 -10.7147201566732 217.683792430284</t>
  </si>
  <si>
    <t>-592.99307350278 -96.9047083726053 649.970846858727</t>
  </si>
  <si>
    <t>-445.796201470869 -146.387133228033 732.602998489774</t>
  </si>
  <si>
    <t>9763-20170724T164352.987458500.bin</t>
  </si>
  <si>
    <t>-494.459567510164 131.864340231098 -238.990547775778</t>
  </si>
  <si>
    <t>-534.473625405304 127.573183487811 -353.21961055357</t>
  </si>
  <si>
    <t>-548.201729461176 116.369029602969 -473.122003447918</t>
  </si>
  <si>
    <t>-549.571961322652 103.678580222138 -581.896533448828</t>
  </si>
  <si>
    <t>-539.973327411276 88.6365673758943 -689.954241943117</t>
  </si>
  <si>
    <t>-515.254812899937 65.460027754548 -838.452914006499</t>
  </si>
  <si>
    <t>-464.463988075661 51.224825836284 -925.634593380426</t>
  </si>
  <si>
    <t>-519.367497924362 106.549370059889 -776.423324142664</t>
  </si>
  <si>
    <t>-504.186805272319 252.352380814205 -764.669550888371</t>
  </si>
  <si>
    <t>-554.325214034983 357.715563096058 -470.440077952867</t>
  </si>
  <si>
    <t>-381.008961017744 260.318365177157 -302.757955334975</t>
  </si>
  <si>
    <t>-533.016399430881 44.8805119648031 -769.070451983586</t>
  </si>
  <si>
    <t>-470.805047245122 225.775314186086 -250.427457235252</t>
  </si>
  <si>
    <t>-462.050905388245 210.368669853196 204.922626462985</t>
  </si>
  <si>
    <t>-492.984153700679 166.834198187991 671.751798958196</t>
  </si>
  <si>
    <t>-339.945577737315 155.788572411013 757.779029433314</t>
  </si>
  <si>
    <t>-517.992511457604 38.0005132667773 -226.914654023971</t>
  </si>
  <si>
    <t>-430.449080935287 -10.4645682956264 217.658050777883</t>
  </si>
  <si>
    <t>-592.971736555436 -96.6736723448125 649.948165281713</t>
  </si>
  <si>
    <t>-445.99386508436 -146.806033515735 732.578349488272</t>
  </si>
  <si>
    <t>9763-20170724T164353.020072000.bin</t>
  </si>
  <si>
    <t>-494.606682653151 132.21537044291 -238.974061101026</t>
  </si>
  <si>
    <t>-534.647989177739 127.925109876107 -353.19364094069</t>
  </si>
  <si>
    <t>-548.396141240264 116.71692261457 -473.093279945833</t>
  </si>
  <si>
    <t>-549.78056565993 104.023257144955 -581.867357692921</t>
  </si>
  <si>
    <t>-540.191799782474 88.9798189944243 -689.925664028097</t>
  </si>
  <si>
    <t>-515.482237737931 65.8042220650869 -838.426001181835</t>
  </si>
  <si>
    <t>-464.67077389553 51.5886828668822 -925.598740708391</t>
  </si>
  <si>
    <t>-519.601296774364 106.895114683358 -776.397936977008</t>
  </si>
  <si>
    <t>-504.530557578319 252.6963079472 -764.641743481406</t>
  </si>
  <si>
    <t>-554.86694101173 358.085144777981 -470.455340292587</t>
  </si>
  <si>
    <t>-381.513450636003 260.725125806832 -302.790088199495</t>
  </si>
  <si>
    <t>-533.229642104758 45.2222703531301 -769.040676361361</t>
  </si>
  <si>
    <t>-470.933294083182 226.17913966388 -250.415484519088</t>
  </si>
  <si>
    <t>-462.104340524503 210.690053561385 204.930271132993</t>
  </si>
  <si>
    <t>-493.050448533109 167.088785567178 671.755429838305</t>
  </si>
  <si>
    <t>-340.091455948427 155.081210768819 757.795478796924</t>
  </si>
  <si>
    <t>-518.140236277406 38.3406471534488 -226.859820611256</t>
  </si>
  <si>
    <t>-430.403633847056 -10.2310744710004 217.663164032254</t>
  </si>
  <si>
    <t>-592.95769860315 -96.5089070418701 649.924928213733</t>
  </si>
  <si>
    <t>-446.119816297417 -147.044831057473 732.558325001132</t>
  </si>
  <si>
    <t>9763-20170724T164353.089258700.bin</t>
  </si>
  <si>
    <t>-494.716604359507 132.42659185497 -238.899746407426</t>
  </si>
  <si>
    <t>-534.845987546374 128.117425357856 -353.087563247038</t>
  </si>
  <si>
    <t>-548.624290632493 116.892356637885 -472.982193333438</t>
  </si>
  <si>
    <t>-550.010679514413 104.185694166178 -581.754785521422</t>
  </si>
  <si>
    <t>-540.398456608841 89.1325948061572 -689.809643673615</t>
  </si>
  <si>
    <t>-515.630391269268 65.9483217614683 -838.298862071515</t>
  </si>
  <si>
    <t>-464.762437409309 51.7237152520138 -925.437310704333</t>
  </si>
  <si>
    <t>-519.76312984655 107.040714277007 -776.272677927447</t>
  </si>
  <si>
    <t>-504.742230152213 252.854754434847 -764.478280008315</t>
  </si>
  <si>
    <t>-555.731280838522 358.447843704959 -470.47761107152</t>
  </si>
  <si>
    <t>-382.513384523567 260.890645032874 -302.786679481415</t>
  </si>
  <si>
    <t>-533.415944030053 45.3725902417553 -768.921397505983</t>
  </si>
  <si>
    <t>-470.910098599985 226.369862960728 -250.388206452587</t>
  </si>
  <si>
    <t>-462.047984977672 210.708614190462 204.95106324481</t>
  </si>
  <si>
    <t>-493.012088551483 166.896621791784 671.755855875666</t>
  </si>
  <si>
    <t>-340.009801823973 155.298529599123 757.775079342514</t>
  </si>
  <si>
    <t>-518.312472517315 38.4139817825076 -226.74569055777</t>
  </si>
  <si>
    <t>-430.304649477082 -10.3898711817227 217.698403481363</t>
  </si>
  <si>
    <t>-592.982061725853 -97.0878260840817 649.894033187394</t>
  </si>
  <si>
    <t>-445.683237340617 -146.368432759294 732.465157625188</t>
  </si>
  <si>
    <t>9763-20170724T164353.120850000.bin</t>
  </si>
  <si>
    <t>-494.764196096284 132.400476156824 -238.889320845316</t>
  </si>
  <si>
    <t>-534.939019358166 128.075947632566 -353.060574226622</t>
  </si>
  <si>
    <t>-548.721345868156 116.83989178294 -472.953818055275</t>
  </si>
  <si>
    <t>-550.093716396859 104.125746829465 -581.725617784947</t>
  </si>
  <si>
    <t>-540.450091642652 89.0681817544154 -689.777065655882</t>
  </si>
  <si>
    <t>-515.620557519565 65.8811728245921 -838.255658295902</t>
  </si>
  <si>
    <t>-464.721578351584 51.6478397330409 -925.374329378895</t>
  </si>
  <si>
    <t>-519.785710907666 106.97606743979 -776.233167644978</t>
  </si>
  <si>
    <t>-504.810555231761 252.792275316658 -764.451030706232</t>
  </si>
  <si>
    <t>-556.018437261522 358.461910357566 -470.515815526729</t>
  </si>
  <si>
    <t>-382.994998390604 260.775693570382 -302.699478299573</t>
  </si>
  <si>
    <t>-533.427946654169 45.3053715351098 -768.883660249221</t>
  </si>
  <si>
    <t>-470.917833651425 226.300897485204 -250.386374752478</t>
  </si>
  <si>
    <t>-461.946734953363 210.576360726809 204.948615746546</t>
  </si>
  <si>
    <t>-492.961695603771 166.703460157103 671.743621877486</t>
  </si>
  <si>
    <t>-339.913579528177 155.706085186771 757.760166047401</t>
  </si>
  <si>
    <t>-518.421513914331 38.4322079776767 -226.714162565604</t>
  </si>
  <si>
    <t>-430.274453694808 -10.461182697264 217.692430364143</t>
  </si>
  <si>
    <t>-592.986477317223 -97.2082249602282 649.891979799954</t>
  </si>
  <si>
    <t>-445.661337504193 -146.454671007843 732.436586181548</t>
  </si>
  <si>
    <t>9763-20170724T164353.190537000.bin</t>
  </si>
  <si>
    <t>-494.988235198123 132.787879530947 -238.891560640627</t>
  </si>
  <si>
    <t>-535.207936591789 128.44159319229 -353.046297335777</t>
  </si>
  <si>
    <t>-548.971234365175 117.182564909116 -472.939400905549</t>
  </si>
  <si>
    <t>-550.299753412283 104.447361288381 -581.709408659491</t>
  </si>
  <si>
    <t>-540.585957949058 89.3688982380844 -689.751557636611</t>
  </si>
  <si>
    <t>-515.632845206726 66.1532728689851 -838.204935075947</t>
  </si>
  <si>
    <t>-464.697373100074 51.9018793205909 -925.299393279486</t>
  </si>
  <si>
    <t>-519.844712566746 107.259071168263 -776.192929878466</t>
  </si>
  <si>
    <t>-504.827689218677 253.061160365716 -764.35326427555</t>
  </si>
  <si>
    <t>-556.582350715607 359.070837862311 -470.636456306978</t>
  </si>
  <si>
    <t>-383.980480432392 261.226452526169 -302.478358019938</t>
  </si>
  <si>
    <t>-533.503056679388 45.591815966481 -768.845020691324</t>
  </si>
  <si>
    <t>-471.082739405154 226.70022510098 -250.416507772792</t>
  </si>
  <si>
    <t>-462.235737112471 210.890208947037 204.91788028618</t>
  </si>
  <si>
    <t>-493.058154479634 167.18288766764 671.698786885263</t>
  </si>
  <si>
    <t>-340.083236301137 155.618474471009 757.771167303271</t>
  </si>
  <si>
    <t>-518.771766732743 38.9072460431624 -226.67258990295</t>
  </si>
  <si>
    <t>-430.385494738233 -10.2273931662621 217.659813443149</t>
  </si>
  <si>
    <t>-593.017153998952 -96.9808310112836 649.936632629842</t>
  </si>
  <si>
    <t>-445.877056017354 -146.947078849217 732.378620737385</t>
  </si>
  <si>
    <t>9763-20170724T164353.224753200.bin</t>
  </si>
  <si>
    <t>-495.194062465547 132.89411996195 -238.889222440509</t>
  </si>
  <si>
    <t>-535.31006338318 128.501126820729 -353.078637206598</t>
  </si>
  <si>
    <t>-549.011850341278 117.222205200648 -472.976947730075</t>
  </si>
  <si>
    <t>-550.304269159494 104.478980519368 -581.746432748637</t>
  </si>
  <si>
    <t>-540.57430442769 89.4016273377247 -689.787341097035</t>
  </si>
  <si>
    <t>-515.619412372074 66.1962204059557 -838.242007613856</t>
  </si>
  <si>
    <t>-464.68495819339 51.9541761640114 -925.338613384207</t>
  </si>
  <si>
    <t>-519.827350142653 107.29680588176 -776.226224853521</t>
  </si>
  <si>
    <t>-504.792807964744 253.095949545785 -764.385388958745</t>
  </si>
  <si>
    <t>-556.829545451215 359.353091902724 -470.807839856273</t>
  </si>
  <si>
    <t>-384.414003499751 261.475812753915 -302.477849763898</t>
  </si>
  <si>
    <t>-533.495086023352 45.6309045453499 -768.88449614699</t>
  </si>
  <si>
    <t>-471.247316376042 226.8900515994 -250.45485564347</t>
  </si>
  <si>
    <t>-462.547584103348 211.025828099393 204.880503563749</t>
  </si>
  <si>
    <t>-493.100119098168 167.392784508807 671.679833634267</t>
  </si>
  <si>
    <t>-340.182901361815 155.250983178765 757.7751600754</t>
  </si>
  <si>
    <t>-518.970976746332 38.8837224707743 -226.703480723537</t>
  </si>
  <si>
    <t>-430.55060472525 -10.236231009554 217.623829318464</t>
  </si>
  <si>
    <t>-593.051347609707 -96.968899927533 649.974572339077</t>
  </si>
  <si>
    <t>-445.693482359788 -146.440012710016 732.326132342999</t>
  </si>
  <si>
    <t>9763-20170724T164353.289414300.bin</t>
  </si>
  <si>
    <t>-495.54752071223 132.755074305418 -238.942204224032</t>
  </si>
  <si>
    <t>-535.666631514811 128.383168866613 -353.131353123996</t>
  </si>
  <si>
    <t>-549.416188204689 117.128280098674 -473.02638188873</t>
  </si>
  <si>
    <t>-550.769256721377 104.410028584687 -581.798022741385</t>
  </si>
  <si>
    <t>-541.116483346688 89.3618978470092 -689.849898419622</t>
  </si>
  <si>
    <t>-516.284973963874 66.2027341429262 -838.332416553635</t>
  </si>
  <si>
    <t>-465.386612060668 52.0252257901275 -925.4607371917</t>
  </si>
  <si>
    <t>-520.447320736893 107.285216582381 -776.301779188874</t>
  </si>
  <si>
    <t>-505.383014244095 253.084873848141 -764.418010653962</t>
  </si>
  <si>
    <t>-557.920557847382 359.924485020656 -471.141168216746</t>
  </si>
  <si>
    <t>-385.839243981214 262.144279318436 -302.41333305827</t>
  </si>
  <si>
    <t>-534.097073324021 45.6146191678035 -768.96545146792</t>
  </si>
  <si>
    <t>-471.523010980145 226.6660170944 -250.505853021197</t>
  </si>
  <si>
    <t>-463.056873412722 210.72943115731 204.831432224786</t>
  </si>
  <si>
    <t>-492.999798603808 166.952206258721 671.669565950923</t>
  </si>
  <si>
    <t>-339.943606060227 156.366811840531 757.723297116642</t>
  </si>
  <si>
    <t>-519.415315273304 38.8886161173008 -226.726988597973</t>
  </si>
  <si>
    <t>-430.944208883283 -10.3795828920928 217.573821630966</t>
  </si>
  <si>
    <t>-593.116608796461 -96.990193671242 650.059631019201</t>
  </si>
  <si>
    <t>-445.670711165363 -146.404089109689 732.287874065916</t>
  </si>
  <si>
    <t>9763-20170724T164353.322548700.bin</t>
  </si>
  <si>
    <t>-495.791864389318 133.036845254614 -238.976954886205</t>
  </si>
  <si>
    <t>-535.972890537753 128.687767747916 -353.145070786443</t>
  </si>
  <si>
    <t>-549.791056865787 117.44165858015 -473.033151424585</t>
  </si>
  <si>
    <t>-551.207164765045 104.727955812004 -581.80453328728</t>
  </si>
  <si>
    <t>-541.617534913391 89.6821711539803 -689.862445984955</t>
  </si>
  <si>
    <t>-516.872856143779 66.5252997619181 -838.359824451736</t>
  </si>
  <si>
    <t>-466.001659097311 52.3757175680575 -925.508526237389</t>
  </si>
  <si>
    <t>-521.00560336601 107.608158883681 -776.327176035314</t>
  </si>
  <si>
    <t>-505.986097520051 253.407321069084 -764.453681541179</t>
  </si>
  <si>
    <t>-558.679795318281 360.445060187331 -471.277141066896</t>
  </si>
  <si>
    <t>-386.69889928101 262.691443204485 -302.431473679335</t>
  </si>
  <si>
    <t>-534.637520815769 45.934736257786 -768.981383693589</t>
  </si>
  <si>
    <t>-471.800434078799 226.970013625706 -250.535347497846</t>
  </si>
  <si>
    <t>-463.298499636972 210.976645048656 204.799262939477</t>
  </si>
  <si>
    <t>-493.072196190558 167.219048547072 671.668498568276</t>
  </si>
  <si>
    <t>-340.065560228143 156.018907514788 757.732569446584</t>
  </si>
  <si>
    <t>-519.65648204729 39.236369382054 -226.745683684272</t>
  </si>
  <si>
    <t>-431.06173199358 -10.0998233918254 217.522837075363</t>
  </si>
  <si>
    <t>-593.088434526909 -96.5719859779781 650.049200800253</t>
  </si>
  <si>
    <t>-446.026183134224 -147.085572690914 732.296302130079</t>
  </si>
  <si>
    <t>9763-20170724T164353.389729300.bin</t>
  </si>
  <si>
    <t>-496.29262098361 133.279770298002 -238.942722940945</t>
  </si>
  <si>
    <t>-536.575267669234 128.955893232042 -353.076074974204</t>
  </si>
  <si>
    <t>-550.544656794825 117.757735992926 -472.951000719606</t>
  </si>
  <si>
    <t>-552.114801143145 105.101457200383 -581.726954694054</t>
  </si>
  <si>
    <t>-542.694229256569 90.1300632669576 -689.810099607274</t>
  </si>
  <si>
    <t>-518.197774644338 67.0966237772143 -838.367795577652</t>
  </si>
  <si>
    <t>-467.386956270182 53.027285193031 -925.564730245323</t>
  </si>
  <si>
    <t>-522.263951068801 108.135244685464 -776.301571727213</t>
  </si>
  <si>
    <t>-507.523582367844 253.97200332981 -764.48289768572</t>
  </si>
  <si>
    <t>-560.587274997212 361.225085073761 -471.451900836893</t>
  </si>
  <si>
    <t>-388.787608319673 263.570009836879 -302.36503065709</t>
  </si>
  <si>
    <t>-535.809432912152 46.4411530028602 -768.969780111468</t>
  </si>
  <si>
    <t>-472.311956494208 227.311900372237 -250.526919477017</t>
  </si>
  <si>
    <t>-463.534913439747 211.286859618708 204.801355885001</t>
  </si>
  <si>
    <t>-493.141038929763 167.387681393552 671.675691356366</t>
  </si>
  <si>
    <t>-340.21029517957 155.303740286553 757.755116199537</t>
  </si>
  <si>
    <t>-520.103483575989 39.2912333807302 -226.727066263097</t>
  </si>
  <si>
    <t>-431.280332002423 -10.1093758636027 217.488739470271</t>
  </si>
  <si>
    <t>-593.101590432076 -96.8244119901414 650.056876588506</t>
  </si>
  <si>
    <t>-445.792080248651 -146.679908748814 732.263095106723</t>
  </si>
  <si>
    <t>9763-20170724T164353.420849100.bin</t>
  </si>
  <si>
    <t>-496.458672676652 133.395351563632 -238.934244124765</t>
  </si>
  <si>
    <t>-536.820800206101 129.106486515295 -353.040748664518</t>
  </si>
  <si>
    <t>-550.875927123848 117.921353965931 -472.906887422431</t>
  </si>
  <si>
    <t>-552.523230843145 105.273135346492 -581.682785647008</t>
  </si>
  <si>
    <t>-543.178039222749 90.3093234524578 -689.773500536244</t>
  </si>
  <si>
    <t>-518.783077648594 67.2889492986251 -838.349839469451</t>
  </si>
  <si>
    <t>-467.991183025599 53.2027322359552 -925.555108802699</t>
  </si>
  <si>
    <t>-522.843335652759 108.329244786875 -776.284352028113</t>
  </si>
  <si>
    <t>-508.339324593794 254.192087156541 -764.573639202447</t>
  </si>
  <si>
    <t>-561.331126375595 361.597516159852 -471.585405697221</t>
  </si>
  <si>
    <t>-389.575445587894 264.16429436795 -302.325740517601</t>
  </si>
  <si>
    <t>-536.31085355864 46.6202426873966 -768.93451641586</t>
  </si>
  <si>
    <t>-472.478393585866 227.433764553722 -250.514059871009</t>
  </si>
  <si>
    <t>-463.58508928269 211.388078073625 204.81120685778</t>
  </si>
  <si>
    <t>-493.181192956233 167.516156121306 671.680685686106</t>
  </si>
  <si>
    <t>-340.276643204761 155.119536859431 757.762234919813</t>
  </si>
  <si>
    <t>-520.282898142057 39.3854948943005 -226.720043676012</t>
  </si>
  <si>
    <t>-431.331552373738 -9.95264861661606 217.477111958165</t>
  </si>
  <si>
    <t>-593.089493030833 -96.6976364242525 650.056871712406</t>
  </si>
  <si>
    <t>-445.952916756163 -147.041420548903 732.27510826478</t>
  </si>
  <si>
    <t>9763-20170724T164353.491047100.bin</t>
  </si>
  <si>
    <t>-496.638273097016 133.230820471843 -238.923707511716</t>
  </si>
  <si>
    <t>-537.124356642882 129.053035970295 -352.99034973949</t>
  </si>
  <si>
    <t>-551.360424322571 117.9613581496 -472.844016914859</t>
  </si>
  <si>
    <t>-553.185807750036 105.417125084332 -581.628815769222</t>
  </si>
  <si>
    <t>-544.027693266095 90.5929615910585 -689.754889910255</t>
  </si>
  <si>
    <t>-519.89721178548 67.8185817025267 -838.412419697019</t>
  </si>
  <si>
    <t>-469.101590076886 53.9697665527304 -925.653426971073</t>
  </si>
  <si>
    <t>-524.015808604025 108.788575952645 -776.304323936064</t>
  </si>
  <si>
    <t>-510.07140286165 254.728809490335 -764.910722778327</t>
  </si>
  <si>
    <t>-563.120891159872 362.638220475568 -472.118125693349</t>
  </si>
  <si>
    <t>-390.960442299512 266.016060682037 -302.804800035052</t>
  </si>
  <si>
    <t>-537.132645255188 47.0025226845391 -768.967793354798</t>
  </si>
  <si>
    <t>-472.427226426319 227.091142394715 -250.501374557684</t>
  </si>
  <si>
    <t>-463.443836448655 211.029927634336 204.821489977423</t>
  </si>
  <si>
    <t>-493.084497923586 167.011954650871 671.684438165597</t>
  </si>
  <si>
    <t>-340.066934455187 155.854211530733 757.734643068548</t>
  </si>
  <si>
    <t>-520.696976035415 39.3162038449335 -226.6901378404</t>
  </si>
  <si>
    <t>-431.544990675772 -10.1619211208258 217.45119175986</t>
  </si>
  <si>
    <t>-593.094457137559 -96.7217494900317 650.086926756584</t>
  </si>
  <si>
    <t>-445.788835796058 -146.620644728159 732.273607997792</t>
  </si>
  <si>
    <t>9763-20170724T164353.520136200.bin</t>
  </si>
  <si>
    <t>-496.727925061895 133.07007571511 -238.919644154136</t>
  </si>
  <si>
    <t>-537.255362807882 128.964591248581 -352.974327160544</t>
  </si>
  <si>
    <t>-551.586341189974 117.942479468972 -472.822955108822</t>
  </si>
  <si>
    <t>-553.514769286161 105.475230462795 -581.614951902387</t>
  </si>
  <si>
    <t>-544.473876354215 90.7515611486904 -689.76455263522</t>
  </si>
  <si>
    <t>-520.518079314564 68.1490645507768 -838.476500079254</t>
  </si>
  <si>
    <t>-469.719413942128 54.5949168809941 -925.762072443185</t>
  </si>
  <si>
    <t>-524.664283301863 109.066173309152 -776.335481132985</t>
  </si>
  <si>
    <t>-511.081481354209 255.05197003663 -764.980329034434</t>
  </si>
  <si>
    <t>-564.279169440205 363.320475609854 -472.347345112612</t>
  </si>
  <si>
    <t>-391.732182889209 267.114273275096 -303.190735760512</t>
  </si>
  <si>
    <t>-537.571291092253 47.2337499984999 -769.016757707225</t>
  </si>
  <si>
    <t>-472.418895935574 227.048890972576 -250.500878557571</t>
  </si>
  <si>
    <t>-463.357894077919 210.925922756059 204.818337941011</t>
  </si>
  <si>
    <t>-493.095753115113 167.019740255874 671.683686845786</t>
  </si>
  <si>
    <t>-340.116307841587 155.458867064211 757.748537604942</t>
  </si>
  <si>
    <t>-520.853380848073 39.0674238103095 -226.711160677995</t>
  </si>
  <si>
    <t>-431.700262376179 -10.4520363702336 217.425273716667</t>
  </si>
  <si>
    <t>-593.142930447281 -97.0390993822202 650.15678632822</t>
  </si>
  <si>
    <t>-445.707643319237 -146.62039219615 732.303138955516</t>
  </si>
  <si>
    <t>9763-20170724T164353.588820400.bin</t>
  </si>
  <si>
    <t>-496.899666507812 132.93754876123 -238.889514828882</t>
  </si>
  <si>
    <t>-537.534505207569 128.860465692164 -352.906927596045</t>
  </si>
  <si>
    <t>-552.0593589321 117.973421464953 -472.744625305578</t>
  </si>
  <si>
    <t>-554.193603298214 105.687681477651 -581.553532570731</t>
  </si>
  <si>
    <t>-545.3850054955 91.2136048355092 -689.755968784124</t>
  </si>
  <si>
    <t>-521.775628921347 69.0368304460546 -838.587285785302</t>
  </si>
  <si>
    <t>-471.05283246206 56.1424409270298 -926.016802731046</t>
  </si>
  <si>
    <t>-525.939987293554 109.805923638252 -776.350138861806</t>
  </si>
  <si>
    <t>-512.548617637511 255.808383641032 -764.81459628036</t>
  </si>
  <si>
    <t>-566.208078461974 364.622954567729 -472.46849906236</t>
  </si>
  <si>
    <t>-393.383464791992 268.883789051744 -303.330304103438</t>
  </si>
  <si>
    <t>-538.504075508841 47.8928021494927 -769.117791099685</t>
  </si>
  <si>
    <t>-341.526816767024 0.26714722753033 -456.086311822382</t>
  </si>
  <si>
    <t>-472.635395931044 226.924337309581 -250.483064193085</t>
  </si>
  <si>
    <t>-463.352361918771 210.826889239486 204.832658195008</t>
  </si>
  <si>
    <t>-493.116299715048 166.993987499967 671.69571669158</t>
  </si>
  <si>
    <t>-340.113371216217 155.663020215959 757.749298677068</t>
  </si>
  <si>
    <t>-521.003859778431 39.0118696717174 -226.666486941129</t>
  </si>
  <si>
    <t>-431.822665121693 -10.5495266075123 217.459665846802</t>
  </si>
  <si>
    <t>-593.188378972518 -96.9240300869415 650.238236143652</t>
  </si>
  <si>
    <t>-445.743915998722 -146.552112449341 732.339920807517</t>
  </si>
  <si>
    <t>9763-20170724T164353.619092900.bin</t>
  </si>
  <si>
    <t>-497.06215431065 132.881959436437 -238.871728102298</t>
  </si>
  <si>
    <t>-537.702552342001 128.740318534793 -352.884926990346</t>
  </si>
  <si>
    <t>-552.293218010037 117.889823950761 -472.717918433592</t>
  </si>
  <si>
    <t>-554.51213135753 105.678210902002 -581.533374169802</t>
  </si>
  <si>
    <t>-545.813068916181 91.3181708765158 -689.75981396916</t>
  </si>
  <si>
    <t>-522.380591085369 69.3405517891872 -838.648825009856</t>
  </si>
  <si>
    <t>-471.794039196593 56.7161601466026 -926.196488939739</t>
  </si>
  <si>
    <t>-526.525460438359 110.036169935666 -776.362303835257</t>
  </si>
  <si>
    <t>-513.106557234516 256.025121033494 -764.71571998277</t>
  </si>
  <si>
    <t>-566.936994802112 364.857981032854 -472.407835745121</t>
  </si>
  <si>
    <t>-394.280759389636 269.143879020324 -303.08378533507</t>
  </si>
  <si>
    <t>-538.972063013801 48.0937729188361 -769.177820574201</t>
  </si>
  <si>
    <t>-341.721703405961 0.785171331704717 -456.208220212373</t>
  </si>
  <si>
    <t>-472.930850157895 226.934329171323 -250.487645952598</t>
  </si>
  <si>
    <t>-463.584631521346 210.928200514547 204.830053810633</t>
  </si>
  <si>
    <t>-493.176051413425 167.210804530768 671.698193005868</t>
  </si>
  <si>
    <t>-340.235108875363 155.184134016021 757.767543603324</t>
  </si>
  <si>
    <t>-520.990839890098 38.9001700849944 -226.655845645581</t>
  </si>
  <si>
    <t>-431.809031488642 -10.4040737673227 217.49889075943</t>
  </si>
  <si>
    <t>-593.177477651393 -96.8069219447975 650.249871912476</t>
  </si>
  <si>
    <t>-445.87190938635 -146.838628177853 732.356022942425</t>
  </si>
  <si>
    <t>9763-20170724T164353.687780200.bin</t>
  </si>
  <si>
    <t>-497.237634497823 132.383775065815 -238.915258276553</t>
  </si>
  <si>
    <t>-537.929791828733 128.054808567475 -352.90301527453</t>
  </si>
  <si>
    <t>-552.70802510488 117.26521610719 -472.718476917659</t>
  </si>
  <si>
    <t>-555.154276948878 105.204823452674 -581.545930600923</t>
  </si>
  <si>
    <t>-546.739529937603 91.0878526469722 -689.826894345512</t>
  </si>
  <si>
    <t>-523.759372653829 69.5388652604431 -838.848873102574</t>
  </si>
  <si>
    <t>-473.569484685049 57.2880611745618 -926.677456258003</t>
  </si>
  <si>
    <t>-527.807974092062 110.071695322761 -776.449945990826</t>
  </si>
  <si>
    <t>-514.557991891608 256.048113300475 -764.588346058085</t>
  </si>
  <si>
    <t>-568.559786088903 364.532996036926 -472.182773933216</t>
  </si>
  <si>
    <t>-396.270416657303 268.728731082307 -302.536173263173</t>
  </si>
  <si>
    <t>-540.046824110198 48.0755534643226 -769.372453907316</t>
  </si>
  <si>
    <t>-342.087188829782 1.22628765232037 -456.596586671159</t>
  </si>
  <si>
    <t>-473.430897972409 226.277726328178 -250.538571099544</t>
  </si>
  <si>
    <t>-464.108757847942 210.546702833056 204.789076562763</t>
  </si>
  <si>
    <t>-493.094004619608 166.821234782401 671.707677056464</t>
  </si>
  <si>
    <t>-340.029822820469 156.105810584298 757.731194186583</t>
  </si>
  <si>
    <t>-520.88148118615 38.4878311330845 -226.627180563607</t>
  </si>
  <si>
    <t>-431.656489259187 -10.4839523085671 217.555501516315</t>
  </si>
  <si>
    <t>-593.145383587025 -96.9146714414177 650.213183984426</t>
  </si>
  <si>
    <t>-445.700143918067 -146.541352453501 732.314410209818</t>
  </si>
  <si>
    <t>9763-20170724T164353.724968600.bin</t>
  </si>
  <si>
    <t>-497.303183223636 132.244611394252 -238.941520922451</t>
  </si>
  <si>
    <t>-537.969924567335 127.844530323493 -352.935699733374</t>
  </si>
  <si>
    <t>-552.82274175777 117.080972806881 -472.744303553739</t>
  </si>
  <si>
    <t>-555.377971150231 105.085883747507 -581.576507822248</t>
  </si>
  <si>
    <t>-547.11283402191 91.0762961965711 -689.882844774268</t>
  </si>
  <si>
    <t>-524.381015029704 69.7208865586564 -838.970759258735</t>
  </si>
  <si>
    <t>-474.379659496879 57.605118257684 -926.925685354629</t>
  </si>
  <si>
    <t>-528.391909025331 110.184284278117 -776.524414995634</t>
  </si>
  <si>
    <t>-515.358238414872 256.173496012137 -764.604008474571</t>
  </si>
  <si>
    <t>-569.48676538324 364.281556125431 -472.082298928707</t>
  </si>
  <si>
    <t>-397.165906836545 268.685858265283 -302.350132098915</t>
  </si>
  <si>
    <t>-540.486394404047 48.1556741494543 -769.483552755439</t>
  </si>
  <si>
    <t>-342.135617719631 1.65893150129745 -456.984828735016</t>
  </si>
  <si>
    <t>-473.619150691053 226.209996937889 -250.590697151667</t>
  </si>
  <si>
    <t>-464.38552963328 210.599237858554 204.742972362148</t>
  </si>
  <si>
    <t>-493.168824076778 167.136678682211 671.699009317027</t>
  </si>
  <si>
    <t>-340.137099766046 156.003903186674 757.727341002314</t>
  </si>
  <si>
    <t>-520.815219789212 38.299971110284 -226.658692913899</t>
  </si>
  <si>
    <t>-431.662649500097 -10.5308386323065 217.5541733835</t>
  </si>
  <si>
    <t>-593.142578016231 -97.0652111886337 650.209582815071</t>
  </si>
  <si>
    <t>-445.569557175893 -146.337799366413 732.294488788819</t>
  </si>
  <si>
    <t>9763-20170724T164353.785130000.bin</t>
  </si>
  <si>
    <t>-497.233667041346 131.958942810699 -238.987314827306</t>
  </si>
  <si>
    <t>-537.93076571935 127.558724969773 -352.970777227312</t>
  </si>
  <si>
    <t>-553.000123873667 116.925833751304 -472.763885936851</t>
  </si>
  <si>
    <t>-555.825061658453 105.112987308657 -581.609442043832</t>
  </si>
  <si>
    <t>-547.900222452827 91.3551582460649 -689.973323963456</t>
  </si>
  <si>
    <t>-525.710379022168 70.4266588806265 -839.203493850227</t>
  </si>
  <si>
    <t>-476.055165700527 58.5528460407056 -927.387063733425</t>
  </si>
  <si>
    <t>-529.641225243453 110.736529533973 -776.652833459918</t>
  </si>
  <si>
    <t>-517.213766459736 256.76312643057 -764.680756491621</t>
  </si>
  <si>
    <t>-571.871558187606 364.426902878593 -472.093663737042</t>
  </si>
  <si>
    <t>-399.060701934953 269.453067303949 -302.510604859722</t>
  </si>
  <si>
    <t>-541.416272421701 48.6371943085521 -769.694715321878</t>
  </si>
  <si>
    <t>-342.053580970028 2.69274555117599 -457.591827315035</t>
  </si>
  <si>
    <t>-473.633494373823 225.935964214927 -250.634577928976</t>
  </si>
  <si>
    <t>-464.384535773363 210.463062373257 204.703437482019</t>
  </si>
  <si>
    <t>-493.185998606274 167.170595627725 671.702675974631</t>
  </si>
  <si>
    <t>-340.174611182278 155.805728267864 757.736767522526</t>
  </si>
  <si>
    <t>-520.685397532311 38.0088809834213 -226.705728623679</t>
  </si>
  <si>
    <t>-431.6750428094 -10.7235559369681 217.546359888149</t>
  </si>
  <si>
    <t>-593.167347501838 -97.214592577621 650.246915965358</t>
  </si>
  <si>
    <t>-445.522581223178 -146.285577770664 732.323656496953</t>
  </si>
  <si>
    <t>9763-20170724T164353.820802200.bin</t>
  </si>
  <si>
    <t>-497.18057678336 131.941246849716 -238.980796159723</t>
  </si>
  <si>
    <t>-537.906430047542 127.584653403535 -352.955521727493</t>
  </si>
  <si>
    <t>-553.094382536847 117.038065036345 -472.741461691353</t>
  </si>
  <si>
    <t>-556.061011774992 105.329591058654 -581.59426702146</t>
  </si>
  <si>
    <t>-548.310041373463 91.7076287285516 -689.988012710254</t>
  </si>
  <si>
    <t>-526.392882000275 71.0052272931478 -839.28992620803</t>
  </si>
  <si>
    <t>-476.905428639407 59.2258328499476 -927.580513052614</t>
  </si>
  <si>
    <t>-530.287174513923 111.233460316052 -776.684546067954</t>
  </si>
  <si>
    <t>-518.352807046037 257.305604373549 -764.758785745886</t>
  </si>
  <si>
    <t>-573.187612291735 365.009362703884 -472.219388188049</t>
  </si>
  <si>
    <t>-400.144818604671 270.377996061245 -302.681262411698</t>
  </si>
  <si>
    <t>-541.893973151387 49.0972713790054 -769.772460139922</t>
  </si>
  <si>
    <t>-342.058201306203 3.49778230004424 -457.812306598493</t>
  </si>
  <si>
    <t>-473.537605270823 225.832982099129 -250.621363677979</t>
  </si>
  <si>
    <t>-464.199923260127 210.412449262273 204.716610505373</t>
  </si>
  <si>
    <t>-493.205194290937 167.220332034807 671.710395044883</t>
  </si>
  <si>
    <t>-340.192090457667 155.888329729413 757.745808296918</t>
  </si>
  <si>
    <t>-520.696225361318 38.0894910916172 -226.694122577905</t>
  </si>
  <si>
    <t>-431.626940597627 -10.6950383658646 217.5405007378</t>
  </si>
  <si>
    <t>-593.151041327798 -96.9824356520935 650.23124022999</t>
  </si>
  <si>
    <t>-445.691017376275 -146.551987971228 732.340448074196</t>
  </si>
  <si>
    <t>9763-20170724T164353.888485600.bin</t>
  </si>
  <si>
    <t>-497.086438941323 131.956874702824 -238.951844710172</t>
  </si>
  <si>
    <t>-537.97617815818 127.740465900516 -352.873072007393</t>
  </si>
  <si>
    <t>-553.374702017338 117.438596783046 -472.653474063053</t>
  </si>
  <si>
    <t>-556.542516093587 106.024361045321 -581.531968363059</t>
  </si>
  <si>
    <t>-548.999152528733 92.7875586811539 -689.988219851412</t>
  </si>
  <si>
    <t>-527.372651497791 72.7316161521262 -839.420627658802</t>
  </si>
  <si>
    <t>-478.138189143139 61.4600685099518 -927.918570204473</t>
  </si>
  <si>
    <t>-531.34430817363 112.721504318445 -776.667439178216</t>
  </si>
  <si>
    <t>-520.368610996305 258.86111636131 -764.664254010277</t>
  </si>
  <si>
    <t>-575.458572208245 366.704738518972 -472.224430851855</t>
  </si>
  <si>
    <t>-401.722550197997 273.022010132651 -302.868696724451</t>
  </si>
  <si>
    <t>-542.539073097791 50.4900343591979 -769.935179440596</t>
  </si>
  <si>
    <t>-342.252566483481 5.77354264827531 -458.302145311816</t>
  </si>
  <si>
    <t>-473.221067312478 225.810583291329 -250.598277675741</t>
  </si>
  <si>
    <t>-463.765704839252 210.403440541057 204.737762292793</t>
  </si>
  <si>
    <t>-493.205479498399 167.197159122827 671.707351095808</t>
  </si>
  <si>
    <t>-340.239094990223 155.434486379512 757.767871200578</t>
  </si>
  <si>
    <t>-520.793034342319 38.045123389739 -226.64408314641</t>
  </si>
  <si>
    <t>-431.595119798326 -10.8785198610074 217.549488361586</t>
  </si>
  <si>
    <t>-593.157397320556 -97.2162653190617 650.227167039755</t>
  </si>
  <si>
    <t>-445.718993753298 -146.839773912287 732.342597886696</t>
  </si>
  <si>
    <t>9763-20170724T164353.920603700.bin</t>
  </si>
  <si>
    <t>-497.061897099819 131.966313460738 -238.929779354223</t>
  </si>
  <si>
    <t>-537.983180302058 127.764850845321 -352.840311531357</t>
  </si>
  <si>
    <t>-553.447206154901 117.58150720446 -472.622295702646</t>
  </si>
  <si>
    <t>-556.686137026826 106.3296200329 -581.515586038528</t>
  </si>
  <si>
    <t>-549.224176363341 93.3181906717446 -690.004673706204</t>
  </si>
  <si>
    <t>-527.720227380266 73.6478009888741 -839.5059900018</t>
  </si>
  <si>
    <t>-478.610887372999 62.780984690199 -928.124168955747</t>
  </si>
  <si>
    <t>-531.743417434948 113.492182730086 -776.663754590529</t>
  </si>
  <si>
    <t>-521.114545500306 259.66919610718 -764.523394763244</t>
  </si>
  <si>
    <t>-576.552338598849 367.535215450931 -472.157613253764</t>
  </si>
  <si>
    <t>-402.434327314926 274.307730195531 -302.942901093063</t>
  </si>
  <si>
    <t>-542.72674283468 51.2104700929939 -770.048963575119</t>
  </si>
  <si>
    <t>-342.363800442625 6.98660124161049 -458.577976790292</t>
  </si>
  <si>
    <t>-473.152491891318 225.818750375417 -250.605638312654</t>
  </si>
  <si>
    <t>-463.653320367821 210.452883023215 204.730917764537</t>
  </si>
  <si>
    <t>-493.229731949391 167.318846360534 671.695575571075</t>
  </si>
  <si>
    <t>-340.300197429374 155.212778066864 757.774147212569</t>
  </si>
  <si>
    <t>-520.783608983086 38.0981836276347 -226.6138185268</t>
  </si>
  <si>
    <t>-431.576357246466 -10.929774452754 217.566334083317</t>
  </si>
  <si>
    <t>-593.157886594845 -97.1067832726079 650.238638634436</t>
  </si>
  <si>
    <t>-445.761455736267 -146.872066802921 732.343651960892</t>
  </si>
  <si>
    <t>9763-20170724T164353.988285000.bin</t>
  </si>
  <si>
    <t>-497.17206383309 131.508073627341 -238.950114655796</t>
  </si>
  <si>
    <t>-538.068642725163 127.265190815682 -352.867890864505</t>
  </si>
  <si>
    <t>-553.594444569469 117.283708810814 -472.658875556504</t>
  </si>
  <si>
    <t>-556.925114173148 106.326317870237 -581.579486217764</t>
  </si>
  <si>
    <t>-549.590161049166 93.7279104638017 -690.125901334529</t>
  </si>
  <si>
    <t>-528.298161534906 74.7607652311872 -839.748530736926</t>
  </si>
  <si>
    <t>-479.447653185443 64.6446509631733 -928.598239292027</t>
  </si>
  <si>
    <t>-532.418853618759 114.338399704151 -776.744138749788</t>
  </si>
  <si>
    <t>-522.573150970665 260.549906981245 -764.310167105358</t>
  </si>
  <si>
    <t>-578.663981345973 367.815156244306 -471.848009413308</t>
  </si>
  <si>
    <t>-404.059535410951 275.234180440082 -302.779705684666</t>
  </si>
  <si>
    <t>-543.019565251477 51.9678621786266 -770.34617968669</t>
  </si>
  <si>
    <t>-342.459247025601 8.22947632159901 -459.085277108475</t>
  </si>
  <si>
    <t>-473.380014320027 225.317345103244 -250.623323865542</t>
  </si>
  <si>
    <t>-463.839766321309 210.085116445131 204.71672062011</t>
  </si>
  <si>
    <t>-493.18403886439 167.079883001592 671.713160855812</t>
  </si>
  <si>
    <t>-340.165995489619 155.923374222135 757.762667860178</t>
  </si>
  <si>
    <t>-520.76242393125 37.736968277398 -226.644288877098</t>
  </si>
  <si>
    <t>-431.643809965881 -11.0640348548722 217.578627514275</t>
  </si>
  <si>
    <t>-593.180972694887 -96.9973756995335 650.275078233097</t>
  </si>
  <si>
    <t>-445.863916087159 -147.03361681143 732.357838662914</t>
  </si>
  <si>
    <t>9763-20170724T164354.021536100.bin</t>
  </si>
  <si>
    <t>-497.332892663405 131.261032812653 -238.966504662564</t>
  </si>
  <si>
    <t>-538.223538776637 126.965363667945 -352.884482448599</t>
  </si>
  <si>
    <t>-553.759417411515 117.060932177704 -472.680539259211</t>
  </si>
  <si>
    <t>-557.10696639439 106.22851349227 -581.613141091969</t>
  </si>
  <si>
    <t>-549.797158310557 93.8110077808672 -690.182031867803</t>
  </si>
  <si>
    <t>-528.548877488503 75.1538570570781 -839.849799251428</t>
  </si>
  <si>
    <t>-479.975256159237 65.3374190126702 -928.884696524492</t>
  </si>
  <si>
    <t>-532.741055102068 114.614605467203 -776.776888276888</t>
  </si>
  <si>
    <t>-523.276933346814 260.829814195561 -764.131740133452</t>
  </si>
  <si>
    <t>-579.736911116318 367.545988128819 -471.539669753669</t>
  </si>
  <si>
    <t>-404.895787802259 275.208035987719 -302.582947246655</t>
  </si>
  <si>
    <t>-543.160155046596 52.203533446171 -770.476043690192</t>
  </si>
  <si>
    <t>-342.422278679325 8.604717094094 -459.437470030728</t>
  </si>
  <si>
    <t>-473.741933948253 225.075146280226 -250.635065816581</t>
  </si>
  <si>
    <t>-464.163938207095 209.983289306879 204.708968839765</t>
  </si>
  <si>
    <t>-493.151856392011 166.916899405492 671.728569223679</t>
  </si>
  <si>
    <t>-340.158501410134 155.455659564099 757.781918446858</t>
  </si>
  <si>
    <t>-520.73878819823 37.4782009331477 -226.665066635631</t>
  </si>
  <si>
    <t>-431.666831070548 -11.1904417834156 217.581723623182</t>
  </si>
  <si>
    <t>-593.201143668999 -97.126743163196 650.271045244709</t>
  </si>
  <si>
    <t>-445.754100387703 -146.821435035441 732.327951535755</t>
  </si>
  <si>
    <t>9763-20170724T164354.089712900.bin</t>
  </si>
  <si>
    <t>-497.724671200077 130.985090445816 -238.996905949696</t>
  </si>
  <si>
    <t>-538.637964411891 126.516662601987 -352.900100476299</t>
  </si>
  <si>
    <t>-554.098179151474 116.715932103442 -472.714406124925</t>
  </si>
  <si>
    <t>-557.339678337519 106.09478309802 -581.671021623093</t>
  </si>
  <si>
    <t>-549.888467159611 94.0078601335861 -690.267707547863</t>
  </si>
  <si>
    <t>-528.409653403913 75.9359357869981 -839.974311446919</t>
  </si>
  <si>
    <t>-480.936415002747 66.6453450147847 -929.656813890971</t>
  </si>
  <si>
    <t>-532.868321735111 115.174962881592 -776.781477941938</t>
  </si>
  <si>
    <t>-524.272706955278 261.391666294271 -763.718459864639</t>
  </si>
  <si>
    <t>-581.856180165471 367.052481440435 -470.962401394735</t>
  </si>
  <si>
    <t>-406.620057808762 275.161174665615 -302.17150397054</t>
  </si>
  <si>
    <t>-542.958388541275 52.6894147227557 -770.686046678377</t>
  </si>
  <si>
    <t>-342.35721284147 9.3702471896076 -460.000427491852</t>
  </si>
  <si>
    <t>-474.61608034796 224.808255033015 -250.684143287794</t>
  </si>
  <si>
    <t>-464.901973746121 210.049007799898 204.6679085584</t>
  </si>
  <si>
    <t>-493.235871753122 167.260440978138 671.747394189976</t>
  </si>
  <si>
    <t>-340.27089398883 155.347267337359 757.789957989397</t>
  </si>
  <si>
    <t>-520.648468852401 37.1652769553414 -226.659117278889</t>
  </si>
  <si>
    <t>-431.486376663386 -11.1051622122659 217.612984022564</t>
  </si>
  <si>
    <t>-593.183108773503 -96.9209768306018 650.177085418027</t>
  </si>
  <si>
    <t>-445.759733903758 -146.69413375669 732.22886883499</t>
  </si>
  <si>
    <t>9763-20170724T164354.121801400.bin</t>
  </si>
  <si>
    <t>-497.865181981576 130.669723930629 -239.044654854905</t>
  </si>
  <si>
    <t>-538.816864168856 126.148333258559 -352.93201947092</t>
  </si>
  <si>
    <t>-554.231420916627 116.427177110282 -472.758782332978</t>
  </si>
  <si>
    <t>-557.397572925894 105.93706618237 -581.730270982557</t>
  </si>
  <si>
    <t>-549.838398622849 94.0428877903615 -690.340810697711</t>
  </si>
  <si>
    <t>-528.176846951 76.3054172999177 -840.061109400803</t>
  </si>
  <si>
    <t>-481.361845176995 67.2736896139655 -930.115222567818</t>
  </si>
  <si>
    <t>-532.804695370419 115.416496752837 -776.801082608389</t>
  </si>
  <si>
    <t>-524.62425185571 261.634554468573 -763.459923538653</t>
  </si>
  <si>
    <t>-582.962351239434 366.786476848475 -470.669960611242</t>
  </si>
  <si>
    <t>-407.508719755824 275.078562974707 -302.00537990392</t>
  </si>
  <si>
    <t>-542.718168533389 52.8909584413733 -770.827895266813</t>
  </si>
  <si>
    <t>-342.419421573138 9.87004680431957 -460.213397880769</t>
  </si>
  <si>
    <t>-474.931155045195 224.502827390383 -250.725424221155</t>
  </si>
  <si>
    <t>-465.198382210587 209.945127288187 204.63278456177</t>
  </si>
  <si>
    <t>-493.218955409187 167.244797294768 671.742771193448</t>
  </si>
  <si>
    <t>-340.295276954198 154.892589794649 757.79669024612</t>
  </si>
  <si>
    <t>-520.623333540773 36.782209155004 -226.708313545914</t>
  </si>
  <si>
    <t>-431.401134568188 -11.2205017521391 217.580748590885</t>
  </si>
  <si>
    <t>-593.17082532361 -96.9672135336954 650.108462408716</t>
  </si>
  <si>
    <t>-445.477633950006 -145.968370976921 732.139615516612</t>
  </si>
  <si>
    <t>9763-20170724T164354.184470600.bin</t>
  </si>
  <si>
    <t>-497.997490207364 129.7446347653 -239.166448133574</t>
  </si>
  <si>
    <t>-538.888024497131 125.203205864549 -353.074948126162</t>
  </si>
  <si>
    <t>-554.199252022887 115.657517135491 -472.929154099556</t>
  </si>
  <si>
    <t>-557.256644688601 105.415527947781 -581.927361269135</t>
  </si>
  <si>
    <t>-549.574728294851 93.8638612464638 -690.566190551462</t>
  </si>
  <si>
    <t>-527.730054998012 76.7053988290743 -840.32730491476</t>
  </si>
  <si>
    <t>-482.031773033135 68.0806921956534 -930.992929222054</t>
  </si>
  <si>
    <t>-532.596408981954 115.594255793361 -776.948321227773</t>
  </si>
  <si>
    <t>-525.169039772494 261.821682780266 -763.18985252903</t>
  </si>
  <si>
    <t>-584.91228514366 365.948608927711 -470.316970855581</t>
  </si>
  <si>
    <t>-409.022652876016 274.832811297419 -301.785689582777</t>
  </si>
  <si>
    <t>-542.194906363874 53.0006565153115 -771.177035908777</t>
  </si>
  <si>
    <t>-342.281946180408 10.4449669614357 -460.272067738873</t>
  </si>
  <si>
    <t>-475.287670094176 223.530059996068 -250.792095839491</t>
  </si>
  <si>
    <t>-465.515059548314 209.242038947028 204.573776642796</t>
  </si>
  <si>
    <t>-493.136100909098 166.987460269012 671.751182916528</t>
  </si>
  <si>
    <t>-340.056256885154 156.356738680419 757.757442343871</t>
  </si>
  <si>
    <t>-520.543030693724 35.9210465060463 -226.904952214367</t>
  </si>
  <si>
    <t>-431.436481027833 -11.5726457171714 217.462045715624</t>
  </si>
  <si>
    <t>-593.22062960318 -97.3402175444556 650.032972283019</t>
  </si>
  <si>
    <t>-445.53448611036 -146.376438870298 732.055812062505</t>
  </si>
  <si>
    <t>9763-20170724T164354.222086000.bin</t>
  </si>
  <si>
    <t>-498.043280912692 129.538838253679 -239.254086910113</t>
  </si>
  <si>
    <t>-538.885720482122 124.999649054692 -353.179900225254</t>
  </si>
  <si>
    <t>-554.191919134566 115.527480494456 -473.040475231179</t>
  </si>
  <si>
    <t>-557.263255002552 105.385009582496 -582.047588977427</t>
  </si>
  <si>
    <t>-549.613955891509 93.9680954916585 -690.702985516306</t>
  </si>
  <si>
    <t>-527.833639614708 77.0350370981386 -840.49924297778</t>
  </si>
  <si>
    <t>-482.574544610948 68.5660579836161 -931.399517691701</t>
  </si>
  <si>
    <t>-532.739693356438 115.837709615851 -777.070339289998</t>
  </si>
  <si>
    <t>-525.600550907007 262.059796722759 -763.145399173377</t>
  </si>
  <si>
    <t>-585.814454865836 365.781876383964 -470.225173167198</t>
  </si>
  <si>
    <t>-409.770421906326 274.941459978226 -301.706498425075</t>
  </si>
  <si>
    <t>-542.201827829189 53.2170988737591 -771.367548890348</t>
  </si>
  <si>
    <t>-342.29914404946 10.9613910302246 -460.356893824215</t>
  </si>
  <si>
    <t>-475.424633736332 223.47024379982 -250.839609455003</t>
  </si>
  <si>
    <t>-465.716422396359 209.276416201449 204.530490165781</t>
  </si>
  <si>
    <t>-493.199289703865 167.335538444029 671.741525915298</t>
  </si>
  <si>
    <t>-340.213198933293 155.673926048245 757.780857152964</t>
  </si>
  <si>
    <t>-520.511224802103 35.6200276427518 -227.018024958232</t>
  </si>
  <si>
    <t>-431.501999079389 -11.6561592152828 217.391721139341</t>
  </si>
  <si>
    <t>-593.243500734112 -97.3717759935456 650.003706398393</t>
  </si>
  <si>
    <t>-445.602362743361 -146.549824761701 732.022806967935</t>
  </si>
  <si>
    <t>9763-20170724T164354.288264400.bin</t>
  </si>
  <si>
    <t>-497.92828919433 128.948125617204 -239.335442457508</t>
  </si>
  <si>
    <t>-538.819201313242 124.428472459024 -353.244644113462</t>
  </si>
  <si>
    <t>-554.247644387386 115.077018457595 -473.099129439804</t>
  </si>
  <si>
    <t>-557.458652758548 105.093456146037 -582.116849202221</t>
  </si>
  <si>
    <t>-549.977252151376 93.8900731669255 -690.80616898473</t>
  </si>
  <si>
    <t>-528.458028672454 77.3149097638698 -840.679991802406</t>
  </si>
  <si>
    <t>-483.842762520683 69.101455388255 -931.921387353029</t>
  </si>
  <si>
    <t>-533.35541335156 115.979708779468 -777.166530403801</t>
  </si>
  <si>
    <t>-526.604201351053 262.200681915193 -763.019933327671</t>
  </si>
  <si>
    <t>-587.50132528074 365.315996741692 -470.02681072972</t>
  </si>
  <si>
    <t>-411.238507585817 274.924161594419 -301.495453349924</t>
  </si>
  <si>
    <t>-542.603766458775 53.3180415321044 -771.564409448579</t>
  </si>
  <si>
    <t>-342.295217616655 11.4048559680221 -460.759447595348</t>
  </si>
  <si>
    <t>-475.445124929477 222.851162357649 -250.92079213839</t>
  </si>
  <si>
    <t>-466.037632944032 209.058306817011 204.467987379818</t>
  </si>
  <si>
    <t>-493.121683261697 167.17511417508 671.729466172111</t>
  </si>
  <si>
    <t>-340.123563050305 155.677319574426 757.769425526658</t>
  </si>
  <si>
    <t>-520.227346124183 35.1084969581134 -227.080518257465</t>
  </si>
  <si>
    <t>-431.166968958556 -11.6705693941584 217.371569097384</t>
  </si>
  <si>
    <t>-593.22136042057 -97.0038503645564 649.858024345375</t>
  </si>
  <si>
    <t>-445.795105367591 -146.741459830965 731.926177599772</t>
  </si>
  <si>
    <t>9763-20170724T164354.320352600.bin</t>
  </si>
  <si>
    <t>-497.805246917137 128.724465641104 -239.360184231895</t>
  </si>
  <si>
    <t>-538.796275518932 124.176373633909 -353.232326583008</t>
  </si>
  <si>
    <t>-554.343679726691 114.85417095107 -473.073594709008</t>
  </si>
  <si>
    <t>-557.669046636501 104.921248588569 -582.092586711771</t>
  </si>
  <si>
    <t>-550.308272915136 93.792778463558 -690.797725272637</t>
  </si>
  <si>
    <t>-528.962542131705 77.3472661571365 -840.710803394665</t>
  </si>
  <si>
    <t>-484.572051502725 69.1793904396764 -932.065805848581</t>
  </si>
  <si>
    <t>-533.810523389378 115.960356493327 -777.162006871542</t>
  </si>
  <si>
    <t>-527.146573682654 262.18033682407 -762.907138420189</t>
  </si>
  <si>
    <t>-588.340333750325 365.306003928513 -469.979533479711</t>
  </si>
  <si>
    <t>-412.10884854403 274.958175495094 -301.391830051803</t>
  </si>
  <si>
    <t>-543.004204654219 53.2874093771298 -771.595853825172</t>
  </si>
  <si>
    <t>-342.516096494103 11.4635005033916 -461.037721101587</t>
  </si>
  <si>
    <t>-475.440137351423 222.634768353928 -250.967488573108</t>
  </si>
  <si>
    <t>-466.368713239519 209.036224519713 204.433910745414</t>
  </si>
  <si>
    <t>-493.133732428185 167.355296169477 671.717012241974</t>
  </si>
  <si>
    <t>-340.16578891092 155.549336288985 757.76894911188</t>
  </si>
  <si>
    <t>-520.054513122975 34.8128625833441 -227.039081691735</t>
  </si>
  <si>
    <t>-430.783374387029 -11.5524334515809 217.413989440239</t>
  </si>
  <si>
    <t>-593.191333904511 -96.9923179929461 649.725028142453</t>
  </si>
  <si>
    <t>-445.894669941421 -147.040315010324 731.837103612986</t>
  </si>
  <si>
    <t>9763-20170724T164354.389036700.bin</t>
  </si>
  <si>
    <t>-497.565124863116 127.773810564015 -239.375057125572</t>
  </si>
  <si>
    <t>-538.369341915083 123.026916894081 -353.306176911621</t>
  </si>
  <si>
    <t>-553.860936926269 113.651664921169 -473.150665903405</t>
  </si>
  <si>
    <t>-557.195429039391 103.724095488251 -582.169714088086</t>
  </si>
  <si>
    <t>-549.904639038056 92.6494529769046 -690.885206324062</t>
  </si>
  <si>
    <t>-528.719697402977 76.3247669857242 -840.834102776713</t>
  </si>
  <si>
    <t>-484.598684947808 68.1210904098715 -932.316513183545</t>
  </si>
  <si>
    <t>-533.532168374693 114.890949832688 -777.254245760169</t>
  </si>
  <si>
    <t>-527.017638006286 261.097614821982 -762.912458518098</t>
  </si>
  <si>
    <t>-588.815846203169 364.727890706996 -470.290056853908</t>
  </si>
  <si>
    <t>-412.811988772128 274.311697048213 -301.501272725348</t>
  </si>
  <si>
    <t>-542.654600464751 52.2049598268562 -771.718487778557</t>
  </si>
  <si>
    <t>-341.802843710277 10.2427427274508 -461.783034847099</t>
  </si>
  <si>
    <t>-475.384150064691 221.739672106241 -251.065864995474</t>
  </si>
  <si>
    <t>-466.98135224354 208.440399020788 204.357273347493</t>
  </si>
  <si>
    <t>-493.030402750996 167.08509614774 671.724159621293</t>
  </si>
  <si>
    <t>-340.013430686086 155.882243375988 757.769673265005</t>
  </si>
  <si>
    <t>-519.535253609609 33.7153383049359 -227.098365641605</t>
  </si>
  <si>
    <t>-430.415509406969 -12.0828251512304 217.443895560356</t>
  </si>
  <si>
    <t>-593.241169552446 -97.879627760987 649.578430902388</t>
  </si>
  <si>
    <t>-445.338161215118 -146.179413189286 731.647557383295</t>
  </si>
  <si>
    <t>9763-20170724T164354.422221900.bin</t>
  </si>
  <si>
    <t>-497.408673068953 127.521832758141 -239.431553387277</t>
  </si>
  <si>
    <t>-538.176951811748 122.724401868968 -353.373324982737</t>
  </si>
  <si>
    <t>-553.662987218344 113.328099455968 -473.21676126625</t>
  </si>
  <si>
    <t>-557.006197474916 103.391106436469 -582.234786042218</t>
  </si>
  <si>
    <t>-549.738276409249 92.3150033810617 -690.951642786661</t>
  </si>
  <si>
    <t>-528.599642389152 75.9949099196595 -840.907708112542</t>
  </si>
  <si>
    <t>-484.561109114129 67.7549156603416 -932.426547498919</t>
  </si>
  <si>
    <t>-533.408194054086 114.561228966075 -777.327502646584</t>
  </si>
  <si>
    <t>-526.934089199905 260.761370048352 -762.972047639157</t>
  </si>
  <si>
    <t>-589.127002636061 364.684272434541 -470.537143515657</t>
  </si>
  <si>
    <t>-413.264053614371 274.343004439433 -301.561504335742</t>
  </si>
  <si>
    <t>-542.497396780028 51.8708940269338 -771.786079748162</t>
  </si>
  <si>
    <t>-341.537359374102 9.86584664279357 -462.020508654723</t>
  </si>
  <si>
    <t>-475.314555458941 221.522688192105 -251.108939863221</t>
  </si>
  <si>
    <t>-467.1072847599 208.375327687508 204.322209407122</t>
  </si>
  <si>
    <t>-493.087980983875 167.386409060977 671.721366366218</t>
  </si>
  <si>
    <t>-340.066170317918 156.241618430011 757.765828054843</t>
  </si>
  <si>
    <t>-519.327057726795 33.5032752969619 -227.145670624707</t>
  </si>
  <si>
    <t>-430.293846316225 -12.0995937491429 217.434066832112</t>
  </si>
  <si>
    <t>-593.235593468409 -97.6006536810608 649.513023093494</t>
  </si>
  <si>
    <t>-445.436784636519 -146.198306749434 731.59418852714</t>
  </si>
  <si>
    <t>9763-20170724T164354.484390000.bin</t>
  </si>
  <si>
    <t>-497.138101628051 127.336953339908 -239.536621969309</t>
  </si>
  <si>
    <t>-537.902235099146 122.519670506241 -353.479092320927</t>
  </si>
  <si>
    <t>-553.373435696087 113.092333279692 -473.322044978875</t>
  </si>
  <si>
    <t>-556.69865272623 103.125167801127 -582.33776264562</t>
  </si>
  <si>
    <t>-549.408079088842 92.0179777805242 -691.050009141622</t>
  </si>
  <si>
    <t>-528.233237449552 75.6551409282553 -840.996277335957</t>
  </si>
  <si>
    <t>-484.272866627569 67.3642128237997 -932.548040834981</t>
  </si>
  <si>
    <t>-533.083761699065 114.243071065232 -777.432360361675</t>
  </si>
  <si>
    <t>-526.731092457139 260.451766486805 -763.055765561028</t>
  </si>
  <si>
    <t>-589.858965931415 365.013550410795 -471.049138448645</t>
  </si>
  <si>
    <t>-414.277909221706 274.777835143156 -301.724485326083</t>
  </si>
  <si>
    <t>-542.121015497723 51.5473057017354 -771.866962075508</t>
  </si>
  <si>
    <t>-341.118386208303 9.76739309145893 -462.19463518274</t>
  </si>
  <si>
    <t>-475.101336326004 221.223815341528 -251.165663999147</t>
  </si>
  <si>
    <t>-466.923192894066 208.197181696668 204.269359446171</t>
  </si>
  <si>
    <t>-493.025859896198 167.213680568003 671.71608151548</t>
  </si>
  <si>
    <t>-340.03287084817 155.796675134541 757.775912170538</t>
  </si>
  <si>
    <t>-519.046732814009 33.5254901509589 -227.221252924391</t>
  </si>
  <si>
    <t>-430.142916594858 -12.0670769940591 217.385480124543</t>
  </si>
  <si>
    <t>-593.239728610128 -97.2421998112721 649.42166974597</t>
  </si>
  <si>
    <t>-445.461874677696 -145.906605550856 731.500870999045</t>
  </si>
  <si>
    <t>9763-20170724T164354.521041400.bin</t>
  </si>
  <si>
    <t>-497.064515455083 127.455070783232 -239.545742194705</t>
  </si>
  <si>
    <t>-537.802265118345 122.624602331322 -353.496998709578</t>
  </si>
  <si>
    <t>-553.244019393858 113.171009898717 -473.341683340225</t>
  </si>
  <si>
    <t>-556.540937591689 103.177758188236 -582.356042479614</t>
  </si>
  <si>
    <t>-549.220691293834 92.0440644423077 -691.063425007676</t>
  </si>
  <si>
    <t>-528.003121270088 75.6455800342827 -840.999808422518</t>
  </si>
  <si>
    <t>-484.047208900625 67.341180087457 -932.552553428676</t>
  </si>
  <si>
    <t>-532.886150053354 114.250422501992 -777.44873063521</t>
  </si>
  <si>
    <t>-526.586610981254 260.466210223352 -763.101119944328</t>
  </si>
  <si>
    <t>-590.246934579473 365.461187821751 -471.365524685235</t>
  </si>
  <si>
    <t>-414.774280310882 275.309963024259 -301.883487514993</t>
  </si>
  <si>
    <t>-541.896294728007 51.5523378049678 -771.86650672093</t>
  </si>
  <si>
    <t>-340.932707450285 9.93841257886081 -462.116105975679</t>
  </si>
  <si>
    <t>-474.998333545445 221.397551659252 -251.192564719168</t>
  </si>
  <si>
    <t>-466.837311545919 208.439123217741 204.244751933824</t>
  </si>
  <si>
    <t>-493.176820270889 167.910333360833 671.696606382635</t>
  </si>
  <si>
    <t>-340.260239654989 155.697953996915 757.783109381594</t>
  </si>
  <si>
    <t>-518.950404272222 33.5958769671685 -227.245091987743</t>
  </si>
  <si>
    <t>-430.134337627054 -12.0472918833475 217.37388432338</t>
  </si>
  <si>
    <t>-593.259701046719 -97.3414695703651 649.399239891356</t>
  </si>
  <si>
    <t>-445.573199499304 -146.271614672882 731.484943797129</t>
  </si>
  <si>
    <t>9763-20170724T164354.554125700.bin</t>
  </si>
  <si>
    <t>-496.916578788091 127.307564949865 -239.543522909774</t>
  </si>
  <si>
    <t>-537.65269719514 122.485139369363 -353.49576585597</t>
  </si>
  <si>
    <t>-553.067210698766 112.998012709382 -473.341438970344</t>
  </si>
  <si>
    <t>-556.32822006248 102.960790244539 -582.352680538987</t>
  </si>
  <si>
    <t>-548.960538682678 91.771501906381 -691.051199792814</t>
  </si>
  <si>
    <t>-527.665425224273 75.2858444704475 -840.966905159873</t>
  </si>
  <si>
    <t>-483.678097884943 66.9420779640681 -932.500970959898</t>
  </si>
  <si>
    <t>-532.581038976798 113.927643294484 -777.440760277908</t>
  </si>
  <si>
    <t>-526.286004808607 260.153942978057 -763.121350461261</t>
  </si>
  <si>
    <t>-590.540564903318 365.731335778241 -471.726325818672</t>
  </si>
  <si>
    <t>-415.172029683362 275.62824826236 -302.111091767994</t>
  </si>
  <si>
    <t>-541.594753006478 51.2328572120333 -771.82696942897</t>
  </si>
  <si>
    <t>-340.7224883036 9.87269796361238 -461.986348409686</t>
  </si>
  <si>
    <t>-474.80535233304 221.108402409999 -251.199335697182</t>
  </si>
  <si>
    <t>-466.63536723532 208.207541249134 204.23943912876</t>
  </si>
  <si>
    <t>-493.066287806674 167.474298133076 671.698302895478</t>
  </si>
  <si>
    <t>-340.067727896944 156.186545538367 757.765319759766</t>
  </si>
  <si>
    <t>-518.833345769466 33.5224620102103 -227.232972704138</t>
  </si>
  <si>
    <t>-429.942794635004 -12.0610752273765 217.377302311062</t>
  </si>
  <si>
    <t>-593.236716624284 -97.1484854627607 649.33790407388</t>
  </si>
  <si>
    <t>-445.670439707268 -146.3789915076 731.460219082296</t>
  </si>
  <si>
    <t>9763-20170724T164354.619328800.bin</t>
  </si>
  <si>
    <t>-496.795045074124 126.959595409017 -239.516488108675</t>
  </si>
  <si>
    <t>-537.649772656594 122.145234217798 -353.426601813683</t>
  </si>
  <si>
    <t>-553.032822393622 112.583297074033 -473.270204068348</t>
  </si>
  <si>
    <t>-556.20048799165 102.451969587462 -582.275690024586</t>
  </si>
  <si>
    <t>-548.674186256646 91.1471539177385 -690.951273546353</t>
  </si>
  <si>
    <t>-527.091978290378 74.4831304639588 -840.806312029774</t>
  </si>
  <si>
    <t>-482.922574456374 66.0237377729772 -932.242018256987</t>
  </si>
  <si>
    <t>-532.129374581567 113.200533796467 -777.335793487414</t>
  </si>
  <si>
    <t>-525.802611351469 259.436980962811 -763.127458765996</t>
  </si>
  <si>
    <t>-591.150167617613 366.44361914818 -472.498019194319</t>
  </si>
  <si>
    <t>-416.032767708344 276.525723996804 -302.525427258298</t>
  </si>
  <si>
    <t>-541.153476969117 50.512402584737 -771.664376958879</t>
  </si>
  <si>
    <t>-340.550228873335 9.46588911662906 -461.518514619224</t>
  </si>
  <si>
    <t>-474.672110963055 220.791217420638 -251.219340534597</t>
  </si>
  <si>
    <t>-466.465215805439 208.107717771065 204.224873132525</t>
  </si>
  <si>
    <t>-493.065857550734 167.600775397487 671.689602847885</t>
  </si>
  <si>
    <t>-340.107937691209 155.841380515288 757.765773625356</t>
  </si>
  <si>
    <t>-518.801260994074 33.1476791786127 -227.143327535826</t>
  </si>
  <si>
    <t>-429.556772140313 -11.9365823937464 217.446912300712</t>
  </si>
  <si>
    <t>-593.179063749914 -97.0465898114228 649.200194033391</t>
  </si>
  <si>
    <t>-445.683962105123 -146.366847122182 731.396395098835</t>
  </si>
  <si>
    <t>9763-20170724T164354.691527100.bin</t>
  </si>
  <si>
    <t>-496.748278163352 126.432943286641 -239.552610719399</t>
  </si>
  <si>
    <t>-537.567634966754 121.606077593715 -353.474834680662</t>
  </si>
  <si>
    <t>-552.864820757295 111.935266772877 -473.320856467488</t>
  </si>
  <si>
    <t>-555.933307225059 101.667234764047 -582.316329693187</t>
  </si>
  <si>
    <t>-548.286706922326 90.1884383273542 -690.965356179237</t>
  </si>
  <si>
    <t>-526.515894752398 73.2447364013244 -840.761632617348</t>
  </si>
  <si>
    <t>-482.100899408613 64.5473756153482 -932.055937326876</t>
  </si>
  <si>
    <t>-531.616432046684 112.078362296298 -777.367252977218</t>
  </si>
  <si>
    <t>-525.318662015275 258.327879679411 -763.315837929435</t>
  </si>
  <si>
    <t>-591.601946576607 366.746758255972 -473.422730722966</t>
  </si>
  <si>
    <t>-416.812772244819 276.904019562321 -303.072861399472</t>
  </si>
  <si>
    <t>-540.681182784421 49.4053168448913 -771.595695451374</t>
  </si>
  <si>
    <t>-340.452208768122 8.68679328817493 -461.20125495531</t>
  </si>
  <si>
    <t>-474.562117696142 220.190905328313 -251.249093174221</t>
  </si>
  <si>
    <t>-466.278352954539 207.613525819414 204.196747087859</t>
  </si>
  <si>
    <t>-492.949232575671 167.231150643562 671.683806732204</t>
  </si>
  <si>
    <t>-339.922243536451 156.263418772439 757.74170471118</t>
  </si>
  <si>
    <t>-518.767432353408 32.7165900307738 -227.19996358109</t>
  </si>
  <si>
    <t>-429.553193872564 -12.1707498784978 217.416338189014</t>
  </si>
  <si>
    <t>-593.208807199462 -97.3700195385594 649.185807647669</t>
  </si>
  <si>
    <t>-445.639051484923 -146.438194621332 731.398885184168</t>
  </si>
  <si>
    <t>9763-20170724T164354.722843800.bin</t>
  </si>
  <si>
    <t>-496.777240268621 126.565966098456 -239.559366794835</t>
  </si>
  <si>
    <t>-537.552126454146 121.750159092598 -353.498076375723</t>
  </si>
  <si>
    <t>-552.798705014065 112.03378921377 -473.346709206044</t>
  </si>
  <si>
    <t>-555.819199857 101.699905885207 -582.337120193397</t>
  </si>
  <si>
    <t>-548.122370931947 90.1298258966835 -690.972966518592</t>
  </si>
  <si>
    <t>-526.279602440695 73.0322009104603 -840.741364194797</t>
  </si>
  <si>
    <t>-481.756747890367 64.1945525472189 -931.969668673774</t>
  </si>
  <si>
    <t>-531.396354425323 111.929095234509 -777.387182647146</t>
  </si>
  <si>
    <t>-525.043930534098 258.177834901988 -763.422940803865</t>
  </si>
  <si>
    <t>-591.862405652163 367.133006439052 -473.853991755149</t>
  </si>
  <si>
    <t>-417.270319120508 277.396881950139 -303.246068116271</t>
  </si>
  <si>
    <t>-540.492374100305 49.2656872922555 -771.560030620792</t>
  </si>
  <si>
    <t>-340.412326175561 8.71524291231376 -460.975597389767</t>
  </si>
  <si>
    <t>-474.573154203466 220.34889201215 -251.256596313028</t>
  </si>
  <si>
    <t>-466.269803748206 207.785365139577 204.189198851534</t>
  </si>
  <si>
    <t>-493.012270489353 167.535161056374 671.678740594749</t>
  </si>
  <si>
    <t>-340.0463199821 155.892132313162 757.756450073086</t>
  </si>
  <si>
    <t>-518.794194020035 32.888656313902 -227.24244913171</t>
  </si>
  <si>
    <t>-429.699113909572 -12.0716632559762 217.390305501361</t>
  </si>
  <si>
    <t>-593.224257385377 -97.1913937772064 649.20410165633</t>
  </si>
  <si>
    <t>-445.863719051221 -146.859840254899 731.431980845174</t>
  </si>
  <si>
    <t>9763-20170724T164354.787517200.bin</t>
  </si>
  <si>
    <t>-496.852468917448 126.290897997362 -239.587288353707</t>
  </si>
  <si>
    <t>-537.658193351329 121.530970885996 -353.517120934346</t>
  </si>
  <si>
    <t>-552.866239585375 111.721035317379 -473.363105498508</t>
  </si>
  <si>
    <t>-555.821110273719 101.24272122664 -582.341653922111</t>
  </si>
  <si>
    <t>-548.027146256986 89.4695742512828 -690.94881285774</t>
  </si>
  <si>
    <t>-526.017119389152 72.0297948206275 -840.653245088412</t>
  </si>
  <si>
    <t>-481.345005531294 62.8972494542808 -931.779377420786</t>
  </si>
  <si>
    <t>-531.168915104204 111.066694457274 -777.387883306195</t>
  </si>
  <si>
    <t>-524.749936609068 257.343216995152 -763.642172851249</t>
  </si>
  <si>
    <t>-592.618018163785 367.041782460538 -474.598401995301</t>
  </si>
  <si>
    <t>-418.459707430193 277.433286971983 -303.480793000059</t>
  </si>
  <si>
    <t>-540.342901653496 48.4260124376904 -771.43943508396</t>
  </si>
  <si>
    <t>-340.482108838272 8.08249324186562 -460.574674261968</t>
  </si>
  <si>
    <t>-474.571696148678 220.068587864039 -251.247849519909</t>
  </si>
  <si>
    <t>-466.215263382394 207.52164952423 204.19739639069</t>
  </si>
  <si>
    <t>-492.942945083804 167.325499903471 671.68875208142</t>
  </si>
  <si>
    <t>-339.941034422415 156.03611880605 757.749691377132</t>
  </si>
  <si>
    <t>-518.999178336118 32.4355648639235 -227.240231241646</t>
  </si>
  <si>
    <t>-429.808103072834 -12.452459994698 217.38056206458</t>
  </si>
  <si>
    <t>-593.305061263443 -97.7027303371417 649.250426739291</t>
  </si>
  <si>
    <t>-445.545942700266 -146.265799259653 731.423358281792</t>
  </si>
  <si>
    <t>9763-20170724T164354.819114900.bin</t>
  </si>
  <si>
    <t>-496.9136700613 126.343844480411 -239.556019265937</t>
  </si>
  <si>
    <t>-537.719684196846 121.588447215949 -353.486074488397</t>
  </si>
  <si>
    <t>-552.898759227369 111.723516876079 -473.331240109889</t>
  </si>
  <si>
    <t>-555.814495368667 101.17260358471 -582.3037633516</t>
  </si>
  <si>
    <t>-547.968586945209 89.3046566038187 -690.896860967629</t>
  </si>
  <si>
    <t>-525.872874979785 71.7111152084445 -840.570599195268</t>
  </si>
  <si>
    <t>-481.212330288635 62.4702651859266 -931.691606236999</t>
  </si>
  <si>
    <t>-531.036578526935 110.809738753321 -777.34444866224</t>
  </si>
  <si>
    <t>-524.491709007342 257.076052163195 -763.68621547476</t>
  </si>
  <si>
    <t>-592.847383906372 367.178581563565 -474.911031425443</t>
  </si>
  <si>
    <t>-418.970000379796 277.55374479498 -303.516485740673</t>
  </si>
  <si>
    <t>-540.262590978077 48.1816182447243 -771.344761448559</t>
  </si>
  <si>
    <t>-340.46658187981 7.97043055427042 -460.440892006782</t>
  </si>
  <si>
    <t>-474.602018882724 220.249215550788 -251.250222039467</t>
  </si>
  <si>
    <t>-466.264328419307 207.702898740784 204.195480328994</t>
  </si>
  <si>
    <t>-493.019869872669 167.715369443042 671.686679877534</t>
  </si>
  <si>
    <t>-340.100275637865 155.508801493041 757.768603999845</t>
  </si>
  <si>
    <t>-519.052610556604 32.4168399968644 -227.200336365748</t>
  </si>
  <si>
    <t>-429.766618794256 -12.3775487916817 217.410944662634</t>
  </si>
  <si>
    <t>-593.32740436712 -97.7454964713101 649.25617654812</t>
  </si>
  <si>
    <t>-445.607204366991 -146.42690314078 731.429038546799</t>
  </si>
  <si>
    <t>9763-20170724T164354.887808600.bin</t>
  </si>
  <si>
    <t>-496.863310849916 126.137188642981 -239.444848053364</t>
  </si>
  <si>
    <t>-537.735843507254 121.338832879199 -353.349293271147</t>
  </si>
  <si>
    <t>-552.86191054627 111.281280332469 -473.185011007651</t>
  </si>
  <si>
    <t>-555.67865079718 100.493956436287 -582.137139295203</t>
  </si>
  <si>
    <t>-547.682524880231 88.3281641847666 -690.686184503962</t>
  </si>
  <si>
    <t>-525.325976337802 70.2568705079063 -840.264271977812</t>
  </si>
  <si>
    <t>-480.831091093068 60.9729553413513 -931.461766703135</t>
  </si>
  <si>
    <t>-530.493691062303 109.543070889769 -777.154844933767</t>
  </si>
  <si>
    <t>-523.494627951811 255.825946388657 -763.808565117799</t>
  </si>
  <si>
    <t>-593.162373376959 366.315478109228 -475.495114237806</t>
  </si>
  <si>
    <t>-419.813068526233 276.98301656845 -303.414202796472</t>
  </si>
  <si>
    <t>-539.942403528199 46.9626023341096 -771.006442631074</t>
  </si>
  <si>
    <t>-340.401756872877 6.94990460194792 -460.125986531167</t>
  </si>
  <si>
    <t>-474.445141351725 219.981488369878 -251.248923555782</t>
  </si>
  <si>
    <t>-466.14948799205 207.536214330796 204.200362809784</t>
  </si>
  <si>
    <t>-492.935005419702 167.490042138708 671.686229437731</t>
  </si>
  <si>
    <t>-339.935376397116 156.098929660382 757.737809738591</t>
  </si>
  <si>
    <t>-519.094115854592 32.2070724692838 -226.975549629796</t>
  </si>
  <si>
    <t>-429.225860671546 -12.2075850162932 217.556387861064</t>
  </si>
  <si>
    <t>-593.291671120176 -97.7013613063773 649.146300538013</t>
  </si>
  <si>
    <t>-445.662567224993 -146.546127171097 731.385885479209</t>
  </si>
  <si>
    <t>9763-20170724T164354.920026800.bin</t>
  </si>
  <si>
    <t>-496.837073963421 126.089437723944 -239.39505466998</t>
  </si>
  <si>
    <t>-537.770043046441 121.242806031145 -353.275744223213</t>
  </si>
  <si>
    <t>-552.892196399057 111.06023969827 -473.101582525252</t>
  </si>
  <si>
    <t>-555.677442447154 100.128466091077 -582.039922114414</t>
  </si>
  <si>
    <t>-547.621893521503 87.7870105010202 -690.564884953304</t>
  </si>
  <si>
    <t>-525.154074664788 69.4395772338589 -840.092590840304</t>
  </si>
  <si>
    <t>-480.680861615653 60.2057422360444 -931.305823497666</t>
  </si>
  <si>
    <t>-530.31631421252 108.83523840669 -777.050905487286</t>
  </si>
  <si>
    <t>-523.201188260265 255.125209509706 -763.900923195863</t>
  </si>
  <si>
    <t>-593.482794317865 365.744924523247 -475.786438665929</t>
  </si>
  <si>
    <t>-420.297182630611 276.652590808532 -303.416588807686</t>
  </si>
  <si>
    <t>-539.874469138115 46.280315354812 -770.811454362632</t>
  </si>
  <si>
    <t>-340.522256592748 6.46321357294963 -459.913916191679</t>
  </si>
  <si>
    <t>-474.409389540248 219.989257624804 -251.266979114952</t>
  </si>
  <si>
    <t>-466.18477959067 207.587429762753 204.184584334526</t>
  </si>
  <si>
    <t>-492.918251805152 167.543972149841 671.671605361197</t>
  </si>
  <si>
    <t>-339.955336947296 155.735321812465 757.732112943608</t>
  </si>
  <si>
    <t>-519.149997834609 32.1363352366912 -226.834843953268</t>
  </si>
  <si>
    <t>-428.922659422645 -12.0808420476284 217.644048453836</t>
  </si>
  <si>
    <t>-593.254016409642 -97.7162814277787 649.077126117558</t>
  </si>
  <si>
    <t>-445.681118093334 -146.674686930101 731.349982334006</t>
  </si>
  <si>
    <t>9763-20170724T164354.989716300.bin</t>
  </si>
  <si>
    <t>-496.819132900107 126.348443303078 -239.333644114341</t>
  </si>
  <si>
    <t>-537.656524624113 121.345400669956 -353.241773436092</t>
  </si>
  <si>
    <t>-552.688630545287 110.971999921659 -473.062556275878</t>
  </si>
  <si>
    <t>-555.396804407921 99.8512562892694 -581.983825319316</t>
  </si>
  <si>
    <t>-547.269216700442 87.3028546871341 -690.479617870447</t>
  </si>
  <si>
    <t>-524.707403181112 68.6476467774065 -839.955199691617</t>
  </si>
  <si>
    <t>-480.183809403852 59.5305304850277 -931.155570231846</t>
  </si>
  <si>
    <t>-529.871150635322 108.16770360132 -776.991639833625</t>
  </si>
  <si>
    <t>-522.755669299286 254.475397594317 -764.041257904104</t>
  </si>
  <si>
    <t>-593.708938520441 365.71063852945 -476.328736657074</t>
  </si>
  <si>
    <t>-420.702554052979 276.948833713217 -303.608689176249</t>
  </si>
  <si>
    <t>-539.509473406476 45.6362575088742 -770.642196787945</t>
  </si>
  <si>
    <t>-340.351796791155 6.22912913716664 -459.497886753635</t>
  </si>
  <si>
    <t>-474.383172305571 220.23234057354 -251.322946227037</t>
  </si>
  <si>
    <t>-466.316357120485 207.798412445208 204.130760441506</t>
  </si>
  <si>
    <t>-492.915738253884 167.754011220606 671.647436662128</t>
  </si>
  <si>
    <t>-339.955929446408 155.901717436023 757.707497401029</t>
  </si>
  <si>
    <t>-519.055603890745 32.5450762708165 -226.747321125843</t>
  </si>
  <si>
    <t>-428.677222013562 -11.622829284298 217.705785993517</t>
  </si>
  <si>
    <t>-593.214658367613 -97.3630780937483 649.02931330876</t>
  </si>
  <si>
    <t>-445.892103036817 -146.962934128486 731.366609772513</t>
  </si>
  <si>
    <t>9763-20170724T164355.022306600.bin</t>
  </si>
  <si>
    <t>-496.780321737429 126.327819661613 -239.337123698888</t>
  </si>
  <si>
    <t>-537.585495760133 121.290779477106 -353.255384415036</t>
  </si>
  <si>
    <t>-552.591295798816 110.890982365789 -473.077052959895</t>
  </si>
  <si>
    <t>-555.278765273268 99.7484620458822 -581.996681131603</t>
  </si>
  <si>
    <t>-547.134046637534 87.1793809069564 -690.488657649625</t>
  </si>
  <si>
    <t>-524.552327786415 68.4959425622351 -839.957770243802</t>
  </si>
  <si>
    <t>-479.977213523374 59.4214074086761 -931.137277392195</t>
  </si>
  <si>
    <t>-529.73310174219 108.029107318195 -777.003832105058</t>
  </si>
  <si>
    <t>-522.707711171093 254.339731915626 -764.056971506029</t>
  </si>
  <si>
    <t>-593.925017378724 365.863351192374 -476.521259501639</t>
  </si>
  <si>
    <t>-420.884098196254 277.345610601201 -303.710631968352</t>
  </si>
  <si>
    <t>-539.355003345093 45.4964508621208 -770.640882474772</t>
  </si>
  <si>
    <t>-340.273140083596 6.27318822319458 -459.126736816648</t>
  </si>
  <si>
    <t>-474.398609522849 220.246711467459 -251.327278340509</t>
  </si>
  <si>
    <t>-466.382272708106 207.819720117073 204.127473010133</t>
  </si>
  <si>
    <t>-492.898934495021 167.762675813439 671.641934000702</t>
  </si>
  <si>
    <t>-339.935948412408 155.946050918946 757.701306959853</t>
  </si>
  <si>
    <t>-518.995036865961 32.4582023927759 -226.744078904075</t>
  </si>
  <si>
    <t>-428.666280004872 -11.6639626598976 217.723757533625</t>
  </si>
  <si>
    <t>-593.223965983344 -97.5244608459204 649.033211705446</t>
  </si>
  <si>
    <t>-445.782675619844 -146.744562296839 731.385919561075</t>
  </si>
  <si>
    <t>9763-20170724T164355.085982200.bin</t>
  </si>
  <si>
    <t>-496.675540267566 126.288594688314 -239.329442056498</t>
  </si>
  <si>
    <t>-537.436825903957 121.133554971209 -353.258329466308</t>
  </si>
  <si>
    <t>-552.3812377394 110.707880456222 -473.08542113971</t>
  </si>
  <si>
    <t>-555.008351232781 99.5797771440936 -582.007876793426</t>
  </si>
  <si>
    <t>-546.799704397257 87.0625259761874 -690.501153144262</t>
  </si>
  <si>
    <t>-524.126234277239 68.4896768157991 -839.970062423183</t>
  </si>
  <si>
    <t>-479.4568013252 59.4989795465373 -931.111659837774</t>
  </si>
  <si>
    <t>-529.397650982991 107.983369078977 -776.99879782631</t>
  </si>
  <si>
    <t>-522.587716258762 254.30084984304 -763.91714109138</t>
  </si>
  <si>
    <t>-594.536152771523 366.392971554382 -476.784809377568</t>
  </si>
  <si>
    <t>-421.264641231882 278.285176558261 -303.995668061539</t>
  </si>
  <si>
    <t>-538.919408307875 45.4318626333814 -770.670532235634</t>
  </si>
  <si>
    <t>-339.8892680913 6.6365833270599 -458.59395252656</t>
  </si>
  <si>
    <t>-474.427473670469 220.21443040961 -251.335011834215</t>
  </si>
  <si>
    <t>-466.415827603856 207.817729895975 204.120569039972</t>
  </si>
  <si>
    <t>-492.88480923638 167.875298081779 671.636797263171</t>
  </si>
  <si>
    <t>-339.892007630652 156.379815125255 757.686534524043</t>
  </si>
  <si>
    <t>-518.72299219949 32.3667192903603 -226.679203540265</t>
  </si>
  <si>
    <t>-428.354583651841 -11.21544327376 217.833811303929</t>
  </si>
  <si>
    <t>-593.194382526368 -97.3572713072681 649.002301023489</t>
  </si>
  <si>
    <t>-446.056239619563 -147.328818149635 731.444589896931</t>
  </si>
  <si>
    <t>9763-20170724T164355.123340200.bin</t>
  </si>
  <si>
    <t>-496.562446304872 126.071671706585 -239.266580057794</t>
  </si>
  <si>
    <t>-537.309947391525 120.835437615164 -353.196471713897</t>
  </si>
  <si>
    <t>-552.23597849297 110.409589607349 -473.025911956583</t>
  </si>
  <si>
    <t>-554.84561854651 99.3157423033156 -581.952258063501</t>
  </si>
  <si>
    <t>-546.619539709125 86.8675773299487 -690.452106418666</t>
  </si>
  <si>
    <t>-523.922395500812 68.4273861304152 -839.933878445827</t>
  </si>
  <si>
    <t>-479.224204177213 59.5390518313032 -931.071526604422</t>
  </si>
  <si>
    <t>-529.241954854238 107.87024756988 -776.934887957719</t>
  </si>
  <si>
    <t>-522.457578439364 254.164655729857 -763.703813515476</t>
  </si>
  <si>
    <t>-595.025740785633 366.776716917052 -476.931018290078</t>
  </si>
  <si>
    <t>-421.566638323993 278.84533160714 -304.240464487523</t>
  </si>
  <si>
    <t>-538.688438632263 45.3029148418806 -770.650896575538</t>
  </si>
  <si>
    <t>-339.528141377055 6.56562106254002 -458.543748264089</t>
  </si>
  <si>
    <t>-474.387496823878 220.010466332385 -251.323121192424</t>
  </si>
  <si>
    <t>-466.395519263601 207.750658065987 204.136586160694</t>
  </si>
  <si>
    <t>-492.852810734055 167.806802471528 671.643781068635</t>
  </si>
  <si>
    <t>-339.828726079689 156.644247102954 757.681810193341</t>
  </si>
  <si>
    <t>-518.521584834616 32.1885554047447 -226.552990716598</t>
  </si>
  <si>
    <t>-427.999945052314 -11.1696309355986 217.950729359242</t>
  </si>
  <si>
    <t>-593.149935435627 -97.1977230483483 648.946208916626</t>
  </si>
  <si>
    <t>-445.950870501075 -146.93190971639 731.423238671378</t>
  </si>
  <si>
    <t>9763-20170724T164355.189016900.bin</t>
  </si>
  <si>
    <t>-496.250557885564 125.620691783262 -239.216435612754</t>
  </si>
  <si>
    <t>-537.053409317254 120.24079842538 -353.119809901087</t>
  </si>
  <si>
    <t>-552.013487455652 109.807468393354 -472.944334549593</t>
  </si>
  <si>
    <t>-554.646897512987 98.7597735944633 -581.874886555218</t>
  </si>
  <si>
    <t>-546.438238834328 86.4087791709124 -690.387128115176</t>
  </si>
  <si>
    <t>-523.759720763695 68.1544542905847 -839.894657133257</t>
  </si>
  <si>
    <t>-479.046064637316 59.4660820678969 -931.043958424909</t>
  </si>
  <si>
    <t>-529.089380843178 107.521371832635 -776.84898580082</t>
  </si>
  <si>
    <t>-522.336591229895 253.807954126625 -763.385327656921</t>
  </si>
  <si>
    <t>-595.643422412377 367.206468681323 -477.110895303206</t>
  </si>
  <si>
    <t>-421.791892608672 279.807758739718 -304.544436049115</t>
  </si>
  <si>
    <t>-538.499174574197 44.9414434780862 -770.63549005222</t>
  </si>
  <si>
    <t>-338.828104996372 6.07657984838919 -459.030577954324</t>
  </si>
  <si>
    <t>-474.254795796242 219.519688554582 -251.348277315254</t>
  </si>
  <si>
    <t>-466.274756799203 207.449673815762 204.116682961965</t>
  </si>
  <si>
    <t>-492.717059070955 167.426670507496 671.642040371872</t>
  </si>
  <si>
    <t>-339.674410448976 156.544824459575 757.68304703522</t>
  </si>
  <si>
    <t>-518.061439381523 31.7719658931207 -226.425905278661</t>
  </si>
  <si>
    <t>-427.32650209765 -11.1302919291341 218.07859714659</t>
  </si>
  <si>
    <t>-593.091142835049 -97.2196902398039 648.827442730407</t>
  </si>
  <si>
    <t>-445.853106114438 -146.718147283753 731.376579061294</t>
  </si>
  <si>
    <t>9763-20170724T164355.223607200.bin</t>
  </si>
  <si>
    <t>-496.131719220877 125.4030845353 -239.18460838636</t>
  </si>
  <si>
    <t>-536.952761723871 119.964281996475 -353.078700242135</t>
  </si>
  <si>
    <t>-551.944732447621 109.547040990897 -472.900548354751</t>
  </si>
  <si>
    <t>-554.613165436956 98.5435960872045 -581.834744425817</t>
  </si>
  <si>
    <t>-546.446205218805 86.2656609065735 -690.358553142133</t>
  </si>
  <si>
    <t>-523.832562414592 68.1419039247744 -839.891683302166</t>
  </si>
  <si>
    <t>-479.141355906993 59.5696802694586 -931.062951120166</t>
  </si>
  <si>
    <t>-529.151170135441 107.455960381766 -776.81199661676</t>
  </si>
  <si>
    <t>-522.410550073354 253.731956110244 -763.281921333652</t>
  </si>
  <si>
    <t>-595.964480929084 367.230325401466 -477.110400154272</t>
  </si>
  <si>
    <t>-422.002221874389 280.093082700769 -304.523281213597</t>
  </si>
  <si>
    <t>-538.525608023238 44.8662854961322 -770.643727934159</t>
  </si>
  <si>
    <t>-338.611964585135 5.81446747307588 -459.295642997969</t>
  </si>
  <si>
    <t>-474.212597104428 219.330118333398 -251.355265051022</t>
  </si>
  <si>
    <t>-466.23514363948 207.374695091238 204.112791744917</t>
  </si>
  <si>
    <t>-492.717486156798 167.535065813669 671.638301860007</t>
  </si>
  <si>
    <t>-339.675020292902 156.681196637013 757.683209907528</t>
  </si>
  <si>
    <t>-517.868626253238 31.5011078000425 -226.368849621272</t>
  </si>
  <si>
    <t>-427.028909474593 -11.0162391904323 218.151185417394</t>
  </si>
  <si>
    <t>-593.080477939673 -97.2189583336396 648.781539723382</t>
  </si>
  <si>
    <t>-446.017889059909 -147.178294827495 731.365773988811</t>
  </si>
  <si>
    <t>9763-20170724T164355.287759500.bin</t>
  </si>
  <si>
    <t>-495.997308403658 124.938893759521 -239.123358134524</t>
  </si>
  <si>
    <t>-536.880361159942 119.414104289423 -352.991069277909</t>
  </si>
  <si>
    <t>-551.897594145696 109.020605106139 -472.811881167784</t>
  </si>
  <si>
    <t>-554.574546087236 98.0823153918124 -581.752379574972</t>
  </si>
  <si>
    <t>-546.402563845839 85.9122514163449 -690.288038553077</t>
  </si>
  <si>
    <t>-523.768623001311 67.9821957188272 -839.841268391686</t>
  </si>
  <si>
    <t>-479.093589620999 59.5648799718328 -931.034935166267</t>
  </si>
  <si>
    <t>-529.114402237305 107.216975776555 -776.714711737185</t>
  </si>
  <si>
    <t>-522.441676121081 253.474874485232 -762.96580599416</t>
  </si>
  <si>
    <t>-596.39149175523 367.028001796575 -476.918142556895</t>
  </si>
  <si>
    <t>-422.306296292153 280.162461242701 -304.318126841822</t>
  </si>
  <si>
    <t>-538.452452979557 44.6143540987267 -770.622417683461</t>
  </si>
  <si>
    <t>-338.31484456394 5.12139158804941 -459.796646130806</t>
  </si>
  <si>
    <t>-474.168818974774 219.003506916842 -251.368126085281</t>
  </si>
  <si>
    <t>-466.071367958912 207.358454011877 204.105816051663</t>
  </si>
  <si>
    <t>-492.771995348793 167.914773689994 671.644445693737</t>
  </si>
  <si>
    <t>-339.841473251598 155.845943954665 757.726462727795</t>
  </si>
  <si>
    <t>-517.645219154596 30.8811249774462 -226.229687400082</t>
  </si>
  <si>
    <t>-426.511421096197 -11.3393726769063 218.258468676472</t>
  </si>
  <si>
    <t>-593.126675197306 -97.7434237620719 648.73172058386</t>
  </si>
  <si>
    <t>-445.856131095702 -147.0886811446 731.314678148518</t>
  </si>
  <si>
    <t>9763-20170724T164355.319381800.bin</t>
  </si>
  <si>
    <t>-495.890671645801 124.620738548811 -239.105327673873</t>
  </si>
  <si>
    <t>-536.823420319933 119.076203032443 -352.954264727134</t>
  </si>
  <si>
    <t>-551.815023955329 108.719197178489 -472.781505936746</t>
  </si>
  <si>
    <t>-554.437859401939 97.8384738329672 -581.729088246375</t>
  </si>
  <si>
    <t>-546.181606432899 85.7512828989429 -690.267393524308</t>
  </si>
  <si>
    <t>-523.40041627682 67.963452447304 -839.815556361018</t>
  </si>
  <si>
    <t>-478.724706434787 59.633973003996 -931.016889202945</t>
  </si>
  <si>
    <t>-528.821567594315 107.139954072702 -776.659040908391</t>
  </si>
  <si>
    <t>-522.236883818363 253.383159438412 -762.73454679793</t>
  </si>
  <si>
    <t>-596.399451386436 366.887623610506 -476.722490885757</t>
  </si>
  <si>
    <t>-422.25465407145 280.131475695417 -304.127472685065</t>
  </si>
  <si>
    <t>-538.139125566305 44.5280684769161 -770.631137516301</t>
  </si>
  <si>
    <t>-337.857397626316 4.73950533625631 -459.94992516541</t>
  </si>
  <si>
    <t>-474.044702095677 218.600152498079 -251.367014787186</t>
  </si>
  <si>
    <t>-465.837208053346 207.174960104944 204.110482824668</t>
  </si>
  <si>
    <t>-492.766553662561 168.002923628914 671.640202168973</t>
  </si>
  <si>
    <t>-339.860402630537 155.797047862002 757.746186823195</t>
  </si>
  <si>
    <t>-517.516341798691 30.6429436984526 -226.16704122206</t>
  </si>
  <si>
    <t>-426.213794425628 -11.5324889383192 218.290842687933</t>
  </si>
  <si>
    <t>-593.139348863959 -97.5856465489647 648.701890067725</t>
  </si>
  <si>
    <t>-446.00436389839 -147.331107239262 731.286445047112</t>
  </si>
  <si>
    <t>9763-20170724T164355.389056100.bin</t>
  </si>
  <si>
    <t>-495.811106686736 123.288865074936 -239.113286788577</t>
  </si>
  <si>
    <t>-536.815635899595 117.637606021596 -352.931146798661</t>
  </si>
  <si>
    <t>-551.731892352442 107.274742257817 -472.767231241337</t>
  </si>
  <si>
    <t>-554.227122518828 96.4296479464388 -581.72136399063</t>
  </si>
  <si>
    <t>-545.785382507727 84.4188663099425 -690.253965131768</t>
  </si>
  <si>
    <t>-522.689223663865 66.7794735354693 -839.771306055093</t>
  </si>
  <si>
    <t>-478.037845758283 58.6152727618093 -930.999404459472</t>
  </si>
  <si>
    <t>-528.242748123299 105.893136960952 -776.587371616069</t>
  </si>
  <si>
    <t>-521.798418495772 252.115456463418 -762.304604126795</t>
  </si>
  <si>
    <t>-596.779161586722 365.295160571463 -476.377356915283</t>
  </si>
  <si>
    <t>-422.296330679207 279.177818858583 -303.803880419121</t>
  </si>
  <si>
    <t>-537.574410468888 43.2755287012307 -770.641552323959</t>
  </si>
  <si>
    <t>-337.234816064531 3.24124288320127 -460.245688322483</t>
  </si>
  <si>
    <t>-473.966050273523 217.063038240696 -251.428884023511</t>
  </si>
  <si>
    <t>-465.635693551455 206.273580298418 204.061972966043</t>
  </si>
  <si>
    <t>-492.584789502475 167.522552237484 671.622477928763</t>
  </si>
  <si>
    <t>-339.623685045936 156.234828958506 757.756154511142</t>
  </si>
  <si>
    <t>-517.450521614906 29.4460299930583 -226.088927932801</t>
  </si>
  <si>
    <t>-425.579777913239 -12.1607441858367 218.305407379003</t>
  </si>
  <si>
    <t>-593.151467704989 -97.3217737647359 648.593377093579</t>
  </si>
  <si>
    <t>-446.062419913555 -147.215263425889 731.170402105119</t>
  </si>
  <si>
    <t>9763-20170724T164355.419713400.bin</t>
  </si>
  <si>
    <t>-495.931281827953 122.558265081769 -239.132549245436</t>
  </si>
  <si>
    <t>-536.901822092619 116.851003360419 -352.959759895334</t>
  </si>
  <si>
    <t>-551.797392674696 106.49853700097 -472.799386781518</t>
  </si>
  <si>
    <t>-554.281302392054 95.6851744953986 -581.7568889996</t>
  </si>
  <si>
    <t>-545.836559306923 83.7255900256762 -690.294999070776</t>
  </si>
  <si>
    <t>-522.745256454289 66.1746295259709 -839.823370546409</t>
  </si>
  <si>
    <t>-478.124170679745 58.0976608975228 -931.074166062889</t>
  </si>
  <si>
    <t>-528.29670128805 105.250920531385 -776.616237279355</t>
  </si>
  <si>
    <t>-521.929410461385 251.449420197434 -762.180524448989</t>
  </si>
  <si>
    <t>-597.467813262456 364.368883808875 -476.297081441052</t>
  </si>
  <si>
    <t>-422.723908828388 278.750413098654 -303.739530071682</t>
  </si>
  <si>
    <t>-537.628228620338 42.6298336071208 -770.707236493067</t>
  </si>
  <si>
    <t>-337.365922782148 2.49929641540798 -460.404311418635</t>
  </si>
  <si>
    <t>-474.185546232093 216.318218160229 -251.477317734064</t>
  </si>
  <si>
    <t>-465.80299054143 205.790014216608 204.018594163451</t>
  </si>
  <si>
    <t>-492.571987242617 167.567996266071 671.628694973322</t>
  </si>
  <si>
    <t>-339.562237782349 156.896345120416 757.754499778264</t>
  </si>
  <si>
    <t>-517.471998143622 28.8570077511907 -226.136416001271</t>
  </si>
  <si>
    <t>-425.507043289052 -12.4540655456178 218.266041255226</t>
  </si>
  <si>
    <t>-593.193238460499 -97.2540729038489 648.584829803193</t>
  </si>
  <si>
    <t>-446.176976492518 -147.395827722426 731.141032263482</t>
  </si>
  <si>
    <t>9763-20170724T164355.491909900.bin</t>
  </si>
  <si>
    <t>-496.486030115615 121.114205813401 -239.256907690778</t>
  </si>
  <si>
    <t>-537.459881357466 115.277300807775 -353.076439246636</t>
  </si>
  <si>
    <t>-552.35040432041 104.934474075128 -472.91745528297</t>
  </si>
  <si>
    <t>-554.82869452805 94.1822609263455 -581.881167354229</t>
  </si>
  <si>
    <t>-546.378761316659 82.3326016830257 -690.430817160843</t>
  </si>
  <si>
    <t>-523.281246010331 64.9819646799777 -839.981767959212</t>
  </si>
  <si>
    <t>-478.590796738715 57.0876914231708 -931.214522248828</t>
  </si>
  <si>
    <t>-528.86604456032 103.977619735913 -776.727637693174</t>
  </si>
  <si>
    <t>-522.782181340603 250.165695614557 -762.039970218582</t>
  </si>
  <si>
    <t>-598.82734251022 362.685755761119 -476.133345838161</t>
  </si>
  <si>
    <t>-423.8227017086 277.729593178919 -303.512858849434</t>
  </si>
  <si>
    <t>-538.136368125148 41.3405150602447 -770.892471373337</t>
  </si>
  <si>
    <t>-338.082338985517 1.23849388808489 -460.565492828075</t>
  </si>
  <si>
    <t>-474.987210959309 215.022911335783 -251.637976914078</t>
  </si>
  <si>
    <t>-466.332145194071 205.236566297661 203.869400364423</t>
  </si>
  <si>
    <t>-492.604127871847 168.018577346958 671.584241100391</t>
  </si>
  <si>
    <t>-339.696942515574 156.353639436995 757.763194388443</t>
  </si>
  <si>
    <t>-517.829690576953 27.2551196783058 -226.233628370997</t>
  </si>
  <si>
    <t>-425.637123724636 -13.2712641857229 218.193952003497</t>
  </si>
  <si>
    <t>-593.34161847191 -97.4418805045445 648.635239874381</t>
  </si>
  <si>
    <t>-446.083585968726 -147.058719047766 731.077620044461</t>
  </si>
  <si>
    <t>9763-20170724T164355.522006200.bin</t>
  </si>
  <si>
    <t>-496.81941643632 120.304397188415 -239.291711319579</t>
  </si>
  <si>
    <t>-537.864248727329 114.426840527283 -353.083456174438</t>
  </si>
  <si>
    <t>-552.779414375226 104.110311480348 -472.923642213012</t>
  </si>
  <si>
    <t>-555.260708025076 93.4093349617768 -581.892409932817</t>
  </si>
  <si>
    <t>-546.794858159534 81.6382859152548 -690.449422201455</t>
  </si>
  <si>
    <t>-523.656292075344 64.4252823552941 -840.009810235758</t>
  </si>
  <si>
    <t>-478.955623808279 56.6399974344866 -931.247048422027</t>
  </si>
  <si>
    <t>-529.290337475016 103.366973391378 -776.726983738589</t>
  </si>
  <si>
    <t>-523.311587266997 249.535018243139 -761.884993708962</t>
  </si>
  <si>
    <t>-599.543261716199 362.051121457165 -476.026492654044</t>
  </si>
  <si>
    <t>-424.470806305504 277.125152525611 -303.459817550412</t>
  </si>
  <si>
    <t>-538.498458794104 40.7160610266936 -770.941060132899</t>
  </si>
  <si>
    <t>-338.575505098633 0.684729548886367 -460.577138634799</t>
  </si>
  <si>
    <t>-475.386801285359 213.974743361001 -251.696904159245</t>
  </si>
  <si>
    <t>-466.474041420974 204.563692851545 203.813444221884</t>
  </si>
  <si>
    <t>-492.490118349613 167.637532939837 671.588261284892</t>
  </si>
  <si>
    <t>-339.45397117238 157.450844066225 757.725878374852</t>
  </si>
  <si>
    <t>-518.096039909465 26.7442081516811 -226.245021172375</t>
  </si>
  <si>
    <t>-425.731424923781 -13.6288040662263 218.160707338966</t>
  </si>
  <si>
    <t>-593.407223629236 -97.1401041008452 648.676884274073</t>
  </si>
  <si>
    <t>-446.372375996634 -147.514958953495 731.058097671708</t>
  </si>
  <si>
    <t>9763-20170724T164355.590176500.bin</t>
  </si>
  <si>
    <t>-497.73105943396 118.657782923111 -239.381915346118</t>
  </si>
  <si>
    <t>-538.940847808083 112.671577742297 -353.108429637644</t>
  </si>
  <si>
    <t>-553.840967702577 102.363908171041 -472.951312590022</t>
  </si>
  <si>
    <t>-556.233798032746 91.7231647056193 -581.927940750462</t>
  </si>
  <si>
    <t>-547.605911721001 80.067054725641 -690.48462384686</t>
  </si>
  <si>
    <t>-524.16859783631 63.0726917766169 -840.02352311591</t>
  </si>
  <si>
    <t>-479.348194389026 55.4985743813188 -931.219761573794</t>
  </si>
  <si>
    <t>-530.004839259648 101.931674396424 -776.708153511127</t>
  </si>
  <si>
    <t>-524.394013100346 248.103644194346 -761.662922693175</t>
  </si>
  <si>
    <t>-601.262718639552 360.411187500651 -475.893142886684</t>
  </si>
  <si>
    <t>-425.92767977154 275.770200426789 -303.45305190336</t>
  </si>
  <si>
    <t>-539.072898963935 39.2526776842839 -771.006222701301</t>
  </si>
  <si>
    <t>-476.499871218128 212.421219232405 -251.82021852432</t>
  </si>
  <si>
    <t>-466.904150659685 203.916709114371 203.694045870076</t>
  </si>
  <si>
    <t>-492.562114901194 168.092115387788 671.574761870803</t>
  </si>
  <si>
    <t>-339.638683604028 156.558912951899 757.742728570741</t>
  </si>
  <si>
    <t>-518.81359200203 24.8595146259344 -226.276082046015</t>
  </si>
  <si>
    <t>-426.04169467974 -14.8962454775718 218.100468706414</t>
  </si>
  <si>
    <t>-593.652848294679 -97.958763034953 648.811642979003</t>
  </si>
  <si>
    <t>-446.032246326139 -147.045061473831 730.922602068994</t>
  </si>
  <si>
    <t>9763-20170724T164355.623268600.bin</t>
  </si>
  <si>
    <t>-498.258270179833 117.794342975025 -239.470582857794</t>
  </si>
  <si>
    <t>-539.527339421822 111.766131137474 -353.173351637852</t>
  </si>
  <si>
    <t>-554.395832932284 101.449900895634 -473.019329970478</t>
  </si>
  <si>
    <t>-556.72214207427 90.8168414709345 -581.99822576817</t>
  </si>
  <si>
    <t>-547.990619840466 79.184385427138 -690.548966569111</t>
  </si>
  <si>
    <t>-524.372245792003 62.2405961059481 -840.065248396593</t>
  </si>
  <si>
    <t>-479.464218524668 54.765081050971 -931.226391603802</t>
  </si>
  <si>
    <t>-530.320754125298 101.082785161749 -776.749944461508</t>
  </si>
  <si>
    <t>-524.885391865513 247.254130714682 -761.610108101764</t>
  </si>
  <si>
    <t>-602.04400561253 359.437089351594 -475.869431478346</t>
  </si>
  <si>
    <t>-426.487319525682 275.167422290806 -303.473029993826</t>
  </si>
  <si>
    <t>-539.324502281896 38.3926794329503 -771.06795029131</t>
  </si>
  <si>
    <t>-477.117895033234 211.543426913512 -251.898275922031</t>
  </si>
  <si>
    <t>-467.142594671274 203.454609752766 203.615424907858</t>
  </si>
  <si>
    <t>-492.54883923247 168.132887902307 671.558984534446</t>
  </si>
  <si>
    <t>-339.643616307992 156.437646943779 757.737438438778</t>
  </si>
  <si>
    <t>-519.241941832492 24.0772165853601 -226.38997820381</t>
  </si>
  <si>
    <t>-426.350698467817 -15.4042295564353 217.986152182238</t>
  </si>
  <si>
    <t>-593.712765258429 -97.6998713787006 648.863619842868</t>
  </si>
  <si>
    <t>-446.090973928433 -146.979029077469 730.856819972359</t>
  </si>
  <si>
    <t>9763-20170724T164355.686941000.bin</t>
  </si>
  <si>
    <t>-499.410253663674 115.547728554736 -239.753085757286</t>
  </si>
  <si>
    <t>-540.559502517396 109.35732174608 -353.49059799902</t>
  </si>
  <si>
    <t>-555.314711708153 98.9737868906969 -473.344878589236</t>
  </si>
  <si>
    <t>-557.545108252745 88.3159618788186 -582.323222336884</t>
  </si>
  <si>
    <t>-548.725888642026 76.6923970294792 -690.868080968278</t>
  </si>
  <si>
    <t>-524.99549846963 59.7936555007861 -840.371416002383</t>
  </si>
  <si>
    <t>-479.929546506538 52.4795178775348 -931.467853105509</t>
  </si>
  <si>
    <t>-531.080148248484 98.6279709852308 -777.064358301692</t>
  </si>
  <si>
    <t>-526.14261877777 244.808984718443 -761.909683894084</t>
  </si>
  <si>
    <t>-603.536933652229 356.453322517693 -476.02189795368</t>
  </si>
  <si>
    <t>-427.576754747445 272.988351830242 -303.645311269811</t>
  </si>
  <si>
    <t>-539.910811102774 35.9136985472313 -771.377314618583</t>
  </si>
  <si>
    <t>-478.381638810387 209.072358056881 -252.094725534699</t>
  </si>
  <si>
    <t>-467.876797603637 201.943684219395 203.423033815327</t>
  </si>
  <si>
    <t>-492.380203761228 167.566063988742 671.521836931339</t>
  </si>
  <si>
    <t>-339.326368528117 157.641017761306 757.658485195478</t>
  </si>
  <si>
    <t>-520.27239324549 21.9678709809029 -226.764811403407</t>
  </si>
  <si>
    <t>-427.316709244307 -17.5125380727608 217.597862373437</t>
  </si>
  <si>
    <t>-593.88796109988 -97.7357082094879 649.126570731207</t>
  </si>
  <si>
    <t>-445.947351306547 -146.714211875904 730.724400231517</t>
  </si>
  <si>
    <t>9763-20170724T164355.722537300.bin</t>
  </si>
  <si>
    <t>-499.998764237839 114.539541383195 -239.921054698029</t>
  </si>
  <si>
    <t>-540.794888264263 108.279523617693 -353.781918758521</t>
  </si>
  <si>
    <t>-555.317766515093 97.8558168572108 -473.661053150814</t>
  </si>
  <si>
    <t>-557.393523802829 87.1735543451588 -582.640049644666</t>
  </si>
  <si>
    <t>-548.477008249208 75.5367643226652 -691.175400522422</t>
  </si>
  <si>
    <t>-524.671159063853 58.6305092164891 -840.666160575909</t>
  </si>
  <si>
    <t>-479.56162172554 51.3900000941754 -931.74685783341</t>
  </si>
  <si>
    <t>-530.854662801918 97.4762531126874 -777.375598832213</t>
  </si>
  <si>
    <t>-526.2607692406 243.682526997297 -762.254374075605</t>
  </si>
  <si>
    <t>-603.699070343915 355.114029199974 -476.295465890145</t>
  </si>
  <si>
    <t>-427.503302049361 272.050581385758 -303.965503733759</t>
  </si>
  <si>
    <t>-539.554445998699 34.7457465252461 -771.666707510457</t>
  </si>
  <si>
    <t>-479.046071612756 208.028398902019 -252.214999802637</t>
  </si>
  <si>
    <t>-468.593083462995 201.382464565336 203.311358221704</t>
  </si>
  <si>
    <t>-492.381647132218 167.579348990241 671.508642392547</t>
  </si>
  <si>
    <t>-339.34890509044 157.282613732344 757.63921790361</t>
  </si>
  <si>
    <t>-520.617677609381 21.0203941877605 -227.083147496643</t>
  </si>
  <si>
    <t>-428.061339958194 -18.8234640962336 217.330454695481</t>
  </si>
  <si>
    <t>-594.037109050539 -97.4633036384366 649.408882802723</t>
  </si>
  <si>
    <t>-446.277700809352 -147.377259098487 730.767826368082</t>
  </si>
  <si>
    <t>9763-20170724T164355.790221100.bin</t>
  </si>
  <si>
    <t>-501.166178710399 112.266348774875 -240.342205904733</t>
  </si>
  <si>
    <t>-541.475908340681 105.965114251942 -354.373863127318</t>
  </si>
  <si>
    <t>-555.619477371551 95.4559735722072 -474.290923567213</t>
  </si>
  <si>
    <t>-557.403065347845 84.6815982529268 -583.266028931678</t>
  </si>
  <si>
    <t>-548.247544396152 72.9386551245246 -691.770118927747</t>
  </si>
  <si>
    <t>-524.166064359969 55.8716054240631 -841.198407768836</t>
  </si>
  <si>
    <t>-479.040266720269 48.6815066105459 -932.275039132785</t>
  </si>
  <si>
    <t>-530.596628478013 94.8011932344152 -777.984098763811</t>
  </si>
  <si>
    <t>-526.670950715166 241.045191537323 -763.005023848444</t>
  </si>
  <si>
    <t>-604.315928265053 351.717218623892 -476.807391652645</t>
  </si>
  <si>
    <t>-427.666402625515 269.868706386546 -304.360687581083</t>
  </si>
  <si>
    <t>-539.046135291485 32.0453273653269 -772.178013484166</t>
  </si>
  <si>
    <t>-480.601236618887 205.947441941371 -252.464060912588</t>
  </si>
  <si>
    <t>-470.168952673829 200.299640062146 203.076163568544</t>
  </si>
  <si>
    <t>-492.475203903036 168.094175378667 671.463139645454</t>
  </si>
  <si>
    <t>-339.477313356127 157.113395044344 757.571010586302</t>
  </si>
  <si>
    <t>-521.527587451726 18.5618734780934 -227.576094104109</t>
  </si>
  <si>
    <t>-429.681257272777 -22.1358523234982 216.907415258638</t>
  </si>
  <si>
    <t>-594.447870322398 -97.2666117568857 650.080381110697</t>
  </si>
  <si>
    <t>-446.308726468258 -147.014667302804 730.84805597743</t>
  </si>
  <si>
    <t>9763-20170724T164355.822410500.bin</t>
  </si>
  <si>
    <t>-501.853239234395 110.853309416282 -240.556838880003</t>
  </si>
  <si>
    <t>-542.000609207841 104.55226863962 -354.64579562082</t>
  </si>
  <si>
    <t>-556.011777254468 93.9990744242519 -474.574470991751</t>
  </si>
  <si>
    <t>-557.689823057295 83.1682536788396 -583.545655064856</t>
  </si>
  <si>
    <t>-548.443667234553 71.3527961451372 -692.034280831413</t>
  </si>
  <si>
    <t>-524.251918757993 54.168936451639 -841.431193128362</t>
  </si>
  <si>
    <t>-479.101137041722 46.9732170137464 -932.494998177385</t>
  </si>
  <si>
    <t>-530.788972787761 93.1549529636256 -778.262680027609</t>
  </si>
  <si>
    <t>-527.239149152695 239.413585168259 -763.378959408973</t>
  </si>
  <si>
    <t>-604.982956034834 349.931805494825 -477.148583246827</t>
  </si>
  <si>
    <t>-428.223385411344 268.628580990261 -304.556901698328</t>
  </si>
  <si>
    <t>-539.123147987956 30.3896312283748 -772.392827700926</t>
  </si>
  <si>
    <t>-481.409102235238 204.652333146658 -252.581500484565</t>
  </si>
  <si>
    <t>-470.961698015044 199.588561148084 202.965380992279</t>
  </si>
  <si>
    <t>-492.494090422954 168.258702059378 671.445541386697</t>
  </si>
  <si>
    <t>-339.493260072568 157.137600182436 757.530235214014</t>
  </si>
  <si>
    <t>-522.121722216332 17.0732620965774 -227.82957778114</t>
  </si>
  <si>
    <t>-430.47961754301 -23.6184338918015 216.696597424298</t>
  </si>
  <si>
    <t>-594.609496526485 -97.2826175157313 650.369681211083</t>
  </si>
  <si>
    <t>-446.241302500211 -146.764767575521 730.879968831788</t>
  </si>
  <si>
    <t>9763-20170724T164355.888593200.bin</t>
  </si>
  <si>
    <t>-503.48560285576 108.24809289235 -240.927430316266</t>
  </si>
  <si>
    <t>-543.339183012061 101.947355542487 -355.119456798962</t>
  </si>
  <si>
    <t>-557.14373344905 91.3398434399218 -475.067221446971</t>
  </si>
  <si>
    <t>-558.674689720837 80.4349409074945 -584.033184011865</t>
  </si>
  <si>
    <t>-549.322396355339 68.5181131064014 -692.501417750232</t>
  </si>
  <si>
    <t>-525.02596568385 51.1630947816492 -841.861766100857</t>
  </si>
  <si>
    <t>-479.829678074806 43.9688475531431 -932.903127490125</t>
  </si>
  <si>
    <t>-531.731607600429 90.2356603070915 -778.764372024285</t>
  </si>
  <si>
    <t>-528.748357021881 236.53073269548 -764.098530610141</t>
  </si>
  <si>
    <t>-606.573751414589 347.030505978786 -477.883302600146</t>
  </si>
  <si>
    <t>-429.860472888677 266.602253306635 -304.834734782681</t>
  </si>
  <si>
    <t>-539.821146944976 27.4486766335067 -772.784634246634</t>
  </si>
  <si>
    <t>-483.356258227315 202.131296211766 -252.786205606023</t>
  </si>
  <si>
    <t>-472.268620644293 198.082339489842 202.755622059956</t>
  </si>
  <si>
    <t>-492.572568869323 168.55002092257 671.458101608834</t>
  </si>
  <si>
    <t>-339.512526962336 157.587481891012 757.457905540195</t>
  </si>
  <si>
    <t>-523.437512572791 14.491913067686 -228.43161763502</t>
  </si>
  <si>
    <t>-432.26087204913 -25.4849817824068 216.255140023179</t>
  </si>
  <si>
    <t>-594.807427178491 -97.2153665792561 650.847537105029</t>
  </si>
  <si>
    <t>-446.342865439364 -147.081238664306 730.94232281079</t>
  </si>
  <si>
    <t>9763-20170724T164355.919684800.bin</t>
  </si>
  <si>
    <t>-504.266539699219 106.808450094429 -241.046131158946</t>
  </si>
  <si>
    <t>-544.06472965861 100.458572761526 -355.254593775933</t>
  </si>
  <si>
    <t>-557.792814154383 89.7956467643514 -475.206243362367</t>
  </si>
  <si>
    <t>-559.247123791497 78.8374683802201 -584.167963236259</t>
  </si>
  <si>
    <t>-549.811348062594 66.8632984411705 -692.622685924672</t>
  </si>
  <si>
    <t>-525.392686188917 49.423841095965 -841.953232530033</t>
  </si>
  <si>
    <t>-480.13831968433 42.2190070142642 -932.964842152408</t>
  </si>
  <si>
    <t>-532.216750471592 88.5394504739946 -778.895270321198</t>
  </si>
  <si>
    <t>-529.606281657595 234.843196420722 -764.308494960503</t>
  </si>
  <si>
    <t>-607.477506209697 345.485216605251 -478.160627193007</t>
  </si>
  <si>
    <t>-430.643211527468 265.4750461359 -305.042067108034</t>
  </si>
  <si>
    <t>-540.177730543644 25.7410772282425 -772.863176801982</t>
  </si>
  <si>
    <t>-484.290329869794 200.649070663279 -252.834676344865</t>
  </si>
  <si>
    <t>-472.711231785081 197.138015341834 202.69945062771</t>
  </si>
  <si>
    <t>-492.473668418525 168.134159938658 671.461896063473</t>
  </si>
  <si>
    <t>-339.297889540925 158.296797255809 757.391607211338</t>
  </si>
  <si>
    <t>-524.101665702212 12.9388847927695 -228.618708656736</t>
  </si>
  <si>
    <t>-432.859757464421 -26.3801988852282 216.113427238272</t>
  </si>
  <si>
    <t>-594.870879171762 -97.3550044917169 651.047950457066</t>
  </si>
  <si>
    <t>-446.125338240199 -146.683376420939 730.954004292536</t>
  </si>
  <si>
    <t>9763-20170724T164355.989867200.bin</t>
  </si>
  <si>
    <t>-505.725338412719 104.403269545227 -241.162048863161</t>
  </si>
  <si>
    <t>-545.543003452637 97.8894504651113 -355.35464921681</t>
  </si>
  <si>
    <t>-559.162705483214 87.092565904788 -475.306571368831</t>
  </si>
  <si>
    <t>-560.467136962394 76.027849087798 -584.259442489907</t>
  </si>
  <si>
    <t>-550.831678146094 63.962244492555 -692.686532471505</t>
  </si>
  <si>
    <t>-526.085854649204 46.4120037605072 -841.950176310578</t>
  </si>
  <si>
    <t>-480.687327511483 39.2432850769451 -932.892807868878</t>
  </si>
  <si>
    <t>-533.184629042363 85.589025578948 -778.960599668279</t>
  </si>
  <si>
    <t>-531.313550796191 231.928003701728 -764.50646195879</t>
  </si>
  <si>
    <t>-609.824904568282 342.604262305329 -478.546725193912</t>
  </si>
  <si>
    <t>-432.409909793823 263.743514740063 -305.494965513173</t>
  </si>
  <si>
    <t>-540.885621821392 22.7658152704228 -772.850724523736</t>
  </si>
  <si>
    <t>-486.158123782219 198.386285132112 -252.901597307519</t>
  </si>
  <si>
    <t>-473.812773357517 195.88064272033 202.619025630757</t>
  </si>
  <si>
    <t>-492.489869218331 168.195480422333 671.469899688535</t>
  </si>
  <si>
    <t>-339.262225033226 158.438312934154 757.316327585054</t>
  </si>
  <si>
    <t>-525.204664222009 10.3963044549268 -228.785918260004</t>
  </si>
  <si>
    <t>-433.712565852622 -27.6904432877758 216.002020640534</t>
  </si>
  <si>
    <t>-594.956659204018 -97.2825636867778 651.446390331842</t>
  </si>
  <si>
    <t>-445.91276468282 -146.233272807535 731.028117742361</t>
  </si>
  <si>
    <t>9763-20170724T164356.019628500.bin</t>
  </si>
  <si>
    <t>-506.334974758001 103.418105149444 -241.222933139778</t>
  </si>
  <si>
    <t>-546.095616934981 96.7961128875323 -355.429119372597</t>
  </si>
  <si>
    <t>-559.613494535612 85.9062694454407 -475.38428508973</t>
  </si>
  <si>
    <t>-560.808759127229 74.7656983340282 -584.330566320628</t>
  </si>
  <si>
    <t>-551.048197418956 62.6331249014204 -692.739133328618</t>
  </si>
  <si>
    <t>-526.113426282967 45.0000223235448 -841.961538691436</t>
  </si>
  <si>
    <t>-480.627997350984 37.8570275197014 -932.862749942813</t>
  </si>
  <si>
    <t>-533.360255258326 84.2191811793254 -779.014979240481</t>
  </si>
  <si>
    <t>-531.849173284662 230.548603751214 -764.625858495172</t>
  </si>
  <si>
    <t>-610.527257502026 341.274286916614 -478.73114557849</t>
  </si>
  <si>
    <t>-432.843480680613 262.982575241553 -305.696682353249</t>
  </si>
  <si>
    <t>-540.932295846152 21.3850596750586 -772.855339566488</t>
  </si>
  <si>
    <t>-486.970323434277 197.436805936805 -252.969897873848</t>
  </si>
  <si>
    <t>-474.288126368582 195.397062286762 202.543770194925</t>
  </si>
  <si>
    <t>-492.491161253061 168.283775197265 671.455746884713</t>
  </si>
  <si>
    <t>-339.238648322282 158.55977398348 757.261409627321</t>
  </si>
  <si>
    <t>-525.527283183793 9.50070058513609 -228.838858114143</t>
  </si>
  <si>
    <t>-434.062282368115 -28.3648384143207 215.973523292746</t>
  </si>
  <si>
    <t>-595.02226560911 -97.1092473414113 651.692708590217</t>
  </si>
  <si>
    <t>-446.032837532498 -146.46535898251 731.12596864609</t>
  </si>
  <si>
    <t>9763-20170724T164356.087811500.bin</t>
  </si>
  <si>
    <t>-507.567094744409 101.416335155285 -241.333466372504</t>
  </si>
  <si>
    <t>-547.241810690539 94.6415688621139 -355.560551594791</t>
  </si>
  <si>
    <t>-560.558650068176 83.6315943024216 -475.527262470792</t>
  </si>
  <si>
    <t>-561.526959838832 72.3981474030385 -584.466377741062</t>
  </si>
  <si>
    <t>-551.497029830312 60.1889826900136 -692.841556694709</t>
  </si>
  <si>
    <t>-526.146738399608 42.4672519107587 -841.983460075753</t>
  </si>
  <si>
    <t>-480.426276637216 35.4150974611219 -932.773775679356</t>
  </si>
  <si>
    <t>-533.702432137742 81.7372530180945 -779.104934331935</t>
  </si>
  <si>
    <t>-532.842261839214 228.094808997004 -764.842939113052</t>
  </si>
  <si>
    <t>-612.046928590366 338.758221726919 -479.069547358572</t>
  </si>
  <si>
    <t>-434.000450813493 261.46721820646 -305.958070094874</t>
  </si>
  <si>
    <t>-541.024507340609 18.879922165192 -772.880520324726</t>
  </si>
  <si>
    <t>-488.540245275841 195.643895594609 -253.043303088824</t>
  </si>
  <si>
    <t>-475.184521790015 194.516182200168 202.454255648629</t>
  </si>
  <si>
    <t>-492.581214212995 168.702814191569 671.455689308684</t>
  </si>
  <si>
    <t>-339.281858674309 158.738893100713 757.150177850578</t>
  </si>
  <si>
    <t>-526.43488629608 7.19725141719951 -228.977496895478</t>
  </si>
  <si>
    <t>-435.075471834959 -29.7587301227129 215.933052662985</t>
  </si>
  <si>
    <t>-595.147297400228 -97.2641085314845 652.196272068368</t>
  </si>
  <si>
    <t>-445.745799445838 -145.906279106992 731.295302318484</t>
  </si>
  <si>
    <t>9763-20170724T164356.119442700.bin</t>
  </si>
  <si>
    <t>-508.141154249867 100.345127209157 -241.42318330082</t>
  </si>
  <si>
    <t>-547.710582775666 93.5468395852281 -355.685323692009</t>
  </si>
  <si>
    <t>-560.922442040958 82.5004654727016 -475.660312392089</t>
  </si>
  <si>
    <t>-561.797729370031 71.2302173224496 -584.596403726305</t>
  </si>
  <si>
    <t>-551.677226904976 58.980642743996 -692.958610548389</t>
  </si>
  <si>
    <t>-526.204266700814 41.1993560031105 -842.072434554786</t>
  </si>
  <si>
    <t>-480.414743205082 34.1797439187021 -932.830525241349</t>
  </si>
  <si>
    <t>-533.881184419602 80.5012404552452 -779.228571809011</t>
  </si>
  <si>
    <t>-533.383140077675 226.880860897705 -765.07542100128</t>
  </si>
  <si>
    <t>-612.643559305867 337.475099911533 -479.290695021049</t>
  </si>
  <si>
    <t>-434.497526953028 260.605085114908 -306.09412914687</t>
  </si>
  <si>
    <t>-541.06937606396 17.6328186861223 -772.959814989008</t>
  </si>
  <si>
    <t>-489.270150606625 194.709629635295 -253.075141734696</t>
  </si>
  <si>
    <t>-475.555844964591 193.919723587468 202.412453663511</t>
  </si>
  <si>
    <t>-492.600299311573 168.761570133489 671.467117034095</t>
  </si>
  <si>
    <t>-339.257659956393 159.011266550436 757.108584961872</t>
  </si>
  <si>
    <t>-526.866749817291 6.0225580459298 -229.146447054775</t>
  </si>
  <si>
    <t>-435.698166185602 -30.2883864215241 215.856312008657</t>
  </si>
  <si>
    <t>-595.188295417126 -97.2023316357887 652.458519478622</t>
  </si>
  <si>
    <t>-445.886108749553 -146.302882554325 731.461632219623</t>
  </si>
  <si>
    <t>9763-20170724T164356.188135300.bin</t>
  </si>
  <si>
    <t>-508.96903774708 98.5501311974461 -241.498824204588</t>
  </si>
  <si>
    <t>-548.350788773424 91.5921724118793 -355.816223576375</t>
  </si>
  <si>
    <t>-561.40024752628 80.416554755162 -475.797030724116</t>
  </si>
  <si>
    <t>-562.14244086736 69.0431154008695 -584.723279813623</t>
  </si>
  <si>
    <t>-551.904125894648 56.7037987048068 -693.064198073449</t>
  </si>
  <si>
    <t>-526.284585939406 38.8120047589897 -842.13988207021</t>
  </si>
  <si>
    <t>-480.47883130025 31.83588702739 -932.893126104833</t>
  </si>
  <si>
    <t>-534.138240841953 78.171244604391 -779.35380061426</t>
  </si>
  <si>
    <t>-534.347092504575 224.550410305627 -765.319989593291</t>
  </si>
  <si>
    <t>-614.086453453582 334.877645970788 -479.565281046842</t>
  </si>
  <si>
    <t>-435.50614675164 258.976953921301 -306.388492840589</t>
  </si>
  <si>
    <t>-541.10276202461 15.2859267343906 -773.003376858578</t>
  </si>
  <si>
    <t>-490.381265786932 192.902492603589 -253.113892849177</t>
  </si>
  <si>
    <t>-476.408124653969 192.946348398217 202.366541200492</t>
  </si>
  <si>
    <t>-492.586293452977 168.700257746489 671.48952901709</t>
  </si>
  <si>
    <t>-339.113572527713 159.852493116014 756.996013372253</t>
  </si>
  <si>
    <t>-527.407919596359 4.22670961501726 -229.189077869075</t>
  </si>
  <si>
    <t>-436.43982119255 -31.4067997528861 215.909469118868</t>
  </si>
  <si>
    <t>-595.240974382211 -96.9895853242899 652.958094800906</t>
  </si>
  <si>
    <t>-445.817301732947 -146.013660373399 731.778982889804</t>
  </si>
  <si>
    <t>9763-20170724T164356.218782300.bin</t>
  </si>
  <si>
    <t>-509.36920873308 97.6217725996014 -241.462177957151</t>
  </si>
  <si>
    <t>-548.698190248385 90.590708732318 -355.793320859921</t>
  </si>
  <si>
    <t>-561.708443964848 79.3558115338586 -475.772706791664</t>
  </si>
  <si>
    <t>-562.421752056223 67.9358798763728 -584.694431701978</t>
  </si>
  <si>
    <t>-552.161620640254 55.5576101822436 -693.028930114681</t>
  </si>
  <si>
    <t>-526.518887207014 37.6197751663453 -842.095014816877</t>
  </si>
  <si>
    <t>-480.728830909259 30.6652447966304 -932.857889619226</t>
  </si>
  <si>
    <t>-534.435672605557 77.0032754389083 -779.332000269584</t>
  </si>
  <si>
    <t>-534.979371371534 223.392435536403 -765.349411780726</t>
  </si>
  <si>
    <t>-614.903763020178 333.63346792159 -479.613135426938</t>
  </si>
  <si>
    <t>-436.22466588691 258.201215109046 -306.333574382323</t>
  </si>
  <si>
    <t>-541.294332621836 14.1101614576858 -772.943665832271</t>
  </si>
  <si>
    <t>-490.92223596153 192.049698859479 -253.117301383015</t>
  </si>
  <si>
    <t>-476.827922567835 192.453614398028 202.359272341804</t>
  </si>
  <si>
    <t>-492.547583564179 168.577262304485 671.509017436916</t>
  </si>
  <si>
    <t>-339.032533653241 159.842056737661 756.95101858611</t>
  </si>
  <si>
    <t>-527.703043689508 3.24435015064384 -229.119412494631</t>
  </si>
  <si>
    <t>-436.573544509287 -32.0428911858077 215.973655355332</t>
  </si>
  <si>
    <t>-595.27589203727 -97.1415053025156 653.176015917447</t>
  </si>
  <si>
    <t>-445.689936739486 -145.8146777046 731.906460460947</t>
  </si>
  <si>
    <t>9763-20170724T164356.290979200.bin</t>
  </si>
  <si>
    <t>-510.174303247402 96.2449286580115 -241.420044237442</t>
  </si>
  <si>
    <t>-549.358922830011 89.0431202468488 -355.790122683952</t>
  </si>
  <si>
    <t>-562.292646876209 77.7120478027252 -475.768735271701</t>
  </si>
  <si>
    <t>-562.967842982007 66.235330509872 -584.684663132147</t>
  </si>
  <si>
    <t>-552.701514809636 53.829378589625 -693.015525580535</t>
  </si>
  <si>
    <t>-527.083520556267 35.8824946125784 -842.084679088772</t>
  </si>
  <si>
    <t>-481.306691646193 28.9724552534415 -932.857585766369</t>
  </si>
  <si>
    <t>-535.079967481852 75.2778448680911 -779.33933014574</t>
  </si>
  <si>
    <t>-536.114181238571 221.659028187485 -765.404529674363</t>
  </si>
  <si>
    <t>-616.50979639655 332.011164807019 -479.843391974447</t>
  </si>
  <si>
    <t>-437.811594940566 257.205362110739 -306.312214773469</t>
  </si>
  <si>
    <t>-541.757419177489 12.3690839412359 -772.913082563742</t>
  </si>
  <si>
    <t>-491.913797533311 190.751725088383 -253.12562004913</t>
  </si>
  <si>
    <t>-477.676427035801 191.816742242996 202.34539405481</t>
  </si>
  <si>
    <t>-492.565383856131 168.690655274964 671.546282310752</t>
  </si>
  <si>
    <t>-338.987204245191 159.950569754341 756.874213831876</t>
  </si>
  <si>
    <t>-528.282635397924 1.81263864369099 -229.070684488956</t>
  </si>
  <si>
    <t>-437.022727735986 -32.9302589483921 216.038565386555</t>
  </si>
  <si>
    <t>-595.30182750159 -97.1548434103542 653.551045762613</t>
  </si>
  <si>
    <t>-445.608929443132 -145.71342690106 732.148815500767</t>
  </si>
  <si>
    <t>9763-20170724T164356.321399900.bin</t>
  </si>
  <si>
    <t>-510.53432382275 95.913206746458 -241.432843800143</t>
  </si>
  <si>
    <t>-549.670475291839 88.6703282530617 -355.816930977677</t>
  </si>
  <si>
    <t>-562.568949026284 77.3114561569064 -475.796829734804</t>
  </si>
  <si>
    <t>-563.218545256636 65.8154080562689 -584.710858768663</t>
  </si>
  <si>
    <t>-552.933211319891 53.3957951365032 -693.038264214501</t>
  </si>
  <si>
    <t>-527.296035616985 35.4359365392751 -842.102639622348</t>
  </si>
  <si>
    <t>-481.509595512862 28.5481158016349 -932.872270385048</t>
  </si>
  <si>
    <t>-535.33781981203 74.8399510698596 -779.368380475035</t>
  </si>
  <si>
    <t>-536.605142575388 221.230140492845 -765.431519151708</t>
  </si>
  <si>
    <t>-617.302720468537 331.699432358737 -480.000877034207</t>
  </si>
  <si>
    <t>-438.616091642043 257.129387594027 -306.356290741591</t>
  </si>
  <si>
    <t>-541.941544082021 11.9252762905056 -772.92403830713</t>
  </si>
  <si>
    <t>-492.41757102223 190.554782316588 -253.128134103756</t>
  </si>
  <si>
    <t>-478.045751789277 191.932877931616 202.337808871212</t>
  </si>
  <si>
    <t>-492.732073867308 169.427715325109 671.550546976923</t>
  </si>
  <si>
    <t>-339.231095056659 159.323776074638 756.866860202346</t>
  </si>
  <si>
    <t>-528.545284348672 1.40067391710703 -229.086515908479</t>
  </si>
  <si>
    <t>-437.350589488822 -33.2175210719073 216.045793724312</t>
  </si>
  <si>
    <t>-595.317941076373 -97.2195230759611 653.745088566934</t>
  </si>
  <si>
    <t>-445.672524987188 -145.994483724618 732.299300686289</t>
  </si>
  <si>
    <t>9763-20170724T164356.391080900.bin</t>
  </si>
  <si>
    <t>-511.008336336128 94.784702519233 -241.441391429884</t>
  </si>
  <si>
    <t>-549.935744180962 87.4788993594493 -355.89257143887</t>
  </si>
  <si>
    <t>-562.625224789726 76.0549514936335 -475.888447508035</t>
  </si>
  <si>
    <t>-563.088992038079 64.5011154696518 -584.797418100204</t>
  </si>
  <si>
    <t>-552.622721570307 52.0253965926465 -693.101063674334</t>
  </si>
  <si>
    <t>-526.74054185012 33.9900039159652 -842.113875763443</t>
  </si>
  <si>
    <t>-480.85416775965 27.1416950045471 -932.83615822676</t>
  </si>
  <si>
    <t>-534.963386095014 73.4324660834355 -779.427377325018</t>
  </si>
  <si>
    <t>-536.75916688359 219.82380462756 -765.514719645596</t>
  </si>
  <si>
    <t>-618.230303609423 330.472417383035 -480.373597944866</t>
  </si>
  <si>
    <t>-439.423885963779 256.514788219364 -306.590411910138</t>
  </si>
  <si>
    <t>-541.421855980939 10.5077674081564 -772.933251021836</t>
  </si>
  <si>
    <t>-492.961367842342 189.390584971793 -253.11993202164</t>
  </si>
  <si>
    <t>-478.440085010767 191.258850676315 202.339513042934</t>
  </si>
  <si>
    <t>-492.636047192982 169.206174741425 671.560541636639</t>
  </si>
  <si>
    <t>-338.985449486339 160.516220138364 756.763152448744</t>
  </si>
  <si>
    <t>-528.868433730701 0.184118537372143 -229.149807086705</t>
  </si>
  <si>
    <t>-437.906806935819 -34.0959862236886 216.056373685343</t>
  </si>
  <si>
    <t>-595.34729925781 -97.284509975007 654.105004414796</t>
  </si>
  <si>
    <t>-445.552696710951 -145.774690795336 732.551055276408</t>
  </si>
  <si>
    <t>9763-20170724T164356.419183400.bin</t>
  </si>
  <si>
    <t>-511.111750267049 94.3641324376513 -241.422134876345</t>
  </si>
  <si>
    <t>-549.95053201811 86.9956206500174 -355.899317076543</t>
  </si>
  <si>
    <t>-562.549836302038 75.5309109399199 -475.901014478219</t>
  </si>
  <si>
    <t>-562.933098088845 63.9499937541923 -584.807249773483</t>
  </si>
  <si>
    <t>-552.388429516639 51.4572384303033 -693.101367302018</t>
  </si>
  <si>
    <t>-526.399927717495 33.4087708725813 -842.094116578871</t>
  </si>
  <si>
    <t>-480.463227527402 26.583191743024 -932.792687858103</t>
  </si>
  <si>
    <t>-534.706756741399 72.8599550749486 -779.424201051342</t>
  </si>
  <si>
    <t>-536.763095350374 219.234205235105 -765.488459562109</t>
  </si>
  <si>
    <t>-618.706422233041 330.012025411618 -480.532781350789</t>
  </si>
  <si>
    <t>-439.776994170012 256.410113982136 -306.72519002491</t>
  </si>
  <si>
    <t>-541.091346697554 9.92935642380988 -772.914673815381</t>
  </si>
  <si>
    <t>-493.140507579517 189.067626455648 -253.113730080723</t>
  </si>
  <si>
    <t>-478.733613452176 191.162010675652 202.34834611629</t>
  </si>
  <si>
    <t>-492.689578740047 169.505714489183 671.561537155332</t>
  </si>
  <si>
    <t>-339.040279513864 160.495811157019 756.733335566144</t>
  </si>
  <si>
    <t>-438.067297561372 -34.3799469589729 216.112837860186</t>
  </si>
  <si>
    <t>-595.364343723193 -97.2959286949703 654.272839300494</t>
  </si>
  <si>
    <t>-445.503868525397 -145.669962485232 732.664758358455</t>
  </si>
  <si>
    <t>9763-20170724T164356.488871100.bin</t>
  </si>
  <si>
    <t>-511.218876837009 94.0136057064053 -241.383076803884</t>
  </si>
  <si>
    <t>-549.933367109814 86.5517685210059 -355.896412320883</t>
  </si>
  <si>
    <t>-562.370903309139 75.034321619345 -475.909805738714</t>
  </si>
  <si>
    <t>-562.59534556409 63.423193718841 -584.813400021154</t>
  </si>
  <si>
    <t>-551.880913333327 50.9175499965069 -693.089309552434</t>
  </si>
  <si>
    <t>-525.647266105009 32.8694073774323 -842.039072301555</t>
  </si>
  <si>
    <t>-479.574743334158 26.1005312875399 -932.672908732489</t>
  </si>
  <si>
    <t>-534.131350812569 72.3264948974943 -779.39658477168</t>
  </si>
  <si>
    <t>-536.704794770819 218.694024423945 -765.401557405037</t>
  </si>
  <si>
    <t>-619.683832829828 329.691168380642 -480.83119208294</t>
  </si>
  <si>
    <t>-440.562358194423 256.662758934753 -306.979555774637</t>
  </si>
  <si>
    <t>-540.378363183498 9.38384582898098 -772.870188957437</t>
  </si>
  <si>
    <t>-493.46815561907 188.70999551622 -253.094405954094</t>
  </si>
  <si>
    <t>-479.26342419787 191.113036410155 202.372575289584</t>
  </si>
  <si>
    <t>-492.701098086115 169.728235044237 671.592955619166</t>
  </si>
  <si>
    <t>-338.998747426267 160.93701907952 756.69184344946</t>
  </si>
  <si>
    <t>-438.027203295899 -34.6334793816759 216.253552692245</t>
  </si>
  <si>
    <t>-595.37143343705 -97.335147860631 654.498338521542</t>
  </si>
  <si>
    <t>-445.622241281897 -146.150694046687 732.829332420635</t>
  </si>
  <si>
    <t>9763-20170724T164356.519485300.bin</t>
  </si>
  <si>
    <t>-511.235617961182 93.9266830084111 -241.335651548527</t>
  </si>
  <si>
    <t>-549.934914356376 86.3530780790549 -355.846911661229</t>
  </si>
  <si>
    <t>-562.324677604955 74.7783814786774 -475.859721524806</t>
  </si>
  <si>
    <t>-562.493601325537 63.1382540580691 -584.760271479612</t>
  </si>
  <si>
    <t>-551.712427482739 50.6263861040308 -693.028831050607</t>
  </si>
  <si>
    <t>-525.375345748406 32.5932843119262 -841.962170983948</t>
  </si>
  <si>
    <t>-479.247275652137 25.8597803469855 -932.570343677673</t>
  </si>
  <si>
    <t>-533.934418991919 72.0465553847357 -779.327599761704</t>
  </si>
  <si>
    <t>-536.712671465189 218.397300305052 -765.280776549144</t>
  </si>
  <si>
    <t>-620.234665342843 329.592029878674 -480.946367338208</t>
  </si>
  <si>
    <t>-441.071905410888 256.729021868927 -307.067711266155</t>
  </si>
  <si>
    <t>-540.122943668967 9.0981784964752 -772.800053294754</t>
  </si>
  <si>
    <t>-493.54231916603 188.49630399233 -253.089041437618</t>
  </si>
  <si>
    <t>-479.509245301734 191.10522101136 202.381966585124</t>
  </si>
  <si>
    <t>-492.647347020593 169.655031852577 671.597690630896</t>
  </si>
  <si>
    <t>-338.899692034025 161.286723183001 756.657354281271</t>
  </si>
  <si>
    <t>-437.881638793153 -34.6121367380097 216.337381895076</t>
  </si>
  <si>
    <t>-595.338837331918 -97.1782532669784 654.528129929409</t>
  </si>
  <si>
    <t>-445.61090611236 -146.092172009374 732.838263449831</t>
  </si>
  <si>
    <t>9763-20170724T164356.586665900.bin</t>
  </si>
  <si>
    <t>-511.355631394056 93.7531677640403 -241.377927272796</t>
  </si>
  <si>
    <t>-549.977290985451 86.0872594501003 -355.909195864025</t>
  </si>
  <si>
    <t>-562.256968413005 74.485471745289 -475.930689197557</t>
  </si>
  <si>
    <t>-562.315339610969 62.8466340418418 -584.831590362732</t>
  </si>
  <si>
    <t>-551.414278511464 50.3610782726029 -693.091052777966</t>
  </si>
  <si>
    <t>-524.902166888851 32.3894961612711 -842.000854324997</t>
  </si>
  <si>
    <t>-478.654439389103 25.7645143397443 -932.556110823169</t>
  </si>
  <si>
    <t>-533.593086644591 71.8214298912548 -779.370807478791</t>
  </si>
  <si>
    <t>-536.774151826825 218.16420672473 -765.223821118526</t>
  </si>
  <si>
    <t>-621.287335317157 329.670300351048 -481.304674164702</t>
  </si>
  <si>
    <t>-442.119932268698 257.25396413774 -307.244404890938</t>
  </si>
  <si>
    <t>-539.672836295567 8.86132988583762 -772.85483965018</t>
  </si>
  <si>
    <t>-493.846952016926 188.575551978219 -253.109899269422</t>
  </si>
  <si>
    <t>-480.104529793151 191.177140268016 202.370099759699</t>
  </si>
  <si>
    <t>-492.77289103037 170.212515368506 671.625481302117</t>
  </si>
  <si>
    <t>-339.005100645418 161.625477962666 756.626997088782</t>
  </si>
  <si>
    <t>-438.052971772571 -34.4558023534219 216.328983556553</t>
  </si>
  <si>
    <t>-595.288124189199 -97.407509756518 654.608852310084</t>
  </si>
  <si>
    <t>-445.242601922175 -145.476059053305 732.834560454284</t>
  </si>
  <si>
    <t>9763-20170724T164356.619258600.bin</t>
  </si>
  <si>
    <t>-511.409595660367 93.7557293180642 -241.389482997673</t>
  </si>
  <si>
    <t>-549.876153447425 86.0625682959277 -355.971018413331</t>
  </si>
  <si>
    <t>-562.056190494908 74.4486583943037 -476.001562194757</t>
  </si>
  <si>
    <t>-562.049772454459 62.8054391335424 -584.90193230752</t>
  </si>
  <si>
    <t>-551.109822169561 50.3218518040881 -693.157792233717</t>
  </si>
  <si>
    <t>-524.57044784659 32.3595295797398 -842.063885214979</t>
  </si>
  <si>
    <t>-478.27767448479 25.7865151299297 -932.599869575633</t>
  </si>
  <si>
    <t>-533.312781743234 71.7906254278769 -779.440574057844</t>
  </si>
  <si>
    <t>-536.717975479184 218.122024955117 -765.303072432169</t>
  </si>
  <si>
    <t>-621.568033557438 329.587716221335 -481.468668499416</t>
  </si>
  <si>
    <t>-442.38840760072 257.478316348103 -307.29352725281</t>
  </si>
  <si>
    <t>-539.313869902363 8.82401364003366 -772.914489049212</t>
  </si>
  <si>
    <t>-493.893626266814 188.526013401167 -253.116589139898</t>
  </si>
  <si>
    <t>-480.307657707792 191.136015936456 202.367999361359</t>
  </si>
  <si>
    <t>-492.665025333592 169.759075357148 671.652216118923</t>
  </si>
  <si>
    <t>-338.866307811431 161.319818532292 756.612490418358</t>
  </si>
  <si>
    <t>-438.208666169121 -34.4046926537065 216.309167606394</t>
  </si>
  <si>
    <t>-595.259071033309 -97.39309348576 654.669354672196</t>
  </si>
  <si>
    <t>-445.179960485846 -145.375933369645 732.883263212462</t>
  </si>
  <si>
    <t>9763-20170724T164356.688444200.bin</t>
  </si>
  <si>
    <t>-511.457629416458 93.9295326042796 -241.493335681584</t>
  </si>
  <si>
    <t>-549.794512908823 86.258851444008 -356.11990426048</t>
  </si>
  <si>
    <t>-561.834949064668 74.6725638180631 -476.167118849199</t>
  </si>
  <si>
    <t>-561.700257323237 63.0556701029437 -585.070170204458</t>
  </si>
  <si>
    <t>-550.631380026062 50.5988552991832 -693.315916091547</t>
  </si>
  <si>
    <t>-523.913376328101 32.6737290343785 -842.1947037745</t>
  </si>
  <si>
    <t>-477.544523689882 26.1842461543847 -932.697631745412</t>
  </si>
  <si>
    <t>-532.786499124114 72.0933347760152 -779.582547762044</t>
  </si>
  <si>
    <t>-536.576504678421 218.418949301364 -765.408855118645</t>
  </si>
  <si>
    <t>-622.317755997669 329.994876856847 -481.885421055833</t>
  </si>
  <si>
    <t>-443.235432852451 258.174520797134 -307.49095538991</t>
  </si>
  <si>
    <t>-538.684021802046 9.11673140185178 -773.058493678592</t>
  </si>
  <si>
    <t>-494.069696412562 188.789069968632 -253.105251393661</t>
  </si>
  <si>
    <t>-480.657284223086 191.264192088724 202.385395434494</t>
  </si>
  <si>
    <t>-492.728655170171 169.986066733052 671.668271492886</t>
  </si>
  <si>
    <t>-338.879519433254 161.770908244505 756.559249109596</t>
  </si>
  <si>
    <t>-438.737008539281 -34.2687359014821 216.2431208139</t>
  </si>
  <si>
    <t>-595.215105603355 -97.5414600618745 654.808741443894</t>
  </si>
  <si>
    <t>-445.000583741941 -145.148034110641 732.992669893903</t>
  </si>
  <si>
    <t>9763-20170724T164356.720531300.bin</t>
  </si>
  <si>
    <t>-511.47312946881 94.1177177441137 -241.509178567589</t>
  </si>
  <si>
    <t>-549.750121814059 86.4770404705614 -356.157693704039</t>
  </si>
  <si>
    <t>-561.750996986002 74.9054046245674 -476.210435949784</t>
  </si>
  <si>
    <t>-561.589542448115 63.2960540567443 -585.11424006487</t>
  </si>
  <si>
    <t>-550.50279591352 50.841377974167 -693.358463297443</t>
  </si>
  <si>
    <t>-523.769381126726 32.9140580259052 -842.234070494614</t>
  </si>
  <si>
    <t>-477.381439106159 26.4358668095021 -932.728166657561</t>
  </si>
  <si>
    <t>-532.674394948597 72.3365034565584 -779.628322504444</t>
  </si>
  <si>
    <t>-536.621235261683 218.65820860663 -765.475934084361</t>
  </si>
  <si>
    <t>-622.647186707141 330.353447306844 -482.08597287456</t>
  </si>
  <si>
    <t>-443.735159375971 258.546827106244 -307.511172916171</t>
  </si>
  <si>
    <t>-538.521858051953 9.35621535960554 -773.094320464285</t>
  </si>
  <si>
    <t>-494.118171384478 188.944163711074 -253.082540963135</t>
  </si>
  <si>
    <t>-480.713734360162 191.308546876752 202.408888658369</t>
  </si>
  <si>
    <t>-492.711392775629 169.881891832937 671.689966607301</t>
  </si>
  <si>
    <t>-338.81725156182 162.131288690921 756.543016117046</t>
  </si>
  <si>
    <t>-438.878845557283 -34.0786578864904 216.243314546013</t>
  </si>
  <si>
    <t>-595.17853133299 -97.2910370021594 654.860210842222</t>
  </si>
  <si>
    <t>-445.165680441191 -145.48569503892 733.070968210323</t>
  </si>
  <si>
    <t>9763-20170724T164356.785209700.bin</t>
  </si>
  <si>
    <t>-511.585335845436 94.840253897598 -241.429244641835</t>
  </si>
  <si>
    <t>-549.903514800799 87.1669827928341 -356.061901729504</t>
  </si>
  <si>
    <t>-561.847240285711 75.5468198766626 -476.115578455277</t>
  </si>
  <si>
    <t>-561.593409341067 63.8879274918567 -585.013947955224</t>
  </si>
  <si>
    <t>-550.374708952609 51.3785143177209 -693.238231309133</t>
  </si>
  <si>
    <t>-523.418087825872 33.370007692514 -842.0638191535</t>
  </si>
  <si>
    <t>-476.942242072015 26.8682705212139 -932.511050893837</t>
  </si>
  <si>
    <t>-532.436171931816 72.8279626248809 -779.49652866668</t>
  </si>
  <si>
    <t>-536.563410885379 219.142863491624 -765.386420845843</t>
  </si>
  <si>
    <t>-622.98977345726 331.134222103642 -482.235281348667</t>
  </si>
  <si>
    <t>-444.454503905392 259.42167055723 -307.236640645861</t>
  </si>
  <si>
    <t>-538.25498341779 9.8484671721362 -772.929702954211</t>
  </si>
  <si>
    <t>-494.327546569285 189.885206851763 -253.018657879853</t>
  </si>
  <si>
    <t>-481.010305230738 192.01189203604 202.476367517289</t>
  </si>
  <si>
    <t>-492.914262869248 170.655215039824 671.708370884593</t>
  </si>
  <si>
    <t>-339.056415558561 162.043147319288 756.544105421448</t>
  </si>
  <si>
    <t>-438.858518558755 -33.744096345744 216.32668366003</t>
  </si>
  <si>
    <t>-595.122609179054 -97.6358903181745 654.900382140999</t>
  </si>
  <si>
    <t>-444.77461921623 -144.795512431181 733.098570913746</t>
  </si>
  <si>
    <t>9763-20170724T164356.820372300.bin</t>
  </si>
  <si>
    <t>-511.604064870565 95.4352300126548 -241.38349047724</t>
  </si>
  <si>
    <t>-549.89235734796 87.7333590901623 -356.024191100891</t>
  </si>
  <si>
    <t>-561.770576200043 76.1006940608808 -476.083028296739</t>
  </si>
  <si>
    <t>-561.443872241341 64.4369927180382 -584.980772234159</t>
  </si>
  <si>
    <t>-550.139498971805 51.9291866558382 -693.196359052757</t>
  </si>
  <si>
    <t>-523.051437817146 33.9295851686143 -841.999144189608</t>
  </si>
  <si>
    <t>-476.502613461497 27.4226796340762 -932.408357848407</t>
  </si>
  <si>
    <t>-532.127222444872 73.3840459415271 -779.437938341058</t>
  </si>
  <si>
    <t>-536.268288336955 219.69997596264 -765.337757895158</t>
  </si>
  <si>
    <t>-622.987201853309 331.731941369661 -482.291993171447</t>
  </si>
  <si>
    <t>-444.644392964276 260.102205107756 -307.06346924395</t>
  </si>
  <si>
    <t>-537.946961778538 10.4037601688868 -772.879124870329</t>
  </si>
  <si>
    <t>-494.375171005793 190.481299033062 -252.995990971919</t>
  </si>
  <si>
    <t>-481.132527725414 192.385507285458 202.502307153768</t>
  </si>
  <si>
    <t>-492.924222614366 170.658647241138 671.724182667642</t>
  </si>
  <si>
    <t>-339.082131174219 161.685557802673 756.551058915827</t>
  </si>
  <si>
    <t>-528.694172977563 0.461656044504011 -229.142878144379</t>
  </si>
  <si>
    <t>-438.8427379927 -33.149020301447 216.33970679548</t>
  </si>
  <si>
    <t>-595.032093181239 -97.2447087008182 654.873771574618</t>
  </si>
  <si>
    <t>-445.21213704669 -145.809748602316 733.224916693327</t>
  </si>
  <si>
    <t>9763-20170724T164356.885547200.bin</t>
  </si>
  <si>
    <t>-511.559792476327 96.1029668014349 -241.338781639128</t>
  </si>
  <si>
    <t>-549.875371119731 88.3973745886176 -355.970129652797</t>
  </si>
  <si>
    <t>-561.70610390952 76.7161588231625 -476.028952174141</t>
  </si>
  <si>
    <t>-561.304863073918 64.9948335156718 -584.920196473662</t>
  </si>
  <si>
    <t>-549.894669312747 52.4185555692169 -693.116794213421</t>
  </si>
  <si>
    <t>-522.628222539488 34.3153167117729 -841.874410105489</t>
  </si>
  <si>
    <t>-475.946966577632 27.7524514091574 -932.211377195217</t>
  </si>
  <si>
    <t>-531.77563635367 73.8130302739802 -779.35097740366</t>
  </si>
  <si>
    <t>-536.079826748953 220.134290483977 -765.344682568372</t>
  </si>
  <si>
    <t>-623.06656428203 332.114073922333 -482.360494597695</t>
  </si>
  <si>
    <t>-445.06759742348 260.608928720533 -306.731895630336</t>
  </si>
  <si>
    <t>-537.609931706591 10.837854814623 -772.75659188979</t>
  </si>
  <si>
    <t>-494.235895694316 191.154899770266 -252.975637901289</t>
  </si>
  <si>
    <t>-481.212527592517 192.637578950102 202.530471660984</t>
  </si>
  <si>
    <t>-492.83369265624 170.282190083868 671.732668372053</t>
  </si>
  <si>
    <t>-338.879229963807 162.555325121779 756.478414890233</t>
  </si>
  <si>
    <t>-528.774643489549 1.02975055547343 -229.03022632209</t>
  </si>
  <si>
    <t>-438.718153487154 -32.980849710024 216.380670367741</t>
  </si>
  <si>
    <t>-594.920926648322 -97.8640665664756 654.875904535942</t>
  </si>
  <si>
    <t>-444.977856806067 -145.61752435174 733.490053333899</t>
  </si>
  <si>
    <t>9763-20170724T164356.921658400.bin</t>
  </si>
  <si>
    <t>-511.573586218319 96.5333737299178 -241.260286584575</t>
  </si>
  <si>
    <t>-549.832696053386 88.8062135575302 -355.909025878129</t>
  </si>
  <si>
    <t>-561.62371713085 77.0963950006235 -475.969026492521</t>
  </si>
  <si>
    <t>-561.194307997552 65.3457008539089 -584.856994850413</t>
  </si>
  <si>
    <t>-549.763945558395 52.7361020142705 -693.047497020468</t>
  </si>
  <si>
    <t>-522.477745325663 34.5821086076731 -841.795278348776</t>
  </si>
  <si>
    <t>-475.748266916952 27.9774652124608 -932.104320163716</t>
  </si>
  <si>
    <t>-531.623141794796 74.1003756658563 -779.284636010056</t>
  </si>
  <si>
    <t>-535.934572001893 220.428017822748 -765.331026255864</t>
  </si>
  <si>
    <t>-623.034192076873 332.443529687026 -482.395693091645</t>
  </si>
  <si>
    <t>-445.207345102717 260.95409899091 -306.586377853932</t>
  </si>
  <si>
    <t>-537.478813972692 11.1289289070114 -772.673344468606</t>
  </si>
  <si>
    <t>-494.210115829923 191.750527990145 -252.945383559043</t>
  </si>
  <si>
    <t>-481.315076614666 192.965548098486 202.565207588985</t>
  </si>
  <si>
    <t>-492.885881094264 170.443476927822 671.744949065541</t>
  </si>
  <si>
    <t>-338.937235054261 162.355663997443 756.467561450707</t>
  </si>
  <si>
    <t>-528.784538021707 1.32077986189495 -228.962882377116</t>
  </si>
  <si>
    <t>-438.650712915478 -32.9330366306937 216.413678770798</t>
  </si>
  <si>
    <t>-594.866353346605 -98.1166186687764 654.875107718036</t>
  </si>
  <si>
    <t>-444.878765408284 -145.495164413453 733.63107641768</t>
  </si>
  <si>
    <t>9763-20170724T164356.987336500.bin</t>
  </si>
  <si>
    <t>-511.448285864491 97.2493663886954 -241.256730168752</t>
  </si>
  <si>
    <t>-549.742760476919 89.4774632017018 -355.890678975432</t>
  </si>
  <si>
    <t>-561.553643519048 77.7041891893454 -475.942571780269</t>
  </si>
  <si>
    <t>-561.135297454736 65.8874462289493 -584.823531742345</t>
  </si>
  <si>
    <t>-549.709075617256 53.2026231060492 -693.005577237388</t>
  </si>
  <si>
    <t>-522.421531887387 34.9340688081901 -841.739123797791</t>
  </si>
  <si>
    <t>-475.627198617942 28.2620874966004 -932.009689964353</t>
  </si>
  <si>
    <t>-531.546247055234 74.4989203601019 -779.254899758202</t>
  </si>
  <si>
    <t>-535.955575360417 220.84658236799 -765.434834285091</t>
  </si>
  <si>
    <t>-622.70587727448 333.184027797141 -482.519932815176</t>
  </si>
  <si>
    <t>-445.289807025822 261.580809645885 -306.342337567003</t>
  </si>
  <si>
    <t>-537.444595253021 11.5357422081496 -772.603465257241</t>
  </si>
  <si>
    <t>-494.117270591636 192.67508955199 -252.946884338516</t>
  </si>
  <si>
    <t>-481.465702647123 193.460858441232 202.571513692309</t>
  </si>
  <si>
    <t>-492.895677984553 170.395155382833 671.742744503334</t>
  </si>
  <si>
    <t>-338.894473883514 162.56634891628 756.39403361941</t>
  </si>
  <si>
    <t>-528.621430026047 1.85659167001089 -228.951544467329</t>
  </si>
  <si>
    <t>-438.588890659375 -32.7798808521137 216.415843634011</t>
  </si>
  <si>
    <t>-594.609490429161 -98.6955688272728 654.81564718122</t>
  </si>
  <si>
    <t>-444.846221886804 -145.607579540444 734.274699739913</t>
  </si>
  <si>
    <t>9763-20170724T164357.022990000.bin</t>
  </si>
  <si>
    <t>-511.382598329287 97.6211919642224 -241.210799573061</t>
  </si>
  <si>
    <t>-549.683925701117 89.8196705431549 -355.84036480846</t>
  </si>
  <si>
    <t>-561.503210186714 78.0075946076979 -475.887717914206</t>
  </si>
  <si>
    <t>-561.092833351403 66.1525032242218 -584.76440871309</t>
  </si>
  <si>
    <t>-549.67485665651 53.4264024850621 -692.942592620404</t>
  </si>
  <si>
    <t>-522.398990887883 35.0976334135032 -841.670840075984</t>
  </si>
  <si>
    <t>-475.591590627874 28.3829910614763 -931.931413436234</t>
  </si>
  <si>
    <t>-531.523846340306 74.6882151469396 -779.202878453342</t>
  </si>
  <si>
    <t>-535.953371339324 221.03013255313 -765.479101040648</t>
  </si>
  <si>
    <t>-622.154482701663 333.348802115236 -482.388785427851</t>
  </si>
  <si>
    <t>-444.936704346825 261.750945769464 -306.00951331445</t>
  </si>
  <si>
    <t>-537.411551238293 11.7269127171735 -772.523515617297</t>
  </si>
  <si>
    <t>-494.055363895796 193.17120152115 -252.928047605449</t>
  </si>
  <si>
    <t>-481.540125163804 193.752943158274 202.594474527953</t>
  </si>
  <si>
    <t>-492.902018098555 170.39375128463 671.73990760918</t>
  </si>
  <si>
    <t>-338.89161768506 162.427603552891 756.361689816683</t>
  </si>
  <si>
    <t>-528.575035183128 2.06415630274049 -228.852912569708</t>
  </si>
  <si>
    <t>-438.430330071345 -32.816719249475 216.472781744736</t>
  </si>
  <si>
    <t>-594.524602320408 -99.2286541923563 654.846099023636</t>
  </si>
  <si>
    <t>-444.795761672314 -145.808883445454 734.564743623037</t>
  </si>
  <si>
    <t>9763-20170724T164357.089669100.bin</t>
  </si>
  <si>
    <t>-511.137754023856 98.7988188440319 -241.100264307662</t>
  </si>
  <si>
    <t>-549.55418407092 90.9059724171686 -355.685213241548</t>
  </si>
  <si>
    <t>-561.428244717108 79.0060941283762 -475.71836784715</t>
  </si>
  <si>
    <t>-561.041334140696 67.0752947037226 -584.586892324334</t>
  </si>
  <si>
    <t>-549.620384504974 54.2783336662607 -692.756363750147</t>
  </si>
  <si>
    <t>-522.31343551335 35.8572978024023 -841.467561343968</t>
  </si>
  <si>
    <t>-475.458601808482 29.0583904355593 -931.697189761701</t>
  </si>
  <si>
    <t>-531.456987394374 75.4870182906345 -779.027148283563</t>
  </si>
  <si>
    <t>-536.079121417771 221.844267688683 -765.502890174744</t>
  </si>
  <si>
    <t>-621.239779066461 333.63025935305 -481.887455528314</t>
  </si>
  <si>
    <t>-444.307379506616 262.410580043716 -305.069057709998</t>
  </si>
  <si>
    <t>-537.334871030292 12.5290723270979 -772.307768601893</t>
  </si>
  <si>
    <t>-493.909961772798 194.403135591237 -252.889038580895</t>
  </si>
  <si>
    <t>-481.607979075405 194.608356315787 202.639497192173</t>
  </si>
  <si>
    <t>-493.004557850484 170.759390793393 671.752128076815</t>
  </si>
  <si>
    <t>-338.985558351225 162.437368556697 756.323938807578</t>
  </si>
  <si>
    <t>-528.25466553151 3.26856675994105 -228.623733396679</t>
  </si>
  <si>
    <t>-438.055768177147 -31.9281714853037 216.66611443645</t>
  </si>
  <si>
    <t>-594.405667165605 -98.8046320442456 654.889414051967</t>
  </si>
  <si>
    <t>-444.831425956122 -145.670013738584 734.731144796199</t>
  </si>
  <si>
    <t>9763-20170724T164357.126750700.bin</t>
  </si>
  <si>
    <t>-511.035155655205 99.4145611102967 -241.019608784394</t>
  </si>
  <si>
    <t>-549.42278670966 91.4579458662668 -355.609688712844</t>
  </si>
  <si>
    <t>-561.295101314555 79.5156640818028 -475.638814637608</t>
  </si>
  <si>
    <t>-560.918685577174 67.5515205085651 -584.503714771701</t>
  </si>
  <si>
    <t>-549.520553375089 54.7237809743967 -692.672004072304</t>
  </si>
  <si>
    <t>-522.258008383648 36.2604086536153 -841.385992524989</t>
  </si>
  <si>
    <t>-475.382673236834 29.4234189817849 -931.602089894515</t>
  </si>
  <si>
    <t>-531.376995211164 75.9074645221878 -778.95309226242</t>
  </si>
  <si>
    <t>-536.105502065924 222.285439312637 -765.607673102603</t>
  </si>
  <si>
    <t>-620.628068149445 333.517875482903 -481.584017150679</t>
  </si>
  <si>
    <t>-443.88255770448 262.497456252989 -304.498820226721</t>
  </si>
  <si>
    <t>-537.264762784005 12.95236086136 -772.216331236125</t>
  </si>
  <si>
    <t>-493.828770917613 194.979295733395 -252.861222626545</t>
  </si>
  <si>
    <t>-481.678511970973 194.983910401326 202.671525110014</t>
  </si>
  <si>
    <t>-493.038445332447 170.835378146337 671.768027990185</t>
  </si>
  <si>
    <t>-338.976887712504 162.933497148407 756.302566834342</t>
  </si>
  <si>
    <t>-528.110971739007 4.00753999766873 -228.508851852437</t>
  </si>
  <si>
    <t>-437.928155565729 -31.3396898078058 216.772280525147</t>
  </si>
  <si>
    <t>-594.360665857211 -98.4901384433886 654.886028807759</t>
  </si>
  <si>
    <t>-444.970148949748 -145.958413156241 734.715652553337</t>
  </si>
  <si>
    <t>9763-20170724T164357.190422000.bin</t>
  </si>
  <si>
    <t>-510.845145130992 100.272918986478 -241.008593386162</t>
  </si>
  <si>
    <t>-549.19424659487 92.2597760627239 -355.607681074395</t>
  </si>
  <si>
    <t>-560.999444448578 80.2400099219317 -475.635672305651</t>
  </si>
  <si>
    <t>-560.552063669122 68.1901222856959 -584.490817896269</t>
  </si>
  <si>
    <t>-549.073738403163 55.256408254901 -692.638062748372</t>
  </si>
  <si>
    <t>-521.690847579284 36.620541804901 -841.308426746743</t>
  </si>
  <si>
    <t>-474.729838706462 29.6588505254704 -931.470347273841</t>
  </si>
  <si>
    <t>-530.861768833079 76.3400640407663 -778.929240540427</t>
  </si>
  <si>
    <t>-535.863282217554 222.722214105242 -765.88912244891</t>
  </si>
  <si>
    <t>-618.682863558208 332.643736875756 -480.855041771402</t>
  </si>
  <si>
    <t>-442.275963435793 261.949734355995 -303.302181836214</t>
  </si>
  <si>
    <t>-536.752111147363 13.3925842752217 -772.123665488747</t>
  </si>
  <si>
    <t>-493.872362055001 195.869578458552 -252.788331166398</t>
  </si>
  <si>
    <t>-481.778183562768 195.507403757494 202.745616895752</t>
  </si>
  <si>
    <t>-493.010550019543 170.615360529703 671.800869675275</t>
  </si>
  <si>
    <t>-338.928848493413 162.664516420667 756.294176982287</t>
  </si>
  <si>
    <t>-527.699035741495 4.65599779741208 -228.51769449976</t>
  </si>
  <si>
    <t>-437.948482801288 -30.8396127615117 216.838978766955</t>
  </si>
  <si>
    <t>-594.277815939144 -99.0886769577724 654.862633661284</t>
  </si>
  <si>
    <t>-444.612777897361 -145.544956533054 734.773127120998</t>
  </si>
  <si>
    <t>9763-20170724T164357.224725700.bin</t>
  </si>
  <si>
    <t>-510.82500275938 100.704408665084 -241.001686923394</t>
  </si>
  <si>
    <t>-549.05214953709 92.6793226271778 -355.640604623002</t>
  </si>
  <si>
    <t>-560.746259488881 80.6327948002989 -475.676833656595</t>
  </si>
  <si>
    <t>-560.20509257405 68.5488845656054 -584.527828017958</t>
  </si>
  <si>
    <t>-548.640713988924 55.5688117690127 -692.660331428951</t>
  </si>
  <si>
    <t>-521.14673996648 36.8536249081633 -841.300140375099</t>
  </si>
  <si>
    <t>-474.16601314197 29.8366248093611 -931.447593215043</t>
  </si>
  <si>
    <t>-530.364401946521 76.6064446944204 -778.948968552136</t>
  </si>
  <si>
    <t>-535.490921220782 223.005209815576 -766.032323003971</t>
  </si>
  <si>
    <t>-617.733038075966 332.126099163104 -480.524079155053</t>
  </si>
  <si>
    <t>-441.255573441331 261.637295217015 -302.95975618904</t>
  </si>
  <si>
    <t>-536.259513962037 13.6625700228105 -772.114235727742</t>
  </si>
  <si>
    <t>-493.89285943129 196.345898313172 -252.758190086309</t>
  </si>
  <si>
    <t>-481.950999256103 195.771265128519 202.779669153047</t>
  </si>
  <si>
    <t>-493.05597869442 170.709018129463 671.815916774001</t>
  </si>
  <si>
    <t>-338.979450016962 162.51116863151 756.295068707688</t>
  </si>
  <si>
    <t>-527.567939869646 5.07672558112149 -228.578730685865</t>
  </si>
  <si>
    <t>-438.094638631985 -30.4824572896346 216.82858580662</t>
  </si>
  <si>
    <t>-594.239057957035 -98.856954241263 654.885266702312</t>
  </si>
  <si>
    <t>-444.696929980356 -145.655888298273 734.825941437966</t>
  </si>
  <si>
    <t>9763-20170724T164357.288898100.bin</t>
  </si>
  <si>
    <t>-510.754368461579 101.472822164935 -241.012161787535</t>
  </si>
  <si>
    <t>-548.939627222434 93.4398367706851 -355.664446252288</t>
  </si>
  <si>
    <t>-560.546242954149 81.3177957879638 -475.70164474574</t>
  </si>
  <si>
    <t>-559.908017694369 69.1340511834968 -584.540886548491</t>
  </si>
  <si>
    <t>-548.22937245186 56.0202092480701 -692.645038004085</t>
  </si>
  <si>
    <t>-520.560060274259 37.0818169559447 -841.224189821168</t>
  </si>
  <si>
    <t>-473.549936797612 29.9469786559931 -931.346945285825</t>
  </si>
  <si>
    <t>-529.83348593083 76.9269850493612 -778.940156996983</t>
  </si>
  <si>
    <t>-535.364021165007 223.329848421166 -766.225266103879</t>
  </si>
  <si>
    <t>-615.958429311605 330.65092536967 -479.567128713238</t>
  </si>
  <si>
    <t>-439.249968093289 260.514829879346 -302.092796427233</t>
  </si>
  <si>
    <t>-535.772249286445 13.9959967483484 -772.024673536845</t>
  </si>
  <si>
    <t>-493.924922615989 197.047058569852 -252.736432609727</t>
  </si>
  <si>
    <t>-482.354451249253 196.200002530265 202.810546738259</t>
  </si>
  <si>
    <t>-493.093963933804 170.790875230785 671.826936969629</t>
  </si>
  <si>
    <t>-338.973766583066 162.820854824844 756.248212020394</t>
  </si>
  <si>
    <t>-527.479136942281 5.86868903040472 -228.589621135638</t>
  </si>
  <si>
    <t>-438.20060287385 -29.7362256304678 216.85323036026</t>
  </si>
  <si>
    <t>-594.182389315797 -98.6412892871786 654.91119388689</t>
  </si>
  <si>
    <t>-444.941376567751 -146.297583869325 734.908069717742</t>
  </si>
  <si>
    <t>9763-20170724T164357.319514800.bin</t>
  </si>
  <si>
    <t>-510.794363449333 101.641236683472 -241.022878499379</t>
  </si>
  <si>
    <t>-548.944813879389 93.5714985684117 -355.684217991351</t>
  </si>
  <si>
    <t>-560.505931450042 81.3990045402429 -475.720675002741</t>
  </si>
  <si>
    <t>-559.823249258406 69.1603930833352 -584.553655218543</t>
  </si>
  <si>
    <t>-548.097303056789 55.9800632218815 -692.644518623605</t>
  </si>
  <si>
    <t>-520.359837543041 36.9351232976412 -841.197181875244</t>
  </si>
  <si>
    <t>-473.303095403563 29.7502819010107 -931.291755234429</t>
  </si>
  <si>
    <t>-529.642098390716 76.8234784738304 -778.942240648423</t>
  </si>
  <si>
    <t>-535.165670448161 223.204438255696 -766.235977575622</t>
  </si>
  <si>
    <t>-615.105043336162 330.113497960891 -479.240499289013</t>
  </si>
  <si>
    <t>-438.50842876016 260.178186706109 -301.575824695356</t>
  </si>
  <si>
    <t>-535.623459281205 13.9003491815832 -771.992105124192</t>
  </si>
  <si>
    <t>-494.00058810424 197.215933585683 -252.760636977284</t>
  </si>
  <si>
    <t>-482.583417857527 196.241366706339 202.78992466632</t>
  </si>
  <si>
    <t>-493.045399867818 170.63370183233 671.8129108756</t>
  </si>
  <si>
    <t>-338.853775991662 163.594917239315 756.186515343431</t>
  </si>
  <si>
    <t>-527.437621633514 6.05836371718623 -228.617755860146</t>
  </si>
  <si>
    <t>-438.274090610278 -29.5596076845831 216.847026957914</t>
  </si>
  <si>
    <t>-594.13042007678 -98.4777863979735 654.907402475777</t>
  </si>
  <si>
    <t>-444.798500404438 -145.789132828708 734.939403686844</t>
  </si>
  <si>
    <t>9763-20170724T164357.386699200.bin</t>
  </si>
  <si>
    <t>-510.852337086842 101.929944160285 -240.984587522373</t>
  </si>
  <si>
    <t>-548.951916435916 93.8007447036865 -355.658532199946</t>
  </si>
  <si>
    <t>-560.445737793883 81.5304008165819 -475.691408723268</t>
  </si>
  <si>
    <t>-559.697102865414 69.1795255282069 -584.511246042837</t>
  </si>
  <si>
    <t>-547.901046259709 55.8582658371823 -692.577293545148</t>
  </si>
  <si>
    <t>-520.062425532801 36.5832429893307 -841.081445738501</t>
  </si>
  <si>
    <t>-472.921233853269 29.2494070027784 -931.11974025997</t>
  </si>
  <si>
    <t>-529.336126574774 76.5641745445292 -778.884656033464</t>
  </si>
  <si>
    <t>-534.870054295293 222.976353033322 -766.29229952229</t>
  </si>
  <si>
    <t>-614.568351399057 329.610520508081 -479.127602853942</t>
  </si>
  <si>
    <t>-438.200458985374 259.602282970607 -301.264508140222</t>
  </si>
  <si>
    <t>-535.424176421563 13.6594907739049 -771.861233024483</t>
  </si>
  <si>
    <t>-494.122722603822 197.555097131658 -252.763060670474</t>
  </si>
  <si>
    <t>-483.097513220119 196.398982177225 202.796770912126</t>
  </si>
  <si>
    <t>-493.028455671591 170.587494278255 671.804611606665</t>
  </si>
  <si>
    <t>-338.773123754071 164.323505425084 756.12291248689</t>
  </si>
  <si>
    <t>-527.380849330688 6.28251752657381 -228.561005515075</t>
  </si>
  <si>
    <t>-438.352204151789 -29.4482799344735 216.921752461368</t>
  </si>
  <si>
    <t>-594.127275147389 -99.0145616203196 654.962335134292</t>
  </si>
  <si>
    <t>-444.449404491393 -145.443970602848 734.864469713902</t>
  </si>
  <si>
    <t>9763-20170724T164357.418309600.bin</t>
  </si>
  <si>
    <t>-510.94226248068 102.316249294548 -240.955687693006</t>
  </si>
  <si>
    <t>-549.024712144177 94.1460529847107 -355.632528991909</t>
  </si>
  <si>
    <t>-560.452393253372 81.8200869965838 -475.666114398937</t>
  </si>
  <si>
    <t>-559.624558938035 69.410609672137 -584.478613674108</t>
  </si>
  <si>
    <t>-547.730891745171 56.021042945672 -692.525389247494</t>
  </si>
  <si>
    <t>-519.738762438088 36.6397358385456 -840.986981567894</t>
  </si>
  <si>
    <t>-472.525309735871 29.2472008405151 -930.982505060166</t>
  </si>
  <si>
    <t>-529.063845597135 76.6642489118038 -778.825870350702</t>
  </si>
  <si>
    <t>-534.592339628698 223.077698638557 -766.277231232392</t>
  </si>
  <si>
    <t>-614.617485186722 330.061249472969 -479.333600951886</t>
  </si>
  <si>
    <t>-438.399896784576 259.943732301893 -301.364597197083</t>
  </si>
  <si>
    <t>-535.18504277199 13.7664948654449 -771.768713711186</t>
  </si>
  <si>
    <t>-494.287728014324 198.036262690704 -252.741183981017</t>
  </si>
  <si>
    <t>-483.40594654605 196.782081694818 202.821899177431</t>
  </si>
  <si>
    <t>-493.172798025664 171.061988948529 671.83277127373</t>
  </si>
  <si>
    <t>-338.972867055991 163.517670628985 756.147502410946</t>
  </si>
  <si>
    <t>-527.455218893419 6.66774617850368 -228.511302353458</t>
  </si>
  <si>
    <t>-438.347124116575 -28.9688602240648 216.963142244883</t>
  </si>
  <si>
    <t>-594.112484191091 -98.514567794986 654.972567134562</t>
  </si>
  <si>
    <t>-444.51619601058 -145.411535145033 734.7543649019</t>
  </si>
  <si>
    <t>9763-20170724T164357.490043500.bin</t>
  </si>
  <si>
    <t>-511.205223433575 102.659739159605 -240.934113733929</t>
  </si>
  <si>
    <t>-549.159208598992 94.4607559673237 -355.651517678319</t>
  </si>
  <si>
    <t>-560.358937188031 82.0504807248526 -475.697730100217</t>
  </si>
  <si>
    <t>-559.286839162689 69.5401261867657 -584.49663075289</t>
  </si>
  <si>
    <t>-547.113193234059 56.0236877716229 -692.496576911788</t>
  </si>
  <si>
    <t>-518.697846227566 36.4380527603266 -840.850797681197</t>
  </si>
  <si>
    <t>-471.237487050345 28.9874515775231 -930.711556667292</t>
  </si>
  <si>
    <t>-528.233421828426 76.5505711267009 -778.778314869812</t>
  </si>
  <si>
    <t>-534.068915946299 222.970449293134 -766.242441941361</t>
  </si>
  <si>
    <t>-613.999200850367 329.834369160588 -479.227729893414</t>
  </si>
  <si>
    <t>-437.549313084244 261.033005149194 -300.975437747402</t>
  </si>
  <si>
    <t>-534.308117652159 13.6576208908817 -771.63871755586</t>
  </si>
  <si>
    <t>-494.730100166182 198.3094138131 -252.642102746675</t>
  </si>
  <si>
    <t>-483.946747784002 196.812838211427 202.922578651464</t>
  </si>
  <si>
    <t>-493.190161798357 170.654714257598 671.971320517295</t>
  </si>
  <si>
    <t>-338.933725979043 163.572798227902 756.222782517581</t>
  </si>
  <si>
    <t>-527.458637552052 6.92692776116542 -228.586542446056</t>
  </si>
  <si>
    <t>-438.75339705062 -28.7293708286853 216.966665807868</t>
  </si>
  <si>
    <t>-594.184598439731 -98.8761294604896 655.075350827842</t>
  </si>
  <si>
    <t>-444.114508060019 -144.867730615815 734.493630175137</t>
  </si>
  <si>
    <t>9763-20170724T164357.521633800.bin</t>
  </si>
  <si>
    <t>-511.437179010027 102.646556000349 -240.890376446269</t>
  </si>
  <si>
    <t>-549.31535168599 94.4846614161797 -355.635404569991</t>
  </si>
  <si>
    <t>-560.346980319273 82.0425973501899 -475.694045655193</t>
  </si>
  <si>
    <t>-559.085920805319 69.4773458312963 -584.484646825556</t>
  </si>
  <si>
    <t>-546.688157317866 55.8809166263313 -692.448807680576</t>
  </si>
  <si>
    <t>-517.926876382818 36.1593163081376 -840.718328439144</t>
  </si>
  <si>
    <t>-470.307067160198 28.7080135824558 -930.494838726981</t>
  </si>
  <si>
    <t>-527.661525311658 76.332606865484 -778.71624759524</t>
  </si>
  <si>
    <t>-534.208456552082 222.754029290679 -766.367415118843</t>
  </si>
  <si>
    <t>-612.524316096186 327.972727749965 -478.301821368009</t>
  </si>
  <si>
    <t>-435.433734437524 260.493243630861 -300.179572433902</t>
  </si>
  <si>
    <t>-533.644237010683 13.438377683023 -771.511167401349</t>
  </si>
  <si>
    <t>-495.141235641841 198.184138884471 -252.531942917179</t>
  </si>
  <si>
    <t>-484.24107747994 196.436495205559 203.029104699268</t>
  </si>
  <si>
    <t>-493.138787126814 170.040099316031 672.086543096936</t>
  </si>
  <si>
    <t>-338.866957843619 163.368434315267 756.343331811288</t>
  </si>
  <si>
    <t>-527.579511721871 7.02595920639212 -228.638557179544</t>
  </si>
  <si>
    <t>-438.950363631569 -28.5584803411571 216.935532313553</t>
  </si>
  <si>
    <t>-594.162386799566 -98.687258589799 655.058280370147</t>
  </si>
  <si>
    <t>-444.186461941226 -145.048676188972 734.439387123681</t>
  </si>
  <si>
    <t>9763-20170724T164357.586314000.bin</t>
  </si>
  <si>
    <t>-512.329678285735 102.83198205926 -240.986936667529</t>
  </si>
  <si>
    <t>-550.133788624541 94.6454677246991 -355.75466139689</t>
  </si>
  <si>
    <t>-560.849226008546 82.1771198626346 -475.839226349738</t>
  </si>
  <si>
    <t>-559.205841111095 69.5889240639655 -584.621855999061</t>
  </si>
  <si>
    <t>-546.333703493812 55.9705404449756 -692.527892742725</t>
  </si>
  <si>
    <t>-516.823218224224 36.2201350267288 -840.646337586887</t>
  </si>
  <si>
    <t>-468.796095958044 28.8156173211779 -930.209377216823</t>
  </si>
  <si>
    <t>-527.03016892613 76.4165719815044 -778.735104736002</t>
  </si>
  <si>
    <t>-535.03791662945 222.740923740366 -766.612408494404</t>
  </si>
  <si>
    <t>-605.013685778189 323.608249573184 -474.867054966392</t>
  </si>
  <si>
    <t>-426.951913830126 258.86938547388 -296.696096670146</t>
  </si>
  <si>
    <t>-532.731080655708 13.5015996316704 -771.481695437969</t>
  </si>
  <si>
    <t>-496.62219865016 198.54965379522 -252.459549584066</t>
  </si>
  <si>
    <t>-485.152361458886 196.521810390396 203.086294158353</t>
  </si>
  <si>
    <t>-493.231081261843 170.228602408897 672.083539769734</t>
  </si>
  <si>
    <t>-339.086574327682 162.898373733294 756.518401311864</t>
  </si>
  <si>
    <t>-527.859229437366 7.0916557875541 -228.856849725873</t>
  </si>
  <si>
    <t>-439.319841206991 -28.2155665160832 216.757105207292</t>
  </si>
  <si>
    <t>-594.087702823421 -98.6285015121712 654.986700701432</t>
  </si>
  <si>
    <t>-444.096126068261 -144.814942597492 734.440070014832</t>
  </si>
  <si>
    <t>9763-20170724T164357.618526600.bin</t>
  </si>
  <si>
    <t>-512.831318834166 102.855218876181 -241.029905223909</t>
  </si>
  <si>
    <t>-550.466527933626 94.5625507609698 -355.845597546807</t>
  </si>
  <si>
    <t>-561.024149722293 82.0671843032443 -475.941248623271</t>
  </si>
  <si>
    <t>-559.247492664417 69.4757669448674 -584.721492160746</t>
  </si>
  <si>
    <t>-546.253814603666 55.8678660885643 -692.614193286892</t>
  </si>
  <si>
    <t>-516.588231024152 36.1396309779198 -840.704510333176</t>
  </si>
  <si>
    <t>-468.398264091492 28.7505897686711 -930.181493380936</t>
  </si>
  <si>
    <t>-526.902218478077 76.3295379316799 -778.80697202805</t>
  </si>
  <si>
    <t>-535.358928301264 222.65406823643 -766.897926331289</t>
  </si>
  <si>
    <t>-598.359340073021 320.403187746136 -472.513319018357</t>
  </si>
  <si>
    <t>-419.666979332276 257.973035111485 -294.149757986887</t>
  </si>
  <si>
    <t>-532.526344982069 13.4079552855041 -771.551441540149</t>
  </si>
  <si>
    <t>-497.460464005854 198.419010084147 -252.444663300649</t>
  </si>
  <si>
    <t>-485.927202711688 196.253233008545 203.098910439166</t>
  </si>
  <si>
    <t>-493.132895901835 169.872487625291 672.054041937671</t>
  </si>
  <si>
    <t>-339.035273220115 163.232508677841 756.631430907533</t>
  </si>
  <si>
    <t>-527.954715581091 7.27398152188943 -228.977212987877</t>
  </si>
  <si>
    <t>-439.50339618794 -28.0018389059941 216.656830058297</t>
  </si>
  <si>
    <t>-594.064960452833 -98.5026669008721 654.92614206843</t>
  </si>
  <si>
    <t>-444.230856419396 -145.191952280818 734.382830031022</t>
  </si>
  <si>
    <t>9763-20170724T164357.684703300.bin</t>
  </si>
  <si>
    <t>-514.46981945311 103.069678529044 -241.057366228505</t>
  </si>
  <si>
    <t>-551.983524722076 94.812333125555 -355.915248483433</t>
  </si>
  <si>
    <t>-562.507693616906 82.3417800584918 -476.016339671293</t>
  </si>
  <si>
    <t>-560.740999277103 69.7438868009819 -584.796076995723</t>
  </si>
  <si>
    <t>-547.798289237393 56.0847224043602 -692.68843370228</t>
  </si>
  <si>
    <t>-518.246107509423 36.2246230721053 -840.783909407315</t>
  </si>
  <si>
    <t>-469.982192323698 28.6996409106042 -930.209574771973</t>
  </si>
  <si>
    <t>-528.533225339516 76.4710219668811 -778.918379107966</t>
  </si>
  <si>
    <t>-537.242537923238 222.819067816629 -767.428104061514</t>
  </si>
  <si>
    <t>-579.547166979911 311.833355457324 -466.640900926056</t>
  </si>
  <si>
    <t>-399.955309714859 250.447289545508 -288.819073831374</t>
  </si>
  <si>
    <t>-534.110838580729 13.5532528181222 -771.593946294766</t>
  </si>
  <si>
    <t>-500.064604326961 198.715652478575 -252.277093603885</t>
  </si>
  <si>
    <t>-487.970640690114 195.337117269402 203.244543534817</t>
  </si>
  <si>
    <t>-493.113208385772 168.885741530055 672.355511701173</t>
  </si>
  <si>
    <t>-339.215364322637 162.387683635759 757.307007552815</t>
  </si>
  <si>
    <t>-528.920190755526 7.3960634991203 -229.243296308446</t>
  </si>
  <si>
    <t>-440.188109854273 -27.6358475150746 216.354088889741</t>
  </si>
  <si>
    <t>-594.05906374467 -98.8404948939685 654.71941921729</t>
  </si>
  <si>
    <t>-443.897416545549 -144.681703204424 734.051425440613</t>
  </si>
  <si>
    <t>9763-20170724T164357.722695000.bin</t>
  </si>
  <si>
    <t>-515.365136193357 103.31256251812 -241.18889158469</t>
  </si>
  <si>
    <t>-552.970327784623 95.0245568906502 -356.014604749355</t>
  </si>
  <si>
    <t>-563.652517860398 82.5419102842331 -476.100715468613</t>
  </si>
  <si>
    <t>-562.054744931186 69.9354675903433 -584.881916781549</t>
  </si>
  <si>
    <t>-549.305700348916 56.2666839195569 -692.796228444002</t>
  </si>
  <si>
    <t>-520.046349744382 36.3889962324603 -840.947264721426</t>
  </si>
  <si>
    <t>-471.850476482697 28.8262948609229 -930.406530433492</t>
  </si>
  <si>
    <t>-530.216256382304 76.6430168496537 -779.067566779689</t>
  </si>
  <si>
    <t>-538.965926901013 222.950619757544 -767.516369450403</t>
  </si>
  <si>
    <t>-567.238153595941 307.787464530765 -463.888875510723</t>
  </si>
  <si>
    <t>-387.188304563191 246.09317185714 -286.637804981714</t>
  </si>
  <si>
    <t>-535.769074583019 13.7254740911515 -771.722502009369</t>
  </si>
  <si>
    <t>-501.164702442286 199.070486961518 -252.34945919061</t>
  </si>
  <si>
    <t>-488.749024044292 195.593284787122 203.162795300062</t>
  </si>
  <si>
    <t>-493.257927599142 169.240868064671 672.293435442471</t>
  </si>
  <si>
    <t>-339.3966556711 162.364094750177 757.281280536502</t>
  </si>
  <si>
    <t>-529.55402752017 7.53016766741547 -229.379531240833</t>
  </si>
  <si>
    <t>-440.577965732797 -27.5551668489919 216.164998183186</t>
  </si>
  <si>
    <t>-594.046979309186 -98.9465666035105 654.61171499442</t>
  </si>
  <si>
    <t>-443.515268339204 -143.671247522011 733.879589686654</t>
  </si>
  <si>
    <t>9763-20170724T164357.784864200.bin</t>
  </si>
  <si>
    <t>-516.522841026384 104.263627730344 -241.283085325428</t>
  </si>
  <si>
    <t>-554.12312741438 95.8974990848656 -356.104863473977</t>
  </si>
  <si>
    <t>-565.143238399346 83.4827562344456 -476.167384152157</t>
  </si>
  <si>
    <t>-563.991046142672 70.993413895595 -584.967763732534</t>
  </si>
  <si>
    <t>-551.823177312325 57.4941926918421 -692.970371958591</t>
  </si>
  <si>
    <t>-523.505567764206 37.9034986297267 -841.34268010151</t>
  </si>
  <si>
    <t>-475.704580737527 30.4481049608169 -931.022544786083</t>
  </si>
  <si>
    <t>-533.317683148095 78.03984313467 -779.328804315379</t>
  </si>
  <si>
    <t>-541.893815746993 224.366627649786 -767.648151466561</t>
  </si>
  <si>
    <t>-539.268752608615 301.367627536024 -460.646338877268</t>
  </si>
  <si>
    <t>-358.945116228229 236.415431802773 -284.843403455727</t>
  </si>
  <si>
    <t>-538.752782035842 15.10366139232 -772.056308104539</t>
  </si>
  <si>
    <t>-502.276795874603 199.803368935065 -252.565156060463</t>
  </si>
  <si>
    <t>-489.620595289047 195.993235928458 202.937780159178</t>
  </si>
  <si>
    <t>-493.037774189631 169.076692937411 671.892715301454</t>
  </si>
  <si>
    <t>-339.227673859426 162.486753684573 756.995786283142</t>
  </si>
  <si>
    <t>-530.597737574493 8.78701408318813 -229.434834397936</t>
  </si>
  <si>
    <t>-440.805781488319 -26.9896751759391 215.891027177769</t>
  </si>
  <si>
    <t>-593.94745818947 -98.7695307647149 654.332749834846</t>
  </si>
  <si>
    <t>-443.917506692674 -144.770125859439 733.821698923537</t>
  </si>
  <si>
    <t>9763-20170724T164357.818500600.bin</t>
  </si>
  <si>
    <t>-516.857614232836 104.890914563776 -241.47107234416</t>
  </si>
  <si>
    <t>-554.613586457913 96.4654250643507 -356.237333213049</t>
  </si>
  <si>
    <t>-565.909905403595 84.1096120411727 -476.280400440983</t>
  </si>
  <si>
    <t>-565.054945451944 71.7191416344153 -585.094800278543</t>
  </si>
  <si>
    <t>-553.229180458088 58.362220694301 -693.153073520475</t>
  </si>
  <si>
    <t>-525.430654460998 39.0125044641328 -841.655100904786</t>
  </si>
  <si>
    <t>-477.872706115986 31.6690394971175 -931.473135047231</t>
  </si>
  <si>
    <t>-535.011718358848 79.0472448738745 -779.539421011406</t>
  </si>
  <si>
    <t>-543.018869632725 225.37047935992 -767.685761247418</t>
  </si>
  <si>
    <t>-525.371278215545 298.782440306851 -460.300932369172</t>
  </si>
  <si>
    <t>-345.070032985389 231.188741416155 -285.473590918945</t>
  </si>
  <si>
    <t>-540.449596319975 16.1010877934736 -772.355532056553</t>
  </si>
  <si>
    <t>-502.667213428822 200.470270354734 -252.771959154962</t>
  </si>
  <si>
    <t>-489.836869243474 196.531326926032 202.724982073293</t>
  </si>
  <si>
    <t>-493.024105239721 169.616727271262 671.693231974927</t>
  </si>
  <si>
    <t>-339.23177392872 163.032318452355 756.828891939604</t>
  </si>
  <si>
    <t>-530.995691246627 9.39441251452821 -229.480169697274</t>
  </si>
  <si>
    <t>-440.754427678983 -26.6226746446497 215.735427691878</t>
  </si>
  <si>
    <t>-593.897524610955 -98.747157364511 654.169698987927</t>
  </si>
  <si>
    <t>-443.979132741866 -144.942856312271 733.75571104862</t>
  </si>
  <si>
    <t>9763-20170724T164357.890686600.bin</t>
  </si>
  <si>
    <t>-517.258161987565 105.961423021627 -241.502514309058</t>
  </si>
  <si>
    <t>-555.178486375627 97.5519804494057 -356.215773394946</t>
  </si>
  <si>
    <t>-567.057035270548 85.41855984043 -476.225231437564</t>
  </si>
  <si>
    <t>-566.899033731261 73.2873145660266 -585.072189077983</t>
  </si>
  <si>
    <t>-555.935394604206 60.2325068896242 -693.258239944471</t>
  </si>
  <si>
    <t>-529.498269988826 41.3321525022815 -842.066262473937</t>
  </si>
  <si>
    <t>-482.531900083293 34.1126718969383 -932.205216122726</t>
  </si>
  <si>
    <t>-538.249913167688 81.1609907992363 -779.696453753588</t>
  </si>
  <si>
    <t>-543.632199262934 227.640826262873 -767.590730862637</t>
  </si>
  <si>
    <t>-501.25774757755 292.870822423211 -460.775367376191</t>
  </si>
  <si>
    <t>-320.368889660081 219.126660658811 -289.068919754946</t>
  </si>
  <si>
    <t>-544.141855376239 18.2289924977416 -772.750203676913</t>
  </si>
  <si>
    <t>-502.757989760353 201.652583692452 -252.92862828417</t>
  </si>
  <si>
    <t>-490.139764484316 197.318617051072 202.570767644073</t>
  </si>
  <si>
    <t>-493.000901694303 169.856451727295 671.604127245729</t>
  </si>
  <si>
    <t>-339.156870112088 163.147639533777 756.636564199202</t>
  </si>
  <si>
    <t>-531.613956883244 10.3157371371578 -229.422532755012</t>
  </si>
  <si>
    <t>-440.693055452875 -26.2028264148751 215.61386490718</t>
  </si>
  <si>
    <t>-593.867306838391 -99.3711894890249 653.923890871299</t>
  </si>
  <si>
    <t>-443.478154596422 -144.044471378354 733.491025469624</t>
  </si>
  <si>
    <t>9763-20170724T164357.923811100.bin</t>
  </si>
  <si>
    <t>-517.111094734947 106.590340681932 -241.425628087207</t>
  </si>
  <si>
    <t>-555.277107159399 98.2386254188047 -356.061701671077</t>
  </si>
  <si>
    <t>-567.549752671984 86.2202973856413 -476.0429711214</t>
  </si>
  <si>
    <t>-567.806252642563 74.2026478246363 -584.902287862026</t>
  </si>
  <si>
    <t>-557.311794919587 61.2632637789688 -693.148803895199</t>
  </si>
  <si>
    <t>-531.579674427543 42.5177349071369 -842.099938580977</t>
  </si>
  <si>
    <t>-484.931643929522 35.278450929547 -932.40237081864</t>
  </si>
  <si>
    <t>-539.837086493922 82.2665086004507 -779.611778779133</t>
  </si>
  <si>
    <t>-543.658510756623 228.787162056106 -767.568312690068</t>
  </si>
  <si>
    <t>-491.962543881718 289.948305227115 -461.344535853497</t>
  </si>
  <si>
    <t>-310.431308431261 213.91468351262 -291.322877365412</t>
  </si>
  <si>
    <t>-546.093592152689 19.3576304383804 -772.775657705668</t>
  </si>
  <si>
    <t>-502.369667845863 202.118550116527 -252.887105932191</t>
  </si>
  <si>
    <t>-490.04525884996 197.632013930334 202.618828173554</t>
  </si>
  <si>
    <t>-493.003204550167 169.701257932784 671.668773826361</t>
  </si>
  <si>
    <t>-339.059906888686 163.614512563208 756.568257588404</t>
  </si>
  <si>
    <t>-531.749989664546 11.1252547823681 -229.267037736754</t>
  </si>
  <si>
    <t>-440.516456120963 -25.5738328663561 215.690511529922</t>
  </si>
  <si>
    <t>-593.842024658069 -99.0656460337938 653.823958408199</t>
  </si>
  <si>
    <t>-443.728384445405 -144.67809403404 733.378531803354</t>
  </si>
  <si>
    <t>9763-20170724T164357.988484600.bin</t>
  </si>
  <si>
    <t>-516.651093412844 108.04654123749 -241.16929313041</t>
  </si>
  <si>
    <t>-555.209886664644 99.9566604600915 -355.692652686529</t>
  </si>
  <si>
    <t>-568.174978383926 88.1197003704419 -475.619087949207</t>
  </si>
  <si>
    <t>-569.175191538568 76.2040507481707 -584.485452841201</t>
  </si>
  <si>
    <t>-559.535891144606 63.2893273760095 -692.814240977405</t>
  </si>
  <si>
    <t>-535.10085430348 44.4828142002664 -841.97599928618</t>
  </si>
  <si>
    <t>-489.027990743054 36.9043114292814 -932.545608909921</t>
  </si>
  <si>
    <t>-542.314770984489 84.2133980340453 -779.347305970065</t>
  </si>
  <si>
    <t>-542.991466060571 230.791465040249 -767.396676749192</t>
  </si>
  <si>
    <t>-477.591338486105 284.365179289901 -462.373970841351</t>
  </si>
  <si>
    <t>-295.610353929539 203.848687879854 -294.916275532163</t>
  </si>
  <si>
    <t>-549.51050221354 21.3948303326797 -772.605806392859</t>
  </si>
  <si>
    <t>-501.204219216291 203.558714101856 -252.660955350868</t>
  </si>
  <si>
    <t>-489.223570744532 198.640664847867 202.849686336301</t>
  </si>
  <si>
    <t>-493.381768346718 170.074402252697 671.969494907272</t>
  </si>
  <si>
    <t>-339.350127571234 162.636921934917 756.600732679558</t>
  </si>
  <si>
    <t>-531.95440949927 12.5778328400174 -228.968459745217</t>
  </si>
  <si>
    <t>-440.387417868739 -24.2709726234642 215.908333731447</t>
  </si>
  <si>
    <t>-593.793831457406 -98.7881718893815 653.729301854703</t>
  </si>
  <si>
    <t>-443.730576409032 -144.752600905316 733.176071648444</t>
  </si>
  <si>
    <t>9763-20170724T164358.021137000.bin</t>
  </si>
  <si>
    <t>-516.323235461267 108.829297677919 -241.010416224398</t>
  </si>
  <si>
    <t>-555.019523148235 100.955868044736 -355.502305061055</t>
  </si>
  <si>
    <t>-568.251273184132 89.2932824155732 -475.416837341618</t>
  </si>
  <si>
    <t>-569.543948850821 77.5042603489544 -584.293790394621</t>
  </si>
  <si>
    <t>-560.246178955902 64.678225831008 -692.663026155639</t>
  </si>
  <si>
    <t>-536.333729116244 45.9485383812323 -841.91909559484</t>
  </si>
  <si>
    <t>-490.47849645325 38.2131066111179 -932.585766541714</t>
  </si>
  <si>
    <t>-543.071600629223 85.6211783143034 -779.200790503926</t>
  </si>
  <si>
    <t>-542.236848587666 232.173799996788 -767.285370633777</t>
  </si>
  <si>
    <t>-472.887727252838 283.450551228869 -462.740567556833</t>
  </si>
  <si>
    <t>-290.879083892556 201.179857882183 -296.167881047348</t>
  </si>
  <si>
    <t>-550.756806730626 22.8504212421062 -772.555150384912</t>
  </si>
  <si>
    <t>-500.494003393843 204.252838304464 -252.471672583438</t>
  </si>
  <si>
    <t>-488.571767266561 199.091354883697 203.037789353939</t>
  </si>
  <si>
    <t>-493.581740758804 170.209360260814 672.139300738162</t>
  </si>
  <si>
    <t>-339.487112478411 162.606009469443 756.641015362111</t>
  </si>
  <si>
    <t>-531.995897289236 13.5503998558449 -228.813650975531</t>
  </si>
  <si>
    <t>-440.356479787958 -23.8336591960012 216.003485406792</t>
  </si>
  <si>
    <t>-593.777215855606 -98.4923572181469 653.740605854414</t>
  </si>
  <si>
    <t>-443.954386144679 -145.266483432533 733.168656180437</t>
  </si>
  <si>
    <t>9763-20170724T164358.095336400.bin</t>
  </si>
  <si>
    <t>-515.828902153069 109.348102931923 -240.829775408693</t>
  </si>
  <si>
    <t>-554.646524029688 101.723505073262 -355.297535564326</t>
  </si>
  <si>
    <t>-568.104482909343 90.2402308506347 -475.204020231371</t>
  </si>
  <si>
    <t>-569.642604209465 78.5772123755216 -584.091478563085</t>
  </si>
  <si>
    <t>-560.628809007828 65.8375801309336 -692.494808952125</t>
  </si>
  <si>
    <t>-537.148481668634 47.1834352949488 -841.829014628916</t>
  </si>
  <si>
    <t>-491.468847200862 39.291417589293 -932.570887399297</t>
  </si>
  <si>
    <t>-543.476277172188 86.7997454286438 -779.032394149719</t>
  </si>
  <si>
    <t>-541.259482791631 233.394405815767 -767.251941514123</t>
  </si>
  <si>
    <t>-469.383913880793 283.221313400353 -463.052404408559</t>
  </si>
  <si>
    <t>-287.693950466569 199.281641692948 -296.965313906445</t>
  </si>
  <si>
    <t>-551.599286998914 24.0748597689217 -772.474352811246</t>
  </si>
  <si>
    <t>-499.44158215409 204.511708440874 -252.298261367381</t>
  </si>
  <si>
    <t>-487.680802148889 199.249918644459 203.214281519455</t>
  </si>
  <si>
    <t>-493.582690574621 169.805792465338 672.242875947202</t>
  </si>
  <si>
    <t>-339.37781767505 163.147192462151 756.623078046778</t>
  </si>
  <si>
    <t>-532.008502067441 14.2380194911624 -228.621128154366</t>
  </si>
  <si>
    <t>-440.242373404015 -23.7548709987302 216.118412019415</t>
  </si>
  <si>
    <t>-593.769362341182 -98.3497360809254 653.758124530865</t>
  </si>
  <si>
    <t>-443.932214180661 -145.10278527104 733.171552071536</t>
  </si>
  <si>
    <t>9763-20170724T164358.150997000.bin</t>
  </si>
  <si>
    <t>-515.021979111486 111.373081908168 -240.405790755688</t>
  </si>
  <si>
    <t>-554.154401669968 104.398274606797 -354.807732015823</t>
  </si>
  <si>
    <t>-568.077360079077 93.255427088475 -474.693327810849</t>
  </si>
  <si>
    <t>-570.090801579651 81.7617756372221 -583.591037594961</t>
  </si>
  <si>
    <t>-561.602141883825 69.0494399441851 -692.03985247613</t>
  </si>
  <si>
    <t>-538.898397987534 50.2811917862395 -841.479880156492</t>
  </si>
  <si>
    <t>-493.512305954178 42.014637707137 -932.335530030806</t>
  </si>
  <si>
    <t>-544.405160528689 89.886342273552 -778.598902962585</t>
  </si>
  <si>
    <t>-539.403825365319 236.41801689002 -767.430549039283</t>
  </si>
  <si>
    <t>-466.47369255818 286.601916173191 -463.540853811609</t>
  </si>
  <si>
    <t>-286.414610784712 198.508213014299 -297.829543218034</t>
  </si>
  <si>
    <t>-553.482987461629 27.2847269159286 -772.115827406996</t>
  </si>
  <si>
    <t>-497.691239013081 206.798154599521 -251.876176616369</t>
  </si>
  <si>
    <t>-485.387176316913 200.903072434143 203.614271154408</t>
  </si>
  <si>
    <t>-493.952247442921 170.411002980542 672.482887533055</t>
  </si>
  <si>
    <t>-339.864304925639 161.414602859196 756.860007674818</t>
  </si>
  <si>
    <t>-532.291275370612 15.9946556281644 -228.292779940115</t>
  </si>
  <si>
    <t>-440.277166795558 -22.933379311665 216.314551111557</t>
  </si>
  <si>
    <t>-593.765304883872 -98.3179933464824 653.837480864499</t>
  </si>
  <si>
    <t>-444.248988103858 -145.951766611261 733.332144477262</t>
  </si>
  <si>
    <t>9763-20170724T164358.189103600.bin</t>
  </si>
  <si>
    <t>-514.988886667359 111.855376987015 -240.260862917203</t>
  </si>
  <si>
    <t>-554.228094108288 105.101342605656 -354.639415265321</t>
  </si>
  <si>
    <t>-568.281148525481 94.1075909237682 -474.523616217037</t>
  </si>
  <si>
    <t>-570.419373259789 82.7189688661433 -583.429915163406</t>
  </si>
  <si>
    <t>-562.061145658009 70.0822367428008 -691.897888501315</t>
  </si>
  <si>
    <t>-539.543101739222 51.3886973105759 -841.375281487701</t>
  </si>
  <si>
    <t>-494.199416178533 43.0687753650367 -932.247329189359</t>
  </si>
  <si>
    <t>-544.894110930357 90.9524276559554 -778.454750327609</t>
  </si>
  <si>
    <t>-539.366212567019 237.481109679859 -767.347363996247</t>
  </si>
  <si>
    <t>-466.876045051664 287.993682038354 -463.406944614274</t>
  </si>
  <si>
    <t>-287.570964178551 198.669479601039 -297.536615985051</t>
  </si>
  <si>
    <t>-554.119135867274 28.3675836675351 -772.017645916022</t>
  </si>
  <si>
    <t>-497.407150101596 207.225624291948 -251.674780061775</t>
  </si>
  <si>
    <t>-484.456349049631 201.041437918701 203.793834409767</t>
  </si>
  <si>
    <t>-493.948636063759 169.981343459127 672.618463058234</t>
  </si>
  <si>
    <t>-339.800543329103 161.864497523872 756.97489798325</t>
  </si>
  <si>
    <t>-532.441753594327 16.4611989995761 -228.221875990239</t>
  </si>
  <si>
    <t>-440.348280506303 -22.767678366257 216.342558715699</t>
  </si>
  <si>
    <t>-593.781178983706 -98.4054677552053 653.847471312427</t>
  </si>
  <si>
    <t>-444.255616569995 -145.973853227787 733.364021834764</t>
  </si>
  <si>
    <t>9763-20170724T164358.221205900.bin</t>
  </si>
  <si>
    <t>-514.987439552286 112.2356651816 -240.177217294808</t>
  </si>
  <si>
    <t>-554.460713474537 105.674381192295 -354.486440597574</t>
  </si>
  <si>
    <t>-568.705483859017 94.8352748392702 -474.362219599721</t>
  </si>
  <si>
    <t>-570.995438874102 83.5715632089941 -583.278239806695</t>
  </si>
  <si>
    <t>-562.765635959089 71.0458233436173 -691.768993646577</t>
  </si>
  <si>
    <t>-540.401106402904 52.4931307279629 -841.286979885478</t>
  </si>
  <si>
    <t>-495.093131682711 44.1544359374854 -932.17515992451</t>
  </si>
  <si>
    <t>-545.649951436655 91.9926591031395 -778.317501739249</t>
  </si>
  <si>
    <t>-539.816560842863 238.508408189987 -767.189318146505</t>
  </si>
  <si>
    <t>-467.856429629152 288.934769545598 -463.10853584597</t>
  </si>
  <si>
    <t>-289.091090618726 198.614411846203 -297.195151131983</t>
  </si>
  <si>
    <t>-554.943486982915 29.4116398353538 -771.942364056643</t>
  </si>
  <si>
    <t>-497.314010595039 207.842854171045 -251.517650385736</t>
  </si>
  <si>
    <t>-483.526669024114 201.357918254599 203.92229419227</t>
  </si>
  <si>
    <t>-494.064161265211 170.25378617653 672.643331991775</t>
  </si>
  <si>
    <t>-339.993470907586 161.552617801263 757.082733064126</t>
  </si>
  <si>
    <t>-532.572919335783 16.5597248390879 -228.176751289878</t>
  </si>
  <si>
    <t>-440.472840603427 -22.8420857333771 216.371025663691</t>
  </si>
  <si>
    <t>-593.809373404448 -98.9508328560303 653.839258182052</t>
  </si>
  <si>
    <t>-443.757244684133 -144.85640287225 733.341026667744</t>
  </si>
  <si>
    <t>9763-20170724T164358.290914000.bin</t>
  </si>
  <si>
    <t>-515.006599711823 113.486586499953 -240.054725635143</t>
  </si>
  <si>
    <t>-554.73875030423 107.210245120483 -354.290261064016</t>
  </si>
  <si>
    <t>-569.279471326398 96.6727841469892 -474.157320132084</t>
  </si>
  <si>
    <t>-571.84701176891 85.6937344913604 -583.096370267567</t>
  </si>
  <si>
    <t>-563.901659972209 73.4678410017297 -691.642418461233</t>
  </si>
  <si>
    <t>-541.936877619319 55.350838912686 -841.273144810013</t>
  </si>
  <si>
    <t>-496.736689607648 47.1465396084915 -932.227061592756</t>
  </si>
  <si>
    <t>-547.056013940553 94.6718159364668 -778.181292472874</t>
  </si>
  <si>
    <t>-541.327150522312 241.187697899825 -766.966498678444</t>
  </si>
  <si>
    <t>-469.814251034668 290.417311674855 -462.584293310655</t>
  </si>
  <si>
    <t>-291.20438269857 199.161594507228 -297.015660956141</t>
  </si>
  <si>
    <t>-556.255253895493 32.0622834042445 -771.95109469041</t>
  </si>
  <si>
    <t>-356.080162854545 2.2219851357553 -458.933069900115</t>
  </si>
  <si>
    <t>-497.19714450341 209.132081787219 -251.27707744765</t>
  </si>
  <si>
    <t>-481.895141755235 201.794330961097 204.101558911167</t>
  </si>
  <si>
    <t>-493.923300217396 169.677149360493 672.635121937213</t>
  </si>
  <si>
    <t>-339.966994780635 161.16109969503 757.301759789929</t>
  </si>
  <si>
    <t>-532.693242468024 17.8417666663152 -228.161936233177</t>
  </si>
  <si>
    <t>-440.591751523013 -22.0493059644662 216.341959641312</t>
  </si>
  <si>
    <t>-593.79736251254 -99.0570217223025 653.727893954263</t>
  </si>
  <si>
    <t>-443.995775709651 -145.536888688889 733.368390588986</t>
  </si>
  <si>
    <t>9763-20170724T164358.322585000.bin</t>
  </si>
  <si>
    <t>-515.090209545991 114.440495701281 -240.076068577577</t>
  </si>
  <si>
    <t>-554.89687137585 108.237445092878 -354.289652248052</t>
  </si>
  <si>
    <t>-569.556653797245 97.8274282953697 -474.153340767211</t>
  </si>
  <si>
    <t>-572.248474149009 86.9891635527971 -583.103581059689</t>
  </si>
  <si>
    <t>-564.442924279512 74.931693364283 -691.678545833484</t>
  </si>
  <si>
    <t>-542.686973195263 57.0790169857083 -841.371473351889</t>
  </si>
  <si>
    <t>-497.550313863032 49.0097702652722 -932.368986259935</t>
  </si>
  <si>
    <t>-547.764301230729 96.2945243006603 -778.210574427239</t>
  </si>
  <si>
    <t>-542.161788215291 242.804772026987 -766.915353592728</t>
  </si>
  <si>
    <t>-470.555119393688 291.163531596164 -462.415587641009</t>
  </si>
  <si>
    <t>-291.985660853703 199.221437453063 -297.183479196301</t>
  </si>
  <si>
    <t>-556.862338520908 33.6620181320195 -772.063258557503</t>
  </si>
  <si>
    <t>-356.455924768718 4.00193108176643 -459.36842279663</t>
  </si>
  <si>
    <t>-497.242822653818 210.124308960253 -251.330249083809</t>
  </si>
  <si>
    <t>-481.477642385846 202.338699200614 204.025175298723</t>
  </si>
  <si>
    <t>-493.773192298483 169.891591471716 672.37720203367</t>
  </si>
  <si>
    <t>-340.140733993239 159.888972661779 757.468533669089</t>
  </si>
  <si>
    <t>-532.772545772562 18.7916748683369 -228.208745664269</t>
  </si>
  <si>
    <t>-440.55931548507 -21.306885426869 216.253242133751</t>
  </si>
  <si>
    <t>-593.747520132478 -98.8956003745547 653.545323913916</t>
  </si>
  <si>
    <t>-444.217824401443 -146.018851086015 733.31859275091</t>
  </si>
  <si>
    <t>9763-20170724T164358.388261300.bin</t>
  </si>
  <si>
    <t>-514.72939036046 115.850070853695 -240.686464657129</t>
  </si>
  <si>
    <t>-554.654442184862 109.611173246351 -354.85691586186</t>
  </si>
  <si>
    <t>-569.494879763142 99.3109451092334 -474.707808438578</t>
  </si>
  <si>
    <t>-572.373513629874 88.6407101660293 -583.669673815204</t>
  </si>
  <si>
    <t>-564.776508454708 76.825138570141 -692.286142385593</t>
  </si>
  <si>
    <t>-543.331189498207 59.3903430077091 -842.073107438345</t>
  </si>
  <si>
    <t>-498.351659615243 51.6330103267241 -933.175498718473</t>
  </si>
  <si>
    <t>-548.384509905896 98.4431843616366 -778.809743082534</t>
  </si>
  <si>
    <t>-543.113964874576 244.948284584232 -767.366564809762</t>
  </si>
  <si>
    <t>-471.060221029734 292.079301362114 -462.779751067817</t>
  </si>
  <si>
    <t>-292.46467094658 198.73778904889 -298.362328684586</t>
  </si>
  <si>
    <t>-557.255730543162 35.7662718576982 -772.784363343912</t>
  </si>
  <si>
    <t>-356.642947009865 6.35698439686297 -460.991484794877</t>
  </si>
  <si>
    <t>-496.601546066813 211.412467883982 -252.205161066268</t>
  </si>
  <si>
    <t>-480.674613006208 202.937236173101 203.132367350148</t>
  </si>
  <si>
    <t>-492.610013514119 169.768354487911 671.161495436252</t>
  </si>
  <si>
    <t>-339.80673490567 159.569107115015 757.709969304191</t>
  </si>
  <si>
    <t>-532.590506302028 20.1708010314896 -228.631140023519</t>
  </si>
  <si>
    <t>-439.802632359421 -20.5791990078983 215.652013415548</t>
  </si>
  <si>
    <t>-593.540696825567 -99.2552779696949 652.733517543494</t>
  </si>
  <si>
    <t>-444.120409067393 -145.655695968699 733.132936881128</t>
  </si>
  <si>
    <t>9763-20170724T164358.419848400.bin</t>
  </si>
  <si>
    <t>-514.433317753264 116.564387513673 -241.148235689865</t>
  </si>
  <si>
    <t>-554.417319410502 110.260284432367 -355.294386616007</t>
  </si>
  <si>
    <t>-569.345010150456 100.008486947034 -475.138525403699</t>
  </si>
  <si>
    <t>-572.313756569247 89.4318878505035 -584.107347476174</t>
  </si>
  <si>
    <t>-564.817463490615 77.7618183804524 -692.746330277425</t>
  </si>
  <si>
    <t>-543.522335342342 60.584687376787 -842.584553907728</t>
  </si>
  <si>
    <t>-498.624305462042 53.0275010555632 -933.74396491147</t>
  </si>
  <si>
    <t>-548.566186343776 99.5354489080201 -779.25744913867</t>
  </si>
  <si>
    <t>-543.421656013814 246.037615126073 -767.691891156015</t>
  </si>
  <si>
    <t>-471.022057064912 292.536531667116 -463.089879914931</t>
  </si>
  <si>
    <t>-292.417577633305 198.713534665636 -298.956571665311</t>
  </si>
  <si>
    <t>-557.323284704303 36.8346407010654 -773.31428061593</t>
  </si>
  <si>
    <t>-356.372951678276 7.87629619286436 -461.601752720905</t>
  </si>
  <si>
    <t>-496.253718144333 212.13782748158 -252.749771886519</t>
  </si>
  <si>
    <t>-480.502761337579 203.311178649206 202.587150708089</t>
  </si>
  <si>
    <t>-492.160334198336 169.881512311614 670.676333885142</t>
  </si>
  <si>
    <t>-339.669509583755 159.666122069886 757.772294587336</t>
  </si>
  <si>
    <t>-532.420654414784 20.9795983889298 -228.9489547482</t>
  </si>
  <si>
    <t>-439.348548917612 -20.2726581331855 215.228397798997</t>
  </si>
  <si>
    <t>-593.440295570261 -99.4505623194294 652.231374949113</t>
  </si>
  <si>
    <t>-444.168257378284 -145.720038943115 732.980998047314</t>
  </si>
  <si>
    <t>9763-20170724T164358.484523000.bin</t>
  </si>
  <si>
    <t>-514.162395854625 118.257838849669 -241.693571496238</t>
  </si>
  <si>
    <t>-553.9717096858 111.696889590802 -355.886412740613</t>
  </si>
  <si>
    <t>-568.854709516506 101.414104442673 -475.733555923089</t>
  </si>
  <si>
    <t>-571.840364448662 90.9046070123055 -584.708190335101</t>
  </si>
  <si>
    <t>-564.419196946267 79.3973033677004 -693.369781057051</t>
  </si>
  <si>
    <t>-543.28856076602 62.5462830313188 -843.268254061615</t>
  </si>
  <si>
    <t>-498.527793531488 55.2921035550553 -934.519824623357</t>
  </si>
  <si>
    <t>-548.374941764439 101.372894578823 -779.868455327381</t>
  </si>
  <si>
    <t>-543.723022275717 247.884893655851 -768.089579220399</t>
  </si>
  <si>
    <t>-470.661155401403 293.62370073002 -463.530762559301</t>
  </si>
  <si>
    <t>-292.028634392384 198.52267799167 -300.165322054435</t>
  </si>
  <si>
    <t>-556.901507499764 38.6317450310873 -774.017273270262</t>
  </si>
  <si>
    <t>-355.498153323641 10.6799372403858 -462.053256050057</t>
  </si>
  <si>
    <t>-496.174025778477 213.988452767437 -253.289147002367</t>
  </si>
  <si>
    <t>-481.031982563193 204.54852090711 202.056044648532</t>
  </si>
  <si>
    <t>-491.996134647675 170.325257386437 670.381465414908</t>
  </si>
  <si>
    <t>-339.649391490941 159.848716296584 757.698286909443</t>
  </si>
  <si>
    <t>-532.027498713364 22.5999656225197 -229.414977276513</t>
  </si>
  <si>
    <t>-438.783377902511 -19.3085075240764 214.664864904889</t>
  </si>
  <si>
    <t>-593.387599577227 -99.7288518907515 651.444364283282</t>
  </si>
  <si>
    <t>-444.167974955464 -145.797741284258 732.405212544865</t>
  </si>
  <si>
    <t>9763-20170724T164358.519651400.bin</t>
  </si>
  <si>
    <t>-514.107419747555 119.224968911304 -241.80859997495</t>
  </si>
  <si>
    <t>-553.876381994737 112.552630640353 -356.008867905026</t>
  </si>
  <si>
    <t>-568.728293209912 102.229738164727 -475.856362654754</t>
  </si>
  <si>
    <t>-571.690799103974 91.7141517448171 -584.831168581227</t>
  </si>
  <si>
    <t>-564.252011923939 80.2309782784058 -693.494208411583</t>
  </si>
  <si>
    <t>-543.102906120028 63.4452312349911 -843.39736387883</t>
  </si>
  <si>
    <t>-498.373876255567 56.2847083570458 -934.671860068672</t>
  </si>
  <si>
    <t>-548.251212820886 102.25079483604 -779.989633690435</t>
  </si>
  <si>
    <t>-543.847870445264 248.763491847071 -768.124259322905</t>
  </si>
  <si>
    <t>-470.542775965273 294.358245020705 -463.602192064992</t>
  </si>
  <si>
    <t>-292.034509816349 198.218411129908 -300.709703403315</t>
  </si>
  <si>
    <t>-556.670262264726 39.4939992674648 -774.150134883935</t>
  </si>
  <si>
    <t>-355.197986775199 11.9527256702253 -462.207833758642</t>
  </si>
  <si>
    <t>-496.251275136801 214.86863638937 -253.406412956386</t>
  </si>
  <si>
    <t>-481.297360350119 205.109513935099 201.938299503812</t>
  </si>
  <si>
    <t>-491.902609166845 170.252221166276 670.253278516249</t>
  </si>
  <si>
    <t>-339.518354264019 160.22158680307 757.557002604463</t>
  </si>
  <si>
    <t>-531.866064272435 23.7069305253025 -229.496636296028</t>
  </si>
  <si>
    <t>-438.482537796672 -18.2768829086138 214.546818472164</t>
  </si>
  <si>
    <t>-593.364618965749 -99.2214804890789 651.091374152901</t>
  </si>
  <si>
    <t>-444.455200400522 -146.309417421522 732.037180346216</t>
  </si>
  <si>
    <t>9763-20170724T164358.589341900.bin</t>
  </si>
  <si>
    <t>-513.876195786278 120.622326072784 -241.779132834482</t>
  </si>
  <si>
    <t>-553.624985415264 113.63875340925 -355.967803753089</t>
  </si>
  <si>
    <t>-568.478091075608 103.235334200021 -475.808159322052</t>
  </si>
  <si>
    <t>-571.452992000287 92.7408734561201 -584.784636214858</t>
  </si>
  <si>
    <t>-564.038778448405 81.3716163998614 -693.461327723879</t>
  </si>
  <si>
    <t>-542.937281087212 64.8395206781804 -843.399434931054</t>
  </si>
  <si>
    <t>-498.24784851991 57.8676693658155 -934.707820853224</t>
  </si>
  <si>
    <t>-548.172118405952 103.550343716726 -779.94091693115</t>
  </si>
  <si>
    <t>-544.223872800282 250.043069050724 -767.842159063585</t>
  </si>
  <si>
    <t>-470.76315665862 295.092258968682 -463.27641213004</t>
  </si>
  <si>
    <t>-292.010500333301 197.943999020204 -301.252436752822</t>
  </si>
  <si>
    <t>-556.376007621255 40.7585480732027 -774.171982673377</t>
  </si>
  <si>
    <t>-354.651551712826 13.6871822297588 -462.564336963796</t>
  </si>
  <si>
    <t>-496.183256094701 216.175820670778 -253.429582476874</t>
  </si>
  <si>
    <t>-481.440265354925 206.009212109197 201.91314320399</t>
  </si>
  <si>
    <t>-491.799039368909 169.865031537812 670.201449813118</t>
  </si>
  <si>
    <t>-339.24547806492 160.99578565395 757.335004139914</t>
  </si>
  <si>
    <t>-531.376235186 25.0814394661218 -229.368006083071</t>
  </si>
  <si>
    <t>-437.680094089207 -17.1048707717343 214.590295158182</t>
  </si>
  <si>
    <t>-593.363989271029 -99.4879922692698 650.509357465633</t>
  </si>
  <si>
    <t>-443.878761901244 -145.104404498284 731.236210823291</t>
  </si>
  <si>
    <t>9763-20170724T164358.622018600.bin</t>
  </si>
  <si>
    <t>-513.679954853694 121.386686986881 -241.687905617811</t>
  </si>
  <si>
    <t>-553.436520511387 114.286616088477 -355.866801970626</t>
  </si>
  <si>
    <t>-568.300839463111 103.878510306718 -475.705429498233</t>
  </si>
  <si>
    <t>-571.287723726751 93.4290913700831 -584.685763943488</t>
  </si>
  <si>
    <t>-563.887711914105 82.1558624484857 -693.373467054074</t>
  </si>
  <si>
    <t>-542.808260559576 65.8115715764059 -843.335304178732</t>
  </si>
  <si>
    <t>-498.135580449143 58.9912347999809 -934.663297989069</t>
  </si>
  <si>
    <t>-548.107187290923 104.451378775947 -779.838724539271</t>
  </si>
  <si>
    <t>-544.584685454219 250.946673829897 -767.575603123236</t>
  </si>
  <si>
    <t>-470.897265572892 295.879029221112 -463.047425779959</t>
  </si>
  <si>
    <t>-292.015508456194 198.339147103527 -301.401683438857</t>
  </si>
  <si>
    <t>-556.163346927214 41.6354208253207 -774.124823282547</t>
  </si>
  <si>
    <t>-354.255411084453 14.8396456045674 -462.65726281582</t>
  </si>
  <si>
    <t>-496.137053304582 216.883062405043 -253.366723052495</t>
  </si>
  <si>
    <t>-481.504271562513 206.482004462434 201.974275273294</t>
  </si>
  <si>
    <t>-491.841851553322 169.785796978266 670.259617226548</t>
  </si>
  <si>
    <t>-339.191081994505 161.22282296069 757.253543960612</t>
  </si>
  <si>
    <t>-531.042555998809 25.9985445086055 -229.255253555686</t>
  </si>
  <si>
    <t>-437.238969002028 -16.3627927414885 214.6637349972</t>
  </si>
  <si>
    <t>-593.330045344513 -99.2514097601511 650.267441511112</t>
  </si>
  <si>
    <t>-443.912332353473 -145.180701693143 730.941910954338</t>
  </si>
  <si>
    <t>9763-20170724T164358.688212500.bin</t>
  </si>
  <si>
    <t>-513.49914020574 123.08104860681 -241.481694386485</t>
  </si>
  <si>
    <t>-553.223615359007 115.791421011813 -355.659772549417</t>
  </si>
  <si>
    <t>-568.064164032911 105.415612689626 -475.504051099927</t>
  </si>
  <si>
    <t>-571.034452230968 95.0940052327807 -584.497127018789</t>
  </si>
  <si>
    <t>-563.623729214639 84.0514388407201 -693.207818567673</t>
  </si>
  <si>
    <t>-542.536062468584 68.1385252115811 -843.214806534279</t>
  </si>
  <si>
    <t>-497.935621017718 61.590653129724 -934.597999335518</t>
  </si>
  <si>
    <t>-547.974379646978 106.610885691004 -779.628384576077</t>
  </si>
  <si>
    <t>-545.098197446295 253.087909787209 -766.918264494202</t>
  </si>
  <si>
    <t>-471.304659533972 297.419731761743 -462.327574383346</t>
  </si>
  <si>
    <t>-292.272936468852 198.682651468137 -301.577259196599</t>
  </si>
  <si>
    <t>-555.759049693114 43.7481126977542 -774.054171725891</t>
  </si>
  <si>
    <t>-352.882212580084 16.9375768023046 -462.516374926329</t>
  </si>
  <si>
    <t>-496.154144235602 218.594359914152 -253.180156720174</t>
  </si>
  <si>
    <t>-481.970614671365 207.792724525409 202.165792134605</t>
  </si>
  <si>
    <t>-492.136665406443 170.170510806384 670.387114356986</t>
  </si>
  <si>
    <t>-339.387660344274 160.53431359355 757.095856361026</t>
  </si>
  <si>
    <t>-530.687672306397 27.5899750138866 -229.084012510457</t>
  </si>
  <si>
    <t>-436.737395051828 -14.8323373631589 214.798105583394</t>
  </si>
  <si>
    <t>-593.219043341571 -99.0802030126323 649.899513960611</t>
  </si>
  <si>
    <t>-443.850237833913 -145.20631753736 730.552132106509</t>
  </si>
  <si>
    <t>9763-20170724T164358.720813700.bin</t>
  </si>
  <si>
    <t>-513.411035321393 123.683954929224 -241.441882846446</t>
  </si>
  <si>
    <t>-553.095103803137 116.329322772498 -355.629865959482</t>
  </si>
  <si>
    <t>-567.91752627702 105.963046257841 -475.477209837656</t>
  </si>
  <si>
    <t>-570.881611072098 95.6826218584352 -584.474318054733</t>
  </si>
  <si>
    <t>-563.475198403943 84.7145555659101 -693.192786759098</t>
  </si>
  <si>
    <t>-542.404723041182 68.940686701125 -843.216985782358</t>
  </si>
  <si>
    <t>-497.879651618673 62.4709927958691 -934.642583418869</t>
  </si>
  <si>
    <t>-547.88753790163 107.359796223736 -779.602173129311</t>
  </si>
  <si>
    <t>-545.19270360902 253.836337483635 -766.766333522689</t>
  </si>
  <si>
    <t>-471.590344528774 297.589078781449 -462.045840919037</t>
  </si>
  <si>
    <t>-292.493913822093 198.554728098179 -301.55053125787</t>
  </si>
  <si>
    <t>-555.567927761504 44.4805274420107 -774.069688453763</t>
  </si>
  <si>
    <t>-352.745822337237 17.7598460949268 -463.199526231217</t>
  </si>
  <si>
    <t>-496.132467760027 219.127566027721 -253.184645119393</t>
  </si>
  <si>
    <t>-482.103136119206 208.125239346576 202.161144621094</t>
  </si>
  <si>
    <t>-492.102597725804 170.29634420707 670.293209287834</t>
  </si>
  <si>
    <t>-339.351159846854 161.005621104802 757.035191727278</t>
  </si>
  <si>
    <t>-530.510924393006 28.2217426517617 -229.051912743014</t>
  </si>
  <si>
    <t>-436.562868544973 -14.4046651003628 214.81107352117</t>
  </si>
  <si>
    <t>-593.150087233628 -99.1163203716101 649.746771710876</t>
  </si>
  <si>
    <t>-444.036506563452 -145.893510993764 730.496758766608</t>
  </si>
  <si>
    <t>9763-20170724T164358.787507000.bin</t>
  </si>
  <si>
    <t>-513.033151212029 124.274984342919 -241.757313105501</t>
  </si>
  <si>
    <t>-552.716021561479 116.911036108845 -355.945049567669</t>
  </si>
  <si>
    <t>-567.591119641083 106.607228404347 -475.79134474414</t>
  </si>
  <si>
    <t>-570.625088351411 96.4167938753263 -584.795050040175</t>
  </si>
  <si>
    <t>-563.310556579315 85.574225354436 -693.532309955409</t>
  </si>
  <si>
    <t>-542.389958870791 70.0137123377799 -843.599610318003</t>
  </si>
  <si>
    <t>-497.987690327957 63.6411256876085 -935.091708968866</t>
  </si>
  <si>
    <t>-547.877615838785 108.349611193134 -779.935190824094</t>
  </si>
  <si>
    <t>-545.301688675613 254.806552457866 -766.918410416198</t>
  </si>
  <si>
    <t>-472.05961043271 297.382101768615 -461.94436218072</t>
  </si>
  <si>
    <t>-293.093719433846 197.246952159032 -301.987471133693</t>
  </si>
  <si>
    <t>-555.415737689232 45.447830771402 -774.46369766319</t>
  </si>
  <si>
    <t>-352.209873893527 19.145171200269 -463.182673541808</t>
  </si>
  <si>
    <t>-495.744221310244 219.724899179731 -253.533885718274</t>
  </si>
  <si>
    <t>-481.769254549944 208.3874396454 201.805307269954</t>
  </si>
  <si>
    <t>-491.749768089962 170.299300029227 669.886720695923</t>
  </si>
  <si>
    <t>-339.156330453325 161.24741704318 756.931736804565</t>
  </si>
  <si>
    <t>-530.112878024074 28.7009227761844 -229.386576555146</t>
  </si>
  <si>
    <t>-436.43866915163 -14.0772457304441 214.519801071564</t>
  </si>
  <si>
    <t>-592.908748819671 -99.2972107037162 649.388016958283</t>
  </si>
  <si>
    <t>-444.123116449695 -146.064153988754 730.746469048655</t>
  </si>
  <si>
    <t>9763-20170724T164358.821139600.bin</t>
  </si>
  <si>
    <t>-512.876303369617 124.277693062492 -241.943504727161</t>
  </si>
  <si>
    <t>-552.482286721423 116.899317952925 -356.156973311666</t>
  </si>
  <si>
    <t>-567.347553176552 106.590101747196 -476.00409090181</t>
  </si>
  <si>
    <t>-570.400993749742 96.4027506029683 -585.007435437241</t>
  </si>
  <si>
    <t>-563.133882731296 85.5739970762269 -693.749240303925</t>
  </si>
  <si>
    <t>-542.307965514819 70.046170645436 -843.833090507933</t>
  </si>
  <si>
    <t>-497.931117711044 63.6830507118473 -935.338338469566</t>
  </si>
  <si>
    <t>-547.808368880485 108.373899207646 -780.164849458286</t>
  </si>
  <si>
    <t>-545.407188485601 254.847045322456 -767.140037119328</t>
  </si>
  <si>
    <t>-472.17969903798 296.81217575337 -462.078001835297</t>
  </si>
  <si>
    <t>-293.211786001126 196.442864524255 -302.270146388796</t>
  </si>
  <si>
    <t>-555.237137868519 45.4596451982941 -774.686487451117</t>
  </si>
  <si>
    <t>-352.037374144125 19.8847316485583 -463.09068331165</t>
  </si>
  <si>
    <t>-495.533054551719 219.854832635097 -253.725875391488</t>
  </si>
  <si>
    <t>-481.609327297732 208.407697893268 201.612226203117</t>
  </si>
  <si>
    <t>-491.612741739659 170.39439563219 669.717934943614</t>
  </si>
  <si>
    <t>-339.10078323742 161.254411615736 756.896388000833</t>
  </si>
  <si>
    <t>-529.959502206211 28.6072194380988 -229.59161383688</t>
  </si>
  <si>
    <t>-436.475810668922 -14.2126942399313 214.350786058305</t>
  </si>
  <si>
    <t>-592.803046211559 -99.5599246559937 649.274802227131</t>
  </si>
  <si>
    <t>-444.015505176056 -145.742067260622 730.963080401366</t>
  </si>
  <si>
    <t>9763-20170724T164358.889326600.bin</t>
  </si>
  <si>
    <t>-512.806732409577 124.205257513857 -242.110455954707</t>
  </si>
  <si>
    <t>-552.466374676864 116.812217184175 -356.30434182877</t>
  </si>
  <si>
    <t>-567.316853072534 106.428464970046 -476.146735489516</t>
  </si>
  <si>
    <t>-570.326608464326 96.1615948745574 -585.143922745962</t>
  </si>
  <si>
    <t>-562.985363580946 85.2485748839727 -693.872454432383</t>
  </si>
  <si>
    <t>-542.025012014353 69.6054740128359 -843.925565632941</t>
  </si>
  <si>
    <t>-497.62187853757 63.2748368027289 -935.420306940182</t>
  </si>
  <si>
    <t>-547.679088867569 107.992067363194 -780.30617413077</t>
  </si>
  <si>
    <t>-545.781723958709 254.461941710235 -767.341506757235</t>
  </si>
  <si>
    <t>-472.621845565621 296.191888576641 -462.230925662141</t>
  </si>
  <si>
    <t>-293.508473309409 195.473776034699 -302.805974736313</t>
  </si>
  <si>
    <t>-554.919451031083 45.0620631977246 -774.757159079973</t>
  </si>
  <si>
    <t>-351.444888546842 19.8284857476671 -462.662585736297</t>
  </si>
  <si>
    <t>-495.578987544154 219.919957014867 -253.861114751614</t>
  </si>
  <si>
    <t>-481.614433688546 208.334679194189 201.472151583331</t>
  </si>
  <si>
    <t>-491.503886193782 170.205803490704 669.666128586025</t>
  </si>
  <si>
    <t>-338.985400484458 161.603921672586 756.887756636001</t>
  </si>
  <si>
    <t>-529.926062535186 28.5323495795736 -229.65302259219</t>
  </si>
  <si>
    <t>-436.356010673579 -14.3995284268525 214.260441473711</t>
  </si>
  <si>
    <t>-592.777781527593 -99.7143985488827 649.215484982416</t>
  </si>
  <si>
    <t>-443.902842381416 -145.39656047384 731.025613787971</t>
  </si>
  <si>
    <t>9763-20170724T164358.919424900.bin</t>
  </si>
  <si>
    <t>-512.89986082819 124.295985786403 -242.133425291965</t>
  </si>
  <si>
    <t>-552.56834347542 116.842036288804 -356.320322634829</t>
  </si>
  <si>
    <t>-567.360990017085 106.378804621894 -476.162918996267</t>
  </si>
  <si>
    <t>-570.290964798715 96.0343520563877 -585.154890967769</t>
  </si>
  <si>
    <t>-562.842773934912 85.0388712206797 -693.867674654933</t>
  </si>
  <si>
    <t>-541.706618692309 69.2770176618804 -843.883832255275</t>
  </si>
  <si>
    <t>-497.174586195553 62.9218786059527 -935.314180201786</t>
  </si>
  <si>
    <t>-547.444370016308 107.714847847686 -780.30296536519</t>
  </si>
  <si>
    <t>-545.61232955064 254.199406627057 -767.439128227762</t>
  </si>
  <si>
    <t>-472.852157733331 296.003970523857 -462.243215446385</t>
  </si>
  <si>
    <t>-293.693013585731 195.197447857351 -302.925713762207</t>
  </si>
  <si>
    <t>-554.673028312065 44.7874105713418 -774.709825816954</t>
  </si>
  <si>
    <t>-351.62183640841 20.0552443684377 -462.264483107613</t>
  </si>
  <si>
    <t>-495.658251380993 219.983971980171 -253.900227605679</t>
  </si>
  <si>
    <t>-481.767525040659 208.47864119128 201.43733219698</t>
  </si>
  <si>
    <t>-491.524694379666 170.374852960939 669.64299654794</t>
  </si>
  <si>
    <t>-339.008383827545 161.594698840679 756.850717813312</t>
  </si>
  <si>
    <t>-530.013456702583 28.7045613224003 -229.6096378595</t>
  </si>
  <si>
    <t>-436.29893398296 -14.2383891233706 214.272290665424</t>
  </si>
  <si>
    <t>-592.796460651351 -99.5147123014486 649.186536483435</t>
  </si>
  <si>
    <t>-443.868954274978 -145.200070214448 730.899257724159</t>
  </si>
  <si>
    <t>9763-20170724T164358.984603000.bin</t>
  </si>
  <si>
    <t>-513.048805844872 124.426544829428 -242.071600340894</t>
  </si>
  <si>
    <t>-552.647628511213 116.878830599072 -356.276542311945</t>
  </si>
  <si>
    <t>-567.3685949567 106.344369457615 -476.12173720237</t>
  </si>
  <si>
    <t>-570.234664910059 95.9393261360747 -585.109697947736</t>
  </si>
  <si>
    <t>-562.72458463138 84.8838655751563 -693.812183662728</t>
  </si>
  <si>
    <t>-541.50470912125 69.0361773448855 -843.807545177893</t>
  </si>
  <si>
    <t>-496.793426240278 62.562948539368 -935.141940463569</t>
  </si>
  <si>
    <t>-547.245792029556 107.507068578573 -780.246917952538</t>
  </si>
  <si>
    <t>-545.298770981539 253.985697267112 -767.498138609664</t>
  </si>
  <si>
    <t>-473.116650955154 295.964590695343 -462.188904650822</t>
  </si>
  <si>
    <t>-294.055785847552 195.523779216746 -302.530146541222</t>
  </si>
  <si>
    <t>-554.541794335387 44.5894063195174 -774.631503976194</t>
  </si>
  <si>
    <t>-352.737330348739 21.4216842212382 -462.391184991056</t>
  </si>
  <si>
    <t>-495.934261928471 220.099997442853 -253.886206862204</t>
  </si>
  <si>
    <t>-481.987707962179 208.676786981761 201.451795968197</t>
  </si>
  <si>
    <t>-491.570346780098 170.410361933859 669.67719490482</t>
  </si>
  <si>
    <t>-339.071006046754 161.024866224763 756.851628214777</t>
  </si>
  <si>
    <t>-529.975766098902 28.7732665843013 -229.582086819883</t>
  </si>
  <si>
    <t>-436.426622235188 -13.9182406570034 214.358984393229</t>
  </si>
  <si>
    <t>-592.911527805098 -99.4779486620094 649.232255139966</t>
  </si>
  <si>
    <t>-443.859930022345 -145.380770583331 730.595987892932</t>
  </si>
  <si>
    <t>9763-20170724T164359.020779800.bin</t>
  </si>
  <si>
    <t>-513.109246174364 124.287704154538 -242.036531158356</t>
  </si>
  <si>
    <t>-552.76870409177 116.737878171089 -356.220364751268</t>
  </si>
  <si>
    <t>-567.478730790591 106.204616422338 -476.067070813807</t>
  </si>
  <si>
    <t>-570.304501417064 95.8061244126245 -585.056599649508</t>
  </si>
  <si>
    <t>-562.723754346292 84.7648425859229 -693.755547351274</t>
  </si>
  <si>
    <t>-541.375098679817 68.9471661435394 -843.735737164682</t>
  </si>
  <si>
    <t>-496.571503478552 62.4395555640391 -935.022546642662</t>
  </si>
  <si>
    <t>-547.198493007134 107.408241101146 -780.17663702143</t>
  </si>
  <si>
    <t>-545.398424632366 253.89339196409 -767.396857421751</t>
  </si>
  <si>
    <t>-473.383027077002 295.764283422777 -462.033343265626</t>
  </si>
  <si>
    <t>-294.228266467146 195.756830956422 -302.208228137659</t>
  </si>
  <si>
    <t>-554.443889585636 44.483764472349 -774.571622024267</t>
  </si>
  <si>
    <t>-351.745584697629 20.1473749046149 -462.947600084645</t>
  </si>
  <si>
    <t>-495.975874568027 219.865880625619 -253.822345447712</t>
  </si>
  <si>
    <t>-481.985714037155 208.510592039317 201.515957701473</t>
  </si>
  <si>
    <t>-491.585073522315 170.141497037686 669.77034206909</t>
  </si>
  <si>
    <t>-338.986199127036 161.513209426138 756.848654069869</t>
  </si>
  <si>
    <t>-530.123699509093 28.6806426225798 -229.509533946935</t>
  </si>
  <si>
    <t>-436.475133600344 -13.8368077368186 214.427296264075</t>
  </si>
  <si>
    <t>-592.96345198857 -99.2862118468576 649.266898396779</t>
  </si>
  <si>
    <t>-443.867253372388 -145.425539758729 730.414882051361</t>
  </si>
  <si>
    <t>9763-20170724T164359.088974500.bin</t>
  </si>
  <si>
    <t>-513.234966369376 124.10504201023 -241.913134160743</t>
  </si>
  <si>
    <t>-552.793637337839 116.611926941476 -356.135534847266</t>
  </si>
  <si>
    <t>-567.301713590916 106.013227323618 -476.001140003638</t>
  </si>
  <si>
    <t>-569.903824575138 95.5073815531236 -584.986088826718</t>
  </si>
  <si>
    <t>-562.059656759829 84.3120169469518 -693.650526362633</t>
  </si>
  <si>
    <t>-540.30502386317 68.232552129411 -843.544553883666</t>
  </si>
  <si>
    <t>-495.352333475088 61.5895324295086 -934.748107213864</t>
  </si>
  <si>
    <t>-546.306468070333 106.80511486313 -780.069679971009</t>
  </si>
  <si>
    <t>-544.80671783545 253.285447880759 -767.276845273795</t>
  </si>
  <si>
    <t>-473.249174716143 295.184572581774 -461.809684806732</t>
  </si>
  <si>
    <t>-293.65046174208 196.441914564206 -301.696549065372</t>
  </si>
  <si>
    <t>-553.555025954218 43.8893088596736 -774.372519404095</t>
  </si>
  <si>
    <t>-348.583719333638 15.4055480188155 -462.417434783068</t>
  </si>
  <si>
    <t>-496.168234261831 219.696103302398 -253.597051350325</t>
  </si>
  <si>
    <t>-482.205133698323 208.398599088278 201.743535773261</t>
  </si>
  <si>
    <t>-491.913325171762 170.347723887302 670.045705910067</t>
  </si>
  <si>
    <t>-339.237419229589 161.108086414384 756.926030316196</t>
  </si>
  <si>
    <t>-530.07135756714 28.5656341850212 -229.557244486272</t>
  </si>
  <si>
    <t>-436.863994499706 -13.8739596644314 214.479911509764</t>
  </si>
  <si>
    <t>-593.047970013792 -99.1771311939773 649.391889912018</t>
  </si>
  <si>
    <t>-443.787132990908 -145.354054344196 730.215240746294</t>
  </si>
  <si>
    <t>9763-20170724T164359.122058400.bin</t>
  </si>
  <si>
    <t>-513.268017216998 123.721679604896 -241.861323328456</t>
  </si>
  <si>
    <t>-552.766822908232 116.267951602842 -356.107181634869</t>
  </si>
  <si>
    <t>-567.190606069951 105.653403863563 -475.981454371108</t>
  </si>
  <si>
    <t>-569.707250475525 95.1070341367339 -584.964368350851</t>
  </si>
  <si>
    <t>-561.768714139045 83.8427651291081 -693.615026422308</t>
  </si>
  <si>
    <t>-539.874686125662 67.6366778546195 -843.474912359961</t>
  </si>
  <si>
    <t>-494.819771099367 60.9220566583931 -934.622864577191</t>
  </si>
  <si>
    <t>-545.891074204167 106.258408273015 -780.031384033946</t>
  </si>
  <si>
    <t>-544.30425680298 252.755013363217 -767.301002416268</t>
  </si>
  <si>
    <t>-473.258107799971 294.712489859581 -461.722584488044</t>
  </si>
  <si>
    <t>-293.324590883936 196.873655329766 -301.430494553721</t>
  </si>
  <si>
    <t>-553.233225036026 43.3563954235097 -774.301721978319</t>
  </si>
  <si>
    <t>-347.963364890145 12.5264524628159 -464.383349379409</t>
  </si>
  <si>
    <t>-496.226827890857 219.21758710223 -253.497184590572</t>
  </si>
  <si>
    <t>-482.286724005237 207.932854475544 201.844444126526</t>
  </si>
  <si>
    <t>-492.00095825 170.113746492614 670.174164012888</t>
  </si>
  <si>
    <t>-339.181128500053 162.0821736119 756.921652100454</t>
  </si>
  <si>
    <t>-530.167037591604 28.2023809646719 -229.530554909279</t>
  </si>
  <si>
    <t>-437.04654473262 -14.1456915564954 214.53348798705</t>
  </si>
  <si>
    <t>-593.074052004583 -99.1971867437948 649.47652679616</t>
  </si>
  <si>
    <t>-443.662224556734 -145.056276284235 730.201804544572</t>
  </si>
  <si>
    <t>9763-20170724T164359.185731200.bin</t>
  </si>
  <si>
    <t>-513.548721884706 123.324194803352 -241.76214921515</t>
  </si>
  <si>
    <t>-552.976278089718 115.876319305486 -356.032876998663</t>
  </si>
  <si>
    <t>-567.214890050099 105.170614978507 -475.921169234923</t>
  </si>
  <si>
    <t>-569.51916766587 94.4888039170679 -584.895612755497</t>
  </si>
  <si>
    <t>-561.325243095241 83.0288720824211 -693.506799489823</t>
  </si>
  <si>
    <t>-539.033412024448 66.4810615440552 -843.270833071575</t>
  </si>
  <si>
    <t>-493.718570518395 59.5241970598735 -934.271549064501</t>
  </si>
  <si>
    <t>-545.042672385497 105.228958775356 -779.903453786635</t>
  </si>
  <si>
    <t>-542.96487067657 251.717488801043 -767.364505942364</t>
  </si>
  <si>
    <t>-472.640966864307 294.235483614402 -461.696460705238</t>
  </si>
  <si>
    <t>-292.039669302208 198.560422691009 -300.850194569927</t>
  </si>
  <si>
    <t>-552.751035599931 42.3769481350086 -774.106257056171</t>
  </si>
  <si>
    <t>-346.581900398625 5.5603667577559 -467.07661755485</t>
  </si>
  <si>
    <t>-496.40077433516 218.89516243266 -253.439861061798</t>
  </si>
  <si>
    <t>-482.505043829924 207.95649227545 201.911486660487</t>
  </si>
  <si>
    <t>-492.300562050947 170.823257974997 670.21934607279</t>
  </si>
  <si>
    <t>-339.569823910215 160.575250349266 756.890001572469</t>
  </si>
  <si>
    <t>-530.496722823246 27.7622739354568 -229.497111330654</t>
  </si>
  <si>
    <t>-437.391523310738 -14.419609036607 214.58589023283</t>
  </si>
  <si>
    <t>-593.08529599046 -99.1451794112061 649.670651204839</t>
  </si>
  <si>
    <t>-443.664986749369 -145.140868390104 730.302314338971</t>
  </si>
  <si>
    <t>9763-20170724T164359.223324700.bin</t>
  </si>
  <si>
    <t>-513.574003494524 122.770820575196 -241.83365008209</t>
  </si>
  <si>
    <t>-553.096969635192 115.388353868065 -356.075516561578</t>
  </si>
  <si>
    <t>-567.357094930128 104.714703945768 -475.964206130818</t>
  </si>
  <si>
    <t>-569.64949896519 94.0417903584158 -584.939892656496</t>
  </si>
  <si>
    <t>-561.412305469929 82.5670242522321 -693.546242300206</t>
  </si>
  <si>
    <t>-539.028645677905 65.9708101100963 -843.291043444664</t>
  </si>
  <si>
    <t>-493.575109793111 58.8563287800934 -934.210530068043</t>
  </si>
  <si>
    <t>-544.983879053811 104.729013029918 -779.925070494125</t>
  </si>
  <si>
    <t>-542.501398168479 251.231219230161 -767.35306853801</t>
  </si>
  <si>
    <t>-472.193207744373 293.770997671147 -461.684517297928</t>
  </si>
  <si>
    <t>-291.260163271686 199.0181509765 -300.665381622429</t>
  </si>
  <si>
    <t>-552.881552044946 41.899232801115 -774.142205757802</t>
  </si>
  <si>
    <t>-346.977554596527 3.29651134051397 -469.965654750682</t>
  </si>
  <si>
    <t>-496.397451894043 218.34294735835 -253.50127123721</t>
  </si>
  <si>
    <t>-482.350888254792 207.566589159516 201.849457380274</t>
  </si>
  <si>
    <t>-492.261702691119 170.845166970407 670.148184302742</t>
  </si>
  <si>
    <t>-339.555294427611 160.806492715098 756.886362999212</t>
  </si>
  <si>
    <t>-530.61078074659 27.1616071974532 -229.555436394076</t>
  </si>
  <si>
    <t>-437.563551282005 -14.7580034095628 214.564607552417</t>
  </si>
  <si>
    <t>-593.084264684785 -99.2542725871708 649.760103359625</t>
  </si>
  <si>
    <t>-443.598024946117 -144.982678120106 730.421623349656</t>
  </si>
  <si>
    <t>9763-20170724T164359.287498900.bin</t>
  </si>
  <si>
    <t>-513.785713618075 121.268008363283 -241.904476824254</t>
  </si>
  <si>
    <t>-553.325331660443 114.014835989289 -356.149101076669</t>
  </si>
  <si>
    <t>-567.493191322481 103.317207169332 -476.046538315952</t>
  </si>
  <si>
    <t>-569.656911053771 92.5525842887444 -585.01568552053</t>
  </si>
  <si>
    <t>-561.246588904934 80.9126295230316 -693.591185357133</t>
  </si>
  <si>
    <t>-538.577516360351 64.0071698336166 -843.25850368657</t>
  </si>
  <si>
    <t>-492.953202177993 56.4701248104095 -934.058425182096</t>
  </si>
  <si>
    <t>-544.499822221521 102.878815927871 -779.959007456532</t>
  </si>
  <si>
    <t>-541.512681672231 249.349550637388 -767.461662959499</t>
  </si>
  <si>
    <t>-470.514216776606 292.215610245937 -461.9982053844</t>
  </si>
  <si>
    <t>-289.247262000004 198.426384755807 -300.790547779889</t>
  </si>
  <si>
    <t>-552.715969742766 40.0958145379492 -774.111785789738</t>
  </si>
  <si>
    <t>-496.311861997099 216.657168386124 -253.611925028277</t>
  </si>
  <si>
    <t>-482.009164601399 206.278028960256 201.740011092737</t>
  </si>
  <si>
    <t>-492.001903640912 170.095661152162 670.077397620378</t>
  </si>
  <si>
    <t>-339.279179856479 161.361636099473 756.92779261199</t>
  </si>
  <si>
    <t>-531.061302352255 25.7751425851809 -229.637192138633</t>
  </si>
  <si>
    <t>-437.716188139154 -15.9944446526383 214.434508759976</t>
  </si>
  <si>
    <t>-593.060073288993 -99.5600391851292 649.899319592233</t>
  </si>
  <si>
    <t>-443.625506046187 -145.086616573261 730.770626382848</t>
  </si>
  <si>
    <t>9763-20170724T164359.318587400.bin</t>
  </si>
  <si>
    <t>-513.987981332276 120.559469023628 -242.066010713975</t>
  </si>
  <si>
    <t>-553.667103838824 113.385010436365 -356.267056676494</t>
  </si>
  <si>
    <t>-567.857246135535 102.727594083863 -476.165430067291</t>
  </si>
  <si>
    <t>-569.990888747052 91.981878609085 -585.137189442895</t>
  </si>
  <si>
    <t>-561.500559239234 80.3427576857583 -693.706463885084</t>
  </si>
  <si>
    <t>-538.669113182456 63.4191197466675 -843.34700071265</t>
  </si>
  <si>
    <t>-492.948515494445 55.7604733450986 -934.088182353663</t>
  </si>
  <si>
    <t>-544.606439115875 102.292212628661 -780.049825129997</t>
  </si>
  <si>
    <t>-541.3019629826 248.774364130864 -767.474533406674</t>
  </si>
  <si>
    <t>-470.180494282743 291.753984967571 -462.055655785248</t>
  </si>
  <si>
    <t>-288.583286000408 198.5812395889 -300.86212521804</t>
  </si>
  <si>
    <t>-552.936166105746 39.522404885633 -774.22168249666</t>
  </si>
  <si>
    <t>-496.471052598202 216.009672472052 -253.73130840555</t>
  </si>
  <si>
    <t>-481.931087742641 205.821990434278 201.617437597871</t>
  </si>
  <si>
    <t>-491.951451941112 170.271079877369 669.975226328084</t>
  </si>
  <si>
    <t>-339.309146842988 161.343143967673 756.94723461514</t>
  </si>
  <si>
    <t>-531.415267860778 25.0546407461213 -229.7617327426</t>
  </si>
  <si>
    <t>-437.903243050151 -16.3508983811847 214.308932958365</t>
  </si>
  <si>
    <t>-593.070928278257 -99.3070467843987 649.96738130042</t>
  </si>
  <si>
    <t>-443.841578433284 -145.428872639702 730.880324843485</t>
  </si>
  <si>
    <t>9763-20170724T164359.387773000.bin</t>
  </si>
  <si>
    <t>-514.614504071708 119.013859130347 -242.414899414369</t>
  </si>
  <si>
    <t>-554.152215232377 111.951905038087 -356.672077952225</t>
  </si>
  <si>
    <t>-568.214270448712 101.289256334158 -476.585062507175</t>
  </si>
  <si>
    <t>-570.239078273725 90.4871106896529 -585.553260378239</t>
  </si>
  <si>
    <t>-561.647497194303 78.7381851965658 -694.10274361364</t>
  </si>
  <si>
    <t>-538.683858553669 61.6049267667865 -843.69928578652</t>
  </si>
  <si>
    <t>-492.822011653915 53.7552356905421 -934.353013130984</t>
  </si>
  <si>
    <t>-544.613684662148 100.559168875165 -780.451270863007</t>
  </si>
  <si>
    <t>-540.992249695402 247.023394014488 -767.930235518561</t>
  </si>
  <si>
    <t>-469.624617254961 290.131625164883 -462.586999875934</t>
  </si>
  <si>
    <t>-287.649684445871 197.619942652532 -301.438689493429</t>
  </si>
  <si>
    <t>-553.075407651472 37.8125816750985 -774.563856943145</t>
  </si>
  <si>
    <t>-496.899846878878 214.722051585339 -254.026876668097</t>
  </si>
  <si>
    <t>-482.143184987187 205.003243791077 201.32514921067</t>
  </si>
  <si>
    <t>-491.775785777186 170.39731490241 669.728623722325</t>
  </si>
  <si>
    <t>-339.338035751636 160.637577385083 756.969611206933</t>
  </si>
  <si>
    <t>-532.08146717029 23.2989779009607 -230.216819308475</t>
  </si>
  <si>
    <t>-438.752831082477 -17.6038078612336 213.939067184221</t>
  </si>
  <si>
    <t>-593.149581806425 -99.8878428578758 650.137248428759</t>
  </si>
  <si>
    <t>-443.74139657055 -145.394370847769 731.068531846217</t>
  </si>
  <si>
    <t>9763-20170724T164359.418858300.bin</t>
  </si>
  <si>
    <t>-514.826178495154 118.259155808048 -242.63808421429</t>
  </si>
  <si>
    <t>-554.320637776573 111.263938937416 -356.914286833471</t>
  </si>
  <si>
    <t>-568.33645220173 100.612824298314 -476.833811612276</t>
  </si>
  <si>
    <t>-570.318877305642 89.7967057545098 -585.801316613977</t>
  </si>
  <si>
    <t>-561.684383582766 78.0083076031199 -694.343149571179</t>
  </si>
  <si>
    <t>-538.660853738096 60.7928758326057 -843.92108474132</t>
  </si>
  <si>
    <t>-492.718845875139 52.8948451041754 -934.529759828247</t>
  </si>
  <si>
    <t>-544.604879663394 99.7804588249286 -780.694891449516</t>
  </si>
  <si>
    <t>-540.829969683821 246.262151547029 -768.196261962241</t>
  </si>
  <si>
    <t>-469.447453819023 289.339823383427 -462.852067276125</t>
  </si>
  <si>
    <t>-287.335984720345 197.099250303961 -301.702561529944</t>
  </si>
  <si>
    <t>-553.09126820891 37.0398278026162 -774.78012556478</t>
  </si>
  <si>
    <t>-497.140223178032 214.075197116662 -254.235685649962</t>
  </si>
  <si>
    <t>-482.175515051867 204.554248715147 201.113770523874</t>
  </si>
  <si>
    <t>-491.602536972619 170.511691585273 669.498461895786</t>
  </si>
  <si>
    <t>-339.299393340342 160.778466550917 756.977194281385</t>
  </si>
  <si>
    <t>-532.299382612364 22.4606513019659 -230.461692110226</t>
  </si>
  <si>
    <t>-439.101970937158 -18.2517829713101 213.739217636553</t>
  </si>
  <si>
    <t>-593.202503752754 -99.8903719119154 650.202876866901</t>
  </si>
  <si>
    <t>-443.788639887155 -145.398047513537 731.123005024876</t>
  </si>
  <si>
    <t>9763-20170724T164359.487051900.bin</t>
  </si>
  <si>
    <t>-515.548444503948 117.077429860977 -242.940522534309</t>
  </si>
  <si>
    <t>-555.053699135962 110.085893600317 -357.213261078862</t>
  </si>
  <si>
    <t>-568.877747322503 99.4332514719207 -477.154844181966</t>
  </si>
  <si>
    <t>-570.60309158656 88.6206164154721 -586.127140924416</t>
  </si>
  <si>
    <t>-561.629969775552 76.8447497583349 -694.642869604955</t>
  </si>
  <si>
    <t>-538.054151946929 59.6600563185653 -844.138221303017</t>
  </si>
  <si>
    <t>-491.942490269113 51.8596670995965 -934.669192623467</t>
  </si>
  <si>
    <t>-544.316991624498 98.6448469122313 -780.941017301231</t>
  </si>
  <si>
    <t>-540.54970889878 245.10543742837 -768.376605770847</t>
  </si>
  <si>
    <t>-468.559665485629 288.870769140813 -463.273125440258</t>
  </si>
  <si>
    <t>-286.388727971158 195.997595861789 -302.554749557702</t>
  </si>
  <si>
    <t>-552.654482650082 35.8827243661294 -775.041315007876</t>
  </si>
  <si>
    <t>-497.892927792305 212.955562475438 -254.494346575884</t>
  </si>
  <si>
    <t>-482.537333376318 203.837484146297 200.850370922876</t>
  </si>
  <si>
    <t>-491.42877114542 170.44878467826 669.367124649484</t>
  </si>
  <si>
    <t>-339.191491367772 161.075352975554 756.999728358153</t>
  </si>
  <si>
    <t>-533.095185430982 21.2520421944879 -230.73371928674</t>
  </si>
  <si>
    <t>-439.504134973153 -19.1239508966619 213.415104818225</t>
  </si>
  <si>
    <t>-593.294963443368 -99.7173106658559 650.233451387786</t>
  </si>
  <si>
    <t>-443.710516514389 -144.873401740425 731.035300374726</t>
  </si>
  <si>
    <t>9763-20170724T164359.524148700.bin</t>
  </si>
  <si>
    <t>-515.865619735943 116.706244581605 -243.098762686129</t>
  </si>
  <si>
    <t>-555.434706739401 109.690867425361 -357.348040144704</t>
  </si>
  <si>
    <t>-569.176352691849 99.002793664629 -477.295913962348</t>
  </si>
  <si>
    <t>-570.765601788561 88.1626762801855 -586.267530237794</t>
  </si>
  <si>
    <t>-561.595610096173 76.3691141808253 -694.764903279871</t>
  </si>
  <si>
    <t>-537.685103832982 59.1753221216571 -844.205994240457</t>
  </si>
  <si>
    <t>-491.446343523292 51.4439136754404 -934.678090298393</t>
  </si>
  <si>
    <t>-544.192595313563 98.1757731748467 -781.043387210315</t>
  </si>
  <si>
    <t>-540.776667727534 244.656158969975 -768.382998888464</t>
  </si>
  <si>
    <t>-468.246969133274 288.785956299004 -463.459877124647</t>
  </si>
  <si>
    <t>-286.08381487223 195.342540010664 -303.063428754316</t>
  </si>
  <si>
    <t>-552.336871010616 35.3903188665976 -775.122742542339</t>
  </si>
  <si>
    <t>-498.387580463158 212.542536430794 -254.583540134319</t>
  </si>
  <si>
    <t>-482.801779181066 203.592029019047 200.756678912656</t>
  </si>
  <si>
    <t>-491.354006257361 170.411257053625 669.285384379353</t>
  </si>
  <si>
    <t>-339.134407299438 161.493051724422 756.996091341603</t>
  </si>
  <si>
    <t>-533.217049544663 21.0151798958892 -230.87267864466</t>
  </si>
  <si>
    <t>-439.626362527654 -19.0637440040692 213.303116770021</t>
  </si>
  <si>
    <t>-593.316453075925 -99.2987413317413 650.217966665895</t>
  </si>
  <si>
    <t>-444.141703874363 -145.847567513763 730.986834954643</t>
  </si>
  <si>
    <t>9763-20170724T164359.587325600.bin</t>
  </si>
  <si>
    <t>-516.423778035565 115.847016822781 -243.235140834245</t>
  </si>
  <si>
    <t>-555.745757543525 108.605251568712 -357.555397842046</t>
  </si>
  <si>
    <t>-569.13791963016 97.7651444774425 -477.529243928867</t>
  </si>
  <si>
    <t>-570.373519825613 86.8263193337785 -586.495535254391</t>
  </si>
  <si>
    <t>-560.815413364425 74.9767653805549 -694.953298292339</t>
  </si>
  <si>
    <t>-536.333222839079 57.7532728766682 -844.298423431668</t>
  </si>
  <si>
    <t>-489.825845225581 50.2723038686385 -934.653697227989</t>
  </si>
  <si>
    <t>-543.273795722371 96.7874233449384 -781.202634430555</t>
  </si>
  <si>
    <t>-540.502351550703 243.262457895797 -768.510554219461</t>
  </si>
  <si>
    <t>-467.310266518612 288.080656844725 -463.846087556157</t>
  </si>
  <si>
    <t>-285.251856639397 193.106697821458 -304.231749700656</t>
  </si>
  <si>
    <t>-551.057917163343 33.9608827242406 -775.233091763702</t>
  </si>
  <si>
    <t>-350.177212469911 0.417623163887981 -465.351693584904</t>
  </si>
  <si>
    <t>-499.2702074631 211.705743565193 -254.773212244972</t>
  </si>
  <si>
    <t>-483.541020909606 203.203934809277 200.570591826634</t>
  </si>
  <si>
    <t>-491.214082089648 170.46322462704 669.090662729176</t>
  </si>
  <si>
    <t>-339.110228374618 161.460047216164 756.993295470503</t>
  </si>
  <si>
    <t>-533.425908129354 20.0570665871408 -231.046766570925</t>
  </si>
  <si>
    <t>-439.647599002941 -19.603579026138 213.126984596171</t>
  </si>
  <si>
    <t>-593.308945621299 -99.7536850179342 650.071319001967</t>
  </si>
  <si>
    <t>-443.810953260427 -145.277792180316 730.826663507871</t>
  </si>
  <si>
    <t>9763-20170724T164359.625962200.bin</t>
  </si>
  <si>
    <t>-516.519984630243 115.465260037618 -243.387098723749</t>
  </si>
  <si>
    <t>-555.846517332574 108.131047998765 -357.699869283598</t>
  </si>
  <si>
    <t>-569.237282958873 97.261036295963 -477.671201411281</t>
  </si>
  <si>
    <t>-570.470085230298 86.3161368421866 -586.63695349126</t>
  </si>
  <si>
    <t>-560.908481809915 74.4782666207858 -695.095734853092</t>
  </si>
  <si>
    <t>-536.420832438916 57.2865499621742 -844.443536992726</t>
  </si>
  <si>
    <t>-489.825941753592 49.9161095095653 -934.762903183345</t>
  </si>
  <si>
    <t>-543.411609454641 96.3123089188079 -781.348110321507</t>
  </si>
  <si>
    <t>-540.743819433362 242.800472512897 -768.66849005591</t>
  </si>
  <si>
    <t>-467.621956583245 287.502012435036 -463.970009178976</t>
  </si>
  <si>
    <t>-285.433139336466 192.706165386235 -304.398542548511</t>
  </si>
  <si>
    <t>-551.100111391953 33.4743678030267 -775.375399286757</t>
  </si>
  <si>
    <t>-350.307884835501 1.93334477958076 -468.203093376024</t>
  </si>
  <si>
    <t>-499.651524184034 211.525008458196 -254.925796486562</t>
  </si>
  <si>
    <t>-483.77815641881 203.208706197618 200.416504869864</t>
  </si>
  <si>
    <t>-491.229299290394 171.013970280063 668.973414466104</t>
  </si>
  <si>
    <t>-339.265293853816 160.859571563504 756.992491254338</t>
  </si>
  <si>
    <t>-533.252017524626 19.4855125511127 -231.240061122917</t>
  </si>
  <si>
    <t>-439.632204135631 -19.7368754025237 213.006114477694</t>
  </si>
  <si>
    <t>-593.280122989095 -99.9467003904254 649.984075198625</t>
  </si>
  <si>
    <t>-443.688275995548 -145.092159918093 730.778048472789</t>
  </si>
  <si>
    <t>9763-20170724T164359.685617600.bin</t>
  </si>
  <si>
    <t>-516.343797037341 115.108510635855 -243.521266831856</t>
  </si>
  <si>
    <t>-555.527620433765 107.61544893168 -357.872900115898</t>
  </si>
  <si>
    <t>-568.898743252795 96.6051706325531 -477.833552619565</t>
  </si>
  <si>
    <t>-570.167476566291 85.532188199429 -586.786003167194</t>
  </si>
  <si>
    <t>-560.695619309084 73.5585506507315 -695.237723289891</t>
  </si>
  <si>
    <t>-536.387982965663 56.1646229386559 -844.591648634855</t>
  </si>
  <si>
    <t>-489.715487958692 48.7647830378271 -934.868412684408</t>
  </si>
  <si>
    <t>-543.344274147267 95.2801212791455 -781.547879278262</t>
  </si>
  <si>
    <t>-540.90943576706 241.785534962067 -769.03843598511</t>
  </si>
  <si>
    <t>-467.903904796115 286.099339245665 -464.255437448348</t>
  </si>
  <si>
    <t>-285.507353657726 191.127134595377 -305.026587898648</t>
  </si>
  <si>
    <t>-550.942532720736 32.441633270591 -775.46639027786</t>
  </si>
  <si>
    <t>-350.994462385631 3.44320996384954 -474.020422112467</t>
  </si>
  <si>
    <t>-499.800608525891 210.95123338161 -254.991862443698</t>
  </si>
  <si>
    <t>-483.920600018972 203.000503506562 200.356616175794</t>
  </si>
  <si>
    <t>-491.24589032337 170.822865029349 669.041346069534</t>
  </si>
  <si>
    <t>-339.19871144448 161.053226972065 756.960246825569</t>
  </si>
  <si>
    <t>-532.747181939794 19.3368681412697 -231.399895804679</t>
  </si>
  <si>
    <t>-439.367400082011 -19.6222955163965 212.919961547076</t>
  </si>
  <si>
    <t>-593.265796964747 -99.4840883991789 649.885914425846</t>
  </si>
  <si>
    <t>-443.860004123189 -145.416898894043 730.580366543024</t>
  </si>
  <si>
    <t>9763-20170724T164359.720681500.bin</t>
  </si>
  <si>
    <t>-516.17409653762 115.058899048819 -243.510712814754</t>
  </si>
  <si>
    <t>-555.377818867923 107.550762161242 -357.854440617343</t>
  </si>
  <si>
    <t>-568.717261141274 96.482296100901 -477.813191271112</t>
  </si>
  <si>
    <t>-569.935344326173 85.3412310203292 -586.759274010724</t>
  </si>
  <si>
    <t>-560.39148147691 73.2853676791559 -695.195497142457</t>
  </si>
  <si>
    <t>-535.961878846923 55.7637111006913 -844.514644887624</t>
  </si>
  <si>
    <t>-489.240154191485 48.3119404528269 -934.76180483391</t>
  </si>
  <si>
    <t>-542.993264432655 94.9356236903806 -781.514347046882</t>
  </si>
  <si>
    <t>-540.602113704801 241.430616892781 -769.117973101364</t>
  </si>
  <si>
    <t>-467.650037284322 285.742753048071 -464.321947521971</t>
  </si>
  <si>
    <t>-285.166916016276 190.778162902666 -305.187822522066</t>
  </si>
  <si>
    <t>-550.549164648306 32.0974206291261 -775.376797782817</t>
  </si>
  <si>
    <t>-353.053809722023 3.37475445977168 -475.435203140901</t>
  </si>
  <si>
    <t>-499.707451177723 210.846601510901 -254.940391942671</t>
  </si>
  <si>
    <t>-483.864022261544 202.992999443552 200.411086823149</t>
  </si>
  <si>
    <t>-491.345916569497 170.899889748286 669.121920465135</t>
  </si>
  <si>
    <t>-339.251679740556 161.154571369073 756.962002343247</t>
  </si>
  <si>
    <t>-532.586441944892 19.308714314889 -231.358640683394</t>
  </si>
  <si>
    <t>-439.229695541737 -19.4922528751262 212.979785724603</t>
  </si>
  <si>
    <t>-593.295597746884 -99.3789009823406 649.866243980036</t>
  </si>
  <si>
    <t>-443.922108313362 -145.709828122592 730.392731637831</t>
  </si>
  <si>
    <t>9763-20170724T164359.787861800.bin</t>
  </si>
  <si>
    <t>-515.698698684689 114.860721860119 -243.389064626047</t>
  </si>
  <si>
    <t>-555.026188217697 107.372713200551 -357.691693816799</t>
  </si>
  <si>
    <t>-568.41634698092 96.3538097989095 -477.649393519916</t>
  </si>
  <si>
    <t>-569.648144712392 85.2779433615736 -586.601964652987</t>
  </si>
  <si>
    <t>-560.08505815697 73.3129459127348 -695.046698078857</t>
  </si>
  <si>
    <t>-535.595277822395 55.9490593875269 -844.374243720398</t>
  </si>
  <si>
    <t>-488.83910187695 48.4923693131035 -934.603182762975</t>
  </si>
  <si>
    <t>-542.673112487106 95.0565396266446 -781.339104977732</t>
  </si>
  <si>
    <t>-540.235028732733 241.545598753687 -768.797486552725</t>
  </si>
  <si>
    <t>-466.595556214682 285.845639767467 -464.164960273381</t>
  </si>
  <si>
    <t>-283.754449330421 193.089981379746 -304.141201506706</t>
  </si>
  <si>
    <t>-550.189403906841 32.2075874798032 -775.263645732581</t>
  </si>
  <si>
    <t>-354.289713336088 5.88360889017517 -476.709042228431</t>
  </si>
  <si>
    <t>-499.157345584402 210.460417463812 -254.794527594476</t>
  </si>
  <si>
    <t>-483.266067168943 202.673148090877 200.55640893992</t>
  </si>
  <si>
    <t>-491.412362437458 170.296837372466 669.301770481593</t>
  </si>
  <si>
    <t>-339.149350806446 161.467159716606 756.946080316419</t>
  </si>
  <si>
    <t>-532.119479284446 19.3022363999532 -231.238384111934</t>
  </si>
  <si>
    <t>-439.078797275463 -19.2520931982847 213.187843136805</t>
  </si>
  <si>
    <t>-593.302488377224 -99.0282273445939 649.878801744165</t>
  </si>
  <si>
    <t>-443.848707364074 -145.601635662954 730.115867257709</t>
  </si>
  <si>
    <t>9763-20170724T164359.823688700.bin</t>
  </si>
  <si>
    <t>-515.529129839925 114.742552679549 -243.325333008001</t>
  </si>
  <si>
    <t>-554.783212062199 107.264117913896 -357.653914281615</t>
  </si>
  <si>
    <t>-568.168608707751 96.2452937614849 -477.612148863051</t>
  </si>
  <si>
    <t>-569.424642767836 85.1700422568586 -586.564376855232</t>
  </si>
  <si>
    <t>-559.913981163625 73.208983409306 -695.014094537063</t>
  </si>
  <si>
    <t>-535.525211599998 55.8563986759949 -844.359646035247</t>
  </si>
  <si>
    <t>-488.830453346211 48.3788956420206 -934.618431089479</t>
  </si>
  <si>
    <t>-542.583633307024 94.9614415739225 -781.320849787998</t>
  </si>
  <si>
    <t>-540.293470772905 241.487216276422 -768.677091828828</t>
  </si>
  <si>
    <t>-465.969530056789 285.474247596917 -464.165428379648</t>
  </si>
  <si>
    <t>-282.944497323798 193.907621739362 -303.667872274663</t>
  </si>
  <si>
    <t>-550.049316418197 32.1072620299571 -775.23689027409</t>
  </si>
  <si>
    <t>-353.421762269529 6.32100848168194 -477.991897778257</t>
  </si>
  <si>
    <t>-498.921665547083 210.446557292932 -254.754529467445</t>
  </si>
  <si>
    <t>-482.973399540306 202.684743801909 200.594832884887</t>
  </si>
  <si>
    <t>-491.537024679098 170.570531369893 669.321926348263</t>
  </si>
  <si>
    <t>-339.328390555195 160.919826026758 756.974082713831</t>
  </si>
  <si>
    <t>-531.958008045257 19.0854243734962 -231.22028410236</t>
  </si>
  <si>
    <t>-439.122374420772 -19.4994352663887 213.246170267338</t>
  </si>
  <si>
    <t>-593.318198787843 -99.253563416159 649.936427377179</t>
  </si>
  <si>
    <t>-443.52321741326 -144.927858363427 730.054029443567</t>
  </si>
  <si>
    <t>9763-20170724T164359.893393700.bin</t>
  </si>
  <si>
    <t>-515.066578346164 114.243705854526 -243.1990115461</t>
  </si>
  <si>
    <t>-554.371063778337 106.781186663679 -357.511252948961</t>
  </si>
  <si>
    <t>-567.771031519489 95.6865857039559 -477.460775080904</t>
  </si>
  <si>
    <t>-569.02322566419 84.5157718036823 -586.403595671973</t>
  </si>
  <si>
    <t>-559.490835976613 72.4382630763515 -694.83827858558</t>
  </si>
  <si>
    <t>-535.053253077751 54.907987254898 -844.155173324364</t>
  </si>
  <si>
    <t>-488.439140792053 47.4188083290589 -934.454718410376</t>
  </si>
  <si>
    <t>-542.192330484109 94.0940862681753 -781.175772837028</t>
  </si>
  <si>
    <t>-540.256496574386 240.590574391712 -768.612143031813</t>
  </si>
  <si>
    <t>-464.845708445253 284.788426779516 -464.398473229799</t>
  </si>
  <si>
    <t>-281.312780155906 194.757841528968 -303.612344612903</t>
  </si>
  <si>
    <t>-549.539914583547 31.2350894438261 -774.998444011175</t>
  </si>
  <si>
    <t>-354.337267716124 5.89327046086413 -480.659077282004</t>
  </si>
  <si>
    <t>-498.416051864754 209.749364793421 -254.640815290902</t>
  </si>
  <si>
    <t>-482.592410511406 202.124740423868 200.715234090481</t>
  </si>
  <si>
    <t>-491.503234098077 169.89384232989 669.435720199037</t>
  </si>
  <si>
    <t>-339.145648744018 161.779142941955 756.984723508101</t>
  </si>
  <si>
    <t>-531.583822406925 18.6787277992792 -231.0808453029</t>
  </si>
  <si>
    <t>-438.971534262931 -19.8610654788572 213.436176178182</t>
  </si>
  <si>
    <t>-593.328325589517 -99.2638929937009 650.075815924412</t>
  </si>
  <si>
    <t>-443.532395836895 -145.116218978229 730.089978654789</t>
  </si>
  <si>
    <t>9763-20170724T164359.924545300.bin</t>
  </si>
  <si>
    <t>-514.878039288325 114.077678160753 -243.205150809977</t>
  </si>
  <si>
    <t>-554.135288883489 106.590036486035 -357.531808291705</t>
  </si>
  <si>
    <t>-567.498060096114 95.4709303331595 -477.483375929466</t>
  </si>
  <si>
    <t>-568.721021098605 84.2813219660718 -586.424437742561</t>
  </si>
  <si>
    <t>-559.164050403571 72.1903202379557 -694.855618205329</t>
  </si>
  <si>
    <t>-534.697194497362 54.6483532715896 -844.166163901684</t>
  </si>
  <si>
    <t>-488.068088238426 47.2314377577907 -934.463965045343</t>
  </si>
  <si>
    <t>-541.893447607641 93.8437669974357 -781.199165960667</t>
  </si>
  <si>
    <t>-540.217475535529 240.351631781515 -768.684525356356</t>
  </si>
  <si>
    <t>-464.236501434501 285.239207659567 -464.713858733623</t>
  </si>
  <si>
    <t>-280.325558786376 196.102511208447 -303.861594673273</t>
  </si>
  <si>
    <t>-549.152594546316 30.9764546469988 -775.002609558292</t>
  </si>
  <si>
    <t>-354.077174425532 5.519294152204 -481.781758668972</t>
  </si>
  <si>
    <t>-498.310104857526 209.559966047464 -254.620344715272</t>
  </si>
  <si>
    <t>-482.555332375589 202.04904778456 200.740039272877</t>
  </si>
  <si>
    <t>-491.594264642135 169.947094648914 669.488069480238</t>
  </si>
  <si>
    <t>-339.196036024882 161.80368812299 756.96358308289</t>
  </si>
  <si>
    <t>-531.249444953822 18.6058409698263 -231.111826201458</t>
  </si>
  <si>
    <t>-438.887252683991 -19.7859202630643 213.46994486608</t>
  </si>
  <si>
    <t>-593.291858496142 -98.944678719935 650.125411178094</t>
  </si>
  <si>
    <t>-443.75786475506 -145.603544223596 730.163196584459</t>
  </si>
  <si>
    <t>9763-20170724T164359.989220900.bin</t>
  </si>
  <si>
    <t>-514.701567538287 113.797765877802 -243.128365031946</t>
  </si>
  <si>
    <t>-553.899675072477 106.289828619332 -357.474065529619</t>
  </si>
  <si>
    <t>-567.247581821852 95.1661848733927 -477.426897064023</t>
  </si>
  <si>
    <t>-568.476184235129 83.9800355650237 -586.368212738973</t>
  </si>
  <si>
    <t>-558.943911977513 71.9001538999234 -694.802833620641</t>
  </si>
  <si>
    <t>-534.530673437091 54.3819043645914 -844.125035991009</t>
  </si>
  <si>
    <t>-487.868728780489 47.0615703476808 -934.413757697704</t>
  </si>
  <si>
    <t>-541.75744354758 93.5725388531354 -781.158443393711</t>
  </si>
  <si>
    <t>-540.370852094001 240.104896527613 -768.736554668898</t>
  </si>
  <si>
    <t>-463.492820972042 286.180185048557 -465.169435003006</t>
  </si>
  <si>
    <t>-279.148802172063 198.085991773802 -304.238504687989</t>
  </si>
  <si>
    <t>-548.908084405608 30.6938526039893 -774.950616880527</t>
  </si>
  <si>
    <t>-353.468643274499 4.94431300219311 -482.7845177803</t>
  </si>
  <si>
    <t>-498.321756892034 209.356860163002 -254.541181881605</t>
  </si>
  <si>
    <t>-482.604807295257 202.052179413796 200.823858428598</t>
  </si>
  <si>
    <t>-491.763825903163 170.168822483292 669.559706212507</t>
  </si>
  <si>
    <t>-339.365615767925 161.212540177917 756.955815269329</t>
  </si>
  <si>
    <t>-530.933847726088 18.2209638584045 -231.046075342273</t>
  </si>
  <si>
    <t>-438.914407996449 -20.025153459787 213.619380453156</t>
  </si>
  <si>
    <t>-593.268950729233 -99.3094834312304 650.250733961084</t>
  </si>
  <si>
    <t>-443.46398033181 -145.117642252701 730.273280881916</t>
  </si>
  <si>
    <t>9763-20170724T164400.019804100.bin</t>
  </si>
  <si>
    <t>-514.691803188325 113.868755253205 -243.122680726202</t>
  </si>
  <si>
    <t>-553.881735801931 106.38807149845 -357.472936538199</t>
  </si>
  <si>
    <t>-567.205059279864 95.2464537481883 -477.426799193732</t>
  </si>
  <si>
    <t>-568.404362785984 84.0272614342713 -586.365033101162</t>
  </si>
  <si>
    <t>-558.835822399738 71.898517142454 -694.791053574334</t>
  </si>
  <si>
    <t>-534.364986176694 54.2970682874713 -844.093932848438</t>
  </si>
  <si>
    <t>-487.666751088157 46.9577848132548 -934.362444875373</t>
  </si>
  <si>
    <t>-541.625410260218 93.5237058740408 -781.153678705609</t>
  </si>
  <si>
    <t>-540.372918783338 240.046963369433 -768.780030843944</t>
  </si>
  <si>
    <t>-463.160519602553 286.596444951012 -465.370081475641</t>
  </si>
  <si>
    <t>-278.671999698544 198.888540899009 -304.39388397272</t>
  </si>
  <si>
    <t>-548.759723686754 30.6466764439594 -774.910297536911</t>
  </si>
  <si>
    <t>-353.164701280595 4.46793519290226 -482.911921231665</t>
  </si>
  <si>
    <t>-498.331715823244 209.410333622182 -254.531265173825</t>
  </si>
  <si>
    <t>-482.603388245952 202.147110671711 200.83395384028</t>
  </si>
  <si>
    <t>-491.841468860265 170.479478858747 669.5529263618</t>
  </si>
  <si>
    <t>-339.480161217151 161.133956558895 756.972631293751</t>
  </si>
  <si>
    <t>-530.946571006103 18.3797094100627 -231.026841483471</t>
  </si>
  <si>
    <t>-438.860930275303 -19.8972706643641 213.622209502057</t>
  </si>
  <si>
    <t>-593.235299831519 -98.867497972129 650.277469157306</t>
  </si>
  <si>
    <t>-443.67952625249 -145.42812916627 730.331823844954</t>
  </si>
  <si>
    <t>9763-20170724T164400.088488200.bin</t>
  </si>
  <si>
    <t>-514.713398677348 113.424397599977 -243.120486324935</t>
  </si>
  <si>
    <t>-553.925620366344 105.952255542013 -357.463818402792</t>
  </si>
  <si>
    <t>-567.232124746744 94.8484965985701 -477.422980592199</t>
  </si>
  <si>
    <t>-568.399675990543 83.6793072102399 -586.366721394226</t>
  </si>
  <si>
    <t>-558.783212780671 71.6189008612536 -694.796084689572</t>
  </si>
  <si>
    <t>-534.229331693073 54.1334141555469 -844.098954134477</t>
  </si>
  <si>
    <t>-487.491435003894 46.8519349942682 -934.351569449518</t>
  </si>
  <si>
    <t>-541.544044331518 93.3129583858796 -781.135615652206</t>
  </si>
  <si>
    <t>-540.302249498017 239.835289903343 -768.728338142916</t>
  </si>
  <si>
    <t>-462.663373720126 287.020217957465 -465.525477529961</t>
  </si>
  <si>
    <t>-278.317635685664 199.200978557109 -304.446393810364</t>
  </si>
  <si>
    <t>-548.643211081909 30.4274186805835 -774.938339688537</t>
  </si>
  <si>
    <t>-352.22210470386 3.61976218168138 -482.855975031199</t>
  </si>
  <si>
    <t>-498.273092484113 208.984367853726 -254.569099332551</t>
  </si>
  <si>
    <t>-482.545784801398 201.815175347605 200.797586353962</t>
  </si>
  <si>
    <t>-491.695070163345 170.101102385765 669.502501581776</t>
  </si>
  <si>
    <t>-339.337905152011 161.111823605879 756.96668501847</t>
  </si>
  <si>
    <t>-530.986251680522 17.8001280017555 -231.025112552551</t>
  </si>
  <si>
    <t>-438.764612607247 -20.5184901213974 213.592101123898</t>
  </si>
  <si>
    <t>-593.163026981585 -99.5497349706245 650.276295484841</t>
  </si>
  <si>
    <t>-443.377450514616 -144.964420740497 730.558900172016</t>
  </si>
  <si>
    <t>9763-20170724T164400.121078100.bin</t>
  </si>
  <si>
    <t>-514.693830153051 113.360294310396 -243.122720814511</t>
  </si>
  <si>
    <t>-553.889806239338 105.869576087847 -357.470260137658</t>
  </si>
  <si>
    <t>-567.198562322549 94.7671770544151 -477.429376845391</t>
  </si>
  <si>
    <t>-568.376093290128 83.608540249021 -586.374126173395</t>
  </si>
  <si>
    <t>-558.777405068804 71.5684924812537 -694.807275161552</t>
  </si>
  <si>
    <t>-534.256208647224 54.1221902835569 -844.120100139696</t>
  </si>
  <si>
    <t>-487.518959877155 46.8510086706866 -934.373921649983</t>
  </si>
  <si>
    <t>-541.572645982665 93.286736228124 -781.147782569869</t>
  </si>
  <si>
    <t>-540.366668991019 239.822374110827 -768.711598848746</t>
  </si>
  <si>
    <t>-462.585861872092 286.784962017193 -465.510591297131</t>
  </si>
  <si>
    <t>-278.303735098 198.767967996735 -304.466731896897</t>
  </si>
  <si>
    <t>-548.639465407329 30.396595133307 -774.959955071829</t>
  </si>
  <si>
    <t>-352.450222574714 4.18765497300397 -482.794545724686</t>
  </si>
  <si>
    <t>-498.285420025873 208.958693943467 -254.583925371563</t>
  </si>
  <si>
    <t>-482.577937365496 201.818221520999 200.783973741355</t>
  </si>
  <si>
    <t>-491.740347380492 170.314071659853 669.495028287326</t>
  </si>
  <si>
    <t>-339.385152101873 161.317752380035 756.961959048337</t>
  </si>
  <si>
    <t>-530.908208013231 17.770188032314 -231.036211187349</t>
  </si>
  <si>
    <t>-438.720539972297 -20.5147725921245 213.591081269506</t>
  </si>
  <si>
    <t>-593.126323168746 -99.4854512739004 650.293618819671</t>
  </si>
  <si>
    <t>-443.519717360511 -145.27135699291 730.69897490344</t>
  </si>
  <si>
    <t>9763-20170724T164400.189262300.bin</t>
  </si>
  <si>
    <t>-514.60801003385 113.534866358629 -243.001935416422</t>
  </si>
  <si>
    <t>-553.826399065787 105.97633975546 -357.337261730823</t>
  </si>
  <si>
    <t>-567.149328909755 94.8209856191228 -477.289947537303</t>
  </si>
  <si>
    <t>-568.335984612512 83.6214742126019 -586.230325656286</t>
  </si>
  <si>
    <t>-558.742739442073 71.5480524828247 -694.660270457856</t>
  </si>
  <si>
    <t>-534.225581099637 54.0635986655289 -843.969334984811</t>
  </si>
  <si>
    <t>-487.497265837562 46.7931233312696 -934.227748824364</t>
  </si>
  <si>
    <t>-541.545757695721 93.2447355675281 -781.007677176331</t>
  </si>
  <si>
    <t>-540.547437217188 239.778566798677 -768.62503953478</t>
  </si>
  <si>
    <t>-462.912856321193 287.80324309109 -465.552858541563</t>
  </si>
  <si>
    <t>-278.994508861919 197.839195400567 -305.170357839747</t>
  </si>
  <si>
    <t>-548.601593262966 30.3551578393959 -774.801797879516</t>
  </si>
  <si>
    <t>-352.236127770454 4.44674445169125 -481.95100648124</t>
  </si>
  <si>
    <t>-498.307059332144 209.109862938742 -254.53212245003</t>
  </si>
  <si>
    <t>-482.68865375072 202.066143887054 200.840437070659</t>
  </si>
  <si>
    <t>-491.791772142596 170.38808280515 669.560255523187</t>
  </si>
  <si>
    <t>-339.405571819293 161.259557457762 756.959543891217</t>
  </si>
  <si>
    <t>-530.78426291853 18.0483575859715 -230.797350217424</t>
  </si>
  <si>
    <t>-438.248652556798 -20.2809164635006 213.753743503142</t>
  </si>
  <si>
    <t>-593.110144647652 -99.2251299826141 650.286133397181</t>
  </si>
  <si>
    <t>-443.624606941659 -145.497926164153 730.638077255044</t>
  </si>
  <si>
    <t>9763-20170724T164400.219343300.bin</t>
  </si>
  <si>
    <t>-514.460166227995 113.757197751474 -242.886560270331</t>
  </si>
  <si>
    <t>-553.724808788327 106.126812620244 -357.201288603209</t>
  </si>
  <si>
    <t>-567.110006485801 94.913416121476 -477.141584631005</t>
  </si>
  <si>
    <t>-568.359384073359 83.6644968724093 -586.076121314269</t>
  </si>
  <si>
    <t>-558.834883379997 71.5429234724625 -694.506887046659</t>
  </si>
  <si>
    <t>-534.418934192265 53.9913629604607 -843.824705504569</t>
  </si>
  <si>
    <t>-487.711793639007 46.6895840482364 -934.091511931794</t>
  </si>
  <si>
    <t>-541.667197574074 93.198025229638 -780.870582174273</t>
  </si>
  <si>
    <t>-540.807944253683 239.755103075702 -768.713964167299</t>
  </si>
  <si>
    <t>-464.20294236401 288.52478210507 -465.498880785444</t>
  </si>
  <si>
    <t>-280.679459919884 196.790048340708 -305.667818339558</t>
  </si>
  <si>
    <t>-548.77724411109 30.3167798079444 -774.641752500143</t>
  </si>
  <si>
    <t>-352.06174213058 4.43312487126474 -481.055437054209</t>
  </si>
  <si>
    <t>-498.141541406299 209.184969361903 -254.454090577646</t>
  </si>
  <si>
    <t>-482.67407893648 202.22122489654 200.924845442356</t>
  </si>
  <si>
    <t>-491.85341234481 170.311874502816 669.676325192794</t>
  </si>
  <si>
    <t>-339.369108227073 161.389446847855 756.925639853508</t>
  </si>
  <si>
    <t>-530.615354094208 18.4065180516298 -230.620599011989</t>
  </si>
  <si>
    <t>-437.918993789575 -20.0687100072973 213.884333368143</t>
  </si>
  <si>
    <t>-593.097712886966 -99.0344891995338 650.257479347541</t>
  </si>
  <si>
    <t>-443.590808440551 -145.362170931799 730.537853228914</t>
  </si>
  <si>
    <t>9763-20170724T164400.288028500.bin</t>
  </si>
  <si>
    <t>-514.139529834038 114.343395956936 -242.466052171292</t>
  </si>
  <si>
    <t>-553.455129369059 106.590128499356 -356.754923862592</t>
  </si>
  <si>
    <t>-566.908712519846 95.2173152828692 -476.6725663441</t>
  </si>
  <si>
    <t>-568.226533289375 83.80574212175 -585.589500045514</t>
  </si>
  <si>
    <t>-558.7764759749 71.5013912357065 -694.005993851713</t>
  </si>
  <si>
    <t>-534.469683986832 53.6729427188217 -843.308840117774</t>
  </si>
  <si>
    <t>-487.788766284282 46.223321040481 -933.577107962321</t>
  </si>
  <si>
    <t>-541.586518899506 92.9880030655559 -780.407284670098</t>
  </si>
  <si>
    <t>-540.818005544588 239.564677876424 -768.523370721227</t>
  </si>
  <si>
    <t>-468.839940711794 291.092825098045 -464.631635581505</t>
  </si>
  <si>
    <t>-286.316780207004 196.541244239877 -305.29749653347</t>
  </si>
  <si>
    <t>-548.862860164231 30.1349791299411 -774.086584571919</t>
  </si>
  <si>
    <t>-352.424215237549 4.01565184050412 -479.914988847029</t>
  </si>
  <si>
    <t>-497.786327574005 209.592133608789 -254.10427859669</t>
  </si>
  <si>
    <t>-482.695352949106 202.73374486408 201.288906310918</t>
  </si>
  <si>
    <t>-492.301060921909 170.52813160937 670.097285251429</t>
  </si>
  <si>
    <t>-339.473854813536 162.033834205918 756.787539176432</t>
  </si>
  <si>
    <t>-530.377867656128 19.0994987712558 -230.114509795212</t>
  </si>
  <si>
    <t>-437.241400436903 -19.5905722410678 214.279917126933</t>
  </si>
  <si>
    <t>-593.04780909869 -98.9403792565167 650.285617616909</t>
  </si>
  <si>
    <t>-443.606055812113 -145.583172995338 730.504828277048</t>
  </si>
  <si>
    <t>9763-20170724T164400.318447800.bin</t>
  </si>
  <si>
    <t>-514.013571935964 114.503883244882 -242.221883936226</t>
  </si>
  <si>
    <t>-553.344392462929 106.730410160702 -356.504293442851</t>
  </si>
  <si>
    <t>-566.796711179924 95.3595429159279 -476.42227197459</t>
  </si>
  <si>
    <t>-568.106361599321 83.9610222465454 -585.340542895359</t>
  </si>
  <si>
    <t>-558.641151155508 71.6824274470477 -693.758805858139</t>
  </si>
  <si>
    <t>-534.306339489215 53.9041465444318 -843.063000635227</t>
  </si>
  <si>
    <t>-487.623799476816 46.4541748567972 -933.330461354689</t>
  </si>
  <si>
    <t>-541.423645989436 93.1969427405475 -780.147689626915</t>
  </si>
  <si>
    <t>-540.574425850044 239.745122043673 -768.204443011968</t>
  </si>
  <si>
    <t>-471.588914333028 292.516146207238 -463.832351838272</t>
  </si>
  <si>
    <t>-289.196182133478 197.49736416217 -304.626790201371</t>
  </si>
  <si>
    <t>-548.72385990218 30.3440050432381 -773.853403862959</t>
  </si>
  <si>
    <t>-351.973075137598 4.09129505667438 -479.06156993595</t>
  </si>
  <si>
    <t>-497.566284686432 209.708197512637 -253.895485636185</t>
  </si>
  <si>
    <t>-482.587924844981 202.878722385275 201.501844824571</t>
  </si>
  <si>
    <t>-492.483799433719 170.473982993077 670.304835033203</t>
  </si>
  <si>
    <t>-339.485958938228 162.107865731651 756.706021193149</t>
  </si>
  <si>
    <t>-530.317604690605 19.2708590342946 -229.851633721496</t>
  </si>
  <si>
    <t>-436.950213486618 -19.5094626772553 214.486466544318</t>
  </si>
  <si>
    <t>-593.028958070863 -99.0805554236762 650.353747844786</t>
  </si>
  <si>
    <t>-443.620564387606 -145.819604687068 730.579070331471</t>
  </si>
  <si>
    <t>9763-20170724T164400.385628700.bin</t>
  </si>
  <si>
    <t>-513.781492375287 114.524755127438 -241.765970133684</t>
  </si>
  <si>
    <t>-553.175457222775 106.735366169806 -356.025502607285</t>
  </si>
  <si>
    <t>-566.661694230188 95.3435773280572 -475.937631048152</t>
  </si>
  <si>
    <t>-567.988417423926 83.931490775347 -584.854363324938</t>
  </si>
  <si>
    <t>-558.526283299628 71.649161217082 -693.272427619789</t>
  </si>
  <si>
    <t>-534.18091065581 53.8799455166266 -842.575990913601</t>
  </si>
  <si>
    <t>-487.48628906036 46.3956004184757 -932.834359800452</t>
  </si>
  <si>
    <t>-541.358325837411 93.1743902103698 -779.668394295165</t>
  </si>
  <si>
    <t>-541.104464702704 239.72825945266 -767.670272540504</t>
  </si>
  <si>
    <t>-476.766920593967 292.943518770514 -462.359034875523</t>
  </si>
  <si>
    <t>-293.729762773814 198.018915344526 -303.838557157726</t>
  </si>
  <si>
    <t>-548.547705433853 30.3101760019277 -773.359134536243</t>
  </si>
  <si>
    <t>-351.633468996633 3.72266238919362 -478.492385293417</t>
  </si>
  <si>
    <t>-497.32067488628 209.853505224128 -253.435384953828</t>
  </si>
  <si>
    <t>-482.27084608333 203.051254352598 201.960005411728</t>
  </si>
  <si>
    <t>-492.935904220483 170.681146294371 670.719666655982</t>
  </si>
  <si>
    <t>-339.631611719591 162.667021722484 756.609556814435</t>
  </si>
  <si>
    <t>-530.07109071432 19.2318175850921 -229.453469723479</t>
  </si>
  <si>
    <t>-436.706998494955 -19.5410726046498 214.885786208782</t>
  </si>
  <si>
    <t>-592.985129211492 -99.1617713591705 650.619209949702</t>
  </si>
  <si>
    <t>-443.443826125285 -145.496841936369 730.831198417004</t>
  </si>
  <si>
    <t>9763-20170724T164400.422308600.bin</t>
  </si>
  <si>
    <t>-513.847339100587 114.5172384992 -241.651812209159</t>
  </si>
  <si>
    <t>-553.23812747324 106.744854911739 -355.913703532648</t>
  </si>
  <si>
    <t>-566.72996992698 95.3600571005726 -475.825684590648</t>
  </si>
  <si>
    <t>-568.065157207385 83.9528953817907 -584.742974424283</t>
  </si>
  <si>
    <t>-558.614495315519 71.6754150332137 -693.162466767031</t>
  </si>
  <si>
    <t>-534.288123657387 53.914275248617 -842.470083973112</t>
  </si>
  <si>
    <t>-487.580303525713 46.4497018271075 -932.723409842988</t>
  </si>
  <si>
    <t>-541.494789203158 93.2088219731009 -779.565988468134</t>
  </si>
  <si>
    <t>-541.558531034063 239.769457321978 -767.580881561439</t>
  </si>
  <si>
    <t>-478.872098583125 293.239391506851 -461.970872472616</t>
  </si>
  <si>
    <t>-295.504559520646 198.080325859386 -303.973408199971</t>
  </si>
  <si>
    <t>-548.608780971418 30.3371800042345 -773.246230415906</t>
  </si>
  <si>
    <t>-350.978608024906 3.55880224171361 -478.194574007141</t>
  </si>
  <si>
    <t>-497.443566758429 209.831278687363 -253.332314556655</t>
  </si>
  <si>
    <t>-482.289305501413 203.029092604738 202.059486189067</t>
  </si>
  <si>
    <t>-492.944480837868 170.66306173593 670.713909317826</t>
  </si>
  <si>
    <t>-339.627135528458 162.797395483722 756.594312667425</t>
  </si>
  <si>
    <t>-530.128391558242 19.2925711703162 -229.338039239037</t>
  </si>
  <si>
    <t>-436.77233985734 -19.4712251083273 215.003780360194</t>
  </si>
  <si>
    <t>-592.970740970198 -98.9445463777281 650.755317663989</t>
  </si>
  <si>
    <t>-443.503368057027 -145.506417301846 730.973769049603</t>
  </si>
  <si>
    <t>9763-20170724T164400.487992700.bin</t>
  </si>
  <si>
    <t>-514.178092760198 114.237030170325 -241.683936262299</t>
  </si>
  <si>
    <t>-553.515770749775 106.371515529639 -355.957689066214</t>
  </si>
  <si>
    <t>-567.025890662162 94.8878039395804 -475.858308442149</t>
  </si>
  <si>
    <t>-568.407917061589 83.3843823007748 -584.764769538974</t>
  </si>
  <si>
    <t>-559.034362600985 71.0008184229034 -693.178977823991</t>
  </si>
  <si>
    <t>-534.845840295118 53.0794446430214 -842.48984032032</t>
  </si>
  <si>
    <t>-488.185789965576 45.6239677653616 -932.768598916584</t>
  </si>
  <si>
    <t>-542.02285638717 92.4441731490228 -779.626248110962</t>
  </si>
  <si>
    <t>-542.219387918431 239.006727818789 -767.552487420535</t>
  </si>
  <si>
    <t>-482.704304605938 294.919706765989 -461.74566370356</t>
  </si>
  <si>
    <t>-298.403230002338 198.421690561876 -305.658068616046</t>
  </si>
  <si>
    <t>-549.074142460598 29.5739478952744 -773.222455838055</t>
  </si>
  <si>
    <t>-350.885422285938 3.01057346619614 -478.362586803709</t>
  </si>
  <si>
    <t>-497.903044948571 209.589924273172 -253.412632886246</t>
  </si>
  <si>
    <t>-482.598468271292 202.910073090486 201.976060610036</t>
  </si>
  <si>
    <t>-492.805829862736 170.612748372828 670.619351805444</t>
  </si>
  <si>
    <t>-339.60282220901 161.928415781325 756.62480066581</t>
  </si>
  <si>
    <t>-530.280334793846 18.8529872155176 -229.374842102959</t>
  </si>
  <si>
    <t>-437.194875520907 -19.4777980870683 215.061346488884</t>
  </si>
  <si>
    <t>-592.947326941312 -99.06819009987 650.982422904128</t>
  </si>
  <si>
    <t>-443.403636340363 -145.331178112881 731.231597495295</t>
  </si>
  <si>
    <t>9763-20170724T164400.518153500.bin</t>
  </si>
  <si>
    <t>-514.338337257193 114.038320715295 -241.809351434996</t>
  </si>
  <si>
    <t>-553.640579634014 106.155029545207 -356.094171700097</t>
  </si>
  <si>
    <t>-567.141680963518 94.6526066777893 -475.993916337158</t>
  </si>
  <si>
    <t>-568.527121397563 83.1299899056664 -584.898323369694</t>
  </si>
  <si>
    <t>-559.168623002874 70.7236889546996 -693.311206134022</t>
  </si>
  <si>
    <t>-535.01281375107 52.7657061814116 -842.622964196688</t>
  </si>
  <si>
    <t>-488.400193667521 45.3420025255317 -932.92869842128</t>
  </si>
  <si>
    <t>-542.188136880529 92.1470373971804 -779.769733126285</t>
  </si>
  <si>
    <t>-542.465444229068 238.703319755589 -767.758974633475</t>
  </si>
  <si>
    <t>-484.611056505786 295.423570344145 -461.781995907862</t>
  </si>
  <si>
    <t>-299.652713366869 198.444585386926 -306.773855776249</t>
  </si>
  <si>
    <t>-549.213810991934 29.2760629820232 -773.344702720358</t>
  </si>
  <si>
    <t>-350.679633034514 2.62631427949107 -478.300772570178</t>
  </si>
  <si>
    <t>-498.152398453857 209.553997409302 -253.55747978766</t>
  </si>
  <si>
    <t>-482.804937540862 202.894690192782 201.830007881138</t>
  </si>
  <si>
    <t>-492.780783674483 171.102859587047 670.462391620306</t>
  </si>
  <si>
    <t>-339.689596174859 162.068018333107 756.630613996312</t>
  </si>
  <si>
    <t>-530.367825461112 18.5065816898389 -229.499621521926</t>
  </si>
  <si>
    <t>-437.521599706027 -19.6799060275349 214.999012276008</t>
  </si>
  <si>
    <t>-592.948063584748 -99.3104227065194 651.084503376023</t>
  </si>
  <si>
    <t>-443.37940810449 -145.428891430273 731.3703075582</t>
  </si>
  <si>
    <t>9763-20170724T164400.584329100.bin</t>
  </si>
  <si>
    <t>-514.680935466767 113.286622615458 -242.065972047303</t>
  </si>
  <si>
    <t>-553.908442941422 105.412831302188 -356.377033339511</t>
  </si>
  <si>
    <t>-567.37439779758 93.877840334849 -476.277699746928</t>
  </si>
  <si>
    <t>-568.744349833877 82.3141971501033 -585.177981002461</t>
  </si>
  <si>
    <t>-559.3865008543 69.8580730115433 -693.585226258971</t>
  </si>
  <si>
    <t>-535.247896398351 51.8244979541282 -842.890627971926</t>
  </si>
  <si>
    <t>-488.693323239491 44.4231788573839 -933.228235805965</t>
  </si>
  <si>
    <t>-542.505115820838 91.2459017029136 -780.07180130521</t>
  </si>
  <si>
    <t>-543.201189278451 237.808920328888 -768.099845519115</t>
  </si>
  <si>
    <t>-487.304623974065 294.697136485116 -461.790368392045</t>
  </si>
  <si>
    <t>-300.879403632859 197.558956785983 -308.650341921081</t>
  </si>
  <si>
    <t>-549.351883958979 28.36170562294 -773.58342283027</t>
  </si>
  <si>
    <t>-350.641878608585 2.75085492916419 -478.497445259563</t>
  </si>
  <si>
    <t>-498.527504958449 208.795837439682 -253.748600532052</t>
  </si>
  <si>
    <t>-482.987519946106 202.290531516064 201.634692685947</t>
  </si>
  <si>
    <t>-492.574076564239 170.706622078123 670.404575936637</t>
  </si>
  <si>
    <t>-339.435369126586 162.809365652269 756.600209768111</t>
  </si>
  <si>
    <t>-530.716289121488 17.8040622064139 -229.783751050853</t>
  </si>
  <si>
    <t>-438.198106245417 -20.1435427343366 214.803719091973</t>
  </si>
  <si>
    <t>-592.968504687103 -99.0768571608523 651.312942892723</t>
  </si>
  <si>
    <t>-443.472213806822 -145.477266285442 731.571141387539</t>
  </si>
  <si>
    <t>9763-20170724T164400.623052800.bin</t>
  </si>
  <si>
    <t>-514.894390847668 113.044262259199 -242.134702575109</t>
  </si>
  <si>
    <t>-554.135401196866 105.233377579291 -356.445483740362</t>
  </si>
  <si>
    <t>-567.619719069702 93.7167495723363 -476.345834597678</t>
  </si>
  <si>
    <t>-569.007191518016 82.1557273865074 -585.246056355594</t>
  </si>
  <si>
    <t>-559.667175583361 69.6907995500999 -693.653807556379</t>
  </si>
  <si>
    <t>-535.553257026921 51.6356280850831 -842.960629633526</t>
  </si>
  <si>
    <t>-488.998511845188 44.2405503416911 -933.298640205993</t>
  </si>
  <si>
    <t>-542.852926986593 91.0709035690537 -780.155442199719</t>
  </si>
  <si>
    <t>-543.877980269144 237.609307745842 -768.182264273328</t>
  </si>
  <si>
    <t>-488.207054631942 294.636408184864 -461.85741908564</t>
  </si>
  <si>
    <t>-301.289734560903 197.608610767961 -309.24812189941</t>
  </si>
  <si>
    <t>-549.592885335768 28.178096155998 -773.638574238247</t>
  </si>
  <si>
    <t>-350.843701513041 3.13678078183085 -478.429682383288</t>
  </si>
  <si>
    <t>-498.857753866671 208.643930382704 -253.742149473767</t>
  </si>
  <si>
    <t>-483.134906989812 202.123063600046 201.634584157158</t>
  </si>
  <si>
    <t>-492.594670035374 170.722155214651 670.422120959871</t>
  </si>
  <si>
    <t>-339.449855978076 162.825775990587 756.606930326354</t>
  </si>
  <si>
    <t>-530.799061236859 17.589422621262 -229.892790693637</t>
  </si>
  <si>
    <t>-438.517199338012 -20.438697060598 214.73691409593</t>
  </si>
  <si>
    <t>-592.971747297055 -98.9936827086314 651.41449789466</t>
  </si>
  <si>
    <t>-443.577329937237 -145.683436688893 731.694579406435</t>
  </si>
  <si>
    <t>9763-20170724T164400.691242200.bin</t>
  </si>
  <si>
    <t>-515.144755936813 112.392068232748 -242.159088438729</t>
  </si>
  <si>
    <t>-554.362288241638 104.541434115819 -356.475156675166</t>
  </si>
  <si>
    <t>-567.905816369798 92.9612022782653 -476.362722282674</t>
  </si>
  <si>
    <t>-569.380656716814 81.3340446090062 -585.254855604174</t>
  </si>
  <si>
    <t>-560.160919061878 68.7948797318268 -693.664289106841</t>
  </si>
  <si>
    <t>-536.246977692113 50.6283776849764 -842.989873870385</t>
  </si>
  <si>
    <t>-489.699615345041 43.1824810769303 -933.327485498145</t>
  </si>
  <si>
    <t>-543.467109494902 90.1109063686513 -780.205113708213</t>
  </si>
  <si>
    <t>-544.705557740625 236.703642822795 -768.438889544864</t>
  </si>
  <si>
    <t>-490.6217274878 294.64746515342 -462.002037485991</t>
  </si>
  <si>
    <t>-303.018128306368 197.682665027405 -310.196796840371</t>
  </si>
  <si>
    <t>-550.189229041033 27.2221428241327 -773.63068738567</t>
  </si>
  <si>
    <t>-351.243683822909 3.0691038125248 -478.141589881501</t>
  </si>
  <si>
    <t>-499.053685324271 208.113297279726 -253.753994138548</t>
  </si>
  <si>
    <t>-483.384873012494 201.93115932223 201.62930967897</t>
  </si>
  <si>
    <t>-492.672274881326 171.012358238853 670.431844820712</t>
  </si>
  <si>
    <t>-339.50446891842 162.789916659124 756.545360845004</t>
  </si>
  <si>
    <t>-531.088800725272 16.6460046936043 -229.843018927344</t>
  </si>
  <si>
    <t>-438.746126895084 -21.3383075049446 214.777810081424</t>
  </si>
  <si>
    <t>-592.983346884086 -99.6981502031009 651.601474450197</t>
  </si>
  <si>
    <t>-443.21069030684 -145.046259035872 731.945752234062</t>
  </si>
  <si>
    <t>9763-20170724T164400.717028400.bin</t>
  </si>
  <si>
    <t>-515.160665344214 112.259360655908 -242.068055492411</t>
  </si>
  <si>
    <t>-554.33879424053 104.411382748518 -356.397783541428</t>
  </si>
  <si>
    <t>-567.865137230772 92.8036216562355 -476.284666684613</t>
  </si>
  <si>
    <t>-569.333668366268 81.1402938106069 -585.172960761669</t>
  </si>
  <si>
    <t>-560.116669560237 68.5543438391516 -693.577246637719</t>
  </si>
  <si>
    <t>-536.215899393791 50.3125876555037 -842.895646800922</t>
  </si>
  <si>
    <t>-489.68142899026 42.8422832184012 -933.237954617741</t>
  </si>
  <si>
    <t>-543.412528105513 89.8250797786101 -780.127101107734</t>
  </si>
  <si>
    <t>-544.54545732554 236.39466312044 -768.418491619001</t>
  </si>
  <si>
    <t>-492.098139090152 294.826787281583 -461.789881089603</t>
  </si>
  <si>
    <t>-304.251122752008 197.59667461919 -310.456089191061</t>
  </si>
  <si>
    <t>-550.170006220962 26.9428839830905 -773.526674645964</t>
  </si>
  <si>
    <t>-351.303908309503 2.93250860667135 -477.989166964163</t>
  </si>
  <si>
    <t>-499.024688930554 208.058601024004 -253.706876704271</t>
  </si>
  <si>
    <t>-483.490537944579 201.920133769722 201.681654770579</t>
  </si>
  <si>
    <t>-492.779602962712 171.18926096624 670.516123722607</t>
  </si>
  <si>
    <t>-339.592743990938 162.377052240718 756.537386985583</t>
  </si>
  <si>
    <t>-531.074944452365 16.5225010101515 -229.776098631731</t>
  </si>
  <si>
    <t>-438.772876032766 -21.472829254226 214.852160720484</t>
  </si>
  <si>
    <t>-592.97897682203 -99.5981642552172 651.713257709246</t>
  </si>
  <si>
    <t>-443.23975782277 -145.055688516923 732.058148610727</t>
  </si>
  <si>
    <t>9763-20170724T164400.788270400.bin</t>
  </si>
  <si>
    <t>-515.038370600752 112.086473244563 -241.907134533833</t>
  </si>
  <si>
    <t>-554.31378367897 104.291380800092 -356.207202431901</t>
  </si>
  <si>
    <t>-567.897976383045 92.6967357087029 -476.088841099616</t>
  </si>
  <si>
    <t>-569.400260987245 81.0358018350795 -584.976869457071</t>
  </si>
  <si>
    <t>-560.19757739336 68.4472587213912 -693.382057993714</t>
  </si>
  <si>
    <t>-536.296261005698 50.200788137642 -842.699873429698</t>
  </si>
  <si>
    <t>-489.782379298005 42.6925126089203 -933.049454092946</t>
  </si>
  <si>
    <t>-543.49221030331 89.7151867345601 -779.932375467425</t>
  </si>
  <si>
    <t>-544.673218267115 236.296471166438 -768.184862021853</t>
  </si>
  <si>
    <t>-494.870203656437 295.46665035639 -461.257057189095</t>
  </si>
  <si>
    <t>-306.744700041647 197.581531557108 -310.693711808793</t>
  </si>
  <si>
    <t>-550.251566471538 26.8334039408086 -773.330305109054</t>
  </si>
  <si>
    <t>-351.462940918721 2.70464035283614 -477.712181002029</t>
  </si>
  <si>
    <t>-498.744276927928 207.879318885482 -253.537823627151</t>
  </si>
  <si>
    <t>-483.186423674818 201.918701087731 201.852257897902</t>
  </si>
  <si>
    <t>-492.952089597576 171.212575125307 670.688778962754</t>
  </si>
  <si>
    <t>-339.649268839415 162.411295447777 756.504204700477</t>
  </si>
  <si>
    <t>-531.160406094446 16.3607695667577 -229.584059713032</t>
  </si>
  <si>
    <t>-438.771789574208 -21.5710377403865 215.03174401377</t>
  </si>
  <si>
    <t>-593.006883991985 -99.3952007014351 651.965690501508</t>
  </si>
  <si>
    <t>-443.416489719161 -145.535971011944 732.198081067092</t>
  </si>
  <si>
    <t>9763-20170724T164400.824378400.bin</t>
  </si>
  <si>
    <t>-514.941670768495 111.999023598406 -241.812099873611</t>
  </si>
  <si>
    <t>-554.198589108597 104.225087702834 -356.119806103121</t>
  </si>
  <si>
    <t>-567.798678528864 92.6373890312281 -476.000325790651</t>
  </si>
  <si>
    <t>-569.329326197455 80.9771876273327 -584.888114040496</t>
  </si>
  <si>
    <t>-560.168749400963 68.3839887783585 -693.29636048855</t>
  </si>
  <si>
    <t>-536.339604180175 50.125511112818 -842.624312168584</t>
  </si>
  <si>
    <t>-489.834901978563 42.5795973480565 -932.975585592579</t>
  </si>
  <si>
    <t>-543.502209550523 89.6446997438802 -779.85601918137</t>
  </si>
  <si>
    <t>-544.715145078934 236.207522506002 -768.100708178367</t>
  </si>
  <si>
    <t>-495.528065228929 295.781924307426 -461.151718893811</t>
  </si>
  <si>
    <t>-307.165992756377 197.898792873539 -310.883203149401</t>
  </si>
  <si>
    <t>-550.264303027162 26.7639445040226 -773.24654738998</t>
  </si>
  <si>
    <t>-351.301885637989 2.47068308224885 -477.504267108248</t>
  </si>
  <si>
    <t>-498.61990382474 207.628508842944 -253.473001227173</t>
  </si>
  <si>
    <t>-483.010962804063 201.729050144698 201.916123578144</t>
  </si>
  <si>
    <t>-492.914297185064 171.034973978178 670.710327392542</t>
  </si>
  <si>
    <t>-339.567425724833 162.809686836913 756.504203945896</t>
  </si>
  <si>
    <t>-531.06331141204 16.4410747311362 -229.51903652055</t>
  </si>
  <si>
    <t>-438.786613797614 -21.480472173691 215.120892795271</t>
  </si>
  <si>
    <t>-593.013386988529 -98.9624329862529 652.070600295852</t>
  </si>
  <si>
    <t>-443.607891622994 -145.798312610793 732.244926006314</t>
  </si>
  <si>
    <t>9763-20170724T164400.889032900.bin</t>
  </si>
  <si>
    <t>-514.811649785505 111.475974742434 -241.690184784159</t>
  </si>
  <si>
    <t>-554.102995635987 103.682884859074 -355.984796501673</t>
  </si>
  <si>
    <t>-567.790886698373 92.0388510258304 -475.849754431179</t>
  </si>
  <si>
    <t>-569.422151783898 80.3100586447132 -584.728809148424</t>
  </si>
  <si>
    <t>-560.382514289877 67.6290758635618 -693.136917917175</t>
  </si>
  <si>
    <t>-536.741136496573 49.227261204876 -842.477046336639</t>
  </si>
  <si>
    <t>-490.266239866447 41.5761178610252 -932.834850430119</t>
  </si>
  <si>
    <t>-543.786240075597 88.8032130635018 -779.731228049933</t>
  </si>
  <si>
    <t>-544.926146303876 235.393846495217 -768.123565921337</t>
  </si>
  <si>
    <t>-497.094963823229 295.089593424175 -460.983909677211</t>
  </si>
  <si>
    <t>-308.343054667075 197.35384073349 -311.108931602486</t>
  </si>
  <si>
    <t>-550.617172036557 25.9357498309876 -773.066037829739</t>
  </si>
  <si>
    <t>-351.269974010978 1.3028407477602 -477.516459267364</t>
  </si>
  <si>
    <t>-498.465601427182 207.147807971985 -253.386262764073</t>
  </si>
  <si>
    <t>-482.872579531023 201.418317112545 202.00543915353</t>
  </si>
  <si>
    <t>-492.940639300745 170.933577385071 670.810376098918</t>
  </si>
  <si>
    <t>-339.531742465615 162.973290948091 756.518284951944</t>
  </si>
  <si>
    <t>-531.056180290877 15.7702865506137 -229.327885770131</t>
  </si>
  <si>
    <t>-438.748022152695 -21.9658386204345 215.321262694255</t>
  </si>
  <si>
    <t>-593.05689099157 -99.500823752283 652.248100679438</t>
  </si>
  <si>
    <t>-443.094045123431 -144.825349517411 732.250289052041</t>
  </si>
  <si>
    <t>9763-20170724T164400.922204600.bin</t>
  </si>
  <si>
    <t>-514.763142964317 111.590838803117 -241.648132796275</t>
  </si>
  <si>
    <t>-554.04669782361 103.792976710495 -355.945099511036</t>
  </si>
  <si>
    <t>-567.767188336158 92.1381382371027 -475.805355678565</t>
  </si>
  <si>
    <t>-569.444490229484 80.3965275778709 -584.682244470882</t>
  </si>
  <si>
    <t>-560.467118288331 67.6994103011373 -693.093648343893</t>
  </si>
  <si>
    <t>-536.928441054094 49.2713859658379 -842.446653677512</t>
  </si>
  <si>
    <t>-490.489368060276 41.5912073118366 -932.820457818742</t>
  </si>
  <si>
    <t>-543.923037104837 88.8577154361712 -779.701753958989</t>
  </si>
  <si>
    <t>-545.053067895632 235.43613971224 -768.102691531356</t>
  </si>
  <si>
    <t>-497.608472475797 295.607957182863 -460.995970539659</t>
  </si>
  <si>
    <t>-308.839264976159 197.769720536313 -311.20975347241</t>
  </si>
  <si>
    <t>-550.764113288486 25.9927731137419 -773.023441793799</t>
  </si>
  <si>
    <t>-351.180128970867 1.32420460730489 -477.660139822824</t>
  </si>
  <si>
    <t>-498.398239081151 207.119022314675 -253.352481313906</t>
  </si>
  <si>
    <t>-482.843458648959 201.467654369273 202.041582050366</t>
  </si>
  <si>
    <t>-492.93279282518 170.783682334092 670.842450855871</t>
  </si>
  <si>
    <t>-339.508947285986 162.815616722093 756.52294696252</t>
  </si>
  <si>
    <t>-530.983155269579 16.1521617519786 -229.29461392324</t>
  </si>
  <si>
    <t>-438.714666897728 -21.597155817534 215.361618727642</t>
  </si>
  <si>
    <t>-593.008861633854 -98.7278773438649 652.297623982295</t>
  </si>
  <si>
    <t>-443.766803835276 -146.276844236461 732.356331933769</t>
  </si>
  <si>
    <t>9763-20170724T164400.991901100.bin</t>
  </si>
  <si>
    <t>-514.600902603117 111.319913654237 -241.573207304297</t>
  </si>
  <si>
    <t>-553.851925794535 103.512234745217 -355.880662326993</t>
  </si>
  <si>
    <t>-567.604106694834 91.8296935973777 -475.734614167554</t>
  </si>
  <si>
    <t>-569.33617706826 80.0586823807584 -584.607405307064</t>
  </si>
  <si>
    <t>-560.439053643476 67.3294695964765 -693.021697177302</t>
  </si>
  <si>
    <t>-537.037334146403 48.8555159425241 -842.390666059604</t>
  </si>
  <si>
    <t>-490.665562696405 41.1323830180932 -932.795280634093</t>
  </si>
  <si>
    <t>-543.991213718431 88.4626348685491 -779.654416555977</t>
  </si>
  <si>
    <t>-545.18868355714 235.057318830501 -768.13965447388</t>
  </si>
  <si>
    <t>-498.460487840102 295.835641103348 -461.04250016898</t>
  </si>
  <si>
    <t>-309.626379954503 197.878336551762 -311.415945852362</t>
  </si>
  <si>
    <t>-550.792493932647 25.5967353256754 -772.944727042133</t>
  </si>
  <si>
    <t>-350.946606291738 0.912654451751777 -478.096272291592</t>
  </si>
  <si>
    <t>-498.207733682427 206.922805318837 -253.308896563831</t>
  </si>
  <si>
    <t>-482.715142231541 201.381348074944 202.08868865313</t>
  </si>
  <si>
    <t>-492.995173649232 170.996121647508 670.876702101328</t>
  </si>
  <si>
    <t>-339.545461220246 163.215089587769 756.527929854256</t>
  </si>
  <si>
    <t>-530.855941660822 15.6874195207838 -229.189907681176</t>
  </si>
  <si>
    <t>-438.680257370862 -22.077909240858 215.484192747874</t>
  </si>
  <si>
    <t>-593.038247247217 -99.3843582114372 652.445288593576</t>
  </si>
  <si>
    <t>-443.263671038401 -145.353036891685 732.432500242269</t>
  </si>
  <si>
    <t>9763-20170724T164401.022477200.bin</t>
  </si>
  <si>
    <t>-514.463069093747 111.014236680238 -241.568911853801</t>
  </si>
  <si>
    <t>-553.751096947532 103.203260350665 -355.86344722505</t>
  </si>
  <si>
    <t>-567.551591108682 91.5010891282442 -475.709977877276</t>
  </si>
  <si>
    <t>-569.331340417016 79.7061089703303 -584.579418231467</t>
  </si>
  <si>
    <t>-560.485176480753 66.9470997758596 -692.994256583746</t>
  </si>
  <si>
    <t>-537.157362467858 48.4259840241355 -842.369021824809</t>
  </si>
  <si>
    <t>-490.814555054126 40.6684186790908 -932.785590223698</t>
  </si>
  <si>
    <t>-544.083209951048 88.053141437994 -779.642304972026</t>
  </si>
  <si>
    <t>-545.300427550574 234.656434551098 -768.143435297892</t>
  </si>
  <si>
    <t>-499.034051170582 295.793470310838 -461.047697911773</t>
  </si>
  <si>
    <t>-310.054132617935 197.878150156497 -311.577912881971</t>
  </si>
  <si>
    <t>-550.87516733142 25.1888463108567 -772.908421975484</t>
  </si>
  <si>
    <t>-350.991845609384 0.604960276806864 -478.209972088841</t>
  </si>
  <si>
    <t>-498.076318084176 206.654080212678 -253.306684015554</t>
  </si>
  <si>
    <t>-482.59214409224 201.163345260689 202.091728712047</t>
  </si>
  <si>
    <t>-492.932938068798 170.768831762999 670.875654652709</t>
  </si>
  <si>
    <t>-339.462100831634 163.365622544613 756.522632732605</t>
  </si>
  <si>
    <t>-530.683270015048 15.3366040336693 -229.176014228691</t>
  </si>
  <si>
    <t>-438.648382594453 -22.3531186336487 215.533660468653</t>
  </si>
  <si>
    <t>-593.050894930108 -99.6681085082062 652.512556818848</t>
  </si>
  <si>
    <t>-443.039164219303 -144.918127753742 732.465300958588</t>
  </si>
  <si>
    <t>9763-20170724T164401.090166300.bin</t>
  </si>
  <si>
    <t>-514.208152520507 110.974246274799 -241.536034509559</t>
  </si>
  <si>
    <t>-553.45876422449 103.139327378907 -355.841800382622</t>
  </si>
  <si>
    <t>-567.262435026133 91.4215061663463 -475.686371810464</t>
  </si>
  <si>
    <t>-569.06211421831 79.6171611680792 -584.554398424071</t>
  </si>
  <si>
    <t>-560.252724154034 66.8541123680706 -692.971885168682</t>
  </si>
  <si>
    <t>-536.993105888199 48.3334476182822 -842.357229694125</t>
  </si>
  <si>
    <t>-490.679001348992 40.5784843520999 -932.788620035428</t>
  </si>
  <si>
    <t>-543.90616385001 87.9618400948339 -779.629890259091</t>
  </si>
  <si>
    <t>-545.205660629561 234.555120317844 -768.172497232761</t>
  </si>
  <si>
    <t>-500.298290953916 296.102663473383 -460.956821893045</t>
  </si>
  <si>
    <t>-310.89212029467 198.220014000584 -312.005992925358</t>
  </si>
  <si>
    <t>-550.663329879403 25.094666691414 -772.887866925427</t>
  </si>
  <si>
    <t>-350.626124160448 0.202465976646131 -478.409392832458</t>
  </si>
  <si>
    <t>-497.821169998224 206.698905347138 -253.320970143025</t>
  </si>
  <si>
    <t>-482.341922567455 201.289370694505 202.078686981366</t>
  </si>
  <si>
    <t>-492.978761937711 171.092591585838 670.85636277629</t>
  </si>
  <si>
    <t>-339.56582655076 162.999324478324 756.544645441033</t>
  </si>
  <si>
    <t>-530.461562603826 15.2774866253036 -229.113041331652</t>
  </si>
  <si>
    <t>-438.544462374221 -22.3850354521025 215.623421717023</t>
  </si>
  <si>
    <t>-593.029333314455 -99.8103051817952 652.579496208722</t>
  </si>
  <si>
    <t>-443.060070394938 -145.151090121195 732.560395391759</t>
  </si>
  <si>
    <t>9763-20170724T164401.121328800.bin</t>
  </si>
  <si>
    <t>-514.065221678866 110.985715539503 -241.496896006189</t>
  </si>
  <si>
    <t>-553.341330894524 103.141598006149 -355.793299145739</t>
  </si>
  <si>
    <t>-567.153257328705 91.4158948266132 -475.636167873528</t>
  </si>
  <si>
    <t>-568.95282645511 79.6058544199247 -584.503692752145</t>
  </si>
  <si>
    <t>-560.135814018809 66.8394295474333 -692.92014161236</t>
  </si>
  <si>
    <t>-536.857847237372 48.3170871996418 -842.302420891776</t>
  </si>
  <si>
    <t>-490.522085947906 40.5552787410734 -932.722060570309</t>
  </si>
  <si>
    <t>-543.780358551164 87.9463758737473 -779.576605728739</t>
  </si>
  <si>
    <t>-545.132261130914 234.547025164778 -768.106931648245</t>
  </si>
  <si>
    <t>-500.8372954198 296.53860794067 -460.891693687226</t>
  </si>
  <si>
    <t>-311.220024470249 198.645436460126 -312.216660589963</t>
  </si>
  <si>
    <t>-550.534900500337 25.0789454499436 -772.834056906711</t>
  </si>
  <si>
    <t>-350.347217967098 0.127041371625097 -478.362804428217</t>
  </si>
  <si>
    <t>-497.673633330471 206.620720593753 -253.293793668969</t>
  </si>
  <si>
    <t>-482.223671503766 201.246197714018 202.107314954564</t>
  </si>
  <si>
    <t>-492.94770079095 170.909826574222 670.888512782894</t>
  </si>
  <si>
    <t>-339.505619677204 163.147488348307 756.555237750526</t>
  </si>
  <si>
    <t>-530.302132385557 15.3698509087196 -229.049391056555</t>
  </si>
  <si>
    <t>-438.37986016573 -22.3537662196784 215.680746412504</t>
  </si>
  <si>
    <t>-593.004662916564 -99.5712450169165 652.595447510207</t>
  </si>
  <si>
    <t>-443.13030430935 -145.198192064304 732.59152070719</t>
  </si>
  <si>
    <t>9763-20170724T164401.188526000.bin</t>
  </si>
  <si>
    <t>-513.8314177612 110.999734323285 -241.42226364532</t>
  </si>
  <si>
    <t>-553.139426115286 103.120773481073 -355.705277609516</t>
  </si>
  <si>
    <t>-566.955208923647 91.3551035983076 -475.543737019348</t>
  </si>
  <si>
    <t>-568.746064817079 79.5097116484627 -584.40764882179</t>
  </si>
  <si>
    <t>-559.908092516341 66.710327847341 -692.818527319307</t>
  </si>
  <si>
    <t>-536.588579045791 48.1464705058006 -842.189026754535</t>
  </si>
  <si>
    <t>-490.203604731603 40.3633284530465 -932.581763591469</t>
  </si>
  <si>
    <t>-543.523977827881 87.7927763208132 -779.475516994418</t>
  </si>
  <si>
    <t>-544.985162367131 234.386060375908 -768.021026971707</t>
  </si>
  <si>
    <t>-502.226474955105 296.961002767161 -460.706479966623</t>
  </si>
  <si>
    <t>-312.346867626316 199.014463369783 -312.401944403778</t>
  </si>
  <si>
    <t>-550.289519440081 24.9280330401276 -772.718965126193</t>
  </si>
  <si>
    <t>-497.448956830029 206.736134717778 -253.279536979694</t>
  </si>
  <si>
    <t>-482.144718978605 201.428248666794 202.127175018989</t>
  </si>
  <si>
    <t>-493.020824539893 171.229357663147 670.883443084544</t>
  </si>
  <si>
    <t>-339.613251582871 162.968271028648 756.565250392444</t>
  </si>
  <si>
    <t>-530.086343178197 15.3014057975271 -228.920861095288</t>
  </si>
  <si>
    <t>-438.116948444748 -22.2848723199133 215.811180283599</t>
  </si>
  <si>
    <t>-592.978974774008 -99.476492245022 652.627272225973</t>
  </si>
  <si>
    <t>-442.965422112375 -144.658770977763 732.6147624465</t>
  </si>
  <si>
    <t>9763-20170724T164401.221244600.bin</t>
  </si>
  <si>
    <t>-513.666818960218 111.053248380684 -241.411666354102</t>
  </si>
  <si>
    <t>-552.966252635664 103.169854611336 -355.69737643505</t>
  </si>
  <si>
    <t>-566.777614217175 91.3917660319226 -475.535076259929</t>
  </si>
  <si>
    <t>-568.56617949464 79.5328458935104 -584.397516037653</t>
  </si>
  <si>
    <t>-559.727609916334 66.7183500419477 -692.806458131973</t>
  </si>
  <si>
    <t>-536.408811554404 48.1322502928919 -842.174556875914</t>
  </si>
  <si>
    <t>-489.998962701257 40.3406960998425 -932.553662336392</t>
  </si>
  <si>
    <t>-543.34666633643 87.7880901449154 -779.467303101896</t>
  </si>
  <si>
    <t>-544.90270384755 234.388757497862 -768.036803141134</t>
  </si>
  <si>
    <t>-502.824445621235 297.314321461041 -460.699831011594</t>
  </si>
  <si>
    <t>-312.92444380247 199.504977506624 -312.330813696034</t>
  </si>
  <si>
    <t>-550.106610184551 24.9239078112655 -772.700330766548</t>
  </si>
  <si>
    <t>-349.792062926465 0.00893061471131773 -478.032202904569</t>
  </si>
  <si>
    <t>-497.245907379074 206.680422920664 -253.279040743777</t>
  </si>
  <si>
    <t>-482.001244946758 201.420007372517 202.130243553652</t>
  </si>
  <si>
    <t>-493.002646421082 171.184884342937 670.890521915749</t>
  </si>
  <si>
    <t>-339.57978906944 163.197359636189 756.571035048755</t>
  </si>
  <si>
    <t>-529.928507597587 15.5172827597759 -228.903727899728</t>
  </si>
  <si>
    <t>-438.011927543975 -22.1201165026651 215.834828007346</t>
  </si>
  <si>
    <t>-592.955576611249 -99.22805657502 652.61996213935</t>
  </si>
  <si>
    <t>-443.298972093521 -145.490412027726 732.658750728197</t>
  </si>
  <si>
    <t>9763-20170724T164401.285417100.bin</t>
  </si>
  <si>
    <t>-513.328828411307 111.195026343207 -241.391993882946</t>
  </si>
  <si>
    <t>-552.535040077582 103.292618718063 -355.708354506011</t>
  </si>
  <si>
    <t>-566.318776500743 91.4800913905849 -475.545934534257</t>
  </si>
  <si>
    <t>-568.110332792538 79.5842461059254 -584.404313845275</t>
  </si>
  <si>
    <t>-559.30256031516 66.7273636444279 -692.810778518427</t>
  </si>
  <si>
    <t>-536.054904804491 48.0768877664365 -842.181906298717</t>
  </si>
  <si>
    <t>-489.659025555621 40.255475858578 -932.56565942954</t>
  </si>
  <si>
    <t>-542.978866747914 87.7612176316017 -779.49110612385</t>
  </si>
  <si>
    <t>-544.679903711078 234.360937402481 -768.059304006222</t>
  </si>
  <si>
    <t>-504.238242081564 297.877094203717 -460.624214744465</t>
  </si>
  <si>
    <t>-314.287001659626 200.208657923757 -312.22780533044</t>
  </si>
  <si>
    <t>-549.703690105792 24.8970739806651 -772.688463219806</t>
  </si>
  <si>
    <t>-349.304869277236 0.192349898186514 -478.016316892856</t>
  </si>
  <si>
    <t>-496.938338320804 206.946177619077 -253.255955844971</t>
  </si>
  <si>
    <t>-481.891167904251 201.688707308474 202.159913050894</t>
  </si>
  <si>
    <t>-493.134232950025 171.65660181449 670.91162951441</t>
  </si>
  <si>
    <t>-339.778167325694 162.614766742851 756.606933083996</t>
  </si>
  <si>
    <t>-529.587523547798 15.4960312585126 -228.893558956952</t>
  </si>
  <si>
    <t>-437.952759938811 -22.1817764633275 215.899815992015</t>
  </si>
  <si>
    <t>-592.966029710055 -99.4581735591404 652.669517915571</t>
  </si>
  <si>
    <t>-443.095611143198 -145.091882330928 732.668936930428</t>
  </si>
  <si>
    <t>9763-20170724T164401.322344900.bin</t>
  </si>
  <si>
    <t>-513.082596208995 111.093989733957 -241.394038251015</t>
  </si>
  <si>
    <t>-552.261482971813 103.174853027382 -355.718581602579</t>
  </si>
  <si>
    <t>-566.03399960628 91.3397444542839 -475.555269333075</t>
  </si>
  <si>
    <t>-567.822289504379 79.422059180057 -584.411152537957</t>
  </si>
  <si>
    <t>-559.017971763178 66.5421403180409 -692.815223588483</t>
  </si>
  <si>
    <t>-535.782271121973 47.858874889316 -842.184033540304</t>
  </si>
  <si>
    <t>-489.393473433666 40.0212009717291 -932.569952398974</t>
  </si>
  <si>
    <t>-542.712795456658 87.5580079795881 -779.503262112478</t>
  </si>
  <si>
    <t>-544.510759919514 234.156562984337 -768.059858535623</t>
  </si>
  <si>
    <t>-504.838336424057 297.993320066424 -460.590810645691</t>
  </si>
  <si>
    <t>-314.839963889462 200.413962950108 -312.196267864852</t>
  </si>
  <si>
    <t>-549.41392024025 24.6932712671612 -772.682616918939</t>
  </si>
  <si>
    <t>-496.672016275802 206.72073858977 -253.250472565166</t>
  </si>
  <si>
    <t>-481.756902044127 201.506821723155 202.170169277031</t>
  </si>
  <si>
    <t>-493.001471035264 171.137543620639 670.917722213757</t>
  </si>
  <si>
    <t>-339.596370722582 162.833481369763 756.599825056113</t>
  </si>
  <si>
    <t>-529.34212942592 15.4402750461185 -228.879024257324</t>
  </si>
  <si>
    <t>-437.815876365867 -22.2208710999118 215.938017645719</t>
  </si>
  <si>
    <t>-592.956766089995 -99.3975108971395 652.67479981954</t>
  </si>
  <si>
    <t>-443.162329319844 -145.277340085442 732.675986569856</t>
  </si>
  <si>
    <t>9763-20170724T164401.385513700.bin</t>
  </si>
  <si>
    <t>-512.52482843254 111.172265909196 -241.376768596827</t>
  </si>
  <si>
    <t>-551.678038263078 103.225634580512 -355.708196832825</t>
  </si>
  <si>
    <t>-565.448061114152 91.3767411050745 -475.543779914304</t>
  </si>
  <si>
    <t>-567.243790851349 79.45455255386 -584.399048855526</t>
  </si>
  <si>
    <t>-558.456689650786 66.5795471088674 -692.805204069138</t>
  </si>
  <si>
    <t>-535.254486820143 47.9139645892436 -842.181461340906</t>
  </si>
  <si>
    <t>-488.866949189693 40.0581381350015 -932.566526483089</t>
  </si>
  <si>
    <t>-542.190686139438 87.6073816872814 -779.497664089576</t>
  </si>
  <si>
    <t>-544.128994659773 234.203595421652 -768.049055025627</t>
  </si>
  <si>
    <t>-505.847902255335 298.580695321144 -460.51635769155</t>
  </si>
  <si>
    <t>-315.692656175697 201.081523295036 -312.270006651216</t>
  </si>
  <si>
    <t>-548.850816479175 24.7384069575982 -772.676270804454</t>
  </si>
  <si>
    <t>-348.359892381101 0.0851040175187308 -478.009209003332</t>
  </si>
  <si>
    <t>-496.104819242602 206.749636396085 -253.253281026419</t>
  </si>
  <si>
    <t>-481.428575247476 201.610282263517 202.175964372739</t>
  </si>
  <si>
    <t>-493.00260467368 171.157093869712 670.925012519486</t>
  </si>
  <si>
    <t>-339.63315832918 162.36502622344 756.622256113801</t>
  </si>
  <si>
    <t>-528.796027278465 15.5845704351581 -228.835406800458</t>
  </si>
  <si>
    <t>-437.537958114536 -22.069686705991 216.03732786776</t>
  </si>
  <si>
    <t>-592.926127413754 -99.2638098649754 652.67028201937</t>
  </si>
  <si>
    <t>-443.130539180048 -145.146057263531 732.667967223901</t>
  </si>
  <si>
    <t>9763-20170724T164401.417237600.bin</t>
  </si>
  <si>
    <t>-512.16994206452 111.054338092394 -241.378592914908</t>
  </si>
  <si>
    <t>-551.269502473881 103.102478446689 -355.728018254035</t>
  </si>
  <si>
    <t>-565.018748750933 91.2500398022194 -475.565584767855</t>
  </si>
  <si>
    <t>-566.809751093483 79.3267695147495 -584.420870307234</t>
  </si>
  <si>
    <t>-558.031910193187 66.4535466591733 -692.827967271534</t>
  </si>
  <si>
    <t>-534.856978535071 47.7942650944898 -842.209167955625</t>
  </si>
  <si>
    <t>-488.463627377438 39.9487554494668 -932.59224446975</t>
  </si>
  <si>
    <t>-541.791242187248 87.4859190600071 -779.524173487757</t>
  </si>
  <si>
    <t>-543.809210186739 234.073331252667 -768.061569754822</t>
  </si>
  <si>
    <t>-506.130283210214 298.858310787151 -460.540147662055</t>
  </si>
  <si>
    <t>-315.987315703592 201.324006594887 -312.301306967712</t>
  </si>
  <si>
    <t>-548.43107760848 24.6149712559847 -772.700997567112</t>
  </si>
  <si>
    <t>-495.710018578156 206.605033447967 -253.269899683418</t>
  </si>
  <si>
    <t>-481.166984380697 201.485045409329 202.163894170623</t>
  </si>
  <si>
    <t>-492.981854869831 171.121407290273 670.916269978731</t>
  </si>
  <si>
    <t>-339.590698171049 162.747996234579 756.616606461665</t>
  </si>
  <si>
    <t>-528.471172861458 15.4478928695966 -228.839267258618</t>
  </si>
  <si>
    <t>-437.402307508898 -22.1413973170003 216.077835006194</t>
  </si>
  <si>
    <t>-592.919144030012 -99.2985442025479 652.680538255996</t>
  </si>
  <si>
    <t>-443.102482867176 -145.135866081306 732.664363181276</t>
  </si>
  <si>
    <t>9763-20170724T164401.487932400.bin</t>
  </si>
  <si>
    <t>-511.46777790136 111.080434634476 -241.355870330891</t>
  </si>
  <si>
    <t>-550.522526148775 103.125248926067 -355.720342430134</t>
  </si>
  <si>
    <t>-564.284997584241 91.2621556123628 -475.555354002777</t>
  </si>
  <si>
    <t>-566.111839570071 79.3288535692328 -584.409020137749</t>
  </si>
  <si>
    <t>-557.393309636246 66.4467494407679 -692.819814695206</t>
  </si>
  <si>
    <t>-534.324418928239 47.7775896218288 -842.216129156501</t>
  </si>
  <si>
    <t>-487.975901211718 39.9580021465968 -932.62441866444</t>
  </si>
  <si>
    <t>-541.237395563879 87.4753716127803 -779.532639014164</t>
  </si>
  <si>
    <t>-543.362037905533 234.074295969332 -768.103731924963</t>
  </si>
  <si>
    <t>-506.890541851695 299.531770565217 -460.579261986805</t>
  </si>
  <si>
    <t>-316.76648765744 202.13656734534 -312.224640451884</t>
  </si>
  <si>
    <t>-547.825950407098 24.6008322469173 -772.693084474539</t>
  </si>
  <si>
    <t>-347.123009205785 0.115914430714298 -478.168886474674</t>
  </si>
  <si>
    <t>-495.006447097675 206.73771431217 -253.243963537362</t>
  </si>
  <si>
    <t>-480.760148169416 201.665003074267 202.199655757215</t>
  </si>
  <si>
    <t>-493.042664517864 171.290676623841 670.936743913939</t>
  </si>
  <si>
    <t>-339.678192801777 162.35614105287 756.628154977972</t>
  </si>
  <si>
    <t>-527.782743790687 15.4972634442024 -228.804720243913</t>
  </si>
  <si>
    <t>-437.124841053966 -22.1112294683515 216.194654853874</t>
  </si>
  <si>
    <t>-592.906971537373 -99.2383019065064 652.699718521507</t>
  </si>
  <si>
    <t>-443.067856112699 -145.033708853347 732.665500781778</t>
  </si>
  <si>
    <t>9763-20170724T164401.523531900.bin</t>
  </si>
  <si>
    <t>-511.121580468731 111.215442592225 -241.338579709282</t>
  </si>
  <si>
    <t>-550.155832938619 103.243620886078 -355.708921103115</t>
  </si>
  <si>
    <t>-563.926382045787 91.3645268491885 -475.541427091553</t>
  </si>
  <si>
    <t>-565.772471304517 79.4171441870311 -584.393099490862</t>
  </si>
  <si>
    <t>-557.084869050131 66.5210505278559 -692.804793285262</t>
  </si>
  <si>
    <t>-534.070972583424 47.8326690802449 -842.207269550232</t>
  </si>
  <si>
    <t>-487.75729619027 40.0128018761681 -932.633272866818</t>
  </si>
  <si>
    <t>-540.966789735399 87.5390527495553 -779.527276974224</t>
  </si>
  <si>
    <t>-543.152888616304 234.134161380797 -768.117755356086</t>
  </si>
  <si>
    <t>-507.232296529223 299.710944777042 -460.553733638774</t>
  </si>
  <si>
    <t>-317.152426322976 202.430930799065 -312.067080584914</t>
  </si>
  <si>
    <t>-547.541065710033 24.6643890417776 -772.675267135348</t>
  </si>
  <si>
    <t>-346.765221688446 0.267589072944162 -478.086124431161</t>
  </si>
  <si>
    <t>-494.693767029743 206.845336728325 -253.220373582173</t>
  </si>
  <si>
    <t>-480.613671800796 201.778717134038 202.228538027645</t>
  </si>
  <si>
    <t>-493.057619049002 171.249944964703 670.962376318222</t>
  </si>
  <si>
    <t>-339.700208388281 162.018885874552 756.63506122953</t>
  </si>
  <si>
    <t>-527.405087671777 15.6577724178872 -228.781270718074</t>
  </si>
  <si>
    <t>-436.97213744802 -21.9213984124128 216.266301830733</t>
  </si>
  <si>
    <t>-592.887146571584 -99.0892140485068 652.699448748091</t>
  </si>
  <si>
    <t>-443.214709043284 -145.404760674952 732.677903481217</t>
  </si>
  <si>
    <t>9763-20170724T164401.584696500.bin</t>
  </si>
  <si>
    <t>-510.388012451247 111.29528410759 -241.241964353373</t>
  </si>
  <si>
    <t>-549.328130257984 103.236042726365 -355.638446985524</t>
  </si>
  <si>
    <t>-563.106301268396 91.3126719626192 -475.465573774947</t>
  </si>
  <si>
    <t>-565.003107438143 79.3397986251829 -584.31362990448</t>
  </si>
  <si>
    <t>-556.40994892865 66.430888736725 -692.731240858328</t>
  </si>
  <si>
    <t>-533.571764363275 47.7357056102534 -842.159789277109</t>
  </si>
  <si>
    <t>-487.352128743132 39.8916486191629 -932.631888143954</t>
  </si>
  <si>
    <t>-540.395746027857 87.4450645661107 -779.473948944411</t>
  </si>
  <si>
    <t>-542.567495061354 234.044362260148 -768.046459473612</t>
  </si>
  <si>
    <t>-507.581427226178 300.085609020254 -460.474195122142</t>
  </si>
  <si>
    <t>-317.695165428806 203.019072867706 -311.600506818846</t>
  </si>
  <si>
    <t>-546.958171307935 24.5704072996196 -772.610623964163</t>
  </si>
  <si>
    <t>-346.007686801868 0.294347057849258 -477.96186534311</t>
  </si>
  <si>
    <t>-493.966992136601 206.819749500651 -253.179410794016</t>
  </si>
  <si>
    <t>-480.272444047043 201.853319730282 202.282359651161</t>
  </si>
  <si>
    <t>-493.061510073784 171.174118090105 670.989616699848</t>
  </si>
  <si>
    <t>-339.670825613885 162.282004252932 756.638515890932</t>
  </si>
  <si>
    <t>-526.624704464098 15.7704322932726 -228.647383492851</t>
  </si>
  <si>
    <t>-436.483567619127 -21.9544842502449 216.447115897685</t>
  </si>
  <si>
    <t>-592.86329247843 -99.2613064139076 652.680182321549</t>
  </si>
  <si>
    <t>-442.960219056549 -144.896850999949 732.617593985223</t>
  </si>
  <si>
    <t>9763-20170724T164401.624828200.bin</t>
  </si>
  <si>
    <t>-509.974444447696 111.334382400876 -241.225419546946</t>
  </si>
  <si>
    <t>-548.925497633923 103.245247051514 -355.615841955187</t>
  </si>
  <si>
    <t>-562.728497613741 91.3032158016258 -475.438346723958</t>
  </si>
  <si>
    <t>-564.653336991948 79.3174604291493 -584.284497919021</t>
  </si>
  <si>
    <t>-556.093813621428 66.3990759243247 -692.703634629278</t>
  </si>
  <si>
    <t>-533.30784599909 47.6938606675258 -842.138910595664</t>
  </si>
  <si>
    <t>-487.128997420359 39.8487656970581 -932.631795893754</t>
  </si>
  <si>
    <t>-540.116191180661 87.4079554359289 -779.454465339022</t>
  </si>
  <si>
    <t>-542.328911538338 233.998070448142 -768.022754254753</t>
  </si>
  <si>
    <t>-507.788748746636 300.168405676404 -460.427796992855</t>
  </si>
  <si>
    <t>-318.047552449142 203.174868091372 -311.32197648684</t>
  </si>
  <si>
    <t>-546.663655148158 24.5326639661393 -772.582484074894</t>
  </si>
  <si>
    <t>-345.637056807517 0.278835789080681 -477.905038511126</t>
  </si>
  <si>
    <t>-493.610277610358 206.86299253633 -253.158964579367</t>
  </si>
  <si>
    <t>-480.070525242905 201.921980802064 202.307716482814</t>
  </si>
  <si>
    <t>-493.13102466388 171.357511808604 671.014868519366</t>
  </si>
  <si>
    <t>-339.72305501631 162.499376005158 756.636426111456</t>
  </si>
  <si>
    <t>-526.225733119482 15.7935187351048 -228.631220660536</t>
  </si>
  <si>
    <t>-436.26032029061 -21.8260873612088 216.507717699969</t>
  </si>
  <si>
    <t>-592.83306379413 -99.2645396061413 652.661229082746</t>
  </si>
  <si>
    <t>-442.971240357692 -145.034888165205 732.598756828603</t>
  </si>
  <si>
    <t>9763-20170724T164401.690001000.bin</t>
  </si>
  <si>
    <t>-509.257254418766 111.527580303222 -241.146577280767</t>
  </si>
  <si>
    <t>-548.066863233589 103.372741903704 -355.580413569637</t>
  </si>
  <si>
    <t>-561.853671580934 91.3947773272823 -475.401262909657</t>
  </si>
  <si>
    <t>-563.817594351926 79.3863063042662 -584.244272083379</t>
  </si>
  <si>
    <t>-555.350715759429 66.4531073867745 -692.668851308746</t>
  </si>
  <si>
    <t>-532.748391898503 47.7337875480949 -842.130354895914</t>
  </si>
  <si>
    <t>-486.657090655535 39.8955947038265 -932.668366764703</t>
  </si>
  <si>
    <t>-539.494309495927 87.4551434027033 -779.443625388877</t>
  </si>
  <si>
    <t>-541.831063869074 234.052843416777 -768.011064306618</t>
  </si>
  <si>
    <t>-507.927694283309 300.524625984852 -460.410378493356</t>
  </si>
  <si>
    <t>-318.537496492964 203.80785581246 -310.679591256869</t>
  </si>
  <si>
    <t>-546.004190443426 24.5779450096143 -772.552995287503</t>
  </si>
  <si>
    <t>-344.891334359793 0.57948344152986 -477.850709301996</t>
  </si>
  <si>
    <t>-492.95298035906 207.036323283391 -253.078888502758</t>
  </si>
  <si>
    <t>-479.767433667193 202.107395355527 202.398347126743</t>
  </si>
  <si>
    <t>-493.2067205496 171.319750972594 671.105878874717</t>
  </si>
  <si>
    <t>-339.734004273427 162.617727604806 756.627239608949</t>
  </si>
  <si>
    <t>-525.380405876169 16.0646275585558 -228.562606510174</t>
  </si>
  <si>
    <t>-435.916785487475 -21.5161360607116 216.680704653991</t>
  </si>
  <si>
    <t>-592.798045400006 -99.2321893493212 652.681788681243</t>
  </si>
  <si>
    <t>-443.098562253533 -145.490337215132 732.642884133162</t>
  </si>
  <si>
    <t>9763-20170724T164401.721088100.bin</t>
  </si>
  <si>
    <t>-508.792230963027 111.781451670804 -241.071462257565</t>
  </si>
  <si>
    <t>-547.587438880471 103.603462069043 -355.508596559432</t>
  </si>
  <si>
    <t>-561.393902210501 91.6043560075978 -475.324944104063</t>
  </si>
  <si>
    <t>-563.389725685523 79.5774326314719 -584.165288495046</t>
  </si>
  <si>
    <t>-554.968749508361 66.6262174421383 -692.591367212923</t>
  </si>
  <si>
    <t>-532.444118777031 47.8821750764804 -842.061404050581</t>
  </si>
  <si>
    <t>-486.383330474715 40.0563842855295 -932.616124388808</t>
  </si>
  <si>
    <t>-539.168062062827 87.6147583498785 -779.379504082442</t>
  </si>
  <si>
    <t>-541.563698557519 234.206889311198 -767.976638842541</t>
  </si>
  <si>
    <t>-508.112018917425 300.760611495274 -460.344087378363</t>
  </si>
  <si>
    <t>-318.851096979122 204.20238486436 -310.347764568232</t>
  </si>
  <si>
    <t>-545.653056389259 24.7369094759477 -772.471644890092</t>
  </si>
  <si>
    <t>-344.498338522572 0.801905981396118 -477.784588926497</t>
  </si>
  <si>
    <t>-492.539901717209 207.14536487965 -253.018888128917</t>
  </si>
  <si>
    <t>-479.553535209174 202.256928889453 202.464379942913</t>
  </si>
  <si>
    <t>-493.263708643404 171.372519573019 671.154713722308</t>
  </si>
  <si>
    <t>-339.751423036079 162.714330039119 756.609541525752</t>
  </si>
  <si>
    <t>-524.879759493633 16.4888129280752 -228.470412647589</t>
  </si>
  <si>
    <t>-435.646252602548 -21.0889462649439 216.819352972895</t>
  </si>
  <si>
    <t>-592.751637595452 -98.7778849104589 652.671520127135</t>
  </si>
  <si>
    <t>-443.389368318518 -146.025709647311 732.68435077792</t>
  </si>
  <si>
    <t>9763-20170724T164401.785258000.bin</t>
  </si>
  <si>
    <t>-507.97730993819 112.087589949081 -240.956945031396</t>
  </si>
  <si>
    <t>-546.772837136108 103.841846703609 -355.38905417903</t>
  </si>
  <si>
    <t>-560.634294557735 91.814421308236 -475.196313154963</t>
  </si>
  <si>
    <t>-562.702649967559 79.7754295932749 -584.033950666763</t>
  </si>
  <si>
    <t>-554.377048825745 66.8239605364415 -692.467320307887</t>
  </si>
  <si>
    <t>-532.007684455467 48.0899196028561 -841.961988113874</t>
  </si>
  <si>
    <t>-486.021900070329 40.2916764369322 -932.557034808635</t>
  </si>
  <si>
    <t>-538.683792542817 87.8198293899637 -779.273141679301</t>
  </si>
  <si>
    <t>-541.143985770931 234.412333198569 -767.860576718465</t>
  </si>
  <si>
    <t>-508.404764385166 301.13823983735 -460.188762063335</t>
  </si>
  <si>
    <t>-319.478482516938 204.819037418854 -309.617950094404</t>
  </si>
  <si>
    <t>-545.127094731711 24.9385170227195 -772.357246812818</t>
  </si>
  <si>
    <t>-343.825758377929 1.21712953106361 -477.6029438645</t>
  </si>
  <si>
    <t>-491.893463674728 207.43114486949 -252.916130601142</t>
  </si>
  <si>
    <t>-479.122365959456 202.570800019628 202.573607185652</t>
  </si>
  <si>
    <t>-493.36647031927 171.467977289262 671.2486943635</t>
  </si>
  <si>
    <t>-339.82998989406 162.344055026574 756.611545856442</t>
  </si>
  <si>
    <t>-523.958246207272 16.7822300696738 -228.337988855974</t>
  </si>
  <si>
    <t>-435.140152627643 -20.6846843340966 217.044225934246</t>
  </si>
  <si>
    <t>-592.681641696512 -98.9078163826621 652.638661664757</t>
  </si>
  <si>
    <t>-443.195184887588 -145.707994247453 732.682649869936</t>
  </si>
  <si>
    <t>9763-20170724T164401.822531100.bin</t>
  </si>
  <si>
    <t>-507.587851481773 112.308117868643 -240.885950824565</t>
  </si>
  <si>
    <t>-546.3128724976 104.025671468569 -355.339359885141</t>
  </si>
  <si>
    <t>-560.152267840985 91.9853975353903 -475.147809190568</t>
  </si>
  <si>
    <t>-562.222148610263 79.9423369808275 -583.9849275297</t>
  </si>
  <si>
    <t>-553.919488250552 66.9927768141709 -692.420352329916</t>
  </si>
  <si>
    <t>-531.604360263438 48.2662771052969 -841.924061022174</t>
  </si>
  <si>
    <t>-485.63954995625 40.4842565548635 -932.531233338712</t>
  </si>
  <si>
    <t>-538.269533650453 87.9939900230759 -779.232732876049</t>
  </si>
  <si>
    <t>-540.810831535665 234.57812571184 -767.810165307156</t>
  </si>
  <si>
    <t>-508.267503310865 301.414498119112 -460.141411060955</t>
  </si>
  <si>
    <t>-319.541029744927 205.15525864532 -309.282109558394</t>
  </si>
  <si>
    <t>-544.686713895306 25.1103787316913 -772.313907037294</t>
  </si>
  <si>
    <t>-343.388874669854 1.51288457767956 -477.659884784008</t>
  </si>
  <si>
    <t>-491.580462247366 207.633440788774 -252.861263245407</t>
  </si>
  <si>
    <t>-478.939623156847 202.802524525189 202.632490955598</t>
  </si>
  <si>
    <t>-493.409968672507 171.523764956758 671.285537296706</t>
  </si>
  <si>
    <t>-339.891473113278 161.945189575262 756.630903559593</t>
  </si>
  <si>
    <t>-523.403494239685 17.0238624510299 -228.301326196538</t>
  </si>
  <si>
    <t>-434.956131070748 -20.4150799356606 217.156877448802</t>
  </si>
  <si>
    <t>-592.639067602642 -98.8875737686364 652.615221787497</t>
  </si>
  <si>
    <t>-443.183476466766 -145.720867748166 732.697552756505</t>
  </si>
  <si>
    <t>9763-20170724T164401.889210900.bin</t>
  </si>
  <si>
    <t>-506.682139732394 112.376536820993 -240.814742913922</t>
  </si>
  <si>
    <t>-545.378313214012 104.041824900866 -355.27405421072</t>
  </si>
  <si>
    <t>-559.217734105698 91.9978732800606 -475.08216848064</t>
  </si>
  <si>
    <t>-561.300570089925 79.9680060461971 -583.920622384424</t>
  </si>
  <si>
    <t>-553.024192858761 67.0456794309389 -692.361047407891</t>
  </si>
  <si>
    <t>-530.759499360194 48.369544462454 -841.878640685296</t>
  </si>
  <si>
    <t>-484.825239335726 40.6361145091149 -932.505480688338</t>
  </si>
  <si>
    <t>-537.421098909863 88.0775782100381 -779.174616708894</t>
  </si>
  <si>
    <t>-540.051269938896 234.673524583256 -767.748254567682</t>
  </si>
  <si>
    <t>-507.823336491883 301.548352702929 -460.054634514806</t>
  </si>
  <si>
    <t>-319.558151979105 205.497149982879 -308.488104821928</t>
  </si>
  <si>
    <t>-543.80080408939 25.1887015813122 -772.269189919195</t>
  </si>
  <si>
    <t>-342.20275522541 1.33249266784752 -477.782087240413</t>
  </si>
  <si>
    <t>-490.820156707823 207.515731452196 -252.76778492932</t>
  </si>
  <si>
    <t>-478.408411856457 202.730081826774 202.732808243117</t>
  </si>
  <si>
    <t>-493.38428164806 171.267488598683 671.357400731745</t>
  </si>
  <si>
    <t>-339.752912679013 162.901218460259 756.627098281673</t>
  </si>
  <si>
    <t>-522.420343768669 17.2089134228059 -228.174214308701</t>
  </si>
  <si>
    <t>-434.313890721236 -20.0993013135994 217.362536763202</t>
  </si>
  <si>
    <t>-592.542823002533 -98.9736211255591 652.529440551747</t>
  </si>
  <si>
    <t>-443.005731708807 -145.382304609458 732.706821985635</t>
  </si>
  <si>
    <t>9763-20170724T164401.919756000.bin</t>
  </si>
  <si>
    <t>-506.35565849253 112.437075013238 -240.754381243643</t>
  </si>
  <si>
    <t>-545.05274489203 104.070761119914 -355.211117540142</t>
  </si>
  <si>
    <t>-558.917756687715 92.0007280173416 -475.013546734539</t>
  </si>
  <si>
    <t>-561.034047780037 79.94814886281 -583.848811011936</t>
  </si>
  <si>
    <t>-552.80124689115 67.0033494938484 -692.290097108323</t>
  </si>
  <si>
    <t>-530.607253036072 48.2952987260924 -841.814093141448</t>
  </si>
  <si>
    <t>-484.705988729594 40.5720067884389 -932.458477038654</t>
  </si>
  <si>
    <t>-537.24234822394 88.0170095712946 -779.115727702984</t>
  </si>
  <si>
    <t>-539.93721839652 234.596460034638 -767.682792314707</t>
  </si>
  <si>
    <t>-507.878051003789 301.674518280717 -460.015971576423</t>
  </si>
  <si>
    <t>-319.852535721887 205.716700450493 -308.093053595113</t>
  </si>
  <si>
    <t>-543.612469118381 25.1290743763713 -772.19294252639</t>
  </si>
  <si>
    <t>-341.691710588246 0.580304358596692 -478.273605357663</t>
  </si>
  <si>
    <t>-490.521022075253 207.485456038457 -252.719706656949</t>
  </si>
  <si>
    <t>-478.2026900795 202.714989300459 202.783535582086</t>
  </si>
  <si>
    <t>-493.34278875219 171.010024077565 671.402594108131</t>
  </si>
  <si>
    <t>-339.660534121443 163.088424755437 756.623061116062</t>
  </si>
  <si>
    <t>-522.082575965925 17.378522581364 -228.112388978927</t>
  </si>
  <si>
    <t>-434.065804549107 -19.9150397606107 217.443388188286</t>
  </si>
  <si>
    <t>-592.491622822669 -99.0253413600553 652.479980541434</t>
  </si>
  <si>
    <t>-442.971196267011 -145.3972202635 732.709518791173</t>
  </si>
  <si>
    <t>9763-20170724T164401.990984000.bin</t>
  </si>
  <si>
    <t>-505.531842723162 112.663636587194 -240.663401497731</t>
  </si>
  <si>
    <t>-544.18627037778 104.268935257934 -355.132481516086</t>
  </si>
  <si>
    <t>-558.126318026231 92.2004332081099 -474.926461452564</t>
  </si>
  <si>
    <t>-560.36001055483 80.155096002293 -583.76012166677</t>
  </si>
  <si>
    <t>-552.293563259094 67.219062864878 -692.214991401321</t>
  </si>
  <si>
    <t>-530.380227849582 48.5210187050557 -841.781596171008</t>
  </si>
  <si>
    <t>-484.574644192037 40.8267579506162 -932.476982993203</t>
  </si>
  <si>
    <t>-536.872814320772 88.2364688811625 -779.064476539883</t>
  </si>
  <si>
    <t>-539.507794446404 234.821253894787 -767.634130629897</t>
  </si>
  <si>
    <t>-508.282256024234 302.270083176348 -459.96250481308</t>
  </si>
  <si>
    <t>-320.663695282031 206.621934850838 -307.342847361624</t>
  </si>
  <si>
    <t>-543.279618229059 25.3521792237045 -772.141598193911</t>
  </si>
  <si>
    <t>-489.59504626056 207.547621997288 -252.642028756965</t>
  </si>
  <si>
    <t>-477.4653040664 202.887150624959 202.867256217893</t>
  </si>
  <si>
    <t>-493.370048765526 170.994637270691 671.450343470533</t>
  </si>
  <si>
    <t>-339.657412491176 163.212559562351 756.628848495003</t>
  </si>
  <si>
    <t>-521.291931974489 17.7410868726207 -228.03621600519</t>
  </si>
  <si>
    <t>-433.510375419647 -19.6627259065571 217.556679467247</t>
  </si>
  <si>
    <t>-592.390852877491 -99.1590208114447 652.375548089472</t>
  </si>
  <si>
    <t>-442.827409669377 -145.1656296827 732.735174516245</t>
  </si>
  <si>
    <t>9763-20170724T164402.021066100.bin</t>
  </si>
  <si>
    <t>-505.099191159749 112.647648606453 -240.641291494352</t>
  </si>
  <si>
    <t>-543.748043468305 104.250915665041 -355.112043997469</t>
  </si>
  <si>
    <t>-557.72663666831 92.2017263256754 -474.903560167644</t>
  </si>
  <si>
    <t>-560.013575175356 80.1807901089272 -583.738765684026</t>
  </si>
  <si>
    <t>-552.018541477164 67.2749880885542 -692.202507819572</t>
  </si>
  <si>
    <t>-530.222828357183 48.6240441430882 -841.792176981936</t>
  </si>
  <si>
    <t>-484.465669950401 40.9417518804317 -932.513043738105</t>
  </si>
  <si>
    <t>-536.665096445594 88.3196452383943 -779.057270779172</t>
  </si>
  <si>
    <t>-539.320791919955 234.9070130214 -767.618566661644</t>
  </si>
  <si>
    <t>-508.501824362702 302.396383522162 -459.914908053272</t>
  </si>
  <si>
    <t>-320.985463293278 206.819111365275 -307.12516627973</t>
  </si>
  <si>
    <t>-543.068306303897 25.4333922864094 -772.149498372412</t>
  </si>
  <si>
    <t>-489.171339407793 207.584648066088 -252.621572389503</t>
  </si>
  <si>
    <t>-477.075909439107 202.917419361618 202.888709957461</t>
  </si>
  <si>
    <t>-493.428858881395 171.209804875478 671.456034405145</t>
  </si>
  <si>
    <t>-339.731083041889 163.228687730575 756.642874847641</t>
  </si>
  <si>
    <t>-520.849557256956 17.6566788983174 -228.047719281389</t>
  </si>
  <si>
    <t>-433.325074060858 -19.5272547691138 217.614219247767</t>
  </si>
  <si>
    <t>-592.343728154404 -99.3132230634204 652.336490801441</t>
  </si>
  <si>
    <t>-442.68628200545 -144.945309615397 732.734711704788</t>
  </si>
  <si>
    <t>9763-20170724T164402.087746300.bin</t>
  </si>
  <si>
    <t>-504.42240676691 113.038470154652 -240.604532121076</t>
  </si>
  <si>
    <t>-543.099314912488 104.619308017864 -355.064165516597</t>
  </si>
  <si>
    <t>-557.166100390251 92.5510338536334 -474.843337083888</t>
  </si>
  <si>
    <t>-559.556505720835 80.5175991375125 -583.674988640555</t>
  </si>
  <si>
    <t>-551.687738173369 67.6059310077955 -692.14712672203</t>
  </si>
  <si>
    <t>-530.090027708717 48.9552817399973 -841.765805635342</t>
  </si>
  <si>
    <t>-484.449198092746 41.3004414391637 -932.547422846639</t>
  </si>
  <si>
    <t>-536.490749225977 88.6542132285928 -779.028644859064</t>
  </si>
  <si>
    <t>-539.520721686253 235.231704804713 -767.61144310633</t>
  </si>
  <si>
    <t>-509.091044406671 303.076266552727 -459.947204493442</t>
  </si>
  <si>
    <t>-321.665195387067 207.582669721702 -306.994330487097</t>
  </si>
  <si>
    <t>-542.801904616213 25.7609966853115 -772.099727197474</t>
  </si>
  <si>
    <t>-340.138909669194 0.439133032715198 -478.615942012008</t>
  </si>
  <si>
    <t>-488.560873585932 207.971415077228 -252.589177755118</t>
  </si>
  <si>
    <t>-476.5307744629 203.317313157264 202.922883688004</t>
  </si>
  <si>
    <t>-493.49510255129 171.466898780829 671.462771381486</t>
  </si>
  <si>
    <t>-339.841032436045 162.98394642804 756.679968370817</t>
  </si>
  <si>
    <t>-520.180351389993 18.1173202734568 -227.971835406871</t>
  </si>
  <si>
    <t>-432.840619149129 -19.0604736773089 217.7268320031</t>
  </si>
  <si>
    <t>-592.256545086683 -99.1292391589203 652.263158401901</t>
  </si>
  <si>
    <t>-442.932164289826 -145.648081034513 732.772391395707</t>
  </si>
  <si>
    <t>9763-20170724T164402.119861300.bin</t>
  </si>
  <si>
    <t>-504.121355131049 113.154247198347 -240.554771415824</t>
  </si>
  <si>
    <t>-542.81498008778 104.730582587811 -355.008395888801</t>
  </si>
  <si>
    <t>-556.940862346295 92.6729658309716 -474.781730660686</t>
  </si>
  <si>
    <t>-559.401797841227 80.6559868277598 -583.613640880881</t>
  </si>
  <si>
    <t>-551.620114766995 67.7680801599356 -692.094923294833</t>
  </si>
  <si>
    <t>-530.159977163816 49.1584747757638 -841.738387434336</t>
  </si>
  <si>
    <t>-484.579669090254 41.5538272656236 -932.554547725784</t>
  </si>
  <si>
    <t>-536.504581697626 88.8403640019344 -778.984810854955</t>
  </si>
  <si>
    <t>-539.543768933107 235.404873628866 -767.559394965265</t>
  </si>
  <si>
    <t>-509.647338274947 303.804246758559 -459.965575519811</t>
  </si>
  <si>
    <t>-322.070519824172 208.312118667756 -307.19713019375</t>
  </si>
  <si>
    <t>-542.806318080126 25.9449884222128 -772.066799370825</t>
  </si>
  <si>
    <t>-340.033175537719 0.779143680843184 -478.088262855592</t>
  </si>
  <si>
    <t>-488.234064425378 207.933470650023 -252.5725467527</t>
  </si>
  <si>
    <t>-476.337915469191 203.301071021003 202.943298896962</t>
  </si>
  <si>
    <t>-493.445937339914 171.303302111379 671.466368266535</t>
  </si>
  <si>
    <t>-339.739819433706 163.641606450152 756.667547312452</t>
  </si>
  <si>
    <t>-519.876551912974 18.3659899357117 -227.90678229325</t>
  </si>
  <si>
    <t>-432.563033546793 -18.8488398108047 217.793827401108</t>
  </si>
  <si>
    <t>-592.219003718136 -98.9814063457807 652.234229090611</t>
  </si>
  <si>
    <t>-443.155135482988 -146.226114093123 732.803503028807</t>
  </si>
  <si>
    <t>9763-20170724T164402.190054600.bin</t>
  </si>
  <si>
    <t>-503.516443007162 113.148190478266 -240.527071494928</t>
  </si>
  <si>
    <t>-542.2500222898 104.732204086251 -354.967819006309</t>
  </si>
  <si>
    <t>-556.478242994587 92.6778464817038 -474.729349063531</t>
  </si>
  <si>
    <t>-559.056587941567 80.6625637377603 -583.55866428982</t>
  </si>
  <si>
    <t>-551.416109200618 67.775327737391 -692.050179510581</t>
  </si>
  <si>
    <t>-530.175603372353 49.1656719621687 -841.724821549913</t>
  </si>
  <si>
    <t>-484.688629168772 41.627350897754 -932.593465952894</t>
  </si>
  <si>
    <t>-536.402547215457 88.8454030453387 -778.958198279397</t>
  </si>
  <si>
    <t>-539.444493170365 235.427083996819 -767.659807044944</t>
  </si>
  <si>
    <t>-511.755433133937 304.261022025998 -459.956335337927</t>
  </si>
  <si>
    <t>-323.680928501503 208.498544973171 -307.970987691611</t>
  </si>
  <si>
    <t>-542.745201333559 25.9543190743107 -772.03873961465</t>
  </si>
  <si>
    <t>-340.173696719163 0.726535561166607 -477.547648027788</t>
  </si>
  <si>
    <t>-487.513035042473 207.926001407841 -252.571778741143</t>
  </si>
  <si>
    <t>-475.749687914963 203.315809439636 202.947737561504</t>
  </si>
  <si>
    <t>-493.409100971141 171.263253631577 671.451778861304</t>
  </si>
  <si>
    <t>-339.692998555987 164.049683078118 756.673991945041</t>
  </si>
  <si>
    <t>-519.339618161159 18.3470298279477 -227.837782793171</t>
  </si>
  <si>
    <t>-432.230460129559 -18.7330031644752 217.9140833613</t>
  </si>
  <si>
    <t>-592.170038095665 -99.0410004106612 652.1702860039</t>
  </si>
  <si>
    <t>-442.947613993839 -145.714507867053 732.779035393449</t>
  </si>
  <si>
    <t>9763-20170724T164402.221983700.bin</t>
  </si>
  <si>
    <t>-503.283569050813 113.115563543451 -240.510525776096</t>
  </si>
  <si>
    <t>-542.014651553739 104.744777306681 -354.955457405045</t>
  </si>
  <si>
    <t>-556.283064231287 92.7266469609485 -474.715734355481</t>
  </si>
  <si>
    <t>-558.914741701349 80.741511933956 -583.547220874801</t>
  </si>
  <si>
    <t>-551.344226933272 67.8826245737913 -692.04700228883</t>
  </si>
  <si>
    <t>-530.217546688761 49.3113222822356 -841.742550780455</t>
  </si>
  <si>
    <t>-484.77365858354 41.7966314846864 -932.634580565946</t>
  </si>
  <si>
    <t>-536.389473665231 88.9744224932401 -778.959849852449</t>
  </si>
  <si>
    <t>-539.4633899057 235.555198486697 -767.65921977453</t>
  </si>
  <si>
    <t>-512.5893240975 304.586618467666 -459.927814778813</t>
  </si>
  <si>
    <t>-324.381227799063 208.530025410722 -308.29366959103</t>
  </si>
  <si>
    <t>-542.741400634069 26.0827058825386 -772.053980379304</t>
  </si>
  <si>
    <t>-340.120968371827 0.656317703040486 -477.311111409242</t>
  </si>
  <si>
    <t>-487.194702281084 207.941999278504 -252.56325491004</t>
  </si>
  <si>
    <t>-475.398731569946 203.309851250962 202.95510762437</t>
  </si>
  <si>
    <t>-493.390370296889 171.228345922909 671.448379831434</t>
  </si>
  <si>
    <t>-339.706110571432 163.710815093338 756.701817250676</t>
  </si>
  <si>
    <t>-519.226190568698 18.3094652450078 -227.828183450084</t>
  </si>
  <si>
    <t>-432.13960907009 -18.7195741860417 217.932390305996</t>
  </si>
  <si>
    <t>-592.158253386292 -99.1467880056766 652.158955707453</t>
  </si>
  <si>
    <t>-442.940074488703 -145.811609501257 732.780584958019</t>
  </si>
  <si>
    <t>9763-20170724T164402.289168900.bin</t>
  </si>
  <si>
    <t>-502.947202816997 113.373582460323 -240.510128701932</t>
  </si>
  <si>
    <t>-541.771810211516 105.08446549777 -354.929349834738</t>
  </si>
  <si>
    <t>-556.182388494721 93.1526397143559 -474.681267899172</t>
  </si>
  <si>
    <t>-558.960995471284 81.2476490089825 -583.517885155883</t>
  </si>
  <si>
    <t>-551.554431396286 68.4714567399368 -692.038637090066</t>
  </si>
  <si>
    <t>-530.672068959265 50.0179909812469 -841.783017958582</t>
  </si>
  <si>
    <t>-485.309030405064 42.5293152939374 -932.717698231943</t>
  </si>
  <si>
    <t>-536.709008028322 89.6288557410865 -778.954275290651</t>
  </si>
  <si>
    <t>-539.642985842559 236.221612362996 -767.588328953036</t>
  </si>
  <si>
    <t>-514.588526399676 305.499063384413 -459.758662235682</t>
  </si>
  <si>
    <t>-326.272688796413 209.420895207208 -308.272051048543</t>
  </si>
  <si>
    <t>-543.114745549283 26.7373543683201 -772.09735816</t>
  </si>
  <si>
    <t>-340.379200793458 1.0185045046548 -477.325591646327</t>
  </si>
  <si>
    <t>-486.744636762253 208.337684090255 -252.539401846832</t>
  </si>
  <si>
    <t>-474.918742727845 203.696093375311 202.978206699911</t>
  </si>
  <si>
    <t>-493.493856741411 171.69285122356 671.431278901224</t>
  </si>
  <si>
    <t>-339.930014711506 162.716247415279 756.760470191382</t>
  </si>
  <si>
    <t>-519.027156639968 18.4398696536075 -227.810281072163</t>
  </si>
  <si>
    <t>-431.991267857544 -18.6333279504285 217.956501993348</t>
  </si>
  <si>
    <t>-592.140910436911 -99.2093510574167 652.123222656248</t>
  </si>
  <si>
    <t>-442.80714177681 -145.494345187395 732.74988675476</t>
  </si>
  <si>
    <t>9763-20170724T164402.320256300.bin</t>
  </si>
  <si>
    <t>-502.77641791552 113.371953517246 -240.471277188823</t>
  </si>
  <si>
    <t>-541.58562574726 105.098295147337 -354.896728679282</t>
  </si>
  <si>
    <t>-556.026424679162 93.1981023527942 -474.648362990394</t>
  </si>
  <si>
    <t>-558.851365397909 81.3278277177322 -583.487507618472</t>
  </si>
  <si>
    <t>-551.509878714955 68.5925027478291 -692.017490827883</t>
  </si>
  <si>
    <t>-530.736946143906 50.2019818843994 -841.784876069322</t>
  </si>
  <si>
    <t>-485.424124018266 42.7193681056415 -932.744951676897</t>
  </si>
  <si>
    <t>-536.705889970165 89.7845042406263 -778.931792836244</t>
  </si>
  <si>
    <t>-539.60952511444 236.367872761271 -767.500211011995</t>
  </si>
  <si>
    <t>-515.305359601648 305.443856076894 -459.565122749391</t>
  </si>
  <si>
    <t>-326.90955418275 209.624443522586 -308.013947392672</t>
  </si>
  <si>
    <t>-543.150700167881 26.8938948633858 -772.103100025471</t>
  </si>
  <si>
    <t>-340.341751366239 1.0789769649492 -477.423433429945</t>
  </si>
  <si>
    <t>-486.501752280871 208.285355598101 -252.528528567126</t>
  </si>
  <si>
    <t>-474.742808826542 203.671656067244 202.99104396638</t>
  </si>
  <si>
    <t>-493.462771170254 171.607273423735 671.424011700013</t>
  </si>
  <si>
    <t>-339.879563129182 162.99032181755 756.755512053864</t>
  </si>
  <si>
    <t>-518.860607695553 18.4755017477209 -227.781171483515</t>
  </si>
  <si>
    <t>-431.893273769424 -18.6983231869443 217.990585774872</t>
  </si>
  <si>
    <t>-592.134687316108 -99.2731103036709 652.10230946527</t>
  </si>
  <si>
    <t>-442.851783080831 -145.694811392108 732.744599609119</t>
  </si>
  <si>
    <t>9763-20170724T164402.390943700.bin</t>
  </si>
  <si>
    <t>-502.408833028599 113.296550710363 -240.4690241112</t>
  </si>
  <si>
    <t>-541.273300997147 105.052073842491 -354.877923324916</t>
  </si>
  <si>
    <t>-555.809126592262 93.2119608234309 -474.62391623283</t>
  </si>
  <si>
    <t>-558.73546246566 81.4098693941118 -583.467780147955</t>
  </si>
  <si>
    <t>-551.51004771155 68.7573463410742 -692.015277879384</t>
  </si>
  <si>
    <t>-530.912924413732 50.4978918230023 -841.822971657981</t>
  </si>
  <si>
    <t>-485.697955657574 43.0612776322655 -932.835488136929</t>
  </si>
  <si>
    <t>-536.787975739567 90.0236884788876 -778.925355621691</t>
  </si>
  <si>
    <t>-539.627518017989 236.573116665875 -767.240192723901</t>
  </si>
  <si>
    <t>-516.047337769926 305.532206082273 -459.222582368119</t>
  </si>
  <si>
    <t>-327.758624884355 210.790936379182 -306.862786354058</t>
  </si>
  <si>
    <t>-543.265091866426 27.1306092230453 -772.150088644545</t>
  </si>
  <si>
    <t>-340.284509566677 1.32306222888092 -477.385329963132</t>
  </si>
  <si>
    <t>-486.049111053989 208.142301954542 -252.540363993772</t>
  </si>
  <si>
    <t>-474.351548976878 203.540600757326 202.980999360811</t>
  </si>
  <si>
    <t>-493.407947346527 171.441781082701 671.420424083686</t>
  </si>
  <si>
    <t>-339.797471356841 163.374836650751 756.756486637154</t>
  </si>
  <si>
    <t>-518.650022819231 18.4608595541093 -227.738017027022</t>
  </si>
  <si>
    <t>-431.652775904704 -18.7505721716312 218.024754928124</t>
  </si>
  <si>
    <t>-592.126737178361 -99.5287310248824 652.062683088545</t>
  </si>
  <si>
    <t>-443.014963069964 -146.446528029131 732.734254769411</t>
  </si>
  <si>
    <t>9763-20170724T164402.422529000.bin</t>
  </si>
  <si>
    <t>-502.241983045999 113.31156499648 -240.475220794965</t>
  </si>
  <si>
    <t>-541.105986755803 105.067598902694 -354.884270881312</t>
  </si>
  <si>
    <t>-555.670066829453 93.2526193691699 -474.629279165753</t>
  </si>
  <si>
    <t>-558.633977971587 81.4834665984145 -583.475810923314</t>
  </si>
  <si>
    <t>-551.457877676119 68.8741467750314 -692.031559396083</t>
  </si>
  <si>
    <t>-530.941146098507 50.6855601706729 -841.858944927863</t>
  </si>
  <si>
    <t>-485.775907452133 43.3077918899848 -932.900972474785</t>
  </si>
  <si>
    <t>-536.781675568938 90.1815186851617 -778.93932542266</t>
  </si>
  <si>
    <t>-539.593813245845 236.743067413075 -767.153516912156</t>
  </si>
  <si>
    <t>-516.431191912076 305.905139024916 -459.149852219876</t>
  </si>
  <si>
    <t>-328.197680563548 211.537411356518 -306.49032724117</t>
  </si>
  <si>
    <t>-543.256696922603 27.2853887098199 -772.190570478778</t>
  </si>
  <si>
    <t>-340.460905073648 1.50029063045111 -477.570918701006</t>
  </si>
  <si>
    <t>-485.854440131609 208.140434392405 -252.547487230443</t>
  </si>
  <si>
    <t>-474.171017799491 203.567059287716 202.97453396758</t>
  </si>
  <si>
    <t>-493.372171773043 171.343122724244 671.410441070227</t>
  </si>
  <si>
    <t>-339.764030868528 163.327295329148 756.755629191281</t>
  </si>
  <si>
    <t>-518.500538517957 18.4810562788144 -227.737685458232</t>
  </si>
  <si>
    <t>-431.535175447201 -18.6523526869403 218.037919088964</t>
  </si>
  <si>
    <t>-592.106253515291 -99.4108565212359 652.028300109865</t>
  </si>
  <si>
    <t>-443.019517297767 -146.386874009648 732.712358639437</t>
  </si>
  <si>
    <t>9763-20170724T164402.486710200.bin</t>
  </si>
  <si>
    <t>-501.893372061861 113.205284156582 -240.503073660255</t>
  </si>
  <si>
    <t>-540.770772768556 104.996387444894 -354.91012921071</t>
  </si>
  <si>
    <t>-555.387735660942 93.2597671431251 -474.6564243717</t>
  </si>
  <si>
    <t>-558.415530822131 81.5796461939119 -583.510716920649</t>
  </si>
  <si>
    <t>-551.319204976728 69.0777729347856 -692.08413933329</t>
  </si>
  <si>
    <t>-530.929288587762 51.0579006233352 -841.94921065659</t>
  </si>
  <si>
    <t>-485.852404038734 43.8414676016862 -933.047926231596</t>
  </si>
  <si>
    <t>-536.719041198058 90.4832241801418 -778.980646420851</t>
  </si>
  <si>
    <t>-539.522952126209 237.038687272132 -767.111038353349</t>
  </si>
  <si>
    <t>-517.556281518823 307.299746127152 -459.268475931683</t>
  </si>
  <si>
    <t>-329.435041242202 212.906902237744 -306.486265600413</t>
  </si>
  <si>
    <t>-543.183369010197 27.5790633812071 -772.296458556453</t>
  </si>
  <si>
    <t>-340.377058582948 1.65920490437331 -477.999986038489</t>
  </si>
  <si>
    <t>-485.431850220711 208.058559744673 -252.560010466199</t>
  </si>
  <si>
    <t>-473.80618896882 203.457568680298 202.963175949135</t>
  </si>
  <si>
    <t>-493.329929904057 171.233571819897 671.396343860048</t>
  </si>
  <si>
    <t>-339.726975517817 163.291756323733 756.757846047654</t>
  </si>
  <si>
    <t>-518.17329640244 18.3258673928542 -227.81454723227</t>
  </si>
  <si>
    <t>-431.507774725704 -18.5716475075903 218.038962336041</t>
  </si>
  <si>
    <t>-592.053821588199 -99.2606434878191 651.994088404508</t>
  </si>
  <si>
    <t>-442.854280491123 -145.79924352408 732.723116969143</t>
  </si>
  <si>
    <t>9763-20170724T164402.522692000.bin</t>
  </si>
  <si>
    <t>-501.735374268172 113.388013189648 -240.537735907667</t>
  </si>
  <si>
    <t>-540.61089181278 105.19262976843 -354.946408961294</t>
  </si>
  <si>
    <t>-555.254561864815 93.4827040215652 -474.692056037432</t>
  </si>
  <si>
    <t>-558.318004995825 81.8345834928244 -583.548694325479</t>
  </si>
  <si>
    <t>-551.268595255626 69.3742882442872 -692.130045065213</t>
  </si>
  <si>
    <t>-530.955121118106 51.423442761369 -842.013801570543</t>
  </si>
  <si>
    <t>-485.930160500016 44.2755594090366 -933.143532438894</t>
  </si>
  <si>
    <t>-536.733980913913 90.8215870724823 -779.027238183346</t>
  </si>
  <si>
    <t>-539.707220781475 237.36925207592 -767.17302685846</t>
  </si>
  <si>
    <t>-518.218508453883 308.281436542702 -459.446097446989</t>
  </si>
  <si>
    <t>-330.263368486596 213.612478708304 -306.630083087065</t>
  </si>
  <si>
    <t>-543.152344151762 27.9106505968266 -772.362451656241</t>
  </si>
  <si>
    <t>-340.222562486893 1.95864032351383 -478.093211777888</t>
  </si>
  <si>
    <t>-485.313741424768 208.34860160533 -252.577449281028</t>
  </si>
  <si>
    <t>-473.686842942664 203.756582088092 202.945719249476</t>
  </si>
  <si>
    <t>-493.494657130445 171.930919987015 671.371132105685</t>
  </si>
  <si>
    <t>-339.964361723412 163.053858019967 756.771142900419</t>
  </si>
  <si>
    <t>-518.027143187427 18.5183203953977 -227.850193705304</t>
  </si>
  <si>
    <t>-431.495370923437 -18.2733402880518 218.037966542876</t>
  </si>
  <si>
    <t>-592.009213433638 -98.9259525767652 651.970338853553</t>
  </si>
  <si>
    <t>-443.243391798354 -146.673125355436 732.793815400223</t>
  </si>
  <si>
    <t>9763-20170724T164402.591878600.bin</t>
  </si>
  <si>
    <t>-501.389206352068 113.204157382612 -240.537829405486</t>
  </si>
  <si>
    <t>-540.279418634557 105.064638436796 -354.945458955673</t>
  </si>
  <si>
    <t>-554.929089858089 93.4050153458248 -474.695301044939</t>
  </si>
  <si>
    <t>-557.993560497222 81.8054341535724 -583.557120359835</t>
  </si>
  <si>
    <t>-550.940419664578 69.4001916399226 -692.144588315935</t>
  </si>
  <si>
    <t>-530.616860211995 51.5356472000484 -842.037157446279</t>
  </si>
  <si>
    <t>-485.6520700168 44.4775462083296 -933.203631944096</t>
  </si>
  <si>
    <t>-536.438754747128 90.9009055066975 -779.033992303119</t>
  </si>
  <si>
    <t>-539.565036327963 237.435413265986 -767.126461472127</t>
  </si>
  <si>
    <t>-518.91333667212 309.684997477481 -459.653405017409</t>
  </si>
  <si>
    <t>-331.187622622428 214.725174712714 -306.735891213323</t>
  </si>
  <si>
    <t>-542.780016566061 27.97942556772 -772.394612559362</t>
  </si>
  <si>
    <t>-339.361760081257 1.98877381101761 -478.399911029166</t>
  </si>
  <si>
    <t>-484.922277346862 208.200737286214 -252.570412949647</t>
  </si>
  <si>
    <t>-473.253342962691 203.596558707241 202.951583571777</t>
  </si>
  <si>
    <t>-493.410261778721 171.61622086926 671.373750361324</t>
  </si>
  <si>
    <t>-339.880114199039 162.843167516429 756.784859986415</t>
  </si>
  <si>
    <t>-517.739984003706 18.2479257769817 -227.839575996465</t>
  </si>
  <si>
    <t>-431.385296300691 -18.8594267892806 218.056797336571</t>
  </si>
  <si>
    <t>-592.015513107813 -99.8073319289705 651.98373653005</t>
  </si>
  <si>
    <t>-442.794849406597 -146.087765316562 732.822033428107</t>
  </si>
  <si>
    <t>9763-20170724T164402.618954000.bin</t>
  </si>
  <si>
    <t>-501.272138602168 113.326413069569 -240.541116957907</t>
  </si>
  <si>
    <t>-540.209826774415 105.216244265822 -354.934608519391</t>
  </si>
  <si>
    <t>-554.855105590349 93.5811096108985 -474.687401167873</t>
  </si>
  <si>
    <t>-557.893465645217 82.0044995556119 -583.55240416365</t>
  </si>
  <si>
    <t>-550.792093242679 69.6245420246453 -692.139486727052</t>
  </si>
  <si>
    <t>-530.378780058597 51.7991916697302 -842.024541679202</t>
  </si>
  <si>
    <t>-485.405639701049 44.7725639895002 -933.189388299856</t>
  </si>
  <si>
    <t>-536.250943423101 91.1490090227854 -779.016432904159</t>
  </si>
  <si>
    <t>-539.443410340576 237.690053337598 -767.08023565372</t>
  </si>
  <si>
    <t>-519.336201798985 310.05607675721 -459.598448918626</t>
  </si>
  <si>
    <t>-331.578064062175 215.189233697219 -306.663078396585</t>
  </si>
  <si>
    <t>-542.571202542301 28.2237283391881 -772.393699994045</t>
  </si>
  <si>
    <t>-338.971636177793 2.22160594303735 -478.510129653482</t>
  </si>
  <si>
    <t>-484.770260326704 208.219665769947 -252.559692430683</t>
  </si>
  <si>
    <t>-472.952774234788 203.611697856289 202.958488734086</t>
  </si>
  <si>
    <t>-493.393171822536 171.57353477791 671.370988002135</t>
  </si>
  <si>
    <t>-339.847290837571 163.063432405775 756.780304167055</t>
  </si>
  <si>
    <t>-517.659573323099 18.4231757239397 -227.862303171099</t>
  </si>
  <si>
    <t>-431.370249758117 -18.618165733296 218.052153485273</t>
  </si>
  <si>
    <t>-591.983084064616 -99.4362472607002 651.970718944219</t>
  </si>
  <si>
    <t>-443.051658440924 -146.563332182604 732.853315096309</t>
  </si>
  <si>
    <t>9763-20170724T164402.686131400.bin</t>
  </si>
  <si>
    <t>-501.216154140822 113.290444824897 -240.529305017271</t>
  </si>
  <si>
    <t>-540.199484110848 105.231234148897 -354.910899622016</t>
  </si>
  <si>
    <t>-554.850505528094 93.5996019661573 -474.663332750531</t>
  </si>
  <si>
    <t>-557.876166897962 82.0114567381174 -583.52739824039</t>
  </si>
  <si>
    <t>-550.743798846483 69.6083901879222 -692.109868117771</t>
  </si>
  <si>
    <t>-530.268330087517 51.7415103639459 -841.981541555886</t>
  </si>
  <si>
    <t>-485.278320957169 44.7061820279806 -933.137479442989</t>
  </si>
  <si>
    <t>-536.187202719643 91.1105246522419 -778.989741188534</t>
  </si>
  <si>
    <t>-539.630435978202 237.639533682229 -767.036668138606</t>
  </si>
  <si>
    <t>-520.173020371876 310.270756475375 -459.575548839642</t>
  </si>
  <si>
    <t>-332.537249351682 215.540880466308 -306.40539145091</t>
  </si>
  <si>
    <t>-542.469022922476 28.1835737825872 -772.346195866732</t>
  </si>
  <si>
    <t>-338.741896916314 2.4156733514256 -478.63029216494</t>
  </si>
  <si>
    <t>-484.654075298017 208.264353300369 -252.517803398551</t>
  </si>
  <si>
    <t>-472.552410851183 203.562209370654 202.991830555799</t>
  </si>
  <si>
    <t>-493.37283368242 171.508571882867 671.370717776328</t>
  </si>
  <si>
    <t>-339.842325718106 162.862019663111 756.793936282165</t>
  </si>
  <si>
    <t>-517.645481640662 18.3042711095255 -227.893065030112</t>
  </si>
  <si>
    <t>-431.49816052519 -18.574926094263 218.062348483835</t>
  </si>
  <si>
    <t>-591.966614900846 -99.5738651024548 651.993464372771</t>
  </si>
  <si>
    <t>-442.829083574768 -146.057294817792 732.86875428032</t>
  </si>
  <si>
    <t>9763-20170724T164402.721232300.bin</t>
  </si>
  <si>
    <t>-501.150376311779 113.321347057735 -240.532602211637</t>
  </si>
  <si>
    <t>-540.082896425864 105.234120106529 -354.929461314031</t>
  </si>
  <si>
    <t>-554.700424751066 93.565740102725 -474.682412041129</t>
  </si>
  <si>
    <t>-557.703373515628 81.9407949899178 -583.543196089207</t>
  </si>
  <si>
    <t>-550.556199655907 69.4970453476453 -692.120058545521</t>
  </si>
  <si>
    <t>-530.068416283915 51.5696259546016 -841.982864788129</t>
  </si>
  <si>
    <t>-485.068021495752 44.5083343209855 -933.131445247265</t>
  </si>
  <si>
    <t>-535.996810251101 90.9644380609582 -779.008100322157</t>
  </si>
  <si>
    <t>-539.508863280382 237.493325120427 -767.095627329251</t>
  </si>
  <si>
    <t>-520.340068536329 310.224860133633 -459.640067309787</t>
  </si>
  <si>
    <t>-332.815106698636 215.459199261091 -306.35630097351</t>
  </si>
  <si>
    <t>-542.270446265795 28.0394546391016 -772.338253513265</t>
  </si>
  <si>
    <t>-338.576676322052 2.41515413434072 -478.684436445696</t>
  </si>
  <si>
    <t>-484.559211866346 208.247187937864 -252.52057693644</t>
  </si>
  <si>
    <t>-472.491082907186 203.495261226553 202.989550330524</t>
  </si>
  <si>
    <t>-493.320029030106 171.308871691255 671.367707442087</t>
  </si>
  <si>
    <t>-339.734526512761 163.437480252245 756.766992024805</t>
  </si>
  <si>
    <t>-517.553901396035 18.3806451822431 -227.910653099226</t>
  </si>
  <si>
    <t>-431.567574279022 -18.5792202679957 218.069216233827</t>
  </si>
  <si>
    <t>-591.962676484371 -99.5679832180004 652.028508792541</t>
  </si>
  <si>
    <t>-442.894811914134 -146.272075271158 732.905003010276</t>
  </si>
  <si>
    <t>9763-20170724T164402.786407200.bin</t>
  </si>
  <si>
    <t>-501.278578574812 113.594521157901 -240.551346836287</t>
  </si>
  <si>
    <t>-540.227389472378 105.530749480554 -354.944360586803</t>
  </si>
  <si>
    <t>-554.86658155374 93.8211514540718 -474.690538678189</t>
  </si>
  <si>
    <t>-557.890571321002 82.1323596173717 -583.544019434587</t>
  </si>
  <si>
    <t>-550.765232152432 69.5982464644916 -692.111803902088</t>
  </si>
  <si>
    <t>-530.308184051397 51.5176495274896 -841.960511008307</t>
  </si>
  <si>
    <t>-485.300795719467 44.3464943951583 -933.097123698429</t>
  </si>
  <si>
    <t>-536.214316147762 90.9760078534118 -779.023508266774</t>
  </si>
  <si>
    <t>-539.68062369858 237.517347933142 -767.194310391813</t>
  </si>
  <si>
    <t>-521.056986909871 310.296929946679 -459.716719976123</t>
  </si>
  <si>
    <t>-333.803400267482 215.323027389791 -306.230228494264</t>
  </si>
  <si>
    <t>-542.505256810317 28.0594830834031 -772.290828712733</t>
  </si>
  <si>
    <t>-338.614779838424 2.716804530874 -478.912472131827</t>
  </si>
  <si>
    <t>-484.715176979039 208.566682740248 -252.532701194522</t>
  </si>
  <si>
    <t>-472.766717683621 203.673314033751 202.979012570851</t>
  </si>
  <si>
    <t>-493.325088059116 171.377253771325 671.356272367861</t>
  </si>
  <si>
    <t>-339.745677875614 163.311491358496 756.7483750125</t>
  </si>
  <si>
    <t>-517.718718679737 18.6214038052669 -227.91565867032</t>
  </si>
  <si>
    <t>-431.814052162088 -18.3546624905814 218.07857807031</t>
  </si>
  <si>
    <t>-591.972770904962 -99.324699442336 652.126043321095</t>
  </si>
  <si>
    <t>-442.925045851594 -146.185376276048 732.949085065316</t>
  </si>
  <si>
    <t>9763-20170724T164402.822516200.bin</t>
  </si>
  <si>
    <t>-501.365221822574 113.613298991816 -240.555375497405</t>
  </si>
  <si>
    <t>-540.319317227047 105.553737579923 -354.946841202113</t>
  </si>
  <si>
    <t>-554.976944158128 93.8163909098176 -474.688032293786</t>
  </si>
  <si>
    <t>-558.022580491378 82.0901226720594 -583.536909436079</t>
  </si>
  <si>
    <t>-550.923496477535 69.5066273154108 -692.100738237485</t>
  </si>
  <si>
    <t>-530.507266697184 51.345416390935 -841.945195817027</t>
  </si>
  <si>
    <t>-485.520361906119 44.0865322631402 -933.084937979937</t>
  </si>
  <si>
    <t>-536.392015122844 90.837349828088 -779.02710964105</t>
  </si>
  <si>
    <t>-539.862723983958 237.378299812835 -767.25065289214</t>
  </si>
  <si>
    <t>-521.308842509102 310.212756081508 -459.781861328398</t>
  </si>
  <si>
    <t>-334.260356427556 215.211563502148 -306.062357039041</t>
  </si>
  <si>
    <t>-542.689605451932 27.9250914763884 -772.260213340518</t>
  </si>
  <si>
    <t>-338.700224541305 2.77088272190008 -479.052048069815</t>
  </si>
  <si>
    <t>-484.800899428007 208.651450767899 -252.538861721475</t>
  </si>
  <si>
    <t>-472.900840775943 203.678234905322 202.97325472685</t>
  </si>
  <si>
    <t>-493.299344024588 171.304033153412 671.357557373069</t>
  </si>
  <si>
    <t>-339.708640849938 163.28561444529 756.733865997914</t>
  </si>
  <si>
    <t>-517.77351752251 18.545383870582 -227.896493222602</t>
  </si>
  <si>
    <t>-431.944394195147 -18.4877398066256 218.107457504766</t>
  </si>
  <si>
    <t>-592.007652747616 -99.6551648223627 652.184064577855</t>
  </si>
  <si>
    <t>-442.819723322941 -146.155031180902 732.956817251568</t>
  </si>
  <si>
    <t>9763-20170724T164402.886684400.bin</t>
  </si>
  <si>
    <t>-501.41795262113 113.947099144035 -240.527898660267</t>
  </si>
  <si>
    <t>-540.386948886634 105.891315821345 -354.91459849231</t>
  </si>
  <si>
    <t>-555.051628846815 94.0933405839899 -474.648931447914</t>
  </si>
  <si>
    <t>-558.099278614864 82.2883639064973 -583.489219006573</t>
  </si>
  <si>
    <t>-550.997292811472 69.603887976822 -692.041153914742</t>
  </si>
  <si>
    <t>-530.571866715547 51.2806446943106 -841.864627544461</t>
  </si>
  <si>
    <t>-485.625920287567 43.8641797705036 -933.012042828636</t>
  </si>
  <si>
    <t>-536.45364278871 90.8399067617709 -778.988730833852</t>
  </si>
  <si>
    <t>-539.877509303962 237.387517004052 -767.300822087027</t>
  </si>
  <si>
    <t>-521.656239373609 310.313391115446 -459.833880629403</t>
  </si>
  <si>
    <t>-334.777233401246 215.351436320229 -305.884110108778</t>
  </si>
  <si>
    <t>-542.765320783482 27.9362319217213 -772.15606271663</t>
  </si>
  <si>
    <t>-338.43076212933 3.19792860214784 -479.086306263114</t>
  </si>
  <si>
    <t>-484.774988207109 209.0921750769 -252.543928393818</t>
  </si>
  <si>
    <t>-472.925801265074 203.977575246207 202.968041161708</t>
  </si>
  <si>
    <t>-493.382029772978 171.718813169535 671.345930037424</t>
  </si>
  <si>
    <t>-339.81059779817 163.267004839212 756.715015960389</t>
  </si>
  <si>
    <t>-517.870105765649 18.7502196612252 -227.867817756114</t>
  </si>
  <si>
    <t>-432.130388765371 -18.3823642866282 218.145167257562</t>
  </si>
  <si>
    <t>-592.036205647622 -99.7156313255377 652.27774664283</t>
  </si>
  <si>
    <t>-442.870914649028 -146.39127203521 732.990836839185</t>
  </si>
  <si>
    <t>9763-20170724T164402.924392900.bin</t>
  </si>
  <si>
    <t>-501.423115195264 113.977194807111 -240.513058142634</t>
  </si>
  <si>
    <t>-540.411023913017 105.926135076411 -354.893592106712</t>
  </si>
  <si>
    <t>-555.087573987125 94.0958361506429 -474.623300126124</t>
  </si>
  <si>
    <t>-558.142271686009 82.2470560615184 -583.458728821091</t>
  </si>
  <si>
    <t>-551.04353517339 69.5046965744718 -692.004005516982</t>
  </si>
  <si>
    <t>-530.618458899593 51.086721388231 -841.815868540215</t>
  </si>
  <si>
    <t>-485.689928526993 43.6075293453322 -932.966764290205</t>
  </si>
  <si>
    <t>-536.493734054627 90.6852764359741 -778.964006092851</t>
  </si>
  <si>
    <t>-539.896843598833 237.238820999759 -767.351864566347</t>
  </si>
  <si>
    <t>-521.813845439701 310.355865554876 -459.922023696082</t>
  </si>
  <si>
    <t>-335.015408251462 215.460975163662 -305.833376926382</t>
  </si>
  <si>
    <t>-542.818016792892 27.7869405951674 -772.093518255607</t>
  </si>
  <si>
    <t>-338.332449777131 3.07854850496517 -478.975642354195</t>
  </si>
  <si>
    <t>-484.765160325709 209.181596702483 -252.531548682111</t>
  </si>
  <si>
    <t>-472.841907717704 203.950401608666 202.977135929459</t>
  </si>
  <si>
    <t>-493.36390852822 171.657329525232 671.350814493215</t>
  </si>
  <si>
    <t>-339.769706931997 163.489917710966 756.7068280716</t>
  </si>
  <si>
    <t>-517.908427940208 18.7611422694251 -227.837971666388</t>
  </si>
  <si>
    <t>-432.168485585046 -18.5188701142953 218.162659884944</t>
  </si>
  <si>
    <t>-592.048903808561 -99.8499645743384 652.319712421744</t>
  </si>
  <si>
    <t>-442.614185591695 -145.737446838299 732.986404481774</t>
  </si>
  <si>
    <t>9763-20170724T164402.989566400.bin</t>
  </si>
  <si>
    <t>-501.596534206737 114.251218447377 -240.481248876441</t>
  </si>
  <si>
    <t>-540.608757053707 106.180278201281 -354.852200689117</t>
  </si>
  <si>
    <t>-555.307065328356 94.268392710121 -474.571214939698</t>
  </si>
  <si>
    <t>-558.379419946732 82.3209684782148 -583.395188037029</t>
  </si>
  <si>
    <t>-551.295962365366 69.4553383004118 -691.926902684658</t>
  </si>
  <si>
    <t>-530.889234407755 50.8405704657197 -841.717070335423</t>
  </si>
  <si>
    <t>-485.971426727988 43.2252397064531 -932.861824338375</t>
  </si>
  <si>
    <t>-536.742972808161 90.5204966755471 -778.914497906775</t>
  </si>
  <si>
    <t>-540.106413312983 237.089070113587 -767.489091677432</t>
  </si>
  <si>
    <t>-521.997389765652 310.591107550907 -460.152641912383</t>
  </si>
  <si>
    <t>-335.434907770549 215.739102797718 -305.751955224919</t>
  </si>
  <si>
    <t>-543.094254224348 27.6336024598982 -771.964661317765</t>
  </si>
  <si>
    <t>-338.888467149033 3.53389003711425 -478.769640505321</t>
  </si>
  <si>
    <t>-484.903291434541 209.575879450236 -252.512766386831</t>
  </si>
  <si>
    <t>-472.950522455646 204.203374690555 202.99351037449</t>
  </si>
  <si>
    <t>-493.422435143225 171.930780187078 671.346122933712</t>
  </si>
  <si>
    <t>-339.835159477016 163.547892157549 756.693608937636</t>
  </si>
  <si>
    <t>-518.187292739516 18.9759676692294 -227.771648134659</t>
  </si>
  <si>
    <t>-432.322059182441 -18.380009971942 218.198480425675</t>
  </si>
  <si>
    <t>-592.043437928527 -99.7295656313704 652.396122161012</t>
  </si>
  <si>
    <t>-442.616085663561 -145.700720110031 733.028792061349</t>
  </si>
  <si>
    <t>9763-20170724T164403.020399300.bin</t>
  </si>
  <si>
    <t>-501.804096749805 114.555023653911 -240.474692718321</t>
  </si>
  <si>
    <t>-540.832716917856 106.493502643883 -354.840780809409</t>
  </si>
  <si>
    <t>-555.548622268234 94.551079605041 -474.554647069718</t>
  </si>
  <si>
    <t>-558.63708541476 82.5590187439391 -583.373302181794</t>
  </si>
  <si>
    <t>-551.569386584064 69.6311895228367 -691.898671423192</t>
  </si>
  <si>
    <t>-531.18399864805 50.9114475289638 -841.678566423849</t>
  </si>
  <si>
    <t>-486.263678407235 43.2126052724603 -932.815138282925</t>
  </si>
  <si>
    <t>-537.016487752649 90.6343259973992 -778.901121659006</t>
  </si>
  <si>
    <t>-540.347042310905 237.215308412334 -767.577722570448</t>
  </si>
  <si>
    <t>-522.145949522965 310.819975505868 -460.271309399798</t>
  </si>
  <si>
    <t>-335.737584318724 216.026301646212 -305.648690287941</t>
  </si>
  <si>
    <t>-543.391324581231 27.7544063016328 -771.909945922997</t>
  </si>
  <si>
    <t>-338.843370229775 3.816296874278 -478.48499787706</t>
  </si>
  <si>
    <t>-485.146502136556 209.963282455952 -252.513358820651</t>
  </si>
  <si>
    <t>-473.093408114627 204.48287981835 202.988991831275</t>
  </si>
  <si>
    <t>-493.468224909014 172.139606890477 671.343190108961</t>
  </si>
  <si>
    <t>-339.916394308246 163.243837613589 756.702552860535</t>
  </si>
  <si>
    <t>-518.336057101126 19.2754092376416 -227.778219580736</t>
  </si>
  <si>
    <t>-432.480584521328 -18.2122885402101 218.182758790926</t>
  </si>
  <si>
    <t>-592.051950482348 -99.712541691441 652.456376783971</t>
  </si>
  <si>
    <t>-442.811298208738 -146.288586709393 733.087798551556</t>
  </si>
  <si>
    <t>9763-20170724T164403.092108500.bin</t>
  </si>
  <si>
    <t>-502.215430651105 114.836985275949 -240.447165287501</t>
  </si>
  <si>
    <t>-541.203100060572 106.77526076058 -354.827141809786</t>
  </si>
  <si>
    <t>-555.888671031835 94.7433721755649 -474.535729817729</t>
  </si>
  <si>
    <t>-558.953795277728 82.6323560433746 -583.341788908579</t>
  </si>
  <si>
    <t>-551.866782219149 69.5464764537354 -691.84699149771</t>
  </si>
  <si>
    <t>-531.458463961299 50.5658524259909 -841.591018107257</t>
  </si>
  <si>
    <t>-486.546794540244 42.6861147023759 -932.716396026408</t>
  </si>
  <si>
    <t>-537.277302862615 90.3960350020613 -778.880448409301</t>
  </si>
  <si>
    <t>-540.555398139294 236.988282511418 -767.754280694689</t>
  </si>
  <si>
    <t>-522.405819898441 310.637854790278 -460.455472031533</t>
  </si>
  <si>
    <t>-336.381844394329 215.87098657728 -305.35432119797</t>
  </si>
  <si>
    <t>-543.699710466137 27.5323442542561 -771.78745152313</t>
  </si>
  <si>
    <t>-339.070645747177 3.84408398442255 -478.278945906262</t>
  </si>
  <si>
    <t>-485.483619091916 210.25525206276 -252.491723559824</t>
  </si>
  <si>
    <t>-473.417549755258 204.646619077802 203.00866120407</t>
  </si>
  <si>
    <t>-493.439852010397 172.067606196395 671.345101833709</t>
  </si>
  <si>
    <t>-339.867934946388 163.304207740559 756.681963532717</t>
  </si>
  <si>
    <t>-518.721105821001 19.3965922385535 -227.776398230822</t>
  </si>
  <si>
    <t>-432.901376139754 -18.2259381260677 218.180079241432</t>
  </si>
  <si>
    <t>-592.087376271972 -99.78391284223 652.584623209302</t>
  </si>
  <si>
    <t>-442.632866167369 -145.835712284169 733.120968848652</t>
  </si>
  <si>
    <t>9763-20170724T164403.119434600.bin</t>
  </si>
  <si>
    <t>-502.310316096689 114.972999159293 -240.442649450933</t>
  </si>
  <si>
    <t>-541.329149739522 106.923520038219 -354.812794548992</t>
  </si>
  <si>
    <t>-556.024596458693 94.8620104447511 -474.517137649533</t>
  </si>
  <si>
    <t>-559.089094980667 82.7075802684838 -583.318493337369</t>
  </si>
  <si>
    <t>-551.991705024138 69.5622450636313 -691.815887114562</t>
  </si>
  <si>
    <t>-531.558662184399 50.4823447823147 -841.543814552005</t>
  </si>
  <si>
    <t>-486.644838098824 42.5236260976541 -932.661230603031</t>
  </si>
  <si>
    <t>-537.379977262487 90.3534061290555 -778.859447771169</t>
  </si>
  <si>
    <t>-540.608943834759 236.950315351314 -767.805731247812</t>
  </si>
  <si>
    <t>-522.595665629139 310.672860158784 -460.516526003392</t>
  </si>
  <si>
    <t>-336.758630535072 215.941929998635 -305.169389996104</t>
  </si>
  <si>
    <t>-543.819271053267 27.4957859161173 -771.7282550568</t>
  </si>
  <si>
    <t>-339.277191233809 3.96546718527333 -478.159230731567</t>
  </si>
  <si>
    <t>-485.586907427663 210.332270122434 -252.47997573509</t>
  </si>
  <si>
    <t>-473.499005037255 204.641177422812 203.018726803526</t>
  </si>
  <si>
    <t>-493.390434306172 171.881526253721 671.353866373725</t>
  </si>
  <si>
    <t>-339.782605328698 163.556296697207 756.66998714489</t>
  </si>
  <si>
    <t>-518.848426325368 19.6447475122334 -227.749844597386</t>
  </si>
  <si>
    <t>-432.967758541682 -18.09629633546 218.184915388863</t>
  </si>
  <si>
    <t>-592.080525329451 -99.4097771688453 652.624672622027</t>
  </si>
  <si>
    <t>-442.861616050164 -146.215536390376 733.163166873591</t>
  </si>
  <si>
    <t>9763-20170724T164403.189638900.bin</t>
  </si>
  <si>
    <t>-502.568911657643 115.350001892386 -240.383742359183</t>
  </si>
  <si>
    <t>-541.595367691657 107.292884428054 -354.750929929435</t>
  </si>
  <si>
    <t>-556.275044336891 95.1595243444014 -474.449793705909</t>
  </si>
  <si>
    <t>-559.314948700825 82.9149616098043 -583.241866664664</t>
  </si>
  <si>
    <t>-552.182381615478 69.6551325524505 -691.72291065017</t>
  </si>
  <si>
    <t>-531.689585506096 50.3915874689079 -841.419241543208</t>
  </si>
  <si>
    <t>-486.75623550212 42.2953645238734 -932.514800653925</t>
  </si>
  <si>
    <t>-537.515007104766 90.3377055918041 -778.782992412247</t>
  </si>
  <si>
    <t>-540.657458747963 236.951331444233 -767.847923857633</t>
  </si>
  <si>
    <t>-523.2525808914 311.120915895211 -460.631211646796</t>
  </si>
  <si>
    <t>-337.730835702194 216.228809693695 -305.005945749722</t>
  </si>
  <si>
    <t>-543.9990115612 27.4925136659573 -771.583341160898</t>
  </si>
  <si>
    <t>-339.738423131833 3.94640520193296 -478.165130134099</t>
  </si>
  <si>
    <t>-485.835949170042 210.918383707502 -252.467987838108</t>
  </si>
  <si>
    <t>-473.768709335028 205.138156675459 203.030313775804</t>
  </si>
  <si>
    <t>-493.535881176977 172.571138682707 671.346565663129</t>
  </si>
  <si>
    <t>-340.034209800489 162.748728083075 756.694505290746</t>
  </si>
  <si>
    <t>-519.134749465974 19.8329530467664 -227.643146088754</t>
  </si>
  <si>
    <t>-433.036693450294 -18.0308044293467 218.239179600548</t>
  </si>
  <si>
    <t>-592.112834514296 -99.5991285707209 652.698020796644</t>
  </si>
  <si>
    <t>-442.74284068552 -146.013871593082 733.18281369406</t>
  </si>
  <si>
    <t>9763-20170724T164403.222731300.bin</t>
  </si>
  <si>
    <t>-502.603255003256 115.255235155088 -240.345407222154</t>
  </si>
  <si>
    <t>-541.638947742007 107.186073264812 -354.708434754432</t>
  </si>
  <si>
    <t>-556.295218384562 95.0289446047452 -474.407902694742</t>
  </si>
  <si>
    <t>-559.300561355922 82.7577653035625 -583.197845559606</t>
  </si>
  <si>
    <t>-552.120234475551 69.4658038160869 -691.671832191883</t>
  </si>
  <si>
    <t>-531.547777034589 50.1517406419534 -841.35065313045</t>
  </si>
  <si>
    <t>-486.572690161509 42.0110099361124 -932.421781322922</t>
  </si>
  <si>
    <t>-537.394584736163 90.1179486823635 -778.729297618964</t>
  </si>
  <si>
    <t>-540.46350517192 236.72964749761 -767.814834195273</t>
  </si>
  <si>
    <t>-523.222295537837 311.12100037824 -460.642412990718</t>
  </si>
  <si>
    <t>-337.844718571578 216.246078470632 -304.834999781211</t>
  </si>
  <si>
    <t>-543.906239935625 27.2772131795849 -771.515471226917</t>
  </si>
  <si>
    <t>-339.669804001923 3.63367591106407 -478.280852792024</t>
  </si>
  <si>
    <t>-485.847112182994 210.719278574957 -252.455406309708</t>
  </si>
  <si>
    <t>-473.744852913561 204.890740710979 203.041323747869</t>
  </si>
  <si>
    <t>-493.420189569433 172.110457180816 671.361650048134</t>
  </si>
  <si>
    <t>-339.841652349573 163.29222514356 756.680931041102</t>
  </si>
  <si>
    <t>-519.142952758589 19.7987924985396 -227.604332623504</t>
  </si>
  <si>
    <t>-433.024860662244 -18.1635862172304 218.265832955967</t>
  </si>
  <si>
    <t>-592.120052283137 -99.7572680560924 652.717910179228</t>
  </si>
  <si>
    <t>-442.651766912133 -145.875233627678 733.190744450259</t>
  </si>
  <si>
    <t>9763-20170724T164403.286899100.bin</t>
  </si>
  <si>
    <t>-502.815119169862 115.420935765748 -240.350174327604</t>
  </si>
  <si>
    <t>-541.908233921235 107.311575374292 -354.690726163501</t>
  </si>
  <si>
    <t>-556.569335981633 95.1307025332162 -474.387124192237</t>
  </si>
  <si>
    <t>-559.557351188277 82.8422772836312 -583.175663165434</t>
  </si>
  <si>
    <t>-552.338302811039 69.5357306966439 -691.645270797331</t>
  </si>
  <si>
    <t>-531.690464574446 50.2027480215181 -841.311235578417</t>
  </si>
  <si>
    <t>-486.645864912505 41.9935102472567 -932.341945260781</t>
  </si>
  <si>
    <t>-537.562463976498 90.1763307811634 -778.696999433818</t>
  </si>
  <si>
    <t>-540.46405859648 236.794457675588 -767.687495893988</t>
  </si>
  <si>
    <t>-522.969174000959 311.395537000563 -460.58049687439</t>
  </si>
  <si>
    <t>-337.831179683933 216.55119162463 -304.46990227045</t>
  </si>
  <si>
    <t>-544.09056963217 27.3376442687302 -771.480448981574</t>
  </si>
  <si>
    <t>-339.935387629969 3.54758406174813 -478.271914573043</t>
  </si>
  <si>
    <t>-486.13243722703 210.857379744737 -252.462003264892</t>
  </si>
  <si>
    <t>-473.932639586152 204.98600114448 203.031509129015</t>
  </si>
  <si>
    <t>-493.365133395397 172.034965648596 671.336178391709</t>
  </si>
  <si>
    <t>-339.862609140194 162.541858276826 756.719830144966</t>
  </si>
  <si>
    <t>-519.374867545729 19.9864071127295 -227.593905797199</t>
  </si>
  <si>
    <t>-433.057591625368 -17.9532963499758 218.2397282276</t>
  </si>
  <si>
    <t>-592.092512183128 -99.578059050741 652.709625352251</t>
  </si>
  <si>
    <t>-442.768323623948 -146.110853293925 733.211084442483</t>
  </si>
  <si>
    <t>9763-20170724T164403.322007100.bin</t>
  </si>
  <si>
    <t>-502.951107259351 115.272869702875 -240.361967838708</t>
  </si>
  <si>
    <t>-541.991297587502 107.151344782894 -354.719711210488</t>
  </si>
  <si>
    <t>-556.561430763021 94.9612937602187 -474.426394727397</t>
  </si>
  <si>
    <t>-559.452516718589 82.6651634537806 -583.216422015198</t>
  </si>
  <si>
    <t>-552.12273583855 69.3511867161408 -691.677865956401</t>
  </si>
  <si>
    <t>-531.307595162817 50.0078686834929 -841.31936782538</t>
  </si>
  <si>
    <t>-486.184401398457 41.7920320753289 -932.310388007388</t>
  </si>
  <si>
    <t>-537.256460720624 89.9863865976321 -778.71539528649</t>
  </si>
  <si>
    <t>-540.104262392452 236.592834014598 -767.655681472389</t>
  </si>
  <si>
    <t>-522.204706877816 311.263502117763 -460.588835523874</t>
  </si>
  <si>
    <t>-337.161846673851 216.390003995325 -304.383180051978</t>
  </si>
  <si>
    <t>-543.778910298826 27.1469971513987 -771.499758398399</t>
  </si>
  <si>
    <t>-339.550947818605 3.19261234887436 -478.144848739763</t>
  </si>
  <si>
    <t>-486.292872060469 210.744556072009 -252.494329325364</t>
  </si>
  <si>
    <t>-474.007064238723 204.844491777248 202.996511397261</t>
  </si>
  <si>
    <t>-493.312193689263 172.038152881794 671.296061491285</t>
  </si>
  <si>
    <t>-339.799862707388 163.157704997428 756.727988496894</t>
  </si>
  <si>
    <t>-519.401836547411 19.7920968332824 -227.634037825459</t>
  </si>
  <si>
    <t>-433.134313199763 -18.1417908303989 218.209684291601</t>
  </si>
  <si>
    <t>-592.106881444654 -99.8308908582732 652.721415968077</t>
  </si>
  <si>
    <t>-442.557617493642 -145.681521516713 733.196490167451</t>
  </si>
  <si>
    <t>9763-20170724T164403.386180200.bin</t>
  </si>
  <si>
    <t>-503.256546248092 115.275050005946 -240.474140334173</t>
  </si>
  <si>
    <t>-542.370232490634 107.16231603831 -354.807537574482</t>
  </si>
  <si>
    <t>-556.853994457899 94.9699039457453 -474.524390164925</t>
  </si>
  <si>
    <t>-559.600451880725 82.6694038672914 -583.31777610127</t>
  </si>
  <si>
    <t>-552.060522298893 69.3501202153059 -691.76395227222</t>
  </si>
  <si>
    <t>-530.887083564764 49.999866550883 -841.354270446656</t>
  </si>
  <si>
    <t>-485.597329192015 41.7863039178228 -932.262829203966</t>
  </si>
  <si>
    <t>-537.010998447263 89.9834612874923 -778.770574136122</t>
  </si>
  <si>
    <t>-540.033616622185 236.598470061685 -767.699462649598</t>
  </si>
  <si>
    <t>-521.156508349279 310.399584146187 -460.480846883115</t>
  </si>
  <si>
    <t>-336.211986755387 215.820912216577 -303.980341821785</t>
  </si>
  <si>
    <t>-543.500297699466 27.1400379986799 -771.559906924672</t>
  </si>
  <si>
    <t>-339.384496154175 3.18380855479387 -477.844630612599</t>
  </si>
  <si>
    <t>-486.730169928464 210.806502105483 -252.556680155397</t>
  </si>
  <si>
    <t>-474.188881513957 204.894452858273 202.927114376321</t>
  </si>
  <si>
    <t>-493.274414977463 172.184896311244 671.23532228899</t>
  </si>
  <si>
    <t>-339.843557588787 162.99602069012 756.780798028658</t>
  </si>
  <si>
    <t>-519.690762672907 19.837124491063 -227.695661964878</t>
  </si>
  <si>
    <t>-433.298551348137 -17.9373771735867 218.137490839359</t>
  </si>
  <si>
    <t>-592.101033339757 -99.547245235329 652.695944758916</t>
  </si>
  <si>
    <t>-442.697481986903 -145.881766651346 733.164533302879</t>
  </si>
  <si>
    <t>9763-20170724T164403.417885000.bin</t>
  </si>
  <si>
    <t>-503.463131581651 115.322855346875 -240.509691449064</t>
  </si>
  <si>
    <t>-542.588576487734 107.210823550819 -354.838968428735</t>
  </si>
  <si>
    <t>-557.033145772048 95.0126184908203 -474.560103618516</t>
  </si>
  <si>
    <t>-559.722930231766 82.7062787428052 -583.354227659005</t>
  </si>
  <si>
    <t>-552.105384486432 69.381837487216 -691.794437341466</t>
  </si>
  <si>
    <t>-530.803138369603 50.026550172538 -841.36567470007</t>
  </si>
  <si>
    <t>-485.442810421175 41.8173190522767 -932.239417780173</t>
  </si>
  <si>
    <t>-536.995776590956 90.0135088519586 -778.790899813637</t>
  </si>
  <si>
    <t>-540.15115478365 236.596891527797 -767.713399850954</t>
  </si>
  <si>
    <t>-520.59861028122 309.952209763116 -460.43028414777</t>
  </si>
  <si>
    <t>-335.762034421018 215.680690863413 -303.617056276379</t>
  </si>
  <si>
    <t>-543.461658162788 27.1678172038082 -771.579284962098</t>
  </si>
  <si>
    <t>-339.441715166602 3.34156888415632 -477.673229632787</t>
  </si>
  <si>
    <t>-486.951664792346 210.859338308801 -252.592016380534</t>
  </si>
  <si>
    <t>-474.342196760758 204.970096981896 202.889999715745</t>
  </si>
  <si>
    <t>-493.255256892835 172.222376687698 671.214494346825</t>
  </si>
  <si>
    <t>-339.857042645149 162.802017715934 756.793456412146</t>
  </si>
  <si>
    <t>-519.814805669433 19.8803055109255 -227.734961872993</t>
  </si>
  <si>
    <t>-433.369413596895 -17.8634511423951 218.090450501885</t>
  </si>
  <si>
    <t>-592.110296175157 -99.5340582673589 652.675862974363</t>
  </si>
  <si>
    <t>-442.76416374032 -146.066306807433 733.136940001235</t>
  </si>
  <si>
    <t>9763-20170724T164403.489585500.bin</t>
  </si>
  <si>
    <t>-503.687587942445 115.128022686116 -240.570828421875</t>
  </si>
  <si>
    <t>-542.768308520274 106.941355260859 -354.910292649152</t>
  </si>
  <si>
    <t>-557.1498427888 94.7353880951407 -474.637961651368</t>
  </si>
  <si>
    <t>-559.776842639004 82.4473007135516 -583.435702571522</t>
  </si>
  <si>
    <t>-552.091832283295 69.1649569974731 -691.876364980671</t>
  </si>
  <si>
    <t>-530.691629132099 49.8914153189004 -841.444345929864</t>
  </si>
  <si>
    <t>-485.259693970412 41.7124297194688 -932.285041699154</t>
  </si>
  <si>
    <t>-536.948240430387 89.8460910506293 -778.855184719818</t>
  </si>
  <si>
    <t>-540.156012406782 236.460572365588 -767.771970290825</t>
  </si>
  <si>
    <t>-520.028213319845 308.624667945695 -460.244065398874</t>
  </si>
  <si>
    <t>-335.421601298542 214.639565061212 -302.98872008402</t>
  </si>
  <si>
    <t>-543.372755304583 26.9925464775648 -771.675124543414</t>
  </si>
  <si>
    <t>-339.41164912605 3.62643359761674 -477.246269465025</t>
  </si>
  <si>
    <t>-487.269130805116 210.577490016087 -252.685472009583</t>
  </si>
  <si>
    <t>-474.656916878748 204.728239786777 202.797121313058</t>
  </si>
  <si>
    <t>-493.104135288591 171.902083277012 671.132911124243</t>
  </si>
  <si>
    <t>-339.704771245046 163.206820983596 756.786477850509</t>
  </si>
  <si>
    <t>-519.915797762621 19.7050641459652 -227.813414828853</t>
  </si>
  <si>
    <t>-433.469163784552 -18.0011984976831 218.014826455204</t>
  </si>
  <si>
    <t>-592.117954427068 -99.6827866293317 652.632293979837</t>
  </si>
  <si>
    <t>-442.701035339929 -146.003871123067 733.083913666203</t>
  </si>
  <si>
    <t>9763-20170724T164403.520029400.bin</t>
  </si>
  <si>
    <t>-503.738835008323 115.127408731446 -240.590526618367</t>
  </si>
  <si>
    <t>-542.813894325901 106.921427365421 -354.930450255158</t>
  </si>
  <si>
    <t>-557.158134880068 94.7228730578718 -474.663513153492</t>
  </si>
  <si>
    <t>-559.73867364194 82.454370411566 -583.464577457406</t>
  </si>
  <si>
    <t>-551.994826055012 69.2055639111495 -691.905059973683</t>
  </si>
  <si>
    <t>-530.500597204416 49.9942262301409 -841.467581733305</t>
  </si>
  <si>
    <t>-485.040885660192 41.8396034107457 -932.296525081125</t>
  </si>
  <si>
    <t>-536.831112959587 89.9257920941209 -778.871119796111</t>
  </si>
  <si>
    <t>-540.106797523805 236.514271300735 -767.783797933726</t>
  </si>
  <si>
    <t>-519.665880620731 308.265723322458 -460.17990866576</t>
  </si>
  <si>
    <t>-335.180621190727 214.198529040212 -302.83132597332</t>
  </si>
  <si>
    <t>-543.191209592563 27.0634690546128 -771.710568156707</t>
  </si>
  <si>
    <t>-339.359950778703 3.95413945099897 -477.149045261004</t>
  </si>
  <si>
    <t>-487.400113052977 210.556810986386 -252.72156539504</t>
  </si>
  <si>
    <t>-474.684622417549 204.748677846521 202.758614685423</t>
  </si>
  <si>
    <t>-493.080214809235 171.942656076546 671.113040181955</t>
  </si>
  <si>
    <t>-339.724005300077 162.902044808898 756.808198121418</t>
  </si>
  <si>
    <t>-519.882227444955 19.7457905263799 -227.837819050672</t>
  </si>
  <si>
    <t>-433.423534064925 -17.9126721900021 217.992255018769</t>
  </si>
  <si>
    <t>-592.113591333171 -99.684170126694 652.592344238932</t>
  </si>
  <si>
    <t>-442.894341266325 -146.571341175052 733.082899203239</t>
  </si>
  <si>
    <t>9763-20170724T164403.586207100.bin</t>
  </si>
  <si>
    <t>-503.804922561384 115.103975731835 -240.646353351124</t>
  </si>
  <si>
    <t>-542.922514719359 106.866611722726 -354.969424017015</t>
  </si>
  <si>
    <t>-557.246694607573 94.6912081294019 -474.707296298351</t>
  </si>
  <si>
    <t>-559.783379957904 82.4679682488716 -583.514418985567</t>
  </si>
  <si>
    <t>-551.97043616434 69.2894778434674 -691.958665922078</t>
  </si>
  <si>
    <t>-530.355091168542 50.2029923543064 -841.519548472823</t>
  </si>
  <si>
    <t>-484.865194401762 42.1072283917387 -932.338765325779</t>
  </si>
  <si>
    <t>-536.778900386773 90.0858491150286 -778.901532171892</t>
  </si>
  <si>
    <t>-540.155322630385 236.679986471952 -767.724690696198</t>
  </si>
  <si>
    <t>-519.442852738535 307.71590321155 -459.972924940948</t>
  </si>
  <si>
    <t>-335.040998457907 213.414397221433 -302.666779524615</t>
  </si>
  <si>
    <t>-543.059605281044 27.2105234909932 -771.785467573507</t>
  </si>
  <si>
    <t>-339.551098259517 4.17185237905953 -477.045781860587</t>
  </si>
  <si>
    <t>-487.571722019644 210.54660850599 -252.750019336509</t>
  </si>
  <si>
    <t>-474.686384510091 204.781333085851 202.72586760723</t>
  </si>
  <si>
    <t>-493.100734511147 172.062815250963 671.103806060354</t>
  </si>
  <si>
    <t>-339.759152785183 162.908083368674 756.812883191281</t>
  </si>
  <si>
    <t>-519.861388148194 19.6963491260952 -227.913581296875</t>
  </si>
  <si>
    <t>-433.373236047344 -17.797944586744 217.924590158891</t>
  </si>
  <si>
    <t>-592.086674117655 -99.5918616714251 652.499316534569</t>
  </si>
  <si>
    <t>-442.881730944248 -146.47396858157 733.01925436117</t>
  </si>
  <si>
    <t>9763-20170724T164403.623936100.bin</t>
  </si>
  <si>
    <t>-503.860851413565 114.89143104516 -240.673909822863</t>
  </si>
  <si>
    <t>-542.958098831641 106.667200209354 -355.004854139023</t>
  </si>
  <si>
    <t>-557.241164222551 94.5263264321904 -474.750992888569</t>
  </si>
  <si>
    <t>-559.733002861802 82.3403557436793 -583.563524802029</t>
  </si>
  <si>
    <t>-551.86808241899 69.2038951782623 -692.009025617534</t>
  </si>
  <si>
    <t>-530.173544722862 50.1792665845519 -841.566365826608</t>
  </si>
  <si>
    <t>-484.705450167841 42.1010647178644 -932.397956426283</t>
  </si>
  <si>
    <t>-536.615504857904 90.0350106068137 -778.933002572621</t>
  </si>
  <si>
    <t>-540.07852583515 236.614358413626 -767.709766309054</t>
  </si>
  <si>
    <t>-519.322017033957 307.178619282735 -459.852601737012</t>
  </si>
  <si>
    <t>-334.842060058562 212.887605057418 -302.631791650655</t>
  </si>
  <si>
    <t>-542.92987542494 27.1591887231555 -771.850693308856</t>
  </si>
  <si>
    <t>-339.367921054404 3.97199614283868 -477.043882522053</t>
  </si>
  <si>
    <t>-487.656938477716 210.342126720475 -252.762820607796</t>
  </si>
  <si>
    <t>-474.6342746544 204.573246722516 202.709211077996</t>
  </si>
  <si>
    <t>-493.001749362756 171.747037036483 671.090332212415</t>
  </si>
  <si>
    <t>-339.646193635824 162.938633512843 756.810786671854</t>
  </si>
  <si>
    <t>-519.883095225282 19.4100195594604 -227.937416691005</t>
  </si>
  <si>
    <t>-433.378338209032 -17.9497244346351 217.908741464821</t>
  </si>
  <si>
    <t>-592.098145452954 -99.8777518801057 652.478304735332</t>
  </si>
  <si>
    <t>-442.717224081399 -146.208179432463 732.99134021423</t>
  </si>
  <si>
    <t>9763-20170724T164403.689111000.bin</t>
  </si>
  <si>
    <t>-503.93491440827 114.859324468622 -240.676036238058</t>
  </si>
  <si>
    <t>-543.012506212821 106.635862783263 -355.013795204675</t>
  </si>
  <si>
    <t>-557.304746110196 94.6021121297985 -474.769803717851</t>
  </si>
  <si>
    <t>-559.819128895556 82.544591324288 -583.596046475766</t>
  </si>
  <si>
    <t>-551.991948192593 69.5610583434633 -692.062655588251</t>
  </si>
  <si>
    <t>-530.365877383347 50.7676427318893 -841.659169074299</t>
  </si>
  <si>
    <t>-485.160457054977 42.7107810415702 -932.623710109468</t>
  </si>
  <si>
    <t>-536.712578886303 90.520896306558 -778.9510022377</t>
  </si>
  <si>
    <t>-540.127666287861 237.088729813369 -767.517419854164</t>
  </si>
  <si>
    <t>-519.405239634437 307.059516387066 -459.522639553995</t>
  </si>
  <si>
    <t>-334.879278035566 212.831906279596 -302.317691658122</t>
  </si>
  <si>
    <t>-543.156881713133 27.6454228596759 -771.983776679462</t>
  </si>
  <si>
    <t>-339.251708786767 4.01908407713026 -477.089290388354</t>
  </si>
  <si>
    <t>-487.774286760627 210.296568361946 -252.738792089439</t>
  </si>
  <si>
    <t>-474.81860922544 204.647115254605 202.736635677083</t>
  </si>
  <si>
    <t>-493.062484624129 172.026377717862 671.091118010207</t>
  </si>
  <si>
    <t>-339.719423825235 163.054856718826 756.817004852625</t>
  </si>
  <si>
    <t>-519.934512810562 19.4786235351892 -227.971566622615</t>
  </si>
  <si>
    <t>-433.250443184925 -17.9553598897117 217.833606087986</t>
  </si>
  <si>
    <t>-592.076504228389 -99.7291547320232 652.368356431788</t>
  </si>
  <si>
    <t>-442.846250175743 -146.485681800369 732.914435081112</t>
  </si>
  <si>
    <t>9763-20170724T164403.719200200.bin</t>
  </si>
  <si>
    <t>-504.024240345992 114.736674870766 -240.739014266529</t>
  </si>
  <si>
    <t>-543.051618352201 106.517450838813 -355.094209375944</t>
  </si>
  <si>
    <t>-557.333024081752 94.5276958244297 -474.855824651807</t>
  </si>
  <si>
    <t>-559.855182522558 82.5209535846654 -583.68755602874</t>
  </si>
  <si>
    <t>-552.053774166223 69.5959283024282 -692.163001212361</t>
  </si>
  <si>
    <t>-530.482216827737 50.8890281911222 -841.778293433012</t>
  </si>
  <si>
    <t>-485.49921136826 42.8255630439341 -932.852317630212</t>
  </si>
  <si>
    <t>-536.774923978731 90.6033710635218 -779.04002938244</t>
  </si>
  <si>
    <t>-539.914496460464 237.162701625479 -767.4299068735</t>
  </si>
  <si>
    <t>-519.396883779474 307.392462490883 -459.480354296212</t>
  </si>
  <si>
    <t>-335.000275065495 213.128189213859 -302.145733222458</t>
  </si>
  <si>
    <t>-543.27901485889 27.7292006586427 -772.11644224501</t>
  </si>
  <si>
    <t>-339.319770478537 4.12231930160685 -477.522320189848</t>
  </si>
  <si>
    <t>-487.907952489195 210.256498497419 -252.769431088017</t>
  </si>
  <si>
    <t>-474.938147725137 204.595952242059 202.705468393433</t>
  </si>
  <si>
    <t>-493.098403201313 172.200932602862 671.085103113455</t>
  </si>
  <si>
    <t>-339.771062842656 162.941645210078 756.808577878856</t>
  </si>
  <si>
    <t>-520.022856632935 19.2067182501997 -228.090681894761</t>
  </si>
  <si>
    <t>-433.451665213926 -18.081342257149 217.748594759674</t>
  </si>
  <si>
    <t>-592.097799860065 -99.8733214943039 652.377155958172</t>
  </si>
  <si>
    <t>-442.717824666213 -146.197269924097 732.895671389855</t>
  </si>
  <si>
    <t>9763-20170724T164403.786377200.bin</t>
  </si>
  <si>
    <t>-504.170045750854 114.190348289625 -240.809102676889</t>
  </si>
  <si>
    <t>-543.139904520069 106.106150742003 -355.193490361934</t>
  </si>
  <si>
    <t>-557.45501341082 94.19440663823 -474.958886913212</t>
  </si>
  <si>
    <t>-560.045843234177 82.2280671324725 -583.793481402273</t>
  </si>
  <si>
    <t>-552.350362161348 69.3094137464252 -692.277232348535</t>
  </si>
  <si>
    <t>-530.963827064417 50.5724526874251 -841.915259963392</t>
  </si>
  <si>
    <t>-486.354943608729 42.4557267080933 -933.168446151893</t>
  </si>
  <si>
    <t>-537.100718400255 90.2924747468511 -779.165107239335</t>
  </si>
  <si>
    <t>-540.052151567207 236.861811277389 -767.568034291216</t>
  </si>
  <si>
    <t>-519.770648090978 307.835875900027 -459.773430605489</t>
  </si>
  <si>
    <t>-335.705305147187 213.180587977055 -302.285733102943</t>
  </si>
  <si>
    <t>-543.752708210807 27.4334565650514 -772.24503036472</t>
  </si>
  <si>
    <t>-339.664436345256 3.71912856445573 -478.17780628003</t>
  </si>
  <si>
    <t>-487.883402936036 209.666599811389 -252.75124529793</t>
  </si>
  <si>
    <t>-474.908255555445 204.031185492301 202.723892513101</t>
  </si>
  <si>
    <t>-492.991947087451 171.608258137044 671.129879216945</t>
  </si>
  <si>
    <t>-339.566660953919 163.292080668259 756.774606948067</t>
  </si>
  <si>
    <t>-520.325916007104 18.7066756383024 -228.204056007471</t>
  </si>
  <si>
    <t>-433.794775078682 -18.7024994231751 217.632856820078</t>
  </si>
  <si>
    <t>-592.142732790429 -100.071855710822 652.415645238548</t>
  </si>
  <si>
    <t>-442.508757507643 -145.668479237969 732.877683105972</t>
  </si>
  <si>
    <t>9763-20170724T164403.823490200.bin</t>
  </si>
  <si>
    <t>-504.181845111832 114.26166625323 -240.81806772923</t>
  </si>
  <si>
    <t>-543.136193498973 106.215842826142 -355.210593055566</t>
  </si>
  <si>
    <t>-557.482903215059 94.3148634858291 -474.973193288767</t>
  </si>
  <si>
    <t>-560.121354661092 82.3465675570579 -583.80644254318</t>
  </si>
  <si>
    <t>-552.492164706854 69.414088354166 -692.293282109241</t>
  </si>
  <si>
    <t>-531.216294724609 50.6453674638971 -841.943039758468</t>
  </si>
  <si>
    <t>-486.779437313159 42.5128996991225 -933.278778522626</t>
  </si>
  <si>
    <t>-537.277837779115 90.3761192175343 -779.192360753162</t>
  </si>
  <si>
    <t>-540.089228677713 236.934102815617 -767.554819231209</t>
  </si>
  <si>
    <t>-519.895579576456 308.815118664715 -459.965001737695</t>
  </si>
  <si>
    <t>-335.847843131377 214.000443634907 -302.552582326338</t>
  </si>
  <si>
    <t>-543.982546561654 27.5237185603968 -772.262905882368</t>
  </si>
  <si>
    <t>-339.843143914693 3.64944924559633 -478.506103318147</t>
  </si>
  <si>
    <t>-487.834698608003 209.722559288425 -252.757978676914</t>
  </si>
  <si>
    <t>-474.969628598627 204.08438872559 202.720217528164</t>
  </si>
  <si>
    <t>-492.991423408776 171.654316198263 671.122108211561</t>
  </si>
  <si>
    <t>-339.595305814853 162.912527607243 756.776744732809</t>
  </si>
  <si>
    <t>-520.385251718126 18.83383941824 -228.23825920372</t>
  </si>
  <si>
    <t>-433.866772288124 -18.6409883293256 217.59568934735</t>
  </si>
  <si>
    <t>-592.147555174167 -99.7979110722089 652.426720238507</t>
  </si>
  <si>
    <t>-442.876135577083 -146.531335874143 732.909896812986</t>
  </si>
  <si>
    <t>9763-20170724T164403.890679900.bin</t>
  </si>
  <si>
    <t>-504.10671356264 114.155289227514 -240.808565983497</t>
  </si>
  <si>
    <t>-543.128662076331 106.129334217879 -355.179298696864</t>
  </si>
  <si>
    <t>-557.608611446036 94.1969871279855 -474.923037522893</t>
  </si>
  <si>
    <t>-560.393102143725 82.1762413207659 -583.746726676533</t>
  </si>
  <si>
    <t>-552.934348066407 69.1660633049146 -692.236099389717</t>
  </si>
  <si>
    <t>-531.918961916563 50.2615635560192 -841.905574071575</t>
  </si>
  <si>
    <t>-487.656261313139 42.0655441242984 -933.320180189365</t>
  </si>
  <si>
    <t>-537.784484066557 90.041361446401 -779.167462549774</t>
  </si>
  <si>
    <t>-540.382675426244 236.623636674588 -767.703397049592</t>
  </si>
  <si>
    <t>-521.643463509819 308.90940534418 -460.116257499122</t>
  </si>
  <si>
    <t>-337.100989496198 214.116313149797 -303.27122318211</t>
  </si>
  <si>
    <t>-544.650748384698 27.2110567368738 -772.195514504354</t>
  </si>
  <si>
    <t>-340.174613587517 2.89121582566835 -478.832901961022</t>
  </si>
  <si>
    <t>-487.583044736639 209.823845161841 -252.787083147704</t>
  </si>
  <si>
    <t>-474.955477693549 204.209178585395 202.698105128538</t>
  </si>
  <si>
    <t>-493.137049901638 172.228745527974 671.124292160443</t>
  </si>
  <si>
    <t>-339.779346040529 162.661064009831 756.759429587738</t>
  </si>
  <si>
    <t>-520.513740107617 18.4602977294554 -228.160688687558</t>
  </si>
  <si>
    <t>-433.796746038132 -19.0720792200971 217.629790923131</t>
  </si>
  <si>
    <t>-592.184576805872 -100.305589436211 652.457375323357</t>
  </si>
  <si>
    <t>-442.428608217273 -145.613660739524 732.855346894283</t>
  </si>
  <si>
    <t>9763-20170724T164403.923328000.bin</t>
  </si>
  <si>
    <t>-504.010234580018 114.121189572862 -240.759055576763</t>
  </si>
  <si>
    <t>-542.940631896109 106.10432994685 -355.161677564288</t>
  </si>
  <si>
    <t>-557.399499557862 94.169441268596 -474.907557165571</t>
  </si>
  <si>
    <t>-560.194873754026 82.1406612212033 -583.730058983479</t>
  </si>
  <si>
    <t>-552.776852097961 69.1161137657612 -692.220589963007</t>
  </si>
  <si>
    <t>-531.848776901607 50.1845994764353 -841.898816777439</t>
  </si>
  <si>
    <t>-487.646038675392 41.9632433681613 -933.340154796292</t>
  </si>
  <si>
    <t>-537.648785652944 89.9730646129666 -779.160029332624</t>
  </si>
  <si>
    <t>-540.30515105359 236.550544574938 -767.711774654608</t>
  </si>
  <si>
    <t>-522.031449059947 308.979653317798 -460.130317636108</t>
  </si>
  <si>
    <t>-337.146802876388 214.071675377775 -303.758356908755</t>
  </si>
  <si>
    <t>-544.568852469637 27.1493977572941 -772.181598274016</t>
  </si>
  <si>
    <t>-339.964094919448 2.60925300983818 -479.017257314879</t>
  </si>
  <si>
    <t>-487.363677456144 209.689996736605 -252.768999515587</t>
  </si>
  <si>
    <t>-474.747473623285 204.043402040494 202.71602126247</t>
  </si>
  <si>
    <t>-493.111625502864 171.998370076829 671.161359931107</t>
  </si>
  <si>
    <t>-339.670474085288 163.224983020864 756.73212824083</t>
  </si>
  <si>
    <t>-520.442751281756 18.6015318853257 -228.150244775093</t>
  </si>
  <si>
    <t>-433.740758250469 -19.0385241963227 217.634040835553</t>
  </si>
  <si>
    <t>-592.16679574267 -99.9947750678259 652.468379331774</t>
  </si>
  <si>
    <t>-442.640264580079 -146.004326287941 732.895055031703</t>
  </si>
  <si>
    <t>9763-20170724T164403.955406300.bin</t>
  </si>
  <si>
    <t>-503.818421152313 114.199021725078 -240.73320298104</t>
  </si>
  <si>
    <t>-542.814026737815 106.20473834533 -355.115159486359</t>
  </si>
  <si>
    <t>-557.366482285534 94.27469717527 -474.850189820311</t>
  </si>
  <si>
    <t>-560.256950242416 82.2429608989349 -583.669907564261</t>
  </si>
  <si>
    <t>-552.94364167319 69.2081782517404 -692.166304238116</t>
  </si>
  <si>
    <t>-532.170080757471 50.2548264554358 -841.863401614174</t>
  </si>
  <si>
    <t>-488.032588556495 41.9817746529585 -933.331620877834</t>
  </si>
  <si>
    <t>-537.883793732035 90.0503597540064 -779.121204324523</t>
  </si>
  <si>
    <t>-540.545086396903 236.635030542189 -767.677718084813</t>
  </si>
  <si>
    <t>-522.501817062688 308.98484854891 -460.064158726525</t>
  </si>
  <si>
    <t>-337.404102416285 214.074440431255 -303.945901029761</t>
  </si>
  <si>
    <t>-544.839713915817 27.2317996757026 -772.132970265826</t>
  </si>
  <si>
    <t>-340.142356176331 2.63340710270768 -479.167154694776</t>
  </si>
  <si>
    <t>-487.149793898812 209.787722110466 -252.727664923545</t>
  </si>
  <si>
    <t>-474.531383273917 204.107045784447 202.756888939913</t>
  </si>
  <si>
    <t>-493.20468539707 172.232848409397 671.189807010615</t>
  </si>
  <si>
    <t>-339.75078713774 163.331072472591 756.724517469881</t>
  </si>
  <si>
    <t>-520.340450419546 18.6937842259037 -228.104755417158</t>
  </si>
  <si>
    <t>-433.657066682653 -18.9805964230472 217.680224209233</t>
  </si>
  <si>
    <t>-592.151355209691 -99.8682265893073 652.488041257172</t>
  </si>
  <si>
    <t>-442.783952051742 -146.348008526113 732.939942790771</t>
  </si>
  <si>
    <t>9763-20170724T164404.023098200.bin</t>
  </si>
  <si>
    <t>-503.700994820324 114.197803881375 -240.635866055943</t>
  </si>
  <si>
    <t>-542.75581034107 106.223292243667 -354.999008747807</t>
  </si>
  <si>
    <t>-557.440784766787 94.3095043540963 -474.719297742487</t>
  </si>
  <si>
    <t>-560.48046740016 82.2880665017639 -583.536130042773</t>
  </si>
  <si>
    <t>-553.344562174144 69.2577045333351 -692.044885077656</t>
  </si>
  <si>
    <t>-532.845568834321 50.3027389939356 -841.779633095597</t>
  </si>
  <si>
    <t>-488.781808589948 41.9477050575281 -933.275896986643</t>
  </si>
  <si>
    <t>-538.408528786269 90.0956701940244 -779.022235713679</t>
  </si>
  <si>
    <t>-540.998163653664 236.672493160178 -767.568965857628</t>
  </si>
  <si>
    <t>-523.094984508184 308.437297158201 -459.810138962388</t>
  </si>
  <si>
    <t>-337.88166906668 213.534580534491 -303.824520808292</t>
  </si>
  <si>
    <t>-545.423015304531 27.2838419531909 -772.031019910676</t>
  </si>
  <si>
    <t>-340.506880627275 2.54012104912393 -479.13833351769</t>
  </si>
  <si>
    <t>-486.910845937819 209.800774356941 -252.649340006484</t>
  </si>
  <si>
    <t>-474.323578052744 204.036607742156 202.834980261751</t>
  </si>
  <si>
    <t>-493.178499295881 171.97969567059 671.224762041786</t>
  </si>
  <si>
    <t>-339.691453128574 163.200172071334 756.712526285416</t>
  </si>
  <si>
    <t>-520.381613617916 18.6441845680354 -228.008087834115</t>
  </si>
  <si>
    <t>-433.624435387199 -19.1685400856439 217.750871747731</t>
  </si>
  <si>
    <t>-592.140707813812 -100.04283355409 652.567500798779</t>
  </si>
  <si>
    <t>-442.651506351392 -146.136045971388 733.015628965825</t>
  </si>
  <si>
    <t>9763-20170724T164404.086267400.bin</t>
  </si>
  <si>
    <t>-503.747964254383 114.312068630385 -240.561017601245</t>
  </si>
  <si>
    <t>-542.816738487214 106.368825213503 -354.921503519549</t>
  </si>
  <si>
    <t>-557.543813502186 94.4600986175901 -474.637268262509</t>
  </si>
  <si>
    <t>-560.632395131672 82.4339185895911 -583.45215396255</t>
  </si>
  <si>
    <t>-553.555631465298 69.3902587873936 -691.963160699342</t>
  </si>
  <si>
    <t>-533.148822327791 50.4086949055966 -841.707111632573</t>
  </si>
  <si>
    <t>-489.19954606064 42.0200940404192 -933.255369965839</t>
  </si>
  <si>
    <t>-538.661216652158 90.2116242128714 -778.9516030337</t>
  </si>
  <si>
    <t>-541.162383050564 236.797350879002 -767.482825945701</t>
  </si>
  <si>
    <t>-523.022274204652 308.188234485123 -459.650940674816</t>
  </si>
  <si>
    <t>-337.997628417554 213.234109124796 -303.472859203563</t>
  </si>
  <si>
    <t>-545.695182353025 27.4032997901386 -771.948551449087</t>
  </si>
  <si>
    <t>-340.564003653747 2.52424722897435 -479.398517293159</t>
  </si>
  <si>
    <t>-486.872036533728 209.833579652079 -252.580265337213</t>
  </si>
  <si>
    <t>-474.227128542452 203.94098287587 202.900777584698</t>
  </si>
  <si>
    <t>-493.084703153149 171.475140955942 671.269448218876</t>
  </si>
  <si>
    <t>-339.538608673092 163.305528394084 756.71168286656</t>
  </si>
  <si>
    <t>-520.497870724074 18.7302992869143 -227.913819907376</t>
  </si>
  <si>
    <t>-433.672437360857 -19.1342528733406 217.827525438289</t>
  </si>
  <si>
    <t>-592.121706787853 -100.008940666501 652.64002069271</t>
  </si>
  <si>
    <t>-442.568686724351 -145.884510615155 733.094034219871</t>
  </si>
  <si>
    <t>9763-20170724T164404.123011900.bin</t>
  </si>
  <si>
    <t>-503.866719671964 114.517364139965 -240.586071578382</t>
  </si>
  <si>
    <t>-542.96810271489 106.588081684676 -354.936350932676</t>
  </si>
  <si>
    <t>-557.653089160059 94.6777748001701 -474.657213211015</t>
  </si>
  <si>
    <t>-560.672546414501 82.6445073879416 -583.473363820084</t>
  </si>
  <si>
    <t>-553.495943074108 69.5884943166554 -691.9761947842</t>
  </si>
  <si>
    <t>-532.91931436866 50.5849778349236 -841.69414316478</t>
  </si>
  <si>
    <t>-488.931837821026 42.1895032884489 -933.223408617574</t>
  </si>
  <si>
    <t>-538.50274863106 90.3970587918618 -778.950670861958</t>
  </si>
  <si>
    <t>-540.982137809286 236.975135907746 -767.473915300482</t>
  </si>
  <si>
    <t>-522.670583272848 308.391097230721 -459.65804091857</t>
  </si>
  <si>
    <t>-337.697261392264 213.488326939553 -303.387906065307</t>
  </si>
  <si>
    <t>-545.544953766943 27.5898757667005 -771.946503966984</t>
  </si>
  <si>
    <t>-340.361855279635 2.396932761483 -479.713301699684</t>
  </si>
  <si>
    <t>-487.016300856675 210.074933041741 -252.575618200751</t>
  </si>
  <si>
    <t>-474.313769227063 204.093594636712 202.902706330115</t>
  </si>
  <si>
    <t>-493.138455904741 171.683058176628 671.26871728735</t>
  </si>
  <si>
    <t>-339.611528059907 163.255244933643 756.720259718588</t>
  </si>
  <si>
    <t>-520.587091448971 18.983224974456 -227.946200266269</t>
  </si>
  <si>
    <t>-433.808903698401 -18.8452843458657 217.807278920742</t>
  </si>
  <si>
    <t>-592.103407385839 -99.7574812051526 652.675776902018</t>
  </si>
  <si>
    <t>-442.785241267418 -146.343456683058 733.157702816051</t>
  </si>
  <si>
    <t>9763-20170724T164404.187158900.bin</t>
  </si>
  <si>
    <t>-504.313803460556 114.902434494774 -240.597138413584</t>
  </si>
  <si>
    <t>-543.395575823581 107.00041463375 -354.956160513822</t>
  </si>
  <si>
    <t>-558.015162443125 95.0692624922031 -474.682831123692</t>
  </si>
  <si>
    <t>-560.957014777443 82.9940284546829 -583.496392602541</t>
  </si>
  <si>
    <t>-553.684988124373 69.8712742571752 -691.984800682595</t>
  </si>
  <si>
    <t>-532.957882062236 50.747414710366 -841.666704391356</t>
  </si>
  <si>
    <t>-488.891317029678 42.2802522532994 -933.151409759498</t>
  </si>
  <si>
    <t>-538.564398409599 90.6060531861541 -778.954962672869</t>
  </si>
  <si>
    <t>-540.875258387343 237.193485756101 -767.524888471386</t>
  </si>
  <si>
    <t>-522.424542867945 308.628407731345 -459.721670460005</t>
  </si>
  <si>
    <t>-337.507762765292 213.916739686294 -303.26875412503</t>
  </si>
  <si>
    <t>-545.693560904847 27.8121384817867 -771.919368608873</t>
  </si>
  <si>
    <t>-340.174460831571 1.78282443608339 -480.154851195527</t>
  </si>
  <si>
    <t>-487.439872772525 210.445051189447 -252.57302965884</t>
  </si>
  <si>
    <t>-474.627479202139 204.28548956433 202.899942149875</t>
  </si>
  <si>
    <t>-493.146241615175 171.721635707839 671.275546445357</t>
  </si>
  <si>
    <t>-339.628756550958 163.152158414783 756.730006621978</t>
  </si>
  <si>
    <t>-521.06670897469 19.3194148231331 -227.954142833542</t>
  </si>
  <si>
    <t>-434.210678946882 -18.6647347807202 217.771031305325</t>
  </si>
  <si>
    <t>-592.117538411765 -99.7714960794881 652.77286101704</t>
  </si>
  <si>
    <t>-442.83731203952 -146.523887706284 733.228839576048</t>
  </si>
  <si>
    <t>9763-20170724T164404.221275000.bin</t>
  </si>
  <si>
    <t>-504.544159009541 115.096093815289 -240.643116968652</t>
  </si>
  <si>
    <t>-543.588862250081 107.212528188479 -355.016041889786</t>
  </si>
  <si>
    <t>-558.175595154095 95.2756319439718 -474.746286068015</t>
  </si>
  <si>
    <t>-561.090096661198 83.1834387327333 -583.558556524326</t>
  </si>
  <si>
    <t>-553.793200798008 70.030548395029 -692.041721935561</t>
  </si>
  <si>
    <t>-533.034265230169 50.850105650968 -841.711993677686</t>
  </si>
  <si>
    <t>-488.940379836392 42.3326753217505 -933.178710269262</t>
  </si>
  <si>
    <t>-538.637374611173 90.7308451841623 -779.013983926622</t>
  </si>
  <si>
    <t>-540.958848149687 237.326122054208 -767.606333872094</t>
  </si>
  <si>
    <t>-522.278542185427 308.873160243295 -459.843076620982</t>
  </si>
  <si>
    <t>-337.429859352125 214.230460557752 -303.267894215302</t>
  </si>
  <si>
    <t>-545.801596802255 27.9428653885828 -771.961303942355</t>
  </si>
  <si>
    <t>-340.175306380942 1.56274001745996 -480.404807525938</t>
  </si>
  <si>
    <t>-487.667271744911 210.738380868083 -252.5966808315</t>
  </si>
  <si>
    <t>-474.858805422496 204.476071549926 202.874904524602</t>
  </si>
  <si>
    <t>-493.233148423188 172.115175174738 671.249213215603</t>
  </si>
  <si>
    <t>-339.769040575819 162.965881600162 756.739356649282</t>
  </si>
  <si>
    <t>-521.271665520863 19.4246667644852 -228.043324615414</t>
  </si>
  <si>
    <t>-434.473250261953 -18.5160917921597 217.696854288364</t>
  </si>
  <si>
    <t>-592.124319550635 -99.6312802447289 652.816821643693</t>
  </si>
  <si>
    <t>-442.920621844206 -146.652090503199 733.258216941555</t>
  </si>
  <si>
    <t>9763-20170724T164404.286438900.bin</t>
  </si>
  <si>
    <t>-505.023809461612 114.921931019713 -240.674948446265</t>
  </si>
  <si>
    <t>-543.995754242136 107.078324414246 -355.075399813912</t>
  </si>
  <si>
    <t>-558.524356842996 95.1174574555847 -474.810266741124</t>
  </si>
  <si>
    <t>-561.392994916634 82.9740248768896 -583.618123848274</t>
  </si>
  <si>
    <t>-554.057313649812 69.7385990749334 -692.088655891302</t>
  </si>
  <si>
    <t>-533.251862252375 50.4091661734173 -841.73321268854</t>
  </si>
  <si>
    <t>-489.148242630306 41.7642672211755 -933.183351156926</t>
  </si>
  <si>
    <t>-538.837881338495 90.3487679251002 -779.071081252369</t>
  </si>
  <si>
    <t>-541.023417912601 236.939143591494 -767.69042067518</t>
  </si>
  <si>
    <t>-521.784729626335 308.606473392676 -459.989442327745</t>
  </si>
  <si>
    <t>-337.056947456082 214.009151191075 -303.244365835793</t>
  </si>
  <si>
    <t>-546.077373299504 27.5749341286804 -771.969198925805</t>
  </si>
  <si>
    <t>-340.179920239829 0.855134165289599 -480.012031566141</t>
  </si>
  <si>
    <t>-488.122103137001 210.713376811532 -252.621841266411</t>
  </si>
  <si>
    <t>-475.233514888454 204.255627086112 202.844812327031</t>
  </si>
  <si>
    <t>-493.172392024999 171.954024508798 671.233498919749</t>
  </si>
  <si>
    <t>-339.697103252401 163.104257753952 756.735066632361</t>
  </si>
  <si>
    <t>-521.806964873457 19.0832390914925 -228.118856009554</t>
  </si>
  <si>
    <t>-435.043037316042 -19.0005573112169 217.615634450853</t>
  </si>
  <si>
    <t>-592.191197279732 -100.135909908327 652.960668943565</t>
  </si>
  <si>
    <t>-442.607562115227 -146.096228915568 733.309380188264</t>
  </si>
  <si>
    <t>9763-20170724T164404.322550800.bin</t>
  </si>
  <si>
    <t>-505.323852454197 114.85754620187 -240.704311837908</t>
  </si>
  <si>
    <t>-544.382638511513 107.067018489303 -355.078832659516</t>
  </si>
  <si>
    <t>-558.924212824 95.1064735596623 -474.812154553983</t>
  </si>
  <si>
    <t>-561.772719385618 82.9422827894496 -583.618253454266</t>
  </si>
  <si>
    <t>-554.384851283721 69.665628888156 -692.080194616558</t>
  </si>
  <si>
    <t>-533.474132647126 50.2580962246586 -841.700009813056</t>
  </si>
  <si>
    <t>-489.346300613462 41.5453504836908 -933.131988308756</t>
  </si>
  <si>
    <t>-539.084659214623 90.2284596835339 -779.059643413331</t>
  </si>
  <si>
    <t>-541.115236446859 236.833006354651 -767.660795937937</t>
  </si>
  <si>
    <t>-521.69201452485 308.595081743916 -459.993625739491</t>
  </si>
  <si>
    <t>-337.063836554827 213.904626788772 -303.187325007792</t>
  </si>
  <si>
    <t>-546.368359749563 27.4621810197312 -771.935996513537</t>
  </si>
  <si>
    <t>-340.499648733599 0.690681489874208 -479.482217766098</t>
  </si>
  <si>
    <t>-488.380063109631 210.598875995468 -252.611620643182</t>
  </si>
  <si>
    <t>-475.378631649209 204.034672531758 202.85014544575</t>
  </si>
  <si>
    <t>-493.102124035981 171.639295386175 671.246179864949</t>
  </si>
  <si>
    <t>-339.554657694975 163.813907310437 756.718206000072</t>
  </si>
  <si>
    <t>-522.189466837742 19.1312711393094 -228.111672438683</t>
  </si>
  <si>
    <t>-435.188214110727 -19.0996358693736 217.564051423701</t>
  </si>
  <si>
    <t>-592.19561069635 -99.9001836228526 653.00096285845</t>
  </si>
  <si>
    <t>-442.764632800527 -146.389062968526 733.329626947845</t>
  </si>
  <si>
    <t>9763-20170724T164404.386720000.bin</t>
  </si>
  <si>
    <t>-506.087122023315 114.878173963519 -240.702214564934</t>
  </si>
  <si>
    <t>-545.129751123166 107.093329311624 -355.082692476562</t>
  </si>
  <si>
    <t>-559.571574131303 95.1059069952909 -474.825441575109</t>
  </si>
  <si>
    <t>-562.296122080226 82.9032470107566 -583.630289894115</t>
  </si>
  <si>
    <t>-554.751220364889 69.5737948967925 -692.075047576396</t>
  </si>
  <si>
    <t>-533.589220671114 50.0778849149202 -841.647970322892</t>
  </si>
  <si>
    <t>-489.318786652493 41.2557719078857 -933.000522593809</t>
  </si>
  <si>
    <t>-539.235729599979 90.0783347950068 -779.030051144075</t>
  </si>
  <si>
    <t>-540.837971019644 236.681376953192 -767.667637939065</t>
  </si>
  <si>
    <t>-520.92848808638 308.804500804335 -460.115953865626</t>
  </si>
  <si>
    <t>-336.659209561882 213.559245079369 -303.223577438039</t>
  </si>
  <si>
    <t>-546.669752561717 27.3300762924857 -771.903057691923</t>
  </si>
  <si>
    <t>-341.032515071912 0.288727353028555 -478.848866590447</t>
  </si>
  <si>
    <t>-489.015542460087 210.943001771175 -252.669414448173</t>
  </si>
  <si>
    <t>-476.036435159701 204.287900957798 202.79180745346</t>
  </si>
  <si>
    <t>-493.19494664547 172.22131126602 671.159752887099</t>
  </si>
  <si>
    <t>-339.793102872832 162.787505516223 756.73073216477</t>
  </si>
  <si>
    <t>-523.023393953365 18.7869072289244 -228.117317315379</t>
  </si>
  <si>
    <t>-435.628653301695 -19.533452123497 217.473715409111</t>
  </si>
  <si>
    <t>-592.275932772391 -100.280044252143 653.146861661144</t>
  </si>
  <si>
    <t>-442.522544790616 -145.963574535273 733.336973267419</t>
  </si>
  <si>
    <t>9763-20170724T164404.419817700.bin</t>
  </si>
  <si>
    <t>-506.357125930328 114.843968927063 -240.736602152431</t>
  </si>
  <si>
    <t>-545.473422752503 107.110643763228 -355.095176110338</t>
  </si>
  <si>
    <t>-559.928765835333 95.1415536844106 -474.838144676645</t>
  </si>
  <si>
    <t>-562.639551537441 82.940743657838 -583.643641225378</t>
  </si>
  <si>
    <t>-555.055105735697 69.5981747449755 -692.083962313895</t>
  </si>
  <si>
    <t>-533.811654546955 50.0680200911136 -841.640934559143</t>
  </si>
  <si>
    <t>-489.475571596174 41.1957198549219 -932.956801607365</t>
  </si>
  <si>
    <t>-539.4392037741 90.0773961264329 -779.027072496568</t>
  </si>
  <si>
    <t>-540.805279353282 236.681039740274 -767.661318984106</t>
  </si>
  <si>
    <t>-520.655984972297 309.051034499304 -460.183176861405</t>
  </si>
  <si>
    <t>-336.706696562668 213.392397433535 -303.166773280991</t>
  </si>
  <si>
    <t>-546.983181673963 27.341608130541 -771.906193690497</t>
  </si>
  <si>
    <t>-341.468494215918 0.0684338078298339 -478.846092996398</t>
  </si>
  <si>
    <t>-489.163414214413 210.803378624613 -252.709711397138</t>
  </si>
  <si>
    <t>-476.127922554554 204.072107592573 202.748772883388</t>
  </si>
  <si>
    <t>-493.050043236345 171.791931937285 671.140918739455</t>
  </si>
  <si>
    <t>-339.600242714123 163.35671627925 756.730200081201</t>
  </si>
  <si>
    <t>-523.387811237913 18.9305458604275 -228.109556382053</t>
  </si>
  <si>
    <t>-435.757574255299 -19.592868247321 217.417785948407</t>
  </si>
  <si>
    <t>-592.293486216175 -99.6960734421618 653.202938630046</t>
  </si>
  <si>
    <t>-442.826908983212 -146.352701045124 733.367806430925</t>
  </si>
  <si>
    <t>9763-20170724T164404.484988400.bin</t>
  </si>
  <si>
    <t>-506.919671024859 114.762128382042 -240.738589578606</t>
  </si>
  <si>
    <t>-546.021568073759 107.146853918835 -355.110139799287</t>
  </si>
  <si>
    <t>-560.447616404296 95.2488832408187 -474.863565591324</t>
  </si>
  <si>
    <t>-563.125306747607 83.0932203670646 -583.674986150283</t>
  </si>
  <si>
    <t>-555.501169839251 69.7773842849994 -692.115880577903</t>
  </si>
  <si>
    <t>-534.195795684682 50.2660385542599 -841.666434326596</t>
  </si>
  <si>
    <t>-489.761364902107 41.3403778405024 -932.929209360994</t>
  </si>
  <si>
    <t>-539.762698022743 90.2585175622 -779.036318292556</t>
  </si>
  <si>
    <t>-540.756870694812 236.860197287106 -767.621932742436</t>
  </si>
  <si>
    <t>-520.464821427467 308.998709484346 -460.098776068579</t>
  </si>
  <si>
    <t>-336.925211937941 212.654692512975 -303.022124358864</t>
  </si>
  <si>
    <t>-547.482918658026 27.5399090715857 -771.953563554186</t>
  </si>
  <si>
    <t>-489.454645714101 210.721519149592 -252.711465328489</t>
  </si>
  <si>
    <t>-476.494473430949 203.812163956442 202.746484083695</t>
  </si>
  <si>
    <t>-492.983493541612 171.515210720016 671.16210279498</t>
  </si>
  <si>
    <t>-339.525184413796 163.459658039357 756.772653884107</t>
  </si>
  <si>
    <t>-524.191628607141 18.8024916002754 -228.122816865836</t>
  </si>
  <si>
    <t>-436.124656148828 -20.1710633729523 217.279172247743</t>
  </si>
  <si>
    <t>-592.389236298051 -99.5484990348844 653.326771997922</t>
  </si>
  <si>
    <t>-442.934341508953 -146.444758783834 733.373525178195</t>
  </si>
  <si>
    <t>9763-20170724T164404.519769100.bin</t>
  </si>
  <si>
    <t>-507.105641687063 114.799425648209 -240.76183656481</t>
  </si>
  <si>
    <t>-546.233176737318 107.254936216217 -355.129331702592</t>
  </si>
  <si>
    <t>-560.699333073437 95.4189012193971 -474.88421200087</t>
  </si>
  <si>
    <t>-563.418829261007 83.3151734979258 -583.700204676856</t>
  </si>
  <si>
    <t>-555.841478895416 70.0472452214998 -692.150286113495</t>
  </si>
  <si>
    <t>-534.605755401957 50.5980778658453 -841.718984267563</t>
  </si>
  <si>
    <t>-490.169618299106 41.6675211472735 -932.980355409994</t>
  </si>
  <si>
    <t>-540.102656897479 90.5601807632803 -779.063204108983</t>
  </si>
  <si>
    <t>-540.913776800987 237.160596671101 -767.572956103751</t>
  </si>
  <si>
    <t>-520.644291007879 308.928726435047 -459.961651031019</t>
  </si>
  <si>
    <t>-337.272381370984 212.324117548735 -302.849074704461</t>
  </si>
  <si>
    <t>-547.90114598856 27.8472698837666 -772.015607546152</t>
  </si>
  <si>
    <t>-489.584091983479 210.871906199126 -252.710613434656</t>
  </si>
  <si>
    <t>-476.757051960598 203.880182619572 202.749905673858</t>
  </si>
  <si>
    <t>-493.083113619146 171.847286632129 671.178507493777</t>
  </si>
  <si>
    <t>-339.637667826138 163.439649363007 756.77830605532</t>
  </si>
  <si>
    <t>-524.47035547482 18.836005132404 -228.139431459745</t>
  </si>
  <si>
    <t>-436.364481183754 -20.4219550385133 217.229898582926</t>
  </si>
  <si>
    <t>-592.457264336665 -99.7314755278355 653.396111588842</t>
  </si>
  <si>
    <t>-442.984053043775 -146.672072313486 733.382647982701</t>
  </si>
  <si>
    <t>9763-20170724T164404.591465400.bin</t>
  </si>
  <si>
    <t>-507.477641850658 114.919129809865 -240.753104192528</t>
  </si>
  <si>
    <t>-546.597885797956 107.500674958132 -355.131383932358</t>
  </si>
  <si>
    <t>-561.122988000588 95.8161585040567 -474.893890294642</t>
  </si>
  <si>
    <t>-563.923068577615 83.8569463085789 -583.723912841462</t>
  </si>
  <si>
    <t>-556.453039863907 70.7396933050044 -692.199580552781</t>
  </si>
  <si>
    <t>-535.393396277855 51.5049784386454 -841.820998825617</t>
  </si>
  <si>
    <t>-491.09085058856 42.6086740385802 -933.150625011392</t>
  </si>
  <si>
    <t>-540.752787732444 91.3703917128776 -779.091788701969</t>
  </si>
  <si>
    <t>-541.260870848292 237.955395003655 -767.422494681975</t>
  </si>
  <si>
    <t>-521.155578810597 308.799493408696 -459.586427324972</t>
  </si>
  <si>
    <t>-338.164370962391 211.667717132411 -302.355065696946</t>
  </si>
  <si>
    <t>-548.670473699135 28.6611273638491 -772.144458834471</t>
  </si>
  <si>
    <t>-344.2675427196 0.528419891196378 -479.3385330917</t>
  </si>
  <si>
    <t>-489.779242187698 211.071888229573 -252.698657550358</t>
  </si>
  <si>
    <t>-477.009109116146 203.971438090327 202.761678127477</t>
  </si>
  <si>
    <t>-493.089636640006 171.878669312691 671.179740930633</t>
  </si>
  <si>
    <t>-339.720304012793 162.516920703401 756.816880612382</t>
  </si>
  <si>
    <t>-525.017239052122 18.8967532790134 -228.154305176694</t>
  </si>
  <si>
    <t>-436.622490027891 -20.7218455245786 217.125825507605</t>
  </si>
  <si>
    <t>-592.500829012756 -99.5267797446109 653.412460663993</t>
  </si>
  <si>
    <t>-442.938052131925 -146.266004719723 733.349512980408</t>
  </si>
  <si>
    <t>9763-20170724T164404.618037500.bin</t>
  </si>
  <si>
    <t>-507.568667343292 115.112455248398 -240.751649598264</t>
  </si>
  <si>
    <t>-546.785464267964 107.746305404277 -355.100280567048</t>
  </si>
  <si>
    <t>-561.359113655408 96.1326635806329 -474.86367604457</t>
  </si>
  <si>
    <t>-564.182156801612 84.2452686502409 -583.701002860451</t>
  </si>
  <si>
    <t>-556.713913520188 71.2080664103929 -692.186504175411</t>
  </si>
  <si>
    <t>-535.634876089386 52.0934969042431 -841.820452355142</t>
  </si>
  <si>
    <t>-491.380385706038 43.2433108453211 -933.177993429906</t>
  </si>
  <si>
    <t>-540.991475763195 91.9072454930762 -779.058311432964</t>
  </si>
  <si>
    <t>-541.389659413285 238.485068854298 -767.246309266353</t>
  </si>
  <si>
    <t>-521.434396185321 308.981055464619 -459.320504673177</t>
  </si>
  <si>
    <t>-338.659580038152 211.541182382803 -302.028120344341</t>
  </si>
  <si>
    <t>-548.931872063822 29.1948928750125 -772.165949408287</t>
  </si>
  <si>
    <t>-344.791505850885 0.941659468288222 -479.524458472551</t>
  </si>
  <si>
    <t>-489.854432953542 211.262753771411 -252.665990198444</t>
  </si>
  <si>
    <t>-477.021697760744 204.103338224572 202.791825854996</t>
  </si>
  <si>
    <t>-493.117586534632 171.895614429149 671.216293889177</t>
  </si>
  <si>
    <t>-339.775021247158 162.089370879976 756.851455518999</t>
  </si>
  <si>
    <t>-525.127082942627 19.0764936013535 -228.146118863842</t>
  </si>
  <si>
    <t>-436.646500482492 -20.5778597509286 217.113741532783</t>
  </si>
  <si>
    <t>-592.509058938054 -99.5433701675418 653.391069002326</t>
  </si>
  <si>
    <t>-442.982155697734 -146.383698539914 733.336004785344</t>
  </si>
  <si>
    <t>9763-20170724T164404.685216300.bin</t>
  </si>
  <si>
    <t>-507.486380748422 115.228756914537 -240.670859815541</t>
  </si>
  <si>
    <t>-546.683601870808 107.876766762182 -355.026996082111</t>
  </si>
  <si>
    <t>-561.204918475594 96.3346150646573 -474.803739921168</t>
  </si>
  <si>
    <t>-563.96778546773 84.5371416324564 -583.652573311535</t>
  </si>
  <si>
    <t>-556.427028491987 71.6162180791712 -692.146868126402</t>
  </si>
  <si>
    <t>-535.235207261758 52.6916453231709 -841.789151129109</t>
  </si>
  <si>
    <t>-491.008115213156 43.9610540589092 -933.171380106486</t>
  </si>
  <si>
    <t>-540.64860105718 92.4267567894414 -778.981930923359</t>
  </si>
  <si>
    <t>-541.011439901229 238.988097885552 -766.945459366337</t>
  </si>
  <si>
    <t>-520.958411261772 308.831918784417 -458.877393744416</t>
  </si>
  <si>
    <t>-338.505648908485 210.857267388982 -301.543351214875</t>
  </si>
  <si>
    <t>-548.575259566953 29.7036033036937 -772.172257540418</t>
  </si>
  <si>
    <t>-344.550016972787 1.38690224682053 -479.374422964634</t>
  </si>
  <si>
    <t>-489.733449634487 211.238740422966 -252.59253512536</t>
  </si>
  <si>
    <t>-477.012227739556 203.952346874747 202.866290415433</t>
  </si>
  <si>
    <t>-493.101886053057 171.633740588924 671.276699717377</t>
  </si>
  <si>
    <t>-339.657547092776 162.962722898264 756.852049091069</t>
  </si>
  <si>
    <t>-525.077321127754 19.2343765543138 -228.122938273236</t>
  </si>
  <si>
    <t>-436.537243456228 -20.4880828904202 217.119156108642</t>
  </si>
  <si>
    <t>-592.493693428426 -99.6235134552016 653.317240246529</t>
  </si>
  <si>
    <t>-443.066508407384 -146.707236999456 733.305633515289</t>
  </si>
  <si>
    <t>9763-20170724T164404.722047200.bin</t>
  </si>
  <si>
    <t>-507.388062308029 115.625922359857 -240.627054570151</t>
  </si>
  <si>
    <t>-546.578751700313 108.249363979993 -354.983796756198</t>
  </si>
  <si>
    <t>-561.080453061869 96.7222262729833 -474.764402691754</t>
  </si>
  <si>
    <t>-563.820510502964 84.9559015895194 -583.617114956058</t>
  </si>
  <si>
    <t>-556.252162257923 72.0842921575093 -692.115410462133</t>
  </si>
  <si>
    <t>-535.01741897911 53.2479439253288 -841.762568834441</t>
  </si>
  <si>
    <t>-490.777659848538 44.600088494689 -933.146649289481</t>
  </si>
  <si>
    <t>-540.47191595305 92.948521492031 -778.937307963587</t>
  </si>
  <si>
    <t>-540.925399745989 239.500675720231 -766.832566580286</t>
  </si>
  <si>
    <t>-520.764217248435 309.014961643553 -458.697067787319</t>
  </si>
  <si>
    <t>-338.351162942086 210.973756887398 -301.358424690782</t>
  </si>
  <si>
    <t>-548.354389981989 30.2163344304182 -772.159503256134</t>
  </si>
  <si>
    <t>-344.378493630223 1.8202590504537 -479.307179335889</t>
  </si>
  <si>
    <t>-489.68823860565 211.717045945364 -252.562417092311</t>
  </si>
  <si>
    <t>-477.020227984581 204.412579386333 202.897609353905</t>
  </si>
  <si>
    <t>-493.25061501559 172.160206287993 671.294755984445</t>
  </si>
  <si>
    <t>-339.894774090384 162.048826140609 756.870846689963</t>
  </si>
  <si>
    <t>-524.925034386229 19.6363298341794 -228.064091423976</t>
  </si>
  <si>
    <t>-436.361592067141 -20.2310095612046 217.160319124876</t>
  </si>
  <si>
    <t>-592.481528425951 -99.6454779541922 653.272770522701</t>
  </si>
  <si>
    <t>-443.195289552721 -147.112541569593 733.297817582569</t>
  </si>
  <si>
    <t>9763-20170724T164404.788221800.bin</t>
  </si>
  <si>
    <t>-507.1827436966 116.068162099368 -240.5865612744</t>
  </si>
  <si>
    <t>-546.451121315219 108.674274436873 -354.915668472889</t>
  </si>
  <si>
    <t>-560.960727594537 97.1932955247451 -474.699813014535</t>
  </si>
  <si>
    <t>-563.678409077314 85.4988118742675 -583.560681281693</t>
  </si>
  <si>
    <t>-556.058455561079 72.7316036343966 -692.067849370139</t>
  </si>
  <si>
    <t>-534.722186251742 54.0762666929322 -841.723218560826</t>
  </si>
  <si>
    <t>-490.460334227835 45.6360863538518 -933.115950970099</t>
  </si>
  <si>
    <t>-540.285710355695 93.7080023539493 -778.863877037854</t>
  </si>
  <si>
    <t>-540.931537643159 240.243552867199 -766.65120990671</t>
  </si>
  <si>
    <t>-520.573280299908 309.258863500136 -458.416581179613</t>
  </si>
  <si>
    <t>-338.14565910402 211.114343624758 -301.159374667875</t>
  </si>
  <si>
    <t>-548.039956149299 30.9533333852407 -772.146696167546</t>
  </si>
  <si>
    <t>-344.222533782814 2.55073923030635 -479.503470113225</t>
  </si>
  <si>
    <t>-489.538386608962 212.189333559454 -252.506851628937</t>
  </si>
  <si>
    <t>-476.708128869505 204.728209044954 202.946198258459</t>
  </si>
  <si>
    <t>-493.338686311374 172.383869899016 671.309539744468</t>
  </si>
  <si>
    <t>-339.990236297877 162.026329573559 756.869491140649</t>
  </si>
  <si>
    <t>-524.702927060792 19.9590860567086 -228.024872255453</t>
  </si>
  <si>
    <t>-436.1222605902 -19.820380838658 217.203938875076</t>
  </si>
  <si>
    <t>-592.432205165786 -99.6743667534759 653.177520066236</t>
  </si>
  <si>
    <t>-442.898984975301 -146.342857053939 733.211165125016</t>
  </si>
  <si>
    <t>9763-20170724T164404.824866800.bin</t>
  </si>
  <si>
    <t>-507.122589066849 116.215933695894 -240.59074339243</t>
  </si>
  <si>
    <t>-546.453226262157 108.802647990074 -354.897224918486</t>
  </si>
  <si>
    <t>-561.046104562321 97.3546989217139 -474.674256633176</t>
  </si>
  <si>
    <t>-563.846859732739 85.7137804361029 -583.538905714632</t>
  </si>
  <si>
    <t>-556.317337651195 73.0249606961952 -692.061321997293</t>
  </si>
  <si>
    <t>-535.113546474821 54.5053969935098 -841.752519670276</t>
  </si>
  <si>
    <t>-490.922586551202 46.1725517006862 -933.189502617509</t>
  </si>
  <si>
    <t>-540.662285345028 94.0844399624622 -778.858686435293</t>
  </si>
  <si>
    <t>-541.289239411531 240.62172478276 -766.611899489228</t>
  </si>
  <si>
    <t>-520.861961484594 309.670094859215 -458.389286609779</t>
  </si>
  <si>
    <t>-338.470888152117 211.52132588015 -301.092334411211</t>
  </si>
  <si>
    <t>-548.32879044519 31.3149520082395 -772.179031308442</t>
  </si>
  <si>
    <t>-344.568902671567 3.03760452562942 -479.672229124527</t>
  </si>
  <si>
    <t>-489.488100954431 212.13762744818 -252.496472350947</t>
  </si>
  <si>
    <t>-476.549086834136 204.596448348532 202.952165823649</t>
  </si>
  <si>
    <t>-493.192044724878 171.787750274158 671.316165788782</t>
  </si>
  <si>
    <t>-339.772865630742 162.403472014506 756.861441926408</t>
  </si>
  <si>
    <t>-524.629879220862 20.3071715704204 -227.992120317833</t>
  </si>
  <si>
    <t>-436.010136505596 -19.4836050701318 217.227904074677</t>
  </si>
  <si>
    <t>-592.393569614317 -99.3884686839009 653.121799624702</t>
  </si>
  <si>
    <t>-443.146079977601 -146.881288756907 733.203803336081</t>
  </si>
  <si>
    <t>9763-20170724T164404.888050500.bin</t>
  </si>
  <si>
    <t>-507.13216577706 116.341905039126 -240.55078168178</t>
  </si>
  <si>
    <t>-546.567151550915 108.921121942983 -354.820750522028</t>
  </si>
  <si>
    <t>-561.338361318203 97.4644858406621 -474.575210910632</t>
  </si>
  <si>
    <t>-564.328732250936 85.8180917794407 -583.434078125795</t>
  </si>
  <si>
    <t>-557.01536454939 73.1277931910418 -691.971264488827</t>
  </si>
  <si>
    <t>-536.137968397145 54.6117432894286 -841.708690216217</t>
  </si>
  <si>
    <t>-492.160980784015 46.3649667169167 -933.256491850092</t>
  </si>
  <si>
    <t>-541.585285479338 94.1930620168597 -778.807460161853</t>
  </si>
  <si>
    <t>-542.17270208763 240.735907617033 -766.65003875675</t>
  </si>
  <si>
    <t>-521.420979745049 310.162767666867 -458.53414026157</t>
  </si>
  <si>
    <t>-339.224957814259 211.838112987735 -301.120758566648</t>
  </si>
  <si>
    <t>-549.165851409134 31.4159714133199 -772.101665430499</t>
  </si>
  <si>
    <t>-345.347868833989 3.45384249094796 -479.780407091093</t>
  </si>
  <si>
    <t>-489.543513369751 212.234375600911 -252.477226773072</t>
  </si>
  <si>
    <t>-476.482026857232 204.61248479313 202.966536459114</t>
  </si>
  <si>
    <t>-493.133713457706 171.514054477514 671.320809067924</t>
  </si>
  <si>
    <t>-339.680660849645 162.420084586714 756.836753536026</t>
  </si>
  <si>
    <t>-524.593042547991 20.4166315937961 -227.927841465859</t>
  </si>
  <si>
    <t>-435.843411379094 -19.4305558694439 217.261347382289</t>
  </si>
  <si>
    <t>-592.374122745963 -99.731300036736 653.04020549066</t>
  </si>
  <si>
    <t>-442.790751601112 -146.143137483292 733.129462345121</t>
  </si>
  <si>
    <t>9763-20170724T164404.920627300.bin</t>
  </si>
  <si>
    <t>-507.171466723264 116.566633793202 -240.517751461651</t>
  </si>
  <si>
    <t>-546.694310125439 109.137709543269 -354.756716472014</t>
  </si>
  <si>
    <t>-561.578537686504 97.6693829538601 -474.496190406231</t>
  </si>
  <si>
    <t>-564.679984388257 86.0114010670301 -583.350649112026</t>
  </si>
  <si>
    <t>-557.485650829767 73.3086592671476 -691.894490846303</t>
  </si>
  <si>
    <t>-536.781005412015 54.774801200551 -841.653669346001</t>
  </si>
  <si>
    <t>-492.949064100086 46.572411261203 -933.274949133027</t>
  </si>
  <si>
    <t>-542.160034413654 94.3640313925585 -778.751475329113</t>
  </si>
  <si>
    <t>-542.617385915825 240.934431890319 -766.768247939824</t>
  </si>
  <si>
    <t>-521.942478261168 310.639254815388 -458.709966383671</t>
  </si>
  <si>
    <t>-339.856178994298 212.254170978593 -301.207459222851</t>
  </si>
  <si>
    <t>-549.724270445248 31.5868437259258 -772.028043842668</t>
  </si>
  <si>
    <t>-345.639452339314 3.60696904091617 -479.742678220951</t>
  </si>
  <si>
    <t>-489.609262436509 212.578872770493 -252.482484005505</t>
  </si>
  <si>
    <t>-476.470407800006 204.919878682821 202.958381935162</t>
  </si>
  <si>
    <t>-493.219993720139 171.932613025262 671.29501153149</t>
  </si>
  <si>
    <t>-339.859619877759 161.757038135644 756.855132620144</t>
  </si>
  <si>
    <t>-524.58091035938 20.6081925529629 -227.88077046534</t>
  </si>
  <si>
    <t>-435.791740290214 -19.3088491940659 217.294202534895</t>
  </si>
  <si>
    <t>-592.362799832209 -99.8159156600331 653.001525166284</t>
  </si>
  <si>
    <t>-442.675078444943 -145.884097038146 733.094152642402</t>
  </si>
  <si>
    <t>9763-20170724T164404.986805800.bin</t>
  </si>
  <si>
    <t>-507.192053186392 116.757189224611 -240.542332613926</t>
  </si>
  <si>
    <t>-546.865923364394 109.356496750645 -354.730769458604</t>
  </si>
  <si>
    <t>-562.049115761638 97.8678330546656 -474.430587774495</t>
  </si>
  <si>
    <t>-565.479103221906 86.1678602437703 -583.270830824607</t>
  </si>
  <si>
    <t>-558.668728186202 73.3969357271802 -691.831358707278</t>
  </si>
  <si>
    <t>-538.552272387451 54.7389092687988 -841.655290157448</t>
  </si>
  <si>
    <t>-495.079257851863 46.5777356541418 -933.451116239809</t>
  </si>
  <si>
    <t>-543.666240170333 94.3784490110143 -778.762730935473</t>
  </si>
  <si>
    <t>-544.033877774476 240.961952412851 -767.082790806959</t>
  </si>
  <si>
    <t>-523.091097460009 311.306939752477 -459.187928464122</t>
  </si>
  <si>
    <t>-341.276908613951 212.637278747336 -301.549350579718</t>
  </si>
  <si>
    <t>-551.240037806525 31.6105833885292 -771.962951871351</t>
  </si>
  <si>
    <t>-346.88688504924 4.26308452467113 -479.882495244531</t>
  </si>
  <si>
    <t>-489.601111224326 212.684591828565 -252.483028222471</t>
  </si>
  <si>
    <t>-476.241506117975 204.926640121234 202.949729756812</t>
  </si>
  <si>
    <t>-493.168362592451 171.716391020433 671.29920368237</t>
  </si>
  <si>
    <t>-339.782466039858 161.849825892084 756.849942430324</t>
  </si>
  <si>
    <t>-524.614056545308 20.8519067450019 -227.912441711497</t>
  </si>
  <si>
    <t>-435.78585620865 -18.9465662209931 217.265359456162</t>
  </si>
  <si>
    <t>-592.332607950003 -99.631907914933 652.949793674022</t>
  </si>
  <si>
    <t>-442.684093237574 -145.798047317942 733.05920624793</t>
  </si>
  <si>
    <t>9763-20170724T164405.016894600.bin</t>
  </si>
  <si>
    <t>-507.240452132104 116.74179399286 -240.531529650376</t>
  </si>
  <si>
    <t>-546.892296456819 109.331790845595 -354.727167712044</t>
  </si>
  <si>
    <t>-562.218451050298 97.8396406799258 -474.408343353419</t>
  </si>
  <si>
    <t>-565.845804190254 86.1356258994528 -583.241835646449</t>
  </si>
  <si>
    <t>-559.299823928075 73.357731074543 -691.817635353952</t>
  </si>
  <si>
    <t>-539.617957571988 54.6846199285291 -841.697488899373</t>
  </si>
  <si>
    <t>-496.36246674106 46.5467862923167 -933.598079705168</t>
  </si>
  <si>
    <t>-544.55921158131 94.3314723512389 -778.795748417342</t>
  </si>
  <si>
    <t>-544.963438233344 240.925283795699 -767.199575143174</t>
  </si>
  <si>
    <t>-523.474439963597 311.359225992516 -459.362869303761</t>
  </si>
  <si>
    <t>-341.733503003278 212.793395704651 -301.574961177562</t>
  </si>
  <si>
    <t>-552.093815789562 31.5622917831636 -771.964928760889</t>
  </si>
  <si>
    <t>-347.480455069801 4.5568329863722 -480.382697258204</t>
  </si>
  <si>
    <t>-489.693538193942 212.66458282794 -252.473201073286</t>
  </si>
  <si>
    <t>-476.216192218182 204.873795213252 202.955511258191</t>
  </si>
  <si>
    <t>-493.150601130658 171.628839818681 671.296589120416</t>
  </si>
  <si>
    <t>-339.751840516707 161.993977947866 756.850660473043</t>
  </si>
  <si>
    <t>-524.613222262803 20.8125002912001 -227.968628556728</t>
  </si>
  <si>
    <t>-435.88058565049 -18.9446864975007 217.231969301762</t>
  </si>
  <si>
    <t>-592.336938459202 -99.7006483833334 652.957579430724</t>
  </si>
  <si>
    <t>-442.733245698944 -146.010332357477 733.06786245704</t>
  </si>
  <si>
    <t>9763-20170724T164405.088085200.bin</t>
  </si>
  <si>
    <t>-507.264318604181 116.634087377634 -240.565331594081</t>
  </si>
  <si>
    <t>-547.034402055184 109.240451453538 -354.72082766229</t>
  </si>
  <si>
    <t>-562.702478904104 97.798745857284 -474.362696764662</t>
  </si>
  <si>
    <t>-566.729541569815 86.1480854665308 -583.187801055131</t>
  </si>
  <si>
    <t>-560.671433329052 73.4272998518275 -691.798652647817</t>
  </si>
  <si>
    <t>-541.755695879528 54.8336267952945 -841.786974653858</t>
  </si>
  <si>
    <t>-498.872448694587 46.7993359749589 -933.870865370717</t>
  </si>
  <si>
    <t>-546.380912529586 94.4477258088222 -778.840496195939</t>
  </si>
  <si>
    <t>-546.817908480588 241.049078477156 -767.366764949688</t>
  </si>
  <si>
    <t>-524.39109879507 311.35810028834 -459.568453845529</t>
  </si>
  <si>
    <t>-342.572914941322 213.256371111608 -301.580268896419</t>
  </si>
  <si>
    <t>-553.869845446384 31.6738075968434 -772.003092794774</t>
  </si>
  <si>
    <t>-348.409537809984 4.16276301079003 -481.647462363152</t>
  </si>
  <si>
    <t>-489.815403015816 212.371417190288 -252.463129987168</t>
  </si>
  <si>
    <t>-476.230498069645 204.606026024666 202.962853429603</t>
  </si>
  <si>
    <t>-493.032846070545 171.155970462282 671.299909909469</t>
  </si>
  <si>
    <t>-339.531260822495 162.943454795557 756.817964238962</t>
  </si>
  <si>
    <t>-524.585064082852 20.8826701024834 -227.995822795583</t>
  </si>
  <si>
    <t>-435.947702010611 -18.8522565278816 217.225704673998</t>
  </si>
  <si>
    <t>-592.325003764207 -99.4089630503062 652.964672914228</t>
  </si>
  <si>
    <t>-442.932605008902 -146.381699051457 733.083226267473</t>
  </si>
  <si>
    <t>9763-20170724T164405.124838400.bin</t>
  </si>
  <si>
    <t>-507.386010494316 116.531689951024 -240.576723532858</t>
  </si>
  <si>
    <t>-547.17299067137 109.127016143662 -354.725556123452</t>
  </si>
  <si>
    <t>-562.976229428573 97.7249437058346 -474.353406649239</t>
  </si>
  <si>
    <t>-567.174562572344 86.1268932560121 -583.177720446528</t>
  </si>
  <si>
    <t>-561.335975822303 73.4726880544359 -691.80842919472</t>
  </si>
  <si>
    <t>-542.773994728118 54.9837899288518 -841.85378095809</t>
  </si>
  <si>
    <t>-500.065041253376 47.006162406361 -934.023623116775</t>
  </si>
  <si>
    <t>-547.243610967514 94.5531047640334 -778.868027609832</t>
  </si>
  <si>
    <t>-547.606979725367 241.156098848115 -767.421834107193</t>
  </si>
  <si>
    <t>-524.813048084602 311.531132409165 -459.665575588395</t>
  </si>
  <si>
    <t>-342.9807338067 213.65067556687 -301.556584275333</t>
  </si>
  <si>
    <t>-554.730451469917 31.7759328587664 -772.058719559537</t>
  </si>
  <si>
    <t>-348.744619180454 3.9522929998958 -481.401892622785</t>
  </si>
  <si>
    <t>-489.982959013383 212.318893715287 -252.484461161475</t>
  </si>
  <si>
    <t>-476.329219312045 204.583600526265 202.939970595408</t>
  </si>
  <si>
    <t>-493.017317492213 171.139557469641 671.284640425073</t>
  </si>
  <si>
    <t>-339.544186137989 162.646889153312 756.826251336239</t>
  </si>
  <si>
    <t>-524.645328307588 20.7099960124776 -228.011555357932</t>
  </si>
  <si>
    <t>-436.011522297857 -19.0273416045686 217.210521770267</t>
  </si>
  <si>
    <t>-592.342730276291 -99.6452913317009 652.975658683304</t>
  </si>
  <si>
    <t>-442.779218427044 -146.127680735021 733.060997470221</t>
  </si>
  <si>
    <t>9763-20170724T164405.188997800.bin</t>
  </si>
  <si>
    <t>-507.724217799996 116.40837263952 -240.587553327133</t>
  </si>
  <si>
    <t>-547.601213887643 109.046988658267 -354.707784027379</t>
  </si>
  <si>
    <t>-563.622220348022 97.7310774192167 -474.314978131126</t>
  </si>
  <si>
    <t>-568.068878758651 86.2271247937484 -583.139265383877</t>
  </si>
  <si>
    <t>-562.52841858847 73.6823141582674 -691.79827085506</t>
  </si>
  <si>
    <t>-544.430460216315 55.360449696452 -841.920800601879</t>
  </si>
  <si>
    <t>-501.969598253487 47.5225261987665 -934.217217782196</t>
  </si>
  <si>
    <t>-548.718528601912 94.8610085883159 -778.879355008815</t>
  </si>
  <si>
    <t>-549.053065707086 241.466472447839 -767.549934805758</t>
  </si>
  <si>
    <t>-525.535619263876 312.146518935658 -459.917795232643</t>
  </si>
  <si>
    <t>-343.835461288287 214.417195973477 -301.563513244386</t>
  </si>
  <si>
    <t>-556.157971193425 32.0735376448511 -772.113237693112</t>
  </si>
  <si>
    <t>-349.814605917442 4.18941908352237 -481.044436254238</t>
  </si>
  <si>
    <t>-490.368741618651 212.382151298299 -252.494395645714</t>
  </si>
  <si>
    <t>-476.440276886028 204.669241351362 202.922089374232</t>
  </si>
  <si>
    <t>-493.114084762497 171.537876229144 671.284460385895</t>
  </si>
  <si>
    <t>-339.712706983043 162.072498742043 756.852780791782</t>
  </si>
  <si>
    <t>-524.923733178214 20.4311735195385 -228.047558427936</t>
  </si>
  <si>
    <t>-436.222033625501 -19.1376545392679 217.175974416873</t>
  </si>
  <si>
    <t>-592.357315510728 -99.7367977707902 652.98539707294</t>
  </si>
  <si>
    <t>-442.56339215026 -145.545581173728 733.028237871973</t>
  </si>
  <si>
    <t>9763-20170724T164405.226109700.bin</t>
  </si>
  <si>
    <t>-507.897030473879 116.372942268743 -240.652797864844</t>
  </si>
  <si>
    <t>-547.910386324184 109.067481438213 -354.729003789157</t>
  </si>
  <si>
    <t>-564.077629641451 97.8241043424857 -474.323084240426</t>
  </si>
  <si>
    <t>-568.658692716743 86.3931528869821 -583.149588789361</t>
  </si>
  <si>
    <t>-563.253740156167 73.9290361712448 -691.824767285051</t>
  </si>
  <si>
    <t>-545.344357955918 55.727648433106 -841.98445732274</t>
  </si>
  <si>
    <t>-502.984101114244 47.9753696189587 -934.334431407967</t>
  </si>
  <si>
    <t>-549.565202297687 95.1788745015084 -778.907624214803</t>
  </si>
  <si>
    <t>-549.931606279371 241.793354976782 -767.593194170245</t>
  </si>
  <si>
    <t>-526.200149347756 312.58074213506 -460.002309272099</t>
  </si>
  <si>
    <t>-344.597035744875 214.326985503202 -301.861289946618</t>
  </si>
  <si>
    <t>-556.972169064038 32.3834773982068 -772.179346899872</t>
  </si>
  <si>
    <t>-350.631741990021 4.61199344733132 -480.757278736273</t>
  </si>
  <si>
    <t>-490.598758026272 212.353383569808 -252.500439938868</t>
  </si>
  <si>
    <t>-476.403145226645 204.694888517241 202.908680769187</t>
  </si>
  <si>
    <t>-493.158855678122 171.735065915791 671.271772462857</t>
  </si>
  <si>
    <t>-339.782812856335 162.019308386904 756.857487317123</t>
  </si>
  <si>
    <t>-525.037761418264 20.4678711103288 -228.122238175431</t>
  </si>
  <si>
    <t>-436.343051885532 -18.9708991848826 217.114247471738</t>
  </si>
  <si>
    <t>-592.343995281151 -99.3114119782407 652.983634249177</t>
  </si>
  <si>
    <t>-442.790919251016 -145.847763072328 733.057081450267</t>
  </si>
  <si>
    <t>9763-20170724T164405.285266800.bin</t>
  </si>
  <si>
    <t>-508.361740537921 115.96124521354 -240.731157472739</t>
  </si>
  <si>
    <t>-548.410328898637 108.739839009982 -354.80030355994</t>
  </si>
  <si>
    <t>-564.671199558291 97.6166025698262 -474.393067888986</t>
  </si>
  <si>
    <t>-569.361052221893 86.3037719304159 -583.227207330907</t>
  </si>
  <si>
    <t>-564.08854526931 73.9643898965201 -691.92303986848</t>
  </si>
  <si>
    <t>-546.387265432423 55.9403952747722 -842.128905677031</t>
  </si>
  <si>
    <t>-504.152372207246 48.3013802937129 -934.545563534672</t>
  </si>
  <si>
    <t>-550.497822161137 95.3147504590903 -778.996746740229</t>
  </si>
  <si>
    <t>-550.792577105189 241.93001836543 -767.702067056963</t>
  </si>
  <si>
    <t>-527.1864079492 312.64927615606 -460.085836482146</t>
  </si>
  <si>
    <t>-345.756968268335 214.064061146193 -301.951794269662</t>
  </si>
  <si>
    <t>-557.94119230445 32.5161623874886 -772.338228937011</t>
  </si>
  <si>
    <t>-351.885207955661 4.67598519205197 -480.821339316743</t>
  </si>
  <si>
    <t>-491.069794462776 211.879316516014 -252.527267076105</t>
  </si>
  <si>
    <t>-476.475048370526 204.340942992881 202.871266823639</t>
  </si>
  <si>
    <t>-493.100011895305 171.597378422431 671.25235259162</t>
  </si>
  <si>
    <t>-339.743503041555 161.942853819748 756.879921222848</t>
  </si>
  <si>
    <t>-525.462753164911 20.03132219688 -228.284156686271</t>
  </si>
  <si>
    <t>-436.774455604426 -19.2213319386682 216.969941023088</t>
  </si>
  <si>
    <t>-592.385251789596 -99.3269535878964 653.02872266172</t>
  </si>
  <si>
    <t>-442.809343647371 -145.829794402746 733.078966108864</t>
  </si>
  <si>
    <t>9763-20170724T164405.321367100.bin</t>
  </si>
  <si>
    <t>-508.587333476709 115.745314773629 -240.76143875995</t>
  </si>
  <si>
    <t>-548.658412034987 108.591079402145 -354.826856978642</t>
  </si>
  <si>
    <t>-564.948763379589 97.5338130817441 -474.421790010713</t>
  </si>
  <si>
    <t>-569.667780465052 86.2785841047002 -583.260715080826</t>
  </si>
  <si>
    <t>-564.426930011107 73.9939426673425 -691.964230851296</t>
  </si>
  <si>
    <t>-546.771854844137 56.0422223010938 -842.184175180303</t>
  </si>
  <si>
    <t>-504.551225871924 48.4321147250009 -934.609837346562</t>
  </si>
  <si>
    <t>-550.846203143313 95.3843875423857 -779.029525570366</t>
  </si>
  <si>
    <t>-551.065960153287 242.000201289722 -767.706812355083</t>
  </si>
  <si>
    <t>-527.629997985227 312.564154516829 -460.041867209553</t>
  </si>
  <si>
    <t>-346.353002219043 213.97545381483 -301.735391491166</t>
  </si>
  <si>
    <t>-558.321110882068 32.5861881668133 -772.403515073035</t>
  </si>
  <si>
    <t>-352.388322244354 4.76044271426625 -480.977363398149</t>
  </si>
  <si>
    <t>-491.279728492648 211.591220622287 -252.528415411657</t>
  </si>
  <si>
    <t>-476.602443757659 204.132412840639 202.868896352256</t>
  </si>
  <si>
    <t>-493.04721352268 171.409590215153 671.255137827971</t>
  </si>
  <si>
    <t>-339.677253464897 161.989573172627 756.88482563996</t>
  </si>
  <si>
    <t>-525.700724275277 19.9571737866589 -228.341719621662</t>
  </si>
  <si>
    <t>-436.942392516966 -19.2844894483915 216.899399389771</t>
  </si>
  <si>
    <t>-592.394159577275 -99.1043917288384 653.031878469451</t>
  </si>
  <si>
    <t>-443.010686773046 -146.200231453917 733.09474308758</t>
  </si>
  <si>
    <t>9763-20170724T164405.386540900.bin</t>
  </si>
  <si>
    <t>-508.949338840815 115.285774428234 -240.82254799776</t>
  </si>
  <si>
    <t>-548.997340624851 108.160131162003 -354.897962163049</t>
  </si>
  <si>
    <t>-565.208243645674 97.1714735685301 -474.50993086621</t>
  </si>
  <si>
    <t>-569.833402685176 85.9910502243843 -583.360559522177</t>
  </si>
  <si>
    <t>-564.477604882561 73.7916400220385 -692.068095440668</t>
  </si>
  <si>
    <t>-546.642071148845 55.967391482839 -842.281940300574</t>
  </si>
  <si>
    <t>-504.343709310603 48.3940138010709 -934.675049680532</t>
  </si>
  <si>
    <t>-550.772321135162 95.2538829662135 -779.096243104811</t>
  </si>
  <si>
    <t>-550.960961443797 241.862973120213 -767.624170220953</t>
  </si>
  <si>
    <t>-527.874180437829 311.941634429286 -459.821914839561</t>
  </si>
  <si>
    <t>-346.832957249705 213.297238314933 -301.280416756827</t>
  </si>
  <si>
    <t>-558.295155941128 32.4542674638274 -772.537677882147</t>
  </si>
  <si>
    <t>-352.594444024605 4.44316910129228 -481.190772229526</t>
  </si>
  <si>
    <t>-491.663872420993 211.03165525009 -252.550571252608</t>
  </si>
  <si>
    <t>-476.907219502137 203.765526558235 202.84714415336</t>
  </si>
  <si>
    <t>-492.995437064827 171.214053294123 671.273237308882</t>
  </si>
  <si>
    <t>-339.602934528078 161.98593101545 756.883487931617</t>
  </si>
  <si>
    <t>-526.058472801893 19.5663166192248 -228.461529641303</t>
  </si>
  <si>
    <t>-437.142699880695 -19.5540023215198 216.758968678461</t>
  </si>
  <si>
    <t>-592.412426706894 -98.9545241114024 653.01908367636</t>
  </si>
  <si>
    <t>-443.122212630438 -146.345882645792 733.081543310334</t>
  </si>
  <si>
    <t>9763-20170724T164405.422665100.bin</t>
  </si>
  <si>
    <t>-509.140532951655 115.029862333836 -240.836927311906</t>
  </si>
  <si>
    <t>-549.159344812673 107.899499556211 -354.922226546948</t>
  </si>
  <si>
    <t>-565.289902857775 96.9302911798123 -474.546885450224</t>
  </si>
  <si>
    <t>-569.822265600933 85.7763432506132 -583.404090947555</t>
  </si>
  <si>
    <t>-564.354361409594 73.6118144507782 -692.110042252837</t>
  </si>
  <si>
    <t>-546.34369146918 55.8442128544998 -842.30964143642</t>
  </si>
  <si>
    <t>-503.966139670423 48.2746549500108 -934.666635369354</t>
  </si>
  <si>
    <t>-550.548707827257 95.1070086585912 -779.114155471937</t>
  </si>
  <si>
    <t>-550.719041045995 241.699060287431 -767.503875082108</t>
  </si>
  <si>
    <t>-527.790858009837 311.476066953134 -459.62126983953</t>
  </si>
  <si>
    <t>-346.746950048124 212.887837219217 -301.047881258302</t>
  </si>
  <si>
    <t>-558.077081869819 32.304683952019 -772.587708564085</t>
  </si>
  <si>
    <t>-352.627635467703 4.46177940397979 -481.257755118837</t>
  </si>
  <si>
    <t>-491.910403425315 210.991393070232 -252.556124423384</t>
  </si>
  <si>
    <t>-477.171545509926 203.814112755688 202.843648143401</t>
  </si>
  <si>
    <t>-493.113252812015 171.660172988484 671.279109067129</t>
  </si>
  <si>
    <t>-339.780697036338 161.522958393011 756.893811979717</t>
  </si>
  <si>
    <t>-526.204380076627 19.0711300834046 -228.515207755935</t>
  </si>
  <si>
    <t>-437.317075422497 -19.8973230537762 216.724204001478</t>
  </si>
  <si>
    <t>-592.451229481769 -99.6689952511537 653.03542246235</t>
  </si>
  <si>
    <t>-442.760823769762 -145.849324270789 733.058206122143</t>
  </si>
  <si>
    <t>9763-20170724T164405.489841500.bin</t>
  </si>
  <si>
    <t>-509.423993439344 114.533311475304 -240.933171959903</t>
  </si>
  <si>
    <t>-549.412439132722 107.404040486202 -355.029211228625</t>
  </si>
  <si>
    <t>-565.429390572912 96.5178652760248 -474.67660566978</t>
  </si>
  <si>
    <t>-569.825870583002 85.474222655893 -583.550659991753</t>
  </si>
  <si>
    <t>-564.189908465363 73.4562701844338 -692.264351372807</t>
  </si>
  <si>
    <t>-545.914014417851 55.9311515237777 -842.460321788946</t>
  </si>
  <si>
    <t>-503.406561340455 48.4764283184554 -934.766988655826</t>
  </si>
  <si>
    <t>-550.279933060715 95.0969874484705 -779.215671444729</t>
  </si>
  <si>
    <t>-550.710276811951 241.663177126223 -767.305371861562</t>
  </si>
  <si>
    <t>-528.110990826963 310.709710958025 -459.233995275109</t>
  </si>
  <si>
    <t>-346.687404471784 212.518581711677 -300.848145717974</t>
  </si>
  <si>
    <t>-557.721143504772 32.2738946651321 -772.790852174367</t>
  </si>
  <si>
    <t>-352.656823912407 4.66278225597787 -481.470327544746</t>
  </si>
  <si>
    <t>-492.264044508083 210.398071163834 -252.596971392889</t>
  </si>
  <si>
    <t>-477.390006314108 203.286847233087 202.799458496269</t>
  </si>
  <si>
    <t>-492.948405469774 171.034878656943 671.265536740106</t>
  </si>
  <si>
    <t>-339.540824669736 162.063261487005 756.875882780055</t>
  </si>
  <si>
    <t>-526.451059868039 18.6728211046056 -228.641954678017</t>
  </si>
  <si>
    <t>-437.482509132164 -19.9801282239158 216.608725332818</t>
  </si>
  <si>
    <t>-592.430287997516 -99.55821178624 653.021417575966</t>
  </si>
  <si>
    <t>-442.820703859624 -145.966763723899 733.063432708305</t>
  </si>
  <si>
    <t>9763-20170724T164405.521623200.bin</t>
  </si>
  <si>
    <t>-509.553289294358 114.503181064465 -240.953332173539</t>
  </si>
  <si>
    <t>-549.515794854469 107.350844253575 -355.05704563675</t>
  </si>
  <si>
    <t>-565.472692338102 96.5133100894392 -474.716889534146</t>
  </si>
  <si>
    <t>-569.801801061033 85.5443981470558 -583.601231374519</t>
  </si>
  <si>
    <t>-564.086266857495 73.6324802355357 -692.322368818697</t>
  </si>
  <si>
    <t>-545.687775051785 56.2879018841416 -842.524464687252</t>
  </si>
  <si>
    <t>-503.13175839591 48.9326388216143 -934.816807172426</t>
  </si>
  <si>
    <t>-550.139098568804 95.3812485334417 -779.240849737431</t>
  </si>
  <si>
    <t>-550.751173472784 241.933125409717 -767.126039314</t>
  </si>
  <si>
    <t>-528.358094224497 310.585940127209 -458.951463721579</t>
  </si>
  <si>
    <t>-346.475527986953 212.677200974694 -300.917824047582</t>
  </si>
  <si>
    <t>-557.517951631597 32.5433905784824 -772.888469647973</t>
  </si>
  <si>
    <t>-352.369955456872 4.64731641939308 -481.7509716949</t>
  </si>
  <si>
    <t>-492.449324114767 210.390876748857 -252.609381893483</t>
  </si>
  <si>
    <t>-477.56552409519 203.310200865094 202.787121869086</t>
  </si>
  <si>
    <t>-493.001957490766 171.288616323309 671.257242796582</t>
  </si>
  <si>
    <t>-339.608704818265 162.18176081559 756.878977649325</t>
  </si>
  <si>
    <t>-526.527873169286 18.6833198283974 -228.654677391612</t>
  </si>
  <si>
    <t>-437.551617024381 -19.9924507104558 216.592502873296</t>
  </si>
  <si>
    <t>-592.433620144712 -99.5621292734611 653.01744493926</t>
  </si>
  <si>
    <t>-442.804689030091 -145.929329806024 733.047278436074</t>
  </si>
  <si>
    <t>9763-20170724T164405.588803100.bin</t>
  </si>
  <si>
    <t>-509.747925807005 114.647387730814 -240.977236802113</t>
  </si>
  <si>
    <t>-549.691828308684 107.454562297392 -355.084827135679</t>
  </si>
  <si>
    <t>-565.58518074175 96.6813978574349 -474.759092622432</t>
  </si>
  <si>
    <t>-569.839621028617 85.8132129022324 -583.656444306319</t>
  </si>
  <si>
    <t>-564.033233792189 74.0441980889471 -692.388276938765</t>
  </si>
  <si>
    <t>-545.492849770273 56.9418046547824 -842.600754416493</t>
  </si>
  <si>
    <t>-502.88917727506 49.7171294023203 -934.881333413719</t>
  </si>
  <si>
    <t>-550.032795675035 95.9360228657201 -779.262383829884</t>
  </si>
  <si>
    <t>-550.836526571154 242.465051212761 -766.872375406527</t>
  </si>
  <si>
    <t>-528.650525841971 310.171022778701 -458.47354794806</t>
  </si>
  <si>
    <t>-345.879755771904 212.916301354034 -301.062017047983</t>
  </si>
  <si>
    <t>-557.359933870313 33.0820667644265 -773.010506714702</t>
  </si>
  <si>
    <t>-351.610145088642 3.80124136377466 -482.087000285149</t>
  </si>
  <si>
    <t>-492.773096071998 210.629702733976 -252.631633891093</t>
  </si>
  <si>
    <t>-477.879396429607 203.54868118966 202.764532392457</t>
  </si>
  <si>
    <t>-493.093894725859 171.65728375585 671.260061461486</t>
  </si>
  <si>
    <t>-339.759510301434 161.66847979692 756.888957894492</t>
  </si>
  <si>
    <t>-526.587845144908 18.7152161641931 -228.674742184884</t>
  </si>
  <si>
    <t>-437.591523771832 -19.8851237592506 216.574966041591</t>
  </si>
  <si>
    <t>-592.429201650918 -99.5084365728372 652.999653331501</t>
  </si>
  <si>
    <t>-442.768549007029 -145.790827404084 733.01925204563</t>
  </si>
  <si>
    <t>9763-20170724T164405.622610600.bin</t>
  </si>
  <si>
    <t>-509.800826729944 114.548880632297 -240.971211910362</t>
  </si>
  <si>
    <t>-549.7106104732 107.326571391829 -355.088988075271</t>
  </si>
  <si>
    <t>-565.579139056244 96.5589021062101 -474.766943103204</t>
  </si>
  <si>
    <t>-569.815730722028 85.708783988843 -583.666825687424</t>
  </si>
  <si>
    <t>-563.996653294901 73.9703894388171 -692.40119324751</t>
  </si>
  <si>
    <t>-545.444065291407 56.922787073901 -842.618367081288</t>
  </si>
  <si>
    <t>-502.837318680589 49.7232713227815 -934.899545513504</t>
  </si>
  <si>
    <t>-549.987570015713 95.8937929626786 -779.265987730388</t>
  </si>
  <si>
    <t>-550.821083497665 242.422681256377 -766.796739268937</t>
  </si>
  <si>
    <t>-528.628610678071 309.785046985033 -458.323038872064</t>
  </si>
  <si>
    <t>-345.543034236805 212.314197467238 -301.411699073498</t>
  </si>
  <si>
    <t>-557.318470479155 33.0378305485275 -773.038122043178</t>
  </si>
  <si>
    <t>-351.482330850275 3.35480107858731 -482.349366388843</t>
  </si>
  <si>
    <t>-492.810794741236 210.391635175846 -252.633301895314</t>
  </si>
  <si>
    <t>-477.954386197089 203.282663386597 202.763689037761</t>
  </si>
  <si>
    <t>-492.965996026023 171.115241574138 671.265724462453</t>
  </si>
  <si>
    <t>-339.534839864843 162.310743645696 756.851110170622</t>
  </si>
  <si>
    <t>-526.666235461239 18.6739597430829 -228.657617035789</t>
  </si>
  <si>
    <t>-437.610117456197 -19.9619007799935 216.5770624134</t>
  </si>
  <si>
    <t>-592.432484932844 -99.7491068691768 652.998358298774</t>
  </si>
  <si>
    <t>-442.669711363666 -145.71534504952 733.00917156661</t>
  </si>
  <si>
    <t>9763-20170724T164405.687782700.bin</t>
  </si>
  <si>
    <t>-509.933945388707 114.567873947986 -240.993842847623</t>
  </si>
  <si>
    <t>-549.814471500333 107.342724417867 -355.121674505298</t>
  </si>
  <si>
    <t>-565.645677894153 96.5970400217132 -474.806479790192</t>
  </si>
  <si>
    <t>-569.846122849782 85.7762712302172 -583.710663353863</t>
  </si>
  <si>
    <t>-563.988634307508 74.0762385173232 -692.447309590584</t>
  </si>
  <si>
    <t>-545.380942631377 57.0911705520278 -842.664636594612</t>
  </si>
  <si>
    <t>-502.769857242801 49.9078506911217 -934.945140200297</t>
  </si>
  <si>
    <t>-549.929892088518 96.0339496456854 -779.295249999935</t>
  </si>
  <si>
    <t>-550.76002772273 242.554006092374 -766.745753123722</t>
  </si>
  <si>
    <t>-528.288417648388 309.70723671308 -458.246766641062</t>
  </si>
  <si>
    <t>-344.874437072555 211.921040950777 -301.916265413047</t>
  </si>
  <si>
    <t>-557.298630751269 33.1791158959516 -773.101033516906</t>
  </si>
  <si>
    <t>-350.797731291371 2.57172377161032 -482.725479891594</t>
  </si>
  <si>
    <t>-492.878936889802 210.385249110846 -252.68403592712</t>
  </si>
  <si>
    <t>-477.967998436703 203.245050640383 202.710590096375</t>
  </si>
  <si>
    <t>-492.885423857576 171.026701658827 671.207989015661</t>
  </si>
  <si>
    <t>-339.517822317885 161.849522893096 756.868210462138</t>
  </si>
  <si>
    <t>-526.849501940297 18.6861188269281 -228.673930323524</t>
  </si>
  <si>
    <t>-437.664349970626 -19.9852894167157 216.531877748099</t>
  </si>
  <si>
    <t>-592.425338566653 -99.6467027070598 652.985956363965</t>
  </si>
  <si>
    <t>-442.665389726866 -145.609538513961 733.004108508619</t>
  </si>
  <si>
    <t>9763-20170724T164405.718670900.bin</t>
  </si>
  <si>
    <t>-509.999891134373 114.801329437353 -241.03303678291</t>
  </si>
  <si>
    <t>-549.935802311443 107.602253154758 -355.143075198165</t>
  </si>
  <si>
    <t>-565.798915367082 96.8532858016107 -474.823508730862</t>
  </si>
  <si>
    <t>-570.017454913044 86.0182670482454 -583.725490340105</t>
  </si>
  <si>
    <t>-564.167015688917 74.293402898149 -692.45969571095</t>
  </si>
  <si>
    <t>-545.55724740229 57.263174843133 -842.671716478918</t>
  </si>
  <si>
    <t>-502.969640867347 50.0549209001374 -934.961176377826</t>
  </si>
  <si>
    <t>-550.094827973321 96.223756521174 -779.312447509735</t>
  </si>
  <si>
    <t>-550.922219232919 242.743621459773 -766.731030389997</t>
  </si>
  <si>
    <t>-528.250337308111 309.959831606702 -458.260372719071</t>
  </si>
  <si>
    <t>-344.689515920507 212.400530393906 -301.960456998357</t>
  </si>
  <si>
    <t>-557.488197710531 33.3733273194609 -773.10281614158</t>
  </si>
  <si>
    <t>-350.731092092439 2.77460460067425 -482.840647162312</t>
  </si>
  <si>
    <t>-492.935238266392 210.73419688194 -252.700117332773</t>
  </si>
  <si>
    <t>-478.018299512289 203.5473938697 202.693665118205</t>
  </si>
  <si>
    <t>-493.016395735016 171.587766162365 671.196379234275</t>
  </si>
  <si>
    <t>-339.719085474246 161.524656934896 756.882856882971</t>
  </si>
  <si>
    <t>-526.939700304154 18.9624588002893 -228.703915767844</t>
  </si>
  <si>
    <t>-437.733979686679 -19.7386574025044 216.495239947905</t>
  </si>
  <si>
    <t>-592.405914789881 -99.2162652598218 652.978755881715</t>
  </si>
  <si>
    <t>-442.876051375744 -145.878360138931 733.022426781204</t>
  </si>
  <si>
    <t>9763-20170724T164405.791860100.bin</t>
  </si>
  <si>
    <t>-510.082021831579 114.909314264766 -241.024311490107</t>
  </si>
  <si>
    <t>-549.922727982218 107.726696437729 -355.168562591308</t>
  </si>
  <si>
    <t>-565.744707742427 96.9402977506607 -474.851107996922</t>
  </si>
  <si>
    <t>-569.949124100793 86.0485631426815 -583.747922205651</t>
  </si>
  <si>
    <t>-564.107561509803 74.2435378972583 -692.474117981287</t>
  </si>
  <si>
    <t>-545.533775342022 57.0770622010881 -842.675079737927</t>
  </si>
  <si>
    <t>-503.014022692884 49.7997983547311 -934.990296172694</t>
  </si>
  <si>
    <t>-550.017948856075 96.0910413215045 -779.344882898742</t>
  </si>
  <si>
    <t>-550.703622769603 242.605911898085 -766.839527426578</t>
  </si>
  <si>
    <t>-527.875384890532 309.855760566729 -458.387739070106</t>
  </si>
  <si>
    <t>-344.2256974408 212.31801907079 -302.178692217583</t>
  </si>
  <si>
    <t>-557.486208549162 33.2543268258383 -773.086785018071</t>
  </si>
  <si>
    <t>-350.270732505861 2.47619350376012 -482.594211953024</t>
  </si>
  <si>
    <t>-492.892598662852 210.878391391144 -252.715268408464</t>
  </si>
  <si>
    <t>-478.047321941 203.600471147143 202.679332667082</t>
  </si>
  <si>
    <t>-493.01000259567 171.641134785159 671.176159279007</t>
  </si>
  <si>
    <t>-339.753883706785 161.189626012949 756.889905403297</t>
  </si>
  <si>
    <t>-527.100722089288 18.9844076078384 -228.716846807347</t>
  </si>
  <si>
    <t>-437.886699665316 -19.8132860174828 216.472219465333</t>
  </si>
  <si>
    <t>-592.433195069762 -99.2310916826869 653.040321651997</t>
  </si>
  <si>
    <t>-442.908472433301 -145.975014920203 733.045865283942</t>
  </si>
  <si>
    <t>9763-20170724T164405.822612500.bin</t>
  </si>
  <si>
    <t>-510.095960063994 114.760915100598 -241.040361593971</t>
  </si>
  <si>
    <t>-549.966891359413 107.592249349298 -355.174977930048</t>
  </si>
  <si>
    <t>-565.832317711122 96.801926195487 -474.851388696305</t>
  </si>
  <si>
    <t>-570.081060171695 85.8977319151628 -583.745250242644</t>
  </si>
  <si>
    <t>-564.288551616069 74.0704923854101 -692.471633272199</t>
  </si>
  <si>
    <t>-545.787362331348 56.8621503863318 -842.676855859178</t>
  </si>
  <si>
    <t>-503.310356271061 49.5439718401578 -935.008517883738</t>
  </si>
  <si>
    <t>-550.213693910614 95.8909541793666 -779.351607867852</t>
  </si>
  <si>
    <t>-550.790594562551 242.409612295046 -766.842326071047</t>
  </si>
  <si>
    <t>-527.89989927946 309.753363059708 -458.415783285405</t>
  </si>
  <si>
    <t>-344.329709762079 211.949193884791 -302.279926772979</t>
  </si>
  <si>
    <t>-557.733393949128 33.0616898153842 -773.079798473435</t>
  </si>
  <si>
    <t>-350.501083248525 2.33981733192579 -482.376225344195</t>
  </si>
  <si>
    <t>-492.820076557825 210.674751324011 -252.715641373928</t>
  </si>
  <si>
    <t>-478.047483168875 203.375793915975 202.681096642301</t>
  </si>
  <si>
    <t>-492.883159332773 171.116207806761 671.177905722399</t>
  </si>
  <si>
    <t>-339.560269118097 161.515514509903 756.871790027246</t>
  </si>
  <si>
    <t>-527.236067662694 18.8169518611649 -228.706441178307</t>
  </si>
  <si>
    <t>-437.943679538273 -20.0374649139784 216.461844735526</t>
  </si>
  <si>
    <t>-592.459269539206 -99.3187790428296 653.089771695595</t>
  </si>
  <si>
    <t>-442.848423258001 -145.833146716972 733.067916643038</t>
  </si>
  <si>
    <t>9763-20170724T164405.885780700.bin</t>
  </si>
  <si>
    <t>-510.154234110547 114.670827079736 -241.010590244809</t>
  </si>
  <si>
    <t>-550.012254722831 107.517822402116 -355.150805098709</t>
  </si>
  <si>
    <t>-565.893785725435 96.7158791004961 -474.823925831928</t>
  </si>
  <si>
    <t>-570.1688269397 85.7890157618344 -583.714604496685</t>
  </si>
  <si>
    <t>-564.414151286035 73.9268378769758 -692.439179172032</t>
  </si>
  <si>
    <t>-545.977293133491 56.6568704944813 -842.645170161135</t>
  </si>
  <si>
    <t>-503.592762668577 49.2391653124985 -935.011368795747</t>
  </si>
  <si>
    <t>-550.32848531136 95.7065249310523 -779.327577439809</t>
  </si>
  <si>
    <t>-550.673755112815 242.220298406841 -766.800001204993</t>
  </si>
  <si>
    <t>-527.469126058241 309.59942482415 -458.404474083064</t>
  </si>
  <si>
    <t>-344.007545306006 210.493432239019 -302.963441097988</t>
  </si>
  <si>
    <t>-557.941662817362 32.8901263159825 -773.039742408308</t>
  </si>
  <si>
    <t>-351.043807453164 2.23456931585233 -482.430688559985</t>
  </si>
  <si>
    <t>-492.74636342367 210.549749900989 -252.732148714124</t>
  </si>
  <si>
    <t>-478.064287177109 203.195239558139 202.666603651335</t>
  </si>
  <si>
    <t>-492.824918552334 170.969984955792 671.155401124533</t>
  </si>
  <si>
    <t>-339.456946410423 162.103128418014 756.847687484392</t>
  </si>
  <si>
    <t>-527.391962716949 18.7827162982763 -228.644199082327</t>
  </si>
  <si>
    <t>-437.946311116574 -20.3504300562917 216.468904862565</t>
  </si>
  <si>
    <t>-592.488232316333 -99.2584348874657 653.162817832601</t>
  </si>
  <si>
    <t>-442.89578486818 -145.868393867921 733.119911587001</t>
  </si>
  <si>
    <t>9763-20170724T164405.920797000.bin</t>
  </si>
  <si>
    <t>-510.1795840862 114.843605985267 -240.997244639882</t>
  </si>
  <si>
    <t>-550.082878099063 107.701447020855 -355.122152554046</t>
  </si>
  <si>
    <t>-566.006489531629 96.9111686962408 -474.790910950439</t>
  </si>
  <si>
    <t>-570.317889407505 85.9941845625567 -583.68104905127</t>
  </si>
  <si>
    <t>-564.597471925603 74.1405035488598 -692.408299523328</t>
  </si>
  <si>
    <t>-546.205896137797 56.8804547491974 -842.621014325355</t>
  </si>
  <si>
    <t>-503.84417544442 49.4259410137593 -934.994680938946</t>
  </si>
  <si>
    <t>-550.501720081928 95.9219774154255 -779.29465021322</t>
  </si>
  <si>
    <t>-550.636093116384 242.431506261357 -766.715203932431</t>
  </si>
  <si>
    <t>-527.388126689515 309.732508233377 -458.305844008157</t>
  </si>
  <si>
    <t>-343.927447026899 208.38984913988 -304.312761465701</t>
  </si>
  <si>
    <t>-558.185449890621 33.112988099783 -773.018459438868</t>
  </si>
  <si>
    <t>-351.39037864602 2.44971044081738 -482.438736674421</t>
  </si>
  <si>
    <t>-492.722719189103 210.834475453116 -252.738215144905</t>
  </si>
  <si>
    <t>-478.084711677757 203.47155840031 202.661854683663</t>
  </si>
  <si>
    <t>-492.908084557199 171.371106703416 671.137846941665</t>
  </si>
  <si>
    <t>-339.628875134766 161.466375177073 756.875247528138</t>
  </si>
  <si>
    <t>-527.504301925724 18.946262922117 -228.585130524904</t>
  </si>
  <si>
    <t>-437.886578690695 -20.3015851869812 216.483341520593</t>
  </si>
  <si>
    <t>-592.488031618933 -99.044888027359 653.172519043819</t>
  </si>
  <si>
    <t>-443.021163100025 -146.061073098003 733.126583260343</t>
  </si>
  <si>
    <t>9763-20170724T164405.986971900.bin</t>
  </si>
  <si>
    <t>-510.149651661655 114.574453020934 -241.025991750435</t>
  </si>
  <si>
    <t>-550.110513016527 107.452460037919 -355.132091781097</t>
  </si>
  <si>
    <t>-566.098187985109 96.703064683347 -474.795822066326</t>
  </si>
  <si>
    <t>-570.469994414511 85.8267634560612 -583.687652738614</t>
  </si>
  <si>
    <t>-564.812277464868 74.0151869368313 -692.422903749191</t>
  </si>
  <si>
    <t>-546.50988760649 56.8126292736091 -842.652965920067</t>
  </si>
  <si>
    <t>-504.168875295128 49.3472768594196 -935.035418828122</t>
  </si>
  <si>
    <t>-550.688958871192 95.8211925608331 -779.298476266915</t>
  </si>
  <si>
    <t>-550.317115831049 242.325538989668 -766.58801962689</t>
  </si>
  <si>
    <t>-527.125267554003 309.562984196297 -458.16060767661</t>
  </si>
  <si>
    <t>-343.276773784141 203.099587328355 -308.136307617222</t>
  </si>
  <si>
    <t>-558.527235322785 33.0272594912827 -773.063070740611</t>
  </si>
  <si>
    <t>-351.830412374403 2.3389399352267 -482.306050725867</t>
  </si>
  <si>
    <t>-492.504204977232 210.405870997744 -252.805275015668</t>
  </si>
  <si>
    <t>-477.780303276624 202.977294833768 202.590891627038</t>
  </si>
  <si>
    <t>-492.605864557255 170.535323181748 671.048982841614</t>
  </si>
  <si>
    <t>-339.302262688842 162.06417966255 756.896235081763</t>
  </si>
  <si>
    <t>-527.609411202391 18.7170647652632 -228.583498836071</t>
  </si>
  <si>
    <t>-437.828258048121 -20.5541027019122 216.450019637193</t>
  </si>
  <si>
    <t>-592.502243932312 -99.2125991597974 653.160493218381</t>
  </si>
  <si>
    <t>-442.825950237527 -145.632084195211 733.071359860084</t>
  </si>
  <si>
    <t>9763-20170724T164406.022074900.bin</t>
  </si>
  <si>
    <t>-510.171645641532 114.617375364698 -241.033174290848</t>
  </si>
  <si>
    <t>-550.125071161977 107.521448689792 -355.14353046595</t>
  </si>
  <si>
    <t>-566.107124872684 96.8314592121744 -474.813305922093</t>
  </si>
  <si>
    <t>-570.474923572708 86.0232368632401 -583.712192379819</t>
  </si>
  <si>
    <t>-564.814335730839 74.2945898793114 -692.456165981973</t>
  </si>
  <si>
    <t>-546.509270569155 57.223283535385 -842.700888616611</t>
  </si>
  <si>
    <t>-504.164950451617 49.7973724844135 -935.084908682934</t>
  </si>
  <si>
    <t>-550.686495761062 96.1761316017326 -779.311992244293</t>
  </si>
  <si>
    <t>-550.160951168643 242.660970942698 -766.505875012587</t>
  </si>
  <si>
    <t>-526.325757590711 309.678945697394 -458.079824014205</t>
  </si>
  <si>
    <t>-342.208654956668 204.357502369303 -307.57950437069</t>
  </si>
  <si>
    <t>-558.530919707397 33.3774632171666 -773.132337461753</t>
  </si>
  <si>
    <t>-351.962140786405 2.48390995814889 -482.267843774428</t>
  </si>
  <si>
    <t>-492.460306100429 210.544561727537 -252.85259156005</t>
  </si>
  <si>
    <t>-477.675969620561 203.093333027134 202.54122216254</t>
  </si>
  <si>
    <t>-492.612747219187 170.900746751039 670.948048132086</t>
  </si>
  <si>
    <t>-339.478780342917 161.346911749362 756.984243427444</t>
  </si>
  <si>
    <t>-527.675158225664 18.7195626819353 -228.602033248805</t>
  </si>
  <si>
    <t>-437.794323383134 -20.486997047458 216.417016932571</t>
  </si>
  <si>
    <t>-592.501438544705 -99.1268270434777 653.13234660271</t>
  </si>
  <si>
    <t>-442.995073495911 -146.065270151248 733.058284266574</t>
  </si>
  <si>
    <t>9763-20170724T164406.089254100.bin</t>
  </si>
  <si>
    <t>-510.150718713932 114.218193287121 -241.378852518827</t>
  </si>
  <si>
    <t>-550.345831428478 107.257544467261 -355.412589997257</t>
  </si>
  <si>
    <t>-566.444632902985 96.778752786346 -475.085518881017</t>
  </si>
  <si>
    <t>-570.863639235517 86.194417409722 -584.004209505032</t>
  </si>
  <si>
    <t>-565.19935433335 74.7240234546432 -692.77550979597</t>
  </si>
  <si>
    <t>-546.832630589749 58.0488207393984 -843.057348197583</t>
  </si>
  <si>
    <t>-504.405242523533 50.7593992002983 -935.414003055292</t>
  </si>
  <si>
    <t>-551.034637106304 96.8343629873918 -779.567589390483</t>
  </si>
  <si>
    <t>-550.205187557138 243.295907150082 -766.461426883096</t>
  </si>
  <si>
    <t>-523.942022602272 308.375778012117 -457.817543208395</t>
  </si>
  <si>
    <t>-338.715685134232 208.32099822459 -305.101043806192</t>
  </si>
  <si>
    <t>-558.884052082243 34.0198428566719 -773.557082862671</t>
  </si>
  <si>
    <t>-352.629135214804 2.63758921388448 -482.717953360619</t>
  </si>
  <si>
    <t>-492.282910278322 210.151237816322 -253.25617374579</t>
  </si>
  <si>
    <t>-477.167387490303 202.510681596191 202.123786173317</t>
  </si>
  <si>
    <t>-491.903914075934 170.359035094459 670.319955084887</t>
  </si>
  <si>
    <t>-339.358322695168 160.521085018672 757.363515539755</t>
  </si>
  <si>
    <t>-527.825449278309 18.267806232584 -228.874223051661</t>
  </si>
  <si>
    <t>-437.631588452339 -20.7570919399791 216.097381912462</t>
  </si>
  <si>
    <t>-592.518699609596 -99.3628232737135 652.884268672211</t>
  </si>
  <si>
    <t>-442.858222561345 -145.856990382446 732.781406136896</t>
  </si>
  <si>
    <t>9763-20170724T164406.120080600.bin</t>
  </si>
  <si>
    <t>-510.237181239106 114.047447499181 -241.603501771632</t>
  </si>
  <si>
    <t>-550.539924413563 107.193289637207 -355.60571603625</t>
  </si>
  <si>
    <t>-566.658125362927 96.8432369519173 -475.287218915114</t>
  </si>
  <si>
    <t>-571.056638582649 86.3876470005819 -584.219176528372</t>
  </si>
  <si>
    <t>-565.333767069379 75.0606977806282 -693.002379203402</t>
  </si>
  <si>
    <t>-546.846437039564 58.6022952271923 -843.293357914317</t>
  </si>
  <si>
    <t>-504.351251635857 51.3870084147344 -935.624623730789</t>
  </si>
  <si>
    <t>-551.103928184979 97.2967397758905 -779.751785788977</t>
  </si>
  <si>
    <t>-550.23018753265 243.756018762298 -766.570508037902</t>
  </si>
  <si>
    <t>-521.864641001723 307.609479952791 -457.856641123797</t>
  </si>
  <si>
    <t>-335.972506513505 212.42534807359 -302.852737234524</t>
  </si>
  <si>
    <t>-558.949095134717 34.4726075126714 -773.836860891818</t>
  </si>
  <si>
    <t>-352.708299224796 2.51157086405713 -483.076699366255</t>
  </si>
  <si>
    <t>-492.285706726931 209.935811298542 -253.528290406349</t>
  </si>
  <si>
    <t>-476.732740598747 202.066922348023 201.832855767604</t>
  </si>
  <si>
    <t>-491.566042567511 170.191469673707 670.082294717452</t>
  </si>
  <si>
    <t>-339.38053150427 160.330052102329 757.751296224356</t>
  </si>
  <si>
    <t>-528.004369160378 18.1556010040013 -229.075017020276</t>
  </si>
  <si>
    <t>-437.444201405074 -20.9005020445922 215.819610765758</t>
  </si>
  <si>
    <t>-592.521933223822 -99.4303962471242 652.6206385182</t>
  </si>
  <si>
    <t>-442.833341310915 -145.801621969262 732.53654473206</t>
  </si>
  <si>
    <t>9763-20170724T164406.186256600.bin</t>
  </si>
  <si>
    <t>-510.644591685558 113.671389526468 -242.079684195072</t>
  </si>
  <si>
    <t>-551.420974937013 107.115438768208 -355.930898050414</t>
  </si>
  <si>
    <t>-567.789829355082 96.9733332305961 -475.596134265104</t>
  </si>
  <si>
    <t>-572.314693878646 86.676380684932 -584.538057119358</t>
  </si>
  <si>
    <t>-566.615531544816 75.4842424559483 -693.336551392277</t>
  </si>
  <si>
    <t>-548.054138175896 59.1934603227151 -843.636531486079</t>
  </si>
  <si>
    <t>-505.440892002402 51.9834390354418 -935.913892949883</t>
  </si>
  <si>
    <t>-552.307652550587 97.8129587726824 -780.049039139823</t>
  </si>
  <si>
    <t>-551.355988162316 244.262556623106 -766.80280389959</t>
  </si>
  <si>
    <t>-515.375179198212 305.574014070031 -458.367263354211</t>
  </si>
  <si>
    <t>-328.706952067814 217.832869582708 -299.942175575232</t>
  </si>
  <si>
    <t>-560.226310896141 34.9903052888427 -774.217720088469</t>
  </si>
  <si>
    <t>-354.113142088967 2.21391514426383 -483.789718999845</t>
  </si>
  <si>
    <t>-492.57769495296 209.429469437594 -253.891086067503</t>
  </si>
  <si>
    <t>-475.667414673265 201.1174816382 201.413961311546</t>
  </si>
  <si>
    <t>-491.1047020061 169.267788249706 669.835373166716</t>
  </si>
  <si>
    <t>-339.503382513586 159.241275224615 758.492166921344</t>
  </si>
  <si>
    <t>-528.659817754846 17.8606887740295 -229.575730608781</t>
  </si>
  <si>
    <t>-437.08378861779 -21.3845492134974 215.094177255283</t>
  </si>
  <si>
    <t>-592.437731150792 -99.5897761950109 651.881642734035</t>
  </si>
  <si>
    <t>-442.948398816377 -146.059051656213 732.112854440157</t>
  </si>
  <si>
    <t>9763-20170724T164406.216918400.bin</t>
  </si>
  <si>
    <t>-510.856857047013 113.345243443251 -242.303047156433</t>
  </si>
  <si>
    <t>-551.68404179965 106.886761971343 -356.141669756554</t>
  </si>
  <si>
    <t>-568.083068357022 96.8151482742399 -475.808672173684</t>
  </si>
  <si>
    <t>-572.625857427239 86.5701349919162 -584.754902086621</t>
  </si>
  <si>
    <t>-566.934676998106 75.4180194840626 -693.55775992969</t>
  </si>
  <si>
    <t>-548.373957812547 59.1702941100725 -843.862555192261</t>
  </si>
  <si>
    <t>-505.665617553343 51.9521938043393 -936.095391600455</t>
  </si>
  <si>
    <t>-552.574608148809 97.7655302943748 -780.257013127986</t>
  </si>
  <si>
    <t>-551.372239797962 244.202030099867 -766.985129810041</t>
  </si>
  <si>
    <t>-510.285463613655 304.556470709402 -458.999098114908</t>
  </si>
  <si>
    <t>-323.66890384233 219.411866049176 -299.103073939099</t>
  </si>
  <si>
    <t>-560.5983548322 34.9532660794514 -774.457830371879</t>
  </si>
  <si>
    <t>-354.461777455482 1.7527004002462 -484.130988306131</t>
  </si>
  <si>
    <t>-492.646728007576 209.165018854753 -254.026147464588</t>
  </si>
  <si>
    <t>-475.232548708766 200.763920718783 201.258152933341</t>
  </si>
  <si>
    <t>-491.056449629119 169.147556925579 669.706346560216</t>
  </si>
  <si>
    <t>-339.610803796846 159.1561852646 758.632764493704</t>
  </si>
  <si>
    <t>-528.911365390878 17.4119879083277 -229.93004475103</t>
  </si>
  <si>
    <t>-437.14709808315 -21.8434286281881 214.700117538682</t>
  </si>
  <si>
    <t>-592.357811792599 -99.958918681933 651.552657726497</t>
  </si>
  <si>
    <t>-443.035845899347 -146.350588004624 732.139846103539</t>
  </si>
  <si>
    <t>9763-20170724T164406.254016500.bin</t>
  </si>
  <si>
    <t>-510.946269493176 112.896932383921 -242.585390093585</t>
  </si>
  <si>
    <t>-551.828627666343 106.561906860468 -356.411169977583</t>
  </si>
  <si>
    <t>-568.262536060817 96.5822907628668 -476.081032118614</t>
  </si>
  <si>
    <t>-572.827457186808 86.4050110495288 -585.032662911393</t>
  </si>
  <si>
    <t>-567.148774118961 75.3042525064564 -693.841469411168</t>
  </si>
  <si>
    <t>-548.59518527737 59.1099493140421 -844.152817827305</t>
  </si>
  <si>
    <t>-505.813672103028 51.8676192351113 -936.34986559818</t>
  </si>
  <si>
    <t>-552.722499998388 97.67445144699 -780.523796505289</t>
  </si>
  <si>
    <t>-551.075245186235 244.102173688382 -767.240608850569</t>
  </si>
  <si>
    <t>-504.026979242983 303.032405938109 -459.832293588546</t>
  </si>
  <si>
    <t>-317.639015041372 219.232494175662 -298.962399843926</t>
  </si>
  <si>
    <t>-560.886737600881 34.8764464775465 -774.765870682513</t>
  </si>
  <si>
    <t>-354.679031443203 1.16769657221144 -484.39831848256</t>
  </si>
  <si>
    <t>-492.540680550622 208.718325572665 -254.256101886615</t>
  </si>
  <si>
    <t>-474.749962849565 200.261808180008 201.012667707283</t>
  </si>
  <si>
    <t>-490.78936809546 168.748642046912 669.379620044973</t>
  </si>
  <si>
    <t>-339.498963422099 159.322224730057 758.631377043252</t>
  </si>
  <si>
    <t>-529.147638589041 17.0111835774026 -230.28514552138</t>
  </si>
  <si>
    <t>-437.230254218576 -22.3665675654868 214.302638606738</t>
  </si>
  <si>
    <t>-592.230934927446 -99.9979765466847 651.23866968022</t>
  </si>
  <si>
    <t>-443.114157913721 -146.148885211945 732.342331041301</t>
  </si>
  <si>
    <t>9763-20170724T164406.335239400.bin</t>
  </si>
  <si>
    <t>-511.016421743095 112.519436471636 -242.884307798127</t>
  </si>
  <si>
    <t>-551.94116878147 106.300330648136 -356.701295329528</t>
  </si>
  <si>
    <t>-568.430351252911 96.4234334064415 -476.37210019467</t>
  </si>
  <si>
    <t>-573.050093710129 86.3286656289337 -585.328961301321</t>
  </si>
  <si>
    <t>-567.43063153125 75.2977747304682 -694.148033860626</t>
  </si>
  <si>
    <t>-548.963392539442 59.1850513632846 -844.478760796046</t>
  </si>
  <si>
    <t>-506.131985529205 51.9042738634306 -936.649489177559</t>
  </si>
  <si>
    <t>-552.969155317217 97.7049199513472 -780.81489885646</t>
  </si>
  <si>
    <t>-550.695398481932 244.119557307373 -767.42682580475</t>
  </si>
  <si>
    <t>-497.174532746812 301.34977619866 -460.757025338376</t>
  </si>
  <si>
    <t>-311.40154359902 217.71035446516 -299.094199122241</t>
  </si>
  <si>
    <t>-561.299994066106 34.923983196791 -775.109237756517</t>
  </si>
  <si>
    <t>-355.152392878961 0.792123620199703 -484.559424488523</t>
  </si>
  <si>
    <t>-492.456365456563 208.468333979036 -254.518689239363</t>
  </si>
  <si>
    <t>-474.334250815261 199.937073865043 200.735682274775</t>
  </si>
  <si>
    <t>-490.621528628908 168.730603739394 669.111635998679</t>
  </si>
  <si>
    <t>-339.477959472445 159.237628948672 758.604846205902</t>
  </si>
  <si>
    <t>-529.394146183345 16.5518681960199 -230.594230713206</t>
  </si>
  <si>
    <t>-437.245035491073 -22.929516177731 213.936303608466</t>
  </si>
  <si>
    <t>-592.12721745496 -100.38387324673 650.974231946154</t>
  </si>
  <si>
    <t>-443.238417370773 -146.398934658568 732.572332957766</t>
  </si>
  <si>
    <t>9763-20170724T164406.388381600.bin</t>
  </si>
  <si>
    <t>-511.538460344663 111.985207257676 -243.592892769847</t>
  </si>
  <si>
    <t>-552.611987201627 105.987253234975 -357.368111140883</t>
  </si>
  <si>
    <t>-569.239884469839 96.3767656502455 -477.041427882787</t>
  </si>
  <si>
    <t>-573.981522233747 86.5151739432304 -586.014505927827</t>
  </si>
  <si>
    <t>-568.480464900182 75.6954453318699 -694.860865014816</t>
  </si>
  <si>
    <t>-550.174242507858 59.8399619357427 -845.23867426676</t>
  </si>
  <si>
    <t>-507.324260143299 52.2981074943568 -937.379730745944</t>
  </si>
  <si>
    <t>-553.718699587158 98.2008700886744 -781.451552011431</t>
  </si>
  <si>
    <t>-549.282306170235 244.532253952884 -767.623487029407</t>
  </si>
  <si>
    <t>-475.91368273247 294.45388964001 -463.795982303481</t>
  </si>
  <si>
    <t>-291.053131669454 210.427686619524 -301.289956108663</t>
  </si>
  <si>
    <t>-562.829715310848 35.5101713600681 -775.950655263623</t>
  </si>
  <si>
    <t>-492.416589855637 208.13655495862 -255.206701709348</t>
  </si>
  <si>
    <t>-473.937425731279 199.543309590295 200.032063923692</t>
  </si>
  <si>
    <t>-490.281591233611 168.707623383285 668.463144000903</t>
  </si>
  <si>
    <t>-339.514727776571 158.070017802359 758.461513788669</t>
  </si>
  <si>
    <t>-530.518578266969 15.7862924377054 -231.306847445634</t>
  </si>
  <si>
    <t>-437.386990996545 -24.0273467421369 212.989271087362</t>
  </si>
  <si>
    <t>-591.664981880256 -101.103283812613 650.307067386826</t>
  </si>
  <si>
    <t>-443.634448448141 -146.585119587533 733.744893131582</t>
  </si>
  <si>
    <t>9763-20170724T164406.419470800.bin</t>
  </si>
  <si>
    <t>-511.800075477799 111.943279242849 -243.734354551605</t>
  </si>
  <si>
    <t>-552.897299022793 106.042672930896 -357.506111946489</t>
  </si>
  <si>
    <t>-569.558108752376 96.5339476340027 -477.183084329381</t>
  </si>
  <si>
    <t>-574.334005373871 86.7566005499679 -586.162031309642</t>
  </si>
  <si>
    <t>-568.871529902641 76.0084076470831 -695.017463457479</t>
  </si>
  <si>
    <t>-550.623413027871 60.2343060792334 -845.410990438095</t>
  </si>
  <si>
    <t>-507.796461812872 52.571546891247 -937.552811303124</t>
  </si>
  <si>
    <t>-553.978851159597 98.5383150698911 -781.57947838866</t>
  </si>
  <si>
    <t>-548.579823334268 244.813355111234 -767.545421501743</t>
  </si>
  <si>
    <t>-469.378760313584 291.582913576726 -464.682441537142</t>
  </si>
  <si>
    <t>-284.257251439977 206.567098620851 -302.990130045578</t>
  </si>
  <si>
    <t>-563.416378385321 35.8893595083719 -776.153474011472</t>
  </si>
  <si>
    <t>-492.425843348178 208.281062912263 -255.358844960072</t>
  </si>
  <si>
    <t>-473.922494839129 199.623617552063 199.877710526244</t>
  </si>
  <si>
    <t>-490.375652547859 169.234638698776 668.37042085121</t>
  </si>
  <si>
    <t>-339.744172742392 157.525374382333 758.462417131054</t>
  </si>
  <si>
    <t>-531.059824024471 15.6057134742618 -231.417987011974</t>
  </si>
  <si>
    <t>-437.5060038028 -24.3456407038702 212.777119702067</t>
  </si>
  <si>
    <t>-591.622203628246 -101.363636289728 650.249234179818</t>
  </si>
  <si>
    <t>-443.731945553543 -146.600885169588 734.067883072448</t>
  </si>
  <si>
    <t>9763-20170724T164406.461583100.bin</t>
  </si>
  <si>
    <t>-512.027021324948 111.90434713805 -243.802448212803</t>
  </si>
  <si>
    <t>-553.213374116578 106.141113542484 -357.54903110091</t>
  </si>
  <si>
    <t>-569.908433653833 96.7525961707549 -477.230673599091</t>
  </si>
  <si>
    <t>-574.692254600198 87.0670625391559 -586.217571929508</t>
  </si>
  <si>
    <t>-569.214794415518 76.3889174470062 -695.079147499048</t>
  </si>
  <si>
    <t>-550.92230402512 60.6847268249294 -845.474465506783</t>
  </si>
  <si>
    <t>-508.117955571179 52.8833540711896 -937.615289422524</t>
  </si>
  <si>
    <t>-554.096176484986 98.9305597354786 -781.598882960731</t>
  </si>
  <si>
    <t>-547.466617417706 245.136906504538 -767.308635808858</t>
  </si>
  <si>
    <t>-463.948316851049 289.083160804311 -465.183456202182</t>
  </si>
  <si>
    <t>-277.530553074578 203.334340680632 -305.378508578911</t>
  </si>
  <si>
    <t>-563.936128109877 36.3360988076789 -776.259602675259</t>
  </si>
  <si>
    <t>-492.332715189248 208.280768184768 -255.433079147151</t>
  </si>
  <si>
    <t>-473.842320165361 199.559942379071 199.80284932762</t>
  </si>
  <si>
    <t>-490.421126901669 169.41538205602 668.310760345882</t>
  </si>
  <si>
    <t>-339.821233737197 157.574831004401 758.438291217051</t>
  </si>
  <si>
    <t>-531.641306904443 15.5536256913387 -231.451745046293</t>
  </si>
  <si>
    <t>-437.629139945104 -24.5662208636612 212.631392798208</t>
  </si>
  <si>
    <t>-591.592377768824 -101.457517424582 650.182887109795</t>
  </si>
  <si>
    <t>-444.040267659642 -147.162063318982 734.343358307842</t>
  </si>
  <si>
    <t>9763-20170724T164406.523528000.bin</t>
  </si>
  <si>
    <t>-512.145450921064 111.548317800336 -243.811244592771</t>
  </si>
  <si>
    <t>-553.368440843214 106.128753217398 -357.56139375388</t>
  </si>
  <si>
    <t>-570.138014370212 96.9286815098409 -477.247232183827</t>
  </si>
  <si>
    <t>-575.00466283983 87.3322769090985 -586.238421579084</t>
  </si>
  <si>
    <t>-569.624457480713 76.6538482019873 -695.104778037962</t>
  </si>
  <si>
    <t>-551.481677852595 60.8481055339617 -845.507658316011</t>
  </si>
  <si>
    <t>-508.750134599715 52.6645201988756 -937.648947882341</t>
  </si>
  <si>
    <t>-554.150276540121 99.069584451152 -781.594277412782</t>
  </si>
  <si>
    <t>-545.409313138057 245.191057994394 -767.337248953586</t>
  </si>
  <si>
    <t>-455.970407426909 285.056727873843 -466.343089827466</t>
  </si>
  <si>
    <t>-266.662732360864 201.201009666404 -308.949110173971</t>
  </si>
  <si>
    <t>-564.868387456571 36.6137033342071 -776.323729495032</t>
  </si>
  <si>
    <t>-491.573105829762 207.834115473561 -255.434667169506</t>
  </si>
  <si>
    <t>-473.39224322507 199.000688367538 199.81158818058</t>
  </si>
  <si>
    <t>-490.409299653186 168.836721861009 668.361265245913</t>
  </si>
  <si>
    <t>-339.67340672645 157.638780757416 758.343472004775</t>
  </si>
  <si>
    <t>-532.565850609653 15.2446392935039 -231.427657527707</t>
  </si>
  <si>
    <t>-437.893056910438 -25.4975591780628 212.458330749224</t>
  </si>
  <si>
    <t>-591.649181244161 -101.672127124803 650.221649071883</t>
  </si>
  <si>
    <t>-444.153518383873 -147.155888779107 734.600308923366</t>
  </si>
  <si>
    <t>9763-20170724T164406.585694100.bin</t>
  </si>
  <si>
    <t>-511.716257652699 111.424120393962 -243.592776070858</t>
  </si>
  <si>
    <t>-552.943680413257 106.414457727623 -357.360229998355</t>
  </si>
  <si>
    <t>-569.875206386533 97.2828337244107 -477.028518259263</t>
  </si>
  <si>
    <t>-574.949721743455 87.6084823402248 -586.003210547819</t>
  </si>
  <si>
    <t>-569.835970778523 76.7148858649043 -694.861112767827</t>
  </si>
  <si>
    <t>-552.120913001924 60.468795436207 -845.268109726814</t>
  </si>
  <si>
    <t>-509.415732269239 51.8018779417626 -937.377374293968</t>
  </si>
  <si>
    <t>-554.236666326922 98.81575148552 -781.409243429145</t>
  </si>
  <si>
    <t>-543.294490779594 244.841454622839 -767.581362534204</t>
  </si>
  <si>
    <t>-451.765011494705 285.887827578103 -467.375368366628</t>
  </si>
  <si>
    <t>-264.920347271656 201.075039270983 -307.569456877206</t>
  </si>
  <si>
    <t>-565.681910289437 36.498615880419 -776.026138525872</t>
  </si>
  <si>
    <t>-490.089730281185 207.679536844797 -255.22895611516</t>
  </si>
  <si>
    <t>-473.013850351625 198.808494957981 200.059394132333</t>
  </si>
  <si>
    <t>-490.743232760549 168.972486004884 668.605192304812</t>
  </si>
  <si>
    <t>-339.871226162659 157.120856020087 758.275084284263</t>
  </si>
  <si>
    <t>-533.253960153732 15.2174415711941 -231.171721475115</t>
  </si>
  <si>
    <t>-438.137160797128 -26.3110778937221 212.546466717262</t>
  </si>
  <si>
    <t>-591.7852250991 -101.526962065221 650.396386772983</t>
  </si>
  <si>
    <t>-444.25250659425 -147.188990071057 734.613777660864</t>
  </si>
  <si>
    <t>9763-20170724T164406.616779400.bin</t>
  </si>
  <si>
    <t>-511.440938040197 111.42379457823 -243.486438546766</t>
  </si>
  <si>
    <t>-552.573087971921 106.657479778114 -357.298716918535</t>
  </si>
  <si>
    <t>-569.41673418935 97.5868233058982 -476.984026746058</t>
  </si>
  <si>
    <t>-574.414341564696 87.8947785372144 -585.960852274394</t>
  </si>
  <si>
    <t>-569.225753602736 76.9130972270436 -694.80614575541</t>
  </si>
  <si>
    <t>-551.408427738101 60.4730928908792 -845.180093066107</t>
  </si>
  <si>
    <t>-508.646102264523 51.6014219852006 -937.243348161723</t>
  </si>
  <si>
    <t>-553.390773712818 98.8714850745237 -781.347792637268</t>
  </si>
  <si>
    <t>-541.283495455801 244.757721286182 -767.618187021608</t>
  </si>
  <si>
    <t>-451.415756083107 288.676382092988 -467.31636046256</t>
  </si>
  <si>
    <t>-266.698706900596 201.567413840306 -306.276998509599</t>
  </si>
  <si>
    <t>-565.193326292419 36.6230950584755 -775.94080733283</t>
  </si>
  <si>
    <t>-489.192335779939 207.672673179575 -255.159835014463</t>
  </si>
  <si>
    <t>-472.571499704423 198.681876101741 200.142940559762</t>
  </si>
  <si>
    <t>-490.811819288145 168.930972872851 668.643202492153</t>
  </si>
  <si>
    <t>-339.916248671974 156.840590407129 758.241514883479</t>
  </si>
  <si>
    <t>-533.54980978357 15.2245297850172 -231.145917606399</t>
  </si>
  <si>
    <t>-438.494424982331 -26.6171238393219 212.556036271526</t>
  </si>
  <si>
    <t>-591.878740119388 -101.472112701484 650.567566876011</t>
  </si>
  <si>
    <t>-444.393060180949 -147.478770513893 734.679755749186</t>
  </si>
  <si>
    <t>9763-20170724T164406.686966000.bin</t>
  </si>
  <si>
    <t>-510.751233991145 111.896647575432 -243.057121500087</t>
  </si>
  <si>
    <t>-551.951474850094 107.682682262904 -356.866514932913</t>
  </si>
  <si>
    <t>-568.777149578522 98.8779689153054 -476.574217632029</t>
  </si>
  <si>
    <t>-573.718414494893 89.3136977010886 -585.564806002148</t>
  </si>
  <si>
    <t>-568.431482773307 78.3521917990008 -694.407674963818</t>
  </si>
  <si>
    <t>-550.433454190349 61.8329848388652 -844.751181334277</t>
  </si>
  <si>
    <t>-507.474818766636 52.5375114299145 -936.681315822418</t>
  </si>
  <si>
    <t>-552.244288835347 100.219899669911 -780.906999661994</t>
  </si>
  <si>
    <t>-538.7485603016 245.997799674762 -766.987822121098</t>
  </si>
  <si>
    <t>-453.4859675736 292.07974817514 -465.669229670688</t>
  </si>
  <si>
    <t>-272.329187146371 201.212862871712 -302.673864354859</t>
  </si>
  <si>
    <t>-564.549710013156 38.0645505428225 -775.550692041591</t>
  </si>
  <si>
    <t>-487.71881173191 208.170313268994 -254.673901236229</t>
  </si>
  <si>
    <t>-471.128202055649 198.752743369131 200.621227637999</t>
  </si>
  <si>
    <t>-491.206442498116 168.919256373756 669.099367245395</t>
  </si>
  <si>
    <t>-340.211645001315 155.801196423672 758.385289443934</t>
  </si>
  <si>
    <t>-533.636151330262 15.7872946712713 -230.754174213593</t>
  </si>
  <si>
    <t>-438.549129999659 -27.2030469706175 212.831153352422</t>
  </si>
  <si>
    <t>-592.117852822177 -101.289860012164 650.914893568748</t>
  </si>
  <si>
    <t>-444.687027203203 -147.909892182738 734.785139860135</t>
  </si>
  <si>
    <t>9763-20170724T164406.723604700.bin</t>
  </si>
  <si>
    <t>-510.483905080427 112.175254123889 -242.778990713953</t>
  </si>
  <si>
    <t>-551.78942595943 108.143964329663 -356.556970178964</t>
  </si>
  <si>
    <t>-568.640429285252 99.4138447823922 -476.266586282608</t>
  </si>
  <si>
    <t>-573.569077367081 89.8736362022301 -585.259913474401</t>
  </si>
  <si>
    <t>-568.233173745657 78.8943912899442 -694.098440253942</t>
  </si>
  <si>
    <t>-550.129326739491 62.3082678220711 -844.421895813028</t>
  </si>
  <si>
    <t>-507.039540011894 52.7819468485995 -936.266916917111</t>
  </si>
  <si>
    <t>-551.892804536863 100.706299020418 -780.58306135387</t>
  </si>
  <si>
    <t>-537.982488490039 246.416949791654 -766.419293124176</t>
  </si>
  <si>
    <t>-455.786819570463 292.34158016952 -464.225695485486</t>
  </si>
  <si>
    <t>-275.793097039868 200.221605441686 -300.646182861727</t>
  </si>
  <si>
    <t>-564.386600321082 38.5879333499584 -775.23378114614</t>
  </si>
  <si>
    <t>-487.206224064484 208.245789878184 -254.325278676078</t>
  </si>
  <si>
    <t>-470.660680814412 198.638700842199 200.967621011012</t>
  </si>
  <si>
    <t>-491.344068601477 168.37316406269 669.364145502532</t>
  </si>
  <si>
    <t>-340.184643772012 155.730898280045 758.440064249999</t>
  </si>
  <si>
    <t>-533.632536857438 16.1863762036336 -230.477344883387</t>
  </si>
  <si>
    <t>-438.398434501345 -27.111078895899 213.046623149694</t>
  </si>
  <si>
    <t>-592.181917120323 -100.875190325151 651.017262355554</t>
  </si>
  <si>
    <t>-444.801540314746 -147.921908184793 734.737835938499</t>
  </si>
  <si>
    <t>9763-20170724T164406.785776700.bin</t>
  </si>
  <si>
    <t>-509.945723554937 112.859654230064 -242.360539730684</t>
  </si>
  <si>
    <t>-551.10072000609 108.887066545937 -356.195000762544</t>
  </si>
  <si>
    <t>-567.729184179036 100.209590028802 -475.939580473931</t>
  </si>
  <si>
    <t>-572.430186554175 90.7088297459758 -584.946345893764</t>
  </si>
  <si>
    <t>-566.842007867073 79.75785427102 -693.775195466721</t>
  </si>
  <si>
    <t>-548.364470057296 63.1969350451851 -844.05599848553</t>
  </si>
  <si>
    <t>-504.879078954287 53.4547880658486 -935.691480829334</t>
  </si>
  <si>
    <t>-550.13498011976 101.555181394925 -780.193343551276</t>
  </si>
  <si>
    <t>-535.8597250895 247.171794909346 -765.58173001007</t>
  </si>
  <si>
    <t>-461.618460957313 291.771921679097 -461.139203249807</t>
  </si>
  <si>
    <t>-282.961476001393 201.218962901885 -295.236025237755</t>
  </si>
  <si>
    <t>-562.94536669622 39.4940778144374 -774.929211349893</t>
  </si>
  <si>
    <t>-486.392789527913 208.672136770341 -253.993412526792</t>
  </si>
  <si>
    <t>-470.342120044805 198.74116206742 201.310207572532</t>
  </si>
  <si>
    <t>-491.406464832137 168.066598353021 669.502703213109</t>
  </si>
  <si>
    <t>-340.186078513643 155.805069618407 758.528252893918</t>
  </si>
  <si>
    <t>-533.340091994512 17.0488703656628 -230.110674982252</t>
  </si>
  <si>
    <t>-438.128054632327 -26.4664712414528 213.396596360582</t>
  </si>
  <si>
    <t>-592.228591387788 -100.696902403011 651.076456170936</t>
  </si>
  <si>
    <t>-444.790728016087 -147.850181236584 734.635743838129</t>
  </si>
  <si>
    <t>9763-20170724T164406.820446000.bin</t>
  </si>
  <si>
    <t>-509.780280351528 113.503960361607 -242.2993330157</t>
  </si>
  <si>
    <t>-550.874154537313 109.531269221463 -356.155964995475</t>
  </si>
  <si>
    <t>-567.359632757128 100.892954759382 -475.92299147906</t>
  </si>
  <si>
    <t>-571.898149406641 91.4472496010422 -584.941543635098</t>
  </si>
  <si>
    <t>-566.115774460887 80.573617477254 -693.767826361837</t>
  </si>
  <si>
    <t>-547.336448833846 64.1454121916003 -844.025882268474</t>
  </si>
  <si>
    <t>-503.600296823824 54.4699929713188 -935.549085908092</t>
  </si>
  <si>
    <t>-549.266404841864 102.453258952808 -780.137609634089</t>
  </si>
  <si>
    <t>-535.374789271039 248.080197486134 -765.239890126769</t>
  </si>
  <si>
    <t>-464.605758305684 291.870976656612 -459.854524208656</t>
  </si>
  <si>
    <t>-286.924841311858 204.028683492972 -291.464282155437</t>
  </si>
  <si>
    <t>-562.025132883213 40.3754880310664 -774.945129789775</t>
  </si>
  <si>
    <t>-486.222816196784 209.381609208062 -253.944218176344</t>
  </si>
  <si>
    <t>-470.462011661394 199.203343914467 201.364143493159</t>
  </si>
  <si>
    <t>-491.463562772565 168.223926489203 669.524209503783</t>
  </si>
  <si>
    <t>-340.396546613736 154.752023573125 758.635366630276</t>
  </si>
  <si>
    <t>-533.200467156739 17.712108997332 -230.064239847966</t>
  </si>
  <si>
    <t>-438.042346080505 -25.8453071158207 213.450585479078</t>
  </si>
  <si>
    <t>-592.239808540151 -100.227188490621 651.062678115079</t>
  </si>
  <si>
    <t>-444.826210689602 -147.708718268947 734.478742011837</t>
  </si>
  <si>
    <t>9763-20170724T164406.884611800.bin</t>
  </si>
  <si>
    <t>-509.387056479178 114.502308080379 -242.35821589963</t>
  </si>
  <si>
    <t>-550.424068585464 110.491758339549 -356.233871199794</t>
  </si>
  <si>
    <t>-566.601493403915 101.873216466096 -476.044522532337</t>
  </si>
  <si>
    <t>-570.756971619043 92.4891030209364 -585.08358292351</t>
  </si>
  <si>
    <t>-564.488712295479 81.7323978241226 -693.894632106261</t>
  </si>
  <si>
    <t>-544.930625150561 65.5352636272774 -844.078387949082</t>
  </si>
  <si>
    <t>-500.643596597804 56.1914198007474 -935.371010640731</t>
  </si>
  <si>
    <t>-547.414621657284 103.787180861604 -780.175743823653</t>
  </si>
  <si>
    <t>-535.00536649083 249.521954410081 -764.978754628146</t>
  </si>
  <si>
    <t>-470.598823473116 293.25371712346 -458.179948945683</t>
  </si>
  <si>
    <t>-296.963000130876 212.579998346386 -282.156005561909</t>
  </si>
  <si>
    <t>-559.754294557025 41.6168604717807 -775.077631025547</t>
  </si>
  <si>
    <t>-485.936813831717 210.214230595499 -254.029275091903</t>
  </si>
  <si>
    <t>-470.457180649842 199.51635060796 201.276793567273</t>
  </si>
  <si>
    <t>-491.198599346933 167.80382954904 669.366966644599</t>
  </si>
  <si>
    <t>-340.212733232146 155.478252646539 758.781003737976</t>
  </si>
  <si>
    <t>-532.694911173891 18.7776588633534 -230.100831142672</t>
  </si>
  <si>
    <t>-437.634955642633 -25.1736081091649 213.396066176356</t>
  </si>
  <si>
    <t>-592.213634875109 -100.36615614976 650.842404524094</t>
  </si>
  <si>
    <t>-444.760121068307 -147.654969806771 734.29749969833</t>
  </si>
  <si>
    <t>9763-20170724T164406.919777200.bin</t>
  </si>
  <si>
    <t>-509.208096681064 115.275579770624 -242.400024194555</t>
  </si>
  <si>
    <t>-550.211086389103 111.223349213121 -356.286663833517</t>
  </si>
  <si>
    <t>-566.233115369655 102.598362503826 -476.117616031661</t>
  </si>
  <si>
    <t>-570.198376130377 93.2305190833915 -585.165186453236</t>
  </si>
  <si>
    <t>-563.691321693076 82.5164643221232 -693.966438478364</t>
  </si>
  <si>
    <t>-543.752513190706 66.4104082285025 -844.109884296795</t>
  </si>
  <si>
    <t>-499.21800235636 57.2597398987345 -935.301508907997</t>
  </si>
  <si>
    <t>-546.505456465324 104.643250136443 -780.206906964329</t>
  </si>
  <si>
    <t>-534.741182329627 250.41719025878 -764.8709205818</t>
  </si>
  <si>
    <t>-474.245373667664 295.15821858455 -457.422383268091</t>
  </si>
  <si>
    <t>-302.902231036685 218.692334570458 -277.320895135692</t>
  </si>
  <si>
    <t>-558.644091420826 42.4304374520217 -775.145326889335</t>
  </si>
  <si>
    <t>-485.940201656636 211.026055196578 -254.053251482915</t>
  </si>
  <si>
    <t>-470.577911462212 200.003222333536 201.248966696964</t>
  </si>
  <si>
    <t>-491.189641055004 167.861231029712 669.362823972368</t>
  </si>
  <si>
    <t>-340.343151803688 154.61395942968 758.880175066277</t>
  </si>
  <si>
    <t>-532.337779499414 19.5800187813225 -230.130881595035</t>
  </si>
  <si>
    <t>-437.385120590542 -24.5609331461631 213.370241402709</t>
  </si>
  <si>
    <t>-592.197058176942 -100.168331049477 650.702825760905</t>
  </si>
  <si>
    <t>-444.822493370505 -147.665599558404 734.178918198913</t>
  </si>
  <si>
    <t>9763-20170724T164406.983936900.bin</t>
  </si>
  <si>
    <t>-508.790212819125 116.630478601699 -242.525898103566</t>
  </si>
  <si>
    <t>-549.61580573579 112.366560928509 -356.468305835798</t>
  </si>
  <si>
    <t>-565.232770846768 103.702523618613 -476.349968273953</t>
  </si>
  <si>
    <t>-568.741092291742 94.3845121503346 -585.417654143409</t>
  </si>
  <si>
    <t>-561.690132658279 83.8135068112662 -694.198884672783</t>
  </si>
  <si>
    <t>-540.909938537514 68.0107063454067 -844.26049582358</t>
  </si>
  <si>
    <t>-495.855301351782 59.2673032682498 -935.236363588623</t>
  </si>
  <si>
    <t>-544.228939724071 106.151669295018 -780.329509179886</t>
  </si>
  <si>
    <t>-533.416104977298 251.982742673176 -764.810167258765</t>
  </si>
  <si>
    <t>-483.532644932929 300.9369944745 -456.101062526879</t>
  </si>
  <si>
    <t>-315.669197400366 227.716189228877 -271.431981171566</t>
  </si>
  <si>
    <t>-555.980152842692 43.8541983081327 -775.396205076089</t>
  </si>
  <si>
    <t>-485.704770506535 212.174319528033 -254.247978659416</t>
  </si>
  <si>
    <t>-470.788847286104 200.682470397146 201.057583265766</t>
  </si>
  <si>
    <t>-490.835528418374 167.5560312596 669.055533175798</t>
  </si>
  <si>
    <t>-340.129985458877 155.130758020677 758.927539993804</t>
  </si>
  <si>
    <t>-531.69366962093 21.0436530775194 -230.195105809397</t>
  </si>
  <si>
    <t>-436.708488663166 -23.2853868045022 213.280271132274</t>
  </si>
  <si>
    <t>-592.108593207849 -99.93214118827 650.233605325835</t>
  </si>
  <si>
    <t>-444.940640581324 -147.900972777186 733.804601516838</t>
  </si>
  <si>
    <t>9763-20170724T164407.018839300.bin</t>
  </si>
  <si>
    <t>-508.621731073041 117.231552220988 -242.647136081362</t>
  </si>
  <si>
    <t>-549.450454640873 112.899544100121 -356.58593946546</t>
  </si>
  <si>
    <t>-564.901925416471 104.232877387006 -476.48883750351</t>
  </si>
  <si>
    <t>-568.190720748705 94.9499509171297 -585.566150292067</t>
  </si>
  <si>
    <t>-560.852192586007 84.4576605268159 -694.336136363921</t>
  </si>
  <si>
    <t>-539.603966931341 68.8153806343097 -844.34886582185</t>
  </si>
  <si>
    <t>-494.283336283491 60.2694097377854 -935.21141286401</t>
  </si>
  <si>
    <t>-543.265875528807 106.912864303071 -780.410700413812</t>
  </si>
  <si>
    <t>-533.140881573643 252.791566449234 -764.877772122048</t>
  </si>
  <si>
    <t>-488.667853042794 303.948094404907 -455.699332634467</t>
  </si>
  <si>
    <t>-321.198945821048 230.082488250222 -270.928881528737</t>
  </si>
  <si>
    <t>-554.745349029096 44.5602569472112 -775.535028934736</t>
  </si>
  <si>
    <t>-358.071937987072 0.296164081731227 -479.803272108577</t>
  </si>
  <si>
    <t>-485.720408916073 212.88676937658 -254.357560186775</t>
  </si>
  <si>
    <t>-470.896563359341 201.027564726158 200.941554492089</t>
  </si>
  <si>
    <t>-490.689950877514 167.424423098012 668.937892533183</t>
  </si>
  <si>
    <t>-340.063228405118 155.143735203176 758.961624109767</t>
  </si>
  <si>
    <t>-531.412542675007 21.5469831387884 -230.305858909623</t>
  </si>
  <si>
    <t>-436.475463039259 -22.9897171843727 213.159101808104</t>
  </si>
  <si>
    <t>-592.090513582287 -100.356601207783 649.993108570866</t>
  </si>
  <si>
    <t>-444.495074044241 -146.983899694635 733.5693296053</t>
  </si>
  <si>
    <t>9763-20170724T164407.098548700.bin</t>
  </si>
  <si>
    <t>-508.46654501348 119.068117844202 -242.973828157441</t>
  </si>
  <si>
    <t>-549.093034341956 114.586592437221 -356.979154628877</t>
  </si>
  <si>
    <t>-564.179330390673 105.883324439291 -476.925930722479</t>
  </si>
  <si>
    <t>-567.072936611852 96.6363088269267 -586.0175625178</t>
  </si>
  <si>
    <t>-559.277095845817 86.2611791565158 -694.766923862731</t>
  </si>
  <si>
    <t>-537.332573332504 70.8780990194285 -844.706212949048</t>
  </si>
  <si>
    <t>-491.504262418255 62.7458440286437 -935.351870454554</t>
  </si>
  <si>
    <t>-541.639524102178 108.922870778369 -780.776843724255</t>
  </si>
  <si>
    <t>-533.581617774321 254.891489473186 -765.087377068451</t>
  </si>
  <si>
    <t>-497.206963299339 308.161047376163 -455.207757486497</t>
  </si>
  <si>
    <t>-328.23305808547 233.146663474624 -272.279539643085</t>
  </si>
  <si>
    <t>-552.445187821823 46.4462924954874 -775.948570280054</t>
  </si>
  <si>
    <t>-356.115664042175 3.48223195709527 -479.976654512644</t>
  </si>
  <si>
    <t>-485.932991772229 214.723919246508 -254.614906982191</t>
  </si>
  <si>
    <t>-471.122207943588 202.189902658718 200.666499395334</t>
  </si>
  <si>
    <t>-490.443923388977 167.706880359295 668.606462750059</t>
  </si>
  <si>
    <t>-340.082537390095 154.912423251136 759.001506331151</t>
  </si>
  <si>
    <t>-530.814367803539 23.4645307428904 -230.698940615665</t>
  </si>
  <si>
    <t>-436.222530642542 -21.5228569221025 212.794217610722</t>
  </si>
  <si>
    <t>-591.999578178519 -99.9352650348962 649.430547916094</t>
  </si>
  <si>
    <t>-444.739496476637 -147.323599056748 733.170166840804</t>
  </si>
  <si>
    <t>9763-20170724T164407.191298300.bin</t>
  </si>
  <si>
    <t>-508.426944820767 119.882786285138 -243.085330526049</t>
  </si>
  <si>
    <t>-549.000284730557 115.304063716917 -357.105719470537</t>
  </si>
  <si>
    <t>-563.962504608332 106.602101765966 -477.068103643176</t>
  </si>
  <si>
    <t>-566.715470670317 97.4091216911246 -586.167923779445</t>
  </si>
  <si>
    <t>-558.751711332586 87.1476465525116 -694.915908318263</t>
  </si>
  <si>
    <t>-536.547093472989 71.990917884192 -844.839999316524</t>
  </si>
  <si>
    <t>-490.498596930875 64.1394487469121 -935.39867271262</t>
  </si>
  <si>
    <t>-541.164968320524 109.970667541972 -780.893657598035</t>
  </si>
  <si>
    <t>-534.161808493573 255.99598200892 -765.059489598157</t>
  </si>
  <si>
    <t>-499.667123646565 308.747986333101 -454.876486898655</t>
  </si>
  <si>
    <t>-329.548232897963 237.029930826489 -271.687543119733</t>
  </si>
  <si>
    <t>-551.578946308939 47.4239795615654 -776.112791627757</t>
  </si>
  <si>
    <t>-355.278812992667 5.26852404953024 -480.021035283006</t>
  </si>
  <si>
    <t>-486.202590840351 215.469391509807 -254.665593282591</t>
  </si>
  <si>
    <t>-471.423672200093 202.573049006909 200.606711457699</t>
  </si>
  <si>
    <t>-490.313085347136 167.346931709565 668.566647050062</t>
  </si>
  <si>
    <t>-339.92494193253 155.085679630691 758.991071261333</t>
  </si>
  <si>
    <t>-530.486805467191 24.2831302670653 -230.834163170322</t>
  </si>
  <si>
    <t>-436.132022246561 -20.8946447451475 212.690069985517</t>
  </si>
  <si>
    <t>-591.982807032944 -100.146278266485 649.165337190258</t>
  </si>
  <si>
    <t>-444.668303384194 -147.267722753076 732.959844227907</t>
  </si>
  <si>
    <t>9763-20170724T164407.220399800.bin</t>
  </si>
  <si>
    <t>-508.717087327765 122.620795476752 -243.141910891187</t>
  </si>
  <si>
    <t>-549.303272819123 117.541752367221 -357.136441485901</t>
  </si>
  <si>
    <t>-564.175750111967 108.676921346648 -477.098107674747</t>
  </si>
  <si>
    <t>-566.807510927909 99.4927765743136 -586.201645624984</t>
  </si>
  <si>
    <t>-558.685430738068 89.4046430546364 -694.954140148247</t>
  </si>
  <si>
    <t>-536.224895448695 74.6679476854469 -844.882032649203</t>
  </si>
  <si>
    <t>-489.360466579948 67.6487302816312 -935.08975709179</t>
  </si>
  <si>
    <t>-541.370500789884 112.530158336162 -780.906317376373</t>
  </si>
  <si>
    <t>-536.425797923568 258.617367769582 -764.823226108021</t>
  </si>
  <si>
    <t>-499.866809221532 309.188054639716 -454.513342407652</t>
  </si>
  <si>
    <t>-325.42771956763 246.52208846066 -272.068624547033</t>
  </si>
  <si>
    <t>-550.955511698242 49.8468340004588 -776.180894178327</t>
  </si>
  <si>
    <t>-353.874229858181 10.6535087292503 -479.85995573414</t>
  </si>
  <si>
    <t>-487.332904655405 218.225409024088 -254.803951732804</t>
  </si>
  <si>
    <t>-472.766426828553 204.468087493814 200.450060320165</t>
  </si>
  <si>
    <t>-490.173630116893 167.687867173935 668.328546183562</t>
  </si>
  <si>
    <t>-339.899273853094 154.871475795554 758.865132655167</t>
  </si>
  <si>
    <t>-529.986703375629 26.9765793783202 -230.779509573731</t>
  </si>
  <si>
    <t>-435.079985928237 -18.3766537145778 212.609128147245</t>
  </si>
  <si>
    <t>-591.800803962097 -99.9934448726658 648.232396985474</t>
  </si>
  <si>
    <t>-444.365875578574 -146.469092933684 732.175682040309</t>
  </si>
  <si>
    <t>9763-20170724T164407.285573300.bin</t>
  </si>
  <si>
    <t>-508.673790756977 124.246967729903 -243.192774544372</t>
  </si>
  <si>
    <t>-549.219176429959 118.854216310558 -357.187425894222</t>
  </si>
  <si>
    <t>-564.139368194333 109.918700687856 -477.137879659931</t>
  </si>
  <si>
    <t>-566.854387100761 100.767419603192 -586.242120807908</t>
  </si>
  <si>
    <t>-558.85657546556 90.8062030845026 -695.015608374789</t>
  </si>
  <si>
    <t>-536.611553030482 76.3409775020447 -845.0019775421</t>
  </si>
  <si>
    <t>-488.642233507857 69.914864072532 -934.671553950861</t>
  </si>
  <si>
    <t>-541.746427810617 114.098530541985 -780.963602624834</t>
  </si>
  <si>
    <t>-537.090506729318 260.206412874113 -764.819487008339</t>
  </si>
  <si>
    <t>-497.993884560471 309.46365085805 -454.607629738657</t>
  </si>
  <si>
    <t>-324.923101362265 236.858726268481 -274.560209092777</t>
  </si>
  <si>
    <t>-551.162130068401 51.3841629675196 -776.311636924563</t>
  </si>
  <si>
    <t>-353.522794728287 13.1441933552001 -480.080389332591</t>
  </si>
  <si>
    <t>-487.597338808625 219.873733587356 -254.975092776309</t>
  </si>
  <si>
    <t>-473.597504312314 205.601919497791 200.280917079393</t>
  </si>
  <si>
    <t>-490.072579157451 167.978968573065 668.141135557234</t>
  </si>
  <si>
    <t>-339.843302879575 155.038283554734 758.734823597635</t>
  </si>
  <si>
    <t>-529.6260566503 28.5729635383519 -230.733704339548</t>
  </si>
  <si>
    <t>-434.418315360141 -16.6503606368943 212.603733883235</t>
  </si>
  <si>
    <t>-591.660083506921 -100.164019649987 647.672405533513</t>
  </si>
  <si>
    <t>-444.228202308106 -146.372863289381 731.768180377214</t>
  </si>
  <si>
    <t>9763-20170724T164407.320680900.bin</t>
  </si>
  <si>
    <t>-508.446710937251 124.847498298023 -243.19704237821</t>
  </si>
  <si>
    <t>-548.915690374968 119.327699286035 -357.212643742089</t>
  </si>
  <si>
    <t>-563.896447572282 110.323536043104 -477.150508318171</t>
  </si>
  <si>
    <t>-566.724236826225 101.13306487999 -586.248630462852</t>
  </si>
  <si>
    <t>-558.896915292939 91.1547561104136 -695.032848785725</t>
  </si>
  <si>
    <t>-536.94711823532 76.6878836393791 -845.062621552403</t>
  </si>
  <si>
    <t>-488.250449761093 70.4596485430121 -934.353259281575</t>
  </si>
  <si>
    <t>-541.97737665065 114.449181137125 -781.018096926808</t>
  </si>
  <si>
    <t>-537.452973301618 260.584870305853 -765.041973471642</t>
  </si>
  <si>
    <t>-497.29344772999 308.806345717984 -454.803240004464</t>
  </si>
  <si>
    <t>-325.000739561126 228.938162038886 -277.100140467679</t>
  </si>
  <si>
    <t>-551.340994387225 51.7288873383778 -776.340071393509</t>
  </si>
  <si>
    <t>-353.211232292803 13.5327280409933 -480.214145200579</t>
  </si>
  <si>
    <t>-487.318889147185 220.278306870084 -255.052368530961</t>
  </si>
  <si>
    <t>-473.767501238037 205.775642936781 200.209918431344</t>
  </si>
  <si>
    <t>-489.874950697058 167.422039570616 668.075509821144</t>
  </si>
  <si>
    <t>-339.507190879971 155.918255265586 758.633300556379</t>
  </si>
  <si>
    <t>-529.404377722173 29.3061218858513 -230.722083109892</t>
  </si>
  <si>
    <t>-434.054427258379 -15.921993674562 212.58411180986</t>
  </si>
  <si>
    <t>-591.568706086483 -99.9703922821286 647.434143678879</t>
  </si>
  <si>
    <t>-444.39130054693 -146.754563682131 731.657515169775</t>
  </si>
  <si>
    <t>9763-20170724T164407.385856500.bin</t>
  </si>
  <si>
    <t>-507.956241559667 125.995125536365 -243.307807988832</t>
  </si>
  <si>
    <t>-548.369345441102 120.423563527296 -357.340836952954</t>
  </si>
  <si>
    <t>-563.453991304313 111.313379850077 -477.257699288648</t>
  </si>
  <si>
    <t>-566.440902080913 102.011025440909 -586.341909682788</t>
  </si>
  <si>
    <t>-558.835961609616 91.9081033232094 -695.130588018335</t>
  </si>
  <si>
    <t>-537.258550658133 77.2579686234708 -845.196512385015</t>
  </si>
  <si>
    <t>-487.133157629915 71.2968270273325 -933.711417759133</t>
  </si>
  <si>
    <t>-542.176687049401 115.103823009025 -781.193157974771</t>
  </si>
  <si>
    <t>-537.690376541009 261.235955617436 -765.469997810768</t>
  </si>
  <si>
    <t>-494.063683573856 306.834152083112 -455.302793116066</t>
  </si>
  <si>
    <t>-321.395500312165 218.221627748027 -282.168197778143</t>
  </si>
  <si>
    <t>-551.435109367726 52.3765693413264 -776.400611324815</t>
  </si>
  <si>
    <t>-352.230089027553 13.8987104422869 -480.693549953165</t>
  </si>
  <si>
    <t>-486.731932437981 221.558370023902 -255.194174932733</t>
  </si>
  <si>
    <t>-473.671224656507 206.535565773513 200.065577374833</t>
  </si>
  <si>
    <t>-489.79210641728 167.643461592761 667.913452284453</t>
  </si>
  <si>
    <t>-339.531303438891 155.476883322333 758.562078191478</t>
  </si>
  <si>
    <t>-528.929057844738 30.4207362201039 -230.836339597392</t>
  </si>
  <si>
    <t>-433.77057099453 -15.3752364885529 212.452776384312</t>
  </si>
  <si>
    <t>-591.500301361476 -100.058939007307 647.155219845615</t>
  </si>
  <si>
    <t>-444.100957624744 -145.933976551609 731.490483173862</t>
  </si>
  <si>
    <t>9763-20170724T164407.424643700.bin</t>
  </si>
  <si>
    <t>-507.768944200959 126.67754913815 -243.302482787725</t>
  </si>
  <si>
    <t>-548.230205920816 121.14574259768 -357.320443230134</t>
  </si>
  <si>
    <t>-563.349825372672 112.016588514467 -477.231344051938</t>
  </si>
  <si>
    <t>-566.361004913181 102.679049283322 -586.31201477881</t>
  </si>
  <si>
    <t>-558.772144670531 92.5266694065426 -695.097091140924</t>
  </si>
  <si>
    <t>-537.20817829167 77.7963896840303 -845.157168131654</t>
  </si>
  <si>
    <t>-486.668762825025 71.9007624560172 -933.440722979301</t>
  </si>
  <si>
    <t>-542.143574291081 115.679588067876 -781.177214516345</t>
  </si>
  <si>
    <t>-537.727236942535 261.829852694244 -765.571789495032</t>
  </si>
  <si>
    <t>-491.041671945887 306.242458254112 -455.678016335036</t>
  </si>
  <si>
    <t>-317.874740320961 218.192826119026 -282.75456278853</t>
  </si>
  <si>
    <t>-551.355568719857 52.9486166692474 -776.343191645959</t>
  </si>
  <si>
    <t>-351.838506450744 14.4795355142363 -480.810359923957</t>
  </si>
  <si>
    <t>-486.522989184075 222.29057513508 -255.187217025129</t>
  </si>
  <si>
    <t>-473.372557190099 207.086675548058 200.063863268298</t>
  </si>
  <si>
    <t>-489.849345622468 167.961053092085 667.905454176224</t>
  </si>
  <si>
    <t>-339.682876111355 154.930529332437 758.590283398131</t>
  </si>
  <si>
    <t>-528.810849518563 31.1240623494107 -230.764659969726</t>
  </si>
  <si>
    <t>-433.558725530301 -14.9793075594321 212.472485008985</t>
  </si>
  <si>
    <t>-591.501713733755 -99.7491625294886 647.06520404262</t>
  </si>
  <si>
    <t>-444.342143812157 -146.27608682805 731.462009636836</t>
  </si>
  <si>
    <t>9763-20170724T164407.490818200.bin</t>
  </si>
  <si>
    <t>-507.54562727493 127.396933408646 -243.233340665207</t>
  </si>
  <si>
    <t>-548.225878310822 121.872541207472 -357.173637002733</t>
  </si>
  <si>
    <t>-563.44227482469 112.718718938064 -477.070412953099</t>
  </si>
  <si>
    <t>-566.48709283252 103.348051362657 -586.14738899636</t>
  </si>
  <si>
    <t>-558.877379687573 93.1535385642823 -694.926911663165</t>
  </si>
  <si>
    <t>-537.228109376205 78.3567985166252 -844.968309231498</t>
  </si>
  <si>
    <t>-486.390147145472 72.4583211807044 -933.079932176451</t>
  </si>
  <si>
    <t>-542.158866805469 116.262731273738 -781.001412992584</t>
  </si>
  <si>
    <t>-537.570534762669 262.420973451097 -765.44630004016</t>
  </si>
  <si>
    <t>-483.490717902463 305.669822836598 -456.591818507666</t>
  </si>
  <si>
    <t>-307.940360173153 219.412425472335 -285.174825465346</t>
  </si>
  <si>
    <t>-551.455553378428 53.5450437579853 -776.157668550444</t>
  </si>
  <si>
    <t>-352.095342277292 15.200230623643 -480.478093767711</t>
  </si>
  <si>
    <t>-486.2656018743 223.027690822114 -255.151282098839</t>
  </si>
  <si>
    <t>-472.882368393437 207.53980110853 200.083568076594</t>
  </si>
  <si>
    <t>-489.816652756183 168.066501345937 667.836905204486</t>
  </si>
  <si>
    <t>-339.716002924284 154.754322279424 758.589790020628</t>
  </si>
  <si>
    <t>-528.647746236495 31.7500938518966 -230.564433024425</t>
  </si>
  <si>
    <t>-433.050237664916 -14.3808537235532 212.595460947947</t>
  </si>
  <si>
    <t>-591.491874468103 -99.7806417536274 646.831697610166</t>
  </si>
  <si>
    <t>-444.246285904014 -145.991585037838 731.252017339659</t>
  </si>
  <si>
    <t>9763-20170724T164407.521433900.bin</t>
  </si>
  <si>
    <t>-507.520116577442 127.523063497211 -243.204749907059</t>
  </si>
  <si>
    <t>-548.224680457821 121.930110481785 -357.133053932998</t>
  </si>
  <si>
    <t>-563.494179470616 112.751815705994 -477.021267864625</t>
  </si>
  <si>
    <t>-566.600053881673 103.367232420988 -586.095282008028</t>
  </si>
  <si>
    <t>-559.064377191173 93.1612311267359 -694.87902370531</t>
  </si>
  <si>
    <t>-537.53145071546 78.3457359300968 -844.935080519067</t>
  </si>
  <si>
    <t>-486.670006460421 72.3761142239827 -933.028559649712</t>
  </si>
  <si>
    <t>-542.332594083187 116.24867730079 -780.956756739699</t>
  </si>
  <si>
    <t>-537.451525907789 262.391652635907 -765.403802602961</t>
  </si>
  <si>
    <t>-478.903669216079 305.454992103381 -457.339068942682</t>
  </si>
  <si>
    <t>-302.474877435439 220.066996879787 -286.389410527851</t>
  </si>
  <si>
    <t>-551.785636558771 53.5536203618771 -776.123129579659</t>
  </si>
  <si>
    <t>-352.559802423097 15.0190214889903 -480.200738049421</t>
  </si>
  <si>
    <t>-486.204395908427 223.04217653984 -255.169780147129</t>
  </si>
  <si>
    <t>-472.831369232611 207.564060795452 200.065615709276</t>
  </si>
  <si>
    <t>-489.735669312334 167.854643538401 667.814352947566</t>
  </si>
  <si>
    <t>-339.56705603297 155.182202295195 758.546397192575</t>
  </si>
  <si>
    <t>-528.655169304292 32.0305638616895 -230.488120619372</t>
  </si>
  <si>
    <t>-432.815337211641 -14.0568962604856 212.624001641173</t>
  </si>
  <si>
    <t>-591.45571757247 -99.6391062391845 646.692274276748</t>
  </si>
  <si>
    <t>-444.246410535139 -145.9301093566 731.132112121925</t>
  </si>
  <si>
    <t>9763-20170724T164407.584601700.bin</t>
  </si>
  <si>
    <t>-507.655503690071 127.773992661264 -243.255628249627</t>
  </si>
  <si>
    <t>-548.264919058764 122.141221531899 -357.215974974002</t>
  </si>
  <si>
    <t>-563.502790347155 113.035878108454 -477.113672742736</t>
  </si>
  <si>
    <t>-566.611683561942 103.732552403388 -586.194452324797</t>
  </si>
  <si>
    <t>-559.112297301907 93.604327996858 -694.987988236826</t>
  </si>
  <si>
    <t>-537.664953042179 78.8758566891051 -845.064927287247</t>
  </si>
  <si>
    <t>-486.875679540756 72.7169166160726 -933.186939812315</t>
  </si>
  <si>
    <t>-542.232137053199 116.713654006357 -781.030875926538</t>
  </si>
  <si>
    <t>-536.135654730546 262.784208875416 -765.327287734184</t>
  </si>
  <si>
    <t>-468.387521471693 304.850099074061 -459.0155952922</t>
  </si>
  <si>
    <t>-290.683985513264 219.272547561335 -289.486987931747</t>
  </si>
  <si>
    <t>-552.077415546718 54.071831037404 -776.290284966711</t>
  </si>
  <si>
    <t>-353.228678148736 15.3525493884541 -480.144210793896</t>
  </si>
  <si>
    <t>-486.472148053747 223.264144575342 -255.190279184777</t>
  </si>
  <si>
    <t>-473.024230093991 207.744125106163 200.041506757797</t>
  </si>
  <si>
    <t>-489.751292476473 167.949438767791 667.804849104343</t>
  </si>
  <si>
    <t>-339.516992239608 155.675541214729 758.482917661738</t>
  </si>
  <si>
    <t>-528.648887889869 32.3715127893474 -230.666189781066</t>
  </si>
  <si>
    <t>-432.842038246613 -13.5687586887233 212.46835563434</t>
  </si>
  <si>
    <t>-591.435807222973 -99.6241978999778 646.502108725595</t>
  </si>
  <si>
    <t>-444.220172965385 -146.010485856632 730.878505221536</t>
  </si>
  <si>
    <t>9763-20170724T164407.622209700.bin</t>
  </si>
  <si>
    <t>-507.773293573529 127.902809216637 -243.263637390641</t>
  </si>
  <si>
    <t>-548.444697417556 122.310157279901 -357.203798311837</t>
  </si>
  <si>
    <t>-563.688348816 113.268795022722 -477.105666197271</t>
  </si>
  <si>
    <t>-566.779869585963 104.017639979527 -586.191380945532</t>
  </si>
  <si>
    <t>-559.241566432589 93.9268261460113 -694.985723810977</t>
  </si>
  <si>
    <t>-537.718265669737 79.2269335765856 -845.054529610978</t>
  </si>
  <si>
    <t>-486.953971409827 72.968209355106 -933.184107471391</t>
  </si>
  <si>
    <t>-542.205065852995 117.035875292935 -780.997902037456</t>
  </si>
  <si>
    <t>-535.442552669522 263.076806189458 -765.193093913563</t>
  </si>
  <si>
    <t>-463.207746507385 303.792171863919 -459.725221229358</t>
  </si>
  <si>
    <t>-284.77391946555 217.152765058525 -291.507946741478</t>
  </si>
  <si>
    <t>-552.278184574941 54.4264271395484 -776.309764521593</t>
  </si>
  <si>
    <t>-353.669446660204 15.3415326005146 -480.137337349038</t>
  </si>
  <si>
    <t>-486.660704200993 223.303370600838 -255.134309522004</t>
  </si>
  <si>
    <t>-472.977796897437 207.798411768573 200.091035817403</t>
  </si>
  <si>
    <t>-489.785588011062 167.823895708763 667.885017303338</t>
  </si>
  <si>
    <t>-339.469993855721 155.901384057789 758.475141648502</t>
  </si>
  <si>
    <t>-528.742213735212 32.5487462036819 -230.714539511869</t>
  </si>
  <si>
    <t>-432.873565274521 -13.3624544406384 212.409622675233</t>
  </si>
  <si>
    <t>-591.431496597897 -99.458685296999 646.422653979995</t>
  </si>
  <si>
    <t>-444.455251948981 -146.641300769606 730.774798643556</t>
  </si>
  <si>
    <t>9763-20170724T164407.690394500.bin</t>
  </si>
  <si>
    <t>-508.042623294466 127.919023600145 -243.105133523588</t>
  </si>
  <si>
    <t>-548.693923076815 122.456508218781 -357.058765071908</t>
  </si>
  <si>
    <t>-563.824201747739 113.509709337124 -476.982053445745</t>
  </si>
  <si>
    <t>-566.777421143174 104.306009583846 -586.075714173662</t>
  </si>
  <si>
    <t>-559.066481977541 94.21150547759 -694.857549926542</t>
  </si>
  <si>
    <t>-537.269753531991 79.4410374436075 -844.880060811255</t>
  </si>
  <si>
    <t>-486.579159416329 72.932143914913 -933.033822953043</t>
  </si>
  <si>
    <t>-541.605985178975 117.239176976589 -780.806438161828</t>
  </si>
  <si>
    <t>-533.580691650628 263.188924378128 -764.622614630084</t>
  </si>
  <si>
    <t>-454.041179840444 298.889531807432 -460.344676540902</t>
  </si>
  <si>
    <t>-271.585904022972 210.9388537389 -297.198053823785</t>
  </si>
  <si>
    <t>-552.222254953091 54.7138920458012 -776.193012081178</t>
  </si>
  <si>
    <t>-354.745919750543 14.8328830699974 -480.023526889182</t>
  </si>
  <si>
    <t>-486.798845945368 223.207402720117 -254.897439140598</t>
  </si>
  <si>
    <t>-473.05780018928 207.782095438979 200.328756382884</t>
  </si>
  <si>
    <t>-489.900906288614 167.391896292588 668.121069128073</t>
  </si>
  <si>
    <t>-339.431479485442 155.442903803496 758.452112098236</t>
  </si>
  <si>
    <t>-529.085121626897 32.5348454788605 -230.618768381348</t>
  </si>
  <si>
    <t>-433.026419935242 -13.4472474207983 212.456925928015</t>
  </si>
  <si>
    <t>-591.59685339078 -99.3663059225272 646.484686274324</t>
  </si>
  <si>
    <t>-444.35556039341 -146.401048441359 730.456350842875</t>
  </si>
  <si>
    <t>9763-20170724T164407.720058400.bin</t>
  </si>
  <si>
    <t>-508.121920680736 127.906456894599 -242.930819001122</t>
  </si>
  <si>
    <t>-548.744818077301 122.482073467203 -356.896453829925</t>
  </si>
  <si>
    <t>-563.792291616901 113.564204496294 -476.83238326898</t>
  </si>
  <si>
    <t>-566.649658968275 104.37353807822 -585.929589296185</t>
  </si>
  <si>
    <t>-558.822931746451 94.2742178566506 -694.702768739351</t>
  </si>
  <si>
    <t>-536.845817437543 79.4738915535136 -844.695910035527</t>
  </si>
  <si>
    <t>-486.204280721065 72.8295433405978 -932.867743481578</t>
  </si>
  <si>
    <t>-541.11797147765 117.262101047251 -780.612310248756</t>
  </si>
  <si>
    <t>-532.409562308851 263.137629816749 -764.24381410908</t>
  </si>
  <si>
    <t>-449.904142036215 296.3494411721 -460.474143244155</t>
  </si>
  <si>
    <t>-265.279312715018 207.601465130126 -300.225800058017</t>
  </si>
  <si>
    <t>-552.02207302759 54.7830349644767 -776.045058619211</t>
  </si>
  <si>
    <t>-355.155154355055 14.193299755998 -479.757559579118</t>
  </si>
  <si>
    <t>-486.740336128702 223.240299476358 -254.728988716166</t>
  </si>
  <si>
    <t>-473.082965359536 207.951620187696 200.504248278731</t>
  </si>
  <si>
    <t>-490.159545035088 167.720344666125 668.324344093493</t>
  </si>
  <si>
    <t>-339.59326973507 155.172388084551 758.412489115944</t>
  </si>
  <si>
    <t>-529.338570471297 32.5374015781393 -230.440203930248</t>
  </si>
  <si>
    <t>-433.081599759394 -13.5718821925537 212.579251660721</t>
  </si>
  <si>
    <t>-591.715003271327 -99.2531549937197 646.573992349332</t>
  </si>
  <si>
    <t>-444.279683521681 -146.227968095208 730.238242110847</t>
  </si>
  <si>
    <t>9763-20170724T164407.789242200.bin</t>
  </si>
  <si>
    <t>-508.375419684486 127.6956040547 -242.409700834503</t>
  </si>
  <si>
    <t>-548.981011918304 122.478570357042 -356.391204339683</t>
  </si>
  <si>
    <t>-563.862807198258 113.6472714529 -476.354096614855</t>
  </si>
  <si>
    <t>-566.510207270176 104.471974777973 -585.457914998099</t>
  </si>
  <si>
    <t>-558.415089483493 94.3183567560549 -694.206402593102</t>
  </si>
  <si>
    <t>-536.006765167048 79.3637174521273 -844.120430257276</t>
  </si>
  <si>
    <t>-485.576784764157 72.3571975565536 -932.385504310065</t>
  </si>
  <si>
    <t>-540.199342412574 117.173803041549 -780.044421465252</t>
  </si>
  <si>
    <t>-530.24146095804 262.94849212829 -763.421811403697</t>
  </si>
  <si>
    <t>-443.223081177072 293.372807099619 -460.621001212629</t>
  </si>
  <si>
    <t>-254.507437152898 203.478699686147 -305.871167860916</t>
  </si>
  <si>
    <t>-551.644198724235 54.7875124228027 -775.531770993517</t>
  </si>
  <si>
    <t>-356.14660584401 13.101035355714 -478.837806400539</t>
  </si>
  <si>
    <t>-486.663457062333 223.035292421364 -254.118452577619</t>
  </si>
  <si>
    <t>-473.030516690595 207.948868755098 201.122429961239</t>
  </si>
  <si>
    <t>-490.830037167193 167.812703950202 669.003623960133</t>
  </si>
  <si>
    <t>-339.778730289343 155.402012996059 758.295170827157</t>
  </si>
  <si>
    <t>-529.937607423004 32.3819409978331 -230.013378764699</t>
  </si>
  <si>
    <t>-433.374742858553 -13.8736390271249 212.924184681961</t>
  </si>
  <si>
    <t>-592.033593255718 -99.353854409651 646.94839920287</t>
  </si>
  <si>
    <t>-444.281522541785 -146.760268621171 729.806565400522</t>
  </si>
  <si>
    <t>9763-20170724T164407.819328200.bin</t>
  </si>
  <si>
    <t>-508.467577075241 127.590237831294 -242.116110685028</t>
  </si>
  <si>
    <t>-549.026074500313 122.448424271197 -356.117773817239</t>
  </si>
  <si>
    <t>-563.797333781623 113.643540535664 -476.096291832163</t>
  </si>
  <si>
    <t>-566.3206979353 104.460458862391 -585.202421571436</t>
  </si>
  <si>
    <t>-558.078534595968 94.2609993209193 -693.935501405598</t>
  </si>
  <si>
    <t>-535.443595552087 79.1973836969254 -843.804570741291</t>
  </si>
  <si>
    <t>-485.162978714546 71.965999233711 -932.136765619002</t>
  </si>
  <si>
    <t>-539.56825145958 117.025418303712 -779.734794536717</t>
  </si>
  <si>
    <t>-528.791952212068 262.749604707822 -763.049623806365</t>
  </si>
  <si>
    <t>-440.95382612777 292.160364100661 -460.385403193785</t>
  </si>
  <si>
    <t>-250.845426211213 203.531788192024 -306.613284300026</t>
  </si>
  <si>
    <t>-551.349460058695 54.6997465145452 -775.249624899905</t>
  </si>
  <si>
    <t>-356.519134785746 12.4223530968854 -478.075622955882</t>
  </si>
  <si>
    <t>-486.600150907449 222.833378747819 -253.82286725539</t>
  </si>
  <si>
    <t>-472.926290102047 207.826858001363 201.419277699593</t>
  </si>
  <si>
    <t>-491.018267809905 167.59689029069 669.244826637127</t>
  </si>
  <si>
    <t>-339.785737894123 155.305531131465 758.245687488237</t>
  </si>
  <si>
    <t>-530.16947053465 32.3202931658561 -229.790687992156</t>
  </si>
  <si>
    <t>-433.509919228773 -13.7708625613934 213.142965183319</t>
  </si>
  <si>
    <t>-592.137986325677 -98.8652445047102 647.138250931644</t>
  </si>
  <si>
    <t>-444.461889951615 -147.087255913393 729.660472322255</t>
  </si>
  <si>
    <t>9763-20170724T164407.892532200.bin</t>
  </si>
  <si>
    <t>-508.494807346742 127.030133328111 -241.723029665494</t>
  </si>
  <si>
    <t>-549.034477436422 122.126396496735 -355.741853501034</t>
  </si>
  <si>
    <t>-563.628433533739 113.3752975208 -475.745962744796</t>
  </si>
  <si>
    <t>-565.926541784602 104.155842743688 -584.854066108372</t>
  </si>
  <si>
    <t>-557.396062521442 93.8308110711392 -693.553102053339</t>
  </si>
  <si>
    <t>-534.297624200922 78.4961101067638 -843.323863447976</t>
  </si>
  <si>
    <t>-484.158715427654 70.8962463134145 -931.705523322859</t>
  </si>
  <si>
    <t>-538.379396609992 116.396430305968 -779.294004697579</t>
  </si>
  <si>
    <t>-526.210818489142 261.981960771321 -762.549633853483</t>
  </si>
  <si>
    <t>-437.961985193477 290.709083410963 -459.939156439438</t>
  </si>
  <si>
    <t>-246.464140216055 204.896975978596 -306.293874538955</t>
  </si>
  <si>
    <t>-550.656513108182 54.166098958376 -774.815826888816</t>
  </si>
  <si>
    <t>-357.354924523173 10.8635567295466 -476.769569962408</t>
  </si>
  <si>
    <t>-486.227478549985 222.181887934358 -253.373901611932</t>
  </si>
  <si>
    <t>-472.592870063013 207.404329041922 201.877037745807</t>
  </si>
  <si>
    <t>-491.334093111183 167.456203405145 669.64404530264</t>
  </si>
  <si>
    <t>-339.899031883177 154.977314573978 758.273679755706</t>
  </si>
  <si>
    <t>-530.57893302027 31.8825318915625 -229.412956633797</t>
  </si>
  <si>
    <t>-433.664128932258 -14.2174104641815 213.464035772948</t>
  </si>
  <si>
    <t>-592.296071729441 -98.5747787898965 647.471811564893</t>
  </si>
  <si>
    <t>-444.224435736422 -146.392901224934 729.518915526741</t>
  </si>
  <si>
    <t>9763-20170724T164407.920610800.bin</t>
  </si>
  <si>
    <t>-508.427221205092 126.977278095752 -241.545105582122</t>
  </si>
  <si>
    <t>-548.915129012925 122.173366784209 -355.58662443624</t>
  </si>
  <si>
    <t>-563.428562772962 113.428040317821 -475.601019119264</t>
  </si>
  <si>
    <t>-565.642410366197 104.174171360358 -584.707805560539</t>
  </si>
  <si>
    <t>-557.016549888292 93.7753554589747 -693.392367393925</t>
  </si>
  <si>
    <t>-533.774613441991 78.2967529012959 -843.126142948312</t>
  </si>
  <si>
    <t>-483.685204335382 70.5525698265274 -931.523443008303</t>
  </si>
  <si>
    <t>-537.834175373093 116.243002308848 -779.122129027513</t>
  </si>
  <si>
    <t>-525.051994173654 261.776729042952 -762.375941743783</t>
  </si>
  <si>
    <t>-436.51864999015 290.620696659722 -459.85975312197</t>
  </si>
  <si>
    <t>-246.138135884536 204.033858784098 -305.26337176054</t>
  </si>
  <si>
    <t>-550.282720961304 54.0481191905766 -774.625019959988</t>
  </si>
  <si>
    <t>-357.516742338487 10.3626703954144 -476.19417527825</t>
  </si>
  <si>
    <t>-486.015915537169 222.104296766908 -253.197227868399</t>
  </si>
  <si>
    <t>-472.471476425357 207.400466016668 202.058788889535</t>
  </si>
  <si>
    <t>-491.561802138556 167.776255245585 669.818587180676</t>
  </si>
  <si>
    <t>-340.133867298503 154.625037450597 758.363114411534</t>
  </si>
  <si>
    <t>-530.665868449563 31.922318579173 -229.270931657687</t>
  </si>
  <si>
    <t>-433.712506172506 -14.151937189726 213.600298748191</t>
  </si>
  <si>
    <t>-592.36445873998 -98.161518128781 647.649171209973</t>
  </si>
  <si>
    <t>-444.558865698404 -147.016911839572 729.564830166237</t>
  </si>
  <si>
    <t>9763-20170724T164407.986785700.bin</t>
  </si>
  <si>
    <t>-508.195314742854 126.598561496509 -241.295813727213</t>
  </si>
  <si>
    <t>-548.691430868779 121.972868329854 -355.341640822747</t>
  </si>
  <si>
    <t>-563.159785702972 113.196653393159 -475.359300242642</t>
  </si>
  <si>
    <t>-565.309485164683 103.829217322661 -584.457736160682</t>
  </si>
  <si>
    <t>-556.595838467484 93.2319500178916 -693.115962412642</t>
  </si>
  <si>
    <t>-533.208008197302 77.3902787974186 -842.789280494065</t>
  </si>
  <si>
    <t>-483.081945628817 69.3978817464268 -931.143436982214</t>
  </si>
  <si>
    <t>-537.215017907924 115.469928092603 -778.861102354667</t>
  </si>
  <si>
    <t>-523.889655266135 260.975403929541 -762.304381313718</t>
  </si>
  <si>
    <t>-434.604786979233 289.720357790618 -459.999705922597</t>
  </si>
  <si>
    <t>-246.302461670021 200.376780238189 -304.429645168334</t>
  </si>
  <si>
    <t>-549.89780971452 53.3295527705338 -774.265869473536</t>
  </si>
  <si>
    <t>-357.90391780954 9.12279411011947 -475.327732549205</t>
  </si>
  <si>
    <t>-485.550319117911 221.554615160476 -252.944719398408</t>
  </si>
  <si>
    <t>-471.950788281617 206.992522658258 202.314098312462</t>
  </si>
  <si>
    <t>-491.646229286926 167.402946101032 670.072164543858</t>
  </si>
  <si>
    <t>-340.165198402271 154.295160516163 758.532356766931</t>
  </si>
  <si>
    <t>-530.6628681492 31.681453189956 -229.002894582442</t>
  </si>
  <si>
    <t>-433.594499963115 -14.6282312982317 213.818504117277</t>
  </si>
  <si>
    <t>-592.516123586719 -98.1972656159191 647.882585113611</t>
  </si>
  <si>
    <t>-444.521574330297 -146.835620666922 729.585862887916</t>
  </si>
  <si>
    <t>9763-20170724T164408.022892600.bin</t>
  </si>
  <si>
    <t>-508.0334957549 126.372741986715 -241.212322328009</t>
  </si>
  <si>
    <t>-548.566947413581 121.788529606975 -355.246555707812</t>
  </si>
  <si>
    <t>-563.021440286609 112.953191192221 -475.261545628231</t>
  </si>
  <si>
    <t>-565.136637713581 103.489864683324 -584.35237063431</t>
  </si>
  <si>
    <t>-556.366679632672 92.7536785013896 -692.992434410551</t>
  </si>
  <si>
    <t>-532.878546809535 76.6741594287838 -842.624597312446</t>
  </si>
  <si>
    <t>-482.702535587311 68.539594594424 -930.937563986791</t>
  </si>
  <si>
    <t>-536.868500623485 114.843848750537 -778.749063136879</t>
  </si>
  <si>
    <t>-523.483234161669 260.360430879138 -762.277300876392</t>
  </si>
  <si>
    <t>-433.660669654849 288.694734226324 -460.09306261814</t>
  </si>
  <si>
    <t>-245.832699588864 199.305489113322 -303.976756176559</t>
  </si>
  <si>
    <t>-549.674195723026 52.7338386873735 -774.084910073011</t>
  </si>
  <si>
    <t>-357.813943014372 8.41629764370734 -474.976164993236</t>
  </si>
  <si>
    <t>-485.265248342696 221.189203959317 -252.837507477462</t>
  </si>
  <si>
    <t>-471.688680671927 206.676558628368 202.423654584866</t>
  </si>
  <si>
    <t>-491.718933949282 167.248951526982 670.194292110901</t>
  </si>
  <si>
    <t>-340.147034539333 154.64189077548 758.571483865792</t>
  </si>
  <si>
    <t>-530.696373719676 31.5383856046843 -228.896820857478</t>
  </si>
  <si>
    <t>-433.531432126569 -14.7312451015846 213.907579776922</t>
  </si>
  <si>
    <t>-592.536243663889 -98.1455385236125 647.935113100095</t>
  </si>
  <si>
    <t>-444.613742665452 -147.05736334062 729.605626645769</t>
  </si>
  <si>
    <t>9763-20170724T164408.084052600.bin</t>
  </si>
  <si>
    <t>-507.768294412003 125.73217582444 -241.115842882345</t>
  </si>
  <si>
    <t>-548.124061221664 121.177823423445 -355.214378013227</t>
  </si>
  <si>
    <t>-562.49575501534 112.193482061945 -475.228134923415</t>
  </si>
  <si>
    <t>-564.577412080013 102.517117282052 -584.301002526589</t>
  </si>
  <si>
    <t>-555.815407780795 91.4872820198078 -692.912360234472</t>
  </si>
  <si>
    <t>-532.380918873958 74.913034837034 -842.498804179084</t>
  </si>
  <si>
    <t>-482.139149651231 66.4678443097704 -930.745272781892</t>
  </si>
  <si>
    <t>-536.255956549554 113.275922984195 -778.73206823691</t>
  </si>
  <si>
    <t>-522.591148754041 258.808255187654 -762.660460596848</t>
  </si>
  <si>
    <t>-432.509093889814 287.955546011294 -460.630860805162</t>
  </si>
  <si>
    <t>-245.299993457824 196.982900290706 -304.686175062497</t>
  </si>
  <si>
    <t>-549.243981898705 51.2173352121593 -773.89076836201</t>
  </si>
  <si>
    <t>-357.369645594165 7.12185979400141 -474.739552770851</t>
  </si>
  <si>
    <t>-484.835178100989 220.54453465672 -252.710584260565</t>
  </si>
  <si>
    <t>-471.461890663049 206.070348651679 202.557902760935</t>
  </si>
  <si>
    <t>-491.792339653987 166.760455208642 670.354300121234</t>
  </si>
  <si>
    <t>-340.121520447138 154.279268873294 758.579599376305</t>
  </si>
  <si>
    <t>-530.520982649089 30.9339288751072 -228.947145743127</t>
  </si>
  <si>
    <t>-433.785926755035 -15.0371978630934 213.982527297558</t>
  </si>
  <si>
    <t>-592.554604337972 -98.2881613827924 648.106777320375</t>
  </si>
  <si>
    <t>-444.304888871833 -146.294007252165 729.721522356691</t>
  </si>
  <si>
    <t>9763-20170724T164408.124795800.bin</t>
  </si>
  <si>
    <t>-507.623996443529 125.625753392766 -241.080105392496</t>
  </si>
  <si>
    <t>-547.959405832204 121.088167976495 -355.18642005437</t>
  </si>
  <si>
    <t>-562.320779639022 112.036543134357 -475.196451409103</t>
  </si>
  <si>
    <t>-564.397212204224 102.264144200723 -584.260803743422</t>
  </si>
  <si>
    <t>-555.633993567183 91.1025302318031 -692.858601475826</t>
  </si>
  <si>
    <t>-532.201988044419 74.307731071009 -842.420880767191</t>
  </si>
  <si>
    <t>-481.948151887916 65.7049877562961 -930.645231090141</t>
  </si>
  <si>
    <t>-536.055223965576 112.76055669792 -778.706952117487</t>
  </si>
  <si>
    <t>-522.313871711864 258.296991772052 -762.806240565327</t>
  </si>
  <si>
    <t>-433.022902691146 288.129104334602 -460.608591312632</t>
  </si>
  <si>
    <t>-246.159210550822 197.22258380076 -304.211643339151</t>
  </si>
  <si>
    <t>-549.084569119706 50.717241888667 -773.781375903671</t>
  </si>
  <si>
    <t>-357.240042272679 6.66842384086461 -474.646019075028</t>
  </si>
  <si>
    <t>-484.671435813531 220.391396064903 -252.676279566848</t>
  </si>
  <si>
    <t>-471.347877522971 205.930929537631 202.59397673507</t>
  </si>
  <si>
    <t>-491.843052038349 166.826391713057 670.388092846095</t>
  </si>
  <si>
    <t>-340.115513265728 154.731827018435 758.569728474865</t>
  </si>
  <si>
    <t>-530.472482470856 30.9408933737731 -228.889202801035</t>
  </si>
  <si>
    <t>-433.889726086948 -15.1676979842812 214.059288812816</t>
  </si>
  <si>
    <t>-592.561464737322 -98.3377917700959 648.207302274227</t>
  </si>
  <si>
    <t>-444.304161351285 -146.333054734812 729.814483128482</t>
  </si>
  <si>
    <t>9763-20170724T164408.185956800.bin</t>
  </si>
  <si>
    <t>-507.417366962147 125.686446535873 -241.096932239277</t>
  </si>
  <si>
    <t>-547.787485124933 121.191901231869 -355.19276048672</t>
  </si>
  <si>
    <t>-562.108480988071 112.009785309172 -475.197596099281</t>
  </si>
  <si>
    <t>-564.114986407299 102.056921016381 -584.247035101007</t>
  </si>
  <si>
    <t>-555.248132473697 90.6577506922037 -692.811620818459</t>
  </si>
  <si>
    <t>-531.637583639491 73.4785060035452 -842.302210062022</t>
  </si>
  <si>
    <t>-481.363228349298 64.5987922426475 -930.487404820681</t>
  </si>
  <si>
    <t>-535.594191325149 112.10030993094 -778.697046986577</t>
  </si>
  <si>
    <t>-521.960091668469 257.675619381879 -762.997945851061</t>
  </si>
  <si>
    <t>-434.407530364851 288.223336852407 -460.363476305746</t>
  </si>
  <si>
    <t>-248.077964550574 196.959114442936 -303.538255960266</t>
  </si>
  <si>
    <t>-548.574837117482 50.05920773857 -773.617445486374</t>
  </si>
  <si>
    <t>-356.801930788944 6.38478454648453 -474.420060052352</t>
  </si>
  <si>
    <t>-484.404559722962 220.431164018842 -252.697449825517</t>
  </si>
  <si>
    <t>-471.105115518656 205.844308283618 202.56958692393</t>
  </si>
  <si>
    <t>-491.783206637143 166.725113484604 670.339700933054</t>
  </si>
  <si>
    <t>-340.151045272089 154.095744235984 758.610267243304</t>
  </si>
  <si>
    <t>-530.300424325758 30.9208648540987 -228.896069991457</t>
  </si>
  <si>
    <t>-434.055289626094 -14.9504078374139 214.15061117304</t>
  </si>
  <si>
    <t>-592.581779989233 -98.1875005713289 648.396320345746</t>
  </si>
  <si>
    <t>-444.372940073791 -146.392047385747 729.968162668892</t>
  </si>
  <si>
    <t>9763-20170724T164408.220588400.bin</t>
  </si>
  <si>
    <t>-507.335376378109 125.755671396615 -241.088108288153</t>
  </si>
  <si>
    <t>-547.647295974593 121.226417972667 -355.20314455691</t>
  </si>
  <si>
    <t>-561.891089127246 111.983265363865 -475.212608855808</t>
  </si>
  <si>
    <t>-563.820387613104 101.968848032436 -584.257744861524</t>
  </si>
  <si>
    <t>-554.869207190994 90.5043344432124 -692.808531518521</t>
  </si>
  <si>
    <t>-531.134698078765 73.2330287460904 -842.268826821998</t>
  </si>
  <si>
    <t>-480.846602109311 64.2458780180704 -930.435262303049</t>
  </si>
  <si>
    <t>-535.167914787702 111.898668858859 -778.695168069472</t>
  </si>
  <si>
    <t>-521.722544575179 257.494627062357 -763.082956202978</t>
  </si>
  <si>
    <t>-435.275276382066 288.477778993113 -460.175277306775</t>
  </si>
  <si>
    <t>-248.960766582449 198.167101121566 -302.780963458682</t>
  </si>
  <si>
    <t>-548.10507796963 49.8514202208317 -773.579548476511</t>
  </si>
  <si>
    <t>-356.424360065491 6.39584660328161 -474.306332771967</t>
  </si>
  <si>
    <t>-484.285903442956 220.445556000979 -252.736891121512</t>
  </si>
  <si>
    <t>-471.047768396459 205.827528725103 202.530849627072</t>
  </si>
  <si>
    <t>-491.746810286931 166.803285702371 670.285861435058</t>
  </si>
  <si>
    <t>-340.127294324575 154.407266507042 758.611278511309</t>
  </si>
  <si>
    <t>-530.223156331459 31.0836606945903 -228.82625872679</t>
  </si>
  <si>
    <t>-434.092829112029 -15.004579293495 214.222766419902</t>
  </si>
  <si>
    <t>-592.613182247714 -98.3644190061996 648.473686017744</t>
  </si>
  <si>
    <t>-444.394121939479 -146.580832227009 730.020005219361</t>
  </si>
  <si>
    <t>9763-20170724T164408.285761900.bin</t>
  </si>
  <si>
    <t>-507.20852444647 125.754068155592 -241.127567663002</t>
  </si>
  <si>
    <t>-547.532254711855 121.179033943278 -355.236675105955</t>
  </si>
  <si>
    <t>-561.748981540379 111.787980920254 -475.237732079442</t>
  </si>
  <si>
    <t>-563.636255078945 101.605314621618 -584.26801109662</t>
  </si>
  <si>
    <t>-554.625207599329 89.9427653537534 -692.792718567831</t>
  </si>
  <si>
    <t>-530.789191218756 72.3691396428202 -842.201652017541</t>
  </si>
  <si>
    <t>-480.585742153634 63.1405413237176 -930.391491283576</t>
  </si>
  <si>
    <t>-534.906617435003 111.171204010513 -778.716595989899</t>
  </si>
  <si>
    <t>-522.051386714516 256.866709618612 -763.435753654411</t>
  </si>
  <si>
    <t>-438.008709622551 289.191158573877 -459.991859385057</t>
  </si>
  <si>
    <t>-251.940299002923 199.57491193777 -301.911176750371</t>
  </si>
  <si>
    <t>-547.765205435955 49.1186486767725 -773.469315366683</t>
  </si>
  <si>
    <t>-356.10098561565 6.30514504320438 -473.812031676705</t>
  </si>
  <si>
    <t>-484.128722144832 220.424690398299 -252.78537054282</t>
  </si>
  <si>
    <t>-471.063330220706 205.702195763231 202.48411441239</t>
  </si>
  <si>
    <t>-491.634238950795 166.515011759019 670.267850884953</t>
  </si>
  <si>
    <t>-340.017784286393 154.16869118924 758.605492787342</t>
  </si>
  <si>
    <t>-530.138383100877 31.0175062610131 -228.795411202526</t>
  </si>
  <si>
    <t>-434.114013812654 -14.7831312995154 214.306559790856</t>
  </si>
  <si>
    <t>-592.626277397477 -98.3313456820509 648.568408416226</t>
  </si>
  <si>
    <t>-444.358724151034 -146.440171169985 730.090010083271</t>
  </si>
  <si>
    <t>9763-20170724T164408.321971500.bin</t>
  </si>
  <si>
    <t>-507.206920821708 126.020110166381 -241.150979369948</t>
  </si>
  <si>
    <t>-547.462088411815 121.391362834093 -355.282064285129</t>
  </si>
  <si>
    <t>-561.633471661807 111.910565491275 -475.281293007212</t>
  </si>
  <si>
    <t>-563.489779844505 101.634185108684 -584.303401937082</t>
  </si>
  <si>
    <t>-554.458318520483 89.8659602999262 -692.815124460067</t>
  </si>
  <si>
    <t>-530.604441321769 72.1343321350825 -842.202497648726</t>
  </si>
  <si>
    <t>-480.499533486167 62.8262572295933 -930.43985788299</t>
  </si>
  <si>
    <t>-534.756726766515 111.008801718484 -778.763931240051</t>
  </si>
  <si>
    <t>-522.181115078256 256.744275551495 -763.683956903842</t>
  </si>
  <si>
    <t>-439.702954112882 289.665139558753 -459.875196850175</t>
  </si>
  <si>
    <t>-253.689830828364 200.410079974469 -301.525148111352</t>
  </si>
  <si>
    <t>-547.561293561668 48.9513268807565 -773.442543656007</t>
  </si>
  <si>
    <t>-355.851083578735 6.54209904572373 -473.600513299141</t>
  </si>
  <si>
    <t>-484.154985046255 220.750413164827 -252.846041992024</t>
  </si>
  <si>
    <t>-471.163808227585 205.984958382338 202.424030445906</t>
  </si>
  <si>
    <t>-491.631301589683 166.890231164033 670.163691733959</t>
  </si>
  <si>
    <t>-340.154124437972 153.681759594799 758.615356188466</t>
  </si>
  <si>
    <t>-530.069418480446 31.329809258659 -228.796709049557</t>
  </si>
  <si>
    <t>-434.115539311711 -14.5099293876296 214.316438090661</t>
  </si>
  <si>
    <t>-592.626302832535 -98.1418389699864 648.585286912058</t>
  </si>
  <si>
    <t>-444.508996429149 -146.712082691061 730.1064463592</t>
  </si>
  <si>
    <t>9763-20170724T164408.391148200.bin</t>
  </si>
  <si>
    <t>-506.981011368649 125.993665404326 -241.203923384601</t>
  </si>
  <si>
    <t>-547.208175911114 121.294452019444 -355.341841795727</t>
  </si>
  <si>
    <t>-561.341296239768 111.664770976165 -475.33400787434</t>
  </si>
  <si>
    <t>-563.158130519833 101.227480806954 -584.341349841439</t>
  </si>
  <si>
    <t>-554.082251518927 89.2753425061275 -692.829241715896</t>
  </si>
  <si>
    <t>-530.16166567485 71.2673861767393 -842.172857756684</t>
  </si>
  <si>
    <t>-480.33446149636 61.8168414938653 -930.552328588348</t>
  </si>
  <si>
    <t>-534.413207187477 110.272537615727 -778.821128493708</t>
  </si>
  <si>
    <t>-522.255342929565 256.066382042934 -764.024637835801</t>
  </si>
  <si>
    <t>-442.439755468989 290.123970793738 -459.630465629958</t>
  </si>
  <si>
    <t>-257.037817500005 200.094336807003 -301.002509137373</t>
  </si>
  <si>
    <t>-547.078342253361 48.198246173668 -773.364671585939</t>
  </si>
  <si>
    <t>-355.221712890597 6.61481124400555 -473.242708376638</t>
  </si>
  <si>
    <t>-484.008582042159 220.691419222229 -252.928768713386</t>
  </si>
  <si>
    <t>-471.122521735792 205.89104993024 202.343202201291</t>
  </si>
  <si>
    <t>-491.464627034238 166.594095830841 670.116339109938</t>
  </si>
  <si>
    <t>-339.894223323146 154.38436563247 758.551946909307</t>
  </si>
  <si>
    <t>-529.793952703044 31.2599105172341 -228.797358345105</t>
  </si>
  <si>
    <t>-434.028747746238 -14.6485180983067 214.349411003857</t>
  </si>
  <si>
    <t>-592.674718498418 -98.6281451300372 648.585975641985</t>
  </si>
  <si>
    <t>-444.099707565632 -145.916398816489 730.028013543521</t>
  </si>
  <si>
    <t>9763-20170724T164408.425275200.bin</t>
  </si>
  <si>
    <t>-506.938530724935 126.323101474066 -241.135131901917</t>
  </si>
  <si>
    <t>-547.125033132301 121.56456175496 -355.285118796861</t>
  </si>
  <si>
    <t>-561.240572960693 111.871884010266 -475.274162032408</t>
  </si>
  <si>
    <t>-563.051596720589 101.377713388089 -584.27616429674</t>
  </si>
  <si>
    <t>-553.979797513139 89.3695889969274 -692.758270528565</t>
  </si>
  <si>
    <t>-530.075157223285 71.2851361865678 -842.095185603749</t>
  </si>
  <si>
    <t>-480.441265602897 61.7554808707064 -930.574833763061</t>
  </si>
  <si>
    <t>-534.353968146959 110.329085367735 -778.769230842979</t>
  </si>
  <si>
    <t>-522.403668066983 256.147253141652 -764.062726461534</t>
  </si>
  <si>
    <t>-443.60800273052 290.461809515504 -459.431847368719</t>
  </si>
  <si>
    <t>-258.338476784552 200.393429645243 -300.671249794088</t>
  </si>
  <si>
    <t>-546.95047503347 48.2448265996715 -773.267277997485</t>
  </si>
  <si>
    <t>-354.990823896531 7.08747137067745 -472.968469199497</t>
  </si>
  <si>
    <t>-484.059900728859 220.936035660817 -252.864525689183</t>
  </si>
  <si>
    <t>-471.228876148749 206.075164349966 202.406996591416</t>
  </si>
  <si>
    <t>-491.486630278369 166.373184261637 670.22353707869</t>
  </si>
  <si>
    <t>-339.817157042717 154.330759717751 758.512093732303</t>
  </si>
  <si>
    <t>-529.660853669064 31.7298915238719 -228.738646468559</t>
  </si>
  <si>
    <t>-433.933004001244 -14.2682181444681 214.406974595084</t>
  </si>
  <si>
    <t>-592.64890780922 -98.2154426169127 648.568462081738</t>
  </si>
  <si>
    <t>-444.412111130961 -146.490414786548 730.047891267218</t>
  </si>
  <si>
    <t>9763-20170724T164408.489444100.bin</t>
  </si>
  <si>
    <t>-506.861964442752 127.100517656686 -240.826896632495</t>
  </si>
  <si>
    <t>-547.015913931997 122.216657925463 -354.983025625608</t>
  </si>
  <si>
    <t>-561.132281009221 112.418010437527 -474.963466123034</t>
  </si>
  <si>
    <t>-562.958301531548 101.837333755024 -583.95684568276</t>
  </si>
  <si>
    <t>-553.915911301055 89.7518969839457 -692.432738035002</t>
  </si>
  <si>
    <t>-530.066724262118 71.5701138489241 -841.766683380968</t>
  </si>
  <si>
    <t>-480.828224684051 61.8994788685202 -930.451688009334</t>
  </si>
  <si>
    <t>-534.377191061335 110.66553451561 -778.474601017827</t>
  </si>
  <si>
    <t>-522.822701390542 256.538391793896 -763.928365289887</t>
  </si>
  <si>
    <t>-445.89887843109 290.941827982884 -458.829462957993</t>
  </si>
  <si>
    <t>-260.676295664338 200.769610477251 -300.07299848539</t>
  </si>
  <si>
    <t>-546.861365914965 48.5644305641209 -772.907374111398</t>
  </si>
  <si>
    <t>-354.874109359074 8.12667022528389 -472.550000502616</t>
  </si>
  <si>
    <t>-484.189629161793 221.693783922968 -252.507915507874</t>
  </si>
  <si>
    <t>-471.648523734559 206.779886300295 202.770022328205</t>
  </si>
  <si>
    <t>-491.949601874975 166.779423662954 670.622999132171</t>
  </si>
  <si>
    <t>-340.000095037635 154.287685603363 758.365860402585</t>
  </si>
  <si>
    <t>-529.37942204381 32.5736577667306 -228.441083261274</t>
  </si>
  <si>
    <t>-433.681400164619 -13.4745254146018 214.705702833716</t>
  </si>
  <si>
    <t>-592.580995583318 -97.762402881972 648.622183180366</t>
  </si>
  <si>
    <t>-444.60571521573 -146.712877052287 730.173944635931</t>
  </si>
  <si>
    <t>9763-20170724T164408.519541000.bin</t>
  </si>
  <si>
    <t>-506.782406826904 127.255782244811 -240.623559692834</t>
  </si>
  <si>
    <t>-546.915723733365 122.307452415279 -354.784211753194</t>
  </si>
  <si>
    <t>-561.046916100118 112.462909104484 -474.758981821731</t>
  </si>
  <si>
    <t>-562.90155928655 101.847776847613 -583.748565199509</t>
  </si>
  <si>
    <t>-553.902843392671 89.7347137524401 -692.225067209325</t>
  </si>
  <si>
    <t>-530.129545582511 71.5207430381145 -841.567304418992</t>
  </si>
  <si>
    <t>-481.098761262253 61.7770532197557 -930.359217451517</t>
  </si>
  <si>
    <t>-534.424563957054 110.63291526421 -778.284356942266</t>
  </si>
  <si>
    <t>-523.027307875888 256.523972735456 -763.808457164938</t>
  </si>
  <si>
    <t>-447.048268351228 290.901254033055 -458.469905825686</t>
  </si>
  <si>
    <t>-261.797878818499 200.633189497237 -299.800410130865</t>
  </si>
  <si>
    <t>-546.872447715523 48.5268119339922 -772.691518416975</t>
  </si>
  <si>
    <t>-354.746565286119 8.26590543213872 -472.391689871039</t>
  </si>
  <si>
    <t>-484.182251957644 221.802578485508 -252.310452100292</t>
  </si>
  <si>
    <t>-471.786238658852 206.844811971665 202.969961115998</t>
  </si>
  <si>
    <t>-492.081947266584 166.722683159113 670.799802756585</t>
  </si>
  <si>
    <t>-339.904162040444 155.046901793863 758.259056309268</t>
  </si>
  <si>
    <t>-529.254165510878 32.676404430559 -228.242031964313</t>
  </si>
  <si>
    <t>-433.595013595586 -13.4997120165334 214.89982752756</t>
  </si>
  <si>
    <t>-592.584206740708 -98.1825089587355 648.70318708479</t>
  </si>
  <si>
    <t>-444.285776941305 -146.159778106158 730.246251765462</t>
  </si>
  <si>
    <t>9763-20170724T164408.588722300.bin</t>
  </si>
  <si>
    <t>-506.610742719807 127.83378888529 -240.237782669414</t>
  </si>
  <si>
    <t>-546.711040405186 122.852355443179 -354.408554863698</t>
  </si>
  <si>
    <t>-560.880317650939 112.974155349888 -474.376163088346</t>
  </si>
  <si>
    <t>-562.798785498281 102.329623144401 -583.361698926253</t>
  </si>
  <si>
    <t>-553.892556591278 90.1884967917533 -691.842714625467</t>
  </si>
  <si>
    <t>-530.276544940462 71.9375775607642 -841.205311545909</t>
  </si>
  <si>
    <t>-481.644582265906 62.0709836533031 -930.20278029216</t>
  </si>
  <si>
    <t>-534.537783288154 111.07144041485 -777.93360407352</t>
  </si>
  <si>
    <t>-523.347074228989 256.988947309997 -763.566227371837</t>
  </si>
  <si>
    <t>-449.274962548459 291.415813179034 -457.765164949756</t>
  </si>
  <si>
    <t>-264.201580365246 200.558816565063 -299.225267692528</t>
  </si>
  <si>
    <t>-546.9140231104 48.9546453969218 -772.300244551613</t>
  </si>
  <si>
    <t>-354.444560728275 8.93001360474841 -472.242758497792</t>
  </si>
  <si>
    <t>-484.160752219307 222.582222228445 -251.908466817489</t>
  </si>
  <si>
    <t>-471.921936239513 207.426034140646 203.369698511709</t>
  </si>
  <si>
    <t>-492.546983451908 167.314778431501 671.190317278822</t>
  </si>
  <si>
    <t>-340.177467537355 154.468875011176 758.150171632066</t>
  </si>
  <si>
    <t>-528.935508037973 33.1164200539876 -227.930048381458</t>
  </si>
  <si>
    <t>-433.642998884102 -13.0745379025522 215.289374301944</t>
  </si>
  <si>
    <t>-592.550307531657 -98.095006930916 648.967091912117</t>
  </si>
  <si>
    <t>-444.211987618113 -145.91803412055 730.528162130982</t>
  </si>
  <si>
    <t>9763-20170724T164408.622828500.bin</t>
  </si>
  <si>
    <t>-506.507773520849 128.029841652033 -240.011578923808</t>
  </si>
  <si>
    <t>-546.572712798742 123.055441096506 -354.194998983381</t>
  </si>
  <si>
    <t>-560.745297406699 113.164036243926 -474.16119183402</t>
  </si>
  <si>
    <t>-562.682562914411 102.500943513394 -583.144640282451</t>
  </si>
  <si>
    <t>-553.810722505851 90.3355595296116 -691.625694897395</t>
  </si>
  <si>
    <t>-530.257972479022 72.0456390148298 -840.993559692495</t>
  </si>
  <si>
    <t>-481.800753268546 62.1066889546308 -930.078335218524</t>
  </si>
  <si>
    <t>-534.505302160537 111.1984098095 -777.73269648179</t>
  </si>
  <si>
    <t>-523.375579311637 257.127636191609 -763.422121825591</t>
  </si>
  <si>
    <t>-450.139226177918 291.513397516715 -457.415155969368</t>
  </si>
  <si>
    <t>-265.184414329955 200.384526206697 -298.892946719688</t>
  </si>
  <si>
    <t>-546.853314627722 49.0783948636312 -772.073242651959</t>
  </si>
  <si>
    <t>-354.177277481414 9.07788027563819 -472.138047332462</t>
  </si>
  <si>
    <t>-484.052596729125 222.66087108492 -251.673346966195</t>
  </si>
  <si>
    <t>-471.884396141257 207.398857416207 203.603088221378</t>
  </si>
  <si>
    <t>-492.648286439743 166.971742825736 671.421806127441</t>
  </si>
  <si>
    <t>-340.019543638618 155.172596646137 758.074964719943</t>
  </si>
  <si>
    <t>-528.798784109445 33.3960744881817 -227.733456141225</t>
  </si>
  <si>
    <t>-433.639272837973 -12.9242380119699 215.500980335965</t>
  </si>
  <si>
    <t>-592.539706825574 -97.982937333974 649.144722110438</t>
  </si>
  <si>
    <t>-444.34525056957 -146.200822622841 730.734925652189</t>
  </si>
  <si>
    <t>9763-20170724T164408.688007300.bin</t>
  </si>
  <si>
    <t>-506.334386894974 128.412446307979 -239.606613428617</t>
  </si>
  <si>
    <t>-546.422114200199 123.474540743678 -353.78359144928</t>
  </si>
  <si>
    <t>-560.701610540368 113.581304829724 -473.736840251855</t>
  </si>
  <si>
    <t>-562.768687852005 102.90342390469 -582.716491372107</t>
  </si>
  <si>
    <t>-554.058207107978 90.7118378956822 -691.20776248767</t>
  </si>
  <si>
    <t>-530.760641384097 72.3749929930484 -840.60979456248</t>
  </si>
  <si>
    <t>-482.652085279544 62.272283470209 -929.865082016562</t>
  </si>
  <si>
    <t>-534.901488401774 111.547833400405 -777.354363875069</t>
  </si>
  <si>
    <t>-523.782150423588 257.482945199667 -763.151944709744</t>
  </si>
  <si>
    <t>-452.018074885481 291.79550072526 -456.788126530372</t>
  </si>
  <si>
    <t>-267.43711315701 199.929022266433 -298.255984753742</t>
  </si>
  <si>
    <t>-547.236765214683 49.4290471414157 -771.653721280322</t>
  </si>
  <si>
    <t>-354.231968231281 9.53475258246691 -471.888021143746</t>
  </si>
  <si>
    <t>-483.854585374121 223.041854431872 -251.265109271518</t>
  </si>
  <si>
    <t>-471.885675062723 207.624327042077 204.01145628442</t>
  </si>
  <si>
    <t>-492.918168773406 167.088086438069 671.744616392801</t>
  </si>
  <si>
    <t>-340.048969811335 155.448052928382 757.99444585154</t>
  </si>
  <si>
    <t>-528.699242684076 33.8125473178406 -227.287272594207</t>
  </si>
  <si>
    <t>-433.596790269065 -12.7654989036735 215.932479451679</t>
  </si>
  <si>
    <t>-592.524282272909 -97.9040287601231 649.484822230347</t>
  </si>
  <si>
    <t>-444.326246004433 -146.053253093572 731.109004500959</t>
  </si>
  <si>
    <t>9763-20170724T164408.723109600.bin</t>
  </si>
  <si>
    <t>-506.295994833295 128.732530842565 -239.448258543116</t>
  </si>
  <si>
    <t>-546.345072442605 123.811091192871 -353.639451527457</t>
  </si>
  <si>
    <t>-560.620874551191 113.914100622941 -473.592982118521</t>
  </si>
  <si>
    <t>-562.699134640768 103.225323159812 -582.571365570468</t>
  </si>
  <si>
    <t>-554.014207576311 91.0155998779845 -691.062522817883</t>
  </si>
  <si>
    <t>-530.766647999798 72.6464113879345 -840.46837139591</t>
  </si>
  <si>
    <t>-482.767123425525 62.4620392629612 -929.772959156508</t>
  </si>
  <si>
    <t>-534.878285109953 111.831512838431 -777.218537034737</t>
  </si>
  <si>
    <t>-523.682826307186 257.768567296562 -763.064765260032</t>
  </si>
  <si>
    <t>-452.569035972866 292.038660144489 -456.54462133887</t>
  </si>
  <si>
    <t>-268.254549823303 199.795699486221 -297.921035332155</t>
  </si>
  <si>
    <t>-547.22762294867 49.7169060733322 -771.50320994797</t>
  </si>
  <si>
    <t>-354.058620449659 9.84183112374198 -471.810916389561</t>
  </si>
  <si>
    <t>-483.784372831906 223.466217376728 -251.132404547119</t>
  </si>
  <si>
    <t>-471.931893152786 207.97223074169 204.144597770373</t>
  </si>
  <si>
    <t>-493.045074410742 167.414752390709 671.833468018871</t>
  </si>
  <si>
    <t>-340.222557501641 154.714899103534 758.016444893966</t>
  </si>
  <si>
    <t>-528.634247141162 34.0502502852786 -227.152150235111</t>
  </si>
  <si>
    <t>-433.666119703429 -12.6188362138667 216.086736068307</t>
  </si>
  <si>
    <t>-592.528381298074 -97.8938622635046 649.656962162648</t>
  </si>
  <si>
    <t>-444.320448892808 -146.000541789529 731.288285979105</t>
  </si>
  <si>
    <t>9763-20170724T164408.789275000.bin</t>
  </si>
  <si>
    <t>-506.045222009375 129.116944277806 -239.267983344985</t>
  </si>
  <si>
    <t>-546.08858726488 124.252350373422 -353.463818192147</t>
  </si>
  <si>
    <t>-560.405557411699 114.371642571151 -473.413619782707</t>
  </si>
  <si>
    <t>-562.540085659723 103.680498841782 -582.390590225757</t>
  </si>
  <si>
    <t>-553.929673147828 91.4513811678616 -690.885634616189</t>
  </si>
  <si>
    <t>-530.80359267669 73.0373042774742 -840.304836305636</t>
  </si>
  <si>
    <t>-482.970994728379 62.6802365012402 -929.679159651169</t>
  </si>
  <si>
    <t>-534.831749902508 112.235491310799 -777.057749661829</t>
  </si>
  <si>
    <t>-523.480257843679 258.171301030012 -762.929070855575</t>
  </si>
  <si>
    <t>-453.366637402132 292.742400670517 -456.212472397705</t>
  </si>
  <si>
    <t>-269.446233168047 199.83536862068 -297.519073686694</t>
  </si>
  <si>
    <t>-547.240606079319 50.1343679868415 -771.325155010176</t>
  </si>
  <si>
    <t>-353.840232171056 10.0904577974699 -471.714409537505</t>
  </si>
  <si>
    <t>-483.426843097791 223.72370734288 -250.977686174562</t>
  </si>
  <si>
    <t>-471.656794281586 208.102746119906 204.296987892577</t>
  </si>
  <si>
    <t>-493.022787606038 167.324023919947 671.937017048385</t>
  </si>
  <si>
    <t>-340.141497815632 154.882115546445 758.053338018095</t>
  </si>
  <si>
    <t>-528.486335090118 34.4638534856806 -226.955125851666</t>
  </si>
  <si>
    <t>-433.775008592075 -12.3346223964319 216.325032599734</t>
  </si>
  <si>
    <t>-592.536836988881 -97.7530865015401 649.931569298088</t>
  </si>
  <si>
    <t>-444.538726363172 -146.453131640274 731.591720315154</t>
  </si>
  <si>
    <t>9763-20170724T164408.819921700.bin</t>
  </si>
  <si>
    <t>-505.902267560062 129.192024595833 -239.210483023761</t>
  </si>
  <si>
    <t>-545.924265784169 124.351952694994 -353.414810721958</t>
  </si>
  <si>
    <t>-560.246821827004 114.458533114125 -473.362884993319</t>
  </si>
  <si>
    <t>-562.397419567939 103.740196149191 -582.336919545363</t>
  </si>
  <si>
    <t>-553.81384237968 91.4679786626545 -690.829240994618</t>
  </si>
  <si>
    <t>-530.736021693379 72.9772048895522 -840.246472382536</t>
  </si>
  <si>
    <t>-482.964055324426 62.5311936953938 -929.64277475454</t>
  </si>
  <si>
    <t>-534.720977141592 112.203706718792 -777.014171201914</t>
  </si>
  <si>
    <t>-523.292001572642 258.138750548089 -762.973585794576</t>
  </si>
  <si>
    <t>-453.595894740332 292.993186802427 -456.193845002066</t>
  </si>
  <si>
    <t>-269.920131730254 199.628223637193 -297.485728239127</t>
  </si>
  <si>
    <t>-547.173563637023 50.1138868324953 -771.253811134905</t>
  </si>
  <si>
    <t>-353.715301727366 9.93012781554069 -471.674052401196</t>
  </si>
  <si>
    <t>-483.218714650353 223.773785375865 -250.917515402284</t>
  </si>
  <si>
    <t>-471.548645978751 208.089979366069 204.357787877065</t>
  </si>
  <si>
    <t>-492.997048077711 167.173291601765 671.993816698779</t>
  </si>
  <si>
    <t>-340.075044013892 154.893514464914 758.061035265617</t>
  </si>
  <si>
    <t>-528.40097319238 34.5888467524957 -226.883880386294</t>
  </si>
  <si>
    <t>-433.786637111359 -12.3383903721057 216.403482493019</t>
  </si>
  <si>
    <t>-592.537159129771 -97.6280542860161 650.038582921193</t>
  </si>
  <si>
    <t>-444.450486731805 -146.066140876192 731.693986540605</t>
  </si>
  <si>
    <t>9763-20170724T164408.888103000.bin</t>
  </si>
  <si>
    <t>-505.60163703579 129.382266497342 -239.03710649563</t>
  </si>
  <si>
    <t>-545.559228470363 124.547588505006 -353.26422065743</t>
  </si>
  <si>
    <t>-559.939037392787 114.62451100203 -473.202972573392</t>
  </si>
  <si>
    <t>-562.192374640062 103.860839561463 -582.170477720508</t>
  </si>
  <si>
    <t>-553.761816404667 91.5222359045053 -690.667316704371</t>
  </si>
  <si>
    <t>-530.947518119031 72.9150532032045 -840.110496508175</t>
  </si>
  <si>
    <t>-483.305154917537 62.3228739565321 -929.558692888717</t>
  </si>
  <si>
    <t>-534.777881907521 112.182870159518 -776.89425804824</t>
  </si>
  <si>
    <t>-523.162930148077 258.11628863569 -763.015423684481</t>
  </si>
  <si>
    <t>-454.336542044578 293.686643391707 -456.121481733279</t>
  </si>
  <si>
    <t>-271.152882753252 199.330634184114 -297.430745164008</t>
  </si>
  <si>
    <t>-547.306446557903 50.1134428717527 -771.07859214037</t>
  </si>
  <si>
    <t>-353.577478335489 9.70194615440693 -471.667433178733</t>
  </si>
  <si>
    <t>-482.867637286243 224.010563675876 -250.751436189637</t>
  </si>
  <si>
    <t>-471.44635545422 208.188116000187 204.525254015996</t>
  </si>
  <si>
    <t>-493.079174555994 167.219773318509 672.154410095814</t>
  </si>
  <si>
    <t>-340.027327548732 155.339571773709 758.04680251835</t>
  </si>
  <si>
    <t>-528.157437663789 34.7971338386315 -226.69557050337</t>
  </si>
  <si>
    <t>-433.763030215095 -12.4865831869112 216.600787728118</t>
  </si>
  <si>
    <t>-592.576948141545 -97.9432341379601 650.238056274286</t>
  </si>
  <si>
    <t>-444.348155959276 -145.953053310354 731.888565594223</t>
  </si>
  <si>
    <t>9763-20170724T164408.924270200.bin</t>
  </si>
  <si>
    <t>-505.456989195436 129.532078433876 -238.93603831823</t>
  </si>
  <si>
    <t>-545.427997298604 124.700338824672 -353.158662331967</t>
  </si>
  <si>
    <t>-559.860304369264 114.766208896718 -473.090300590925</t>
  </si>
  <si>
    <t>-562.176910541136 103.985369455071 -582.054687131592</t>
  </si>
  <si>
    <t>-553.824967983076 91.6216124278548 -690.554640641012</t>
  </si>
  <si>
    <t>-531.134986156101 72.970437205572 -840.011340644789</t>
  </si>
  <si>
    <t>-483.543575352618 62.3194948665293 -929.479780868059</t>
  </si>
  <si>
    <t>-534.89164307903 112.252966909525 -776.799747392266</t>
  </si>
  <si>
    <t>-523.180293629974 258.181565777457 -762.981466708969</t>
  </si>
  <si>
    <t>-454.796984599286 294.243930787427 -456.045810829781</t>
  </si>
  <si>
    <t>-271.770391882277 199.575847442985 -297.359805996195</t>
  </si>
  <si>
    <t>-547.457504325293 50.1930927981202 -770.962851571784</t>
  </si>
  <si>
    <t>-353.516575279284 9.5861831490616 -471.594526187188</t>
  </si>
  <si>
    <t>-482.703259481132 224.084643173275 -250.65794458306</t>
  </si>
  <si>
    <t>-471.341825287534 208.232945178359 204.619290560768</t>
  </si>
  <si>
    <t>-493.050195169283 166.95726876701 672.234023217155</t>
  </si>
  <si>
    <t>-339.913065916278 155.475739023528 758.028647940147</t>
  </si>
  <si>
    <t>-528.073095373997 35.0038903382426 -226.565744667002</t>
  </si>
  <si>
    <t>-433.632925192098 -12.3513187617679 216.713226784113</t>
  </si>
  <si>
    <t>-592.552418905767 -97.6741129888997 650.29471333891</t>
  </si>
  <si>
    <t>-444.397345556958 -145.859050213167 731.97578437672</t>
  </si>
  <si>
    <t>9763-20170724T164408.986423200.bin</t>
  </si>
  <si>
    <t>-505.143163397501 129.816674344484 -238.764876439963</t>
  </si>
  <si>
    <t>-545.132646648573 124.972939470774 -352.980391906847</t>
  </si>
  <si>
    <t>-559.644414830719 115.01819932748 -472.900686500317</t>
  </si>
  <si>
    <t>-562.057633853808 104.213976581981 -581.860759767006</t>
  </si>
  <si>
    <t>-553.826258762366 91.8215064748 -690.366673523845</t>
  </si>
  <si>
    <t>-531.327593191266 73.1241275069049 -839.84647236133</t>
  </si>
  <si>
    <t>-483.822848582705 62.3655282665425 -929.348109719037</t>
  </si>
  <si>
    <t>-534.978693422598 112.421605679632 -776.637954997055</t>
  </si>
  <si>
    <t>-523.19170120807 258.344048005739 -762.875804693465</t>
  </si>
  <si>
    <t>-455.91645694836 294.610578275167 -455.719599417289</t>
  </si>
  <si>
    <t>-273.034429805076 199.132459897372 -297.352463962202</t>
  </si>
  <si>
    <t>-547.586348214364 50.3727153584723 -770.774453264003</t>
  </si>
  <si>
    <t>-353.417744356023 9.61655514442428 -471.577094966869</t>
  </si>
  <si>
    <t>-482.315822840393 224.470954452161 -250.52977519646</t>
  </si>
  <si>
    <t>-471.113264390824 208.506724717184 204.747389198267</t>
  </si>
  <si>
    <t>-493.100567813311 167.145539732745 672.294713818896</t>
  </si>
  <si>
    <t>-339.945981040925 155.332057314723 758.012972046103</t>
  </si>
  <si>
    <t>-527.779616268566 35.185059336905 -226.387620420436</t>
  </si>
  <si>
    <t>-433.445769361824 -11.9879665235558 216.933382140271</t>
  </si>
  <si>
    <t>-592.550295145834 -97.795872876969 650.440991146966</t>
  </si>
  <si>
    <t>-444.577872988386 -146.471870699092 732.161836954375</t>
  </si>
  <si>
    <t>9763-20170724T164409.021039300.bin</t>
  </si>
  <si>
    <t>-504.897281449897 129.807465732225 -238.697491043531</t>
  </si>
  <si>
    <t>-544.915223026432 124.968141288336 -352.903200549711</t>
  </si>
  <si>
    <t>-559.465755969822 115.024065419444 -472.819712959315</t>
  </si>
  <si>
    <t>-561.917729329212 104.232450809409 -581.780206019752</t>
  </si>
  <si>
    <t>-553.728455016379 91.8557582742503 -690.29102071317</t>
  </si>
  <si>
    <t>-531.291394930057 73.1838149109008 -839.78333867483</t>
  </si>
  <si>
    <t>-483.813915155195 62.4112569357578 -929.297611220282</t>
  </si>
  <si>
    <t>-534.910557516157 112.46945647312 -776.565629478227</t>
  </si>
  <si>
    <t>-523.106788880581 258.39287865929 -762.775254551403</t>
  </si>
  <si>
    <t>-456.454692823286 294.599814794593 -455.476204753724</t>
  </si>
  <si>
    <t>-273.522498689101 198.846761873749 -297.333077990765</t>
  </si>
  <si>
    <t>-547.52770225709 50.4217816507859 -770.709523228851</t>
  </si>
  <si>
    <t>-353.211444206976 9.55557160272889 -471.519158478784</t>
  </si>
  <si>
    <t>-481.99067667907 224.299166960746 -250.485871173112</t>
  </si>
  <si>
    <t>-470.841908905235 208.25028433585 204.789680122202</t>
  </si>
  <si>
    <t>-492.901204954946 166.388210441386 672.323287573231</t>
  </si>
  <si>
    <t>-339.642093652385 155.683192278615 758.000325816815</t>
  </si>
  <si>
    <t>-527.645177480322 35.3022046641293 -226.26426070896</t>
  </si>
  <si>
    <t>-433.334939638965 -12.0494162939292 217.042744269377</t>
  </si>
  <si>
    <t>-592.552815278923 -97.8324043574079 650.487636228844</t>
  </si>
  <si>
    <t>-444.340697072114 -145.808945694893 732.18791461458</t>
  </si>
  <si>
    <t>9763-20170724T164409.089223400.bin</t>
  </si>
  <si>
    <t>-504.580765889011 130.668982829065 -238.568853100001</t>
  </si>
  <si>
    <t>-544.590199667879 125.817994604773 -352.777079864865</t>
  </si>
  <si>
    <t>-559.200695207947 115.901928483345 -472.688637558846</t>
  </si>
  <si>
    <t>-561.734965362312 105.152879738751 -581.651326070223</t>
  </si>
  <si>
    <t>-553.655407604474 92.8363538225968 -690.177247700915</t>
  </si>
  <si>
    <t>-531.398166664918 74.2664790421817 -839.70914836662</t>
  </si>
  <si>
    <t>-484.01249142671 63.5152661701816 -929.274616006179</t>
  </si>
  <si>
    <t>-534.945885991765 113.509773982642 -776.461256879941</t>
  </si>
  <si>
    <t>-523.098017223538 259.422561025192 -762.624023917112</t>
  </si>
  <si>
    <t>-457.683678288457 295.501211660831 -455.044004260677</t>
  </si>
  <si>
    <t>-274.65140655931 199.389247812232 -297.234787546607</t>
  </si>
  <si>
    <t>-547.546764677326 51.456403590203 -770.630627103005</t>
  </si>
  <si>
    <t>-353.095376312556 10.4816137002689 -471.543743829487</t>
  </si>
  <si>
    <t>-481.676264079332 225.310044463608 -250.405463177509</t>
  </si>
  <si>
    <t>-470.689002262478 209.102356984995 204.868306555834</t>
  </si>
  <si>
    <t>-493.079236458418 167.30434319586 672.344477593995</t>
  </si>
  <si>
    <t>-340.004963330179 154.529942397328 758.068376518682</t>
  </si>
  <si>
    <t>-527.303107236125 36.100355555831 -226.108027854997</t>
  </si>
  <si>
    <t>-433.152674115877 -11.5443756909275 217.201514438355</t>
  </si>
  <si>
    <t>-592.549727433101 -97.589032772052 650.556117601518</t>
  </si>
  <si>
    <t>-444.527779531733 -146.142009632602 732.260591888236</t>
  </si>
  <si>
    <t>9763-20170724T164409.120811900.bin</t>
  </si>
  <si>
    <t>-504.343588009921 130.829083491901 -238.526128662354</t>
  </si>
  <si>
    <t>-544.364988769637 125.948087469447 -352.728867283554</t>
  </si>
  <si>
    <t>-559.019652838454 116.035833051974 -472.635309237006</t>
  </si>
  <si>
    <t>-561.607082260975 105.304083188536 -581.598517434196</t>
  </si>
  <si>
    <t>-553.593603913368 93.0185409503657 -690.132905321486</t>
  </si>
  <si>
    <t>-531.440903610061 74.506006815228 -839.687355665177</t>
  </si>
  <si>
    <t>-484.115345016674 63.7849437140042 -929.288357412588</t>
  </si>
  <si>
    <t>-534.948206825146 113.725699108401 -776.422583956875</t>
  </si>
  <si>
    <t>-523.113686283897 259.642420110328 -762.551625154151</t>
  </si>
  <si>
    <t>-458.229381648393 295.942208727147 -454.885296737398</t>
  </si>
  <si>
    <t>-275.207526524758 199.590310214682 -297.210367039637</t>
  </si>
  <si>
    <t>-547.537390317882 51.6687127646084 -770.605714493097</t>
  </si>
  <si>
    <t>-352.995327652914 10.5862396357814 -471.541974333343</t>
  </si>
  <si>
    <t>-481.41347687814 225.458946985782 -250.384192109329</t>
  </si>
  <si>
    <t>-470.556249892429 209.222861202242 204.891699009015</t>
  </si>
  <si>
    <t>-493.076320565448 167.411704549361 672.342136594105</t>
  </si>
  <si>
    <t>-339.963561248169 154.981089074587 758.047795112767</t>
  </si>
  <si>
    <t>-527.112589155596 36.1544842421198 -226.038604665373</t>
  </si>
  <si>
    <t>-433.069738470048 -11.5441506953013 217.287986486463</t>
  </si>
  <si>
    <t>-592.574994470407 -97.8554768631373 650.591957919868</t>
  </si>
  <si>
    <t>-444.368625426936 -145.889972972321 732.268587226677</t>
  </si>
  <si>
    <t>9763-20170724T164409.186997400.bin</t>
  </si>
  <si>
    <t>-503.771924485602 131.054988535993 -238.470979278309</t>
  </si>
  <si>
    <t>-543.732492638689 126.148877120838 -352.69380195557</t>
  </si>
  <si>
    <t>-558.425894494225 116.273393121146 -472.598566150171</t>
  </si>
  <si>
    <t>-561.09067083911 105.598485811808 -581.565590915015</t>
  </si>
  <si>
    <t>-553.196225502721 93.3921126813715 -690.117545534198</t>
  </si>
  <si>
    <t>-531.251435275579 75.0113491142248 -839.719019519233</t>
  </si>
  <si>
    <t>-484.058128282556 64.3660167797 -929.398743656044</t>
  </si>
  <si>
    <t>-534.677992427185 114.176653569637 -776.416154855914</t>
  </si>
  <si>
    <t>-522.778332373357 260.087093655391 -762.473399257025</t>
  </si>
  <si>
    <t>-459.102335468382 297.016980990838 -454.629582304252</t>
  </si>
  <si>
    <t>-276.181908709197 199.913002488194 -297.298803268537</t>
  </si>
  <si>
    <t>-547.244664136152 52.1118324012329 -770.633847106486</t>
  </si>
  <si>
    <t>-352.473613560392 10.8979207358505 -471.643076733914</t>
  </si>
  <si>
    <t>-480.768093514975 225.607807864678 -250.334136382847</t>
  </si>
  <si>
    <t>-470.097523701011 209.290971363737 204.943345067367</t>
  </si>
  <si>
    <t>-492.971665959973 167.082990774243 672.378538703834</t>
  </si>
  <si>
    <t>-339.843627984579 154.626923195044 758.053336584589</t>
  </si>
  <si>
    <t>-526.544535329004 36.4746738057205 -225.987035925989</t>
  </si>
  <si>
    <t>-432.756902103146 -11.2708461683942 217.388654603884</t>
  </si>
  <si>
    <t>-592.544468878019 -97.7699803876915 650.589170665915</t>
  </si>
  <si>
    <t>-444.366947593806 -145.831432410843 732.302253305103</t>
  </si>
  <si>
    <t>9763-20170724T164409.217880300.bin</t>
  </si>
  <si>
    <t>-503.384099141526 131.262555792571 -238.448789524582</t>
  </si>
  <si>
    <t>-543.368568490395 126.351739911676 -352.663209137743</t>
  </si>
  <si>
    <t>-558.110897910527 116.491000925098 -472.563080386663</t>
  </si>
  <si>
    <t>-560.82969325699 105.83868917121 -581.530968461926</t>
  </si>
  <si>
    <t>-552.998519829005 93.6646175534707 -690.091153066555</t>
  </si>
  <si>
    <t>-531.150693501595 75.3394441608587 -839.713566029291</t>
  </si>
  <si>
    <t>-484.029539254536 64.732531152263 -929.435692088052</t>
  </si>
  <si>
    <t>-534.557873294568 114.485234050073 -776.397584318973</t>
  </si>
  <si>
    <t>-522.724642830906 260.39075854166 -762.43222761384</t>
  </si>
  <si>
    <t>-459.506706149054 297.804024217068 -454.55243813192</t>
  </si>
  <si>
    <t>-276.697448103314 200.349317300645 -297.309278900694</t>
  </si>
  <si>
    <t>-547.07752770294 52.4102295135492 -770.62302429234</t>
  </si>
  <si>
    <t>-352.185040059507 11.1489028545848 -471.701073190801</t>
  </si>
  <si>
    <t>-480.35711691195 225.730541373431 -250.295411967686</t>
  </si>
  <si>
    <t>-469.750533408836 209.397773838997 204.983044788841</t>
  </si>
  <si>
    <t>-492.998236221499 167.21567644879 672.394371886698</t>
  </si>
  <si>
    <t>-339.827524340521 155.10045382037 758.041803862059</t>
  </si>
  <si>
    <t>-526.241746206036 36.8219300260521 -225.941642857454</t>
  </si>
  <si>
    <t>-432.55834083377 -10.9372451829295 217.454578553388</t>
  </si>
  <si>
    <t>-592.494893874042 -97.2856777457573 650.569735528242</t>
  </si>
  <si>
    <t>-444.720793135369 -146.464817772539 732.34826959931</t>
  </si>
  <si>
    <t>9763-20170724T164409.291074100.bin</t>
  </si>
  <si>
    <t>-502.637304189819 131.262387257876 -238.408169363988</t>
  </si>
  <si>
    <t>-542.571909372617 126.363852185978 -352.640636888157</t>
  </si>
  <si>
    <t>-557.365019794399 116.544174383872 -472.537659037417</t>
  </si>
  <si>
    <t>-560.171183035859 105.942490574754 -581.508250904595</t>
  </si>
  <si>
    <t>-552.468349226231 93.8335313318735 -690.084845164702</t>
  </si>
  <si>
    <t>-530.839648644619 75.6145387458414 -839.75204335137</t>
  </si>
  <si>
    <t>-483.864314491714 65.0774907475577 -929.55887226926</t>
  </si>
  <si>
    <t>-534.184923626921 114.721171434711 -776.408556262569</t>
  </si>
  <si>
    <t>-522.401399086517 260.631096520196 -762.398684550703</t>
  </si>
  <si>
    <t>-460.233564790939 299.075499995297 -454.432110643343</t>
  </si>
  <si>
    <t>-277.402103909017 201.302406528393 -297.412754925398</t>
  </si>
  <si>
    <t>-546.634377410106 52.6305559034967 -770.649385867273</t>
  </si>
  <si>
    <t>-351.392871213849 11.3770965980022 -471.871655868934</t>
  </si>
  <si>
    <t>-479.519941134936 225.640611149548 -250.235720946212</t>
  </si>
  <si>
    <t>-469.065924880998 209.228199166769 205.043291221071</t>
  </si>
  <si>
    <t>-492.925066482508 166.921887942291 672.427905933287</t>
  </si>
  <si>
    <t>-339.674310605392 155.549954151772 758.034006671867</t>
  </si>
  <si>
    <t>-525.578628688772 36.8684199153904 -225.923735157341</t>
  </si>
  <si>
    <t>-432.243636774392 -10.9594599678855 217.53850927077</t>
  </si>
  <si>
    <t>-592.472898670358 -97.4440783927963 650.576743667634</t>
  </si>
  <si>
    <t>-444.580469835595 -146.191344955395 732.400064120546</t>
  </si>
  <si>
    <t>9763-20170724T164409.323197900.bin</t>
  </si>
  <si>
    <t>-502.335880382538 131.591456287955 -238.368882381086</t>
  </si>
  <si>
    <t>-542.245143682164 126.699125700433 -352.610389744522</t>
  </si>
  <si>
    <t>-557.067339001343 116.893264824274 -472.505022360801</t>
  </si>
  <si>
    <t>-559.922453475014 106.308246070916 -581.475898936445</t>
  </si>
  <si>
    <t>-552.29029726867 94.2204535427294 -690.059948221363</t>
  </si>
  <si>
    <t>-530.782010620944 76.0360910167929 -839.74870919933</t>
  </si>
  <si>
    <t>-483.887219282482 65.5241516887466 -929.600498637045</t>
  </si>
  <si>
    <t>-534.090862094994 115.130796237387 -776.395818263857</t>
  </si>
  <si>
    <t>-522.390323308299 261.044495112207 -762.38252804481</t>
  </si>
  <si>
    <t>-460.833096696764 299.882234792116 -454.342763073161</t>
  </si>
  <si>
    <t>-277.961749482173 202.076379989618 -297.389979131886</t>
  </si>
  <si>
    <t>-546.506631524534 53.0334666374493 -770.636072623066</t>
  </si>
  <si>
    <t>-351.158879382208 11.8061551890731 -471.985729875333</t>
  </si>
  <si>
    <t>-479.210546483973 225.990683382045 -250.198752483335</t>
  </si>
  <si>
    <t>-468.85278120382 209.569350727429 205.082130168577</t>
  </si>
  <si>
    <t>-493.012529831246 167.338626037406 672.43073111502</t>
  </si>
  <si>
    <t>-339.832091416185 155.169473593276 758.053021635145</t>
  </si>
  <si>
    <t>-525.324690539538 37.3050901596768 -225.876068832212</t>
  </si>
  <si>
    <t>-432.085654938129 -10.6475044498621 217.592878561789</t>
  </si>
  <si>
    <t>-592.427039700369 -97.0245481003329 650.55685089777</t>
  </si>
  <si>
    <t>-444.84399434174 -146.589061064708 732.447739837818</t>
  </si>
  <si>
    <t>9763-20170724T164409.387366000.bin</t>
  </si>
  <si>
    <t>-501.693206424019 131.659478456637 -238.32928209883</t>
  </si>
  <si>
    <t>-541.593752573788 126.773592667901 -352.574122650078</t>
  </si>
  <si>
    <t>-556.460802281155 116.98953686629 -472.465032267342</t>
  </si>
  <si>
    <t>-559.378003148076 106.432261864122 -581.436982481038</t>
  </si>
  <si>
    <t>-551.829200205849 94.3812886829371 -690.030747429066</t>
  </si>
  <si>
    <t>-530.457638696568 76.2583281812388 -839.746652959277</t>
  </si>
  <si>
    <t>-483.696786006797 65.8005176988953 -929.674623587653</t>
  </si>
  <si>
    <t>-533.738627128065 115.332505141468 -776.379817110691</t>
  </si>
  <si>
    <t>-522.129471898438 261.253012369926 -762.357268691498</t>
  </si>
  <si>
    <t>-461.885439130979 301.211855884955 -454.201241162972</t>
  </si>
  <si>
    <t>-279.225802781586 203.223541962915 -297.115890304701</t>
  </si>
  <si>
    <t>-546.089236422249 53.2218248320422 -770.624343848272</t>
  </si>
  <si>
    <t>-350.50324257224 12.0284828398007 -472.157507639438</t>
  </si>
  <si>
    <t>-478.506861463144 226.056342532612 -250.146870106148</t>
  </si>
  <si>
    <t>-468.272762028857 209.559974611203 205.134117545944</t>
  </si>
  <si>
    <t>-492.944616632347 167.138708485949 672.43341412341</t>
  </si>
  <si>
    <t>-339.712744386904 155.564645049929 758.046155309614</t>
  </si>
  <si>
    <t>-524.706325912703 37.2670343466817 -225.875243114524</t>
  </si>
  <si>
    <t>-431.816260271083 -10.6244087503469 217.673559847404</t>
  </si>
  <si>
    <t>-592.406775370116 -97.4356511701325 650.545866127027</t>
  </si>
  <si>
    <t>-444.612288800721 -146.299057555888 732.476747608134</t>
  </si>
  <si>
    <t>9763-20170724T164409.419089200.bin</t>
  </si>
  <si>
    <t>-501.415295785002 131.753703078079 -238.301767611297</t>
  </si>
  <si>
    <t>-541.278082463562 126.858796816055 -352.559375663079</t>
  </si>
  <si>
    <t>-556.156665388332 117.085403141946 -472.44965384256</t>
  </si>
  <si>
    <t>-559.10523711432 106.54606180598 -581.422534036111</t>
  </si>
  <si>
    <t>-551.608293985244 94.5214802932255 -690.022950746758</t>
  </si>
  <si>
    <t>-530.329678183912 76.4437812672528 -839.757484253065</t>
  </si>
  <si>
    <t>-483.635717107858 66.0181571638174 -929.723978683318</t>
  </si>
  <si>
    <t>-533.589004745073 115.502056230939 -776.379654273318</t>
  </si>
  <si>
    <t>-522.015866313363 261.41967128655 -762.358342537959</t>
  </si>
  <si>
    <t>-462.532558829295 302.246725864085 -454.168337938802</t>
  </si>
  <si>
    <t>-280.051430948194 204.215570328233 -296.902450810549</t>
  </si>
  <si>
    <t>-545.900595293315 53.3831530949073 -770.629620025813</t>
  </si>
  <si>
    <t>-350.221109558382 12.2351519856742 -472.178031649276</t>
  </si>
  <si>
    <t>-478.221345809104 226.095663208916 -250.125062084587</t>
  </si>
  <si>
    <t>-468.034311567315 209.578931640327 205.156234546145</t>
  </si>
  <si>
    <t>-492.895248077523 166.999455475318 672.431056558694</t>
  </si>
  <si>
    <t>-339.631273090807 155.845391825419 758.04215727625</t>
  </si>
  <si>
    <t>-524.451556651533 37.4688654091443 -225.852112724844</t>
  </si>
  <si>
    <t>-431.666982449439 -10.4762477478542 217.712927240619</t>
  </si>
  <si>
    <t>-592.369239808107 -97.2304511429659 650.52682304294</t>
  </si>
  <si>
    <t>-444.684973298461 -146.344199007739 732.506734699449</t>
  </si>
  <si>
    <t>9763-20170724T164409.492285500.bin</t>
  </si>
  <si>
    <t>-500.870671687823 131.946032615424 -238.259637670694</t>
  </si>
  <si>
    <t>-540.73374647312 127.007924965201 -352.515325746009</t>
  </si>
  <si>
    <t>-555.635574028274 117.205415266129 -472.400293298167</t>
  </si>
  <si>
    <t>-558.614709857469 106.64567358353 -581.370385677145</t>
  </si>
  <si>
    <t>-551.157776312996 94.6062544359912 -689.971852301003</t>
  </si>
  <si>
    <t>-529.944222200108 76.5137079029757 -839.713890966455</t>
  </si>
  <si>
    <t>-483.353532866267 66.0969741593147 -929.734907728715</t>
  </si>
  <si>
    <t>-533.195038813686 115.581733424316 -776.341605805507</t>
  </si>
  <si>
    <t>-521.717350899056 261.512862482525 -762.342824561348</t>
  </si>
  <si>
    <t>-463.924788554935 303.855682497664 -454.035687373164</t>
  </si>
  <si>
    <t>-281.659979542989 205.604864097059 -296.65607961625</t>
  </si>
  <si>
    <t>-545.466021264202 53.4564235733463 -770.573773842741</t>
  </si>
  <si>
    <t>-349.710689742618 12.4666160983337 -472.065652083552</t>
  </si>
  <si>
    <t>-477.666297753391 226.189799920328 -250.086886156218</t>
  </si>
  <si>
    <t>-467.526615881608 209.646396345872 205.194578035904</t>
  </si>
  <si>
    <t>-492.799716156636 166.680237733957 672.433991617726</t>
  </si>
  <si>
    <t>-339.52615632647 155.7074629893 758.051257423306</t>
  </si>
  <si>
    <t>-523.9112739344 37.7082160391522 -225.790574720724</t>
  </si>
  <si>
    <t>-431.270261042519 -10.1495914522113 217.813943565927</t>
  </si>
  <si>
    <t>-592.299861765289 -97.1893516855474 650.472384839895</t>
  </si>
  <si>
    <t>-444.761177806404 -146.611325303366 732.529064545067</t>
  </si>
  <si>
    <t>9763-20170724T164409.520040000.bin</t>
  </si>
  <si>
    <t>-500.631086603066 131.951527823278 -238.237109503126</t>
  </si>
  <si>
    <t>-540.485501912898 126.99387292989 -352.494944412668</t>
  </si>
  <si>
    <t>-555.365764334342 117.179708341171 -472.381602794066</t>
  </si>
  <si>
    <t>-558.320080666673 106.613648515134 -581.351675101005</t>
  </si>
  <si>
    <t>-550.833373282942 94.5728032281442 -689.951092752415</t>
  </si>
  <si>
    <t>-529.573547757966 76.483802736764 -839.687015228213</t>
  </si>
  <si>
    <t>-483.027349577028 66.0857561739078 -929.733080322644</t>
  </si>
  <si>
    <t>-532.860663444881 115.553405344171 -776.317532166073</t>
  </si>
  <si>
    <t>-521.45776230172 261.490978256246 -762.313607009958</t>
  </si>
  <si>
    <t>-464.468630067598 304.51338276652 -453.951000922001</t>
  </si>
  <si>
    <t>-282.264148489237 206.006047393158 -296.661745406265</t>
  </si>
  <si>
    <t>-545.100056798819 53.4218574507981 -770.549429908667</t>
  </si>
  <si>
    <t>-349.312485767529 12.4577047586998 -471.997731757732</t>
  </si>
  <si>
    <t>-477.394822588927 226.202483991697 -250.073100853784</t>
  </si>
  <si>
    <t>-467.29768783738 209.659549942288 205.209227672231</t>
  </si>
  <si>
    <t>-492.823306761154 166.798774403204 672.431975644577</t>
  </si>
  <si>
    <t>-339.545645972296 155.880977918354 758.049082822912</t>
  </si>
  <si>
    <t>-523.697239816324 37.6650463251931 -225.761322836914</t>
  </si>
  <si>
    <t>-431.120981031485 -10.0958386567693 217.867100624184</t>
  </si>
  <si>
    <t>-592.285861378188 -97.3571433675067 650.459924974386</t>
  </si>
  <si>
    <t>-444.566074877825 -146.239581326255 732.514115160442</t>
  </si>
  <si>
    <t>9763-20170724T164409.591230900.bin</t>
  </si>
  <si>
    <t>-500.245611710164 132.118251154126 -238.248723249356</t>
  </si>
  <si>
    <t>-540.077126890347 127.143493404781 -352.513844063219</t>
  </si>
  <si>
    <t>-554.945872290574 117.285995919423 -472.398380852374</t>
  </si>
  <si>
    <t>-557.894822047251 106.669979398716 -581.363755692874</t>
  </si>
  <si>
    <t>-550.407563018783 94.5683528538451 -689.956332844533</t>
  </si>
  <si>
    <t>-529.152005826269 76.3835534120078 -839.681092648212</t>
  </si>
  <si>
    <t>-482.713096917345 66.0007296562409 -929.784382266707</t>
  </si>
  <si>
    <t>-532.450914031491 115.496115102255 -776.338881744887</t>
  </si>
  <si>
    <t>-521.198210592302 261.449351054225 -762.363934859124</t>
  </si>
  <si>
    <t>-465.686848164995 305.598332271 -453.890934156066</t>
  </si>
  <si>
    <t>-283.669598989735 206.785034416333 -296.577037296155</t>
  </si>
  <si>
    <t>-544.663013393516 53.3633985620086 -770.526131105673</t>
  </si>
  <si>
    <t>-348.919010232807 12.6909353749521 -471.842211022381</t>
  </si>
  <si>
    <t>-477.060460142797 226.489982130216 -250.065045096338</t>
  </si>
  <si>
    <t>-467.065041531556 209.898882471756 205.217920403664</t>
  </si>
  <si>
    <t>-492.889353436149 167.125616640166 672.419347849317</t>
  </si>
  <si>
    <t>-339.661388119489 155.690280030276 758.057771042049</t>
  </si>
  <si>
    <t>-523.2973210768 37.811347460219 -225.766344953508</t>
  </si>
  <si>
    <t>-430.975424994469 -10.1026028521651 217.898650740375</t>
  </si>
  <si>
    <t>-592.256552854057 -97.4557765683636 650.448540784829</t>
  </si>
  <si>
    <t>-444.28630671892 -145.568632835188 732.506271935959</t>
  </si>
  <si>
    <t>9763-20170724T164409.622338700.bin</t>
  </si>
  <si>
    <t>-500.089102277602 132.258250694852 -238.254005430275</t>
  </si>
  <si>
    <t>-539.834531363728 127.26387342212 -352.548229751845</t>
  </si>
  <si>
    <t>-554.678642809384 117.387322055474 -472.434383976738</t>
  </si>
  <si>
    <t>-557.631777907167 106.753694906559 -581.397960845174</t>
  </si>
  <si>
    <t>-550.175351024907 94.6334053361703 -689.990471213511</t>
  </si>
  <si>
    <t>-528.989759778734 76.4208032863896 -839.721759822181</t>
  </si>
  <si>
    <t>-482.609039955519 66.050435427587 -929.856553520959</t>
  </si>
  <si>
    <t>-532.273013226212 115.547658354037 -776.387531374984</t>
  </si>
  <si>
    <t>-521.037373344014 261.498110141924 -762.439899764058</t>
  </si>
  <si>
    <t>-466.112309240839 306.139880342411 -453.932906548455</t>
  </si>
  <si>
    <t>-284.256443931657 207.359333826915 -296.411715888365</t>
  </si>
  <si>
    <t>-544.454371468158 53.4109328132144 -770.553153523743</t>
  </si>
  <si>
    <t>-348.653714445396 12.8894554840288 -471.77568786362</t>
  </si>
  <si>
    <t>-476.928746747398 226.65345323306 -250.066796034163</t>
  </si>
  <si>
    <t>-467.050299260367 210.048739518176 205.218145452796</t>
  </si>
  <si>
    <t>-492.911328647086 167.245888038827 672.413002559112</t>
  </si>
  <si>
    <t>-339.731247837137 155.317550336515 758.069767538082</t>
  </si>
  <si>
    <t>-523.08903027301 37.9280861200427 -225.821680027452</t>
  </si>
  <si>
    <t>-430.992171209523 -9.90989941138759 217.898319194455</t>
  </si>
  <si>
    <t>-592.222940577544 -97.2434990480634 650.441496856994</t>
  </si>
  <si>
    <t>-444.407911569691 -145.768358369738 732.536370011303</t>
  </si>
  <si>
    <t>9763-20170724T164409.688510500.bin</t>
  </si>
  <si>
    <t>-499.785599153451 132.132882096181 -238.260144974251</t>
  </si>
  <si>
    <t>-539.529048323594 127.142264361323 -352.555080072821</t>
  </si>
  <si>
    <t>-554.405192093425 117.24029999397 -472.435218280945</t>
  </si>
  <si>
    <t>-557.400744787595 106.571359100656 -581.394007263849</t>
  </si>
  <si>
    <t>-550.000011603734 94.4028523963022 -689.985105005947</t>
  </si>
  <si>
    <t>-528.905146853731 76.1097535704264 -839.719444439746</t>
  </si>
  <si>
    <t>-482.625217462878 65.7332933979602 -929.905304703403</t>
  </si>
  <si>
    <t>-532.162294304916 115.272928746403 -776.406197296682</t>
  </si>
  <si>
    <t>-520.891517657467 261.234015077219 -762.474714803145</t>
  </si>
  <si>
    <t>-467.108991794701 307.121556177845 -453.949169079884</t>
  </si>
  <si>
    <t>-285.468644627286 208.472332798628 -296.097429874873</t>
  </si>
  <si>
    <t>-544.315669345075 53.1348971892523 -770.526947430525</t>
  </si>
  <si>
    <t>-348.41280371715 12.7847414380645 -471.774951798095</t>
  </si>
  <si>
    <t>-476.619818183861 226.3684596688 -250.048763014763</t>
  </si>
  <si>
    <t>-466.787904067226 209.776088428407 205.237564247036</t>
  </si>
  <si>
    <t>-492.771669934431 166.694058809511 672.420379731149</t>
  </si>
  <si>
    <t>-339.473824361731 156.11432328647 758.043705980086</t>
  </si>
  <si>
    <t>-522.815702666402 37.9247242031836 -225.811233170736</t>
  </si>
  <si>
    <t>-430.884738052522 -9.83407446783595 217.951666568725</t>
  </si>
  <si>
    <t>-592.200394217261 -97.33765588323 650.460632239526</t>
  </si>
  <si>
    <t>-444.498676267257 -146.149272055906 732.589427551924</t>
  </si>
  <si>
    <t>9763-20170724T164409.719307000.bin</t>
  </si>
  <si>
    <t>-499.659217440866 132.160256679065 -238.236577856704</t>
  </si>
  <si>
    <t>-539.395533426258 127.154999372481 -352.533420811309</t>
  </si>
  <si>
    <t>-554.278128472749 117.240228859046 -472.411554795653</t>
  </si>
  <si>
    <t>-557.285439024237 106.560612530252 -581.369183594316</t>
  </si>
  <si>
    <t>-549.902068937422 94.382596930601 -689.960419942929</t>
  </si>
  <si>
    <t>-528.837053699723 76.0775566278701 -839.69745682124</t>
  </si>
  <si>
    <t>-482.617812637726 65.6947088731247 -929.913662918736</t>
  </si>
  <si>
    <t>-532.085208139103 115.24636270158 -776.387227183271</t>
  </si>
  <si>
    <t>-520.832574118203 261.201228711791 -762.455691976601</t>
  </si>
  <si>
    <t>-467.582999675525 307.729958817036 -453.93377423053</t>
  </si>
  <si>
    <t>-286.005209887071 209.04394434453 -296.033010848143</t>
  </si>
  <si>
    <t>-544.23026470645 53.1075912904428 -770.499452880258</t>
  </si>
  <si>
    <t>-348.315196622766 12.7351933944645 -471.845085579204</t>
  </si>
  <si>
    <t>-476.481929302718 226.403797987777 -250.036727612296</t>
  </si>
  <si>
    <t>-466.677053389799 209.828747876006 205.250915761925</t>
  </si>
  <si>
    <t>-492.759388825412 166.658270516114 672.418709008641</t>
  </si>
  <si>
    <t>-339.494426535141 155.72816751017 758.056787042364</t>
  </si>
  <si>
    <t>-522.682307120905 37.9034749899868 -225.785868851652</t>
  </si>
  <si>
    <t>-430.758503463788 -9.83252620146839 217.980878732022</t>
  </si>
  <si>
    <t>-592.182131797442 -97.4496401410634 650.448478510432</t>
  </si>
  <si>
    <t>-444.474351855602 -146.210400122794 732.596656195758</t>
  </si>
  <si>
    <t>9763-20170724T164409.786487600.bin</t>
  </si>
  <si>
    <t>-499.433783526569 132.411376690192 -238.213259125794</t>
  </si>
  <si>
    <t>-539.184082487962 127.396140685932 -352.504788085077</t>
  </si>
  <si>
    <t>-554.097470022768 117.477060227909 -472.378808540493</t>
  </si>
  <si>
    <t>-557.139081794367 106.796859762963 -581.335346690618</t>
  </si>
  <si>
    <t>-549.796124897615 94.6219030983345 -689.929521918125</t>
  </si>
  <si>
    <t>-528.793340471595 76.3254400378577 -839.676445259463</t>
  </si>
  <si>
    <t>-482.646528924654 65.9391347538253 -929.929256236294</t>
  </si>
  <si>
    <t>-532.016343158487 115.490844194112 -776.362979459508</t>
  </si>
  <si>
    <t>-520.697855027735 261.435415777937 -762.413456338928</t>
  </si>
  <si>
    <t>-468.35919294745 309.294768659846 -453.939232240891</t>
  </si>
  <si>
    <t>-286.91011829636 210.496915161528 -295.960620285383</t>
  </si>
  <si>
    <t>-544.156615513618 53.3512843975585 -770.473276002799</t>
  </si>
  <si>
    <t>-348.125256462317 12.9423818657828 -471.987269964564</t>
  </si>
  <si>
    <t>-476.266296939555 226.671854323185 -250.030035390972</t>
  </si>
  <si>
    <t>-466.573517413485 210.12755614521 205.261201820341</t>
  </si>
  <si>
    <t>-492.843830786601 167.065826327455 672.411313194833</t>
  </si>
  <si>
    <t>-339.631131879363 155.553530858307 758.066699581675</t>
  </si>
  <si>
    <t>-522.470085937797 38.2020692610483 -225.739177698272</t>
  </si>
  <si>
    <t>-430.569753073583 -9.62873164718798 218.02227378333</t>
  </si>
  <si>
    <t>-592.127916346895 -97.2572669037335 650.417176693715</t>
  </si>
  <si>
    <t>-444.546810075459 -146.328690739667 732.608028313794</t>
  </si>
  <si>
    <t>9763-20170724T164409.817574700.bin</t>
  </si>
  <si>
    <t>-499.359162869144 132.332484183445 -238.215467880861</t>
  </si>
  <si>
    <t>-539.078605752229 127.318903549904 -352.517951022541</t>
  </si>
  <si>
    <t>-553.996614566958 117.395442871851 -472.390847800036</t>
  </si>
  <si>
    <t>-557.057518171834 106.707939024655 -581.346289191703</t>
  </si>
  <si>
    <t>-549.748930762788 94.5219172090772 -689.941436962561</t>
  </si>
  <si>
    <t>-528.808871215401 76.2054799129359 -839.694722331785</t>
  </si>
  <si>
    <t>-482.70877060263 65.8110925902275 -929.970506587677</t>
  </si>
  <si>
    <t>-531.997831767454 115.377986909464 -776.383841255982</t>
  </si>
  <si>
    <t>-520.588439802278 261.314305520556 -762.410535393596</t>
  </si>
  <si>
    <t>-468.730167668528 310.026572348315 -453.988730530155</t>
  </si>
  <si>
    <t>-287.363398933586 211.178615130941 -295.947005959867</t>
  </si>
  <si>
    <t>-544.150625215778 53.2418970567353 -770.483277410559</t>
  </si>
  <si>
    <t>-348.120986340341 12.762855421052 -472.058300130553</t>
  </si>
  <si>
    <t>-476.153301655564 226.554937958612 -250.030640815225</t>
  </si>
  <si>
    <t>-466.476496980484 209.995816787545 205.260294647346</t>
  </si>
  <si>
    <t>-492.809027335677 166.943475180253 672.410128680636</t>
  </si>
  <si>
    <t>-339.540071845098 156.111386822441 758.053660112441</t>
  </si>
  <si>
    <t>-522.413640583281 38.1193251641361 -225.74493367796</t>
  </si>
  <si>
    <t>-430.560572673945 -9.74759259196691 218.022349941532</t>
  </si>
  <si>
    <t>-592.132443339623 -97.4145124312022 650.42343393972</t>
  </si>
  <si>
    <t>-444.452635250779 -146.199551163847 732.607338999032</t>
  </si>
  <si>
    <t>9763-20170724T164409.891822800.bin</t>
  </si>
  <si>
    <t>-499.257810579999 132.476944686974 -238.231027571165</t>
  </si>
  <si>
    <t>-538.975317713783 127.462348499527 -352.534103376026</t>
  </si>
  <si>
    <t>-553.916062424611 117.539654130717 -472.404391694878</t>
  </si>
  <si>
    <t>-557.007820414504 106.852134681883 -581.358754576992</t>
  </si>
  <si>
    <t>-549.740180355698 94.6645108173657 -689.956708776961</t>
  </si>
  <si>
    <t>-528.867522658015 76.3434315119408 -839.718644122282</t>
  </si>
  <si>
    <t>-482.866963726249 65.9761559623231 -930.048304061071</t>
  </si>
  <si>
    <t>-532.021114247762 115.516626837414 -776.406449924971</t>
  </si>
  <si>
    <t>-520.493143217625 261.450067602092 -762.442226681942</t>
  </si>
  <si>
    <t>-469.849414632098 311.505629524754 -454.033623330149</t>
  </si>
  <si>
    <t>-288.600630265472 212.456145488765 -295.982489835916</t>
  </si>
  <si>
    <t>-544.185039127995 53.3832232825168 -770.500797632987</t>
  </si>
  <si>
    <t>-348.193356280566 12.8213736784291 -472.101796028248</t>
  </si>
  <si>
    <t>-476.060341459457 226.6663619301 -250.041496426182</t>
  </si>
  <si>
    <t>-466.410474553167 210.16257394576 205.252022942031</t>
  </si>
  <si>
    <t>-492.838991121814 167.18374434209 672.384982298978</t>
  </si>
  <si>
    <t>-339.604958811623 156.150775466899 758.065305440739</t>
  </si>
  <si>
    <t>-522.311618282538 38.3088884588255 -225.758257856891</t>
  </si>
  <si>
    <t>-430.473150796306 -9.48594963176899 218.019872248658</t>
  </si>
  <si>
    <t>-592.09551114344 -97.0793105278899 650.409745169332</t>
  </si>
  <si>
    <t>-444.862636335025 -147.099441864777 732.653091355633</t>
  </si>
  <si>
    <t>9763-20170724T164409.919856200.bin</t>
  </si>
  <si>
    <t>-499.213694218588 132.223308820313 -238.242016483474</t>
  </si>
  <si>
    <t>-538.928654487124 127.212516487258 -352.54600722955</t>
  </si>
  <si>
    <t>-553.878654749754 117.288302505508 -472.414957590107</t>
  </si>
  <si>
    <t>-556.983705183448 106.596636091795 -581.36863258357</t>
  </si>
  <si>
    <t>-549.734233154952 94.4014186628284 -689.966866202302</t>
  </si>
  <si>
    <t>-528.891742722555 76.0660299879406 -839.731307902417</t>
  </si>
  <si>
    <t>-482.952286109751 65.7052757230505 -930.092836154716</t>
  </si>
  <si>
    <t>-532.024595999205 115.243900497564 -776.421052115153</t>
  </si>
  <si>
    <t>-520.442333827979 261.173738341712 -762.449718759309</t>
  </si>
  <si>
    <t>-470.381808174622 311.794524625161 -454.038200659977</t>
  </si>
  <si>
    <t>-289.185043337629 212.666789054305 -295.976497036957</t>
  </si>
  <si>
    <t>-544.203234760192 53.1139197924655 -770.50947109087</t>
  </si>
  <si>
    <t>-348.190230256245 12.548570783655 -472.046373075228</t>
  </si>
  <si>
    <t>-475.970540701469 226.345794852767 -250.052203363708</t>
  </si>
  <si>
    <t>-466.358412086852 209.876564342684 205.243318314252</t>
  </si>
  <si>
    <t>-492.710892804542 166.704089766299 672.380585533568</t>
  </si>
  <si>
    <t>-339.430871010717 156.314535453033 758.059065709169</t>
  </si>
  <si>
    <t>-522.278107046223 38.0732235812951 -225.771941806251</t>
  </si>
  <si>
    <t>-430.442093633351 -9.62876809843554 218.016653214939</t>
  </si>
  <si>
    <t>-592.089676170281 -97.0968819631554 650.404731721217</t>
  </si>
  <si>
    <t>-444.659243075843 -146.565344016239 732.627863811746</t>
  </si>
  <si>
    <t>9763-20170724T164409.986033200.bin</t>
  </si>
  <si>
    <t>-499.231110205421 131.982936210077 -238.240976961609</t>
  </si>
  <si>
    <t>-538.929516530732 126.947900714502 -352.54965828903</t>
  </si>
  <si>
    <t>-553.87349739884 117.010393848476 -472.418372292361</t>
  </si>
  <si>
    <t>-556.977671507895 106.310901796457 -581.371275959889</t>
  </si>
  <si>
    <t>-549.732162807998 94.1123648857272 -689.969412235383</t>
  </si>
  <si>
    <t>-528.900019356391 75.7766564656766 -839.735195116885</t>
  </si>
  <si>
    <t>-483.056883223079 65.4504614586092 -930.149671606789</t>
  </si>
  <si>
    <t>-532.032609328432 114.955330896108 -776.425456880253</t>
  </si>
  <si>
    <t>-520.433243746921 260.879829961231 -762.462654785071</t>
  </si>
  <si>
    <t>-471.314818670804 312.519902091346 -454.068636234985</t>
  </si>
  <si>
    <t>-290.238726241583 213.408945153759 -295.858340949071</t>
  </si>
  <si>
    <t>-544.202552141852 52.8238794178822 -770.511578004776</t>
  </si>
  <si>
    <t>-348.260928252991 12.2550123708578 -472.070580484563</t>
  </si>
  <si>
    <t>-476.009172599579 226.301083457889 -250.085927588702</t>
  </si>
  <si>
    <t>-466.40749429862 209.918374094473 205.213039776311</t>
  </si>
  <si>
    <t>-492.750301382561 166.984304836326 672.351838751823</t>
  </si>
  <si>
    <t>-339.575807925354 155.532111186433 758.083576410197</t>
  </si>
  <si>
    <t>-522.304775092251 37.7110809702495 -225.758442733236</t>
  </si>
  <si>
    <t>-430.401206058901 -9.90268816810435 218.025576929704</t>
  </si>
  <si>
    <t>-592.102782856384 -97.4342849820796 650.402369058454</t>
  </si>
  <si>
    <t>-444.335132231762 -145.940158623515 732.593571371598</t>
  </si>
  <si>
    <t>9763-20170724T164410.023123200.bin</t>
  </si>
  <si>
    <t>-499.268259350273 131.859206884657 -238.253030647926</t>
  </si>
  <si>
    <t>-538.997604937028 126.832821450337 -352.551434098711</t>
  </si>
  <si>
    <t>-553.965456779511 116.907001841606 -472.418010947702</t>
  </si>
  <si>
    <t>-557.087860939373 106.219755802136 -581.371676194685</t>
  </si>
  <si>
    <t>-549.856938763268 94.0351625830746 -689.972331162657</t>
  </si>
  <si>
    <t>-529.04122077046 75.7208907607249 -839.743072840076</t>
  </si>
  <si>
    <t>-483.233436063997 65.4278532847158 -930.179238301759</t>
  </si>
  <si>
    <t>-532.171830058979 114.891427792132 -776.428195734058</t>
  </si>
  <si>
    <t>-520.567546766104 260.809929317956 -762.445503533826</t>
  </si>
  <si>
    <t>-471.882502686983 312.903131989555 -454.059010703853</t>
  </si>
  <si>
    <t>-290.87550643488 213.781611639966 -295.776155527158</t>
  </si>
  <si>
    <t>-544.331229459837 52.7573839720649 -770.520242320074</t>
  </si>
  <si>
    <t>-348.410820028771 12.1920152790324 -472.08042163405</t>
  </si>
  <si>
    <t>-476.057091278116 226.191555872817 -250.095263671136</t>
  </si>
  <si>
    <t>-466.436173978982 209.852083404773 205.204786094255</t>
  </si>
  <si>
    <t>-492.726457819168 166.902984815269 672.349516273027</t>
  </si>
  <si>
    <t>-339.553737301807 155.471160510208 758.087198769064</t>
  </si>
  <si>
    <t>-522.336301669115 37.5539578520245 -225.762852253223</t>
  </si>
  <si>
    <t>-430.377904878209 -10.0486350766399 218.011098071296</t>
  </si>
  <si>
    <t>-592.113246235896 -97.7320047880955 650.396929288114</t>
  </si>
  <si>
    <t>-444.250780224508 -145.958839017603 732.581916346114</t>
  </si>
  <si>
    <t>9763-20170724T164410.086292100.bin</t>
  </si>
  <si>
    <t>-499.352736952329 131.743174084821 -238.266367525893</t>
  </si>
  <si>
    <t>-539.07563972182 126.686701435227 -352.56554451155</t>
  </si>
  <si>
    <t>-554.055388191311 116.774461486944 -472.43179281006</t>
  </si>
  <si>
    <t>-557.196694049473 106.116957448 -581.387845094724</t>
  </si>
  <si>
    <t>-549.992716243967 93.979134281615 -689.995420283513</t>
  </si>
  <si>
    <t>-529.22273792891 75.7469834787001 -839.782696371457</t>
  </si>
  <si>
    <t>-483.446203298516 65.5285351039387 -930.243049545056</t>
  </si>
  <si>
    <t>-532.351782235121 114.885990388678 -776.448166150342</t>
  </si>
  <si>
    <t>-520.805915151992 260.81273537401 -762.432233426147</t>
  </si>
  <si>
    <t>-472.926793725426 313.687358839405 -454.052417236215</t>
  </si>
  <si>
    <t>-292.08465233344 214.489688663515 -295.629009535951</t>
  </si>
  <si>
    <t>-544.473854082964 52.7423357976008 -770.564863397127</t>
  </si>
  <si>
    <t>-348.530007268024 12.1819671302957 -472.194527363206</t>
  </si>
  <si>
    <t>-476.183544170423 226.059991689281 -250.114146633205</t>
  </si>
  <si>
    <t>-466.499616700422 209.782376266722 205.186712036589</t>
  </si>
  <si>
    <t>-492.731197294455 166.995826629938 672.334655113743</t>
  </si>
  <si>
    <t>-339.53460515348 155.905286268216 758.074454648531</t>
  </si>
  <si>
    <t>-522.366701098364 37.41682953674 -225.78862116339</t>
  </si>
  <si>
    <t>-430.376047838402 -10.1392224940313 217.9835545988</t>
  </si>
  <si>
    <t>-592.117730501009 -97.9332570016821 650.377089306181</t>
  </si>
  <si>
    <t>-444.186463307608 -145.964715631785 732.55273783356</t>
  </si>
  <si>
    <t>9763-20170724T164410.122402600.bin</t>
  </si>
  <si>
    <t>-499.340776903493 131.702801004059 -238.284615742151</t>
  </si>
  <si>
    <t>-539.049598969892 126.620571341527 -352.58768793521</t>
  </si>
  <si>
    <t>-554.020231876574 116.705140521646 -472.454787763656</t>
  </si>
  <si>
    <t>-557.155623927792 106.054253400646 -581.411574768432</t>
  </si>
  <si>
    <t>-549.948293786556 93.9320056433037 -690.020746956666</t>
  </si>
  <si>
    <t>-529.176372442178 75.7312327272792 -839.811544927807</t>
  </si>
  <si>
    <t>-483.395789792012 65.5504839383182 -930.274059509738</t>
  </si>
  <si>
    <t>-532.318886602459 114.859214143173 -776.470776727821</t>
  </si>
  <si>
    <t>-520.81557180485 260.787888110843 -762.432511233843</t>
  </si>
  <si>
    <t>-473.400432045701 314.010269520055 -454.040817753688</t>
  </si>
  <si>
    <t>-292.585822223923 214.746612539199 -295.627299626857</t>
  </si>
  <si>
    <t>-544.415728638925 52.7097748192487 -770.596644848623</t>
  </si>
  <si>
    <t>-348.471898607247 12.1280052044885 -472.282355660502</t>
  </si>
  <si>
    <t>-476.165138755213 225.842413182391 -250.131959525928</t>
  </si>
  <si>
    <t>-466.463429400336 209.61881928853 205.170502269656</t>
  </si>
  <si>
    <t>-492.615070847264 166.56089844489 672.328004086533</t>
  </si>
  <si>
    <t>-339.351375546167 156.322900433586 758.053853926834</t>
  </si>
  <si>
    <t>-522.330993344078 37.5695675430286 -225.806487664775</t>
  </si>
  <si>
    <t>-430.33365176417 -9.95692735251756 217.967604093299</t>
  </si>
  <si>
    <t>-592.080412019696 -97.3232940532029 650.358649685968</t>
  </si>
  <si>
    <t>-444.467913270788 -146.282415821287 732.559954211294</t>
  </si>
  <si>
    <t>9763-20170724T164410.188578200.bin</t>
  </si>
  <si>
    <t>-499.401171655557 131.480504886818 -238.312877740777</t>
  </si>
  <si>
    <t>-539.139090097987 126.400624196003 -352.605826991006</t>
  </si>
  <si>
    <t>-554.137778102509 116.532595624582 -472.473470241735</t>
  </si>
  <si>
    <t>-557.297767764509 105.944360969364 -581.435570113972</t>
  </si>
  <si>
    <t>-550.113949766081 93.9058615492903 -690.055617522885</t>
  </si>
  <si>
    <t>-529.373505973499 75.8438688862878 -839.867519420963</t>
  </si>
  <si>
    <t>-483.592714618975 65.7797178941319 -930.343028741175</t>
  </si>
  <si>
    <t>-532.536660214451 114.919243208803 -776.495422272055</t>
  </si>
  <si>
    <t>-521.190449649445 260.851776271992 -762.389693347112</t>
  </si>
  <si>
    <t>-474.795078849271 314.644436858277 -453.94183329807</t>
  </si>
  <si>
    <t>-293.953741729731 215.181450270634 -295.683951607402</t>
  </si>
  <si>
    <t>-544.564400799502 52.7522359070613 -770.66542859557</t>
  </si>
  <si>
    <t>-348.518969934294 12.1709730738004 -472.380970913209</t>
  </si>
  <si>
    <t>-476.259358157435 225.573876776404 -250.155711519128</t>
  </si>
  <si>
    <t>-466.489119595187 209.402849961565 205.147165486565</t>
  </si>
  <si>
    <t>-492.614261929578 166.609398349027 672.323019488008</t>
  </si>
  <si>
    <t>-339.297963603752 157.064913877807 758.034898572373</t>
  </si>
  <si>
    <t>-522.408808144123 37.4147407074968 -225.825891363885</t>
  </si>
  <si>
    <t>-430.370574338157 -10.1503994555287 217.935557909381</t>
  </si>
  <si>
    <t>-592.091890001037 -97.4641530318332 650.350301862892</t>
  </si>
  <si>
    <t>-444.369643306631 -146.128599748363 732.529585368776</t>
  </si>
  <si>
    <t>9763-20170724T164410.224165400.bin</t>
  </si>
  <si>
    <t>-499.492566765435 131.448663722383 -238.338352515358</t>
  </si>
  <si>
    <t>-539.227835982742 126.363007486158 -352.631986429228</t>
  </si>
  <si>
    <t>-554.208178338797 116.500775980732 -472.502367140096</t>
  </si>
  <si>
    <t>-557.344836917689 105.924812936435 -581.466314922249</t>
  </si>
  <si>
    <t>-550.131164401892 93.9068329999344 -690.086806817422</t>
  </si>
  <si>
    <t>-529.342623794708 75.8831674919676 -839.896559922615</t>
  </si>
  <si>
    <t>-483.538829721546 65.8728726612538 -930.366368168365</t>
  </si>
  <si>
    <t>-532.548489574857 114.946317251832 -776.519128644517</t>
  </si>
  <si>
    <t>-521.351552649061 260.8879468364 -762.391789157196</t>
  </si>
  <si>
    <t>-475.393077691805 315.009253583952 -453.936197137762</t>
  </si>
  <si>
    <t>-294.542324586934 215.469523410138 -295.737250658393</t>
  </si>
  <si>
    <t>-544.533344944127 52.7698389072873 -770.701642941334</t>
  </si>
  <si>
    <t>-348.501816904481 12.2405802623887 -472.479181757381</t>
  </si>
  <si>
    <t>-476.362463917535 225.614720173331 -250.174609709726</t>
  </si>
  <si>
    <t>-466.558929981752 209.494009030173 205.129357719581</t>
  </si>
  <si>
    <t>-492.641656795713 166.748084074966 672.311763519274</t>
  </si>
  <si>
    <t>-339.396848247548 156.350558598497 758.052220945368</t>
  </si>
  <si>
    <t>-522.482250387625 37.293421927972 -225.853413454323</t>
  </si>
  <si>
    <t>-430.417315330037 -10.1615543577162 217.914187960475</t>
  </si>
  <si>
    <t>-592.105001749543 -97.5685102452013 650.355476325249</t>
  </si>
  <si>
    <t>-444.399210630224 -146.305026644685 732.521535202703</t>
  </si>
  <si>
    <t>9763-20170724T164410.286334900.bin</t>
  </si>
  <si>
    <t>-499.756363918343 131.451275608544 -238.377765561615</t>
  </si>
  <si>
    <t>-539.519363007071 126.345327594718 -352.660954842812</t>
  </si>
  <si>
    <t>-554.479346120261 116.496064961654 -472.534807178048</t>
  </si>
  <si>
    <t>-557.577449540317 105.948917473713 -581.502760522849</t>
  </si>
  <si>
    <t>-550.305128532478 93.9791581348416 -690.124524014314</t>
  </si>
  <si>
    <t>-529.414480530734 76.0446582338881 -839.930858147189</t>
  </si>
  <si>
    <t>-483.567683726408 66.1553535369396 -930.392293629335</t>
  </si>
  <si>
    <t>-532.703476786768 115.077213524103 -776.538656720271</t>
  </si>
  <si>
    <t>-521.745789672514 261.038613753266 -762.369351353277</t>
  </si>
  <si>
    <t>-476.76539204092 315.621877873934 -453.850907047603</t>
  </si>
  <si>
    <t>-295.937770895349 215.978239411021 -295.690890330673</t>
  </si>
  <si>
    <t>-544.612437321687 52.883064047957 -770.753692506811</t>
  </si>
  <si>
    <t>-348.52541324449 12.4389418076684 -472.550277141955</t>
  </si>
  <si>
    <t>-476.674611496209 225.763924490292 -250.226969311785</t>
  </si>
  <si>
    <t>-466.739630714692 209.718445874952 205.076738595505</t>
  </si>
  <si>
    <t>-492.719819135104 167.22578022948 672.2689049076</t>
  </si>
  <si>
    <t>-339.600572264826 155.452361170918 758.055900594091</t>
  </si>
  <si>
    <t>-522.708913185409 37.1921418040714 -225.86330289553</t>
  </si>
  <si>
    <t>-430.518737154811 -10.2505662509311 217.879707265788</t>
  </si>
  <si>
    <t>-592.114862188991 -97.5718533751966 650.362347542754</t>
  </si>
  <si>
    <t>-444.181855246638 -145.690818303783 732.483738350191</t>
  </si>
  <si>
    <t>9763-20170724T164410.321760900.bin</t>
  </si>
  <si>
    <t>-499.918883951216 131.4827614519 -238.418551101211</t>
  </si>
  <si>
    <t>-539.697335996781 126.378288131832 -352.696471353127</t>
  </si>
  <si>
    <t>-554.639899434388 116.531126689481 -472.572694205926</t>
  </si>
  <si>
    <t>-557.708235822328 105.987362314843 -581.541770273864</t>
  </si>
  <si>
    <t>-550.392594245962 94.0230500047519 -690.161148489104</t>
  </si>
  <si>
    <t>-529.427887073865 76.0989311895887 -839.958350104572</t>
  </si>
  <si>
    <t>-483.549744751397 66.2632402147898 -930.40972722783</t>
  </si>
  <si>
    <t>-532.762152059881 115.129552001943 -776.567451998975</t>
  </si>
  <si>
    <t>-521.914832037364 261.091397217874 -762.38941374901</t>
  </si>
  <si>
    <t>-477.421137048785 315.93971746178 -453.847482248583</t>
  </si>
  <si>
    <t>-296.650652593428 216.263751289211 -295.642527343544</t>
  </si>
  <si>
    <t>-544.646042083001 52.9300890370567 -770.788121343708</t>
  </si>
  <si>
    <t>-348.616100403945 12.5409440524564 -472.569147393091</t>
  </si>
  <si>
    <t>-476.871117657965 225.717973495645 -250.251725684912</t>
  </si>
  <si>
    <t>-466.85561569561 209.711824007915 205.051568483857</t>
  </si>
  <si>
    <t>-492.697004830884 167.184125819876 672.259212648779</t>
  </si>
  <si>
    <t>-339.535062409717 155.899003716271 758.035552753418</t>
  </si>
  <si>
    <t>-522.832018958894 37.313388404615 -225.907779106295</t>
  </si>
  <si>
    <t>-430.643335147248 -10.1214409710344 217.836373763077</t>
  </si>
  <si>
    <t>-592.108919446972 -97.3621342604538 650.360746707723</t>
  </si>
  <si>
    <t>-444.448344790904 -146.283301077527 732.498365652628</t>
  </si>
  <si>
    <t>9763-20170724T164410.388940800.bin</t>
  </si>
  <si>
    <t>-500.13742602227 131.206385036537 -238.465747045709</t>
  </si>
  <si>
    <t>-539.890649381865 126.053186416096 -352.750201503268</t>
  </si>
  <si>
    <t>-554.799020227127 116.188815107402 -472.629398260045</t>
  </si>
  <si>
    <t>-557.833531796898 105.643353466613 -581.599248273475</t>
  </si>
  <si>
    <t>-550.481239530341 93.6914779986374 -690.217644961081</t>
  </si>
  <si>
    <t>-529.463392246799 75.7998045176016 -840.011264246823</t>
  </si>
  <si>
    <t>-483.540517649891 66.0534762938083 -930.449524968574</t>
  </si>
  <si>
    <t>-532.854457337827 114.822721878389 -776.618559890012</t>
  </si>
  <si>
    <t>-522.152264896194 260.804124451043 -762.415034982726</t>
  </si>
  <si>
    <t>-478.535407653077 316.219107773253 -453.848967224594</t>
  </si>
  <si>
    <t>-297.889090013571 216.470699193037 -295.548101992468</t>
  </si>
  <si>
    <t>-544.671780537853 52.6099457537839 -770.845873124966</t>
  </si>
  <si>
    <t>-348.719538892787 12.3663204261704 -472.602567279698</t>
  </si>
  <si>
    <t>-477.147141431985 225.348618274272 -250.308449729432</t>
  </si>
  <si>
    <t>-467.045007375857 209.417350827621 204.995670687342</t>
  </si>
  <si>
    <t>-492.608448243849 166.93648118311 672.229976714992</t>
  </si>
  <si>
    <t>-339.385532368909 156.435671935736 757.996955930131</t>
  </si>
  <si>
    <t>-522.984524565757 37.0590973996876 -225.974621591463</t>
  </si>
  <si>
    <t>-430.82552598738 -10.1495219836392 217.799806808303</t>
  </si>
  <si>
    <t>-592.136225370045 -97.3252644366976 650.404938714282</t>
  </si>
  <si>
    <t>-444.515104756359 -146.425922016464 732.506295364346</t>
  </si>
  <si>
    <t>9763-20170724T164410.422034300.bin</t>
  </si>
  <si>
    <t>-500.312707281249 131.011958355096 -238.475524515748</t>
  </si>
  <si>
    <t>-540.08729858271 125.840267052649 -352.751694370076</t>
  </si>
  <si>
    <t>-554.989986570147 115.959780308633 -472.630085380868</t>
  </si>
  <si>
    <t>-558.007771375781 105.402221273491 -581.599247095537</t>
  </si>
  <si>
    <t>-550.627252392005 93.4415824324174 -690.214750726563</t>
  </si>
  <si>
    <t>-529.558406393962 75.5419882049167 -840.000428540494</t>
  </si>
  <si>
    <t>-483.600585819377 65.820477525672 -930.423533031236</t>
  </si>
  <si>
    <t>-532.988918590778 114.571320634403 -776.613711098396</t>
  </si>
  <si>
    <t>-522.392096492571 260.55024393705 -762.40852084541</t>
  </si>
  <si>
    <t>-479.273264020198 316.23869997109 -453.82183026579</t>
  </si>
  <si>
    <t>-298.655277871773 216.460001068892 -295.507628397467</t>
  </si>
  <si>
    <t>-544.772502056582 52.3526784325556 -770.835951021453</t>
  </si>
  <si>
    <t>-348.856366941449 12.0562697826706 -472.570912525248</t>
  </si>
  <si>
    <t>-477.361761403251 225.243731399197 -250.338220913522</t>
  </si>
  <si>
    <t>-467.234169304847 209.39160440233 204.968087370707</t>
  </si>
  <si>
    <t>-492.608408954372 167.029417874384 672.211907001347</t>
  </si>
  <si>
    <t>-339.398786074452 156.360165372758 757.981761787289</t>
  </si>
  <si>
    <t>-523.136405632402 36.799436268574 -225.945931317858</t>
  </si>
  <si>
    <t>-430.853478643689 -10.4933769007185 217.793782974459</t>
  </si>
  <si>
    <t>-592.162226985814 -97.6591472508563 650.410913016977</t>
  </si>
  <si>
    <t>-444.198639087845 -145.812315283801 732.456951719483</t>
  </si>
  <si>
    <t>9763-20170724T164410.488210600.bin</t>
  </si>
  <si>
    <t>-500.643389320823 131.003948375603 -238.477030780189</t>
  </si>
  <si>
    <t>-540.499232503032 125.813932771865 -352.724072840692</t>
  </si>
  <si>
    <t>-555.396762091274 115.925313386673 -472.602567744183</t>
  </si>
  <si>
    <t>-558.37295593233 105.368513425332 -581.572956918583</t>
  </si>
  <si>
    <t>-550.914141630171 93.419241187243 -690.184265177559</t>
  </si>
  <si>
    <t>-529.698930995361 75.5486742177118 -839.952673715017</t>
  </si>
  <si>
    <t>-483.637874262724 65.8526699165151 -930.32600412769</t>
  </si>
  <si>
    <t>-533.221070176424 114.57086175688 -776.566734335868</t>
  </si>
  <si>
    <t>-522.757815076659 260.559563579386 -762.349540404308</t>
  </si>
  <si>
    <t>-480.721220639751 316.962742477338 -453.743336975424</t>
  </si>
  <si>
    <t>-300.120266189654 217.1010065167 -295.462067576819</t>
  </si>
  <si>
    <t>-544.950935528247 52.3407865056866 -770.8027903129</t>
  </si>
  <si>
    <t>-349.193047840183 12.1655611886 -472.517342162676</t>
  </si>
  <si>
    <t>-477.783341737618 225.303135660168 -250.372712873988</t>
  </si>
  <si>
    <t>-467.452299464583 209.56127510555 204.932713734396</t>
  </si>
  <si>
    <t>-492.666852489702 167.391927778856 672.200196977829</t>
  </si>
  <si>
    <t>-339.48191876553 156.358906932999 757.968241096</t>
  </si>
  <si>
    <t>-523.366102976844 36.78350846527 -225.928413794197</t>
  </si>
  <si>
    <t>-430.860062606079 -10.517097185244 217.764046809162</t>
  </si>
  <si>
    <t>-592.168503810079 -97.5670302545049 650.383836428094</t>
  </si>
  <si>
    <t>-444.251828925477 -145.921705035076 732.396022193486</t>
  </si>
  <si>
    <t>9763-20170724T164410.520304400.bin</t>
  </si>
  <si>
    <t>-500.785027357394 131.084164558768 -238.477277650856</t>
  </si>
  <si>
    <t>-540.669826574187 125.884439393745 -352.713724025276</t>
  </si>
  <si>
    <t>-555.552561135155 115.988199484083 -472.593405137987</t>
  </si>
  <si>
    <t>-558.496779766453 105.426885937945 -581.564312694267</t>
  </si>
  <si>
    <t>-550.987730496536 93.476420177671 -690.171971180017</t>
  </si>
  <si>
    <t>-529.683979981859 75.60874994842 -839.928149410112</t>
  </si>
  <si>
    <t>-483.549798111815 65.9249467858047 -930.265479244489</t>
  </si>
  <si>
    <t>-533.25484058311 114.631718461096 -776.545413895433</t>
  </si>
  <si>
    <t>-522.874887339277 260.621099797688 -762.338521344172</t>
  </si>
  <si>
    <t>-481.46283105288 317.352967904685 -453.708011453469</t>
  </si>
  <si>
    <t>-300.87726590814 217.452153097389 -295.433802994662</t>
  </si>
  <si>
    <t>-544.965609274381 52.3976119518528 -770.786070723457</t>
  </si>
  <si>
    <t>-349.241773171183 12.2241420681881 -472.450114392255</t>
  </si>
  <si>
    <t>-477.943111731506 225.386306559838 -250.389442571948</t>
  </si>
  <si>
    <t>-467.470989852507 209.698236910217 204.914628457048</t>
  </si>
  <si>
    <t>-492.723589435648 167.665852537587 672.191055696349</t>
  </si>
  <si>
    <t>-339.573902791441 156.216304981922 757.967506332328</t>
  </si>
  <si>
    <t>-523.474768658028 36.8782563218506 -225.931572634215</t>
  </si>
  <si>
    <t>-430.915365927829 -10.3600728152041 217.756281237381</t>
  </si>
  <si>
    <t>-592.160351455076 -97.3466016564332 650.37667369705</t>
  </si>
  <si>
    <t>-444.393516244219 -146.163627609707 732.385073444598</t>
  </si>
  <si>
    <t>9763-20170724T164410.587491700.bin</t>
  </si>
  <si>
    <t>-500.93795309307 130.497484291155 -238.526705332429</t>
  </si>
  <si>
    <t>-540.889553088335 125.312590670443 -352.740469886365</t>
  </si>
  <si>
    <t>-555.777909892754 115.409473109814 -472.618809196051</t>
  </si>
  <si>
    <t>-558.700706419942 104.83639675375 -581.58920068833</t>
  </si>
  <si>
    <t>-551.143291608262 92.8711331144847 -690.191956698003</t>
  </si>
  <si>
    <t>-529.744861150169 74.9814977788938 -839.931968983641</t>
  </si>
  <si>
    <t>-483.460760547757 65.2990761908331 -930.192709700883</t>
  </si>
  <si>
    <t>-533.368891034869 114.016011308328 -776.559386833008</t>
  </si>
  <si>
    <t>-523.123110607837 260.027878413274 -762.401014957703</t>
  </si>
  <si>
    <t>-483.129265583806 317.338069537706 -453.69047126822</t>
  </si>
  <si>
    <t>-302.614735617735 217.397543907684 -295.360395518242</t>
  </si>
  <si>
    <t>-545.057127646471 51.7782167858388 -770.7938988103</t>
  </si>
  <si>
    <t>-349.588728001354 11.7693704579795 -472.303974706434</t>
  </si>
  <si>
    <t>-478.034845823141 224.644247480412 -250.426402269085</t>
  </si>
  <si>
    <t>-467.330080285219 209.043695158961 204.875405988738</t>
  </si>
  <si>
    <t>-492.516908530919 166.906054929825 672.183291282977</t>
  </si>
  <si>
    <t>-339.2538444884 156.75331594153 757.920428202712</t>
  </si>
  <si>
    <t>-523.682276424987 36.308628825933 -225.984274445313</t>
  </si>
  <si>
    <t>-431.03588147352 -10.7622599509614 217.703172077635</t>
  </si>
  <si>
    <t>-592.18221738605 -97.5694392822573 650.399433251948</t>
  </si>
  <si>
    <t>-444.243412768668 -145.937074147839 732.363996388384</t>
  </si>
  <si>
    <t>9763-20170724T164410.619195200.bin</t>
  </si>
  <si>
    <t>-501.053879839984 130.389563987162 -238.561622676495</t>
  </si>
  <si>
    <t>-541.015540547038 125.202014061961 -352.771733037261</t>
  </si>
  <si>
    <t>-555.896824138255 115.29223934866 -472.650523530242</t>
  </si>
  <si>
    <t>-558.805962391177 104.712466464136 -581.620495712488</t>
  </si>
  <si>
    <t>-551.22772711651 92.7402123623595 -690.220998421473</t>
  </si>
  <si>
    <t>-529.792986495575 74.8412464757508 -839.954843006481</t>
  </si>
  <si>
    <t>-483.411466167742 65.1594602890358 -930.16561015547</t>
  </si>
  <si>
    <t>-533.43627701932 113.8803758896 -776.586099047027</t>
  </si>
  <si>
    <t>-523.205560382038 259.882952278066 -762.415977694384</t>
  </si>
  <si>
    <t>-483.936698276662 317.678386910138 -453.702699111391</t>
  </si>
  <si>
    <t>-303.532274615541 217.682635866667 -295.281900988799</t>
  </si>
  <si>
    <t>-545.118113263445 51.641591665465 -770.818489066201</t>
  </si>
  <si>
    <t>-349.649360184015 11.6805727222159 -472.200843761495</t>
  </si>
  <si>
    <t>-478.159630496342 224.569073417541 -250.457716434414</t>
  </si>
  <si>
    <t>-467.364477131071 209.069841237079 204.845485417181</t>
  </si>
  <si>
    <t>-492.541991794557 167.093235064908 672.160767103226</t>
  </si>
  <si>
    <t>-339.316602450953 156.522072746325 757.914830168675</t>
  </si>
  <si>
    <t>-523.789413454616 36.2604630116382 -226.026516905533</t>
  </si>
  <si>
    <t>-431.121794489076 -10.6260987782984 217.676153513495</t>
  </si>
  <si>
    <t>-592.172003510042 -97.1682877535667 650.424624260248</t>
  </si>
  <si>
    <t>-444.427687775312 -146.121932876929 732.392149039497</t>
  </si>
  <si>
    <t>9763-20170724T164410.688389500.bin</t>
  </si>
  <si>
    <t>-501.350940214728 130.081603845078 -238.613551196644</t>
  </si>
  <si>
    <t>-541.350697860602 124.898117285179 -352.810516888662</t>
  </si>
  <si>
    <t>-556.220979147113 114.98267663877 -472.690164417305</t>
  </si>
  <si>
    <t>-559.099248285306 104.395408643678 -581.660177002631</t>
  </si>
  <si>
    <t>-551.469380942374 92.4139421164642 -690.256149910473</t>
  </si>
  <si>
    <t>-529.941826950554 74.5013289079388 -839.974943833092</t>
  </si>
  <si>
    <t>-483.397236715661 64.8174704599055 -930.101433127342</t>
  </si>
  <si>
    <t>-533.632574317122 113.547627613736 -776.613391494448</t>
  </si>
  <si>
    <t>-523.483850998003 259.567158782593 -762.455236372401</t>
  </si>
  <si>
    <t>-485.961638495087 318.013124721182 -453.647323058289</t>
  </si>
  <si>
    <t>-305.725504768968 217.869851045597 -295.127973050513</t>
  </si>
  <si>
    <t>-545.301695368204 51.3065680108321 -770.844704093058</t>
  </si>
  <si>
    <t>-349.970166670867 11.4209698549367 -472.058549545783</t>
  </si>
  <si>
    <t>-478.466787438178 224.270914473229 -250.520100094593</t>
  </si>
  <si>
    <t>-467.534806010156 208.95750375774 204.78606353995</t>
  </si>
  <si>
    <t>-492.517682405081 167.197029447971 672.11715567646</t>
  </si>
  <si>
    <t>-339.332183721892 156.342544164487 757.906939738428</t>
  </si>
  <si>
    <t>-524.081329224242 35.942792146807 -226.030859659943</t>
  </si>
  <si>
    <t>-431.280139003854 -10.9421430366487 217.644011500301</t>
  </si>
  <si>
    <t>-592.229461324191 -97.5296663791084 650.476262535238</t>
  </si>
  <si>
    <t>-444.361007964028 -146.188189878523 732.395525811869</t>
  </si>
  <si>
    <t>9763-20170724T164410.718018500.bin</t>
  </si>
  <si>
    <t>-501.524982293877 129.83705845159 -238.612373965656</t>
  </si>
  <si>
    <t>-541.527739230743 124.650078827678 -352.808172132343</t>
  </si>
  <si>
    <t>-556.368219765435 114.725853384719 -472.690723596552</t>
  </si>
  <si>
    <t>-559.205842654062 104.129299550709 -581.661074506651</t>
  </si>
  <si>
    <t>-551.521979312651 92.1382570520089 -690.251980434174</t>
  </si>
  <si>
    <t>-529.905946901093 74.2125376818969 -839.956440699497</t>
  </si>
  <si>
    <t>-483.293516863614 64.5303580364082 -930.048198395542</t>
  </si>
  <si>
    <t>-533.646377389066 113.266504278313 -776.602625267661</t>
  </si>
  <si>
    <t>-523.579829965873 259.28176272852 -762.438195518364</t>
  </si>
  <si>
    <t>-486.942562048936 318.191186460298 -453.612140248202</t>
  </si>
  <si>
    <t>-306.791532389613 217.745143758672 -295.187867573718</t>
  </si>
  <si>
    <t>-545.294303562193 51.0217098759413 -770.831288401851</t>
  </si>
  <si>
    <t>-350.095619159321 11.2004714365963 -472.02190321712</t>
  </si>
  <si>
    <t>-478.64555881048 224.039717269717 -250.536311012556</t>
  </si>
  <si>
    <t>-467.627988123119 208.804385883505 204.770392894037</t>
  </si>
  <si>
    <t>-492.509940428523 167.222972763742 672.120184525094</t>
  </si>
  <si>
    <t>-339.304974039894 156.598619514398 757.904132304053</t>
  </si>
  <si>
    <t>-524.256427606112 35.6377274178925 -226.039347684676</t>
  </si>
  <si>
    <t>-431.327149067474 -11.0973647161502 217.624579586216</t>
  </si>
  <si>
    <t>-592.247107859481 -97.5706180164485 650.490891162153</t>
  </si>
  <si>
    <t>-444.250104719585 -145.894853955162 732.376097282281</t>
  </si>
  <si>
    <t>9763-20170724T164410.785197400.bin</t>
  </si>
  <si>
    <t>-501.872705636672 129.548563105636 -238.685610889154</t>
  </si>
  <si>
    <t>-541.920666194722 124.326170865292 -352.863997837224</t>
  </si>
  <si>
    <t>-556.731215979553 114.381331078961 -472.748558088323</t>
  </si>
  <si>
    <t>-559.510363607545 103.774807812366 -581.719242719206</t>
  </si>
  <si>
    <t>-551.737028022616 91.7835271330915 -690.303983446075</t>
  </si>
  <si>
    <t>-529.965222977475 73.8692868685454 -839.987287168611</t>
  </si>
  <si>
    <t>-483.225442151754 64.2240542379396 -930.016952775234</t>
  </si>
  <si>
    <t>-533.80572906412 112.924235628723 -776.640017679144</t>
  </si>
  <si>
    <t>-523.949885419799 258.954536900098 -762.462850131579</t>
  </si>
  <si>
    <t>-488.995244238253 318.650023223295 -453.592668532093</t>
  </si>
  <si>
    <t>-309.097369392557 217.65892473875 -295.227250095283</t>
  </si>
  <si>
    <t>-545.391408697649 50.6672874489369 -770.874224595951</t>
  </si>
  <si>
    <t>-350.425936461752 11.0582620013954 -471.955695560274</t>
  </si>
  <si>
    <t>-479.068419434177 223.877245636623 -250.621789451922</t>
  </si>
  <si>
    <t>-467.911629302828 208.851646727803 204.688430767859</t>
  </si>
  <si>
    <t>-492.549600957455 167.673880957869 672.054130275736</t>
  </si>
  <si>
    <t>-339.431085593363 156.25592040249 757.890468047362</t>
  </si>
  <si>
    <t>-524.502500802065 35.2979533969034 -226.094419346534</t>
  </si>
  <si>
    <t>-431.410158535586 -11.145916921479 217.565803202933</t>
  </si>
  <si>
    <t>-592.262419771164 -97.484954257433 650.48986949953</t>
  </si>
  <si>
    <t>-444.300660372864 -145.960972436097 732.348963175641</t>
  </si>
  <si>
    <t>9763-20170724T164410.820811300.bin</t>
  </si>
  <si>
    <t>-502.042599350013 129.362751797056 -238.707149781428</t>
  </si>
  <si>
    <t>-542.088847018661 124.100018473445 -352.884245223785</t>
  </si>
  <si>
    <t>-556.873677854173 114.131129051743 -472.769972322174</t>
  </si>
  <si>
    <t>-559.619877483946 103.510440258492 -581.740240614429</t>
  </si>
  <si>
    <t>-551.804191924794 91.5128821334002 -690.321176299382</t>
  </si>
  <si>
    <t>-529.964389718178 73.5986386613098 -839.994637817069</t>
  </si>
  <si>
    <t>-483.16460609205 63.9757888578286 -929.995545926592</t>
  </si>
  <si>
    <t>-533.859383017439 112.657959324916 -776.653268550171</t>
  </si>
  <si>
    <t>-524.142570299945 258.699486809457 -762.471639155233</t>
  </si>
  <si>
    <t>-489.901606867027 318.744612898807 -453.589209523835</t>
  </si>
  <si>
    <t>-310.108232737874 217.821591751894 -295.061744172777</t>
  </si>
  <si>
    <t>-545.396282293121 50.3923128065109 -770.884202562747</t>
  </si>
  <si>
    <t>-350.547804092884 10.9606993473093 -471.981433490705</t>
  </si>
  <si>
    <t>-479.296196392272 223.728757932383 -250.660666266685</t>
  </si>
  <si>
    <t>-468.068830381799 208.837104433362 204.652187363404</t>
  </si>
  <si>
    <t>-492.557059111461 167.8148957108 672.03740920124</t>
  </si>
  <si>
    <t>-339.463722872439 156.112673017209 757.880311993835</t>
  </si>
  <si>
    <t>-524.603763615208 35.0764084290929 -226.10538810037</t>
  </si>
  <si>
    <t>-431.434106746803 -11.2179569656377 217.554286745332</t>
  </si>
  <si>
    <t>-592.269389540169 -97.5177424448423 650.481963702628</t>
  </si>
  <si>
    <t>-444.161321558655 -145.589182812061 732.31500714428</t>
  </si>
  <si>
    <t>9763-20170724T164410.885984500.bin</t>
  </si>
  <si>
    <t>-502.326502756835 128.838528294745 -238.768737040266</t>
  </si>
  <si>
    <t>-542.399513670033 123.467558160683 -352.93150306722</t>
  </si>
  <si>
    <t>-557.153255465129 113.442588298676 -472.816458721833</t>
  </si>
  <si>
    <t>-559.84767070827 102.794781390198 -581.785186490386</t>
  </si>
  <si>
    <t>-551.957198457273 90.7947291917717 -690.360610565384</t>
  </si>
  <si>
    <t>-529.990278929346 72.9034646405659 -840.017937502984</t>
  </si>
  <si>
    <t>-483.071794912516 63.3549810888852 -929.965062155891</t>
  </si>
  <si>
    <t>-534.005876995707 111.964366388987 -776.685343807229</t>
  </si>
  <si>
    <t>-524.607773686812 258.026869025142 -762.502375733459</t>
  </si>
  <si>
    <t>-491.60702463047 318.52312080631 -453.573083353397</t>
  </si>
  <si>
    <t>-311.886503602102 218.025099746726 -294.693379648755</t>
  </si>
  <si>
    <t>-545.413998041048 49.6751893169824 -770.913116710399</t>
  </si>
  <si>
    <t>-350.57065481455 10.6612328813936 -471.911989450994</t>
  </si>
  <si>
    <t>-479.737926467698 223.122267611925 -250.74026621826</t>
  </si>
  <si>
    <t>-468.334795517967 208.494474110013 204.576865344542</t>
  </si>
  <si>
    <t>-492.422033358966 167.431313389758 672.011815320623</t>
  </si>
  <si>
    <t>-339.271833042361 156.42003998319 757.844647224918</t>
  </si>
  <si>
    <t>-524.729952269889 34.5388594371052 -226.122372176665</t>
  </si>
  <si>
    <t>-431.406524130988 -11.4291155886139 217.53892880276</t>
  </si>
  <si>
    <t>-592.298000208051 -97.9176164131591 650.460698499701</t>
  </si>
  <si>
    <t>-444.122966911537 -145.823771161102 732.26938348135</t>
  </si>
  <si>
    <t>9763-20170724T164410.917568700.bin</t>
  </si>
  <si>
    <t>-502.488712530802 128.63308309124 -238.781940074668</t>
  </si>
  <si>
    <t>-542.568260176419 123.199613067792 -352.939347587624</t>
  </si>
  <si>
    <t>-557.309271448789 113.148192930166 -472.823613644037</t>
  </si>
  <si>
    <t>-559.984308096378 102.493219322276 -581.79223268801</t>
  </si>
  <si>
    <t>-552.066736366721 90.5036993630303 -690.366661540289</t>
  </si>
  <si>
    <t>-530.054514720517 72.6465058745532 -840.021638130785</t>
  </si>
  <si>
    <t>-483.092135508081 63.1566842689757 -929.951935310385</t>
  </si>
  <si>
    <t>-534.135891879487 111.700728997847 -776.688904352553</t>
  </si>
  <si>
    <t>-524.948915090699 257.780577448769 -762.497394089447</t>
  </si>
  <si>
    <t>-492.481016276778 318.488772873056 -453.553190439265</t>
  </si>
  <si>
    <t>-312.726288094015 218.177138153523 -294.594438394815</t>
  </si>
  <si>
    <t>-545.452516145128 49.3947571187201 -770.918975657045</t>
  </si>
  <si>
    <t>-350.616971820606 10.6742149298309 -471.915575186808</t>
  </si>
  <si>
    <t>-480.002096106764 222.931013762024 -250.781958975269</t>
  </si>
  <si>
    <t>-468.494227716147 208.442152263757 204.536918208507</t>
  </si>
  <si>
    <t>-492.41306921448 167.492565222276 671.993336706967</t>
  </si>
  <si>
    <t>-339.292722256139 156.1870120488 757.841058471223</t>
  </si>
  <si>
    <t>-524.800156078778 34.3466619760227 -226.119747820443</t>
  </si>
  <si>
    <t>-431.375909570312 -11.45657877895 217.537368770186</t>
  </si>
  <si>
    <t>-592.298084933144 -97.8506214458596 650.445824582159</t>
  </si>
  <si>
    <t>-444.151437403077 -145.856405523269 732.247513842599</t>
  </si>
  <si>
    <t>9763-20170724T164410.987757200.bin</t>
  </si>
  <si>
    <t>-502.729427494123 128.148778365096 -238.827439413991</t>
  </si>
  <si>
    <t>-542.858446949791 122.578140687821 -352.960831614626</t>
  </si>
  <si>
    <t>-557.550418323516 112.450941144368 -472.844716941852</t>
  </si>
  <si>
    <t>-560.14017752399 101.758031886079 -581.811602082339</t>
  </si>
  <si>
    <t>-552.09722405578 89.7640383780075 -690.376496403156</t>
  </si>
  <si>
    <t>-529.870558545588 71.9381299542345 -840.003442126986</t>
  </si>
  <si>
    <t>-482.783518549677 62.5712975560242 -929.881351114477</t>
  </si>
  <si>
    <t>-534.144979328181 110.995952782176 -776.685676867963</t>
  </si>
  <si>
    <t>-525.439731191988 257.097510383626 -762.507553801684</t>
  </si>
  <si>
    <t>-494.072168459511 318.590164334887 -453.604776080914</t>
  </si>
  <si>
    <t>-314.216418503805 218.569724400597 -294.576878397901</t>
  </si>
  <si>
    <t>-545.26532154884 48.6551189574193 -770.910515029955</t>
  </si>
  <si>
    <t>-350.429882624869 10.5911449185733 -471.879031755359</t>
  </si>
  <si>
    <t>-480.436961314055 222.388256298584 -250.874350966294</t>
  </si>
  <si>
    <t>-468.693667543374 208.211269509186 204.448418578727</t>
  </si>
  <si>
    <t>-492.348065410044 167.482174232829 671.941973064343</t>
  </si>
  <si>
    <t>-339.19868195655 156.623625449656 757.795726579489</t>
  </si>
  <si>
    <t>-524.845409286331 33.8980624994881 -226.105810175025</t>
  </si>
  <si>
    <t>-431.160848204299 -11.6238716263527 217.525324208802</t>
  </si>
  <si>
    <t>-592.290816514649 -98.0927528398334 650.379471046537</t>
  </si>
  <si>
    <t>-444.140739609286 -146.085618676825 732.182557830743</t>
  </si>
  <si>
    <t>9763-20170724T164411.033890100.bin</t>
  </si>
  <si>
    <t>-502.827649255393 127.869586436322 -238.831975531552</t>
  </si>
  <si>
    <t>-542.975846947093 122.227896878019 -352.955021288596</t>
  </si>
  <si>
    <t>-557.651274470552 112.059975848626 -472.837513148375</t>
  </si>
  <si>
    <t>-560.211219429639 101.345549557941 -581.803204257895</t>
  </si>
  <si>
    <t>-552.123845213381 89.3470374855793 -690.364164470627</t>
  </si>
  <si>
    <t>-529.820692059008 71.5338020228962 -839.981141034404</t>
  </si>
  <si>
    <t>-482.685334058512 62.2343342759833 -929.840879008503</t>
  </si>
  <si>
    <t>-534.180465466358 110.594893049081 -776.671347250206</t>
  </si>
  <si>
    <t>-525.726407866049 256.72308351401 -762.49511598603</t>
  </si>
  <si>
    <t>-495.012618360504 318.589885259506 -453.601231095836</t>
  </si>
  <si>
    <t>-315.021607803745 218.805411262394 -294.578199869228</t>
  </si>
  <si>
    <t>-545.197899358116 48.2363749779407 -770.889330717761</t>
  </si>
  <si>
    <t>-350.312628898958 10.5864039314208 -471.828153812828</t>
  </si>
  <si>
    <t>-480.610856833343 221.965081538604 -250.916102228076</t>
  </si>
  <si>
    <t>-468.758058933076 207.971077046427 204.409370274019</t>
  </si>
  <si>
    <t>-492.258382992587 167.223888187633 671.927817854962</t>
  </si>
  <si>
    <t>-339.03574626577 157.27166458218 757.760744574097</t>
  </si>
  <si>
    <t>-524.862711524939 33.77938458928 -226.091678641499</t>
  </si>
  <si>
    <t>-430.999054179373 -11.515257982945 217.524838820104</t>
  </si>
  <si>
    <t>-592.246857171894 -97.6337503668468 650.320881255306</t>
  </si>
  <si>
    <t>-444.315121523337 -146.252255163099 732.149669363534</t>
  </si>
  <si>
    <t>9763-20170724T164411.050936300.bin</t>
  </si>
  <si>
    <t>-502.974414776808 127.698222411601 -238.898843759201</t>
  </si>
  <si>
    <t>-543.174652868196 121.98631395084 -353.000090814123</t>
  </si>
  <si>
    <t>-557.846761978808 111.761646918273 -472.878258803376</t>
  </si>
  <si>
    <t>-560.380021942616 101.004498294412 -581.840173971599</t>
  </si>
  <si>
    <t>-552.242739632661 88.9732134967465 -690.393769723487</t>
  </si>
  <si>
    <t>-529.846582598954 71.1262440265304 -839.993012660543</t>
  </si>
  <si>
    <t>-482.66106199085 61.8890918771608 -929.832688100327</t>
  </si>
  <si>
    <t>-534.295450902088 110.209513891347 -776.703006266335</t>
  </si>
  <si>
    <t>-526.170243404478 256.351688607108 -762.542505405919</t>
  </si>
  <si>
    <t>-496.086521898334 318.605597783945 -453.664522734663</t>
  </si>
  <si>
    <t>-315.958596865692 219.105389546874 -294.61827138203</t>
  </si>
  <si>
    <t>-545.216821153459 47.8363384469602 -770.896986580631</t>
  </si>
  <si>
    <t>-350.409684614168 10.60457497221 -471.805412693038</t>
  </si>
  <si>
    <t>-480.90896083732 221.834280934411 -250.980444183447</t>
  </si>
  <si>
    <t>-468.89911257851 208.016504759847 204.346356953341</t>
  </si>
  <si>
    <t>-492.273758416082 167.443054797264 671.888435138272</t>
  </si>
  <si>
    <t>-339.120268618422 156.755559181031 757.75639128248</t>
  </si>
  <si>
    <t>-524.895093178157 33.5817841575189 -226.126653972066</t>
  </si>
  <si>
    <t>-430.955624558517 -11.4547514258384 217.500157027262</t>
  </si>
  <si>
    <t>-592.245883145298 -97.8820421185144 650.289032410537</t>
  </si>
  <si>
    <t>-444.443076157857 -146.863443939966 732.134334705687</t>
  </si>
  <si>
    <t>9763-20170724T164411.123149100.bin</t>
  </si>
  <si>
    <t>-503.335157342646 127.002384875079 -238.986973137185</t>
  </si>
  <si>
    <t>-543.505703778654 121.072565238629 -353.087664524958</t>
  </si>
  <si>
    <t>-558.123222528226 110.725516873448 -472.961942271758</t>
  </si>
  <si>
    <t>-560.598541657188 99.8988869467967 -581.918321148842</t>
  </si>
  <si>
    <t>-552.395535454583 87.8398300602576 -690.464005348078</t>
  </si>
  <si>
    <t>-529.901021665749 69.9979561935383 -840.048971059646</t>
  </si>
  <si>
    <t>-482.65728017477 60.9033856607163 -929.872657729205</t>
  </si>
  <si>
    <t>-534.506460616578 109.097225663504 -776.78003105263</t>
  </si>
  <si>
    <t>-526.973974475913 255.275622330208 -762.67386726019</t>
  </si>
  <si>
    <t>-498.032507176938 318.002052750669 -453.7824127833</t>
  </si>
  <si>
    <t>-317.686863356882 219.259937000077 -294.510582587282</t>
  </si>
  <si>
    <t>-545.201874067889 46.6876609334541 -770.944364167116</t>
  </si>
  <si>
    <t>-350.267332326002 10.3120449584691 -471.722728148081</t>
  </si>
  <si>
    <t>-481.575839083467 221.206774307632 -251.151608033535</t>
  </si>
  <si>
    <t>-469.31074762578 207.880674585776 204.183045029333</t>
  </si>
  <si>
    <t>-492.257202363677 167.898270858959 671.755937179567</t>
  </si>
  <si>
    <t>-339.126781141349 157.302255637339 757.676294595561</t>
  </si>
  <si>
    <t>-524.916424813223 32.8680819399389 -226.180877882936</t>
  </si>
  <si>
    <t>-430.849378979518 -11.6008022939615 217.476062460146</t>
  </si>
  <si>
    <t>-592.227215129783 -97.8300514525803 650.241980231375</t>
  </si>
  <si>
    <t>-444.392549373621 -146.731878461136 732.077411287685</t>
  </si>
  <si>
    <t>9763-20170724T164411.187306700.bin</t>
  </si>
  <si>
    <t>-503.785992774895 126.196195175974 -239.129129275275</t>
  </si>
  <si>
    <t>-543.962226439525 119.965835379761 -353.211716418626</t>
  </si>
  <si>
    <t>-558.550768435954 109.466394843963 -473.076322129867</t>
  </si>
  <si>
    <t>-560.987349691747 98.5632825310564 -582.025956261369</t>
  </si>
  <si>
    <t>-552.734407406832 86.4879048615377 -690.565900417549</t>
  </si>
  <si>
    <t>-530.15989364506 68.6854753181182 -840.143505963929</t>
  </si>
  <si>
    <t>-482.873101140222 59.737303314636 -929.95931965083</t>
  </si>
  <si>
    <t>-534.936205162042 107.78905727649 -776.889960044968</t>
  </si>
  <si>
    <t>-528.037473981331 254.005481915815 -762.800333608327</t>
  </si>
  <si>
    <t>-499.911097751968 317.012193213078 -453.890538995132</t>
  </si>
  <si>
    <t>-319.366256269663 219.338816367389 -294.186127136791</t>
  </si>
  <si>
    <t>-545.360627562513 45.3359142038073 -771.030198226644</t>
  </si>
  <si>
    <t>-350.180069143717 9.84060596576252 -471.606749054244</t>
  </si>
  <si>
    <t>-482.437032122219 220.288356368239 -251.404303741395</t>
  </si>
  <si>
    <t>-469.858851303871 207.687563915398 203.942450269238</t>
  </si>
  <si>
    <t>-492.09938801143 168.039868511017 671.567375012914</t>
  </si>
  <si>
    <t>-338.966500039471 158.01221024859 757.551488149845</t>
  </si>
  <si>
    <t>-524.919068093694 32.1825954721728 -226.221109884484</t>
  </si>
  <si>
    <t>-430.518260849283 -11.4630646911337 217.446834697685</t>
  </si>
  <si>
    <t>-592.163436904773 -97.4085779047167 650.126311119589</t>
  </si>
  <si>
    <t>-444.587280195805 -147.029988004808 731.995038788188</t>
  </si>
  <si>
    <t>9763-20170724T164411.223436200.bin</t>
  </si>
  <si>
    <t>-504.033241446463 125.286349463602 -239.190952861941</t>
  </si>
  <si>
    <t>-544.237477568087 118.870142051163 -353.253423931246</t>
  </si>
  <si>
    <t>-558.803877672358 108.29716762706 -473.114198043986</t>
  </si>
  <si>
    <t>-561.200586270125 97.3736979403659 -582.062773558035</t>
  </si>
  <si>
    <t>-552.889058328553 85.323676307385 -690.601107498484</t>
  </si>
  <si>
    <t>-530.214636732506 67.6036274023095 -840.173341042182</t>
  </si>
  <si>
    <t>-482.893407569775 58.7608351256169 -929.981445553924</t>
  </si>
  <si>
    <t>-535.116202943881 106.684828191486 -776.915482945844</t>
  </si>
  <si>
    <t>-528.595598877099 252.90288497646 -762.774318771051</t>
  </si>
  <si>
    <t>-500.844111104463 316.123914155274 -453.874495047536</t>
  </si>
  <si>
    <t>-320.31152976338 219.075265437205 -293.775721079977</t>
  </si>
  <si>
    <t>-545.378486145584 44.2035617902638 -771.069008439291</t>
  </si>
  <si>
    <t>-349.981592713247 9.06303796497005 -471.412041329758</t>
  </si>
  <si>
    <t>-482.900177230402 219.374315319451 -251.526596950173</t>
  </si>
  <si>
    <t>-470.121452360757 207.169717537195 203.825409086364</t>
  </si>
  <si>
    <t>-491.90347264946 167.618714254968 671.493905145858</t>
  </si>
  <si>
    <t>-338.706609845737 158.648998425242 757.480959604021</t>
  </si>
  <si>
    <t>-524.972033177025 31.1069741855284 -226.203874987852</t>
  </si>
  <si>
    <t>-430.350167881147 -11.9557425946703 217.474003626613</t>
  </si>
  <si>
    <t>-592.185169136236 -98.1171176582658 650.083047846944</t>
  </si>
  <si>
    <t>-443.899107527009 -145.711501579411 731.872506615877</t>
  </si>
  <si>
    <t>9763-20170724T164411.287592000.bin</t>
  </si>
  <si>
    <t>-504.821952380247 123.635450076965 -239.397387952951</t>
  </si>
  <si>
    <t>-545.119390402923 116.793629424152 -353.402226941494</t>
  </si>
  <si>
    <t>-559.639401607988 106.06293841967 -473.254540548579</t>
  </si>
  <si>
    <t>-561.93841802513 95.1081176212871 -582.202098884974</t>
  </si>
  <si>
    <t>-553.475539149152 83.1374855673228 -690.737396259595</t>
  </si>
  <si>
    <t>-530.537965891984 65.6424626897828 -840.296094508575</t>
  </si>
  <si>
    <t>-483.103026958264 57.0989514421232 -930.073203750695</t>
  </si>
  <si>
    <t>-535.749375469158 104.657302470228 -777.022002082564</t>
  </si>
  <si>
    <t>-530.074321836694 250.914950055514 -762.744494996553</t>
  </si>
  <si>
    <t>-502.824315914984 314.584332277987 -453.891975432262</t>
  </si>
  <si>
    <t>-321.329075669244 222.532890017931 -291.941273363994</t>
  </si>
  <si>
    <t>-545.624874642574 42.1096202160494 -771.220043780525</t>
  </si>
  <si>
    <t>-349.37246628927 8.02316501622553 -470.473620801583</t>
  </si>
  <si>
    <t>-484.271675750288 217.788016967375 -251.873813645868</t>
  </si>
  <si>
    <t>-470.854884958535 206.606685830395 203.486142473587</t>
  </si>
  <si>
    <t>-491.725055784356 167.879412709458 671.254347454957</t>
  </si>
  <si>
    <t>-338.541185222431 159.400793995031 757.314296220179</t>
  </si>
  <si>
    <t>-525.146784397069 29.5193994229944 -226.258956732883</t>
  </si>
  <si>
    <t>-430.027731941378 -12.2450168221929 217.436626553143</t>
  </si>
  <si>
    <t>-592.132576108979 -98.2323351674424 649.97178416267</t>
  </si>
  <si>
    <t>-443.955705837825 -146.109802990123 731.793961658725</t>
  </si>
  <si>
    <t>9763-20170724T164411.319179400.bin</t>
  </si>
  <si>
    <t>-505.380631231118 122.577200006699 -239.562428066166</t>
  </si>
  <si>
    <t>-545.761589521761 115.515305336396 -353.524276708145</t>
  </si>
  <si>
    <t>-560.272005736263 104.686034600867 -473.368898705961</t>
  </si>
  <si>
    <t>-562.524147413679 93.6940665820772 -582.313767043889</t>
  </si>
  <si>
    <t>-553.977116859767 81.7385622625031 -690.844065869262</t>
  </si>
  <si>
    <t>-530.885471220877 64.3195620037692 -840.388011060343</t>
  </si>
  <si>
    <t>-483.369470622705 55.9666743221016 -930.140106151421</t>
  </si>
  <si>
    <t>-536.28985771348 103.32013810643 -777.1213668927</t>
  </si>
  <si>
    <t>-531.244793117313 249.585102753134 -762.825568307599</t>
  </si>
  <si>
    <t>-504.03445386344 313.174900886807 -453.953225411992</t>
  </si>
  <si>
    <t>-321.76071157731 223.107422820648 -291.761465513232</t>
  </si>
  <si>
    <t>-545.915836406013 40.733738853677 -771.317652156937</t>
  </si>
  <si>
    <t>-349.288106582007 7.09421067840363 -469.87585165118</t>
  </si>
  <si>
    <t>-485.184345458633 216.728835750283 -252.085230847283</t>
  </si>
  <si>
    <t>-471.289580219256 206.163931498343 203.275047874428</t>
  </si>
  <si>
    <t>-491.603004902104 167.916167473522 671.121231211065</t>
  </si>
  <si>
    <t>-338.386442295385 160.227940476487 757.197259323619</t>
  </si>
  <si>
    <t>-525.417640662842 28.4305017489618 -226.360974658859</t>
  </si>
  <si>
    <t>-430.04829337653 -12.6071326133761 217.348623410548</t>
  </si>
  <si>
    <t>-592.08898318378 -98.3751228403905 649.930341823204</t>
  </si>
  <si>
    <t>-443.726992411425 -145.503459199443 731.852009582637</t>
  </si>
  <si>
    <t>9763-20170724T164411.386425300.bin</t>
  </si>
  <si>
    <t>-506.965897495666 120.212751053747 -239.925758948128</t>
  </si>
  <si>
    <t>-547.396297458127 112.657484761669 -353.838464240347</t>
  </si>
  <si>
    <t>-561.796564364646 101.634471818397 -473.678784380832</t>
  </si>
  <si>
    <t>-563.885774472257 90.5930433398117 -582.621662911263</t>
  </si>
  <si>
    <t>-555.115633541847 78.713716139925 -691.142679338062</t>
  </si>
  <si>
    <t>-531.654589620638 61.5311582324669 -840.65643183648</t>
  </si>
  <si>
    <t>-483.960062559471 53.636608943468 -930.355333426062</t>
  </si>
  <si>
    <t>-537.514364124194 100.471504074489 -777.393175726574</t>
  </si>
  <si>
    <t>-533.845710380545 246.782707823859 -763.037581711765</t>
  </si>
  <si>
    <t>-506.621716690476 310.936240072828 -454.283087552167</t>
  </si>
  <si>
    <t>-321.35139817429 231.201920635795 -290.089949921598</t>
  </si>
  <si>
    <t>-546.556421018029 37.7962874534646 -771.609284792835</t>
  </si>
  <si>
    <t>-349.527046578159 5.16581289281669 -469.181052046683</t>
  </si>
  <si>
    <t>-487.670013599115 214.601356369595 -252.546226286096</t>
  </si>
  <si>
    <t>-472.757828331199 205.421193740537 202.81183520721</t>
  </si>
  <si>
    <t>-491.474777128073 168.487688557685 670.84110175456</t>
  </si>
  <si>
    <t>-338.353631698349 160.180588484692 757.029405257805</t>
  </si>
  <si>
    <t>-526.030683915196 25.8407138394095 -226.669387760434</t>
  </si>
  <si>
    <t>-430.39356389088 -13.4678145521214 217.139230652979</t>
  </si>
  <si>
    <t>-592.133222218077 -98.44076758003 650.0516699036</t>
  </si>
  <si>
    <t>-443.622807971439 -145.216036123576 731.906738499573</t>
  </si>
  <si>
    <t>9763-20170724T164411.420526500.bin</t>
  </si>
  <si>
    <t>-507.930317965266 118.758475950077 -240.149364790566</t>
  </si>
  <si>
    <t>-548.378950320282 110.918947505069 -354.036349629445</t>
  </si>
  <si>
    <t>-562.710951339634 99.783978889809 -473.874489346902</t>
  </si>
  <si>
    <t>-564.704378257352 88.7122858780278 -582.816188339431</t>
  </si>
  <si>
    <t>-555.80619644611 76.8724995487862 -691.331159082888</t>
  </si>
  <si>
    <t>-532.135738671357 59.8168799766793 -840.826370930498</t>
  </si>
  <si>
    <t>-484.341254889113 52.1698535951917 -930.493388422994</t>
  </si>
  <si>
    <t>-538.249268790238 98.7243377656653 -777.566885028033</t>
  </si>
  <si>
    <t>-535.322191758982 245.040064707133 -763.207481514654</t>
  </si>
  <si>
    <t>-508.196866368011 309.235306320658 -454.452879299766</t>
  </si>
  <si>
    <t>-321.057333751884 234.770981443606 -289.905359794398</t>
  </si>
  <si>
    <t>-546.969090603529 36.0025627468373 -771.791773200696</t>
  </si>
  <si>
    <t>-349.832118512338 4.0406505405243 -468.636972202843</t>
  </si>
  <si>
    <t>-489.094088875186 213.099229684786 -252.799825505645</t>
  </si>
  <si>
    <t>-473.694477396725 204.735697700974 202.557739428168</t>
  </si>
  <si>
    <t>-491.339077668853 168.498705295502 670.705800202898</t>
  </si>
  <si>
    <t>-338.210654504811 160.544280995782 756.91452510695</t>
  </si>
  <si>
    <t>-526.564904375055 24.3891129690244 -226.847000561897</t>
  </si>
  <si>
    <t>-430.722880136838 -13.9257969332171 217.004304444029</t>
  </si>
  <si>
    <t>-592.173296437217 -98.2787516166698 650.125554616615</t>
  </si>
  <si>
    <t>-443.585748324544 -145.135844415315 731.79349229882</t>
  </si>
  <si>
    <t>9763-20170724T164411.488707800.bin</t>
  </si>
  <si>
    <t>-510.209377832018 114.997317108305 -240.73091308819</t>
  </si>
  <si>
    <t>-550.66326562948 106.766597487511 -354.588493282703</t>
  </si>
  <si>
    <t>-564.825085004368 95.5314333008371 -474.4374644432</t>
  </si>
  <si>
    <t>-566.595285277665 84.491088479257 -583.386140451349</t>
  </si>
  <si>
    <t>-557.407856620631 72.8033070961115 -691.893547269728</t>
  </si>
  <si>
    <t>-533.271113483753 56.0843938500282 -841.35218144829</t>
  </si>
  <si>
    <t>-485.23646196502 49.0207840059913 -930.938834764485</t>
  </si>
  <si>
    <t>-539.979951565847 94.8958565366556 -778.094108970889</t>
  </si>
  <si>
    <t>-538.747996248678 241.229482477163 -763.626182925948</t>
  </si>
  <si>
    <t>-510.935546096048 305.583037080732 -454.965799691861</t>
  </si>
  <si>
    <t>-318.345280243066 246.521790983922 -290.458164653204</t>
  </si>
  <si>
    <t>-547.921782134446 32.0681545904157 -772.348605603373</t>
  </si>
  <si>
    <t>-350.599148195533 2.03415399994512 -468.876170305413</t>
  </si>
  <si>
    <t>-492.531887422741 209.545615903165 -253.246251408993</t>
  </si>
  <si>
    <t>-475.988604280513 202.859184263801 202.098952713346</t>
  </si>
  <si>
    <t>-491.306905535697 168.967068430041 670.56532621439</t>
  </si>
  <si>
    <t>-338.087752178664 162.002038672825 756.698213920761</t>
  </si>
  <si>
    <t>-527.685694505511 20.4136462925608 -227.564589403897</t>
  </si>
  <si>
    <t>-432.046199421223 -15.6151977994064 216.52175030462</t>
  </si>
  <si>
    <t>-592.307972328674 -98.5636294452751 650.399660151701</t>
  </si>
  <si>
    <t>-443.294466809287 -144.856648700995 731.612061668322</t>
  </si>
  <si>
    <t>9763-20170724T164411.535854100.bin</t>
  </si>
  <si>
    <t>-511.676624510524 112.92881769224 -241.067166673584</t>
  </si>
  <si>
    <t>-552.115523662859 104.518625472639 -354.916735127037</t>
  </si>
  <si>
    <t>-566.175623112526 93.2613850558861 -474.775686030409</t>
  </si>
  <si>
    <t>-567.820018065443 82.2646618290751 -583.730800336883</t>
  </si>
  <si>
    <t>-558.475051867503 70.6821591322057 -692.23601877502</t>
  </si>
  <si>
    <t>-534.088382982455 54.1719410783868 -841.677324493155</t>
  </si>
  <si>
    <t>-485.910639269084 47.4501505285806 -931.213299441037</t>
  </si>
  <si>
    <t>-541.12824851272 92.9191047179575 -778.415889907415</t>
  </si>
  <si>
    <t>-540.804918817109 239.243666138711 -763.869319743656</t>
  </si>
  <si>
    <t>-512.630346198373 303.736106409668 -455.270676225003</t>
  </si>
  <si>
    <t>-318.068721100777 249.502587709361 -291.421522294905</t>
  </si>
  <si>
    <t>-548.629278600742 30.0353056021655 -772.692605883169</t>
  </si>
  <si>
    <t>-351.059398734493 1.22258361933896 -469.003143272382</t>
  </si>
  <si>
    <t>-494.595939141543 207.529441319005 -253.422297997783</t>
  </si>
  <si>
    <t>-477.286749856233 201.796579214472 201.907441997674</t>
  </si>
  <si>
    <t>-491.319784962333 169.030140616598 670.555974021389</t>
  </si>
  <si>
    <t>-338.045771863048 162.132003566025 756.596568181779</t>
  </si>
  <si>
    <t>-528.658549910573 18.4004115663717 -228.036150385482</t>
  </si>
  <si>
    <t>-433.169797763549 -16.7768287327796 216.150861409745</t>
  </si>
  <si>
    <t>-592.348762912614 -98.4183370132657 650.597503306257</t>
  </si>
  <si>
    <t>-443.199541284011 -144.682909971389 731.57671863036</t>
  </si>
  <si>
    <t>9763-20170724T164411.586980100.bin</t>
  </si>
  <si>
    <t>-514.876775648538 108.310124429152 -241.871113965738</t>
  </si>
  <si>
    <t>-555.124974971535 99.8721345699655 -355.78629174772</t>
  </si>
  <si>
    <t>-568.876563510657 88.7659032845746 -475.695019607893</t>
  </si>
  <si>
    <t>-570.198381779663 77.9759895275035 -584.675251262021</t>
  </si>
  <si>
    <t>-560.491081905624 66.6655058332179 -693.177289787518</t>
  </si>
  <si>
    <t>-535.563745226102 50.5980951681666 -842.577676973753</t>
  </si>
  <si>
    <t>-487.063024007625 44.59716992964 -931.990419925785</t>
  </si>
  <si>
    <t>-543.319373407261 89.2044118010166 -779.313695886569</t>
  </si>
  <si>
    <t>-545.059800556477 235.517467190159 -764.682636121429</t>
  </si>
  <si>
    <t>-515.811338020861 301.12634853232 -456.419403034566</t>
  </si>
  <si>
    <t>-316.151281232034 259.238896896556 -295.10182824147</t>
  </si>
  <si>
    <t>-549.867296478427 26.2104602932576 -773.631534300476</t>
  </si>
  <si>
    <t>-352.356303218113 0.341758890289071 -469.336222273853</t>
  </si>
  <si>
    <t>-499.214437731501 203.215749459324 -253.649343539131</t>
  </si>
  <si>
    <t>-479.978643154452 199.296853194257 201.62236962281</t>
  </si>
  <si>
    <t>-491.473069116587 169.291333512196 670.604253952485</t>
  </si>
  <si>
    <t>-338.061015541682 162.327152905364 756.393213973107</t>
  </si>
  <si>
    <t>-530.274042910204 13.6251658266001 -229.496505596454</t>
  </si>
  <si>
    <t>-436.356463216773 -20.1412192556052 215.134811210413</t>
  </si>
  <si>
    <t>-592.500869197399 -98.5580225023002 651.290503888407</t>
  </si>
  <si>
    <t>-442.918321900881 -144.212610462528 731.815187314318</t>
  </si>
  <si>
    <t>9763-20170724T164411.618583700.bin</t>
  </si>
  <si>
    <t>-516.544500387292 105.930312669777 -242.274807177989</t>
  </si>
  <si>
    <t>-556.717433452423 97.5252009798871 -356.219136712163</t>
  </si>
  <si>
    <t>-570.310247693854 86.5083747726501 -476.154288832317</t>
  </si>
  <si>
    <t>-571.455597188573 75.8251718428216 -585.146835043097</t>
  </si>
  <si>
    <t>-561.541198273974 64.6476153093704 -693.644082522725</t>
  </si>
  <si>
    <t>-536.29613037005 48.7927823195764 -843.013721769236</t>
  </si>
  <si>
    <t>-487.635431158054 43.1473064169533 -932.362658290727</t>
  </si>
  <si>
    <t>-544.453784170102 87.3314832817475 -779.759089400433</t>
  </si>
  <si>
    <t>-547.302525776525 233.627102137871 -765.111480231448</t>
  </si>
  <si>
    <t>-517.508669717488 299.736108009613 -457.007437362492</t>
  </si>
  <si>
    <t>-315.654047921156 262.503177300038 -297.287455822454</t>
  </si>
  <si>
    <t>-550.478701276157 24.2846196159297 -774.085358555362</t>
  </si>
  <si>
    <t>-353.157051124757 0.0417296161572125 -469.499828707685</t>
  </si>
  <si>
    <t>-501.646628150773 200.978843398522 -253.721122371136</t>
  </si>
  <si>
    <t>-481.523911205984 198.028393414243 201.519477488031</t>
  </si>
  <si>
    <t>-491.607427749024 169.560251618161 670.640756412112</t>
  </si>
  <si>
    <t>-338.129715299857 162.291193406034 756.287002772579</t>
  </si>
  <si>
    <t>-531.347827148784 11.0231227173388 -230.192267729307</t>
  </si>
  <si>
    <t>-438.209129328972 -22.3837098736769 214.630068558121</t>
  </si>
  <si>
    <t>-592.523316229584 -98.8621927984656 651.656750324917</t>
  </si>
  <si>
    <t>-442.559134670175 -143.351734597119 732.123727788263</t>
  </si>
  <si>
    <t>9763-20170724T164411.687270300.bin</t>
  </si>
  <si>
    <t>-519.491675578303 100.513149576997 -243.031997134229</t>
  </si>
  <si>
    <t>-559.411446097838 92.2420752911684 -357.075010295028</t>
  </si>
  <si>
    <t>-572.687219054302 81.4431875366498 -477.065414590401</t>
  </si>
  <si>
    <t>-573.52408931597 70.9978123760518 -586.083953679876</t>
  </si>
  <si>
    <t>-563.282404345404 60.0994272323928 -694.579048281406</t>
  </si>
  <si>
    <t>-537.566389731436 44.6779860669418 -843.913777776114</t>
  </si>
  <si>
    <t>-488.653475056983 39.7419349427224 -933.167031339377</t>
  </si>
  <si>
    <t>-546.465121841552 83.0716493059116 -780.671006835383</t>
  </si>
  <si>
    <t>-551.695918310888 229.300123732021 -766.055328810021</t>
  </si>
  <si>
    <t>-520.278639296301 295.494822667956 -458.1309414856</t>
  </si>
  <si>
    <t>-313.353470720145 268.946789884763 -302.827320063158</t>
  </si>
  <si>
    <t>-551.424769842218 19.9313579450537 -775.004727596143</t>
  </si>
  <si>
    <t>-505.930462219612 195.854340758666 -253.831082646678</t>
  </si>
  <si>
    <t>-484.434864045994 195.041706610932 201.355663198278</t>
  </si>
  <si>
    <t>-491.894740255491 170.204733017359 670.722994863273</t>
  </si>
  <si>
    <t>-338.205009635892 163.093827925592 756.001485476661</t>
  </si>
  <si>
    <t>-532.749882361593 5.19395239621934 -231.637773433937</t>
  </si>
  <si>
    <t>-441.663939359106 -26.9740466083252 213.700539064359</t>
  </si>
  <si>
    <t>-592.528535059167 -99.6142443261885 652.594918958659</t>
  </si>
  <si>
    <t>-442.511206745818 -143.342882485811 733.379325456026</t>
  </si>
  <si>
    <t>9763-20170724T164411.722366700.bin</t>
  </si>
  <si>
    <t>-520.835329531356 97.8723225991449 -243.266106440077</t>
  </si>
  <si>
    <t>-560.664663895328 89.6003945590966 -357.340727032299</t>
  </si>
  <si>
    <t>-573.801788249598 78.8662730238714 -477.352218878828</t>
  </si>
  <si>
    <t>-574.49540461694 68.5096638391641 -586.380252029728</t>
  </si>
  <si>
    <t>-564.094251920931 57.7309825977275 -694.872111673885</t>
  </si>
  <si>
    <t>-538.141514157849 42.5092068677592 -844.18638731717</t>
  </si>
  <si>
    <t>-489.117056698415 37.8945400823989 -933.395669554021</t>
  </si>
  <si>
    <t>-547.388520131237 80.8328369531381 -780.951118863523</t>
  </si>
  <si>
    <t>-553.707878506466 227.025890315403 -766.333193428618</t>
  </si>
  <si>
    <t>-521.540178362381 293.208327446175 -458.483722985346</t>
  </si>
  <si>
    <t>-312.462570411114 271.204930348725 -305.367829457903</t>
  </si>
  <si>
    <t>-551.861065318899 17.6559386013189 -775.287770981246</t>
  </si>
  <si>
    <t>-507.854418424176 193.117654320723 -253.838043352665</t>
  </si>
  <si>
    <t>-485.78591892686 193.461905767788 201.321823473428</t>
  </si>
  <si>
    <t>-491.956153530401 170.202523974855 670.797281606682</t>
  </si>
  <si>
    <t>-338.111383550319 164.07674635138 755.872447563879</t>
  </si>
  <si>
    <t>-533.585348516096 2.69110788903936 -232.034738681847</t>
  </si>
  <si>
    <t>-442.992899646873 -28.9445510101736 213.442343584198</t>
  </si>
  <si>
    <t>-592.503501224413 -99.495811351838 653.047346906439</t>
  </si>
  <si>
    <t>-442.774476317349 -143.800384203252 734.052423306209</t>
  </si>
  <si>
    <t>9763-20170724T164411.785535200.bin</t>
  </si>
  <si>
    <t>-523.34287369398 91.890088164481 -243.558192619441</t>
  </si>
  <si>
    <t>-563.084060874827 83.4582592874133 -357.651783108272</t>
  </si>
  <si>
    <t>-575.918403208639 72.7862515523397 -477.701518011921</t>
  </si>
  <si>
    <t>-576.253499301802 62.5849454783581 -586.745992222469</t>
  </si>
  <si>
    <t>-565.413523369715 52.0627846675096 -695.219983153359</t>
  </si>
  <si>
    <t>-538.773151445981 37.3056771971616 -844.459789153889</t>
  </si>
  <si>
    <t>-489.483821403697 33.3619678414598 -933.555175362777</t>
  </si>
  <si>
    <t>-548.790840450571 75.4551607486987 -781.236469773085</t>
  </si>
  <si>
    <t>-557.148433587039 221.527428834943 -766.568810960744</t>
  </si>
  <si>
    <t>-522.728961978292 288.053376978438 -459.037086883004</t>
  </si>
  <si>
    <t>-309.295418557697 274.583267303629 -311.027966207797</t>
  </si>
  <si>
    <t>-552.330605440359 12.2153492522604 -775.615175998404</t>
  </si>
  <si>
    <t>-511.575173702381 187.212846757182 -253.8534509093</t>
  </si>
  <si>
    <t>-488.294091901846 189.978639500422 201.237735761884</t>
  </si>
  <si>
    <t>-491.981623447515 170.080061880122 670.891605761506</t>
  </si>
  <si>
    <t>-337.881068444271 165.7090653193 755.611249699871</t>
  </si>
  <si>
    <t>-444.851629843314 -32.8955714303458 213.096021542681</t>
  </si>
  <si>
    <t>-592.395273605456 -100.403598636275 653.898222854516</t>
  </si>
  <si>
    <t>-442.480148723857 -143.222803694791 735.356579406107</t>
  </si>
  <si>
    <t>9763-20170724T164411.822663600.bin</t>
  </si>
  <si>
    <t>-524.851696022797 89.2218798763344 -243.624216421416</t>
  </si>
  <si>
    <t>-564.621224488134 80.7152223456863 -357.702405203645</t>
  </si>
  <si>
    <t>-577.341260411628 70.0744156390263 -477.767159159856</t>
  </si>
  <si>
    <t>-577.515127795866 59.9455780546475 -586.818669673312</t>
  </si>
  <si>
    <t>-566.458450357199 49.5392246556898 -695.282044646987</t>
  </si>
  <si>
    <t>-539.462000879812 34.9876989934491 -844.478098824588</t>
  </si>
  <si>
    <t>-489.995963942288 31.3619793136698 -933.488944425742</t>
  </si>
  <si>
    <t>-549.843798444982 73.0578194057552 -781.26565502117</t>
  </si>
  <si>
    <t>-559.221153026276 219.078815663349 -766.619147608592</t>
  </si>
  <si>
    <t>-523.545075939805 285.972299624273 -459.31050315516</t>
  </si>
  <si>
    <t>-309.469707336306 273.999055504787 -312.101624324224</t>
  </si>
  <si>
    <t>-552.970321353703 9.79476553624076 -775.661165899205</t>
  </si>
  <si>
    <t>-513.739557898433 184.755592718918 -253.761942367664</t>
  </si>
  <si>
    <t>-489.665351850709 188.630704825387 201.279825614729</t>
  </si>
  <si>
    <t>-492.138108394165 170.34934471122 671.012956011963</t>
  </si>
  <si>
    <t>-337.978594763194 165.038530833132 755.571509240167</t>
  </si>
  <si>
    <t>-445.673230004965 -34.4850922418137 212.956620205535</t>
  </si>
  <si>
    <t>-592.29888931008 -100.738741530677 654.251161192858</t>
  </si>
  <si>
    <t>-442.292007861847 -142.922769899114 735.87194286464</t>
  </si>
  <si>
    <t>9763-20170724T164411.886814200.bin</t>
  </si>
  <si>
    <t>-527.883500004706 83.6871015487614 -243.875918141132</t>
  </si>
  <si>
    <t>-567.610957100632 74.9064152256714 -357.948032085817</t>
  </si>
  <si>
    <t>-580.088830439995 64.260812560789 -478.037747360596</t>
  </si>
  <si>
    <t>-579.965015040391 54.2315807115977 -587.098425809268</t>
  </si>
  <si>
    <t>-568.536410091481 44.0218247685752 -695.541964432599</t>
  </si>
  <si>
    <t>-540.95119912702 29.8389467608392 -844.665813992873</t>
  </si>
  <si>
    <t>-491.129174449968 26.7905877321514 -933.499761705492</t>
  </si>
  <si>
    <t>-552.011651540251 67.7641972843376 -781.481467778488</t>
  </si>
  <si>
    <t>-563.472463527433 213.636758086523 -766.943029113521</t>
  </si>
  <si>
    <t>-524.139002868418 280.473713852792 -460.068577068104</t>
  </si>
  <si>
    <t>-311.209224963804 266.679971811781 -311.365133333183</t>
  </si>
  <si>
    <t>-554.301939882426 4.46465443799057 -775.884781553702</t>
  </si>
  <si>
    <t>-518.19622481776 179.316905930752 -253.577054660169</t>
  </si>
  <si>
    <t>-492.040892425906 185.19427517422 201.328452356946</t>
  </si>
  <si>
    <t>-492.19545254062 169.733902051633 671.27925654479</t>
  </si>
  <si>
    <t>-337.721083558244 167.106044988108 755.387973157355</t>
  </si>
  <si>
    <t>-448.200231418691 -37.6144630466499 212.548346198017</t>
  </si>
  <si>
    <t>-592.10049087447 -101.277727990452 655.134189050152</t>
  </si>
  <si>
    <t>-441.954042420565 -142.371024544777 737.054253132062</t>
  </si>
  <si>
    <t>9763-20170724T164411.923752900.bin</t>
  </si>
  <si>
    <t>-529.777817690499 80.9854521276737 -243.796555024544</t>
  </si>
  <si>
    <t>-569.341789734768 72.2361408780419 -357.927807556381</t>
  </si>
  <si>
    <t>-581.647085153702 61.6550919970134 -478.041134763515</t>
  </si>
  <si>
    <t>-581.366717890512 51.6938398238679 -587.107721244575</t>
  </si>
  <si>
    <t>-569.782740711182 41.5576469583676 -695.541623795789</t>
  </si>
  <si>
    <t>-541.984279672061 27.4799365192205 -844.635905519056</t>
  </si>
  <si>
    <t>-491.990510267097 24.6423751880753 -933.38020099883</t>
  </si>
  <si>
    <t>-553.354404921915 65.3642133524491 -781.481890809921</t>
  </si>
  <si>
    <t>-565.882723047938 211.16526864806 -767.04650191541</t>
  </si>
  <si>
    <t>-524.456091296264 277.262701923188 -460.287372391658</t>
  </si>
  <si>
    <t>-313.063852314448 261.197183828105 -309.631152663717</t>
  </si>
  <si>
    <t>-555.214103347913 2.05362173732733 -775.850741732121</t>
  </si>
  <si>
    <t>-520.792692507782 176.731997023132 -253.034566048433</t>
  </si>
  <si>
    <t>-493.595915390024 183.360574574273 201.799472838036</t>
  </si>
  <si>
    <t>-492.728472118067 169.197669706606 672.249606028955</t>
  </si>
  <si>
    <t>-337.747146078775 167.519873989736 755.445175372953</t>
  </si>
  <si>
    <t>-450.118831424727 -39.2583988547119 212.44157972774</t>
  </si>
  <si>
    <t>-591.94689095013 -101.550222268655 655.792640710573</t>
  </si>
  <si>
    <t>-441.66309357728 -141.460998216482 738.044912842727</t>
  </si>
  <si>
    <t>9763-20170724T164411.989926100.bin</t>
  </si>
  <si>
    <t>-533.777734648927 76.1401216573521 -243.703080827714</t>
  </si>
  <si>
    <t>-573.046435432474 67.5495822124157 -357.948348846075</t>
  </si>
  <si>
    <t>-585.077391014149 57.0793721101343 -478.099015123744</t>
  </si>
  <si>
    <t>-584.562183169533 47.1964509783739 -587.17193213435</t>
  </si>
  <si>
    <t>-572.758913612368 37.1129197342519 -695.587169949179</t>
  </si>
  <si>
    <t>-544.673072779986 23.0793537120207 -844.631724880124</t>
  </si>
  <si>
    <t>-494.47535703414 20.4971012019562 -933.268664417034</t>
  </si>
  <si>
    <t>-556.586049618116 60.9473575997917 -781.568063013304</t>
  </si>
  <si>
    <t>-570.96299355507 206.589771973093 -767.248699326385</t>
  </si>
  <si>
    <t>-525.646309916424 270.587875542403 -460.594408478628</t>
  </si>
  <si>
    <t>-314.277547332035 256.399410319827 -309.717080864525</t>
  </si>
  <si>
    <t>-525.884571969057 172.351736925053 -252.337960842454</t>
  </si>
  <si>
    <t>-496.57761668529 180.652533651278 202.337596503247</t>
  </si>
  <si>
    <t>-493.311326532289 169.5297557215 672.436760147222</t>
  </si>
  <si>
    <t>-338.070696399113 167.368615896666 755.135952497972</t>
  </si>
  <si>
    <t>-454.641199349841 -42.8530618449553 212.404995466746</t>
  </si>
  <si>
    <t>-591.998849439236 -103.10139589617 657.701069392505</t>
  </si>
  <si>
    <t>-441.476889059797 -140.500301888839 740.69495158205</t>
  </si>
  <si>
    <t>9763-20170724T164412.021911700.bin</t>
  </si>
  <si>
    <t>-535.519754827439 73.8091276243298 -243.573942770758</t>
  </si>
  <si>
    <t>-574.546523562728 65.2636660284217 -357.905494712049</t>
  </si>
  <si>
    <t>-586.3591616329 54.7747195586885 -478.076283351438</t>
  </si>
  <si>
    <t>-585.659822996472 44.8490395229312 -587.144327291739</t>
  </si>
  <si>
    <t>-573.687232831602 34.6959177265132 -695.534459251203</t>
  </si>
  <si>
    <t>-545.382745103816 20.5376003952476 -844.525694922573</t>
  </si>
  <si>
    <t>-495.124299293089 17.9952817130856 -933.129443587097</t>
  </si>
  <si>
    <t>-557.575072628228 58.4576142271958 -781.546887933328</t>
  </si>
  <si>
    <t>-572.823349279422 204.045512004177 -767.432533937477</t>
  </si>
  <si>
    <t>-525.782690782943 267.052152094773 -460.832728588253</t>
  </si>
  <si>
    <t>-314.792440980898 252.649316113695 -309.446628545469</t>
  </si>
  <si>
    <t>-527.967104891589 170.217005662794 -252.090286416537</t>
  </si>
  <si>
    <t>-497.703663522332 179.308439899201 202.507439500774</t>
  </si>
  <si>
    <t>-493.40361595764 169.37076568876 672.573699019934</t>
  </si>
  <si>
    <t>-338.062381176303 167.41967078538 755.089145552547</t>
  </si>
  <si>
    <t>-456.716746559767 -44.6028603317315 212.537586396152</t>
  </si>
  <si>
    <t>-592.08655687972 -103.753355755504 658.641127825583</t>
  </si>
  <si>
    <t>-441.343920767292 -140.022957238785 741.735725509917</t>
  </si>
  <si>
    <t>9763-20170724T164412.087084400.bin</t>
  </si>
  <si>
    <t>-538.494373629913 69.3737238080159 -243.432955841146</t>
  </si>
  <si>
    <t>-577.628158811427 61.0952985390003 -357.747493960663</t>
  </si>
  <si>
    <t>-589.376791788626 50.6159024991076 -477.925517308893</t>
  </si>
  <si>
    <t>-588.547126842756 40.5786268924791 -586.982317495371</t>
  </si>
  <si>
    <t>-576.372335066715 30.1831062971307 -695.327046369287</t>
  </si>
  <si>
    <t>-547.714437111855 15.5438794256339 -844.204162898857</t>
  </si>
  <si>
    <t>-497.328459980331 12.9280399642303 -932.733232345786</t>
  </si>
  <si>
    <t>-560.290909229091 53.664311384327 -781.422089941088</t>
  </si>
  <si>
    <t>-576.520467370264 199.20394803052 -767.969923794809</t>
  </si>
  <si>
    <t>-526.200830238615 261.691916948691 -461.784693763992</t>
  </si>
  <si>
    <t>-315.395566392253 248.164267323576 -310.060513714935</t>
  </si>
  <si>
    <t>-532.021497580367 166.114830921459 -251.520905065266</t>
  </si>
  <si>
    <t>-499.40547135814 176.574916121629 202.88471851172</t>
  </si>
  <si>
    <t>-493.551743606501 169.046530614523 672.887615546505</t>
  </si>
  <si>
    <t>-338.032846667898 168.655282078331 755.089983918736</t>
  </si>
  <si>
    <t>-460.844999091228 -47.5852237130761 212.686161301013</t>
  </si>
  <si>
    <t>-592.375874494479 -104.616709083302 660.375824467933</t>
  </si>
  <si>
    <t>-441.16819995388 -139.182523937148 743.351481150946</t>
  </si>
  <si>
    <t>9763-20170724T164412.123189600.bin</t>
  </si>
  <si>
    <t>-539.980268032721 67.7867983504397 -243.391289301486</t>
  </si>
  <si>
    <t>-578.952247029154 59.5216239089866 -357.762021268392</t>
  </si>
  <si>
    <t>-590.56664600261 48.9777343085852 -477.947192633558</t>
  </si>
  <si>
    <t>-589.629890143899 38.8371089132946 -586.993726816671</t>
  </si>
  <si>
    <t>-577.363440330432 28.2843129133561 -695.312894053573</t>
  </si>
  <si>
    <t>-548.594457655241 13.3628660531417 -844.140451524511</t>
  </si>
  <si>
    <t>-498.127846972108 10.635462887381 -932.620375984386</t>
  </si>
  <si>
    <t>-561.292976198406 51.6009852754333 -781.454731895018</t>
  </si>
  <si>
    <t>-577.868297322333 197.143495906644 -768.377746186161</t>
  </si>
  <si>
    <t>-526.001505812292 259.750460991268 -462.475028942172</t>
  </si>
  <si>
    <t>-315.82565386321 245.337310140879 -309.961444848934</t>
  </si>
  <si>
    <t>-533.870270211526 164.651002655505 -251.263688482137</t>
  </si>
  <si>
    <t>-500.26522569936 175.907020703587 203.050802795574</t>
  </si>
  <si>
    <t>-493.83093878203 169.604498101474 673.024334796638</t>
  </si>
  <si>
    <t>-338.255007950292 168.241848741669 755.108295874627</t>
  </si>
  <si>
    <t>-462.846710513504 -48.4544940034783 212.829314947786</t>
  </si>
  <si>
    <t>-592.608509346473 -104.850501775588 661.213696255424</t>
  </si>
  <si>
    <t>-441.217587081775 -139.110526956307 743.981820035038</t>
  </si>
  <si>
    <t>9763-20170724T164412.190368400.bin</t>
  </si>
  <si>
    <t>-542.263087720413 64.5758033502227 -242.86854587391</t>
  </si>
  <si>
    <t>-580.679864366815 56.2353949839526 -357.421663744287</t>
  </si>
  <si>
    <t>-591.988112471068 45.5183812623586 -477.620759488569</t>
  </si>
  <si>
    <t>-590.88587074983 35.1629919960881 -586.645474145905</t>
  </si>
  <si>
    <t>-578.566611933768 24.3251040657105 -694.930447821461</t>
  </si>
  <si>
    <t>-549.840311408381 8.92385182252283 -843.717554365978</t>
  </si>
  <si>
    <t>-499.317048189289 5.88422541216852 -932.154815456525</t>
  </si>
  <si>
    <t>-562.580385732113 47.3627242653375 -781.163084995755</t>
  </si>
  <si>
    <t>-579.265061368636 192.910810218989 -768.690876446633</t>
  </si>
  <si>
    <t>-524.654651200044 257.208060851419 -463.617570084076</t>
  </si>
  <si>
    <t>-314.790389990819 242.994939116923 -310.656785225203</t>
  </si>
  <si>
    <t>-536.336575465379 161.149710859647 -250.720726865187</t>
  </si>
  <si>
    <t>-501.483659469811 173.868205935485 203.461248504853</t>
  </si>
  <si>
    <t>-493.826716823797 168.827872312069 673.342352805353</t>
  </si>
  <si>
    <t>-338.076525233453 170.013259155346 755.098105998104</t>
  </si>
  <si>
    <t>-465.5353109227 -50.3301930668812 213.409514339606</t>
  </si>
  <si>
    <t>-592.982576386437 -105.736193582622 662.686980286427</t>
  </si>
  <si>
    <t>-441.036221350478 -138.569587349976 745.014237825398</t>
  </si>
  <si>
    <t>9763-20170724T164412.220451300.bin</t>
  </si>
  <si>
    <t>-542.877052955189 63.6068583485698 -242.655072684878</t>
  </si>
  <si>
    <t>-581.34148079054 55.2377402020424 -357.190063266038</t>
  </si>
  <si>
    <t>-592.711665725002 44.4646063001323 -477.378416078183</t>
  </si>
  <si>
    <t>-591.6702955246 34.0453669057252 -586.397612293846</t>
  </si>
  <si>
    <t>-579.416354974254 23.129290107598 -694.682182440487</t>
  </si>
  <si>
    <t>-550.784595109179 7.60339638565873 -843.474549936656</t>
  </si>
  <si>
    <t>-500.299999392614 4.40957796612255 -931.92844396802</t>
  </si>
  <si>
    <t>-563.48812340745 46.0945658876219 -780.944749051492</t>
  </si>
  <si>
    <t>-580.121509134388 191.679320639706 -768.651046552904</t>
  </si>
  <si>
    <t>-524.449561926632 256.546954252408 -463.890469274733</t>
  </si>
  <si>
    <t>-314.771616684847 242.284723013068 -310.678712515389</t>
  </si>
  <si>
    <t>-537.069137393381 160.162168764517 -250.509742124901</t>
  </si>
  <si>
    <t>-501.858577205154 173.333740579021 203.631570305695</t>
  </si>
  <si>
    <t>-493.885003234124 168.760668280172 673.457207293975</t>
  </si>
  <si>
    <t>-338.065794831925 170.415074256621 755.073044393047</t>
  </si>
  <si>
    <t>-466.016716166725 -50.8341150837161 213.712873291311</t>
  </si>
  <si>
    <t>-593.118813571857 -105.67969595899 663.203560568861</t>
  </si>
  <si>
    <t>-441.249705706185 -139.15373599195 745.415421989283</t>
  </si>
  <si>
    <t>9763-20170724T164412.289674200.bin</t>
  </si>
  <si>
    <t>-543.556620030691 62.4435308836295 -241.829032076495</t>
  </si>
  <si>
    <t>-581.914556625958 53.8777263887108 -356.385179148774</t>
  </si>
  <si>
    <t>-593.346976234502 42.9025066321853 -476.549318603387</t>
  </si>
  <si>
    <t>-592.432641678579 32.2972160046823 -585.551714363569</t>
  </si>
  <si>
    <t>-580.374874227951 21.1910133571842 -693.838961358929</t>
  </si>
  <si>
    <t>-552.085048320486 5.39556888353002 -842.668392933983</t>
  </si>
  <si>
    <t>-501.793583334055 1.8372369392939 -931.218313498967</t>
  </si>
  <si>
    <t>-564.588546177879 44.0011173297214 -780.168778104082</t>
  </si>
  <si>
    <t>-580.988142172037 189.645683580261 -768.217648586921</t>
  </si>
  <si>
    <t>-523.017528395259 255.577691337027 -464.114779706971</t>
  </si>
  <si>
    <t>-312.825702701297 242.958432809266 -311.46422980514</t>
  </si>
  <si>
    <t>-537.726065384725 159.295995074881 -250.055357890422</t>
  </si>
  <si>
    <t>-502.784804752219 172.92430067438 204.093378241734</t>
  </si>
  <si>
    <t>-494.200485971881 169.218476598168 673.739178864047</t>
  </si>
  <si>
    <t>-338.293726299432 170.076631081122 755.199988157859</t>
  </si>
  <si>
    <t>-464.983350046921 -51.5027870680596 214.487021847012</t>
  </si>
  <si>
    <t>-593.134918048032 -106.144441089977 663.739167745575</t>
  </si>
  <si>
    <t>-440.981149246825 -138.668749218608 745.805788506797</t>
  </si>
  <si>
    <t>9763-20170724T164412.320256700.bin</t>
  </si>
  <si>
    <t>-543.503060463036 62.4745006191228 -241.500793041692</t>
  </si>
  <si>
    <t>-581.995185796524 53.7238380675545 -355.997888521063</t>
  </si>
  <si>
    <t>-593.545331557576 42.6558031354672 -476.142208581456</t>
  </si>
  <si>
    <t>-592.729204358524 32.002364184709 -585.140852594514</t>
  </si>
  <si>
    <t>-580.760812905186 20.8824999006812 -693.436494632747</t>
  </si>
  <si>
    <t>-552.585604699115 5.10282815618407 -842.289308264482</t>
  </si>
  <si>
    <t>-502.399823913494 1.43108781473798 -930.89459107882</t>
  </si>
  <si>
    <t>-564.990026406155 43.7027092877669 -779.766503737687</t>
  </si>
  <si>
    <t>-581.114536533044 189.370628224908 -767.884447811714</t>
  </si>
  <si>
    <t>-522.267166490034 255.684257526258 -464.033148959748</t>
  </si>
  <si>
    <t>-311.887961495286 243.324862388556 -311.619448458053</t>
  </si>
  <si>
    <t>-537.732111357686 159.244063873377 -249.97910400468</t>
  </si>
  <si>
    <t>-502.980333690219 173.02380990896 204.179581553402</t>
  </si>
  <si>
    <t>-494.335929624995 169.595313275804 673.793267506769</t>
  </si>
  <si>
    <t>-338.393693601216 170.050970737435 755.189367677366</t>
  </si>
  <si>
    <t>-463.784570266087 -51.4570428899353 214.779953890579</t>
  </si>
  <si>
    <t>-593.009024041669 -106.128301360523 663.698025795789</t>
  </si>
  <si>
    <t>-440.953276768038 -138.913991012248 745.842171479067</t>
  </si>
  <si>
    <t>9763-20170724T164412.389952500.bin</t>
  </si>
  <si>
    <t>-542.963734165167 63.1515889926589 -240.903941253194</t>
  </si>
  <si>
    <t>-581.464544371142 53.8956821011534 -355.358525839296</t>
  </si>
  <si>
    <t>-593.046470441878 42.533608149871 -475.472320304849</t>
  </si>
  <si>
    <t>-592.269917116386 31.6953893300389 -584.45285250855</t>
  </si>
  <si>
    <t>-580.352355812138 20.4683783953548 -692.743247461168</t>
  </si>
  <si>
    <t>-552.259298162682 4.61644971542989 -841.603889075865</t>
  </si>
  <si>
    <t>-502.229606451078 0.720471801837228 -930.287680225625</t>
  </si>
  <si>
    <t>-564.543951337684 43.2481176186715 -779.077004137875</t>
  </si>
  <si>
    <t>-580.315279817362 188.997528216261 -767.328405275162</t>
  </si>
  <si>
    <t>-519.521434930659 256.432569881432 -464.10765070429</t>
  </si>
  <si>
    <t>-309.048086470392 243.072260223244 -311.908737094991</t>
  </si>
  <si>
    <t>-537.240842675547 159.592231939905 -249.830783730265</t>
  </si>
  <si>
    <t>-503.010025919514 173.551003059467 204.362078258949</t>
  </si>
  <si>
    <t>-494.383816178408 169.474414362397 673.981041748063</t>
  </si>
  <si>
    <t>-338.3872156053 170.245666758623 755.270548986763</t>
  </si>
  <si>
    <t>-460.434826335835 -50.2640952836455 215.250186999612</t>
  </si>
  <si>
    <t>-592.556689292002 -105.425652214784 663.175135708123</t>
  </si>
  <si>
    <t>-441.019437616491 -139.810039873629 745.623179144635</t>
  </si>
  <si>
    <t>9763-20170724T164412.421537800.bin</t>
  </si>
  <si>
    <t>-542.64613375436 63.7462026466387 -240.731621352266</t>
  </si>
  <si>
    <t>-581.607528291225 54.2339129820165 -355.009049582859</t>
  </si>
  <si>
    <t>-593.447912310016 42.6580634689557 -475.077193596226</t>
  </si>
  <si>
    <t>-592.815519029123 31.6442938520641 -584.041194220068</t>
  </si>
  <si>
    <t>-580.951465923382 20.2597029212185 -692.320740979601</t>
  </si>
  <si>
    <t>-552.839783449765 4.20762996299601 -841.156620993749</t>
  </si>
  <si>
    <t>-502.874126267472 0.206449547934234 -929.87189419741</t>
  </si>
  <si>
    <t>-565.087823011512 42.9239363756698 -778.67486759524</t>
  </si>
  <si>
    <t>-580.746410791057 188.654017054216 -767.015385278458</t>
  </si>
  <si>
    <t>-519.048039313854 256.997927740418 -464.181123902076</t>
  </si>
  <si>
    <t>-308.504981063543 243.348834831406 -312.104175970045</t>
  </si>
  <si>
    <t>-537.22941698427 160.258463461748 -249.818368037606</t>
  </si>
  <si>
    <t>-503.046941208327 174.134578570199 204.380583453437</t>
  </si>
  <si>
    <t>-494.658975385083 170.215477004414 674.024874327455</t>
  </si>
  <si>
    <t>-338.669900313156 169.957308237165 755.332033645518</t>
  </si>
  <si>
    <t>-458.715544216141 -49.3532060153585 215.394642435704</t>
  </si>
  <si>
    <t>-592.229854443514 -105.168921212869 662.767758748249</t>
  </si>
  <si>
    <t>-440.835468400216 -139.758226127357 745.39234493858</t>
  </si>
  <si>
    <t>9763-20170724T164412.487774800.bin</t>
  </si>
  <si>
    <t>-542.047850895702 64.5591053948034 -240.57975299048</t>
  </si>
  <si>
    <t>-581.327740614494 54.6753649930946 -354.716452564821</t>
  </si>
  <si>
    <t>-593.365838267752 42.7851060622687 -474.734457829035</t>
  </si>
  <si>
    <t>-592.858726394576 31.4961657191509 -583.670868829063</t>
  </si>
  <si>
    <t>-581.066082162101 19.8369818223184 -691.928998849619</t>
  </si>
  <si>
    <t>-552.997929370517 3.39578093055187 -840.730399574976</t>
  </si>
  <si>
    <t>-565.043606968898 42.2774424852513 -778.312291787151</t>
  </si>
  <si>
    <t>-580.005410863215 188.124395911996 -767.030058968218</t>
  </si>
  <si>
    <t>-517.266089693866 257.440002175208 -464.630743982276</t>
  </si>
  <si>
    <t>-306.800736340484 243.705489386143 -312.454060800352</t>
  </si>
  <si>
    <t>-536.857405856803 160.878002038373 -249.894141983785</t>
  </si>
  <si>
    <t>-502.809272897674 174.532800894444 204.321626559936</t>
  </si>
  <si>
    <t>-494.580974930836 169.820151666345 674.037496258415</t>
  </si>
  <si>
    <t>-338.574868612811 170.633779331557 755.308378780329</t>
  </si>
  <si>
    <t>-455.839013704157 -48.2480764971096 215.532100523974</t>
  </si>
  <si>
    <t>-591.721463029426 -105.096059491281 662.132605807558</t>
  </si>
  <si>
    <t>-440.384918917412 -139.403028026343 744.98062381625</t>
  </si>
  <si>
    <t>9763-20170724T164412.518858700.bin</t>
  </si>
  <si>
    <t>-541.880294582771 65.0547886565363 -240.431664350261</t>
  </si>
  <si>
    <t>-581.318170641007 54.9263182016388 -354.492479619095</t>
  </si>
  <si>
    <t>-593.434978105663 42.8669682489441 -474.485401689871</t>
  </si>
  <si>
    <t>-592.964771593535 31.4526169943932 -583.409031068138</t>
  </si>
  <si>
    <t>-581.174454948238 19.6934212237393 -691.656696471225</t>
  </si>
  <si>
    <t>-553.074487107395 3.13762380727883 -840.439428158188</t>
  </si>
  <si>
    <t>-565.040763133531 42.0680402986455 -778.036281377953</t>
  </si>
  <si>
    <t>-579.476894119736 187.9799025358 -766.889584816882</t>
  </si>
  <si>
    <t>-516.277821978783 257.642264943421 -464.665815664246</t>
  </si>
  <si>
    <t>-306.092540751661 243.517086308303 -312.138331568757</t>
  </si>
  <si>
    <t>-536.720244528785 161.140919116331 -249.96228954648</t>
  </si>
  <si>
    <t>-502.807008291976 174.829929079613 204.262550153707</t>
  </si>
  <si>
    <t>-494.540987149696 169.694191106869 674.010446116374</t>
  </si>
  <si>
    <t>-338.527305163676 170.809374458591 755.263038161835</t>
  </si>
  <si>
    <t>-454.670065798649 -47.6175515161831 215.712771348421</t>
  </si>
  <si>
    <t>-591.504603865816 -104.843138408402 661.870077737076</t>
  </si>
  <si>
    <t>-440.309862148934 -139.462734136616 744.84684251106</t>
  </si>
  <si>
    <t>9763-20170724T164412.585618600.bin</t>
  </si>
  <si>
    <t>-542.002654738126 65.855718072762 -240.565273689555</t>
  </si>
  <si>
    <t>-581.707209689351 55.5706479669566 -354.519540097968</t>
  </si>
  <si>
    <t>-593.92715511705 43.3923622892324 -474.490071238605</t>
  </si>
  <si>
    <t>-593.479951616489 31.8651731594646 -583.401833894367</t>
  </si>
  <si>
    <t>-581.642985857435 19.9761310600579 -691.630243229726</t>
  </si>
  <si>
    <t>-553.407531742307 3.21089160414849 -840.363845918263</t>
  </si>
  <si>
    <t>-565.237249657977 42.2296494283829 -777.989864394606</t>
  </si>
  <si>
    <t>-579.058181515595 188.216658428069 -766.854769522808</t>
  </si>
  <si>
    <t>-515.056507780889 258.584152756005 -464.963384808293</t>
  </si>
  <si>
    <t>-305.226190905598 243.95268565878 -311.995477457626</t>
  </si>
  <si>
    <t>-537.110139342579 162.337878988033 -250.121082404673</t>
  </si>
  <si>
    <t>-503.087176907441 175.710009426156 204.104970932965</t>
  </si>
  <si>
    <t>-494.832216723065 170.69567937949 673.906485254395</t>
  </si>
  <si>
    <t>-338.81442725249 170.387276167448 755.158441216517</t>
  </si>
  <si>
    <t>-454.052376523315 -46.835315916596 215.580333607233</t>
  </si>
  <si>
    <t>-591.130264060092 -104.930779525887 661.587619809059</t>
  </si>
  <si>
    <t>-440.284233727824 -140.325675430634 744.871358358663</t>
  </si>
  <si>
    <t>9763-20170724T164412.618209200.bin</t>
  </si>
  <si>
    <t>-542.275230527692 66.0046065937955 -240.500798047453</t>
  </si>
  <si>
    <t>-581.665180043081 55.7344024475835 -354.565448289709</t>
  </si>
  <si>
    <t>-593.689040012435 43.5446667655275 -474.554647557115</t>
  </si>
  <si>
    <t>-593.118747582012 31.9826675527059 -583.462164041219</t>
  </si>
  <si>
    <t>-581.214294242168 20.0261691920208 -691.675767796579</t>
  </si>
  <si>
    <t>-552.942963090879 3.1257373388581 -840.387286062952</t>
  </si>
  <si>
    <t>-564.70584040755 42.2010671968412 -778.035959243264</t>
  </si>
  <si>
    <t>-578.11227443429 188.220364143856 -766.931897542507</t>
  </si>
  <si>
    <t>-513.904689547665 258.445613551195 -465.051199687722</t>
  </si>
  <si>
    <t>-304.540566578996 243.190096830024 -311.506473426175</t>
  </si>
  <si>
    <t>-537.395014123073 162.386681558363 -250.103644689919</t>
  </si>
  <si>
    <t>-503.408051705853 175.712904548897 204.126314544125</t>
  </si>
  <si>
    <t>-494.832881683081 170.57731357292 673.927312872636</t>
  </si>
  <si>
    <t>-338.796428319528 170.950990746861 755.142985505737</t>
  </si>
  <si>
    <t>-454.079974701107 -46.9735237784827 215.545085219273</t>
  </si>
  <si>
    <t>-591.07335552336 -104.881380779155 661.62560040192</t>
  </si>
  <si>
    <t>-440.276367660456 -140.378349567723 744.95479203685</t>
  </si>
  <si>
    <t>9763-20170724T164412.685892300.bin</t>
  </si>
  <si>
    <t>-542.816089769069 66.1900965532171 -240.681856067912</t>
  </si>
  <si>
    <t>-582.222610686096 55.9120410035096 -354.740054170354</t>
  </si>
  <si>
    <t>-594.131353592883 43.7696016678254 -474.74567118801</t>
  </si>
  <si>
    <t>-593.404193406059 32.2493208708711 -583.656510748741</t>
  </si>
  <si>
    <t>-581.292522098464 20.3191966672064 -691.850141760587</t>
  </si>
  <si>
    <t>-552.683830767182 3.42650573349816 -840.497884882151</t>
  </si>
  <si>
    <t>-564.482546953415 42.4980959839327 -778.151079167096</t>
  </si>
  <si>
    <t>-577.35395989005 188.530619487247 -766.835479471739</t>
  </si>
  <si>
    <t>-512.975081783791 257.938762502415 -464.80226622273</t>
  </si>
  <si>
    <t>-304.243751479716 241.634604831387 -310.505454596919</t>
  </si>
  <si>
    <t>-538.332195181607 162.630056404897 -250.149292005153</t>
  </si>
  <si>
    <t>-504.360132197092 175.90542109884 204.083284683326</t>
  </si>
  <si>
    <t>-494.891700132891 170.919786560687 673.818528166842</t>
  </si>
  <si>
    <t>-338.836086749522 170.569390845719 754.99754135295</t>
  </si>
  <si>
    <t>-454.693635007823 -46.8716237788318 215.420355384602</t>
  </si>
  <si>
    <t>-590.990585881555 -104.677104295503 661.677758152857</t>
  </si>
  <si>
    <t>-440.223627404661 -140.224978266889 745.03954654235</t>
  </si>
  <si>
    <t>9763-20170724T164412.720491800.bin</t>
  </si>
  <si>
    <t>-543.502740039802 65.9904028521572 -240.617799668086</t>
  </si>
  <si>
    <t>-582.626530727163 55.7474386997278 -354.776536875719</t>
  </si>
  <si>
    <t>-594.366648318443 43.7143318233032 -474.809531024827</t>
  </si>
  <si>
    <t>-593.539001117835 32.3104322439752 -583.732221125288</t>
  </si>
  <si>
    <t>-581.379818910323 20.5058690141811 -691.934120759705</t>
  </si>
  <si>
    <t>-552.760263681139 3.79011920499411 -840.599758581146</t>
  </si>
  <si>
    <t>-564.556685719087 42.7874564375627 -778.206135501697</t>
  </si>
  <si>
    <t>-577.326001100412 188.835324128422 -766.766309897706</t>
  </si>
  <si>
    <t>-512.449201686991 257.765352031265 -464.730148546302</t>
  </si>
  <si>
    <t>-304.11401619765 240.306566210779 -310.025008504041</t>
  </si>
  <si>
    <t>-539.190941268178 162.649785593157 -250.092276160796</t>
  </si>
  <si>
    <t>-504.972627446693 175.832240772913 204.124617180671</t>
  </si>
  <si>
    <t>-495.026193227823 171.317919937938 673.844214027369</t>
  </si>
  <si>
    <t>-338.943534316675 170.970631493125 754.971298776883</t>
  </si>
  <si>
    <t>-455.03607605981 -47.1995458490161 215.33372336365</t>
  </si>
  <si>
    <t>-590.987531922807 -105.050601100208 661.758863841025</t>
  </si>
  <si>
    <t>-440.034367550332 -139.946697063717 745.05896842604</t>
  </si>
  <si>
    <t>9763-20170724T164412.795195800.bin</t>
  </si>
  <si>
    <t>-544.601551680582 65.1822289312334 -240.532734212193</t>
  </si>
  <si>
    <t>-583.728807365056 54.7398977347759 -354.672249249862</t>
  </si>
  <si>
    <t>-595.352098928935 42.8027231390728 -474.72632924759</t>
  </si>
  <si>
    <t>-594.370534088804 31.5908128428877 -583.667392812599</t>
  </si>
  <si>
    <t>-582.011290894278 20.072893807595 -691.877538176413</t>
  </si>
  <si>
    <t>-553.068244942337 3.84408402429361 -840.534599744384</t>
  </si>
  <si>
    <t>-565.086723660628 42.6373949862659 -778.056272020197</t>
  </si>
  <si>
    <t>-578.347106533533 188.60810072496 -766.266781391413</t>
  </si>
  <si>
    <t>-512.612776797807 256.568182246522 -464.19621941794</t>
  </si>
  <si>
    <t>-303.720820766019 237.616990379862 -310.420272289235</t>
  </si>
  <si>
    <t>-540.954152828147 161.603099137582 -249.911278123397</t>
  </si>
  <si>
    <t>-506.290137941808 175.260031739042 204.257870752354</t>
  </si>
  <si>
    <t>-494.905804689734 170.810506452223 673.898074916845</t>
  </si>
  <si>
    <t>-338.694761400005 172.155101835027 754.767178580801</t>
  </si>
  <si>
    <t>-455.186821175464 -47.6028830521699 215.363010136955</t>
  </si>
  <si>
    <t>-590.910788068953 -105.330938527586 661.751365211256</t>
  </si>
  <si>
    <t>-439.859447018773 -139.808267076595 745.047896169025</t>
  </si>
  <si>
    <t>9763-20170724T164412.822274000.bin</t>
  </si>
  <si>
    <t>-545.400844879677 64.8539314627314 -240.548167638709</t>
  </si>
  <si>
    <t>-584.478580759736 54.3291569834988 -354.697113800803</t>
  </si>
  <si>
    <t>-596.004552490761 42.5248669141309 -474.773721949792</t>
  </si>
  <si>
    <t>-594.91665126386 31.5102541396531 -583.733947400286</t>
  </si>
  <si>
    <t>-582.433933515994 20.2592330773978 -691.957977368305</t>
  </si>
  <si>
    <t>-553.303041623815 4.46703359232392 -840.62541921466</t>
  </si>
  <si>
    <t>-503.7531812897 0.138265408836176 -929.55825228313</t>
  </si>
  <si>
    <t>-565.470232665158 43.0769407338999 -778.062276408729</t>
  </si>
  <si>
    <t>-579.089869590207 188.991893599754 -765.967591619449</t>
  </si>
  <si>
    <t>-513.26956015646 256.363744547481 -463.784019259503</t>
  </si>
  <si>
    <t>-303.670188597719 236.076181236041 -311.145371210227</t>
  </si>
  <si>
    <t>-542.198313045264 161.334704106351 -249.839381539591</t>
  </si>
  <si>
    <t>-507.351462371969 175.232406598077 204.308398380103</t>
  </si>
  <si>
    <t>-495.063071666791 171.155171760715 673.931627250207</t>
  </si>
  <si>
    <t>-338.734592039841 171.942767717036 754.580843219918</t>
  </si>
  <si>
    <t>-455.349179968632 -47.6402411476561 215.263481012571</t>
  </si>
  <si>
    <t>-590.867398676021 -105.50634359932 661.748984221765</t>
  </si>
  <si>
    <t>-439.822342275432 -140.002641498509 745.049000394785</t>
  </si>
  <si>
    <t>9763-20170724T164412.885444600.bin</t>
  </si>
  <si>
    <t>-547.396714804536 63.9293237862882 -235.671118918616</t>
  </si>
  <si>
    <t>-586.31015707229 53.1291184240416 -349.85036040793</t>
  </si>
  <si>
    <t>-597.583438222837 41.6099136622524 -469.978556832919</t>
  </si>
  <si>
    <t>-596.234141492655 31.053538263213 -578.98121746515</t>
  </si>
  <si>
    <t>-583.459698988206 20.4413103913834 -687.235800435378</t>
  </si>
  <si>
    <t>-553.895144435528 5.70684197582193 -835.926256448356</t>
  </si>
  <si>
    <t>-504.695965527609 2.03438123023975 -925.083028199478</t>
  </si>
  <si>
    <t>-566.391266395003 43.8711311479119 -773.154781739315</t>
  </si>
  <si>
    <t>-580.862474696596 189.646302407981 -760.282600937965</t>
  </si>
  <si>
    <t>-515.736885291162 255.5848673187 -457.632656042751</t>
  </si>
  <si>
    <t>-303.678997651355 232.053133448356 -308.905504936917</t>
  </si>
  <si>
    <t>-545.589063566953 160.416392760951 -245.599182243307</t>
  </si>
  <si>
    <t>-510.239723899649 175.071957296217 208.486086160269</t>
  </si>
  <si>
    <t>-496.42832474281 172.236306725497 677.182493170453</t>
  </si>
  <si>
    <t>-339.546723225142 174.366466155426 756.725635804727</t>
  </si>
  <si>
    <t>-456.291461125732 -47.6628025537432 220.928164859567</t>
  </si>
  <si>
    <t>-590.627520021092 -105.482679444478 668.31263783673</t>
  </si>
  <si>
    <t>-439.449683689832 -139.567753814896 751.541126874008</t>
  </si>
  <si>
    <t>9763-20170724T164412.919043700.bin</t>
  </si>
  <si>
    <t>-548.644652546992 63.1950952280206 -236.009304403575</t>
  </si>
  <si>
    <t>-587.247684306922 52.3833761098226 -350.292885368664</t>
  </si>
  <si>
    <t>-598.25318790528 41.1778788391753 -470.475606512706</t>
  </si>
  <si>
    <t>-596.684077882221 31.0207833043544 -579.513289355391</t>
  </si>
  <si>
    <t>-583.714228585187 20.911935921384 -687.792731465945</t>
  </si>
  <si>
    <t>-553.90453129575 6.97485443623236 -836.511097166613</t>
  </si>
  <si>
    <t>-504.873641812945 3.72950058808416 -925.777246524089</t>
  </si>
  <si>
    <t>-566.567245355947 44.8020282042359 -773.569179702533</t>
  </si>
  <si>
    <t>-581.238221447777 190.455470377701 -759.994646216234</t>
  </si>
  <si>
    <t>-516.44203038251 255.46661538492 -457.073641693653</t>
  </si>
  <si>
    <t>-304.229815338946 225.557893624227 -309.718584067721</t>
  </si>
  <si>
    <t>-547.073601855673 159.824734485164 -245.751691568089</t>
  </si>
  <si>
    <t>-511.563839373485 174.73071310492 208.312877789325</t>
  </si>
  <si>
    <t>-496.747882728785 172.526778640848 677.048587548178</t>
  </si>
  <si>
    <t>-339.639705481771 174.710042295331 756.141986777852</t>
  </si>
  <si>
    <t>-457.099677728222 -48.1165917924443 220.177643845214</t>
  </si>
  <si>
    <t>-590.73788503833 -106.154533578742 667.629682045266</t>
  </si>
  <si>
    <t>-439.119140061249 -138.781035255926 750.640281110411</t>
  </si>
  <si>
    <t>9763-20170724T164412.984310700.bin</t>
  </si>
  <si>
    <t>-551.332756520825 62.1123279026918 -232.63660237962</t>
  </si>
  <si>
    <t>-589.551172838519 51.0678263221654 -347.027151129123</t>
  </si>
  <si>
    <t>-600.172082017958 40.4105722263038 -467.294242106566</t>
  </si>
  <si>
    <t>-598.259838100037 31.0462712931556 -576.397357306496</t>
  </si>
  <si>
    <t>-584.954260701409 22.0119695879895 -684.731134894807</t>
  </si>
  <si>
    <t>-554.687718326303 9.84656489757285 -833.512624231102</t>
  </si>
  <si>
    <t>-506.085988048475 7.59761785286665 -923.043705175022</t>
  </si>
  <si>
    <t>-567.671655444617 46.9215283527867 -770.189848492137</t>
  </si>
  <si>
    <t>-582.210463844122 192.393017301977 -754.950528740122</t>
  </si>
  <si>
    <t>-515.057436396653 255.568715708329 -452.154430149986</t>
  </si>
  <si>
    <t>-304.68812630146 208.644401513831 -306.604009837535</t>
  </si>
  <si>
    <t>-550.466648504032 158.878907788858 -242.700906998248</t>
  </si>
  <si>
    <t>-514.37159914007 174.668861261814 211.287542665311</t>
  </si>
  <si>
    <t>-499.08089287974 173.748939816245 679.746380959005</t>
  </si>
  <si>
    <t>-341.230681048727 176.154266028758 757.341737447126</t>
  </si>
  <si>
    <t>-458.572083579618 -47.9320129866552 223.77309477811</t>
  </si>
  <si>
    <t>-590.995696805577 -106.154428366263 671.88466660375</t>
  </si>
  <si>
    <t>-439.02446151848 -138.447601873584 754.379603634373</t>
  </si>
  <si>
    <t>9763-20170724T164413.020409900.bin</t>
  </si>
  <si>
    <t>-552.554102175417 61.0807738280562 -231.196343157024</t>
  </si>
  <si>
    <t>-590.545698372733 50.0385569946217 -345.662500610879</t>
  </si>
  <si>
    <t>-600.910184382005 39.7995080072986 -465.988347654197</t>
  </si>
  <si>
    <t>-598.757079312475 30.9757576139165 -575.132135431679</t>
  </si>
  <si>
    <t>-585.203472191918 22.6391670801464 -683.491001556292</t>
  </si>
  <si>
    <t>-554.586766125645 11.6015685660569 -832.288799934072</t>
  </si>
  <si>
    <t>-506.222963365946 10.014697316935 -921.9627400122</t>
  </si>
  <si>
    <t>-567.78530174387 48.1954323226478 -768.730886778831</t>
  </si>
  <si>
    <t>-581.93404661008 193.670699045472 -752.721619083773</t>
  </si>
  <si>
    <t>-511.45055569104 255.550766811379 -450.41529648135</t>
  </si>
  <si>
    <t>-302.147205237884 200.347004833738 -306.239278058985</t>
  </si>
  <si>
    <t>-551.804076104865 157.669608163582 -241.284813702598</t>
  </si>
  <si>
    <t>-515.038260811411 173.57714742395 212.645743378881</t>
  </si>
  <si>
    <t>-499.311602151899 172.654407657954 681.015673250949</t>
  </si>
  <si>
    <t>-341.248144385666 174.84410932263 758.182082571109</t>
  </si>
  <si>
    <t>-459.048749900106 -48.1848074743745 225.142419413934</t>
  </si>
  <si>
    <t>-591.12317664115 -106.299475439428 673.620830477825</t>
  </si>
  <si>
    <t>-438.926995404365 -138.200300516768 755.853220480339</t>
  </si>
  <si>
    <t>9763-20170724T164413.088243500.bin</t>
  </si>
  <si>
    <t>-554.689061675431 59.7856041783926 -232.074110395884</t>
  </si>
  <si>
    <t>-592.467096716028 48.6185632578737 -346.598870318505</t>
  </si>
  <si>
    <t>-602.592265114915 39.1237219000586 -467.006228983788</t>
  </si>
  <si>
    <t>-600.213073381208 31.307542079604 -576.221978324442</t>
  </si>
  <si>
    <t>-586.424649202306 24.298999853255 -684.645295453986</t>
  </si>
  <si>
    <t>-555.474063543169 15.4268770386951 -833.51898729902</t>
  </si>
  <si>
    <t>-507.892734733307 15.0910722732319 -923.623761147117</t>
  </si>
  <si>
    <t>-568.838873953126 51.0923690659942 -769.469900439599</t>
  </si>
  <si>
    <t>-582.485730811557 196.412338570532 -751.486246989492</t>
  </si>
  <si>
    <t>-500.346796558116 252.383005289261 -450.975573405993</t>
  </si>
  <si>
    <t>-292.80300618187 190.879961459381 -306.805562305807</t>
  </si>
  <si>
    <t>-554.202401691346 156.293784002385 -241.937409023227</t>
  </si>
  <si>
    <t>-516.037741959821 172.552039144014 211.865208689581</t>
  </si>
  <si>
    <t>-499.686221928129 172.340109175002 680.332978091144</t>
  </si>
  <si>
    <t>-341.389890184421 174.566410447156 757.019491553549</t>
  </si>
  <si>
    <t>-459.099791677738 -48.8639535121785 223.560942298034</t>
  </si>
  <si>
    <t>-591.415865676316 -107.077039236457 671.626269270725</t>
  </si>
  <si>
    <t>-438.827488761506 -138.077064612309 753.47540107888</t>
  </si>
  <si>
    <t>9763-20170724T164413.120838700.bin</t>
  </si>
  <si>
    <t>-555.469581587416 59.5694756400892 -232.74269750185</t>
  </si>
  <si>
    <t>-593.129301107721 48.2795196638665 -347.294432349433</t>
  </si>
  <si>
    <t>-603.178590467767 39.1434827391308 -467.735805138555</t>
  </si>
  <si>
    <t>-600.746244848649 31.8187752695664 -576.984469992802</t>
  </si>
  <si>
    <t>-586.919271805951 25.4509982277207 -685.442248512638</t>
  </si>
  <si>
    <t>-555.92910601823 17.6073195161043 -834.365522213866</t>
  </si>
  <si>
    <t>-508.850279422368 17.7725934196096 -924.73437928037</t>
  </si>
  <si>
    <t>-569.152841999446 52.8291693321165 -770.042346915678</t>
  </si>
  <si>
    <t>-581.878306012145 198.043594978779 -750.808220654605</t>
  </si>
  <si>
    <t>-492.857802846985 247.943840865714 -451.189245103049</t>
  </si>
  <si>
    <t>-285.818388504338 187.056681854322 -306.036018979653</t>
  </si>
  <si>
    <t>-555.101285651193 156.125448339828 -242.469971643452</t>
  </si>
  <si>
    <t>-516.869573695149 172.630628137049 211.318104974347</t>
  </si>
  <si>
    <t>-499.932889130435 172.729429798567 679.969268491463</t>
  </si>
  <si>
    <t>-341.506832060665 174.00915790421 756.409197126632</t>
  </si>
  <si>
    <t>-458.973424540156 -48.8873919817009 222.588874307798</t>
  </si>
  <si>
    <t>-591.42581991485 -107.001811108152 670.512114979083</t>
  </si>
  <si>
    <t>-438.880512204189 -138.179422669295 752.374137237211</t>
  </si>
  <si>
    <t>9763-20170724T164413.188529200.bin</t>
  </si>
  <si>
    <t>-556.34136615396 59.3073334294074 -233.871688337362</t>
  </si>
  <si>
    <t>-593.632824540708 47.9214772355485 -348.534260737274</t>
  </si>
  <si>
    <t>-603.616063622275 39.5849689072621 -469.039123518874</t>
  </si>
  <si>
    <t>-601.243375784643 33.282879131212 -578.352820636071</t>
  </si>
  <si>
    <t>-587.589457199758 28.1978841901907 -686.900379397147</t>
  </si>
  <si>
    <t>-556.951201070429 22.3705261175842 -835.988747373383</t>
  </si>
  <si>
    <t>-511.005996916564 23.2418518233309 -926.935260815794</t>
  </si>
  <si>
    <t>-569.514288007796 56.7103521383966 -771.059029015482</t>
  </si>
  <si>
    <t>-578.970822019774 201.88243717453 -749.342599283411</t>
  </si>
  <si>
    <t>-477.729343124636 237.366428897992 -451.55532086742</t>
  </si>
  <si>
    <t>-271.275107399282 177.029743742746 -305.342616930929</t>
  </si>
  <si>
    <t>-555.935551049828 155.693997765057 -243.396801740199</t>
  </si>
  <si>
    <t>-518.317218707362 172.551971363205 210.429447997028</t>
  </si>
  <si>
    <t>-500.255688754532 173.160004702936 679.455501221496</t>
  </si>
  <si>
    <t>-341.478295731866 175.43731159599 755.139603725665</t>
  </si>
  <si>
    <t>-458.482356581248 -49.3464690739553 221.10477459998</t>
  </si>
  <si>
    <t>-591.344637435261 -107.108475509111 668.806744830205</t>
  </si>
  <si>
    <t>-438.933160274965 -138.494483640139 750.838286562932</t>
  </si>
  <si>
    <t>9763-20170724T164413.223636800.bin</t>
  </si>
  <si>
    <t>-556.349841638863 59.3444852575143 -234.208663871554</t>
  </si>
  <si>
    <t>-593.561849231476 47.9760511963012 -348.898874023605</t>
  </si>
  <si>
    <t>-603.564468648098 39.8999262337338 -469.419801539155</t>
  </si>
  <si>
    <t>-601.247110609111 33.9102562832779 -578.752265537223</t>
  </si>
  <si>
    <t>-587.684186252397 29.2024865327166 -687.328212785612</t>
  </si>
  <si>
    <t>-557.206568243781 23.9546027160599 -836.471054028485</t>
  </si>
  <si>
    <t>-511.862485832792 24.975594958952 -927.717154403995</t>
  </si>
  <si>
    <t>-569.420564234317 58.0334832069677 -771.337500648678</t>
  </si>
  <si>
    <t>-577.336092005441 203.149313242838 -748.686320421057</t>
  </si>
  <si>
    <t>-470.635132545262 232.352614662663 -452.12567350097</t>
  </si>
  <si>
    <t>-264.156203893398 174.259329934132 -305.041610297167</t>
  </si>
  <si>
    <t>-555.689103145627 155.627295380117 -243.742715423304</t>
  </si>
  <si>
    <t>-518.780081497664 172.645895423467 210.135798699533</t>
  </si>
  <si>
    <t>-500.278220452737 173.187614729824 679.217643797209</t>
  </si>
  <si>
    <t>-341.389643873724 175.493886011269 754.66708515638</t>
  </si>
  <si>
    <t>-457.915182517585 -49.5211123412574 220.651261195711</t>
  </si>
  <si>
    <t>-591.256673632588 -107.079294051059 668.073216528758</t>
  </si>
  <si>
    <t>-439.094074872322 -139.218258172534 750.274990324906</t>
  </si>
  <si>
    <t>9763-20170724T164413.286804600.bin</t>
  </si>
  <si>
    <t>-555.731900582686 59.7247134696962 -234.75795313042</t>
  </si>
  <si>
    <t>-592.934015329069 48.5447404927217 -349.469848532635</t>
  </si>
  <si>
    <t>-602.93221081974 40.8914426070471 -470.018724678581</t>
  </si>
  <si>
    <t>-600.608566616022 35.3459657337059 -579.374592360807</t>
  </si>
  <si>
    <t>-587.034923293727 31.1262907611982 -687.969183046984</t>
  </si>
  <si>
    <t>-556.536317614983 26.5850048775984 -837.130984714686</t>
  </si>
  <si>
    <t>-512.148483199975 27.8242902270013 -928.843345400586</t>
  </si>
  <si>
    <t>-568.182347963052 60.3289898046846 -771.71977693821</t>
  </si>
  <si>
    <t>-573.153454528138 205.367001196423 -747.914537495674</t>
  </si>
  <si>
    <t>-457.930155273056 225.260289082829 -453.781889742907</t>
  </si>
  <si>
    <t>-251.712047492185 175.815685548878 -303.211685735238</t>
  </si>
  <si>
    <t>-554.390049505857 156.211036273199 -244.326270789584</t>
  </si>
  <si>
    <t>-519.034949837485 172.919609134246 209.687479451905</t>
  </si>
  <si>
    <t>-500.349218944029 173.466797714821 678.951009148628</t>
  </si>
  <si>
    <t>-341.40422471984 175.577214294881 754.287113825643</t>
  </si>
  <si>
    <t>-456.816170730137 -50.0321027445476 219.928534253634</t>
  </si>
  <si>
    <t>-591.199439106846 -107.052365521567 667.027376492753</t>
  </si>
  <si>
    <t>-439.0845810661 -139.113019244541 749.348136458695</t>
  </si>
  <si>
    <t>9763-20170724T164413.322408300.bin</t>
  </si>
  <si>
    <t>-555.211036458238 60.0558893283775 -234.990785396342</t>
  </si>
  <si>
    <t>-592.362269926772 49.0363856944414 -349.734583985773</t>
  </si>
  <si>
    <t>-602.368057583953 41.5613094193858 -470.29402122671</t>
  </si>
  <si>
    <t>-600.074835206433 36.1725811554216 -579.658394988754</t>
  </si>
  <si>
    <t>-586.554452112415 32.1004623617974 -688.265234382067</t>
  </si>
  <si>
    <t>-556.152173529074 27.7492152088502 -837.45225691412</t>
  </si>
  <si>
    <t>-512.120189952576 29.0399672039464 -929.33536744979</t>
  </si>
  <si>
    <t>-567.469286831255 61.3928161925633 -771.931698177902</t>
  </si>
  <si>
    <t>-571.041835540881 206.417213153423 -747.828245325703</t>
  </si>
  <si>
    <t>-452.074807791575 223.366042524703 -455.004445253005</t>
  </si>
  <si>
    <t>-246.435280921766 175.263910158203 -303.21301153415</t>
  </si>
  <si>
    <t>-553.328842516616 156.48333463636 -244.627801641024</t>
  </si>
  <si>
    <t>-518.551251964673 173.017939384903 209.436888457208</t>
  </si>
  <si>
    <t>-500.312190515584 173.622579557445 678.754225339394</t>
  </si>
  <si>
    <t>-341.47223407767 175.614897584296 754.314751440399</t>
  </si>
  <si>
    <t>-456.511093473562 -49.8729476309357 219.652643271779</t>
  </si>
  <si>
    <t>-591.266445911743 -106.290923693515 666.630596182263</t>
  </si>
  <si>
    <t>-439.621809514817 -140.321108324906 749.028238294578</t>
  </si>
  <si>
    <t>9763-20170724T164413.384577500.bin</t>
  </si>
  <si>
    <t>-553.747978597115 60.4075325728291 -235.497675693151</t>
  </si>
  <si>
    <t>-590.997976064971 49.7912730275321 -350.247500757974</t>
  </si>
  <si>
    <t>-601.181553364119 42.6945098195377 -470.814970472249</t>
  </si>
  <si>
    <t>-599.078638902474 37.6170494984348 -580.198009409255</t>
  </si>
  <si>
    <t>-585.775334252224 33.8168144785571 -688.841654804551</t>
  </si>
  <si>
    <t>-555.699832056315 29.793596210112 -838.104073715974</t>
  </si>
  <si>
    <t>-511.998452865982 31.0621971825123 -930.145289714083</t>
  </si>
  <si>
    <t>-566.256998738962 63.2469728386758 -772.359597110176</t>
  </si>
  <si>
    <t>-566.763592292316 208.236634978287 -747.690432002112</t>
  </si>
  <si>
    <t>-442.523186643464 220.662274352372 -456.836360819878</t>
  </si>
  <si>
    <t>-236.804124260677 175.087122202237 -304.374353578558</t>
  </si>
  <si>
    <t>-550.671464387592 157.389867195876 -245.253626904138</t>
  </si>
  <si>
    <t>-517.023074528964 173.643112984555 208.906322412021</t>
  </si>
  <si>
    <t>-500.389658369306 174.559436655917 678.3228760919</t>
  </si>
  <si>
    <t>-341.792337261962 174.633751238783 754.417496766442</t>
  </si>
  <si>
    <t>-456.058853143691 -50.2973494717438 219.128664620466</t>
  </si>
  <si>
    <t>-591.178308009183 -106.881942010183 665.839115000023</t>
  </si>
  <si>
    <t>-439.315109309731 -139.733531520479 748.312582745803</t>
  </si>
  <si>
    <t>9763-20170724T164413.415663600.bin</t>
  </si>
  <si>
    <t>-552.821846143766 60.6038475623601 -235.760009414324</t>
  </si>
  <si>
    <t>-590.242123662019 50.2355812643076 -350.477193983818</t>
  </si>
  <si>
    <t>-600.610529413176 43.2954617815827 -471.037875193392</t>
  </si>
  <si>
    <t>-598.6784531879 38.3167894636224 -580.42859691872</t>
  </si>
  <si>
    <t>-585.548312901822 34.5711900093386 -689.095138238563</t>
  </si>
  <si>
    <t>-555.714445379725 30.5761832067698 -838.406861140951</t>
  </si>
  <si>
    <t>-512.101289035348 31.7013594014481 -930.491709555264</t>
  </si>
  <si>
    <t>-565.887800209392 63.9923398703745 -772.58300701957</t>
  </si>
  <si>
    <t>-564.989057796973 208.958767086979 -747.827614799137</t>
  </si>
  <si>
    <t>-439.472725221466 220.463306931054 -457.48375532444</t>
  </si>
  <si>
    <t>-233.868550027897 175.556986148151 -304.668861805081</t>
  </si>
  <si>
    <t>-571.94220880373 0.695345964427069 -772.099237214431</t>
  </si>
  <si>
    <t>-549.075433178401 157.541843233326 -245.566632165375</t>
  </si>
  <si>
    <t>-515.803493955718 173.629753515089 208.626879748772</t>
  </si>
  <si>
    <t>-500.064984336636 173.854439358807 678.108594176369</t>
  </si>
  <si>
    <t>-341.601542154297 174.333422340187 754.480080723921</t>
  </si>
  <si>
    <t>-455.689101998929 -50.3163118677526 218.873433550176</t>
  </si>
  <si>
    <t>-591.141949176968 -106.587847752996 665.467015732092</t>
  </si>
  <si>
    <t>-439.533668270827 -140.394397976566 748.023443179491</t>
  </si>
  <si>
    <t>9763-20170724T164413.487863300.bin</t>
  </si>
  <si>
    <t>-550.737591101523 61.7126780482788 -236.291329121697</t>
  </si>
  <si>
    <t>-588.465784364904 51.7499274808035 -350.943508777044</t>
  </si>
  <si>
    <t>-599.171613201467 44.8853080022895 -471.479092245687</t>
  </si>
  <si>
    <t>-597.555145259958 39.8425481492844 -580.872005237489</t>
  </si>
  <si>
    <t>-584.749349984058 35.9059172725375 -689.570566835823</t>
  </si>
  <si>
    <t>-555.373757788601 31.5175789847766 -838.961994532232</t>
  </si>
  <si>
    <t>-511.917793647844 32.1567692780648 -931.125765026636</t>
  </si>
  <si>
    <t>-564.905453529662 65.062675881229 -773.107750314453</t>
  </si>
  <si>
    <t>-562.141761503836 210.050650355303 -748.617449723133</t>
  </si>
  <si>
    <t>-435.965052248122 223.561347156609 -458.646572357837</t>
  </si>
  <si>
    <t>-231.787593612821 180.986631833057 -303.272818939991</t>
  </si>
  <si>
    <t>-571.837711570699 1.85593189070127 -772.614203190811</t>
  </si>
  <si>
    <t>-545.669724399773 158.514728794618 -246.163167177997</t>
  </si>
  <si>
    <t>-513.536766709421 174.324834398526 208.122132427621</t>
  </si>
  <si>
    <t>-499.769342493333 173.771362481247 677.647854975944</t>
  </si>
  <si>
    <t>-341.647710109504 173.81266814782 754.726024001086</t>
  </si>
  <si>
    <t>-454.845088012283 -50.4935254260575 218.452645190916</t>
  </si>
  <si>
    <t>-591.135910735477 -106.123400538357 664.795275933194</t>
  </si>
  <si>
    <t>-439.967335284058 -141.503113333061 747.498707826571</t>
  </si>
  <si>
    <t>9763-20170724T164413.541543600.bin</t>
  </si>
  <si>
    <t>-549.640991504041 62.0395754881977 -236.550283624273</t>
  </si>
  <si>
    <t>-587.372845646204 52.3653863678903 -351.225935327988</t>
  </si>
  <si>
    <t>-598.122316435843 45.5571893940616 -471.760882511802</t>
  </si>
  <si>
    <t>-596.564404081247 40.4767111680411 -581.152905717279</t>
  </si>
  <si>
    <t>-583.836978790634 36.4189895561726 -689.856158180624</t>
  </si>
  <si>
    <t>-554.590653574378 31.7806065663915 -839.265433035643</t>
  </si>
  <si>
    <t>-511.180807222082 32.1817679698845 -931.452326539646</t>
  </si>
  <si>
    <t>-563.910172840177 65.4187762333911 -773.428327952123</t>
  </si>
  <si>
    <t>-560.536878380296 210.41844224865 -749.088514919696</t>
  </si>
  <si>
    <t>-435.611152885988 226.120551004871 -458.686837022386</t>
  </si>
  <si>
    <t>-231.852872856881 183.349730236232 -302.81738694106</t>
  </si>
  <si>
    <t>-571.152260772394 2.24712733978599 -772.884735932798</t>
  </si>
  <si>
    <t>-543.968544645844 158.860730782309 -246.433755829351</t>
  </si>
  <si>
    <t>-512.379125199188 174.34775440071 207.900843736293</t>
  </si>
  <si>
    <t>-499.625076276222 173.572695067231 677.48125312814</t>
  </si>
  <si>
    <t>-341.671879845424 173.914731978732 754.903412436828</t>
  </si>
  <si>
    <t>-454.626673976791 -50.7822469474126 218.196702970286</t>
  </si>
  <si>
    <t>-591.156507870466 -106.09467335574 664.517202400172</t>
  </si>
  <si>
    <t>-439.905540618858 -141.104004523524 747.227682112175</t>
  </si>
  <si>
    <t>9763-20170724T164413.586663800.bin</t>
  </si>
  <si>
    <t>-547.657764503539 63.0506978341702 -237.202573023788</t>
  </si>
  <si>
    <t>-585.49807219811 53.7686054058746 -351.874904540489</t>
  </si>
  <si>
    <t>-596.321687696606 47.004282995305 -472.405766194955</t>
  </si>
  <si>
    <t>-594.820201753644 41.8433062569106 -581.794707843601</t>
  </si>
  <si>
    <t>-582.140215548205 37.6001096878205 -690.496539880059</t>
  </si>
  <si>
    <t>-552.951962815683 32.6086337833013 -839.905795522402</t>
  </si>
  <si>
    <t>-509.597589616699 32.6480947468764 -932.119552548222</t>
  </si>
  <si>
    <t>-562.170034956009 66.393694508874 -774.129458716439</t>
  </si>
  <si>
    <t>-558.55797761005 211.396877096257 -749.978780432362</t>
  </si>
  <si>
    <t>-438.181719121958 231.439117401288 -457.927421683037</t>
  </si>
  <si>
    <t>-233.944860277514 187.614003544825 -302.979977142639</t>
  </si>
  <si>
    <t>-569.563737330241 3.24079518841319 -773.464099262084</t>
  </si>
  <si>
    <t>-541.227899031898 160.028165063364 -246.988709011086</t>
  </si>
  <si>
    <t>-510.178777689935 174.954306616072 207.401982151086</t>
  </si>
  <si>
    <t>-499.395384583195 173.495614415315 677.050605675784</t>
  </si>
  <si>
    <t>-341.793956773178 173.068193105539 755.185877053649</t>
  </si>
  <si>
    <t>-454.451818082864 -50.7238327941828 217.723717928664</t>
  </si>
  <si>
    <t>-591.23880144329 -105.934768061192 663.998737092462</t>
  </si>
  <si>
    <t>-440.231433809146 -141.89202301129 746.747520926388</t>
  </si>
  <si>
    <t>9763-20170724T164413.619255800.bin</t>
  </si>
  <si>
    <t>-546.854995717775 63.7006336215986 -237.440452710952</t>
  </si>
  <si>
    <t>-584.691519903052 54.5535848135753 -352.124949098395</t>
  </si>
  <si>
    <t>-595.555480095703 47.812689637314 -472.653262383501</t>
  </si>
  <si>
    <t>-594.110152349337 42.6375903044215 -582.042462766225</t>
  </si>
  <si>
    <t>-581.506137861646 38.3515582156505 -690.751468576187</t>
  </si>
  <si>
    <t>-552.443740860905 33.2769104285784 -840.182397764757</t>
  </si>
  <si>
    <t>-509.16599214574 33.2078157883681 -932.432124491157</t>
  </si>
  <si>
    <t>-561.642315793093 67.1026785405771 -774.424352634291</t>
  </si>
  <si>
    <t>-558.290143641757 212.117613954277 -750.258893353036</t>
  </si>
  <si>
    <t>-439.741999750508 233.320783663606 -457.542519265841</t>
  </si>
  <si>
    <t>-235.008054099389 189.528837347814 -303.242975556466</t>
  </si>
  <si>
    <t>-568.963664277967 3.94194420376215 -773.703171902465</t>
  </si>
  <si>
    <t>-540.262401379539 160.8913504935 -247.203453289617</t>
  </si>
  <si>
    <t>-509.358425153918 175.523871102596 207.20662513543</t>
  </si>
  <si>
    <t>-499.488069896258 173.986912346939 676.884351513797</t>
  </si>
  <si>
    <t>-342.014686192311 172.807115954002 755.269562707578</t>
  </si>
  <si>
    <t>-454.393596681797 -50.4077542829428 217.521104395481</t>
  </si>
  <si>
    <t>-591.213258870823 -106.140086802204 663.685529476359</t>
  </si>
  <si>
    <t>-440.198996369659 -142.052480202881 746.441266445156</t>
  </si>
  <si>
    <t>9763-20170724T164413.690448500.bin</t>
  </si>
  <si>
    <t>-545.303178090495 64.8599844186619 -238.017202163379</t>
  </si>
  <si>
    <t>-583.176849410024 55.7105841664569 -352.689224648481</t>
  </si>
  <si>
    <t>-594.1457524839 48.8957957290262 -473.204003115216</t>
  </si>
  <si>
    <t>-592.823647196922 43.6383961087103 -582.590798465321</t>
  </si>
  <si>
    <t>-580.370600077594 39.262277432828 -691.313467229439</t>
  </si>
  <si>
    <t>-551.545613179097 34.0616891331099 -840.786052857866</t>
  </si>
  <si>
    <t>-508.333748614501 33.9742251770578 -933.066750993099</t>
  </si>
  <si>
    <t>-560.834075849742 67.9642428558392 -775.080256680804</t>
  </si>
  <si>
    <t>-558.705197595218 213.04555761939 -751.2022180817</t>
  </si>
  <si>
    <t>-443.571835889951 235.885532350308 -457.248448038694</t>
  </si>
  <si>
    <t>-238.968134718142 193.29997577889 -302.439505691406</t>
  </si>
  <si>
    <t>-567.765437636516 4.76131429723563 -774.217969098783</t>
  </si>
  <si>
    <t>-538.831068493717 161.792739020978 -247.577259953155</t>
  </si>
  <si>
    <t>-508.325537447096 175.919124470983 206.875713647378</t>
  </si>
  <si>
    <t>-499.140114211287 173.007687520236 676.601473525899</t>
  </si>
  <si>
    <t>-341.749839158561 173.294344396125 755.161896350593</t>
  </si>
  <si>
    <t>-454.249685384898 -49.2930434244064 217.163189347764</t>
  </si>
  <si>
    <t>-591.150160412411 -105.732508715326 663.141413286222</t>
  </si>
  <si>
    <t>-440.246397086262 -142.038274786466 745.92705928511</t>
  </si>
  <si>
    <t>9763-20170724T164413.717524500.bin</t>
  </si>
  <si>
    <t>-544.691236611454 65.7000317287238 -238.11841127601</t>
  </si>
  <si>
    <t>-582.358193091657 56.4250093887665 -352.848533159305</t>
  </si>
  <si>
    <t>-593.261546954857 49.5126165434585 -473.363708063638</t>
  </si>
  <si>
    <t>-591.941279595502 44.1842996434148 -582.746997408525</t>
  </si>
  <si>
    <t>-579.55089967804 39.7572181652884 -691.474784991989</t>
  </si>
  <si>
    <t>-550.874942521217 34.5094470989693 -840.974366772852</t>
  </si>
  <si>
    <t>-507.619314236298 34.4752762508917 -933.234558521915</t>
  </si>
  <si>
    <t>-560.230239416373 68.446620309548 -775.295915133923</t>
  </si>
  <si>
    <t>-558.738056572905 213.560376796717 -751.618301777826</t>
  </si>
  <si>
    <t>-445.157356180727 237.401681049905 -457.140499775112</t>
  </si>
  <si>
    <t>-240.829221145217 194.173156751157 -302.145808341714</t>
  </si>
  <si>
    <t>-566.896080009788 5.21623048169818 -774.354997782827</t>
  </si>
  <si>
    <t>-538.441255472539 162.443078519183 -247.707067939568</t>
  </si>
  <si>
    <t>-508.288092412889 176.249981117252 206.779274208709</t>
  </si>
  <si>
    <t>-499.05335836882 172.714430297345 676.503709667268</t>
  </si>
  <si>
    <t>-341.675626030178 173.769646355634 755.08253543309</t>
  </si>
  <si>
    <t>-453.80853803409 -48.5257376366944 217.083102823211</t>
  </si>
  <si>
    <t>-590.999276859249 -105.580273651064 662.75550340816</t>
  </si>
  <si>
    <t>-440.225789554188 -142.222224848232 745.630313818786</t>
  </si>
  <si>
    <t>9763-20170724T164413.786712200.bin</t>
  </si>
  <si>
    <t>-543.612538046376 67.4733110190011 -238.408567480894</t>
  </si>
  <si>
    <t>-581.243007908704 57.8097053846106 -353.118504368014</t>
  </si>
  <si>
    <t>-592.231433573733 50.6388275500876 -473.610834355284</t>
  </si>
  <si>
    <t>-591.037329116931 45.1390358394562 -582.987117532326</t>
  </si>
  <si>
    <t>-578.820970093764 40.6061462254358 -691.73031107274</t>
  </si>
  <si>
    <t>-550.434099732513 35.2830511847173 -841.28234209086</t>
  </si>
  <si>
    <t>-506.539901113861 35.4508988821781 -933.24025620274</t>
  </si>
  <si>
    <t>-559.971950772913 69.2834178721616 -775.662954995953</t>
  </si>
  <si>
    <t>-559.981042020181 214.465755450638 -752.3417874208</t>
  </si>
  <si>
    <t>-449.765125523366 239.695075525966 -456.703269141638</t>
  </si>
  <si>
    <t>-245.116571543452 195.807063900855 -302.317756904608</t>
  </si>
  <si>
    <t>-566.016902899929 5.99333048178671 -774.557537765188</t>
  </si>
  <si>
    <t>-538.181367573603 164.250155818582 -247.976891005072</t>
  </si>
  <si>
    <t>-508.868117828624 177.390514475954 206.584150719941</t>
  </si>
  <si>
    <t>-499.164127336456 173.070139233478 676.345406488766</t>
  </si>
  <si>
    <t>-341.74853800148 173.495010595244 754.854387721952</t>
  </si>
  <si>
    <t>-452.867030842012 -46.9343511964728 216.980687503864</t>
  </si>
  <si>
    <t>-590.690193527071 -106.141974658974 662.222918520586</t>
  </si>
  <si>
    <t>-439.692700700483 -141.672603127862 745.173697003334</t>
  </si>
  <si>
    <t>9763-20170724T164413.819805300.bin</t>
  </si>
  <si>
    <t>-543.228391603672 68.4272678280321 -238.414244685509</t>
  </si>
  <si>
    <t>-580.723137376708 58.5729209699797 -353.15236936119</t>
  </si>
  <si>
    <t>-591.760293029066 51.2890985678977 -473.63351941213</t>
  </si>
  <si>
    <t>-590.687233502932 45.7251892033629 -583.007795341842</t>
  </si>
  <si>
    <t>-578.667600720162 41.1690304021764 -691.771770575366</t>
  </si>
  <si>
    <t>-550.630203626061 35.8589868877898 -841.390471233136</t>
  </si>
  <si>
    <t>-506.03796897674 36.1468887386804 -933.011485205897</t>
  </si>
  <si>
    <t>-560.186814597342 69.8689828318288 -775.778483285316</t>
  </si>
  <si>
    <t>-560.933493693762 215.052424148668 -752.533957318535</t>
  </si>
  <si>
    <t>-451.635904672494 240.206943779956 -456.548251865997</t>
  </si>
  <si>
    <t>-246.68996118526 196.395495572753 -302.536167743168</t>
  </si>
  <si>
    <t>-565.884949175355 6.54802929792852 -774.599026578522</t>
  </si>
  <si>
    <t>-538.169103535887 165.330960347804 -248.049277936111</t>
  </si>
  <si>
    <t>-509.291925824591 178.08224821858 206.550794498344</t>
  </si>
  <si>
    <t>-499.322276468234 173.57934648678 676.285918022718</t>
  </si>
  <si>
    <t>-341.889303772374 173.284865722711 754.760763904357</t>
  </si>
  <si>
    <t>-452.368959586437 -45.8214437260437 217.026712462616</t>
  </si>
  <si>
    <t>-590.551195240183 -105.92914025844 661.989679022934</t>
  </si>
  <si>
    <t>-439.572408548241 -141.335604270278 745.027592987644</t>
  </si>
  <si>
    <t>9763-20170724T164413.893001900.bin</t>
  </si>
  <si>
    <t>-542.496809469981 70.0885470949752 -238.47187187968</t>
  </si>
  <si>
    <t>-580.021923638052 59.7333977330214 -353.156084479104</t>
  </si>
  <si>
    <t>-591.190966226696 52.141818560182 -473.60593060996</t>
  </si>
  <si>
    <t>-590.277252760038 46.3904966074002 -582.972018337245</t>
  </si>
  <si>
    <t>-578.455222487274 41.7427219727808 -691.753854340848</t>
  </si>
  <si>
    <t>-550.72987163285 36.4099298895659 -841.429761798192</t>
  </si>
  <si>
    <t>-504.368177855993 36.9196543608219 -932.167450821326</t>
  </si>
  <si>
    <t>-560.440577276717 70.4536399177439 -775.8580529211</t>
  </si>
  <si>
    <t>-562.775623099927 215.660255842473 -752.787192175908</t>
  </si>
  <si>
    <t>-455.22058240437 240.261594089536 -456.117531586206</t>
  </si>
  <si>
    <t>-250.237155297904 198.708708873758 -301.530339328535</t>
  </si>
  <si>
    <t>-565.554394381901 7.08541431777009 -774.547576874083</t>
  </si>
  <si>
    <t>-537.970926939173 166.801292619436 -248.240180336596</t>
  </si>
  <si>
    <t>-510.165236312993 179.003937467652 206.441699022529</t>
  </si>
  <si>
    <t>-499.316463999026 173.631878062683 676.188589026117</t>
  </si>
  <si>
    <t>-341.804564800872 174.008842896335 754.504548487648</t>
  </si>
  <si>
    <t>-451.093199426885 -43.8073625721762 217.174396046667</t>
  </si>
  <si>
    <t>-590.238870922402 -105.709454339325 661.589349055116</t>
  </si>
  <si>
    <t>-439.333056311542 -141.02435925862 744.798860397947</t>
  </si>
  <si>
    <t>9763-20170724T164413.921080100.bin</t>
  </si>
  <si>
    <t>-542.221131677856 70.528885538232 -238.480830439438</t>
  </si>
  <si>
    <t>-579.698921336212 60.0135686883657 -353.165902252355</t>
  </si>
  <si>
    <t>-590.803885665832 52.3048398485701 -473.614272286472</t>
  </si>
  <si>
    <t>-589.826441348161 46.4727442549904 -582.975483456205</t>
  </si>
  <si>
    <t>-577.935743589976 41.7731565588624 -691.747702058815</t>
  </si>
  <si>
    <t>-550.110571716935 36.4020344336639 -841.403680455821</t>
  </si>
  <si>
    <t>-502.932510005118 37.024974791362 -931.718756242006</t>
  </si>
  <si>
    <t>-559.994735216454 70.4721710921918 -775.871640511343</t>
  </si>
  <si>
    <t>-562.909126821536 215.664226306189 -752.859842645223</t>
  </si>
  <si>
    <t>-456.459448890278 241.20362634884 -455.870960100026</t>
  </si>
  <si>
    <t>-251.662791185107 199.80531260666 -300.994988994171</t>
  </si>
  <si>
    <t>-564.84990710609 7.08495118976198 -774.499362128817</t>
  </si>
  <si>
    <t>-537.977427857421 167.303428265101 -248.301450424306</t>
  </si>
  <si>
    <t>-510.486703423979 179.179499598282 206.408265148181</t>
  </si>
  <si>
    <t>-499.260720476833 173.476324485056 676.173188162909</t>
  </si>
  <si>
    <t>-341.72057559002 173.796580805698 754.432555155656</t>
  </si>
  <si>
    <t>-450.779389495734 -43.3541668012524 217.225920299052</t>
  </si>
  <si>
    <t>-590.08494683308 -106.160518313298 661.486508072456</t>
  </si>
  <si>
    <t>-439.01192880262 -140.655612382475 744.736362801176</t>
  </si>
  <si>
    <t>9763-20170724T164413.989282600.bin</t>
  </si>
  <si>
    <t>-541.443698658125 71.5090410171394 -238.596129832506</t>
  </si>
  <si>
    <t>-578.72677901709 60.8299303707989 -353.329397003551</t>
  </si>
  <si>
    <t>-589.565247692117 52.9344790798082 -473.78997380007</t>
  </si>
  <si>
    <t>-588.321967681908 46.9375540165288 -583.139589076842</t>
  </si>
  <si>
    <t>-576.143692597817 42.084254409469 -691.873141230625</t>
  </si>
  <si>
    <t>-547.899558058701 36.5176455477556 -841.443441292768</t>
  </si>
  <si>
    <t>-499.435391617841 37.305008496308 -931.07377282445</t>
  </si>
  <si>
    <t>-558.153012156378 70.686303219148 -776.019540440127</t>
  </si>
  <si>
    <t>-562.012794928789 215.921352894618 -753.302103728713</t>
  </si>
  <si>
    <t>-459.165322230565 243.873348882459 -455.263178389415</t>
  </si>
  <si>
    <t>-254.424852745658 201.734856744168 -300.512570119491</t>
  </si>
  <si>
    <t>-562.640423154574 7.27512445114478 -774.50692337834</t>
  </si>
  <si>
    <t>-537.437957533522 168.181094275976 -248.425665074164</t>
  </si>
  <si>
    <t>-510.701560248564 179.637894511034 206.339826332834</t>
  </si>
  <si>
    <t>-499.21957819077 173.522812246049 676.100834966266</t>
  </si>
  <si>
    <t>-341.645154995237 175.277838836797 754.272066562559</t>
  </si>
  <si>
    <t>-450.299917763074 -42.7643623234133 217.249993823766</t>
  </si>
  <si>
    <t>-589.838849551589 -105.861358206095 661.326989349314</t>
  </si>
  <si>
    <t>-439.042830831914 -140.937051286862 744.836159007267</t>
  </si>
  <si>
    <t>9763-20170724T164414.023876100.bin</t>
  </si>
  <si>
    <t>-541.210674648014 71.7858746756902 -238.583539628509</t>
  </si>
  <si>
    <t>-578.28005404302 61.095180087924 -353.385081830781</t>
  </si>
  <si>
    <t>-588.922258923289 53.1242600881523 -473.858249444899</t>
  </si>
  <si>
    <t>-587.512864979138 47.0391677216241 -583.200887035021</t>
  </si>
  <si>
    <t>-575.181824265606 42.0810457140008 -691.912537658368</t>
  </si>
  <si>
    <t>-546.740731810043 36.3549064905538 -841.439518770956</t>
  </si>
  <si>
    <t>-497.914277831953 37.1802209755649 -930.872673508652</t>
  </si>
  <si>
    <t>-557.16651640109 70.5988712512882 -776.082299748135</t>
  </si>
  <si>
    <t>-561.51193921515 215.846779514385 -753.567522656827</t>
  </si>
  <si>
    <t>-460.469678080647 245.099993475885 -455.036294840038</t>
  </si>
  <si>
    <t>-255.668737016595 202.603094191567 -300.463910181335</t>
  </si>
  <si>
    <t>-561.483501287106 7.17822537795125 -774.474729409205</t>
  </si>
  <si>
    <t>-537.315087617086 168.631339446196 -248.442293924191</t>
  </si>
  <si>
    <t>-510.664766642003 179.923580321724 206.332238448524</t>
  </si>
  <si>
    <t>-499.310458550879 173.847109110734 676.097445378473</t>
  </si>
  <si>
    <t>-341.729859107336 174.879889269882 754.268989336899</t>
  </si>
  <si>
    <t>-450.325783627864 -42.8483157021889 217.253985668222</t>
  </si>
  <si>
    <t>-589.770094449067 -106.308581221399 661.391738454435</t>
  </si>
  <si>
    <t>-438.850969029178 -140.719601600779 744.954987202396</t>
  </si>
  <si>
    <t>9763-20170724T164414.085556200.bin</t>
  </si>
  <si>
    <t>-540.815494826394 72.2885332988667 -238.658919294421</t>
  </si>
  <si>
    <t>-577.920860047985 61.6160590380713 -353.450424183601</t>
  </si>
  <si>
    <t>-588.383849514474 53.4969023116342 -473.929289771904</t>
  </si>
  <si>
    <t>-586.726388584675 47.2237219190323 -583.257920982148</t>
  </si>
  <si>
    <t>-574.064582472416 42.0313549058324 -691.920673771754</t>
  </si>
  <si>
    <t>-545.082572586275 35.9391085754781 -841.329205999813</t>
  </si>
  <si>
    <t>-495.819416816344 36.7597905573065 -930.522515012124</t>
  </si>
  <si>
    <t>-555.873891682925 70.3508674527973 -776.119580222247</t>
  </si>
  <si>
    <t>-561.121141065902 215.641653169243 -754.01565615482</t>
  </si>
  <si>
    <t>-463.03947585563 246.800221954405 -454.690861486156</t>
  </si>
  <si>
    <t>-258.207781959165 203.774780560153 -300.305437274328</t>
  </si>
  <si>
    <t>-559.938561676341 6.918674191268 -774.321511385879</t>
  </si>
  <si>
    <t>-537.089319844576 169.101653971284 -248.431485478555</t>
  </si>
  <si>
    <t>-510.274302943987 180.299571449426 206.335745946043</t>
  </si>
  <si>
    <t>-499.208839395906 173.692144965639 676.079976574584</t>
  </si>
  <si>
    <t>-341.630926712046 174.690253780701 754.257395792421</t>
  </si>
  <si>
    <t>-450.477306592431 -42.7133267829444 217.350430914689</t>
  </si>
  <si>
    <t>-589.751500591577 -106.160424306769 661.532203120925</t>
  </si>
  <si>
    <t>-439.00760735447 -141.092816091162 745.195324122849</t>
  </si>
  <si>
    <t>9763-20170724T164414.123158200.bin</t>
  </si>
  <si>
    <t>-540.546803840924 72.7132250368323 -238.646236587907</t>
  </si>
  <si>
    <t>-577.580238908022 62.0132234044654 -353.458459880147</t>
  </si>
  <si>
    <t>-587.949940962872 53.8050113898217 -473.939388575044</t>
  </si>
  <si>
    <t>-586.201061931175 47.4294828714032 -583.260651660314</t>
  </si>
  <si>
    <t>-573.442089050768 42.1150304407741 -691.905980874048</t>
  </si>
  <si>
    <t>-544.319782235264 35.8341888634083 -841.279623224727</t>
  </si>
  <si>
    <t>-495.003430695845 36.6133758851017 -930.443843661609</t>
  </si>
  <si>
    <t>-555.205079513281 70.3300858091121 -776.130102554237</t>
  </si>
  <si>
    <t>-560.712128544263 215.62810556755 -754.231582794915</t>
  </si>
  <si>
    <t>-463.991911324441 247.351250297501 -454.523438007795</t>
  </si>
  <si>
    <t>-259.298175786764 204.206712748245 -299.988311282427</t>
  </si>
  <si>
    <t>-559.205937859763 6.89642317311474 -774.242836077407</t>
  </si>
  <si>
    <t>-536.830583050968 169.44067302023 -248.415447129877</t>
  </si>
  <si>
    <t>-510.243714321337 180.509169993915 206.368291768281</t>
  </si>
  <si>
    <t>-499.151233043245 173.588337263255 676.087446894285</t>
  </si>
  <si>
    <t>-341.582683683903 174.459960223031 754.285332996645</t>
  </si>
  <si>
    <t>-450.444526834032 -42.604088561181 217.388771262542</t>
  </si>
  <si>
    <t>-589.728607029905 -105.942875799375 661.547687843992</t>
  </si>
  <si>
    <t>-439.114906989569 -141.343133782182 745.24861582893</t>
  </si>
  <si>
    <t>9763-20170724T164414.190856800.bin</t>
  </si>
  <si>
    <t>-539.753677819412 72.6122383360926 -238.621696246389</t>
  </si>
  <si>
    <t>-576.694813231206 61.9246248502006 -353.46487680951</t>
  </si>
  <si>
    <t>-586.928477607178 53.6080689963849 -473.94999116564</t>
  </si>
  <si>
    <t>-585.040881524764 47.0864793475675 -583.260439759314</t>
  </si>
  <si>
    <t>-572.128975393767 41.5786867332268 -691.878046950579</t>
  </si>
  <si>
    <t>-542.781087500429 34.9809985864319 -841.193678507807</t>
  </si>
  <si>
    <t>-493.483027875383 35.6231639364875 -930.369309604608</t>
  </si>
  <si>
    <t>-553.738186791072 69.6135244412854 -776.128678403996</t>
  </si>
  <si>
    <t>-559.394959161227 214.973379089455 -754.491936124568</t>
  </si>
  <si>
    <t>-465.93610381061 248.243646380294 -453.917820934073</t>
  </si>
  <si>
    <t>-261.070637505442 204.926829252555 -299.658908065748</t>
  </si>
  <si>
    <t>-557.795014467485 6.18703544268257 -774.123559243385</t>
  </si>
  <si>
    <t>-536.124697007948 169.357265932542 -248.436976756265</t>
  </si>
  <si>
    <t>-509.887333851791 180.405482289473 206.367594874519</t>
  </si>
  <si>
    <t>-499.098229753091 173.569434367263 676.087087192883</t>
  </si>
  <si>
    <t>-341.554637391201 175.194573339544 754.323101975235</t>
  </si>
  <si>
    <t>-449.88293977741 -42.7539548606304 217.505434233942</t>
  </si>
  <si>
    <t>-589.579912016496 -106.285648662624 661.464905468151</t>
  </si>
  <si>
    <t>-438.857412221972 -141.214285559342 745.168062859679</t>
  </si>
  <si>
    <t>9763-20170724T164414.220442400.bin</t>
  </si>
  <si>
    <t>-539.417221353788 72.7538708468022 -238.615101094347</t>
  </si>
  <si>
    <t>-576.399044591791 62.0640462238243 -353.444771101089</t>
  </si>
  <si>
    <t>-586.603652781312 53.684189781178 -473.92813363378</t>
  </si>
  <si>
    <t>-584.661060789473 47.0814689937069 -583.232658635129</t>
  </si>
  <si>
    <t>-571.666126756668 41.4693353521369 -691.83498064406</t>
  </si>
  <si>
    <t>-542.174995653437 34.703085374287 -841.114970341382</t>
  </si>
  <si>
    <t>-492.867236486795 35.263722620534 -930.285651192045</t>
  </si>
  <si>
    <t>-553.172873709919 69.4077972431225 -776.095392393922</t>
  </si>
  <si>
    <t>-558.818585173065 214.768891577529 -754.608616612014</t>
  </si>
  <si>
    <t>-466.989351995859 249.087049218433 -453.650524874342</t>
  </si>
  <si>
    <t>-262.120419567984 205.196406920576 -299.558308535548</t>
  </si>
  <si>
    <t>-557.275012920312 5.98614206275033 -774.031016252002</t>
  </si>
  <si>
    <t>-535.767563710893 169.586062922647 -248.457729303559</t>
  </si>
  <si>
    <t>-509.636300052428 180.607274336011 206.353530398901</t>
  </si>
  <si>
    <t>-499.112889560551 173.731980777914 676.073803379445</t>
  </si>
  <si>
    <t>-341.599363087859 175.175492380463 754.373934346903</t>
  </si>
  <si>
    <t>-449.59969554124 -42.5286916837199 217.54379751717</t>
  </si>
  <si>
    <t>-589.545378629902 -105.996204254911 661.417450839103</t>
  </si>
  <si>
    <t>-438.925344170038 -141.525342354025 745.052336285621</t>
  </si>
  <si>
    <t>9763-20170724T164414.292138600.bin</t>
  </si>
  <si>
    <t>-538.68297301768 73.1674375557114 -238.677183666462</t>
  </si>
  <si>
    <t>-575.659180667137 62.5478239283339 -353.51542277424</t>
  </si>
  <si>
    <t>-585.826599110833 54.0958916436652 -473.99661474229</t>
  </si>
  <si>
    <t>-583.838574324848 47.3737591728368 -583.293214392865</t>
  </si>
  <si>
    <t>-570.787243739551 41.5907266682933 -691.879772910214</t>
  </si>
  <si>
    <t>-541.207246673081 34.5359944861278 -841.128823281397</t>
  </si>
  <si>
    <t>-491.857633194481 34.9440505377318 -930.277204071822</t>
  </si>
  <si>
    <t>-552.214433730288 69.3645552859873 -776.177066037719</t>
  </si>
  <si>
    <t>-557.850068718666 214.747580579299 -754.898274800301</t>
  </si>
  <si>
    <t>-468.650897875199 251.478981356651 -453.434353669906</t>
  </si>
  <si>
    <t>-263.956881218116 206.601426884475 -299.393916194846</t>
  </si>
  <si>
    <t>-556.376492476342 5.95041781580485 -774.00448207433</t>
  </si>
  <si>
    <t>-534.903328306312 169.990617771113 -248.513198732891</t>
  </si>
  <si>
    <t>-508.943657898331 180.918119159616 206.310132147387</t>
  </si>
  <si>
    <t>-499.174084866476 173.995473631765 676.070669974268</t>
  </si>
  <si>
    <t>-341.711427836843 175.057597248215 754.479211988586</t>
  </si>
  <si>
    <t>-449.645064882044 -42.1618743989079 217.545530511579</t>
  </si>
  <si>
    <t>-589.561324918353 -105.844492807535 661.429286895442</t>
  </si>
  <si>
    <t>-438.814744013178 -141.744812228621 744.676820329119</t>
  </si>
  <si>
    <t>9763-20170724T164414.318724200.bin</t>
  </si>
  <si>
    <t>-538.31499721144 73.2798317939564 -238.738053563825</t>
  </si>
  <si>
    <t>-575.265649396817 62.7133150306007 -353.589294887007</t>
  </si>
  <si>
    <t>-585.423864192158 54.2579514256456 -474.071091230719</t>
  </si>
  <si>
    <t>-583.434985546995 47.512393416998 -583.366171398922</t>
  </si>
  <si>
    <t>-570.390557029248 41.6875999815551 -691.951347083315</t>
  </si>
  <si>
    <t>-540.82812733214 34.5576436278233 -841.200268661116</t>
  </si>
  <si>
    <t>-491.464468851435 34.8917318484258 -930.341103261686</t>
  </si>
  <si>
    <t>-551.806007348252 69.417667262877 -776.260444591497</t>
  </si>
  <si>
    <t>-557.448153187679 214.83078383377 -755.063533095129</t>
  </si>
  <si>
    <t>-469.383135581807 251.940585037942 -453.312638995119</t>
  </si>
  <si>
    <t>-264.668979072491 207.101666358907 -299.287899274633</t>
  </si>
  <si>
    <t>-556.011192372708 6.00722001499197 -774.064084623437</t>
  </si>
  <si>
    <t>-534.406497778463 170.221300135678 -248.554517862152</t>
  </si>
  <si>
    <t>-508.510616326855 181.159773416164 206.272362469335</t>
  </si>
  <si>
    <t>-499.208213955178 174.212171079416 676.031529382821</t>
  </si>
  <si>
    <t>-341.789244234361 174.457084462622 754.534493814642</t>
  </si>
  <si>
    <t>-449.689350151489 -42.3368956306761 217.555688034169</t>
  </si>
  <si>
    <t>-589.537367873162 -106.268111072215 661.446901007701</t>
  </si>
  <si>
    <t>-438.605956447471 -141.484168236978 744.651741759076</t>
  </si>
  <si>
    <t>9763-20170724T164414.387925300.bin</t>
  </si>
  <si>
    <t>-537.380828304168 73.4871281128802 -238.79518310544</t>
  </si>
  <si>
    <t>-574.349861891248 63.0408802138533 -353.651528331844</t>
  </si>
  <si>
    <t>-584.574432388172 54.590738176828 -474.128078983904</t>
  </si>
  <si>
    <t>-582.665738790249 47.8091631783135 -583.422288200301</t>
  </si>
  <si>
    <t>-569.721388496828 41.912351716528 -692.015648712083</t>
  </si>
  <si>
    <t>-540.317729377686 34.6489359925037 -841.289364233448</t>
  </si>
  <si>
    <t>-491.021059486418 34.8455605031613 -930.467754424527</t>
  </si>
  <si>
    <t>-551.180225321824 69.5642695061095 -776.359809451785</t>
  </si>
  <si>
    <t>-556.643474568833 214.974640948711 -755.23237187143</t>
  </si>
  <si>
    <t>-470.356123983767 252.387070656665 -453.005713235588</t>
  </si>
  <si>
    <t>-265.579096893445 207.707480302641 -299.018093939295</t>
  </si>
  <si>
    <t>-555.475649909694 6.16127685845106 -774.121013758627</t>
  </si>
  <si>
    <t>-533.160761080985 170.366264645132 -248.628465748273</t>
  </si>
  <si>
    <t>-507.591033988894 181.229263277207 206.218740234774</t>
  </si>
  <si>
    <t>-499.114559975834 174.087407634878 675.97800873732</t>
  </si>
  <si>
    <t>-341.792938034171 174.819331376195 754.672818936402</t>
  </si>
  <si>
    <t>-449.624856736439 -42.3463629101511 217.62868482317</t>
  </si>
  <si>
    <t>-589.634235160154 -105.706016163848 661.55593480634</t>
  </si>
  <si>
    <t>-438.695817575776 -141.447510342057 744.523779895713</t>
  </si>
  <si>
    <t>9763-20170724T164414.419518000.bin</t>
  </si>
  <si>
    <t>-536.911774657153 73.5237698007698 -238.836231742231</t>
  </si>
  <si>
    <t>-573.911569723224 63.1170659227694 -353.686175113423</t>
  </si>
  <si>
    <t>-584.188022846304 54.6525998564828 -474.157386466652</t>
  </si>
  <si>
    <t>-582.33474222401 47.8379531852353 -583.45044041892</t>
  </si>
  <si>
    <t>-569.453777541877 41.8892947136705 -692.048506518109</t>
  </si>
  <si>
    <t>-540.146068961141 34.5356970979708 -841.336827642158</t>
  </si>
  <si>
    <t>-490.915156501942 34.6574305201405 -930.551655993668</t>
  </si>
  <si>
    <t>-550.930696882054 69.488011553772 -776.414195439889</t>
  </si>
  <si>
    <t>-556.273580682164 214.923435732213 -755.316255913221</t>
  </si>
  <si>
    <t>-470.650613815679 252.772831413893 -452.954990389239</t>
  </si>
  <si>
    <t>-265.993606721233 208.103198697685 -298.805073602752</t>
  </si>
  <si>
    <t>-555.296954618656 6.09086887373155 -774.148631239787</t>
  </si>
  <si>
    <t>-532.580377392389 170.393199730255 -248.683614062143</t>
  </si>
  <si>
    <t>-507.211851336068 181.219419390763 206.175613308413</t>
  </si>
  <si>
    <t>-499.039664909131 173.98598356399 675.924932716276</t>
  </si>
  <si>
    <t>-341.778652901869 174.891533841597 754.739171423158</t>
  </si>
  <si>
    <t>-449.639227105033 -42.3012375185958 217.684716316275</t>
  </si>
  <si>
    <t>-589.707377207424 -105.497832394133 661.580807470555</t>
  </si>
  <si>
    <t>-438.652757745443 -141.452466601578 744.24457540713</t>
  </si>
  <si>
    <t>9763-20170724T164414.489684200.bin</t>
  </si>
  <si>
    <t>-536.109527700493 74.2628393793888 -238.889576337013</t>
  </si>
  <si>
    <t>-573.073152489858 63.944413027597 -353.759127640039</t>
  </si>
  <si>
    <t>-583.387111151635 55.447497322131 -474.224937398221</t>
  </si>
  <si>
    <t>-581.599035015379 48.557552928595 -583.514363485265</t>
  </si>
  <si>
    <t>-568.814112749391 42.4906688361024 -692.117183780485</t>
  </si>
  <si>
    <t>-539.670867716741 34.9305565785954 -841.427461213157</t>
  </si>
  <si>
    <t>-490.632349817124 34.9037572069398 -930.748135090899</t>
  </si>
  <si>
    <t>-550.305978152379 69.9677695311575 -776.525932552949</t>
  </si>
  <si>
    <t>-555.354330745062 215.430135094032 -755.605230932586</t>
  </si>
  <si>
    <t>-471.79328319224 253.59454216103 -452.707254599863</t>
  </si>
  <si>
    <t>-267.336222716233 208.973637795587 -298.278221496969</t>
  </si>
  <si>
    <t>-554.825817863517 6.58361990541013 -774.198749130545</t>
  </si>
  <si>
    <t>-531.411484433269 170.973629241655 -248.819389390047</t>
  </si>
  <si>
    <t>-506.526160698303 181.747151113717 206.067844319765</t>
  </si>
  <si>
    <t>-498.94304691453 174.116958291534 675.786296701879</t>
  </si>
  <si>
    <t>-341.858000159017 174.535285401797 754.954702449534</t>
  </si>
  <si>
    <t>-449.359586618289 -41.8318612221583 217.736245353877</t>
  </si>
  <si>
    <t>-589.851902204463 -104.90812645043 661.527629018363</t>
  </si>
  <si>
    <t>-438.858343943053 -142.209796466236 743.704430062238</t>
  </si>
  <si>
    <t>9763-20170724T164414.522275600.bin</t>
  </si>
  <si>
    <t>-535.793445926216 74.650188048221 -238.94153870154</t>
  </si>
  <si>
    <t>-572.831104185839 64.3837611884624 -353.791995155318</t>
  </si>
  <si>
    <t>-583.20770986691 55.8754318347429 -474.251427441961</t>
  </si>
  <si>
    <t>-581.470753263862 48.9511504172833 -583.539573036063</t>
  </si>
  <si>
    <t>-568.731097750921 42.8273724152774 -692.144554301574</t>
  </si>
  <si>
    <t>-539.64457808059 35.1660927946012 -841.460643108331</t>
  </si>
  <si>
    <t>-490.716708821771 35.0664837470628 -930.842017572821</t>
  </si>
  <si>
    <t>-550.221295967787 70.2451202459943 -776.572194467682</t>
  </si>
  <si>
    <t>-555.209130464433 215.722392554282 -755.719460507316</t>
  </si>
  <si>
    <t>-472.88436342392 254.257275440747 -452.529893899624</t>
  </si>
  <si>
    <t>-268.581955649175 209.840391871601 -297.837625772898</t>
  </si>
  <si>
    <t>-554.807656631098 6.86686750778597 -774.21362929739</t>
  </si>
  <si>
    <t>-530.956395562091 171.293908608522 -248.875976780767</t>
  </si>
  <si>
    <t>-506.264552992465 182.003161943078 206.023129830881</t>
  </si>
  <si>
    <t>-498.943862879519 174.216682921396 675.743173844288</t>
  </si>
  <si>
    <t>-341.939207158212 174.551096814474 755.07122159824</t>
  </si>
  <si>
    <t>-449.339789377356 -41.6764931321773 217.722719305623</t>
  </si>
  <si>
    <t>-589.966830130919 -104.749265838498 661.511089018765</t>
  </si>
  <si>
    <t>-438.862438504488 -142.496951115427 743.279604091082</t>
  </si>
  <si>
    <t>9763-20170724T164414.585954700.bin</t>
  </si>
  <si>
    <t>-535.2494492628 75.2248599668952 -239.086738606419</t>
  </si>
  <si>
    <t>-572.179577478782 65.0958376181792 -353.984015650319</t>
  </si>
  <si>
    <t>-582.48203015691 56.5767713746076 -474.449075806792</t>
  </si>
  <si>
    <t>-580.694696877744 49.5913051817195 -583.732478603951</t>
  </si>
  <si>
    <t>-567.922153208686 43.3608950190535 -692.327575436901</t>
  </si>
  <si>
    <t>-538.808605306172 35.5098598794964 -841.628491297309</t>
  </si>
  <si>
    <t>-489.983581095752 35.3097698720857 -931.065887167757</t>
  </si>
  <si>
    <t>-549.379933176895 70.6702058808179 -776.783146850637</t>
  </si>
  <si>
    <t>-554.352935454418 216.179964511033 -756.109497813808</t>
  </si>
  <si>
    <t>-475.066828415073 255.885706769844 -452.261975649889</t>
  </si>
  <si>
    <t>-271.272974617127 211.615525454995 -296.85835301956</t>
  </si>
  <si>
    <t>-554.000889063765 7.29715941149078 -774.351779593704</t>
  </si>
  <si>
    <t>-530.09081631092 171.772719004648 -249.008813865384</t>
  </si>
  <si>
    <t>-505.734587375256 182.295208118117 205.912871574764</t>
  </si>
  <si>
    <t>-498.797325299338 173.995572300085 675.624958440901</t>
  </si>
  <si>
    <t>-341.937931626071 173.880284191744 755.240428400921</t>
  </si>
  <si>
    <t>-449.550975573668 -41.3149912061519 217.613143289561</t>
  </si>
  <si>
    <t>-590.163735369223 -104.428251502235 661.376191612195</t>
  </si>
  <si>
    <t>-438.618895416431 -142.111775039146 742.355412347814</t>
  </si>
  <si>
    <t>9763-20170724T164414.618036500.bin</t>
  </si>
  <si>
    <t>-534.921954669318 75.2115694631141 -239.174831758801</t>
  </si>
  <si>
    <t>-571.81551636799 65.1566834269035 -354.09034682209</t>
  </si>
  <si>
    <t>-582.050664687532 56.6200332661449 -474.560017482947</t>
  </si>
  <si>
    <t>-580.191257656879 49.586822489167 -583.839152831676</t>
  </si>
  <si>
    <t>-567.336423166816 43.2803924316053 -692.420118832816</t>
  </si>
  <si>
    <t>-538.098804836638 35.2975899812071 -841.689775283604</t>
  </si>
  <si>
    <t>-489.265718776138 35.0478647498796 -931.12282007731</t>
  </si>
  <si>
    <t>-548.731154682154 70.5156115921911 -776.885736885436</t>
  </si>
  <si>
    <t>-553.823576535851 216.032537360482 -756.29263936028</t>
  </si>
  <si>
    <t>-476.035717615301 256.42748903802 -452.148855222967</t>
  </si>
  <si>
    <t>-272.375530678998 212.251188064084 -296.54333193489</t>
  </si>
  <si>
    <t>-553.33997736924 7.14389258215371 -774.399477933785</t>
  </si>
  <si>
    <t>-529.611668045796 171.775283486308 -249.090252931035</t>
  </si>
  <si>
    <t>-505.402364168255 182.165114819868 205.842370708184</t>
  </si>
  <si>
    <t>-498.69517821287 173.781841750345 675.561102428923</t>
  </si>
  <si>
    <t>-341.887682020968 174.866993152941 755.271595686903</t>
  </si>
  <si>
    <t>-449.503564908282 -41.4153378638158 217.530425504559</t>
  </si>
  <si>
    <t>-590.17083001689 -104.610325242706 661.28182596383</t>
  </si>
  <si>
    <t>-438.441827296599 -141.689365900903 742.195189985407</t>
  </si>
  <si>
    <t>9763-20170724T164414.689231600.bin</t>
  </si>
  <si>
    <t>-534.615033649223 75.5930057591611 -239.432815848416</t>
  </si>
  <si>
    <t>-571.628645781399 65.5508048662161 -354.310906996224</t>
  </si>
  <si>
    <t>-581.89038125817 56.897854156925 -474.769845156898</t>
  </si>
  <si>
    <t>-580.015515210692 49.7122241084883 -584.038835465267</t>
  </si>
  <si>
    <t>-567.106304743422 43.2095763015848 -692.601760925979</t>
  </si>
  <si>
    <t>-537.754086375392 34.9117000321751 -841.831808878394</t>
  </si>
  <si>
    <t>-488.877438059635 34.5419467601943 -931.240597819282</t>
  </si>
  <si>
    <t>-548.443417698903 70.2668768258334 -777.111966492503</t>
  </si>
  <si>
    <t>-553.733305515324 215.794681307582 -756.689397271059</t>
  </si>
  <si>
    <t>-478.823332562884 257.535272383725 -452.005305968901</t>
  </si>
  <si>
    <t>-275.078218625753 213.483408621576 -296.475920012805</t>
  </si>
  <si>
    <t>-553.039692418151 6.89962087112008 -774.492466581937</t>
  </si>
  <si>
    <t>-529.289171205379 172.358791945157 -249.289996831307</t>
  </si>
  <si>
    <t>-505.211877247255 182.543729947017 205.654196358451</t>
  </si>
  <si>
    <t>-498.796319911883 174.274886479403 675.393864026606</t>
  </si>
  <si>
    <t>-342.070521240372 174.238108977427 755.272102288858</t>
  </si>
  <si>
    <t>-449.383364519575 -41.3282548033071 217.280897918586</t>
  </si>
  <si>
    <t>-589.982049250376 -104.767836358529 660.990864608495</t>
  </si>
  <si>
    <t>-438.610574278541 -142.099926169285 742.455601240414</t>
  </si>
  <si>
    <t>9763-20170724T164414.720316200.bin</t>
  </si>
  <si>
    <t>-534.548216538822 75.5816448562573 -239.524920773289</t>
  </si>
  <si>
    <t>-571.501926142596 65.5086100298011 -354.419502803274</t>
  </si>
  <si>
    <t>-581.715023711848 56.7915423318084 -474.878086531206</t>
  </si>
  <si>
    <t>-579.801877937591 49.5360900775933 -584.14170048651</t>
  </si>
  <si>
    <t>-566.860624195183 42.952782475673 -692.695956940964</t>
  </si>
  <si>
    <t>-537.470237371777 34.5324170232109 -841.911641522101</t>
  </si>
  <si>
    <t>-488.544786524075 34.1278172941063 -931.293549942437</t>
  </si>
  <si>
    <t>-548.192874363587 69.9417836734206 -777.226779877856</t>
  </si>
  <si>
    <t>-553.58834920836 215.479706418183 -756.898268757905</t>
  </si>
  <si>
    <t>-479.703627192724 257.588129939887 -452.014568089724</t>
  </si>
  <si>
    <t>-275.907301271192 213.701029055777 -296.505655571691</t>
  </si>
  <si>
    <t>-552.756307699129 6.57452369095699 -774.549902653173</t>
  </si>
  <si>
    <t>-529.208836013794 172.419868750454 -249.39814894666</t>
  </si>
  <si>
    <t>-505.165381019989 182.507846020112 205.54996022923</t>
  </si>
  <si>
    <t>-498.741116329878 174.193539921598 675.316091527321</t>
  </si>
  <si>
    <t>-342.018572199835 174.624851904785 755.199545234257</t>
  </si>
  <si>
    <t>-449.363705881281 -41.5135771380341 217.168968475971</t>
  </si>
  <si>
    <t>-589.849792731782 -105.169655299254 660.919108939887</t>
  </si>
  <si>
    <t>-438.659684796791 -142.23153022185 742.842663057951</t>
  </si>
  <si>
    <t>9763-20170724T164414.794057600.bin</t>
  </si>
  <si>
    <t>-534.550775866034 75.7420758516988 -239.672188499166</t>
  </si>
  <si>
    <t>-571.585478108984 65.6109830306071 -354.53552108575</t>
  </si>
  <si>
    <t>-581.848781861362 56.7659433111661 -474.980551543568</t>
  </si>
  <si>
    <t>-579.967310200444 49.3689606353738 -584.235327316472</t>
  </si>
  <si>
    <t>-567.043829534397 42.6194829187251 -692.781485084056</t>
  </si>
  <si>
    <t>-537.663819976406 33.9440018598589 -841.984592246278</t>
  </si>
  <si>
    <t>-488.662581749041 33.4431879918891 -931.324525385117</t>
  </si>
  <si>
    <t>-548.438142349601 69.4673674790967 -777.370961719421</t>
  </si>
  <si>
    <t>-554.207672014185 215.017480998323 -757.240318118706</t>
  </si>
  <si>
    <t>-481.549669523294 257.997419113001 -452.183401605583</t>
  </si>
  <si>
    <t>-277.757215666192 214.324188596942 -296.609076306811</t>
  </si>
  <si>
    <t>-552.888879106073 6.09780931077034 -774.562711745791</t>
  </si>
  <si>
    <t>-529.386819547184 172.851591700467 -249.509988490367</t>
  </si>
  <si>
    <t>-505.385291405591 182.7209774544 205.445105286516</t>
  </si>
  <si>
    <t>-498.762078650135 174.334518874378 675.221120347856</t>
  </si>
  <si>
    <t>-342.038522824629 174.249814302091 755.103783696354</t>
  </si>
  <si>
    <t>-449.333195280799 -41.6874890764599 217.059863448986</t>
  </si>
  <si>
    <t>-589.612569749232 -105.634747581712 660.853202445354</t>
  </si>
  <si>
    <t>-438.731790712422 -142.18927833477 743.571193960001</t>
  </si>
  <si>
    <t>9763-20170724T164414.825645000.bin</t>
  </si>
  <si>
    <t>-534.614322536147 75.7686653008925 -239.70281186351</t>
  </si>
  <si>
    <t>-571.574684116556 65.5857821523555 -354.585499501888</t>
  </si>
  <si>
    <t>-581.790392422948 56.6712175933519 -475.02951835857</t>
  </si>
  <si>
    <t>-579.87790725858 49.2042890935925 -584.278905223082</t>
  </si>
  <si>
    <t>-566.935775256519 42.3778104273698 -692.818092437054</t>
  </si>
  <si>
    <t>-537.54258342748 33.5879221251379 -842.01178078008</t>
  </si>
  <si>
    <t>-488.504964747655 33.0403628001638 -931.331439728822</t>
  </si>
  <si>
    <t>-548.350036704327 69.1625558285739 -777.431966144239</t>
  </si>
  <si>
    <t>-554.314138860921 214.724463349773 -757.424934550295</t>
  </si>
  <si>
    <t>-482.149178274303 257.973806773013 -452.289189622288</t>
  </si>
  <si>
    <t>-278.346983048003 214.409270156242 -296.697209553105</t>
  </si>
  <si>
    <t>-552.746275319663 5.79180118851028 -774.564500682747</t>
  </si>
  <si>
    <t>-529.448090592362 172.818980810625 -249.55421335178</t>
  </si>
  <si>
    <t>-505.489908562889 182.586077498421 205.405503053246</t>
  </si>
  <si>
    <t>-498.618255117255 173.900875713519 675.187361559151</t>
  </si>
  <si>
    <t>-341.877851267203 174.907552038576 755.03063424616</t>
  </si>
  <si>
    <t>-449.433457411513 -41.6478486121322 217.033136757576</t>
  </si>
  <si>
    <t>-589.571062479147 -105.662651569633 660.900817015307</t>
  </si>
  <si>
    <t>-438.830444089392 -142.246924710963 743.860856528358</t>
  </si>
  <si>
    <t>9763-20170724T164414.887315300.bin</t>
  </si>
  <si>
    <t>-534.881130450923 76.2055383932416 -239.6992667233</t>
  </si>
  <si>
    <t>-571.87481366264 65.9804476638956 -354.5676637064</t>
  </si>
  <si>
    <t>-582.109923055882 56.9672810706786 -475.002488489898</t>
  </si>
  <si>
    <t>-580.20908109651 49.3910084579065 -584.244645021549</t>
  </si>
  <si>
    <t>-567.272424320014 42.4362940702908 -692.776356241311</t>
  </si>
  <si>
    <t>-537.880932378266 33.4501583214519 -841.958718751531</t>
  </si>
  <si>
    <t>-488.821349515384 32.8176260175213 -931.265707957613</t>
  </si>
  <si>
    <t>-548.732479193496 69.1123730601269 -777.434605127138</t>
  </si>
  <si>
    <t>-554.916750433868 214.679689239135 -757.573838396106</t>
  </si>
  <si>
    <t>-483.941900297047 258.62490705363 -452.258325816562</t>
  </si>
  <si>
    <t>-280.104838446011 215.054179624445 -296.713719601511</t>
  </si>
  <si>
    <t>-553.039109467283 5.74015690556493 -774.465770233502</t>
  </si>
  <si>
    <t>-529.78974136223 173.374433299869 -249.572329504207</t>
  </si>
  <si>
    <t>-505.811499111289 182.890485756943 205.391592678865</t>
  </si>
  <si>
    <t>-498.652462749677 174.10248827262 675.13775602609</t>
  </si>
  <si>
    <t>-341.916311110145 174.8056902405 754.992539480356</t>
  </si>
  <si>
    <t>-449.556366237432 -41.482039760277 217.049450559116</t>
  </si>
  <si>
    <t>-589.482459937923 -105.843260447942 660.913599840371</t>
  </si>
  <si>
    <t>-438.908498340116 -142.434901314907 744.172484128062</t>
  </si>
  <si>
    <t>9763-20170724T164414.922422500.bin</t>
  </si>
  <si>
    <t>-534.898211173146 76.2601240435977 -239.738672773481</t>
  </si>
  <si>
    <t>-571.884750328893 66.0227888999826 -354.608181195448</t>
  </si>
  <si>
    <t>-582.131642650562 56.9712154627899 -475.039213035256</t>
  </si>
  <si>
    <t>-580.249227680025 49.3511121794777 -584.278556048455</t>
  </si>
  <si>
    <t>-567.338830600124 42.3444933000508 -692.810037484728</t>
  </si>
  <si>
    <t>-537.991420353541 33.278556579844 -841.996242423046</t>
  </si>
  <si>
    <t>-488.945252920282 32.6050425516159 -931.310315087595</t>
  </si>
  <si>
    <t>-548.846482361136 68.9765600808318 -777.492550818348</t>
  </si>
  <si>
    <t>-555.15943101297 214.554101440752 -757.702556630453</t>
  </si>
  <si>
    <t>-484.865220338104 258.812952064121 -452.274882899026</t>
  </si>
  <si>
    <t>-280.996392664122 215.232396068656 -296.774643216154</t>
  </si>
  <si>
    <t>-553.106958030906 5.60331815006856 -774.479485704905</t>
  </si>
  <si>
    <t>-529.799288072764 173.400850798672 -249.598543233599</t>
  </si>
  <si>
    <t>-505.866013613024 182.825787165322 205.369602214378</t>
  </si>
  <si>
    <t>-498.549613206406 173.80880181201 675.115864607221</t>
  </si>
  <si>
    <t>-341.808022301339 175.210122598123 754.95080757551</t>
  </si>
  <si>
    <t>-449.67004072486 -41.5569328736912 217.011571169238</t>
  </si>
  <si>
    <t>-589.439929414301 -106.139061582842 660.951453248882</t>
  </si>
  <si>
    <t>-438.8535853337 -142.378937797455 744.341547117765</t>
  </si>
  <si>
    <t>9763-20170724T164414.990600000.bin</t>
  </si>
  <si>
    <t>-535.015236578266 76.4886984391016 -239.741507613779</t>
  </si>
  <si>
    <t>-571.98508529041 66.2915372252692 -354.619910845</t>
  </si>
  <si>
    <t>-582.275958393238 57.1906422153855 -475.043436773717</t>
  </si>
  <si>
    <t>-580.458779321903 49.4948958341594 -584.278775849181</t>
  </si>
  <si>
    <t>-567.638535385784 42.3848458647133 -692.814112260486</t>
  </si>
  <si>
    <t>-538.441269627785 33.1495743733075 -842.019527334114</t>
  </si>
  <si>
    <t>-489.470701471302 32.3822883449199 -931.374242763458</t>
  </si>
  <si>
    <t>-549.266477968356 68.9227995554383 -777.552315036421</t>
  </si>
  <si>
    <t>-555.734874462973 214.514964139561 -757.903741310362</t>
  </si>
  <si>
    <t>-486.822969474042 259.233498391792 -452.227981422309</t>
  </si>
  <si>
    <t>-282.855808357847 215.713837598681 -296.839817216238</t>
  </si>
  <si>
    <t>-553.453852191253 5.54903726196713 -774.449056065873</t>
  </si>
  <si>
    <t>-529.923788704652 173.862045000033 -249.620479923383</t>
  </si>
  <si>
    <t>-505.904314626845 183.079640302748 205.347393707058</t>
  </si>
  <si>
    <t>-498.646017612755 174.275735036867 675.071515996513</t>
  </si>
  <si>
    <t>-341.905651442079 175.056604497521 754.917293732799</t>
  </si>
  <si>
    <t>-449.773929944337 -41.6818895780804 216.979031632846</t>
  </si>
  <si>
    <t>-589.281325904408 -106.517778373326 660.963587061455</t>
  </si>
  <si>
    <t>-439.046315831896 -142.864022248808 744.939285182959</t>
  </si>
  <si>
    <t>9763-20170724T164415.022692000.bin</t>
  </si>
  <si>
    <t>-535.011589907069 76.5554915460994 -239.77197817695</t>
  </si>
  <si>
    <t>-572.079642741104 66.3458516193417 -354.617566164022</t>
  </si>
  <si>
    <t>-582.443807570187 57.2093209293447 -475.032163000457</t>
  </si>
  <si>
    <t>-580.681244722644 49.4743972351217 -584.265614694333</t>
  </si>
  <si>
    <t>-567.903531625645 42.3197450282984 -692.80301901774</t>
  </si>
  <si>
    <t>-538.752789566505 33.0181567678084 -842.013375637041</t>
  </si>
  <si>
    <t>-489.824253366704 32.2132331646976 -931.390872868156</t>
  </si>
  <si>
    <t>-549.57243637475 68.8208445157597 -777.561738658371</t>
  </si>
  <si>
    <t>-556.095539125897 214.407911023219 -757.950959962639</t>
  </si>
  <si>
    <t>-487.87063854854 259.409451696808 -452.162801944859</t>
  </si>
  <si>
    <t>-283.846048956456 215.945285216801 -296.834446866104</t>
  </si>
  <si>
    <t>-553.729788141702 5.44682986654439 -774.423234782077</t>
  </si>
  <si>
    <t>-529.903018288267 173.927452834891 -249.626590058679</t>
  </si>
  <si>
    <t>-505.907790155043 183.053851492016 205.34447927762</t>
  </si>
  <si>
    <t>-498.510005239588 173.867212233992 675.06351785581</t>
  </si>
  <si>
    <t>-341.766290930433 175.005700274598 754.898464806621</t>
  </si>
  <si>
    <t>-449.848956160305 -41.7467580071957 216.970102341651</t>
  </si>
  <si>
    <t>-589.22378230526 -106.700715645028 660.999779520368</t>
  </si>
  <si>
    <t>-439.083480295281 -142.973783558884 745.176209332976</t>
  </si>
  <si>
    <t>9763-20170724T164415.090876500.bin</t>
  </si>
  <si>
    <t>-535.141736557051 76.8032233811568 -239.727171551809</t>
  </si>
  <si>
    <t>-572.088279217867 66.5896964309569 -354.611609963809</t>
  </si>
  <si>
    <t>-582.466423080244 57.3881592116829 -475.020099407141</t>
  </si>
  <si>
    <t>-580.77385774253 49.5726860697881 -584.248772281348</t>
  </si>
  <si>
    <t>-568.122652273451 42.3176147488351 -692.794455126297</t>
  </si>
  <si>
    <t>-539.204673236546 32.8577891691653 -842.040099615181</t>
  </si>
  <si>
    <t>-490.395366915438 31.9678934013152 -931.481977010703</t>
  </si>
  <si>
    <t>-549.946813503391 68.7300915308364 -777.614129875113</t>
  </si>
  <si>
    <t>-556.554899146109 214.33252313298 -758.133689863308</t>
  </si>
  <si>
    <t>-489.443639725322 259.86474856311 -452.177721323541</t>
  </si>
  <si>
    <t>-285.46983569971 216.527217301937 -296.747195674662</t>
  </si>
  <si>
    <t>-554.053118673879 5.35688693725172 -774.392880106674</t>
  </si>
  <si>
    <t>-529.984848786291 174.303115423859 -249.629724740667</t>
  </si>
  <si>
    <t>-506.072405632579 183.2573823025 205.349050330234</t>
  </si>
  <si>
    <t>-498.587946249327 174.181482658706 675.052605305673</t>
  </si>
  <si>
    <t>-341.847502921089 174.753669844597 754.899996395707</t>
  </si>
  <si>
    <t>-449.972469303383 -41.7798391991916 216.978524673156</t>
  </si>
  <si>
    <t>-589.130603032781 -106.681746589937 661.083969873024</t>
  </si>
  <si>
    <t>-439.090525549344 -142.504392876419 745.631117770899</t>
  </si>
  <si>
    <t>9763-20170724T164415.119454300.bin</t>
  </si>
  <si>
    <t>-535.148481735041 76.9940712094861 -239.707158643297</t>
  </si>
  <si>
    <t>-572.159630451719 66.7366720456172 -354.566886839249</t>
  </si>
  <si>
    <t>-582.618675047199 57.4863166182155 -474.964637686562</t>
  </si>
  <si>
    <t>-581.004934592856 49.62632279908 -584.191302093419</t>
  </si>
  <si>
    <t>-568.437400065374 42.327296092764 -692.743740162358</t>
  </si>
  <si>
    <t>-539.640048666591 32.8076501912867 -842.008878595317</t>
  </si>
  <si>
    <t>-490.909019925217 31.8798575655289 -931.493157929214</t>
  </si>
  <si>
    <t>-550.340055877696 68.7062702297378 -777.590521713341</t>
  </si>
  <si>
    <t>-557.025749745596 214.320146771567 -758.167640223067</t>
  </si>
  <si>
    <t>-490.50863848644 260.036734963608 -452.109395839821</t>
  </si>
  <si>
    <t>-286.490761948871 216.841643602793 -296.697083031105</t>
  </si>
  <si>
    <t>-554.423896845163 5.3333083854031 -774.336707369487</t>
  </si>
  <si>
    <t>-529.983367559877 174.541670922561 -249.632912178884</t>
  </si>
  <si>
    <t>-506.129293146969 183.464484583916 205.349525551018</t>
  </si>
  <si>
    <t>-498.637662920582 174.382891057543 675.044141370927</t>
  </si>
  <si>
    <t>-341.895045059981 174.784291401266 754.88823761904</t>
  </si>
  <si>
    <t>-449.921882528555 -41.6459398071655 217.039160639247</t>
  </si>
  <si>
    <t>-589.115376955195 -106.782566825653 661.14007115185</t>
  </si>
  <si>
    <t>-439.148673982546 -142.667113838339 745.791158076895</t>
  </si>
  <si>
    <t>9763-20170724T164415.189063000.bin</t>
  </si>
  <si>
    <t>-534.906283142795 77.0125858689246 -239.688277432405</t>
  </si>
  <si>
    <t>-571.919905108666 66.731499044798 -354.545080587416</t>
  </si>
  <si>
    <t>-582.492772452256 57.4542314176398 -474.930866330107</t>
  </si>
  <si>
    <t>-581.027078735207 49.5704227130448 -584.157885301095</t>
  </si>
  <si>
    <t>-568.651323646615 42.24920472077 -692.73093768712</t>
  </si>
  <si>
    <t>-540.163750969456 32.7016176685343 -842.053724114611</t>
  </si>
  <si>
    <t>-491.59782252892 31.7598452563812 -931.627316642511</t>
  </si>
  <si>
    <t>-550.75935580182 68.6138473460589 -777.625663262014</t>
  </si>
  <si>
    <t>-557.53893663013 214.22976192164 -758.300105975357</t>
  </si>
  <si>
    <t>-492.152221742859 260.278206327292 -452.047963142154</t>
  </si>
  <si>
    <t>-288.104260292549 217.354500000557 -296.600196733122</t>
  </si>
  <si>
    <t>-554.777856294314 5.23836012028048 -774.340226245139</t>
  </si>
  <si>
    <t>-529.741206990635 174.693161499863 -249.636152863938</t>
  </si>
  <si>
    <t>-506.007900204125 183.466297780925 205.355624915102</t>
  </si>
  <si>
    <t>-498.559543830589 174.120377444281 675.054555469118</t>
  </si>
  <si>
    <t>-341.827966735106 174.194668796714 754.921344883753</t>
  </si>
  <si>
    <t>-449.851373915101 -41.7567472612062 217.115093175906</t>
  </si>
  <si>
    <t>-589.09435418428 -107.065462117002 661.214755747152</t>
  </si>
  <si>
    <t>-438.880995688178 -141.934865500996 745.852735548309</t>
  </si>
  <si>
    <t>9763-20170724T164415.222680100.bin</t>
  </si>
  <si>
    <t>-534.757558270671 77.2301366143619 -239.659870442546</t>
  </si>
  <si>
    <t>-571.772624408509 66.9259157319295 -354.514164573247</t>
  </si>
  <si>
    <t>-582.422022730208 57.6352431386685 -474.892061642734</t>
  </si>
  <si>
    <t>-581.056150128227 49.7465160996483 -584.120115433209</t>
  </si>
  <si>
    <t>-568.810007199048 42.429514765936 -692.708046410199</t>
  </si>
  <si>
    <t>-540.531950487338 32.8989618160634 -842.071822684907</t>
  </si>
  <si>
    <t>-492.069903747323 31.9664469347249 -931.701880093358</t>
  </si>
  <si>
    <t>-551.061311311922 68.8051687213332 -777.629557257669</t>
  </si>
  <si>
    <t>-557.930568077928 214.427748414338 -758.340738058368</t>
  </si>
  <si>
    <t>-493.059263372495 260.565250116874 -451.992608760825</t>
  </si>
  <si>
    <t>-289.023711061689 217.711712935894 -296.508856475872</t>
  </si>
  <si>
    <t>-555.026952920804 5.42673579575811 -774.336365219766</t>
  </si>
  <si>
    <t>-529.575436854157 174.871057330506 -249.635902714522</t>
  </si>
  <si>
    <t>-505.877604201727 183.635666595861 205.357750416004</t>
  </si>
  <si>
    <t>-498.604782004603 174.294959680197 675.048369193522</t>
  </si>
  <si>
    <t>-341.877415636526 174.377934187779 754.923522357322</t>
  </si>
  <si>
    <t>-449.768413908701 -41.6207474366582 217.185542969164</t>
  </si>
  <si>
    <t>-589.100914475039 -107.0749044421 661.239010268659</t>
  </si>
  <si>
    <t>-438.898579652887 -142.053155157197 745.851548985105</t>
  </si>
  <si>
    <t>9763-20170724T164415.288328600.bin</t>
  </si>
  <si>
    <t>-534.317565284978 77.4939508554826 -239.640326853273</t>
  </si>
  <si>
    <t>-571.422969863347 67.180681650311 -354.464791224536</t>
  </si>
  <si>
    <t>-582.226767942626 57.8791038889512 -474.827985558852</t>
  </si>
  <si>
    <t>-581.025387426132 49.9853877843148 -584.057622844775</t>
  </si>
  <si>
    <t>-568.967142849414 42.6715921085539 -692.666801567899</t>
  </si>
  <si>
    <t>-540.972973721944 33.15703758218 -842.084949409755</t>
  </si>
  <si>
    <t>-492.703255740567 32.254420944297 -931.81897929983</t>
  </si>
  <si>
    <t>-551.423968919395 69.0586090338534 -777.627470660899</t>
  </si>
  <si>
    <t>-558.489593169079 214.662096753795 -758.386916245172</t>
  </si>
  <si>
    <t>-494.590642071568 260.949694680598 -451.857092226691</t>
  </si>
  <si>
    <t>-290.524978598635 218.325436930692 -296.350054933149</t>
  </si>
  <si>
    <t>-555.295091571552 5.67523156197251 -774.3166898453</t>
  </si>
  <si>
    <t>-529.120296677102 175.040520764401 -249.632118090616</t>
  </si>
  <si>
    <t>-505.428756526546 183.73082261877 205.363202379873</t>
  </si>
  <si>
    <t>-498.568094637095 174.183732246254 675.060455222807</t>
  </si>
  <si>
    <t>-341.845632637505 174.978193588441 754.941237671013</t>
  </si>
  <si>
    <t>-449.565884186145 -41.4373276573282 217.251756704918</t>
  </si>
  <si>
    <t>-589.10905003569 -106.860717370126 661.241671543519</t>
  </si>
  <si>
    <t>-438.992981110772 -142.235310863849 745.842651063913</t>
  </si>
  <si>
    <t>9763-20170724T164415.319935100.bin</t>
  </si>
  <si>
    <t>-534.085810046127 77.5472918954309 -239.625962892752</t>
  </si>
  <si>
    <t>-571.264730614335 67.2125974989658 -354.424548610799</t>
  </si>
  <si>
    <t>-582.14482815184 57.8830310511554 -474.77877325405</t>
  </si>
  <si>
    <t>-581.012458913392 49.9646431825417 -584.007229540077</t>
  </si>
  <si>
    <t>-569.022718556734 42.628827429214 -692.622640584219</t>
  </si>
  <si>
    <t>-541.122729406625 33.0882320800243 -842.056899540381</t>
  </si>
  <si>
    <t>-492.945414830705 32.1995742513736 -931.840701471284</t>
  </si>
  <si>
    <t>-551.553712645057 69.0020936945249 -777.602863712137</t>
  </si>
  <si>
    <t>-558.734428023079 214.630438088708 -758.3972594173</t>
  </si>
  <si>
    <t>-495.324266716416 260.92540022013 -451.766841554706</t>
  </si>
  <si>
    <t>-291.292934565281 218.400173886442 -296.187835700828</t>
  </si>
  <si>
    <t>-555.381499931479 5.6172056890121 -774.27071238944</t>
  </si>
  <si>
    <t>-528.914336498682 175.076412071479 -249.631882716884</t>
  </si>
  <si>
    <t>-505.213683887934 183.75545768536 205.363271950165</t>
  </si>
  <si>
    <t>-498.525524840572 174.016678316691 675.063114610464</t>
  </si>
  <si>
    <t>-341.811527616151 174.898054430554 754.959583053999</t>
  </si>
  <si>
    <t>-449.423068512629 -41.3873766293777 217.317694930892</t>
  </si>
  <si>
    <t>-589.085599773756 -107.043766484807 661.240723699849</t>
  </si>
  <si>
    <t>-439.025554767696 -142.609184661059 745.860972672564</t>
  </si>
  <si>
    <t>9763-20170724T164415.390634800.bin</t>
  </si>
  <si>
    <t>-533.696987747356 77.5803939851743 -239.606085587493</t>
  </si>
  <si>
    <t>-570.850437134226 67.1797355773009 -354.407066624258</t>
  </si>
  <si>
    <t>-581.797595384338 57.7876575645895 -474.750335447583</t>
  </si>
  <si>
    <t>-580.764008540875 49.8161607306525 -583.975998423442</t>
  </si>
  <si>
    <t>-568.910293295968 42.4317587978521 -692.602942222954</t>
  </si>
  <si>
    <t>-541.236269830679 32.8292687187498 -842.075078499657</t>
  </si>
  <si>
    <t>-493.295030410466 31.968467323339 -931.985588510186</t>
  </si>
  <si>
    <t>-551.596475521347 68.7711198337825 -777.625420911393</t>
  </si>
  <si>
    <t>-558.939985080536 214.390821921922 -758.509951597562</t>
  </si>
  <si>
    <t>-496.478078611038 260.92567347787 -451.721399569617</t>
  </si>
  <si>
    <t>-292.561072934672 218.652962835132 -295.923659795082</t>
  </si>
  <si>
    <t>-555.365784183197 5.38498462292823 -774.251175131364</t>
  </si>
  <si>
    <t>-528.53262858987 175.018971661666 -249.65212660894</t>
  </si>
  <si>
    <t>-504.936630363907 183.716316854123 205.348254197731</t>
  </si>
  <si>
    <t>-498.430047772729 173.708015105051 675.045649308263</t>
  </si>
  <si>
    <t>-341.725218733626 175.021147653208 754.954367862634</t>
  </si>
  <si>
    <t>-449.196514767568 -41.414300107138 217.414534190445</t>
  </si>
  <si>
    <t>-589.071216532336 -107.09467734657 661.253269714677</t>
  </si>
  <si>
    <t>-438.911244577929 -142.33831407118 745.830954310941</t>
  </si>
  <si>
    <t>9763-20170724T164415.423224000.bin</t>
  </si>
  <si>
    <t>-533.511208993711 77.6510080159983 -239.589498226592</t>
  </si>
  <si>
    <t>-570.69703490452 67.2302820160658 -354.378228292347</t>
  </si>
  <si>
    <t>-581.718376058663 57.811940406158 -474.71264349549</t>
  </si>
  <si>
    <t>-580.768406658243 49.8153858526573 -583.937216579615</t>
  </si>
  <si>
    <t>-569.014100961367 42.4052742516919 -692.573254698588</t>
  </si>
  <si>
    <t>-541.493700373481 32.7670787086852 -842.071529369187</t>
  </si>
  <si>
    <t>-493.730948064419 31.909786012321 -932.076932071211</t>
  </si>
  <si>
    <t>-551.812433916519 68.7255752998644 -777.624460360294</t>
  </si>
  <si>
    <t>-559.212159271862 214.343631622739 -758.564533876318</t>
  </si>
  <si>
    <t>-497.213878409746 261.141592964536 -451.722097312521</t>
  </si>
  <si>
    <t>-293.388846510366 219.052184722565 -295.754442758575</t>
  </si>
  <si>
    <t>-555.528715368342 5.33779450633671 -774.221848563846</t>
  </si>
  <si>
    <t>-528.480165944017 175.24194177539 -249.650361570412</t>
  </si>
  <si>
    <t>-504.958876705746 183.919028112878 205.354162856643</t>
  </si>
  <si>
    <t>-498.613613622727 174.281731200865 675.045656019285</t>
  </si>
  <si>
    <t>-341.916776131975 174.547847318298 754.980251980633</t>
  </si>
  <si>
    <t>-449.168456551515 -41.3949701651498 217.471301202543</t>
  </si>
  <si>
    <t>-589.079113098669 -107.146201080966 661.271343722688</t>
  </si>
  <si>
    <t>-438.82455941807 -142.196942600257 745.761195741287</t>
  </si>
  <si>
    <t>9763-20170724T164415.488915500.bin</t>
  </si>
  <si>
    <t>-533.230287705697 77.3756099702482 -239.595829039508</t>
  </si>
  <si>
    <t>-570.464469716549 66.9250457571683 -354.365952003114</t>
  </si>
  <si>
    <t>-581.599569104024 57.440285978237 -474.68487412374</t>
  </si>
  <si>
    <t>-580.778361182759 49.3716868793126 -583.905144094911</t>
  </si>
  <si>
    <t>-569.177546922074 41.8791487076662 -692.55188943978</t>
  </si>
  <si>
    <t>-541.894707077758 32.117129986311 -842.085757917309</t>
  </si>
  <si>
    <t>-494.58910064068 31.1975826771903 -932.331591463646</t>
  </si>
  <si>
    <t>-552.155164471029 68.1311025927921 -777.660284506121</t>
  </si>
  <si>
    <t>-559.788208310131 213.761300189677 -758.73435401687</t>
  </si>
  <si>
    <t>-498.702354500751 260.968109758727 -451.771415682375</t>
  </si>
  <si>
    <t>-294.958938825743 219.164855229667 -295.620346819705</t>
  </si>
  <si>
    <t>-555.777867154748 4.74195006576298 -774.183201879634</t>
  </si>
  <si>
    <t>-528.277335705058 174.871508405099 -249.65109385139</t>
  </si>
  <si>
    <t>-504.771026605555 183.660078271728 205.352087728068</t>
  </si>
  <si>
    <t>-498.542124883377 174.049561534884 675.039555303846</t>
  </si>
  <si>
    <t>-341.84319483549 175.530804749402 754.956788873477</t>
  </si>
  <si>
    <t>-448.999765586452 -41.5527869484063 217.518131841544</t>
  </si>
  <si>
    <t>-589.056134120198 -107.318561053617 661.249762420395</t>
  </si>
  <si>
    <t>-438.610279433264 -141.832979655797 745.619885257804</t>
  </si>
  <si>
    <t>9763-20170724T164415.522994500.bin</t>
  </si>
  <si>
    <t>-533.160927023131 77.6095127678335 -239.610499448959</t>
  </si>
  <si>
    <t>-570.355016901183 67.1515236035717 -354.393143828814</t>
  </si>
  <si>
    <t>-581.494481265656 57.6479876349156 -474.709988884205</t>
  </si>
  <si>
    <t>-580.696030558363 49.5601040518289 -583.929115066276</t>
  </si>
  <si>
    <t>-569.136567944842 42.0471205305572 -692.578925793534</t>
  </si>
  <si>
    <t>-541.930280660853 32.2568690641768 -842.124824937312</t>
  </si>
  <si>
    <t>-494.882909866682 31.3048978387613 -932.505261680806</t>
  </si>
  <si>
    <t>-552.186059824745 68.2842817202647 -777.706196516579</t>
  </si>
  <si>
    <t>-559.946370059427 213.906639210543 -758.840139281667</t>
  </si>
  <si>
    <t>-499.297603815049 261.482779230333 -451.847485412913</t>
  </si>
  <si>
    <t>-295.581792528659 219.845514483984 -295.616176610874</t>
  </si>
  <si>
    <t>-555.750354514803 4.89317487971599 -774.204593789556</t>
  </si>
  <si>
    <t>-528.244610827317 175.053673927769 -249.667069800511</t>
  </si>
  <si>
    <t>-504.745214657918 183.852169451193 205.336294298417</t>
  </si>
  <si>
    <t>-498.522708117423 173.990464221082 675.035424647043</t>
  </si>
  <si>
    <t>-341.830952293686 174.471089768124 754.979128813227</t>
  </si>
  <si>
    <t>-448.951771499953 -41.049791284599 217.508696278298</t>
  </si>
  <si>
    <t>-589.079015086564 -106.393009323026 661.247225983677</t>
  </si>
  <si>
    <t>-439.179296596604 -143.008593173576 745.703552530627</t>
  </si>
  <si>
    <t>9763-20170724T164415.590186100.bin</t>
  </si>
  <si>
    <t>-532.972209738976 77.3552163647661 -239.600744726204</t>
  </si>
  <si>
    <t>-570.242017328113 66.8505015658637 -354.35455552817</t>
  </si>
  <si>
    <t>-581.498848896904 57.3050135191721 -474.657233934021</t>
  </si>
  <si>
    <t>-580.822660606059 49.1866534380957 -583.874765038144</t>
  </si>
  <si>
    <t>-569.400397768098 41.6536428102016 -692.53774211435</t>
  </si>
  <si>
    <t>-542.399201476596 31.849237748896 -842.119870204972</t>
  </si>
  <si>
    <t>-495.854957110398 30.8288505110053 -932.759751501853</t>
  </si>
  <si>
    <t>-552.623145233967 67.8853459020783 -777.700978113444</t>
  </si>
  <si>
    <t>-560.504265009134 213.520357861073 -758.91934539518</t>
  </si>
  <si>
    <t>-500.841331195386 261.85812338837 -451.852678825164</t>
  </si>
  <si>
    <t>-297.20510224581 220.504481650163 -295.442363525108</t>
  </si>
  <si>
    <t>-556.069668644989 4.48947953312279 -774.16781969896</t>
  </si>
  <si>
    <t>-528.088782661804 174.618743836991 -249.662263763301</t>
  </si>
  <si>
    <t>-504.626712639788 183.556031315011 205.34036037868</t>
  </si>
  <si>
    <t>-498.367481691621 173.481886070059 675.041980895251</t>
  </si>
  <si>
    <t>-341.673701578405 174.861295338896 754.971129903178</t>
  </si>
  <si>
    <t>-448.801725132705 -41.3102473935586 217.580615576155</t>
  </si>
  <si>
    <t>-589.05921811082 -106.887711767987 661.269561492675</t>
  </si>
  <si>
    <t>-438.869299611154 -142.457653560423 745.657247662387</t>
  </si>
  <si>
    <t>9763-20170724T164415.618266400.bin</t>
  </si>
  <si>
    <t>-532.927549534268 77.2097172781427 -239.596859502796</t>
  </si>
  <si>
    <t>-570.158196559743 66.7040574075259 -354.363195176669</t>
  </si>
  <si>
    <t>-581.429703987074 57.1453581677129 -474.663449902216</t>
  </si>
  <si>
    <t>-580.789305576899 49.012278302321 -583.880104163751</t>
  </si>
  <si>
    <t>-569.425311150625 41.4632445339691 -692.548107087727</t>
  </si>
  <si>
    <t>-542.527469275215 31.6364905866895 -842.147337654939</t>
  </si>
  <si>
    <t>-496.200181747097 30.5777747317848 -932.897828886054</t>
  </si>
  <si>
    <t>-552.733129455906 67.6833812206521 -777.731669103059</t>
  </si>
  <si>
    <t>-560.6866256515 213.326596208133 -759.015273808199</t>
  </si>
  <si>
    <t>-501.379399109321 261.973665877625 -451.928578277267</t>
  </si>
  <si>
    <t>-297.8260554976 220.823295696496 -295.356728493401</t>
  </si>
  <si>
    <t>-556.124722481305 4.28573546898767 -774.177050052374</t>
  </si>
  <si>
    <t>-528.042930683432 174.527125219953 -249.677512883169</t>
  </si>
  <si>
    <t>-504.605137185931 183.500803534874 205.325682065931</t>
  </si>
  <si>
    <t>-498.403700127029 173.624989283305 675.034911563596</t>
  </si>
  <si>
    <t>-341.712191420279 174.694049707102 754.973260686263</t>
  </si>
  <si>
    <t>-448.778307567941 -41.3142525407236 217.57537438</t>
  </si>
  <si>
    <t>-589.080269514929 -106.697881991129 661.28059956396</t>
  </si>
  <si>
    <t>-438.931447046283 -142.515226953723 745.63675887119</t>
  </si>
  <si>
    <t>9763-20170724T164415.687454400.bin</t>
  </si>
  <si>
    <t>-532.809829392047 77.0245854782274 -239.577209928145</t>
  </si>
  <si>
    <t>-570.067905271719 66.5012262428459 -354.333052592992</t>
  </si>
  <si>
    <t>-581.465736548606 56.910522749039 -474.618826187627</t>
  </si>
  <si>
    <t>-580.979750797894 48.7475583000591 -583.834120404726</t>
  </si>
  <si>
    <t>-569.808856108873 41.1704307533783 -692.520103795253</t>
  </si>
  <si>
    <t>-543.217981789999 31.3093606130943 -842.172037710869</t>
  </si>
  <si>
    <t>-497.236779279262 30.1856509075669 -933.097496939856</t>
  </si>
  <si>
    <t>-553.341375917933 67.3731112989975 -777.752691003764</t>
  </si>
  <si>
    <t>-561.465797592019 213.016254035979 -759.137352080496</t>
  </si>
  <si>
    <t>-502.853312108031 262.38404967735 -452.032123513648</t>
  </si>
  <si>
    <t>-299.48112754319 221.57535511018 -295.135938763666</t>
  </si>
  <si>
    <t>-556.625862312681 3.97203805028653 -774.158600902341</t>
  </si>
  <si>
    <t>-527.970626372184 174.442010469603 -249.668309224625</t>
  </si>
  <si>
    <t>-504.583738870051 183.520176525825 205.335335541438</t>
  </si>
  <si>
    <t>-498.454891269629 173.795324253006 675.034726044828</t>
  </si>
  <si>
    <t>-341.769822980286 174.308247069592 754.991187461522</t>
  </si>
  <si>
    <t>-448.614359743036 -41.4611917725491 217.648435250798</t>
  </si>
  <si>
    <t>-589.129213764443 -106.970875331333 661.306644617129</t>
  </si>
  <si>
    <t>-438.718091512987 -142.290292188992 745.404997545068</t>
  </si>
  <si>
    <t>9763-20170724T164415.719547500.bin</t>
  </si>
  <si>
    <t>-532.695893187435 77.0080884246391 -239.564599408486</t>
  </si>
  <si>
    <t>-569.984167089799 66.4686859749961 -354.309159646029</t>
  </si>
  <si>
    <t>-581.459312949418 56.8635605429462 -474.586503635203</t>
  </si>
  <si>
    <t>-581.061882713889 48.690151439046 -583.801258692711</t>
  </si>
  <si>
    <t>-569.997603308278 41.1062406956204 -692.497768464955</t>
  </si>
  <si>
    <t>-543.572648458745 31.2404714401159 -842.17873383878</t>
  </si>
  <si>
    <t>-497.724815677323 30.0992116487761 -933.171435608658</t>
  </si>
  <si>
    <t>-553.646998385714 67.3071640564485 -777.753475263609</t>
  </si>
  <si>
    <t>-561.787997851665 212.960039657415 -759.191310019502</t>
  </si>
  <si>
    <t>-503.587612024493 262.677329629638 -452.064085683929</t>
  </si>
  <si>
    <t>-300.234632292299 221.958725788953 -295.11945708887</t>
  </si>
  <si>
    <t>-556.882789608917 3.90439643394656 -774.145650502738</t>
  </si>
  <si>
    <t>-527.883278497902 174.275308297271 -249.662282380539</t>
  </si>
  <si>
    <t>-504.516037221266 183.413119995212 205.341081516274</t>
  </si>
  <si>
    <t>-498.4421232548 173.758370184656 675.032471134613</t>
  </si>
  <si>
    <t>-341.753102727917 175.261065901967 754.968799433291</t>
  </si>
  <si>
    <t>-448.589853569153 -41.2807863148339 217.676347033788</t>
  </si>
  <si>
    <t>-589.162377934057 -106.583454442226 661.283760280984</t>
  </si>
  <si>
    <t>-438.923544003399 -142.868884780569 745.278740809308</t>
  </si>
  <si>
    <t>9763-20170724T164415.790302600.bin</t>
  </si>
  <si>
    <t>-532.644261884392 76.8401221915668 -239.5744601332</t>
  </si>
  <si>
    <t>-569.921912426852 66.2738406577407 -354.319896120535</t>
  </si>
  <si>
    <t>-581.505128129122 56.6077822053669 -474.581957517083</t>
  </si>
  <si>
    <t>-581.25411067181 48.3680375315273 -583.792298593663</t>
  </si>
  <si>
    <t>-570.383605998701 40.7083781874316 -692.502913901611</t>
  </si>
  <si>
    <t>-544.275165279715 30.7289816634047 -842.231991442545</t>
  </si>
  <si>
    <t>-498.61841215648 29.506180688553 -933.319635438194</t>
  </si>
  <si>
    <t>-554.23645445592 66.8455165540107 -777.817031858764</t>
  </si>
  <si>
    <t>-562.413369087469 212.508198887772 -759.367479531552</t>
  </si>
  <si>
    <t>-505.12321972712 263.192782945591 -452.227175814057</t>
  </si>
  <si>
    <t>-301.738932274247 222.707018568927 -295.262812001837</t>
  </si>
  <si>
    <t>-557.418175210588 3.44362124779357 -774.145995191525</t>
  </si>
  <si>
    <t>-527.853003155575 174.302858557625 -249.700667186349</t>
  </si>
  <si>
    <t>-504.542696183631 183.524127714547 205.303992748239</t>
  </si>
  <si>
    <t>-498.518037163305 174.061573534193 675.013144152549</t>
  </si>
  <si>
    <t>-341.840306815154 174.082673759456 754.985623611097</t>
  </si>
  <si>
    <t>-448.488477202149 -41.5070687075615 217.68761451275</t>
  </si>
  <si>
    <t>-589.134281920041 -107.048857564922 661.269490004738</t>
  </si>
  <si>
    <t>-438.56503783443 -142.065687425917 745.211306995452</t>
  </si>
  <si>
    <t>9763-20170724T164415.816871900.bin</t>
  </si>
  <si>
    <t>-532.51159046741 76.707104853356 -239.556299769225</t>
  </si>
  <si>
    <t>-569.835309484206 66.1086531135674 -354.283823657007</t>
  </si>
  <si>
    <t>-581.500354147342 56.3959385238304 -474.534189354603</t>
  </si>
  <si>
    <t>-581.337129182091 48.1088407874898 -583.741162019316</t>
  </si>
  <si>
    <t>-570.567529905058 40.3970135374643 -692.458096394432</t>
  </si>
  <si>
    <t>-544.611858564817 30.3405448828041 -842.208544685102</t>
  </si>
  <si>
    <t>-499.02704704058 29.0727569701937 -933.331430241127</t>
  </si>
  <si>
    <t>-554.512769606623 66.4904234228391 -777.802862275286</t>
  </si>
  <si>
    <t>-562.721655023369 212.163748319497 -759.428449298899</t>
  </si>
  <si>
    <t>-506.008589951106 263.273873432717 -452.251611548242</t>
  </si>
  <si>
    <t>-302.542590329174 222.860334076123 -295.37470495956</t>
  </si>
  <si>
    <t>-557.680129223061 3.09000753710978 -774.094243016138</t>
  </si>
  <si>
    <t>-527.712115184854 174.046381407978 -249.699817712835</t>
  </si>
  <si>
    <t>-504.440003421644 183.357869706997 205.305012948574</t>
  </si>
  <si>
    <t>-498.454701745791 173.866322197882 675.013994672042</t>
  </si>
  <si>
    <t>-341.767261926886 174.898032224575 754.960887100553</t>
  </si>
  <si>
    <t>-448.347691099363 -41.4373491774454 217.737318604125</t>
  </si>
  <si>
    <t>-589.145785272027 -106.862728716046 661.264737238759</t>
  </si>
  <si>
    <t>-438.700406033852 -142.459600192958 745.184692141946</t>
  </si>
  <si>
    <t>9763-20170724T164415.891131300.bin</t>
  </si>
  <si>
    <t>-532.389167581975 76.893770261229 -239.578696551302</t>
  </si>
  <si>
    <t>-569.764643680784 66.2649612519267 -354.286687649352</t>
  </si>
  <si>
    <t>-581.569766762908 56.4794024166819 -474.517429168235</t>
  </si>
  <si>
    <t>-581.568469284182 48.1118204549322 -583.718245061655</t>
  </si>
  <si>
    <t>-570.994785652003 40.3063586515205 -692.447918260015</t>
  </si>
  <si>
    <t>-545.344825692741 30.107593835514 -842.241269075361</t>
  </si>
  <si>
    <t>-499.879492983677 28.7723096338445 -933.423088026385</t>
  </si>
  <si>
    <t>-555.131751616448 66.319334254612 -777.85305352659</t>
  </si>
  <si>
    <t>-563.417885120235 212.003917054604 -759.647391944517</t>
  </si>
  <si>
    <t>-507.901652710221 263.987935548966 -452.398629291762</t>
  </si>
  <si>
    <t>-304.29711030335 223.614002344612 -295.691253357881</t>
  </si>
  <si>
    <t>-558.256496133406 2.92111539613009 -774.071690834284</t>
  </si>
  <si>
    <t>-527.658440455411 174.24705750109 -249.740069824597</t>
  </si>
  <si>
    <t>-504.403950235458 183.64196982215 205.263950918585</t>
  </si>
  <si>
    <t>-498.573536706449 174.313085324916 674.990303223415</t>
  </si>
  <si>
    <t>-341.904909252426 174.342818160016 754.980520378014</t>
  </si>
  <si>
    <t>-448.285759273561 -41.256765269143 217.744491481438</t>
  </si>
  <si>
    <t>-589.137645460801 -106.570760145526 661.239914401525</t>
  </si>
  <si>
    <t>-438.891149653361 -142.973325025308 745.17062689638</t>
  </si>
  <si>
    <t>9763-20170724T164415.919206300.bin</t>
  </si>
  <si>
    <t>-532.366473983595 76.7215561484949 -239.573513768662</t>
  </si>
  <si>
    <t>-569.697388450086 66.0782759800418 -354.294621350665</t>
  </si>
  <si>
    <t>-581.525430537365 56.2462754878298 -474.51939630116</t>
  </si>
  <si>
    <t>-581.573228724494 47.8254307443886 -583.716096777902</t>
  </si>
  <si>
    <t>-571.076511824262 39.9566643831039 -692.44849949004</t>
  </si>
  <si>
    <t>-545.561662443721 29.6604669038533 -842.258453805485</t>
  </si>
  <si>
    <t>-500.141148774324 28.2775006090032 -933.461734512568</t>
  </si>
  <si>
    <t>-555.304928258967 65.9146320420793 -777.887339088011</t>
  </si>
  <si>
    <t>-563.672575315803 211.611362265921 -759.791776794324</t>
  </si>
  <si>
    <t>-508.677084047966 264.008419113397 -452.519506506804</t>
  </si>
  <si>
    <t>-305.0796699859 223.564760330216 -295.820931277677</t>
  </si>
  <si>
    <t>-558.397479054681 2.51779004599845 -774.0570406612</t>
  </si>
  <si>
    <t>-527.590370623304 174.059713033587 -249.757790390398</t>
  </si>
  <si>
    <t>-504.306571095487 183.527185645797 205.243251584408</t>
  </si>
  <si>
    <t>-498.528778397268 174.181392163031 674.982760045557</t>
  </si>
  <si>
    <t>-341.863698364439 174.390315423811 754.979913934613</t>
  </si>
  <si>
    <t>-448.286467509516 -41.4030565433957 217.750164601392</t>
  </si>
  <si>
    <t>-589.130276803754 -106.686788732313 661.268819475906</t>
  </si>
  <si>
    <t>-438.715484244326 -142.366140590753 745.208603136623</t>
  </si>
  <si>
    <t>9763-20170724T164415.984380900.bin</t>
  </si>
  <si>
    <t>-532.246887408666 76.3928243422901 -239.617256912791</t>
  </si>
  <si>
    <t>-569.680690931606 65.7491698234493 -354.30476468292</t>
  </si>
  <si>
    <t>-581.682787974115 55.8465512227133 -474.506583314371</t>
  </si>
  <si>
    <t>-581.915661164728 47.3368299418223 -583.696235494517</t>
  </si>
  <si>
    <t>-571.629972202986 39.3562922463392 -692.440650572391</t>
  </si>
  <si>
    <t>-546.43379982178 28.8830818725896 -842.29220684963</t>
  </si>
  <si>
    <t>-501.136567185395 27.4168182458498 -933.555490709548</t>
  </si>
  <si>
    <t>-556.061752206407 65.2141202432697 -777.947158005633</t>
  </si>
  <si>
    <t>-564.510239943978 210.924666842403 -760.046308616931</t>
  </si>
  <si>
    <t>-510.768097506119 264.346015254843 -452.72873512022</t>
  </si>
  <si>
    <t>-307.227237056269 223.602061390202 -296.034415010952</t>
  </si>
  <si>
    <t>-559.102871117857 1.8201759517455 -774.027946874599</t>
  </si>
  <si>
    <t>-527.474621644612 173.775839165604 -249.774453944658</t>
  </si>
  <si>
    <t>-504.214540548923 183.360229212551 205.225295685395</t>
  </si>
  <si>
    <t>-498.531190731031 174.202407192546 674.963790324378</t>
  </si>
  <si>
    <t>-341.875615223894 174.434673598438 754.979352457751</t>
  </si>
  <si>
    <t>-448.301937828673 -41.5663099789205 217.754507277455</t>
  </si>
  <si>
    <t>-589.10746733363 -106.701365670107 661.300695228236</t>
  </si>
  <si>
    <t>-438.80515694323 -142.662047476507 745.321901707407</t>
  </si>
  <si>
    <t>9763-20170724T164416.020483600.bin</t>
  </si>
  <si>
    <t>-532.241875423492 76.1911031011214 -239.640364887706</t>
  </si>
  <si>
    <t>-569.642991826455 65.5545659617277 -354.339207432787</t>
  </si>
  <si>
    <t>-581.672863394583 55.6212125062331 -474.53551763194</t>
  </si>
  <si>
    <t>-581.955943011741 47.0682698638856 -583.721749440533</t>
  </si>
  <si>
    <t>-571.745223747253 39.0289949623456 -692.4689531315</t>
  </si>
  <si>
    <t>-546.678061829258 28.4582597478416 -842.335246732035</t>
  </si>
  <si>
    <t>-501.440612409996 26.9474344550142 -933.627487414404</t>
  </si>
  <si>
    <t>-556.252428126818 64.8312251540672 -778.006045053009</t>
  </si>
  <si>
    <t>-564.700797651045 210.55216881927 -760.181572472311</t>
  </si>
  <si>
    <t>-511.66413280058 264.502701921598 -452.833817050917</t>
  </si>
  <si>
    <t>-308.170351944768 223.748530398765 -296.081154732943</t>
  </si>
  <si>
    <t>-559.286537093319 1.43976781315116 -774.042176912285</t>
  </si>
  <si>
    <t>-527.484348825882 173.676721416348 -249.80236184081</t>
  </si>
  <si>
    <t>-504.174903214792 183.300546682496 205.194028173657</t>
  </si>
  <si>
    <t>-498.551814538581 174.283541118108 674.948754387549</t>
  </si>
  <si>
    <t>-341.904530272558 173.879892566046 754.979878325788</t>
  </si>
  <si>
    <t>-448.415068937664 -41.8466204367214 217.737812594687</t>
  </si>
  <si>
    <t>-589.078878841008 -107.098453329139 661.352749099985</t>
  </si>
  <si>
    <t>-438.584627288353 -142.125019715373 745.424843881853</t>
  </si>
  <si>
    <t>9763-20170724T164416.088241400.bin</t>
  </si>
  <si>
    <t>-532.035136645121 75.8031409893336 -239.607572552257</t>
  </si>
  <si>
    <t>-569.452198304587 65.1591964353504 -354.30054549055</t>
  </si>
  <si>
    <t>-581.530672181291 55.16163792057 -474.486747872546</t>
  </si>
  <si>
    <t>-581.870884806332 46.528943409332 -583.666470588848</t>
  </si>
  <si>
    <t>-571.729953885516 38.3892238398644 -692.412815604436</t>
  </si>
  <si>
    <t>-546.772208944457 27.658203995731 -842.285912561121</t>
  </si>
  <si>
    <t>-501.617755488156 26.0628200842766 -933.617785019435</t>
  </si>
  <si>
    <t>-556.294265085889 64.0997688315117 -777.987581971609</t>
  </si>
  <si>
    <t>-564.651645750675 209.84252224205 -760.302686639906</t>
  </si>
  <si>
    <t>-513.308111635085 264.765071718834 -452.839469439258</t>
  </si>
  <si>
    <t>-309.902936922778 224.006236460491 -295.972901020956</t>
  </si>
  <si>
    <t>-559.336275544179 0.712936007881645 -773.955617903478</t>
  </si>
  <si>
    <t>-527.185288910601 173.126727228978 -249.789244127821</t>
  </si>
  <si>
    <t>-503.896122553553 182.946387677406 205.20405117449</t>
  </si>
  <si>
    <t>-498.450659059373 173.956632365384 674.953055238107</t>
  </si>
  <si>
    <t>-341.780774236345 175.021263819051 754.933874576576</t>
  </si>
  <si>
    <t>-448.365192485933 -41.973702165135 217.834717799479</t>
  </si>
  <si>
    <t>-589.114422002249 -106.715313889781 661.444001614692</t>
  </si>
  <si>
    <t>-438.731217329374 -142.195874847022 745.524656602419</t>
  </si>
  <si>
    <t>9763-20170724T164416.120328500.bin</t>
  </si>
  <si>
    <t>-531.895727260091 75.773592901928 -239.583193227075</t>
  </si>
  <si>
    <t>-569.381137409916 65.1322490154865 -354.253986949423</t>
  </si>
  <si>
    <t>-581.508965622339 55.0921058694647 -474.431682669345</t>
  </si>
  <si>
    <t>-581.884923803754 46.4030027055446 -583.606946570277</t>
  </si>
  <si>
    <t>-571.770633664546 38.1894996963443 -692.350192930917</t>
  </si>
  <si>
    <t>-546.840291159298 27.3382009929324 -842.219151743964</t>
  </si>
  <si>
    <t>-501.720394360214 25.6908312799689 -933.567119155088</t>
  </si>
  <si>
    <t>-556.337090509642 63.8308126608647 -777.946164275313</t>
  </si>
  <si>
    <t>-564.646703177038 209.585338167851 -760.318329161354</t>
  </si>
  <si>
    <t>-514.225046374924 265.284278390315 -452.842463599231</t>
  </si>
  <si>
    <t>-310.863164885247 224.539279972778 -295.916195421109</t>
  </si>
  <si>
    <t>-559.40526357799 0.448302860850951 -773.867329258369</t>
  </si>
  <si>
    <t>-527.070290954364 173.123089286456 -249.778511892151</t>
  </si>
  <si>
    <t>-503.804076551203 182.993258246059 205.214780018188</t>
  </si>
  <si>
    <t>-498.497874848085 174.127243354195 674.955580056977</t>
  </si>
  <si>
    <t>-341.831011332203 174.952214281263 754.945116140125</t>
  </si>
  <si>
    <t>-448.254319872747 -42.0296400317478 217.896476491912</t>
  </si>
  <si>
    <t>-589.151297853227 -106.89199279911 661.485952165045</t>
  </si>
  <si>
    <t>-438.74673769028 -142.604733671713 745.429852272847</t>
  </si>
  <si>
    <t>9763-20170724T164416.188519300.bin</t>
  </si>
  <si>
    <t>-531.682951503172 76.0477944852545 -239.520103512478</t>
  </si>
  <si>
    <t>-569.031371598048 65.3879808238737 -354.233964546297</t>
  </si>
  <si>
    <t>-581.168473809964 55.2499882966818 -474.402471889012</t>
  </si>
  <si>
    <t>-581.61454020517 46.4390727120117 -583.56766944124</t>
  </si>
  <si>
    <t>-571.631340440627 38.0699607460936 -692.311211283659</t>
  </si>
  <si>
    <t>-546.944964985466 26.9669273054902 -842.202154230724</t>
  </si>
  <si>
    <t>-501.89753628855 25.1915604577768 -933.583440524024</t>
  </si>
  <si>
    <t>-556.314757048389 63.5666223911652 -777.971407027709</t>
  </si>
  <si>
    <t>-564.477872899452 209.348856379737 -760.53190595221</t>
  </si>
  <si>
    <t>-515.780694588751 266.519802883098 -453.048212214713</t>
  </si>
  <si>
    <t>-312.569925032185 225.930581983368 -295.885878858832</t>
  </si>
  <si>
    <t>-559.421051914615 0.192717136225511 -773.788573460766</t>
  </si>
  <si>
    <t>-526.780060302164 173.348874757048 -249.789277945532</t>
  </si>
  <si>
    <t>-503.716387025274 183.287650983977 205.212837471446</t>
  </si>
  <si>
    <t>-498.497115580694 174.244153112705 674.935533048346</t>
  </si>
  <si>
    <t>-341.875024647617 174.210300296464 755.016866550412</t>
  </si>
  <si>
    <t>-448.332584240372 -41.3775875360517 218.03290403212</t>
  </si>
  <si>
    <t>-589.456162824995 -105.729253471567 661.621396862379</t>
  </si>
  <si>
    <t>-438.808754897659 -142.59946108426 744.624108950774</t>
  </si>
  <si>
    <t>9763-20170724T164416.220097200.bin</t>
  </si>
  <si>
    <t>-531.434067386461 76.0230872822733 -239.5151846896</t>
  </si>
  <si>
    <t>-568.84453638187 65.3539916537705 -354.208018361018</t>
  </si>
  <si>
    <t>-581.059289049573 55.170398346891 -474.364757413396</t>
  </si>
  <si>
    <t>-581.580998782593 46.3037806828926 -583.525096721172</t>
  </si>
  <si>
    <t>-571.678202127346 37.8647555298275 -692.270475764813</t>
  </si>
  <si>
    <t>-547.107856826238 26.6500028392323 -842.172231104259</t>
  </si>
  <si>
    <t>-502.107399004868 24.8147533962275 -933.575583571239</t>
  </si>
  <si>
    <t>-556.423772998445 63.2974318392735 -777.960904023844</t>
  </si>
  <si>
    <t>-564.575964496557 209.09842829645 -760.597750661785</t>
  </si>
  <si>
    <t>-516.801848266329 266.986530854015 -453.103342187074</t>
  </si>
  <si>
    <t>-313.538203904134 226.516027669547 -295.978865663349</t>
  </si>
  <si>
    <t>-526.472850024936 172.99964908967 -249.774504083969</t>
  </si>
  <si>
    <t>-503.515363094284 183.027280390844 205.231107497281</t>
  </si>
  <si>
    <t>-498.328400603817 173.72078932538 674.945483995147</t>
  </si>
  <si>
    <t>-341.706841547291 175.256493629571 755.01319841547</t>
  </si>
  <si>
    <t>-448.331992763 -41.2393152851715 218.125786586997</t>
  </si>
  <si>
    <t>-589.613092851279 -105.469961587532 661.630095902575</t>
  </si>
  <si>
    <t>-438.562982109789 -142.183379469622 743.967730647112</t>
  </si>
  <si>
    <t>9763-20170724T164416.285773200.bin</t>
  </si>
  <si>
    <t>-531.018245309417 76.5847079229924 -239.476469667269</t>
  </si>
  <si>
    <t>-568.329911251429 65.925923098514 -354.202330949867</t>
  </si>
  <si>
    <t>-580.571810921014 55.6597820735315 -474.34950846423</t>
  </si>
  <si>
    <t>-581.170804709835 46.6814577328212 -583.500143928581</t>
  </si>
  <si>
    <t>-571.397637189222 38.0944860644435 -692.24569002697</t>
  </si>
  <si>
    <t>-547.060092739792 26.6371000067541 -842.16710951179</t>
  </si>
  <si>
    <t>-502.174921808629 24.6433913816109 -933.623777991517</t>
  </si>
  <si>
    <t>-556.267570797903 63.3880950905058 -777.999242876732</t>
  </si>
  <si>
    <t>-564.417244013523 209.205705378663 -760.817899929834</t>
  </si>
  <si>
    <t>-518.305320804734 268.609308387107 -453.358732534895</t>
  </si>
  <si>
    <t>-314.900658095676 228.289715813677 -296.37824432675</t>
  </si>
  <si>
    <t>-559.389899055137 0.0252133892933841 -773.663758267439</t>
  </si>
  <si>
    <t>-526.010371089042 173.456978627861 -249.789488370082</t>
  </si>
  <si>
    <t>-503.277747545117 183.593314763024 205.22487002401</t>
  </si>
  <si>
    <t>-498.485096986914 174.339744095779 674.932107505741</t>
  </si>
  <si>
    <t>-341.906071993998 174.366069343982 755.097680577578</t>
  </si>
  <si>
    <t>-448.306503777604 -40.6135856804872 218.198324020014</t>
  </si>
  <si>
    <t>-589.876767351286 -104.929052951751 661.588549136297</t>
  </si>
  <si>
    <t>-438.323447275888 -142.105746814421 742.785767298559</t>
  </si>
  <si>
    <t>9763-20170724T164416.318361400.bin</t>
  </si>
  <si>
    <t>-530.72238038491 76.824952781347 -239.490045933082</t>
  </si>
  <si>
    <t>-568.096362762444 66.1516583073883 -354.194376342208</t>
  </si>
  <si>
    <t>-580.405847996316 55.8411155715799 -474.33053307388</t>
  </si>
  <si>
    <t>-581.067203105382 46.8121427926177 -583.476775589761</t>
  </si>
  <si>
    <t>-571.357115698656 38.1650582478765 -692.223292908747</t>
  </si>
  <si>
    <t>-547.107650827731 26.6152541897764 -842.151841025736</t>
  </si>
  <si>
    <t>-502.27449859946 24.561411004513 -933.632714586547</t>
  </si>
  <si>
    <t>-556.276210508046 63.4057141125607 -778.001081639268</t>
  </si>
  <si>
    <t>-564.421487255971 209.223221594406 -760.875237871119</t>
  </si>
  <si>
    <t>-519.215656100109 269.468764956775 -453.445404959188</t>
  </si>
  <si>
    <t>-315.742159856153 229.257494691068 -296.526291866119</t>
  </si>
  <si>
    <t>-559.398321135628 0.045634036693464 -773.625108883583</t>
  </si>
  <si>
    <t>-525.675934479564 173.458186445247 -249.807679501005</t>
  </si>
  <si>
    <t>-503.054664347711 183.655866693503 205.21096612012</t>
  </si>
  <si>
    <t>-498.373655963035 174.056635571731 674.913865262141</t>
  </si>
  <si>
    <t>-341.812635443131 174.806161726639 755.111082626358</t>
  </si>
  <si>
    <t>-448.116924219484 -40.1729231188732 218.22767638843</t>
  </si>
  <si>
    <t>-589.948956881003 -104.449635137717 661.512657058135</t>
  </si>
  <si>
    <t>-438.410867449684 -142.479169074325 742.342614675826</t>
  </si>
  <si>
    <t>9763-20170724T164416.388959900.bin</t>
  </si>
  <si>
    <t>-530.255429032925 77.1633566820009 -239.551277904062</t>
  </si>
  <si>
    <t>-567.634734559235 66.4659893856215 -354.251657928343</t>
  </si>
  <si>
    <t>-579.992997940125 56.0653643232522 -474.375236260062</t>
  </si>
  <si>
    <t>-580.716290612726 46.9293416394631 -583.51205831559</t>
  </si>
  <si>
    <t>-571.085257154111 38.1503722150317 -692.255037316019</t>
  </si>
  <si>
    <t>-546.9628281403 26.3922877315565 -842.187868371608</t>
  </si>
  <si>
    <t>-502.210150122113 24.2351401182452 -933.705804937236</t>
  </si>
  <si>
    <t>-556.064777361332 63.2714062562659 -778.078499581735</t>
  </si>
  <si>
    <t>-564.182398542022 209.108867953568 -761.08716457615</t>
  </si>
  <si>
    <t>-520.861915791358 270.92555442581 -453.697862893124</t>
  </si>
  <si>
    <t>-317.47826006995 231.057103761241 -296.574927569336</t>
  </si>
  <si>
    <t>-525.132082038867 173.593406171685 -249.867982405438</t>
  </si>
  <si>
    <t>-502.683395163045 183.854240960132 205.157778855657</t>
  </si>
  <si>
    <t>-498.364697870747 174.091265670896 674.888797521538</t>
  </si>
  <si>
    <t>-341.829824385563 175.265649955182 755.132057595197</t>
  </si>
  <si>
    <t>-447.974149055723 -39.7362690883917 218.213249593769</t>
  </si>
  <si>
    <t>-590.030708135294 -104.014164909849 661.394011095224</t>
  </si>
  <si>
    <t>-438.278182927495 -142.329006269328 741.68508386561</t>
  </si>
  <si>
    <t>9763-20170724T164416.421049100.bin</t>
  </si>
  <si>
    <t>-530.100380538276 77.5118501442675 -239.597214640596</t>
  </si>
  <si>
    <t>-567.422544338138 66.8088402093558 -354.315581502146</t>
  </si>
  <si>
    <t>-579.775430863344 56.3794073712415 -474.437178279264</t>
  </si>
  <si>
    <t>-580.515795378357 47.2090185907904 -583.571098676166</t>
  </si>
  <si>
    <t>-570.923641679918 38.3880598475023 -692.314015511528</t>
  </si>
  <si>
    <t>-546.877548558026 26.5643453043601 -842.253939875102</t>
  </si>
  <si>
    <t>-502.154854986297 24.3759473354995 -933.78582718924</t>
  </si>
  <si>
    <t>-555.953277949489 63.4717439375383 -778.157173955199</t>
  </si>
  <si>
    <t>-564.053299762981 209.319129975182 -761.222777342116</t>
  </si>
  <si>
    <t>-521.658569859255 271.782820342678 -453.835005164143</t>
  </si>
  <si>
    <t>-318.424900159542 232.045173562445 -296.485086654801</t>
  </si>
  <si>
    <t>-559.081190504285 0.120207101866853 -773.663180025602</t>
  </si>
  <si>
    <t>-525.024170817379 174.114304725849 -249.918313554835</t>
  </si>
  <si>
    <t>-502.665237299378 184.408389856655 205.111116189568</t>
  </si>
  <si>
    <t>-498.583697220794 174.879364440268 674.850529361463</t>
  </si>
  <si>
    <t>-342.09191142345 173.671669361863 755.177226346045</t>
  </si>
  <si>
    <t>-448.040602629127 -39.5619027799863 218.195920154046</t>
  </si>
  <si>
    <t>-590.068344424129 -103.907582242703 661.36931131782</t>
  </si>
  <si>
    <t>-438.103861930133 -141.846057459877 741.437887867545</t>
  </si>
  <si>
    <t>9763-20170724T164416.484091700.bin</t>
  </si>
  <si>
    <t>-529.730958740533 77.4927710620018 -239.644234659286</t>
  </si>
  <si>
    <t>-567.09174103945 66.7587165372969 -354.347176481518</t>
  </si>
  <si>
    <t>-579.505491201605 56.262212781756 -474.456578683291</t>
  </si>
  <si>
    <t>-580.309389774108 47.018580006423 -583.583803009768</t>
  </si>
  <si>
    <t>-570.788928145827 38.1130203149722 -692.326303610139</t>
  </si>
  <si>
    <t>-546.850074731057 26.1611088741817 -842.273157654438</t>
  </si>
  <si>
    <t>-502.185084229718 23.8979678497502 -933.831382783667</t>
  </si>
  <si>
    <t>-555.891730169482 63.1237163349945 -778.203488545127</t>
  </si>
  <si>
    <t>-563.911451081245 208.972871741824 -761.216104249141</t>
  </si>
  <si>
    <t>-523.531634602889 272.866320780804 -453.850987797232</t>
  </si>
  <si>
    <t>-320.617231394726 233.513801536505 -295.992874234366</t>
  </si>
  <si>
    <t>-524.597051523895 173.823650519788 -249.97012786838</t>
  </si>
  <si>
    <t>-502.344145390573 184.140074256089 205.063927574892</t>
  </si>
  <si>
    <t>-498.350330865765 174.135677330498 674.826265826847</t>
  </si>
  <si>
    <t>-341.846503377289 174.802173584912 755.135887106511</t>
  </si>
  <si>
    <t>-447.865907154442 -39.372430802048 218.207183040831</t>
  </si>
  <si>
    <t>-590.048689142977 -104.01098773253 661.262942180823</t>
  </si>
  <si>
    <t>-438.133734262056 -142.485295492964 741.169736428122</t>
  </si>
  <si>
    <t>9763-20170724T164416.519690900.bin</t>
  </si>
  <si>
    <t>-529.666911902823 77.6742046239319 -239.708998949107</t>
  </si>
  <si>
    <t>-566.971178672735 66.9421440798509 -354.430519788494</t>
  </si>
  <si>
    <t>-579.349075268695 56.4297689424579 -474.542253521194</t>
  </si>
  <si>
    <t>-580.129825805458 47.1645803792984 -583.667927755691</t>
  </si>
  <si>
    <t>-570.595598101075 38.2303128871729 -692.406787483684</t>
  </si>
  <si>
    <t>-546.647576585615 26.2311533286403 -842.348409931635</t>
  </si>
  <si>
    <t>-501.982062090409 23.9367400956319 -933.905645584591</t>
  </si>
  <si>
    <t>-555.697527411963 63.2141365734015 -778.291533038117</t>
  </si>
  <si>
    <t>-563.754001037568 209.068364966459 -761.321437709006</t>
  </si>
  <si>
    <t>-524.538630554552 273.360708115556 -453.888716165557</t>
  </si>
  <si>
    <t>-321.714375700941 234.183869364209 -295.871195301307</t>
  </si>
  <si>
    <t>-524.54776791781 174.07718555229 -250.028744490139</t>
  </si>
  <si>
    <t>-502.340885320982 184.367808963375 205.008098787635</t>
  </si>
  <si>
    <t>-498.422405440339 174.396085547146 674.797021107333</t>
  </si>
  <si>
    <t>-341.932396468868 173.98922687751 755.135204828051</t>
  </si>
  <si>
    <t>-447.925613227147 -39.15541074056 218.142819710479</t>
  </si>
  <si>
    <t>-590.027548474786 -103.745224244332 661.242199309736</t>
  </si>
  <si>
    <t>-438.184510593772 -142.55527777525 741.123197370792</t>
  </si>
  <si>
    <t>9763-20170724T164416.589378600.bin</t>
  </si>
  <si>
    <t>-529.624719999183 77.9680299895419 -239.747580548101</t>
  </si>
  <si>
    <t>-566.829438991378 67.2306846770283 -354.500919030741</t>
  </si>
  <si>
    <t>-579.123875251878 56.6858567923925 -474.618442266027</t>
  </si>
  <si>
    <t>-579.837219047127 47.3855692825418 -583.741460857012</t>
  </si>
  <si>
    <t>-570.244538182808 38.413612473804 -692.472035054683</t>
  </si>
  <si>
    <t>-546.224627947609 26.362103382672 -842.398030505162</t>
  </si>
  <si>
    <t>-501.517449019906 24.0223708142873 -933.933867425407</t>
  </si>
  <si>
    <t>-555.349978491641 63.3690376775489 -778.365861330415</t>
  </si>
  <si>
    <t>-563.664528262316 209.198980463382 -761.39116474344</t>
  </si>
  <si>
    <t>-526.261685881379 274.182715635145 -453.878021018227</t>
  </si>
  <si>
    <t>-323.511112116663 235.332493104316 -295.685315223686</t>
  </si>
  <si>
    <t>-558.355329541228 0.0199647404509449 -773.755128624263</t>
  </si>
  <si>
    <t>-524.502732599044 174.443481397272 -250.058442667395</t>
  </si>
  <si>
    <t>-502.45375812934 184.689311237703 204.987272173022</t>
  </si>
  <si>
    <t>-498.55801542742 174.893993509388 674.752789914153</t>
  </si>
  <si>
    <t>-342.081449768741 173.950100302712 755.112661440665</t>
  </si>
  <si>
    <t>-447.949451867698 -39.1496345536182 218.110217316386</t>
  </si>
  <si>
    <t>-589.943544354372 -103.829179506319 661.21434203989</t>
  </si>
  <si>
    <t>-438.223602806667 -142.777576160896 741.261770159833</t>
  </si>
  <si>
    <t>9763-20170724T164416.620965300.bin</t>
  </si>
  <si>
    <t>-529.615520478889 77.8774595664396 -239.793769264351</t>
  </si>
  <si>
    <t>-566.849532467573 67.1442678887167 -354.538060529411</t>
  </si>
  <si>
    <t>-579.142784538448 56.5856410498045 -474.65443301219</t>
  </si>
  <si>
    <t>-579.84221757341 47.2682725324675 -583.776176701794</t>
  </si>
  <si>
    <t>-570.222794731925 38.2761787659524 -692.502795221141</t>
  </si>
  <si>
    <t>-546.153041162995 26.1951143446857 -842.418325781484</t>
  </si>
  <si>
    <t>-501.412032777167 23.8329675650403 -933.936959157291</t>
  </si>
  <si>
    <t>-555.323531199038 63.2155200995288 -778.400425196252</t>
  </si>
  <si>
    <t>-563.768372938292 209.040845232604 -761.412754839078</t>
  </si>
  <si>
    <t>-527.18207459073 274.243148688517 -453.847702203234</t>
  </si>
  <si>
    <t>-324.491852576571 235.587162173831 -295.53019434983</t>
  </si>
  <si>
    <t>-524.512017076635 174.354440502043 -250.082824415021</t>
  </si>
  <si>
    <t>-502.474887513873 184.543900761188 204.964619331056</t>
  </si>
  <si>
    <t>-498.474164127536 174.637955041755 674.742319207433</t>
  </si>
  <si>
    <t>-341.978213759662 174.738958575455 755.069943818689</t>
  </si>
  <si>
    <t>-448.004978738147 -39.1979113916231 218.068434531066</t>
  </si>
  <si>
    <t>-589.90064021931 -103.946985778893 661.228822703374</t>
  </si>
  <si>
    <t>-438.317346162656 -143.162080413855 741.404788224186</t>
  </si>
  <si>
    <t>9763-20170724T164416.685370100.bin</t>
  </si>
  <si>
    <t>-529.751092961144 77.4892090790075 -239.916091420024</t>
  </si>
  <si>
    <t>-566.865295512392 66.7823700609111 -354.701561345109</t>
  </si>
  <si>
    <t>-579.031594205267 56.2348682092177 -474.83180506596</t>
  </si>
  <si>
    <t>-579.615332672217 46.9244499588758 -583.954950915206</t>
  </si>
  <si>
    <t>-569.880135903684 37.9377582033133 -692.671573723069</t>
  </si>
  <si>
    <t>-545.650350039495 25.8642696101826 -842.562091499062</t>
  </si>
  <si>
    <t>-500.804056970304 23.5272869727804 -934.029670029873</t>
  </si>
  <si>
    <t>-554.93956832231 62.8831393800186 -778.560164649071</t>
  </si>
  <si>
    <t>-563.670653141635 208.685277704611 -761.58257482396</t>
  </si>
  <si>
    <t>-528.334044180565 274.007331556094 -453.896871837074</t>
  </si>
  <si>
    <t>-325.920915376859 235.603868473895 -295.163973627431</t>
  </si>
  <si>
    <t>-524.68022938513 174.198865634541 -250.160752625295</t>
  </si>
  <si>
    <t>-502.566614763398 184.262564220942 204.88574467038</t>
  </si>
  <si>
    <t>-498.433155614942 174.548990188244 674.689038751807</t>
  </si>
  <si>
    <t>-341.922895444277 174.978666314663 754.987756466371</t>
  </si>
  <si>
    <t>-448.186075241828 -39.7940615161015 217.881730042387</t>
  </si>
  <si>
    <t>-589.534359032994 -104.511416724557 661.124986773753</t>
  </si>
  <si>
    <t>-438.328739246227 -142.761803086077 742.471685594273</t>
  </si>
  <si>
    <t>9763-20170724T164416.722001700.bin</t>
  </si>
  <si>
    <t>-529.810864603326 77.229895900895 -239.963631414761</t>
  </si>
  <si>
    <t>-566.936929336596 66.5302897777879 -354.745931068915</t>
  </si>
  <si>
    <t>-579.081975260751 55.9887739183935 -474.879018444</t>
  </si>
  <si>
    <t>-579.632707941072 46.6850837090826 -584.002626575444</t>
  </si>
  <si>
    <t>-569.851131495787 37.7074919432607 -692.71596054631</t>
  </si>
  <si>
    <t>-545.543383620966 25.6501633297201 -842.595179632175</t>
  </si>
  <si>
    <t>-500.637401408437 23.3345539841675 -934.034087242106</t>
  </si>
  <si>
    <t>-554.894213353744 62.6631042514721 -778.598774783334</t>
  </si>
  <si>
    <t>-563.7569002506 208.461923126442 -761.60147713783</t>
  </si>
  <si>
    <t>-528.902746060958 273.827773468025 -453.869928589344</t>
  </si>
  <si>
    <t>-326.653829137333 235.600555026128 -294.885367916595</t>
  </si>
  <si>
    <t>-524.811795811004 174.266754605537 -250.176506405164</t>
  </si>
  <si>
    <t>-502.693025829275 184.272080409436 204.871052486112</t>
  </si>
  <si>
    <t>-498.46803234537 174.710274632412 674.665747869486</t>
  </si>
  <si>
    <t>-341.959436063225 174.365732690563 754.968076996448</t>
  </si>
  <si>
    <t>-448.219559076085 -40.4231573045097 217.820244996582</t>
  </si>
  <si>
    <t>-589.336342278259 -105.309391210791 661.184465460196</t>
  </si>
  <si>
    <t>-438.217469689341 -142.566830201212 743.150776494796</t>
  </si>
  <si>
    <t>9763-20170724T164416.788684100.bin</t>
  </si>
  <si>
    <t>-530.025888931363 77.1301030864422 -239.984104877643</t>
  </si>
  <si>
    <t>-567.160432903591 66.4331203147436 -354.763973027107</t>
  </si>
  <si>
    <t>-579.251932300483 55.8959391768112 -474.902702705447</t>
  </si>
  <si>
    <t>-579.729013017386 46.6000063328603 -584.02736325721</t>
  </si>
  <si>
    <t>-569.849182768312 37.6357590987885 -692.732971200015</t>
  </si>
  <si>
    <t>-545.38024562392 25.6043539338708 -842.58791019729</t>
  </si>
  <si>
    <t>-500.371541545337 23.3574543187366 -933.978080447656</t>
  </si>
  <si>
    <t>-554.848333114647 62.6077389093747 -778.603302703022</t>
  </si>
  <si>
    <t>-563.974646530379 208.383639859231 -761.555914034009</t>
  </si>
  <si>
    <t>-530.082374496661 274.022692740359 -453.775065263646</t>
  </si>
  <si>
    <t>-328.117165343532 236.023083369601 -294.375863246079</t>
  </si>
  <si>
    <t>-525.121590427433 174.30774003891 -250.183054233605</t>
  </si>
  <si>
    <t>-502.95286522431 184.129151554893 204.86608813091</t>
  </si>
  <si>
    <t>-498.390276760495 174.50891101818 674.647870735005</t>
  </si>
  <si>
    <t>-341.862089578989 174.556045622746 754.912661402449</t>
  </si>
  <si>
    <t>-448.33267827643 -40.8434436395945 217.800980140868</t>
  </si>
  <si>
    <t>-589.14186729059 -105.832492200524 661.358179529865</t>
  </si>
  <si>
    <t>-438.666048961653 -143.738542673875 744.205500873412</t>
  </si>
  <si>
    <t>9763-20170724T164416.822778200.bin</t>
  </si>
  <si>
    <t>-530.157084186641 77.0788783543341 -239.897386154333</t>
  </si>
  <si>
    <t>-567.207071188565 66.3638239016019 -354.702860003345</t>
  </si>
  <si>
    <t>-579.203658821367 55.8325062631957 -474.851647057496</t>
  </si>
  <si>
    <t>-579.591913023301 46.553892215417 -583.978123681638</t>
  </si>
  <si>
    <t>-569.621162872528 37.6202132935064 -692.677880338368</t>
  </si>
  <si>
    <t>-545.024280212021 25.6460502725072 -842.516572686324</t>
  </si>
  <si>
    <t>-499.945294319485 23.4539633393949 -933.87339378363</t>
  </si>
  <si>
    <t>-554.573382073296 62.6258156457397 -778.530268278788</t>
  </si>
  <si>
    <t>-563.812744365299 208.38839524145 -761.468707524339</t>
  </si>
  <si>
    <t>-530.482811272201 274.127918981161 -453.648058438573</t>
  </si>
  <si>
    <t>-328.573887795885 236.199193302469 -294.16064965282</t>
  </si>
  <si>
    <t>-525.187456453413 174.203152782851 -250.145088411694</t>
  </si>
  <si>
    <t>-503.065932375101 183.960160728583 204.90776423497</t>
  </si>
  <si>
    <t>-498.287592760142 174.188121458978 674.666103625058</t>
  </si>
  <si>
    <t>-341.736654889594 175.525674531258 754.875327581964</t>
  </si>
  <si>
    <t>-448.225588754618 -40.9522454493519 217.862389922559</t>
  </si>
  <si>
    <t>-589.121722303611 -105.978760972602 661.42444310634</t>
  </si>
  <si>
    <t>-438.597495984073 -143.46632358357 744.374057944784</t>
  </si>
  <si>
    <t>9763-20170724T164416.889962700.bin</t>
  </si>
  <si>
    <t>-530.414096338197 77.4929664587279 -239.863081780812</t>
  </si>
  <si>
    <t>-567.495491701009 66.7789684436767 -354.658564709223</t>
  </si>
  <si>
    <t>-579.395462141448 56.287884173224 -474.820384855088</t>
  </si>
  <si>
    <t>-579.644027632644 47.0664138041432 -583.952282284139</t>
  </si>
  <si>
    <t>-569.482422044977 38.2130826155758 -692.640753839371</t>
  </si>
  <si>
    <t>-544.569249556096 26.3771702917445 -842.438280715023</t>
  </si>
  <si>
    <t>-499.327740635395 24.3278567758108 -933.718006285604</t>
  </si>
  <si>
    <t>-554.316242051225 63.2997014903874 -778.448795914494</t>
  </si>
  <si>
    <t>-563.901750704684 209.016247160554 -761.242793593901</t>
  </si>
  <si>
    <t>-531.747372368437 275.296538764878 -453.412962765265</t>
  </si>
  <si>
    <t>-329.796413483511 237.332864626057 -293.98701584901</t>
  </si>
  <si>
    <t>-525.566665153885 174.934082619602 -250.110461377632</t>
  </si>
  <si>
    <t>-503.405830190594 184.520931281364 204.944133072935</t>
  </si>
  <si>
    <t>-498.463957654935 174.82270247674 674.678797882919</t>
  </si>
  <si>
    <t>-341.926499187576 174.237491689482 754.923469452038</t>
  </si>
  <si>
    <t>-448.336224680533 -40.86766117456 217.893575495992</t>
  </si>
  <si>
    <t>-589.067896506627 -106.292228275102 661.464326180284</t>
  </si>
  <si>
    <t>-438.380287478896 -142.841078055573 744.53624788382</t>
  </si>
  <si>
    <t>9763-20170724T164416.919542000.bin</t>
  </si>
  <si>
    <t>-530.521161845185 77.6654900866859 -239.859703622494</t>
  </si>
  <si>
    <t>-567.625210147385 66.9485867258566 -354.647543020839</t>
  </si>
  <si>
    <t>-579.504251034195 56.4750743483777 -474.813089270189</t>
  </si>
  <si>
    <t>-579.715819421548 47.2801034444154 -583.947170742464</t>
  </si>
  <si>
    <t>-569.499463443081 38.4652474491262 -692.633851792352</t>
  </si>
  <si>
    <t>-544.49269200656 26.6965034282563 -842.420771966481</t>
  </si>
  <si>
    <t>-499.17870759631 24.7129291615689 -933.666147785326</t>
  </si>
  <si>
    <t>-554.303915352267 63.59102728098 -778.425182349608</t>
  </si>
  <si>
    <t>-564.012947505055 209.311844245286 -761.181001721333</t>
  </si>
  <si>
    <t>-532.583118029128 275.725446303834 -453.305038073743</t>
  </si>
  <si>
    <t>-330.639195282476 237.784224761576 -293.864853856879</t>
  </si>
  <si>
    <t>-556.810919818652 0.216617557596848 -773.864233494255</t>
  </si>
  <si>
    <t>-525.736072208529 175.297421042269 -250.093740601135</t>
  </si>
  <si>
    <t>-503.528747935821 184.796860850365 204.960385791416</t>
  </si>
  <si>
    <t>-498.641093293267 175.469850450551 674.67270183977</t>
  </si>
  <si>
    <t>-342.116856256952 174.132262470955 754.934190414553</t>
  </si>
  <si>
    <t>-448.34776598388 -40.8683290814421 217.901997948726</t>
  </si>
  <si>
    <t>-589.022516559157 -106.586704095563 661.467409310455</t>
  </si>
  <si>
    <t>-438.321132115534 -142.774586793013 744.672187806107</t>
  </si>
  <si>
    <t>9763-20170724T164416.987885500.bin</t>
  </si>
  <si>
    <t>-530.529517499153 77.6176328801579 -239.86025934437</t>
  </si>
  <si>
    <t>-567.579306525811 66.8994715450961 -354.66541990296</t>
  </si>
  <si>
    <t>-579.350010322032 56.4416414421835 -474.84307633301</t>
  </si>
  <si>
    <t>-579.442513828449 47.2713426804079 -583.979476905559</t>
  </si>
  <si>
    <t>-569.08719206361 38.4937366267569 -692.65591738587</t>
  </si>
  <si>
    <t>-543.86770036717 26.79149127386 -842.412551579099</t>
  </si>
  <si>
    <t>-498.441492052516 24.9304193812794 -933.604481839988</t>
  </si>
  <si>
    <t>-553.821516072914 63.6589164991502 -778.423291648062</t>
  </si>
  <si>
    <t>-563.905113187148 209.334533473434 -761.106516766258</t>
  </si>
  <si>
    <t>-533.939110080667 276.066585608946 -453.153577647523</t>
  </si>
  <si>
    <t>-331.981011539333 238.085039218135 -293.741006016103</t>
  </si>
  <si>
    <t>-556.231576883622 0.279792418111953 -773.87648927958</t>
  </si>
  <si>
    <t>-525.666274802027 174.928599758132 -250.064694421072</t>
  </si>
  <si>
    <t>-503.54337977779 184.258052932957 204.997142793186</t>
  </si>
  <si>
    <t>-498.237547088283 174.135495081178 674.702110707171</t>
  </si>
  <si>
    <t>-341.673682137252 175.163541596175 754.890724574508</t>
  </si>
  <si>
    <t>-448.38344374622 -40.9690507052701 217.842596886612</t>
  </si>
  <si>
    <t>-588.920383644147 -106.519695917573 661.461486901518</t>
  </si>
  <si>
    <t>-438.618948022517 -143.399557917972 745.08484470419</t>
  </si>
  <si>
    <t>9763-20170724T164417.022521000.bin</t>
  </si>
  <si>
    <t>-530.56902309104 77.5690222929983 -239.849933725815</t>
  </si>
  <si>
    <t>-567.567553189148 66.8623711340587 -354.672866666124</t>
  </si>
  <si>
    <t>-579.275929509124 56.4219372799392 -474.858012899836</t>
  </si>
  <si>
    <t>-579.308514358617 47.2731852353278 -583.996177913549</t>
  </si>
  <si>
    <t>-568.890167836724 38.524686300896 -692.668933421484</t>
  </si>
  <si>
    <t>-543.580626521066 26.8726199417559 -842.414299963182</t>
  </si>
  <si>
    <t>-498.100834641387 25.0691894477782 -933.580674966826</t>
  </si>
  <si>
    <t>-553.61318013294 63.7196258635467 -778.42557787024</t>
  </si>
  <si>
    <t>-563.862386603022 209.391184840582 -761.089721557261</t>
  </si>
  <si>
    <t>-534.468705639362 276.241213896617 -453.10720168308</t>
  </si>
  <si>
    <t>-332.590383868076 238.239801243827 -293.598133250043</t>
  </si>
  <si>
    <t>-555.94541729361 0.336938388661757 -773.887761282931</t>
  </si>
  <si>
    <t>-525.728263074886 174.94096340546 -250.061608409502</t>
  </si>
  <si>
    <t>-503.609695284141 184.23932229899 205.001077998442</t>
  </si>
  <si>
    <t>-498.277142237812 174.284778460618 674.702980815406</t>
  </si>
  <si>
    <t>-341.708906818435 175.497146289709 754.880417040327</t>
  </si>
  <si>
    <t>-448.397993024228 -41.0548069651217 217.826505056614</t>
  </si>
  <si>
    <t>-588.86180725442 -106.500774967532 661.456832388548</t>
  </si>
  <si>
    <t>-438.563539079331 -142.954420855673 745.272518173547</t>
  </si>
  <si>
    <t>9763-20170724T164417.088197300.bin</t>
  </si>
  <si>
    <t>-530.778661218972 77.6870674178485 -239.865222449133</t>
  </si>
  <si>
    <t>-567.804284431028 66.9664702924665 -354.678132284222</t>
  </si>
  <si>
    <t>-579.459663900697 56.555612910857 -474.870861813691</t>
  </si>
  <si>
    <t>-579.411334320324 47.4564939468299 -584.013310193432</t>
  </si>
  <si>
    <t>-568.880236232467 38.783335726867 -692.681214992747</t>
  </si>
  <si>
    <t>-543.382036515567 27.2653576938352 -842.404924379402</t>
  </si>
  <si>
    <t>-497.816209228733 25.5846258622394 -933.53074999688</t>
  </si>
  <si>
    <t>-553.565842309469 64.0567616629033 -778.407971438959</t>
  </si>
  <si>
    <t>-564.233503262924 209.676465740415 -760.993548462195</t>
  </si>
  <si>
    <t>-536.085676481601 276.432752460161 -452.874304115643</t>
  </si>
  <si>
    <t>-334.322207551508 238.187436963982 -293.278416284236</t>
  </si>
  <si>
    <t>-555.762643331439 0.666698630248426 -773.90574128674</t>
  </si>
  <si>
    <t>-526.023983095188 175.310358267294 -250.052595549545</t>
  </si>
  <si>
    <t>-503.866785274603 184.51854669112 205.009842659072</t>
  </si>
  <si>
    <t>-498.399793817348 174.699711651326 674.701367653653</t>
  </si>
  <si>
    <t>-341.830214881294 174.966967795874 754.885050284499</t>
  </si>
  <si>
    <t>-448.353525042567 -40.9899598334291 217.785614195471</t>
  </si>
  <si>
    <t>-588.756017444694 -106.748359449058 661.457446468593</t>
  </si>
  <si>
    <t>-438.598064747655 -143.070345472738 745.581388916835</t>
  </si>
  <si>
    <t>9763-20170724T164417.120785500.bin</t>
  </si>
  <si>
    <t>-530.849227088741 77.7685608954399 -239.857903993418</t>
  </si>
  <si>
    <t>-567.881521563817 67.0474276159724 -354.668490549637</t>
  </si>
  <si>
    <t>-579.500293467648 56.6573675755592 -474.866672381932</t>
  </si>
  <si>
    <t>-579.401525165193 47.5889025948629 -584.01163154699</t>
  </si>
  <si>
    <t>-568.802783802282 38.9599167607251 -692.676624895104</t>
  </si>
  <si>
    <t>-543.193797435167 27.5189752626061 -842.387270175183</t>
  </si>
  <si>
    <t>-497.569266506451 25.9026762071712 -933.484830707126</t>
  </si>
  <si>
    <t>-553.458542731754 64.27817164883 -778.384747851221</t>
  </si>
  <si>
    <t>-564.329158474466 209.88089333806 -760.917000618947</t>
  </si>
  <si>
    <t>-536.706693099746 276.596956835271 -452.741518195182</t>
  </si>
  <si>
    <t>-334.976036642376 238.159105943984 -293.150413361743</t>
  </si>
  <si>
    <t>-555.591512767239 0.884339311322975 -773.905060348366</t>
  </si>
  <si>
    <t>-526.088237900847 175.27609890488 -250.045359821366</t>
  </si>
  <si>
    <t>-503.904078148524 184.43692956448 205.016803653396</t>
  </si>
  <si>
    <t>-498.326399738243 174.477364053631 674.705597979715</t>
  </si>
  <si>
    <t>-341.740546219206 175.623048912905 754.849740284435</t>
  </si>
  <si>
    <t>-448.376949368786 -40.9021843196177 217.775309590372</t>
  </si>
  <si>
    <t>-588.726601423199 -106.654193661233 661.454791801654</t>
  </si>
  <si>
    <t>-438.755957246736 -143.445083773691 745.708873288335</t>
  </si>
  <si>
    <t>9763-20170724T164417.189997800.bin</t>
  </si>
  <si>
    <t>-531.005670541198 77.8490292423913 -239.835830345164</t>
  </si>
  <si>
    <t>-568.010060739687 67.0939916353219 -354.652184599845</t>
  </si>
  <si>
    <t>-579.540056173394 56.727694914885 -474.861012943156</t>
  </si>
  <si>
    <t>-579.336691680436 47.7094149184652 -584.009996816408</t>
  </si>
  <si>
    <t>-568.610525074154 39.1623858717743 -692.668736623795</t>
  </si>
  <si>
    <t>-542.801826542032 27.8708874649283 -842.356530939881</t>
  </si>
  <si>
    <t>-497.04496461693 26.4099786304796 -933.390421979132</t>
  </si>
  <si>
    <t>-553.220958263086 64.5675850350884 -778.34317844055</t>
  </si>
  <si>
    <t>-564.505724421018 210.126133261935 -760.820294699164</t>
  </si>
  <si>
    <t>-537.639958583041 276.28111142717 -452.45707914742</t>
  </si>
  <si>
    <t>-335.86223865551 237.193176189971 -293.083526493766</t>
  </si>
  <si>
    <t>-555.221748117536 1.16646525973135 -773.905563535337</t>
  </si>
  <si>
    <t>-526.2747317348 175.454169397793 -250.042823814686</t>
  </si>
  <si>
    <t>-504.017678424693 184.531789110294 205.017418857965</t>
  </si>
  <si>
    <t>-498.357419047849 174.577968373147 674.708822963998</t>
  </si>
  <si>
    <t>-341.764100362934 175.253921104027 754.843629907487</t>
  </si>
  <si>
    <t>-448.410929861371 -41.0233234207909 217.78415820032</t>
  </si>
  <si>
    <t>-588.677805916305 -107.0444811032 661.484645333385</t>
  </si>
  <si>
    <t>-438.611045487104 -143.228996673163 745.830123657651</t>
  </si>
  <si>
    <t>9763-20170724T164417.221082800.bin</t>
  </si>
  <si>
    <t>-531.039870144033 77.8593480750739 -239.825540373091</t>
  </si>
  <si>
    <t>-568.066134062604 67.0971674837828 -354.634174875456</t>
  </si>
  <si>
    <t>-579.591730137676 56.7542796590528 -474.845438942272</t>
  </si>
  <si>
    <t>-579.373473524539 47.7721342736009 -583.997291482589</t>
  </si>
  <si>
    <t>-568.621766893636 39.2774143486222 -692.657834159316</t>
  </si>
  <si>
    <t>-542.766932205381 28.0767998753122 -842.344449836839</t>
  </si>
  <si>
    <t>-496.939598114847 26.6956557287863 -933.344019152826</t>
  </si>
  <si>
    <t>-553.235433631118 64.7351967825447 -778.317196567369</t>
  </si>
  <si>
    <t>-564.619882531515 210.303513282079 -760.770052969654</t>
  </si>
  <si>
    <t>-538.207139550863 276.10422325537 -452.291822969613</t>
  </si>
  <si>
    <t>-336.32281718176 236.50859267707 -293.179010761648</t>
  </si>
  <si>
    <t>-555.178328577915 1.33023793107776 -773.908268607209</t>
  </si>
  <si>
    <t>-526.314406761039 175.354565009972 -250.027643060316</t>
  </si>
  <si>
    <t>-503.993159151663 184.403759009911 205.030072989499</t>
  </si>
  <si>
    <t>-498.263888086731 174.246699873609 674.720575536049</t>
  </si>
  <si>
    <t>-341.661159570364 175.744296458723 754.825826223463</t>
  </si>
  <si>
    <t>-448.435766818955 -41.0233145358332 217.78074950771</t>
  </si>
  <si>
    <t>-588.638977366487 -107.119131455649 661.474969911215</t>
  </si>
  <si>
    <t>-438.704603607743 -143.554881327643 745.947626891071</t>
  </si>
  <si>
    <t>9763-20170724T164417.287775000.bin</t>
  </si>
  <si>
    <t>-531.295056844858 77.791083314585 -239.821676987644</t>
  </si>
  <si>
    <t>-568.334436921497 67.0281495518096 -354.625924995275</t>
  </si>
  <si>
    <t>-579.834676485371 56.6833045728729 -474.839493476892</t>
  </si>
  <si>
    <t>-579.577931799633 47.7049209763183 -583.991560907832</t>
  </si>
  <si>
    <t>-568.772450801814 39.2228373744645 -692.647693292156</t>
  </si>
  <si>
    <t>-542.828084765855 28.0521678071545 -842.32106307583</t>
  </si>
  <si>
    <t>-496.899305966448 26.7726685565363 -933.271066070195</t>
  </si>
  <si>
    <t>-553.397547269109 64.6988577960802 -778.303680474186</t>
  </si>
  <si>
    <t>-565.143237253482 210.226546233217 -760.787762882385</t>
  </si>
  <si>
    <t>-539.552481887606 275.830609174555 -452.198302792897</t>
  </si>
  <si>
    <t>-337.689796784142 234.855919571723 -293.407348911628</t>
  </si>
  <si>
    <t>-555.217803270555 1.2908328710221 -773.886744857213</t>
  </si>
  <si>
    <t>-526.602763422648 175.469541633496 -250.010966047676</t>
  </si>
  <si>
    <t>-504.10956094889 184.505390996187 205.038501440697</t>
  </si>
  <si>
    <t>-498.311500402818 174.412889577895 674.720831974955</t>
  </si>
  <si>
    <t>-341.703229291193 174.78103600294 754.828355041318</t>
  </si>
  <si>
    <t>-448.523038205711 -41.2349581217828 217.763551992033</t>
  </si>
  <si>
    <t>-588.609431205031 -107.461934196017 661.534087968665</t>
  </si>
  <si>
    <t>-438.497815391555 -143.082714456295 746.039471421135</t>
  </si>
  <si>
    <t>9763-20170724T164417.320860700.bin</t>
  </si>
  <si>
    <t>-531.468427275916 77.8802719764761 -239.81767410593</t>
  </si>
  <si>
    <t>-568.531364016662 67.1239491779514 -354.615151315609</t>
  </si>
  <si>
    <t>-580.034119147308 56.7925678968077 -474.829571481448</t>
  </si>
  <si>
    <t>-579.770867350563 47.8332298482951 -583.983064317771</t>
  </si>
  <si>
    <t>-568.950458825796 39.3793604989574 -692.639918354394</t>
  </si>
  <si>
    <t>-542.976677345141 28.2595931060863 -842.312015367371</t>
  </si>
  <si>
    <t>-497.006321777687 27.0308651700895 -933.241618357813</t>
  </si>
  <si>
    <t>-553.602374254982 64.8851902317243 -778.291908510546</t>
  </si>
  <si>
    <t>-565.520114682655 210.404461691348 -760.785412761196</t>
  </si>
  <si>
    <t>-540.279841446745 275.844621640887 -452.132298434164</t>
  </si>
  <si>
    <t>-338.420647385551 234.043593978785 -293.552338766114</t>
  </si>
  <si>
    <t>-555.336168292987 1.4742905569988 -773.881589344652</t>
  </si>
  <si>
    <t>-526.816060036456 175.615599240577 -249.994616045538</t>
  </si>
  <si>
    <t>-504.262106726974 184.636650533517 205.052234643483</t>
  </si>
  <si>
    <t>-498.411008738099 174.700344173766 674.728265037323</t>
  </si>
  <si>
    <t>-341.804845195342 174.577985448205 754.840789643652</t>
  </si>
  <si>
    <t>-448.653559735474 -41.2197809328782 217.754302301625</t>
  </si>
  <si>
    <t>-588.585417559363 -107.463814537945 661.534386769772</t>
  </si>
  <si>
    <t>-438.547386673289 -143.247967118293 746.101471625016</t>
  </si>
  <si>
    <t>9763-20170724T164417.394056600.bin</t>
  </si>
  <si>
    <t>-531.844791574339 77.9039663443594 -239.833936189853</t>
  </si>
  <si>
    <t>-568.890733004823 67.1583302089486 -354.637888476126</t>
  </si>
  <si>
    <t>-580.359819577562 56.8239708787607 -474.855245121461</t>
  </si>
  <si>
    <t>-580.059853229739 47.8658716673755 -584.008951467509</t>
  </si>
  <si>
    <t>-569.197046861528 39.4226980155774 -692.662416486759</t>
  </si>
  <si>
    <t>-543.15920320797 28.3326240621221 -842.325503119617</t>
  </si>
  <si>
    <t>-497.147961055536 27.180786768219 -933.235441800991</t>
  </si>
  <si>
    <t>-553.926408842126 64.9470917052588 -778.322539054111</t>
  </si>
  <si>
    <t>-566.310365986742 210.433151247509 -760.873716630286</t>
  </si>
  <si>
    <t>-541.614812805378 275.655404968569 -452.130515399238</t>
  </si>
  <si>
    <t>-339.655081827013 233.195193365781 -293.853814901909</t>
  </si>
  <si>
    <t>-555.433880696947 1.53223959274144 -773.885820933992</t>
  </si>
  <si>
    <t>-527.243414443365 175.573219747861 -249.991111124697</t>
  </si>
  <si>
    <t>-504.49507149291 184.557545156396 205.046728048793</t>
  </si>
  <si>
    <t>-498.369221847565 174.574665890956 674.719922855808</t>
  </si>
  <si>
    <t>-341.747545222643 174.907474874423 754.801370762583</t>
  </si>
  <si>
    <t>-448.87405418438 -41.2772605527707 217.672873889701</t>
  </si>
  <si>
    <t>-588.57274351907 -107.35318914562 661.56830237029</t>
  </si>
  <si>
    <t>-438.462695866566 -142.691539939552 746.194975745973</t>
  </si>
  <si>
    <t>9763-20170724T164417.420633300.bin</t>
  </si>
  <si>
    <t>-532.02891154338 77.8141823987635 -239.840033587277</t>
  </si>
  <si>
    <t>-569.112470386314 67.0570744400725 -354.630600893577</t>
  </si>
  <si>
    <t>-580.600559152723 56.719010814913 -474.845859132408</t>
  </si>
  <si>
    <t>-580.309821236621 47.7648678074744 -583.999828318482</t>
  </si>
  <si>
    <t>-569.448406166436 39.335222315425 -692.654430242667</t>
  </si>
  <si>
    <t>-543.40451454091 28.2761358334151 -842.318729041511</t>
  </si>
  <si>
    <t>-497.384830851557 27.180091069002 -933.225193101158</t>
  </si>
  <si>
    <t>-554.230340803902 64.8779432268697 -778.318539169997</t>
  </si>
  <si>
    <t>-566.805417793391 210.35996169666 -760.930139531038</t>
  </si>
  <si>
    <t>-542.802570935797 275.506109270097 -452.116157201085</t>
  </si>
  <si>
    <t>-340.674466634611 232.8226068859 -294.114918853159</t>
  </si>
  <si>
    <t>-555.625967441494 1.46098634350625 -773.875414599519</t>
  </si>
  <si>
    <t>-527.49464669944 175.573514854943 -249.977085861389</t>
  </si>
  <si>
    <t>-504.675624971213 184.578659851397 205.056797919091</t>
  </si>
  <si>
    <t>-498.4435749063 174.800025154551 674.723388112088</t>
  </si>
  <si>
    <t>-341.811062612756 174.962167892742 754.78426577381</t>
  </si>
  <si>
    <t>-448.954258717172 -41.3068709061615 217.645731818013</t>
  </si>
  <si>
    <t>-588.520877430084 -107.556669234181 661.557841875547</t>
  </si>
  <si>
    <t>-438.429569410187 -142.729165677984 746.286880437411</t>
  </si>
  <si>
    <t>9763-20170724T164417.489318200.bin</t>
  </si>
  <si>
    <t>-532.347959998828 77.6681983283819 -239.842732265446</t>
  </si>
  <si>
    <t>-569.424696613894 66.8921725159818 -354.633870308285</t>
  </si>
  <si>
    <t>-580.874777486254 56.5565569263466 -474.852960022261</t>
  </si>
  <si>
    <t>-580.537392059903 47.6220147867679 -584.008426782586</t>
  </si>
  <si>
    <t>-569.617815148829 39.2342482885182 -692.660340869798</t>
  </si>
  <si>
    <t>-543.482082458692 28.2610255965215 -842.315038846206</t>
  </si>
  <si>
    <t>-497.394677579923 27.2864069577706 -933.188468647747</t>
  </si>
  <si>
    <t>-554.455773341462 64.8269793087181 -778.319436711777</t>
  </si>
  <si>
    <t>-567.564302412097 210.26576150159 -761.010674724296</t>
  </si>
  <si>
    <t>-544.828320488835 275.916691076958 -452.207755603899</t>
  </si>
  <si>
    <t>-342.293810400228 232.467271116192 -294.937306558215</t>
  </si>
  <si>
    <t>-555.63693583866 1.40573752530944 -773.875515308387</t>
  </si>
  <si>
    <t>-527.8851043025 175.459584937152 -249.981187459089</t>
  </si>
  <si>
    <t>-504.928613478701 184.441044210151 205.046210679806</t>
  </si>
  <si>
    <t>-498.421221180577 174.700912821439 674.718734238523</t>
  </si>
  <si>
    <t>-341.761152519435 175.348583454772 754.723101168474</t>
  </si>
  <si>
    <t>-449.056949218212 -41.5004874686538 217.596499360191</t>
  </si>
  <si>
    <t>-588.411426486176 -107.811483100294 661.581062208184</t>
  </si>
  <si>
    <t>-438.417672190967 -142.599531115699 746.640825033458</t>
  </si>
  <si>
    <t>9763-20170724T164417.527423800.bin</t>
  </si>
  <si>
    <t>-532.514597554967 77.5636949297557 -239.840161982783</t>
  </si>
  <si>
    <t>-569.673278973591 66.7587577286915 -354.602133927517</t>
  </si>
  <si>
    <t>-581.170994541448 56.414429993626 -474.815925412033</t>
  </si>
  <si>
    <t>-580.861811193167 47.4851092653867 -583.971755999613</t>
  </si>
  <si>
    <t>-569.955364923995 39.1181667459986 -692.626774157889</t>
  </si>
  <si>
    <t>-543.822649546305 28.1924937120181 -842.285459841787</t>
  </si>
  <si>
    <t>-497.697029494087 27.2695143419266 -933.139981720696</t>
  </si>
  <si>
    <t>-554.851513083368 64.7383899696982 -778.287928915999</t>
  </si>
  <si>
    <t>-568.197571775343 210.156632980509 -761.009707981281</t>
  </si>
  <si>
    <t>-545.978812405524 276.085305492379 -452.228240691362</t>
  </si>
  <si>
    <t>-343.265331581373 232.415390889658 -295.249820267857</t>
  </si>
  <si>
    <t>-555.919575830198 1.31511021353185 -773.844366493175</t>
  </si>
  <si>
    <t>-528.090246508164 175.333425073447 -249.96776273127</t>
  </si>
  <si>
    <t>-505.012429005974 184.31991642947 205.05344039115</t>
  </si>
  <si>
    <t>-498.341404474344 174.43518404139 674.722332998531</t>
  </si>
  <si>
    <t>-341.672143931781 175.37764092676 754.705793976328</t>
  </si>
  <si>
    <t>-449.049431020856 -41.6406309872357 217.602101491375</t>
  </si>
  <si>
    <t>-588.382978559382 -107.996228977941 661.593970898144</t>
  </si>
  <si>
    <t>-438.320155079245 -142.419595881282 746.680339581663</t>
  </si>
  <si>
    <t>9763-20170724T164417.588587600.bin</t>
  </si>
  <si>
    <t>-532.962240765944 77.7956515027152 -239.842034363614</t>
  </si>
  <si>
    <t>-570.107803025497 66.9676866146537 -354.606101828501</t>
  </si>
  <si>
    <t>-581.605874327238 56.6116464178871 -474.818861868812</t>
  </si>
  <si>
    <t>-581.303043362201 47.6826537237763 -583.974845039891</t>
  </si>
  <si>
    <t>-570.409200762885 39.3302988462403 -692.632100353244</t>
  </si>
  <si>
    <t>-544.300454854153 28.4431488497356 -842.297731061719</t>
  </si>
  <si>
    <t>-498.108569969199 27.5913899967864 -933.119408338058</t>
  </si>
  <si>
    <t>-555.410034115347 64.9728517105163 -778.305048368429</t>
  </si>
  <si>
    <t>-569.232501276331 210.364852725086 -761.107895748986</t>
  </si>
  <si>
    <t>-547.688668798683 276.557886048903 -452.335200877008</t>
  </si>
  <si>
    <t>-344.641046669825 232.969166653716 -295.76654965025</t>
  </si>
  <si>
    <t>-556.295521796555 1.54786391455463 -773.845709084111</t>
  </si>
  <si>
    <t>-528.655287481904 175.625847725403 -249.957845466769</t>
  </si>
  <si>
    <t>-505.338682907193 184.579893062425 205.051896125338</t>
  </si>
  <si>
    <t>-498.495591018203 174.892927157967 674.721983200801</t>
  </si>
  <si>
    <t>-341.813171543708 175.056067626432 754.685105961222</t>
  </si>
  <si>
    <t>-449.304356775833 -41.1473157777374 217.554981099303</t>
  </si>
  <si>
    <t>-588.384138823681 -107.297972953892 661.634612068762</t>
  </si>
  <si>
    <t>-438.603642811854 -142.751870570443 746.795238926542</t>
  </si>
  <si>
    <t>9763-20170724T164417.622681800.bin</t>
  </si>
  <si>
    <t>-533.184082669752 77.8240236698667 -239.859778060131</t>
  </si>
  <si>
    <t>-570.379289275689 66.9957981311181 -354.607687088703</t>
  </si>
  <si>
    <t>-581.894932531404 56.6532312260069 -474.819917671845</t>
  </si>
  <si>
    <t>-581.594290898929 47.7466830902137 -583.977838437308</t>
  </si>
  <si>
    <t>-570.689206657487 39.4298446848682 -692.636720140413</t>
  </si>
  <si>
    <t>-544.551352910831 28.6078872162722 -842.301904913338</t>
  </si>
  <si>
    <t>-498.32883350977 27.8074686735566 -933.108556241259</t>
  </si>
  <si>
    <t>-555.73040201904 65.1097662988251 -778.305382444657</t>
  </si>
  <si>
    <t>-569.801463390814 210.470362921262 -761.160478162138</t>
  </si>
  <si>
    <t>-548.498016541951 276.530670490903 -452.34278803566</t>
  </si>
  <si>
    <t>-345.376816436494 232.903446706761 -295.880354900736</t>
  </si>
  <si>
    <t>-556.502674518472 1.68276738998061 -773.854104243087</t>
  </si>
  <si>
    <t>-528.896997941884 175.569795438643 -249.944243528333</t>
  </si>
  <si>
    <t>-505.409572319161 184.521553517661 205.056774823346</t>
  </si>
  <si>
    <t>-498.474321129964 174.813674963049 674.722815791949</t>
  </si>
  <si>
    <t>-341.777195459066 175.785725675582 754.651361202372</t>
  </si>
  <si>
    <t>-449.467744532683 -41.0874092847799 217.532470149014</t>
  </si>
  <si>
    <t>-588.374872581747 -107.442070453481 661.670886569938</t>
  </si>
  <si>
    <t>-438.676815935515 -143.212176175413 746.844312661761</t>
  </si>
  <si>
    <t>9763-20170724T164417.690487600.bin</t>
  </si>
  <si>
    <t>-533.877127953754 77.6260353090851 -239.878195387831</t>
  </si>
  <si>
    <t>-571.175944725427 66.7991073248068 -354.59252022207</t>
  </si>
  <si>
    <t>-582.738286079335 56.4211939044815 -474.797368925153</t>
  </si>
  <si>
    <t>-582.455104564081 47.4718634420381 -583.951680281329</t>
  </si>
  <si>
    <t>-571.542606628765 39.1037104998712 -692.605902901458</t>
  </si>
  <si>
    <t>-545.368901937096 28.203701446241 -842.259316498415</t>
  </si>
  <si>
    <t>-499.099712531142 27.4170079892127 -933.042275608218</t>
  </si>
  <si>
    <t>-556.611811982831 64.7388997884397 -778.293020887099</t>
  </si>
  <si>
    <t>-571.085290452373 210.068341891261 -761.246678718764</t>
  </si>
  <si>
    <t>-549.966754013063 275.926283380497 -452.373113219981</t>
  </si>
  <si>
    <t>-346.918799463101 231.80392727739 -295.954313844428</t>
  </si>
  <si>
    <t>-557.288040032061 1.3142693754269 -773.791763370411</t>
  </si>
  <si>
    <t>-529.610126866066 175.475379903562 -249.915920514355</t>
  </si>
  <si>
    <t>-505.809534976008 184.407900052525 205.069126519944</t>
  </si>
  <si>
    <t>-498.485911259711 174.763067804439 674.735719787781</t>
  </si>
  <si>
    <t>-341.769501685126 174.921023686298 754.632210225403</t>
  </si>
  <si>
    <t>-449.955572367953 -41.4290226450328 217.455040153122</t>
  </si>
  <si>
    <t>-588.338522348095 -107.789688764261 661.764163886344</t>
  </si>
  <si>
    <t>-438.362443891488 -142.292273864961 746.971310012964</t>
  </si>
  <si>
    <t>9763-20170724T164417.723577600.bin</t>
  </si>
  <si>
    <t>-534.169784708603 77.3716146690125 -239.86249135335</t>
  </si>
  <si>
    <t>-571.367641190901 66.5405762644382 -354.609200580563</t>
  </si>
  <si>
    <t>-582.915739737757 56.1593109932128 -474.815076042344</t>
  </si>
  <si>
    <t>-582.656490637504 47.2055682339582 -583.969054332521</t>
  </si>
  <si>
    <t>-571.804391001412 38.8303796096981 -692.628936505192</t>
  </si>
  <si>
    <t>-545.751817058448 27.9170978078397 -842.302351889457</t>
  </si>
  <si>
    <t>-499.4430190686 27.0936866620114 -933.064661321067</t>
  </si>
  <si>
    <t>-556.950564530641 64.4579527676793 -778.331506279324</t>
  </si>
  <si>
    <t>-571.457779684181 209.811187231002 -761.360318410185</t>
  </si>
  <si>
    <t>-550.290997492063 275.422990668532 -452.43758947941</t>
  </si>
  <si>
    <t>-347.483235541654 231.190583993754 -295.738667689915</t>
  </si>
  <si>
    <t>-557.608029887117 1.03380491882761 -773.821386027681</t>
  </si>
  <si>
    <t>-529.803961441088 175.017612593209 -249.915322068559</t>
  </si>
  <si>
    <t>-505.913755748605 183.92948368029 205.06544828089</t>
  </si>
  <si>
    <t>-498.256050808348 173.975130836136 674.743746463421</t>
  </si>
  <si>
    <t>-341.509134818167 176.206305550273 754.549457296904</t>
  </si>
  <si>
    <t>-450.270338356766 -41.5307768709458 217.418428626863</t>
  </si>
  <si>
    <t>-588.3806194859 -107.644374110304 661.881832585479</t>
  </si>
  <si>
    <t>-438.388649410564 -142.175388172664 747.049492556116</t>
  </si>
  <si>
    <t>9763-20170724T164417.786747500.bin</t>
  </si>
  <si>
    <t>-534.840009398665 77.2736819454256 -239.7892139075</t>
  </si>
  <si>
    <t>-572.072855375815 66.424668651336 -354.522837769976</t>
  </si>
  <si>
    <t>-583.729540424161 55.9803621582526 -474.712750214145</t>
  </si>
  <si>
    <t>-583.597750149289 46.9527695824738 -583.860960664763</t>
  </si>
  <si>
    <t>-572.901347663938 38.4878054776134 -692.529216507392</t>
  </si>
  <si>
    <t>-547.092744676818 27.4338914399012 -842.234659015892</t>
  </si>
  <si>
    <t>-500.560014064161 26.4441754888075 -932.880751443092</t>
  </si>
  <si>
    <t>-558.240798270277 64.0347323406689 -778.289163954442</t>
  </si>
  <si>
    <t>-573.059528316685 209.346159706468 -761.411390538404</t>
  </si>
  <si>
    <t>-550.950624298171 274.665979785014 -452.492705475007</t>
  </si>
  <si>
    <t>-348.661706207725 231.160272203797 -294.922120478758</t>
  </si>
  <si>
    <t>-558.783724478479 0.615110040643785 -773.700073275069</t>
  </si>
  <si>
    <t>-530.527044841229 175.03916780516 -249.846352373188</t>
  </si>
  <si>
    <t>-506.448320410955 183.935269520753 205.124855647608</t>
  </si>
  <si>
    <t>-498.387335330051 174.266632998087 674.78039962955</t>
  </si>
  <si>
    <t>-341.596544234813 175.95213960052 754.513116050687</t>
  </si>
  <si>
    <t>-450.684342322438 -41.6842438016784 217.448615171415</t>
  </si>
  <si>
    <t>-588.440124613977 -107.852819327936 662.078281973902</t>
  </si>
  <si>
    <t>-438.134505821906 -141.466893796839 747.059710951273</t>
  </si>
  <si>
    <t>9763-20170724T164417.818846900.bin</t>
  </si>
  <si>
    <t>-535.152516837238 77.255054147685 -239.78376516364</t>
  </si>
  <si>
    <t>-572.439454730041 66.3792683180062 -354.497312347558</t>
  </si>
  <si>
    <t>-584.186054317393 55.9444267167295 -474.67930458626</t>
  </si>
  <si>
    <t>-584.149450617795 46.9381207781441 -583.829351519838</t>
  </si>
  <si>
    <t>-573.561117086486 38.5053991628463 -692.510624007491</t>
  </si>
  <si>
    <t>-547.915303175752 27.5065594200909 -842.248254913762</t>
  </si>
  <si>
    <t>-501.150554955878 26.4429410402171 -932.773948628057</t>
  </si>
  <si>
    <t>-559.008262851324 64.0837881480596 -778.279672313333</t>
  </si>
  <si>
    <t>-573.899252172404 209.409509638848 -761.380907031797</t>
  </si>
  <si>
    <t>-551.498046636409 274.449299101681 -452.424180129894</t>
  </si>
  <si>
    <t>-349.209521549895 231.865869615964 -294.601432998736</t>
  </si>
  <si>
    <t>-559.517310015417 0.662648554855593 -773.70834504887</t>
  </si>
  <si>
    <t>-530.89570780157 174.984343599129 -249.822846227755</t>
  </si>
  <si>
    <t>-506.639798552372 183.88646082138 205.138785863828</t>
  </si>
  <si>
    <t>-498.404224298892 174.252103137876 674.793814592455</t>
  </si>
  <si>
    <t>-341.583394428254 176.399268326016 754.456415773466</t>
  </si>
  <si>
    <t>-450.952443754161 -41.6442757854813 217.458473766369</t>
  </si>
  <si>
    <t>-588.487396880996 -107.756088148218 662.167222787951</t>
  </si>
  <si>
    <t>-438.158269533326 -141.47246050679 747.066423542549</t>
  </si>
  <si>
    <t>9763-20170724T164417.886660500.bin</t>
  </si>
  <si>
    <t>-535.588576586861 77.5808938922183 -239.656256361838</t>
  </si>
  <si>
    <t>-572.83401861289 66.6307033216009 -354.376279275218</t>
  </si>
  <si>
    <t>-584.610591710339 56.2141418468928 -474.556815155294</t>
  </si>
  <si>
    <t>-584.631136116887 47.2595380502555 -583.711136783265</t>
  </si>
  <si>
    <t>-574.129554704201 38.911838292054 -692.407459239801</t>
  </si>
  <si>
    <t>-548.634307084829 28.0641030200484 -842.18163830175</t>
  </si>
  <si>
    <t>-501.378205824525 26.8265474131001 -932.449745831742</t>
  </si>
  <si>
    <t>-559.675694794602 64.5766713556311 -778.16733913504</t>
  </si>
  <si>
    <t>-574.637995531672 209.865623398353 -761.154610483707</t>
  </si>
  <si>
    <t>-552.061177511064 275.169016071579 -452.266414023944</t>
  </si>
  <si>
    <t>-349.375789752615 233.445393527062 -294.723375084873</t>
  </si>
  <si>
    <t>-560.154539533251 1.15105991023792 -773.655116282054</t>
  </si>
  <si>
    <t>-531.349607246002 175.241421011714 -249.766344117948</t>
  </si>
  <si>
    <t>-506.907114970491 184.224314917837 205.183680743659</t>
  </si>
  <si>
    <t>-498.550350953978 174.659267720534 674.819289397993</t>
  </si>
  <si>
    <t>-341.684799546588 176.213895984436 754.407584319894</t>
  </si>
  <si>
    <t>-451.112935959199 -41.2301979761368 217.557155197697</t>
  </si>
  <si>
    <t>-588.537559612338 -107.247407200564 662.279174003311</t>
  </si>
  <si>
    <t>-438.388887128908 -141.930315615683 747.108224478964</t>
  </si>
  <si>
    <t>9763-20170724T164417.928309100.bin</t>
  </si>
  <si>
    <t>-535.758505875123 77.4082790903324 -239.620080116381</t>
  </si>
  <si>
    <t>-573.12306373501 66.4708506133531 -354.302530378299</t>
  </si>
  <si>
    <t>-584.968079392732 56.0776758244926 -474.478313278469</t>
  </si>
  <si>
    <t>-585.028062857185 47.1492709661385 -583.634706548546</t>
  </si>
  <si>
    <t>-574.54322648729 38.8334595165456 -692.335254333991</t>
  </si>
  <si>
    <t>-549.047909124099 28.0363384145633 -842.113115059689</t>
  </si>
  <si>
    <t>-501.588540906108 26.6958216929655 -932.272916342159</t>
  </si>
  <si>
    <t>-560.081083055989 64.5273855565086 -778.08489323312</t>
  </si>
  <si>
    <t>-575.033452752851 209.826089629232 -760.989910839751</t>
  </si>
  <si>
    <t>-552.63722363552 275.572767210015 -452.182588942975</t>
  </si>
  <si>
    <t>-349.733328028053 234.117794617261 -294.8500886701</t>
  </si>
  <si>
    <t>-560.576547634184 1.10012523431919 -773.596974345453</t>
  </si>
  <si>
    <t>-531.496295587492 175.003331494287 -249.714719847453</t>
  </si>
  <si>
    <t>-506.845893091301 183.972209718512 205.224411381802</t>
  </si>
  <si>
    <t>-498.410814745747 174.159921071297 674.85429311549</t>
  </si>
  <si>
    <t>-341.542929090919 176.529936589332 754.417963914532</t>
  </si>
  <si>
    <t>-451.0820205816 -41.3880993551996 217.598722176748</t>
  </si>
  <si>
    <t>-588.536221665355 -107.583519214715 662.337716943294</t>
  </si>
  <si>
    <t>-438.224438909456 -141.697464190348 747.108683587655</t>
  </si>
  <si>
    <t>9763-20170724T164417.988930300.bin</t>
  </si>
  <si>
    <t>-536.183732574528 77.4306539511706 -239.600880614967</t>
  </si>
  <si>
    <t>-573.661604678655 66.5108471613779 -354.248034479284</t>
  </si>
  <si>
    <t>-585.555917277703 56.1082462718366 -474.418199275465</t>
  </si>
  <si>
    <t>-585.632452388845 47.1611369499622 -583.57306884813</t>
  </si>
  <si>
    <t>-575.136122001799 38.8171500906371 -692.27027591014</t>
  </si>
  <si>
    <t>-549.595936870975 27.9716401070813 -842.037038118552</t>
  </si>
  <si>
    <t>-501.878472319485 26.4512298444098 -932.057536923165</t>
  </si>
  <si>
    <t>-560.622432540421 64.4834117338176 -778.019574432452</t>
  </si>
  <si>
    <t>-575.551923945555 209.767362360639 -760.94067048748</t>
  </si>
  <si>
    <t>-553.592852834102 276.309746332594 -452.27238615437</t>
  </si>
  <si>
    <t>-350.632424011179 235.157997778285 -294.933135746886</t>
  </si>
  <si>
    <t>-561.170933832541 1.05750218030328 -773.52006079308</t>
  </si>
  <si>
    <t>-531.873536539692 175.156108554006 -249.68009841994</t>
  </si>
  <si>
    <t>-506.972583159684 184.210268546375 205.243736412063</t>
  </si>
  <si>
    <t>-498.583074213879 174.582797847764 674.884818199852</t>
  </si>
  <si>
    <t>-341.723067964206 175.585636673107 754.492932156666</t>
  </si>
  <si>
    <t>-451.331519845424 -41.5173330938868 217.555186024473</t>
  </si>
  <si>
    <t>-588.521750387717 -107.565227014218 662.390501528985</t>
  </si>
  <si>
    <t>-438.177208321892 -141.585998512734 747.140920640524</t>
  </si>
  <si>
    <t>9763-20170724T164418.022024100.bin</t>
  </si>
  <si>
    <t>-536.431716894495 77.0958857882351 -239.595589118358</t>
  </si>
  <si>
    <t>-573.942741633538 66.2496067350316 -354.238797728242</t>
  </si>
  <si>
    <t>-585.866351411413 55.8791146577577 -474.408967017643</t>
  </si>
  <si>
    <t>-585.967370920682 46.9438385739545 -583.564858275268</t>
  </si>
  <si>
    <t>-575.493039009849 38.5946104785784 -692.263612329042</t>
  </si>
  <si>
    <t>-549.980550737837 27.7239719818574 -842.033314001001</t>
  </si>
  <si>
    <t>-502.189013485137 26.13310438646 -932.013261657573</t>
  </si>
  <si>
    <t>-560.96787265199 64.2465631376392 -778.015284010712</t>
  </si>
  <si>
    <t>-575.70840657471 209.551488684365 -760.897554636799</t>
  </si>
  <si>
    <t>-554.097633730497 276.542578869824 -452.301606865226</t>
  </si>
  <si>
    <t>-351.221994897746 235.473230469864 -294.831526682936</t>
  </si>
  <si>
    <t>-561.5701242816 0.821187810004275 -773.514271786441</t>
  </si>
  <si>
    <t>-532.032242447012 174.752715582221 -249.65273137627</t>
  </si>
  <si>
    <t>-506.977924352504 183.797686390403 205.262731040051</t>
  </si>
  <si>
    <t>-498.446520646844 174.034112215917 674.914357193636</t>
  </si>
  <si>
    <t>-341.585726204645 175.772057236664 754.508163479897</t>
  </si>
  <si>
    <t>-451.542273132723 -41.8321424364595 217.522462624065</t>
  </si>
  <si>
    <t>-588.540307090704 -107.740228377508 662.470693345749</t>
  </si>
  <si>
    <t>-438.183889381094 -141.786902683388 747.189524554596</t>
  </si>
  <si>
    <t>9763-20170724T164418.089790800.bin</t>
  </si>
  <si>
    <t>-537.043595193082 76.9443556425795 -239.626223997445</t>
  </si>
  <si>
    <t>-574.673371348977 66.2165039719635 -354.241905263002</t>
  </si>
  <si>
    <t>-586.665172401646 55.8729708720958 -474.407417560552</t>
  </si>
  <si>
    <t>-586.804828122746 46.9206114211936 -583.561908273978</t>
  </si>
  <si>
    <t>-576.345525496782 38.5110116152401 -692.257441549061</t>
  </si>
  <si>
    <t>-550.82914023254 27.5096894736043 -842.016880427141</t>
  </si>
  <si>
    <t>-502.945047425606 25.7306682306674 -931.94427505296</t>
  </si>
  <si>
    <t>-561.72006195239 64.0882620331381 -778.014459651271</t>
  </si>
  <si>
    <t>-575.958936580727 209.441071060253 -760.869610503219</t>
  </si>
  <si>
    <t>-555.698582548434 277.180689317639 -452.345548429101</t>
  </si>
  <si>
    <t>-352.99823422307 236.009730554969 -294.676382202141</t>
  </si>
  <si>
    <t>-562.518637209157 0.666637321491038 -773.491528489995</t>
  </si>
  <si>
    <t>-532.50078663704 174.810004451776 -249.646799234468</t>
  </si>
  <si>
    <t>-507.240983716975 183.94967987297 205.255383468314</t>
  </si>
  <si>
    <t>-498.735431057929 174.88719934281 674.895280200292</t>
  </si>
  <si>
    <t>-341.885430534355 175.488486234198 754.527223204009</t>
  </si>
  <si>
    <t>-452.174492136916 -42.214303698231 217.412030996925</t>
  </si>
  <si>
    <t>-588.576763493374 -107.745340253163 662.589294291686</t>
  </si>
  <si>
    <t>-438.176460289713 -141.757663840428 747.243979425456</t>
  </si>
  <si>
    <t>9763-20170724T164418.120875700.bin</t>
  </si>
  <si>
    <t>-537.363290670975 77.0288942096194 -239.6198658941</t>
  </si>
  <si>
    <t>-575.014201290094 66.3868473939675 -354.236353539718</t>
  </si>
  <si>
    <t>-587.010478660512 56.0788654855325 -474.404654386344</t>
  </si>
  <si>
    <t>-587.146885242777 47.1355512994733 -583.559845991079</t>
  </si>
  <si>
    <t>-576.676787367557 38.7105088891922 -692.253058048868</t>
  </si>
  <si>
    <t>-551.137580041267 27.6611818291698 -842.005158154339</t>
  </si>
  <si>
    <t>-503.213475674385 25.7826775229509 -931.909163130102</t>
  </si>
  <si>
    <t>-561.985176374943 64.2602198966759 -778.0069501439</t>
  </si>
  <si>
    <t>-575.924199334307 209.634712056145 -760.83486518667</t>
  </si>
  <si>
    <t>-556.270602544153 277.791929658748 -452.363574596941</t>
  </si>
  <si>
    <t>-353.672438148523 236.408953719708 -294.618584546966</t>
  </si>
  <si>
    <t>-562.890667597851 0.840179339567285 -773.482032282716</t>
  </si>
  <si>
    <t>-532.693504534489 174.787422449763 -249.636092844557</t>
  </si>
  <si>
    <t>-507.291383909199 183.916936344892 205.258432642334</t>
  </si>
  <si>
    <t>-498.704478570081 174.710958553066 674.901929778901</t>
  </si>
  <si>
    <t>-341.858508385322 175.436034466986 754.540668779123</t>
  </si>
  <si>
    <t>-452.519883720531 -41.9837401724326 217.345712390435</t>
  </si>
  <si>
    <t>-588.645269349454 -106.949239065604 662.654847933289</t>
  </si>
  <si>
    <t>-438.633517236818 -142.582065392135 747.332449305941</t>
  </si>
  <si>
    <t>9763-20170724T164418.189065900.bin</t>
  </si>
  <si>
    <t>-537.741781391012 76.7487765441809 -239.595525859546</t>
  </si>
  <si>
    <t>-575.487574927066 66.2323269595366 -354.192581724417</t>
  </si>
  <si>
    <t>-587.557451116439 55.9662159743213 -474.357011565486</t>
  </si>
  <si>
    <t>-587.749963919445 47.0249244653896 -583.512124775208</t>
  </si>
  <si>
    <t>-577.324877074863 38.5659565756358 -692.207212180797</t>
  </si>
  <si>
    <t>-551.835949883609 27.4316273741669 -841.961589341888</t>
  </si>
  <si>
    <t>-503.854020618778 25.3186826939095 -931.829513649062</t>
  </si>
  <si>
    <t>-562.55742089686 64.0665695032329 -777.962678083298</t>
  </si>
  <si>
    <t>-575.850409024457 209.502461248529 -760.673058120373</t>
  </si>
  <si>
    <t>-557.610146472629 278.284266588983 -452.253645229964</t>
  </si>
  <si>
    <t>-355.398942077227 236.658079035421 -294.076712913902</t>
  </si>
  <si>
    <t>-563.670614552151 0.649887256725485 -773.437060169546</t>
  </si>
  <si>
    <t>-532.78495810095 174.480975872147 -249.602934860039</t>
  </si>
  <si>
    <t>-507.185883968166 183.67378783794 205.279314631114</t>
  </si>
  <si>
    <t>-498.637767797284 174.382946779059 674.91278365679</t>
  </si>
  <si>
    <t>-341.796040204583 175.281858564207 754.558089401782</t>
  </si>
  <si>
    <t>-452.803008294726 -42.672124646217 217.324087800026</t>
  </si>
  <si>
    <t>-588.665141755376 -107.4548125727 662.750517134094</t>
  </si>
  <si>
    <t>-438.206737737189 -141.379853633157 747.337010758769</t>
  </si>
  <si>
    <t>9763-20170724T164418.221663900.bin</t>
  </si>
  <si>
    <t>-537.830813368894 76.5964634468824 -239.603602664253</t>
  </si>
  <si>
    <t>-575.668031449894 66.1343489542666 -354.175331585881</t>
  </si>
  <si>
    <t>-587.799845414481 55.8816864059992 -474.334748763457</t>
  </si>
  <si>
    <t>-588.03455658505 46.9351424381306 -583.48948104511</t>
  </si>
  <si>
    <t>-577.637644779924 38.4535036283631 -692.185474120998</t>
  </si>
  <si>
    <t>-552.172997751911 27.269284504471 -841.940228573122</t>
  </si>
  <si>
    <t>-504.183949736614 25.0466938972908 -931.801692949873</t>
  </si>
  <si>
    <t>-562.833245562091 63.9252416778638 -777.943114360465</t>
  </si>
  <si>
    <t>-575.729205432543 209.371435861528 -760.551058228472</t>
  </si>
  <si>
    <t>-558.524174685148 278.533400267512 -452.157168011697</t>
  </si>
  <si>
    <t>-356.555569174622 236.821265062777 -293.693042373727</t>
  </si>
  <si>
    <t>-564.047372518765 0.510625660113959 -773.413653484731</t>
  </si>
  <si>
    <t>-532.785850492626 174.345995888907 -249.594843453298</t>
  </si>
  <si>
    <t>-507.119990594379 183.524449151028 205.283834550253</t>
  </si>
  <si>
    <t>-498.654187316114 174.354552160314 674.912278943952</t>
  </si>
  <si>
    <t>-341.815226040463 175.975513601785 754.55169609947</t>
  </si>
  <si>
    <t>-453.002851812153 -42.995607777387 217.284780420689</t>
  </si>
  <si>
    <t>-588.664778014409 -107.72595596185 662.794724884034</t>
  </si>
  <si>
    <t>-438.191316164533 -141.634789445854 747.36098442862</t>
  </si>
  <si>
    <t>9763-20170724T164418.287330400.bin</t>
  </si>
  <si>
    <t>-538.133357527234 76.5540578611895 -239.555585822267</t>
  </si>
  <si>
    <t>-575.933499209745 66.2137332573542 -354.150643705805</t>
  </si>
  <si>
    <t>-588.076734674376 56.0255637445732 -474.314412915267</t>
  </si>
  <si>
    <t>-588.342231002893 47.1136969044056 -583.471848380204</t>
  </si>
  <si>
    <t>-577.995755813479 38.6433870679167 -692.173564329343</t>
  </si>
  <si>
    <t>-552.621421525519 27.4511772691101 -841.942928590857</t>
  </si>
  <si>
    <t>-504.635466663597 25.0613226488888 -931.801912137835</t>
  </si>
  <si>
    <t>-563.179825002007 64.1100328344017 -777.930750110455</t>
  </si>
  <si>
    <t>-575.338776963948 209.608792241393 -760.28617960282</t>
  </si>
  <si>
    <t>-560.522887948488 279.263650267874 -451.87911988606</t>
  </si>
  <si>
    <t>-359.130352148899 237.664183972161 -292.654265270288</t>
  </si>
  <si>
    <t>-564.517706590484 0.696709157543651 -773.418500374035</t>
  </si>
  <si>
    <t>-532.886104927121 174.585179805747 -249.566511851055</t>
  </si>
  <si>
    <t>-507.150763159636 183.69908729719 205.309603452208</t>
  </si>
  <si>
    <t>-498.760134049413 174.611468601324 674.914657425233</t>
  </si>
  <si>
    <t>-341.94233615833 174.982775862705 754.611238575551</t>
  </si>
  <si>
    <t>-453.259953419937 -43.3749709532538 217.294167146072</t>
  </si>
  <si>
    <t>-588.771300118477 -108.053962161396 662.948558709459</t>
  </si>
  <si>
    <t>-438.011413657149 -141.076043919022 747.355311174021</t>
  </si>
  <si>
    <t>9763-20170724T164418.320940400.bin</t>
  </si>
  <si>
    <t>-538.234791850468 76.619144763159 -239.518808740181</t>
  </si>
  <si>
    <t>-576.097865235021 66.3127955271402 -354.09624695362</t>
  </si>
  <si>
    <t>-588.270725570104 56.1297462945974 -474.257273276637</t>
  </si>
  <si>
    <t>-588.548315548494 47.2115312286894 -583.414253366438</t>
  </si>
  <si>
    <t>-578.199232269137 38.7246912482409 -692.114312918675</t>
  </si>
  <si>
    <t>-552.805853096405 27.4994024123309 -841.878159152401</t>
  </si>
  <si>
    <t>-504.856817343014 25.0507638826956 -931.755188406334</t>
  </si>
  <si>
    <t>-563.355845944256 64.1722727365027 -777.87248138702</t>
  </si>
  <si>
    <t>-575.428689730703 209.644473242762 -760.12800572106</t>
  </si>
  <si>
    <t>-561.801730450334 279.632850497544 -451.741670046217</t>
  </si>
  <si>
    <t>-360.637153960049 238.097873616864 -292.212057905958</t>
  </si>
  <si>
    <t>-564.727397681923 0.76022563166768 -773.352121970017</t>
  </si>
  <si>
    <t>-532.85913164843 174.539277046703 -249.532245233307</t>
  </si>
  <si>
    <t>-507.182385434729 183.628508784185 205.34768065443</t>
  </si>
  <si>
    <t>-498.723595930235 174.423579365192 674.92273254874</t>
  </si>
  <si>
    <t>-341.909732882546 174.982159582558 754.626112476547</t>
  </si>
  <si>
    <t>-453.308023804751 -43.3954205308291 217.300561313741</t>
  </si>
  <si>
    <t>-588.811170278676 -108.020415849892 662.939793709866</t>
  </si>
  <si>
    <t>-438.093068528652 -141.340544709671 747.304019590579</t>
  </si>
  <si>
    <t>9763-20170724T164418.387629100.bin</t>
  </si>
  <si>
    <t>-538.471939633293 76.8863003350046 -239.498167076711</t>
  </si>
  <si>
    <t>-576.330635216882 66.6290255828188 -354.081415890078</t>
  </si>
  <si>
    <t>-588.52853366095 56.4943609152111 -474.24409248623</t>
  </si>
  <si>
    <t>-588.840926357635 47.6201509399378 -583.404596178906</t>
  </si>
  <si>
    <t>-578.538416968051 39.1779691443383 -692.112671209941</t>
  </si>
  <si>
    <t>-553.221754842664 28.0158972968768 -841.893951562202</t>
  </si>
  <si>
    <t>-505.333058655383 25.5543882405436 -931.802768928702</t>
  </si>
  <si>
    <t>-563.732521672199 64.6616926771868 -777.866502158766</t>
  </si>
  <si>
    <t>-575.811330147417 210.136627806328 -760.058961533122</t>
  </si>
  <si>
    <t>-564.348803132886 280.799545072738 -451.738331384718</t>
  </si>
  <si>
    <t>-363.634220486259 239.52703583863 -291.575179217543</t>
  </si>
  <si>
    <t>-565.114792165763 1.24790101604155 -773.374316004591</t>
  </si>
  <si>
    <t>-533.017878885552 174.665565520085 -249.513164554019</t>
  </si>
  <si>
    <t>-507.18181895747 183.630806238868 205.360189433744</t>
  </si>
  <si>
    <t>-498.681043105239 174.226324906788 674.929764680436</t>
  </si>
  <si>
    <t>-341.869900828461 175.521517298064 754.62983699915</t>
  </si>
  <si>
    <t>-453.504417761177 -43.247584427101 217.256041966755</t>
  </si>
  <si>
    <t>-588.962092353049 -107.824658497078 662.986259093409</t>
  </si>
  <si>
    <t>-438.19927916659 -141.425111243049 747.159348302717</t>
  </si>
  <si>
    <t>9763-20170724T164418.417704200.bin</t>
  </si>
  <si>
    <t>-538.583422246863 77.1437558489911 -239.442948238511</t>
  </si>
  <si>
    <t>-576.366809151062 66.8778703942222 -354.050305473249</t>
  </si>
  <si>
    <t>-588.506639953984 56.7408362857682 -474.218618688189</t>
  </si>
  <si>
    <t>-588.774863241377 47.8687539656526 -583.379251536346</t>
  </si>
  <si>
    <t>-578.437072240322 39.4339864002767 -692.08458623264</t>
  </si>
  <si>
    <t>-553.080504750424 28.2884993019452 -841.860457159176</t>
  </si>
  <si>
    <t>-505.20584179287 25.8446674360084 -931.777401846712</t>
  </si>
  <si>
    <t>-563.628919179673 64.9273257798495 -777.835187563786</t>
  </si>
  <si>
    <t>-575.86975520356 210.379677659066 -760.046358943491</t>
  </si>
  <si>
    <t>-565.306767942262 281.509570304445 -451.800997849814</t>
  </si>
  <si>
    <t>-364.839392095192 240.398218452147 -291.28700264832</t>
  </si>
  <si>
    <t>-564.970966070736 1.51266051934267 -773.343408146214</t>
  </si>
  <si>
    <t>-533.073121935498 174.846266325941 -249.484367153558</t>
  </si>
  <si>
    <t>-507.306662576167 183.796526931013 205.393189631528</t>
  </si>
  <si>
    <t>-498.692859889833 174.215460761629 674.938728215768</t>
  </si>
  <si>
    <t>-341.886270537939 175.133005513734 754.65301835629</t>
  </si>
  <si>
    <t>-453.48523778527 -43.1719262736938 217.287307878875</t>
  </si>
  <si>
    <t>-589.059341458327 -107.494954469543 662.988244379707</t>
  </si>
  <si>
    <t>-438.295124320833 -141.340382364088 747.060612218024</t>
  </si>
  <si>
    <t>9763-20170724T164418.485898500.bin</t>
  </si>
  <si>
    <t>-538.824003441203 77.9118119454224 -239.416454059592</t>
  </si>
  <si>
    <t>-576.666552759492 67.6069886781765 -354.000694654405</t>
  </si>
  <si>
    <t>-588.756998565717 57.4606262356881 -474.173315944969</t>
  </si>
  <si>
    <t>-588.935638512211 48.5979321465018 -583.334864621332</t>
  </si>
  <si>
    <t>-578.46432510832 40.1933987254061 -692.029719452806</t>
  </si>
  <si>
    <t>-552.87839641404 29.1145934072859 -841.771614003896</t>
  </si>
  <si>
    <t>-505.054825149062 26.8038102664255 -931.719100549787</t>
  </si>
  <si>
    <t>-563.584004611396 65.725435310954 -777.756418597601</t>
  </si>
  <si>
    <t>-576.164088733034 211.151868291899 -759.920281440185</t>
  </si>
  <si>
    <t>-567.775388596659 283.431099402541 -451.875641911439</t>
  </si>
  <si>
    <t>-367.719079490209 242.914679101305 -290.698851642449</t>
  </si>
  <si>
    <t>-564.814808903969 2.30780273077949 -773.274562891255</t>
  </si>
  <si>
    <t>-533.44979851952 175.546301012555 -249.450418371896</t>
  </si>
  <si>
    <t>-507.647588954144 184.40813642941 205.426826054712</t>
  </si>
  <si>
    <t>-498.878728360254 174.746509361217 674.954862367347</t>
  </si>
  <si>
    <t>-342.074126160962 174.371510265852 754.677467825508</t>
  </si>
  <si>
    <t>-453.475320665444 -43.2954557450548 217.295414038612</t>
  </si>
  <si>
    <t>-589.1972701162 -107.81858875446 662.929549688313</t>
  </si>
  <si>
    <t>-438.270619986316 -141.468959683303 746.78841104014</t>
  </si>
  <si>
    <t>9763-20170724T164418.518486700.bin</t>
  </si>
  <si>
    <t>-538.942902762761 77.9947822572869 -239.469062070168</t>
  </si>
  <si>
    <t>-576.750474530541 67.6649159801755 -354.062466193293</t>
  </si>
  <si>
    <t>-588.794317955577 57.5155813080589 -474.239575675689</t>
  </si>
  <si>
    <t>-588.926563507617 48.6595132627291 -583.401807613098</t>
  </si>
  <si>
    <t>-578.40521084633 40.2710711626273 -692.093061250417</t>
  </si>
  <si>
    <t>-552.746268164259 29.2242518829734 -841.82484801348</t>
  </si>
  <si>
    <t>-504.973317918602 27.0100396794739 -931.801513636308</t>
  </si>
  <si>
    <t>-563.517000120235 65.8216685228093 -777.812669614658</t>
  </si>
  <si>
    <t>-576.306065857419 211.23757081007 -760.009048464317</t>
  </si>
  <si>
    <t>-569.167467203996 283.901005985394 -452.023208603378</t>
  </si>
  <si>
    <t>-369.416907563057 243.835833689542 -290.35521584717</t>
  </si>
  <si>
    <t>-564.682075290329 2.40256812243062 -773.333563538662</t>
  </si>
  <si>
    <t>-533.627309641789 175.544713100816 -249.461771015794</t>
  </si>
  <si>
    <t>-507.748754306284 184.356499542369 205.412072607744</t>
  </si>
  <si>
    <t>-498.808792175403 174.43637733688 674.970023758279</t>
  </si>
  <si>
    <t>-341.990660842012 174.583644047793 754.666696155791</t>
  </si>
  <si>
    <t>-453.491401532997 -43.2016733030412 217.218300732615</t>
  </si>
  <si>
    <t>-589.213880373416 -107.670443570703 662.831181691853</t>
  </si>
  <si>
    <t>-438.300260443878 -141.447275465646 746.662677527288</t>
  </si>
  <si>
    <t>9763-20170724T164418.586815400.bin</t>
  </si>
  <si>
    <t>-539.163161632835 77.7335356013091 -239.553221723939</t>
  </si>
  <si>
    <t>-576.843030413259 67.3744231035975 -354.18617322075</t>
  </si>
  <si>
    <t>-588.770040791801 57.2157973506891 -474.373980468475</t>
  </si>
  <si>
    <t>-588.803357906519 48.3640443331398 -583.536720021044</t>
  </si>
  <si>
    <t>-578.190627952004 39.9945468330009 -692.220510601475</t>
  </si>
  <si>
    <t>-552.413688849148 28.9916775037643 -841.935134215086</t>
  </si>
  <si>
    <t>-504.753030922287 26.9790243524361 -931.976208588592</t>
  </si>
  <si>
    <t>-563.353152003122 65.5708144546511 -777.94129427659</t>
  </si>
  <si>
    <t>-576.905459807349 210.923651124887 -760.182039594357</t>
  </si>
  <si>
    <t>-571.942183967564 284.154198592651 -452.287859104177</t>
  </si>
  <si>
    <t>-372.728657255693 245.041588019841 -289.726568063624</t>
  </si>
  <si>
    <t>-564.285348168673 2.14940287659897 -773.440945671097</t>
  </si>
  <si>
    <t>-534.03692771471 175.336085404292 -249.470955273991</t>
  </si>
  <si>
    <t>-508.170284459273 184.158865268217 205.403524938091</t>
  </si>
  <si>
    <t>-498.903184776867 174.545754267729 674.97524900365</t>
  </si>
  <si>
    <t>-342.057368237422 175.002120623802 754.616202371011</t>
  </si>
  <si>
    <t>-453.635000469603 -42.8290671679973 217.057463870693</t>
  </si>
  <si>
    <t>-589.214579803652 -107.18258198289 662.669685524947</t>
  </si>
  <si>
    <t>-438.552433853284 -142.029251720227 746.515727150729</t>
  </si>
  <si>
    <t>9763-20170724T164418.619906400.bin</t>
  </si>
  <si>
    <t>-539.232241772055 77.4653697575122 -239.657462216583</t>
  </si>
  <si>
    <t>-576.947640765867 67.0960833683812 -354.277866437661</t>
  </si>
  <si>
    <t>-588.879097154302 56.9496885614658 -474.466305639791</t>
  </si>
  <si>
    <t>-588.903272051958 48.1206627123802 -583.630774732515</t>
  </si>
  <si>
    <t>-578.26858487276 39.7869340652063 -692.315228300134</t>
  </si>
  <si>
    <t>-552.448225543122 28.8484422509078 -842.027198206773</t>
  </si>
  <si>
    <t>-504.824054175126 26.9531893260018 -932.090145720386</t>
  </si>
  <si>
    <t>-563.479549485585 65.4001398558842 -778.033388366776</t>
  </si>
  <si>
    <t>-577.41622539284 210.690924649729 -760.247336514785</t>
  </si>
  <si>
    <t>-573.196931804515 284.119702161306 -452.389301637051</t>
  </si>
  <si>
    <t>-374.141163900875 245.404086321857 -289.539687935484</t>
  </si>
  <si>
    <t>-564.266340319298 1.97662155913619 -773.535136806488</t>
  </si>
  <si>
    <t>-534.255746160242 175.024938769541 -249.506540801533</t>
  </si>
  <si>
    <t>-508.224772769561 183.802788622341 205.359323261368</t>
  </si>
  <si>
    <t>-498.783293857426 174.054113707923 674.964513121247</t>
  </si>
  <si>
    <t>-341.915841513276 175.714006764329 754.547016163655</t>
  </si>
  <si>
    <t>-453.842719268371 -43.0109293641153 216.962864129469</t>
  </si>
  <si>
    <t>-589.205426823384 -107.544739423732 662.659551223499</t>
  </si>
  <si>
    <t>-438.348111363202 -141.656468624379 746.456819207176</t>
  </si>
  <si>
    <t>9763-20170724T164418.687866600.bin</t>
  </si>
  <si>
    <t>-539.535493131801 77.5147015869717 -239.648681067068</t>
  </si>
  <si>
    <t>-577.177661321014 67.051815754659 -354.284631829929</t>
  </si>
  <si>
    <t>-589.072062752414 56.8765933698567 -474.474395166277</t>
  </si>
  <si>
    <t>-589.079182986742 48.0544962651026 -583.639384974823</t>
  </si>
  <si>
    <t>-578.444406121059 39.7637740548027 -692.32709081917</t>
  </si>
  <si>
    <t>-552.641622629988 28.9254013423531 -842.049321210561</t>
  </si>
  <si>
    <t>-505.000097477422 27.2118972581451 -932.106682237741</t>
  </si>
  <si>
    <t>-563.811711256598 65.4340213252882 -778.055109120948</t>
  </si>
  <si>
    <t>-578.439487021313 210.673300719185 -760.288247289672</t>
  </si>
  <si>
    <t>-575.273190376233 283.906242211156 -452.370921031653</t>
  </si>
  <si>
    <t>-376.310443969182 246.124804891879 -289.188614005764</t>
  </si>
  <si>
    <t>-564.305474060696 2.00807312033881 -773.548832374162</t>
  </si>
  <si>
    <t>-534.791721552895 175.092966899545 -249.501202600923</t>
  </si>
  <si>
    <t>-508.670185139525 183.992940594828 205.357171660355</t>
  </si>
  <si>
    <t>-498.96991801049 174.516864653155 674.948061523258</t>
  </si>
  <si>
    <t>-342.053678186977 175.700605432224 754.442712083453</t>
  </si>
  <si>
    <t>-453.957883224536 -42.5152413984128 216.97561929436</t>
  </si>
  <si>
    <t>-589.222506348753 -106.93869290594 662.611463093009</t>
  </si>
  <si>
    <t>-438.633425494192 -142.219294352469 746.407147367269</t>
  </si>
  <si>
    <t>9763-20170724T164418.722968200.bin</t>
  </si>
  <si>
    <t>-539.673224512204 77.3928135075356 -239.703388497164</t>
  </si>
  <si>
    <t>-577.363492519329 66.8886406818809 -354.319850717233</t>
  </si>
  <si>
    <t>-589.287031236807 56.7012294305527 -474.505488200814</t>
  </si>
  <si>
    <t>-589.31202816599 47.8814749768543 -583.670765810728</t>
  </si>
  <si>
    <t>-578.686768058759 39.6068131109457 -692.360730445246</t>
  </si>
  <si>
    <t>-552.888646851972 28.8058036962572 -842.086520212048</t>
  </si>
  <si>
    <t>-505.191096721647 27.1960916701822 -932.116116857956</t>
  </si>
  <si>
    <t>-564.114840302581 65.2981386900855 -778.092760294979</t>
  </si>
  <si>
    <t>-579.087358504469 210.48718720133 -760.292099627169</t>
  </si>
  <si>
    <t>-576.301456750415 283.888394415801 -452.411162738651</t>
  </si>
  <si>
    <t>-377.311192685895 246.363392065739 -289.20321065947</t>
  </si>
  <si>
    <t>-564.492200201755 1.87171051472826 -773.582230918243</t>
  </si>
  <si>
    <t>-535.090680268594 175.001374593981 -249.511856873569</t>
  </si>
  <si>
    <t>-508.848391054607 183.848913066713 205.340523516062</t>
  </si>
  <si>
    <t>-498.929012687256 174.276797499809 674.957868729693</t>
  </si>
  <si>
    <t>-341.986135313035 175.611653580145 754.397671539166</t>
  </si>
  <si>
    <t>-454.036664151614 -42.6641456153676 216.921527501959</t>
  </si>
  <si>
    <t>-589.189171974167 -107.330724585156 662.615798505624</t>
  </si>
  <si>
    <t>-438.343290819153 -141.634453495647 746.355142054182</t>
  </si>
  <si>
    <t>9763-20170724T164418.787142100.bin</t>
  </si>
  <si>
    <t>-540.054864326416 77.5292265994345 -239.665220443563</t>
  </si>
  <si>
    <t>-577.686752948971 66.9540036924175 -354.294145120105</t>
  </si>
  <si>
    <t>-589.657322402273 56.7355578964416 -474.472616546316</t>
  </si>
  <si>
    <t>-589.769119798633 47.9083761449071 -583.637245620391</t>
  </si>
  <si>
    <t>-579.274304008129 39.6491063990171 -692.340988593155</t>
  </si>
  <si>
    <t>-553.701777333826 28.8952355509127 -842.10879656669</t>
  </si>
  <si>
    <t>-505.765277371751 27.4693502960376 -932.014509612105</t>
  </si>
  <si>
    <t>-564.943072680125 65.366534163146 -778.105687088667</t>
  </si>
  <si>
    <t>-580.33223729111 210.543635288505 -760.40954709293</t>
  </si>
  <si>
    <t>-578.159427071779 283.830212950552 -452.496324949942</t>
  </si>
  <si>
    <t>-379.403287217137 246.81839334564 -288.886589741221</t>
  </si>
  <si>
    <t>-565.090626926764 1.94048528464929 -773.57668363897</t>
  </si>
  <si>
    <t>-535.603803148523 175.190404347175 -249.485346156528</t>
  </si>
  <si>
    <t>-509.18455347058 184.150164033244 205.354690156074</t>
  </si>
  <si>
    <t>-499.070633382106 174.592999449472 674.957075928125</t>
  </si>
  <si>
    <t>-342.094538463877 174.770579733874 754.342098767594</t>
  </si>
  <si>
    <t>-454.19306868285 -42.5611354005217 216.940911323203</t>
  </si>
  <si>
    <t>-589.217911647866 -107.298240810722 662.656550976257</t>
  </si>
  <si>
    <t>-438.290432743112 -141.480291261442 746.298604987462</t>
  </si>
  <si>
    <t>9763-20170724T164418.820734500.bin</t>
  </si>
  <si>
    <t>-540.165789834288 77.4256005615161 -239.667061919434</t>
  </si>
  <si>
    <t>-577.848039556382 66.825993196617 -354.277320391213</t>
  </si>
  <si>
    <t>-589.867878074408 56.5842006096633 -474.448857403481</t>
  </si>
  <si>
    <t>-590.023066373704 47.7390830194936 -583.611898981954</t>
  </si>
  <si>
    <t>-579.570223928147 39.4664480451395 -692.318614092505</t>
  </si>
  <si>
    <t>-554.054368460934 28.7001039992009 -842.095255820797</t>
  </si>
  <si>
    <t>-505.994337874232 27.3296785663268 -931.935896337976</t>
  </si>
  <si>
    <t>-565.323355806858 65.1761950657934 -778.099726210024</t>
  </si>
  <si>
    <t>-580.989284503942 210.320162355993 -760.44576660067</t>
  </si>
  <si>
    <t>-579.235585175284 283.741867783411 -452.562006958364</t>
  </si>
  <si>
    <t>-380.612274723542 246.852033250812 -288.763548931485</t>
  </si>
  <si>
    <t>-565.365362073175 1.75162373924399 -773.547689264848</t>
  </si>
  <si>
    <t>-535.801398925898 175.107323759812 -249.471648424723</t>
  </si>
  <si>
    <t>-509.307190690362 184.043793016074 205.364443412906</t>
  </si>
  <si>
    <t>-499.117479760777 174.672234098872 674.972463570391</t>
  </si>
  <si>
    <t>-342.109197558148 175.382152251556 754.290917993079</t>
  </si>
  <si>
    <t>-454.29465905266 -42.6007727257837 216.954103639345</t>
  </si>
  <si>
    <t>-589.250825013096 -107.5695359396 662.740687187738</t>
  </si>
  <si>
    <t>-438.236934654447 -141.540752189093 746.312804628448</t>
  </si>
  <si>
    <t>9763-20170724T164418.889100900.bin</t>
  </si>
  <si>
    <t>-540.352752870544 77.0568484157906 -239.577790584786</t>
  </si>
  <si>
    <t>-578.073569332116 66.4170192482466 -354.171607612311</t>
  </si>
  <si>
    <t>-590.16470669866 56.1279941395694 -474.332047165355</t>
  </si>
  <si>
    <t>-590.397421851304 47.242966533752 -583.491649834219</t>
  </si>
  <si>
    <t>-580.034545499869 38.936145445535 -692.204405603043</t>
  </si>
  <si>
    <t>-554.656005822899 28.1311349396755 -842.001574192881</t>
  </si>
  <si>
    <t>-506.440535833008 26.817834076999 -931.759726257648</t>
  </si>
  <si>
    <t>-565.949918432499 64.6226124025264 -778.019233537296</t>
  </si>
  <si>
    <t>-581.974791111104 209.75204659697 -760.489830554489</t>
  </si>
  <si>
    <t>-581.353738420783 283.326364206104 -452.638151755854</t>
  </si>
  <si>
    <t>-382.885296096804 246.824115256348 -288.565293210657</t>
  </si>
  <si>
    <t>-565.820456254213 1.20137880757198 -773.422686606139</t>
  </si>
  <si>
    <t>-536.075278033468 174.737752357669 -249.397219567056</t>
  </si>
  <si>
    <t>-509.375489833854 183.798739830969 205.424372692177</t>
  </si>
  <si>
    <t>-499.082038871109 174.412835230144 675.012257125643</t>
  </si>
  <si>
    <t>-342.044037300753 175.448431007964 754.268174768685</t>
  </si>
  <si>
    <t>-454.344267133782 -42.962584537005 217.075060370242</t>
  </si>
  <si>
    <t>-589.314298938369 -107.952471248054 662.854687048786</t>
  </si>
  <si>
    <t>-438.021157656854 -141.108460625629 746.248660812202</t>
  </si>
  <si>
    <t>9763-20170724T164418.920179200.bin</t>
  </si>
  <si>
    <t>-540.351878269753 76.8633855163662 -239.548967510449</t>
  </si>
  <si>
    <t>-578.096097171367 66.1952494842959 -354.132417631684</t>
  </si>
  <si>
    <t>-590.223346379534 55.8782025760715 -474.286757114132</t>
  </si>
  <si>
    <t>-590.493492764301 46.9693208649807 -583.444469511643</t>
  </si>
  <si>
    <t>-580.172613537166 38.6407661913398 -692.159625753813</t>
  </si>
  <si>
    <t>-554.856910439038 27.8084360644578 -841.965416774572</t>
  </si>
  <si>
    <t>-506.594841959052 26.5088063273295 -931.698773174601</t>
  </si>
  <si>
    <t>-566.153911596784 64.3111853385247 -777.98996333098</t>
  </si>
  <si>
    <t>-582.33453532889 209.429583768349 -760.538298344541</t>
  </si>
  <si>
    <t>-582.358438657028 282.992175094165 -452.68322372397</t>
  </si>
  <si>
    <t>-383.951075473649 246.686075882555 -288.492915290811</t>
  </si>
  <si>
    <t>-565.962722147102 0.89166026443791 -773.371911867601</t>
  </si>
  <si>
    <t>-536.100585897771 174.525836449249 -249.376866717133</t>
  </si>
  <si>
    <t>-509.417736608637 183.629251772476 205.444831487414</t>
  </si>
  <si>
    <t>-499.078797979202 174.334339141401 675.026980801099</t>
  </si>
  <si>
    <t>-342.02626881193 175.894913723395 754.245591143469</t>
  </si>
  <si>
    <t>-454.398570901164 -42.9873293801387 217.109695599473</t>
  </si>
  <si>
    <t>-589.347395186596 -107.859882472601 662.899576787478</t>
  </si>
  <si>
    <t>-438.002739955863 -140.969515527874 746.218657981289</t>
  </si>
  <si>
    <t>9763-20170724T164418.990248400.bin</t>
  </si>
  <si>
    <t>-540.298119533909 76.7858868071043 -239.491590005335</t>
  </si>
  <si>
    <t>-578.060606381131 66.0920513179952 -354.066626821036</t>
  </si>
  <si>
    <t>-590.26689162145 55.7136476294583 -474.207543147351</t>
  </si>
  <si>
    <t>-590.632916661928 46.7369853938289 -583.359517547917</t>
  </si>
  <si>
    <t>-580.43145801994 38.3295947689653 -692.079817046002</t>
  </si>
  <si>
    <t>-555.304988496328 27.3773724056499 -841.908691312122</t>
  </si>
  <si>
    <t>-507.0187515152 26.0385104987345 -931.628372367025</t>
  </si>
  <si>
    <t>-566.558366680388 63.9306883162624 -777.954568142657</t>
  </si>
  <si>
    <t>-582.99671004372 209.033003828146 -760.656128296602</t>
  </si>
  <si>
    <t>-584.143151158071 283.030185184217 -452.907326724492</t>
  </si>
  <si>
    <t>-386.151096259546 247.151423255776 -288.122925819851</t>
  </si>
  <si>
    <t>-566.286963852961 0.516073778586488 -773.273583765858</t>
  </si>
  <si>
    <t>-536.162367925706 174.370693343634 -249.337931601578</t>
  </si>
  <si>
    <t>-509.427935066001 183.608706265434 205.478067415061</t>
  </si>
  <si>
    <t>-499.130854105972 174.322750256319 675.072182085252</t>
  </si>
  <si>
    <t>-342.063096105815 175.65535991991 754.264747497796</t>
  </si>
  <si>
    <t>-454.296774492119 -42.9983759203588 217.18136639207</t>
  </si>
  <si>
    <t>-589.35502825394 -107.794140713532 662.904072754739</t>
  </si>
  <si>
    <t>-438.092782761728 -141.440911000372 746.157498694381</t>
  </si>
  <si>
    <t>9763-20170724T164419.019305500.bin</t>
  </si>
  <si>
    <t>-540.224930426102 76.6469029098438 -239.484095637454</t>
  </si>
  <si>
    <t>-577.978483579451 65.918288540228 -354.058778861102</t>
  </si>
  <si>
    <t>-590.224600192446 55.4987958824662 -474.192290880636</t>
  </si>
  <si>
    <t>-590.646709864457 46.4829588836098 -583.340616115828</t>
  </si>
  <si>
    <t>-580.52090204174 38.0344210843047 -692.064842925346</t>
  </si>
  <si>
    <t>-555.519227324011 27.023360208804 -841.910401507013</t>
  </si>
  <si>
    <t>-507.237951987404 25.6634090175275 -931.632326701619</t>
  </si>
  <si>
    <t>-566.729082819978 63.6016424942474 -777.962807134147</t>
  </si>
  <si>
    <t>-583.211954820875 208.712440052687 -760.757586629622</t>
  </si>
  <si>
    <t>-585.036634636142 282.984091055708 -453.078168205284</t>
  </si>
  <si>
    <t>-387.346305850597 247.265925136115 -287.89714248598</t>
  </si>
  <si>
    <t>-566.434331616067 0.189196674252514 -773.253856797164</t>
  </si>
  <si>
    <t>-536.085968305922 174.211953417846 -249.347477943852</t>
  </si>
  <si>
    <t>-509.363747843726 183.560300032806 205.466987402324</t>
  </si>
  <si>
    <t>-499.168607264488 174.403848630914 675.068069866207</t>
  </si>
  <si>
    <t>-342.093804121022 176.120485935289 754.23924084197</t>
  </si>
  <si>
    <t>-454.205319426753 -43.0226067645523 217.182000054495</t>
  </si>
  <si>
    <t>-589.350711682804 -107.752591126553 662.893178931185</t>
  </si>
  <si>
    <t>-438.04561863829 -141.269042466557 746.121415136115</t>
  </si>
  <si>
    <t>9763-20170724T164419.088484700.bin</t>
  </si>
  <si>
    <t>-539.902696550914 76.4570143507151 -239.422420421205</t>
  </si>
  <si>
    <t>-577.695715523593 65.6876187319763 -353.98043385546</t>
  </si>
  <si>
    <t>-590.056389904149 55.2207331472135 -474.097911853627</t>
  </si>
  <si>
    <t>-590.612093303151 46.1610412283143 -583.242208933775</t>
  </si>
  <si>
    <t>-580.648875362407 37.6688340164388 -691.977893375834</t>
  </si>
  <si>
    <t>-555.901891531193 26.5981912501437 -841.861359459078</t>
  </si>
  <si>
    <t>-507.620260345322 25.2108082080493 -931.582749597103</t>
  </si>
  <si>
    <t>-567.014298520431 63.2017154797553 -777.911066426357</t>
  </si>
  <si>
    <t>-583.554055253871 208.324866110281 -760.861895670222</t>
  </si>
  <si>
    <t>-586.735671548905 283.443452315668 -453.399245128658</t>
  </si>
  <si>
    <t>-389.570114580435 248.069091923738 -287.51844080948</t>
  </si>
  <si>
    <t>-535.846146586321 174.184413382902 -249.342356574419</t>
  </si>
  <si>
    <t>-509.222407870329 183.699060012679 205.474361475054</t>
  </si>
  <si>
    <t>-499.361835682811 174.895310083643 675.082777798308</t>
  </si>
  <si>
    <t>-342.30047350852 175.339124108008 754.297970518978</t>
  </si>
  <si>
    <t>-453.822615281309 -43.2062491814847 217.285883749372</t>
  </si>
  <si>
    <t>-589.284523590585 -107.843047301298 662.861880012837</t>
  </si>
  <si>
    <t>-437.832999356886 -140.705723748689 746.08435410634</t>
  </si>
  <si>
    <t>9763-20170724T164419.123585900.bin</t>
  </si>
  <si>
    <t>-539.575811986726 76.1806625326681 -239.498694379647</t>
  </si>
  <si>
    <t>-577.458622557333 65.3868659819826 -354.024750744635</t>
  </si>
  <si>
    <t>-589.910577358088 54.895578288689 -474.130746056373</t>
  </si>
  <si>
    <t>-590.548251303765 45.8157299215512 -583.272786449526</t>
  </si>
  <si>
    <t>-580.665704558614 37.3063981288757 -692.014519759356</t>
  </si>
  <si>
    <t>-556.028753523528 26.2160178772085 -841.914674347773</t>
  </si>
  <si>
    <t>-507.745107966267 24.8141755791142 -931.634804441318</t>
  </si>
  <si>
    <t>-567.103204148664 62.8278056687591 -777.96273262613</t>
  </si>
  <si>
    <t>-583.724860572383 207.949231941696 -760.966983510732</t>
  </si>
  <si>
    <t>-587.511764009421 283.563049322206 -453.632604044409</t>
  </si>
  <si>
    <t>-390.630204720853 248.347205559809 -287.381279485938</t>
  </si>
  <si>
    <t>-535.51442899207 173.76311742275 -249.374085954083</t>
  </si>
  <si>
    <t>-508.964356763422 183.345907213262 205.445558649276</t>
  </si>
  <si>
    <t>-499.214120572467 174.335180444943 675.085456116075</t>
  </si>
  <si>
    <t>-342.155778628021 175.937745577202 754.291689232885</t>
  </si>
  <si>
    <t>-453.648552105932 -43.3387113086953 217.268006960817</t>
  </si>
  <si>
    <t>-589.198653278337 -107.84812081031 662.79043680772</t>
  </si>
  <si>
    <t>-437.795151335375 -140.727190346854 746.093902866581</t>
  </si>
  <si>
    <t>9763-20170724T164419.186348200.bin</t>
  </si>
  <si>
    <t>-538.965033584556 75.8737187316211 -239.535452282769</t>
  </si>
  <si>
    <t>-576.789188664499 65.0776799765586 -354.080547750491</t>
  </si>
  <si>
    <t>-589.306604874062 54.5637608691974 -474.177716318832</t>
  </si>
  <si>
    <t>-590.054894798458 45.4585727306179 -583.316983452037</t>
  </si>
  <si>
    <t>-580.333806354333 36.921072307266 -692.071203248727</t>
  </si>
  <si>
    <t>-555.972560600409 25.7906464750405 -842.013284308683</t>
  </si>
  <si>
    <t>-507.687701943377 24.3721305464089 -931.732561026201</t>
  </si>
  <si>
    <t>-566.958256409568 62.4190132319499 -778.055562861323</t>
  </si>
  <si>
    <t>-583.731987364958 207.533730434149 -761.176517260603</t>
  </si>
  <si>
    <t>-588.487006841696 283.798357658244 -454.016388087466</t>
  </si>
  <si>
    <t>-392.248068070419 248.998191518998 -286.919847422744</t>
  </si>
  <si>
    <t>-534.96705907612 173.506740687744 -249.42360804156</t>
  </si>
  <si>
    <t>-508.54198473813 183.247925462482 205.399958599353</t>
  </si>
  <si>
    <t>-499.297691970598 174.437534067536 675.066893732555</t>
  </si>
  <si>
    <t>-342.268071212341 175.354957162119 754.340834088648</t>
  </si>
  <si>
    <t>-453.322263481915 -43.3590756161792 217.290885855728</t>
  </si>
  <si>
    <t>-589.082730440883 -107.768643947828 662.747325807578</t>
  </si>
  <si>
    <t>-437.81463881387 -141.048542161804 746.137551979136</t>
  </si>
  <si>
    <t>9763-20170724T164419.226481000.bin</t>
  </si>
  <si>
    <t>-538.653102628187 75.6242860425311 -239.587669010946</t>
  </si>
  <si>
    <t>-576.457736281117 64.829815209874 -354.139349577783</t>
  </si>
  <si>
    <t>-588.982831844639 54.3174836669279 -474.235922022938</t>
  </si>
  <si>
    <t>-589.749589017122 45.2152202334414 -583.375348350182</t>
  </si>
  <si>
    <t>-580.058308060147 36.6831365990929 -692.132568632251</t>
  </si>
  <si>
    <t>-555.750094092977 25.5635599872136 -842.084179969008</t>
  </si>
  <si>
    <t>-507.444938694295 24.1468207682882 -931.792479887128</t>
  </si>
  <si>
    <t>-566.727740527631 62.1869632896575 -778.122097914989</t>
  </si>
  <si>
    <t>-583.589973488763 207.287684242337 -761.269063814819</t>
  </si>
  <si>
    <t>-588.93151417701 283.807813264548 -454.182281390405</t>
  </si>
  <si>
    <t>-392.949410342789 249.279197686014 -286.728092614489</t>
  </si>
  <si>
    <t>-534.65917392402 173.23545327293 -249.465619746844</t>
  </si>
  <si>
    <t>-508.306253872247 183.090066824784 205.35977617668</t>
  </si>
  <si>
    <t>-499.291760216428 174.363060173193 675.045427568023</t>
  </si>
  <si>
    <t>-342.26957331976 175.615347626323 754.329533806382</t>
  </si>
  <si>
    <t>-453.221394167794 -43.3286975313811 217.282832019903</t>
  </si>
  <si>
    <t>-589.045894474919 -107.641819907711 662.741972800082</t>
  </si>
  <si>
    <t>-437.874979006051 -141.265252796465 746.170639388336</t>
  </si>
  <si>
    <t>9763-20170724T164419.287657600.bin</t>
  </si>
  <si>
    <t>-538.013785058136 75.5545609005659 -239.653879779097</t>
  </si>
  <si>
    <t>-575.783197686603 64.7738313446216 -354.21861153964</t>
  </si>
  <si>
    <t>-588.31420060268 54.2571568491677 -474.31413845925</t>
  </si>
  <si>
    <t>-589.103746640734 45.1469340991706 -583.452696363736</t>
  </si>
  <si>
    <t>-579.452513022887 36.6048313513214 -692.212671225579</t>
  </si>
  <si>
    <t>-555.217551534898 25.4711665168492 -842.175063304371</t>
  </si>
  <si>
    <t>-506.894022081144 24.0751346780524 -931.873881009517</t>
  </si>
  <si>
    <t>-566.18933150533 62.1000867084443 -778.215153635969</t>
  </si>
  <si>
    <t>-583.16199354722 207.196942245303 -761.422800339778</t>
  </si>
  <si>
    <t>-589.836380992416 284.175759955613 -454.476705599115</t>
  </si>
  <si>
    <t>-394.313765567916 250.130508559716 -286.387684184105</t>
  </si>
  <si>
    <t>-534.112652848643 173.231066886879 -249.522485625641</t>
  </si>
  <si>
    <t>-507.903120378907 183.2283564648 205.308041923015</t>
  </si>
  <si>
    <t>-499.502409638824 174.939946736634 675.01335251678</t>
  </si>
  <si>
    <t>-342.504011681972 175.459581892941 754.352696370537</t>
  </si>
  <si>
    <t>-453.047864493814 -43.2988085528777 217.338473379328</t>
  </si>
  <si>
    <t>-588.95800272499 -107.458273011866 662.756108015574</t>
  </si>
  <si>
    <t>-437.962884606153 -141.633633933273 746.278833869049</t>
  </si>
  <si>
    <t>9763-20170724T164419.321741500.bin</t>
  </si>
  <si>
    <t>-537.675297912739 75.4347836517027 -239.714527052802</t>
  </si>
  <si>
    <t>-575.50571262608 64.6598553743295 -354.259613693852</t>
  </si>
  <si>
    <t>-588.09818636782 54.1324101676755 -474.347720306125</t>
  </si>
  <si>
    <t>-588.942444618327 45.0066522279149 -583.484598087848</t>
  </si>
  <si>
    <t>-579.344695644615 36.4437234862224 -692.247693807366</t>
  </si>
  <si>
    <t>-555.182245986607 25.2760693098683 -842.219307047656</t>
  </si>
  <si>
    <t>-506.850237188361 23.8799118679245 -931.913408548348</t>
  </si>
  <si>
    <t>-566.127774183565 61.9194269866973 -778.263110755326</t>
  </si>
  <si>
    <t>-583.158504500016 207.024818659321 -761.506690773721</t>
  </si>
  <si>
    <t>-590.593737235364 284.301026066985 -454.652699368444</t>
  </si>
  <si>
    <t>-395.42814517139 250.453128847255 -286.109692749576</t>
  </si>
  <si>
    <t>-533.784862821618 173.015758804748 -249.555807493605</t>
  </si>
  <si>
    <t>-507.628877958315 183.084902673605 205.276242102704</t>
  </si>
  <si>
    <t>-499.44805450967 174.707049891801 675.000147922205</t>
  </si>
  <si>
    <t>-342.458371721607 175.851287077681 754.350341980206</t>
  </si>
  <si>
    <t>-452.921123857742 -43.3331406408583 217.332500336793</t>
  </si>
  <si>
    <t>-588.871361941003 -107.543754231349 662.721636265187</t>
  </si>
  <si>
    <t>-438.029633854738 -142.256422872086 746.299817704715</t>
  </si>
  <si>
    <t>9763-20170724T164419.385487300.bin</t>
  </si>
  <si>
    <t>-537.026743624614 75.0038477441431 -239.674192243085</t>
  </si>
  <si>
    <t>-574.74887451064 64.189964574413 -354.251251820983</t>
  </si>
  <si>
    <t>-587.330791440821 53.6124496993222 -474.336183561332</t>
  </si>
  <si>
    <t>-588.206927452011 44.4375634491358 -583.46867104495</t>
  </si>
  <si>
    <t>-578.682377839823 35.8221438422632 -692.234158818647</t>
  </si>
  <si>
    <t>-554.663583630621 24.5784195656544 -842.222965030863</t>
  </si>
  <si>
    <t>-506.290407614778 23.1972467673101 -931.8952898607</t>
  </si>
  <si>
    <t>-565.572025524375 61.2537072237881 -778.278985143358</t>
  </si>
  <si>
    <t>-582.663783677757 206.352015141564 -761.561312637198</t>
  </si>
  <si>
    <t>-591.808788545953 284.499402797535 -454.974420066296</t>
  </si>
  <si>
    <t>-397.371041738617 250.842652104098 -285.554034933322</t>
  </si>
  <si>
    <t>-533.154358414405 172.526708267227 -249.57005423716</t>
  </si>
  <si>
    <t>-507.244021095411 182.764312486592 205.272270009427</t>
  </si>
  <si>
    <t>-499.354528158965 174.230877847581 674.998874887189</t>
  </si>
  <si>
    <t>-342.384666194336 175.490850711009 754.386457957431</t>
  </si>
  <si>
    <t>-452.462895417177 -43.5952499384577 217.421915194897</t>
  </si>
  <si>
    <t>-588.77448100896 -107.606938274772 662.725864343532</t>
  </si>
  <si>
    <t>-437.669724729076 -141.245958517547 746.267938440322</t>
  </si>
  <si>
    <t>9763-20170724T164419.418573700.bin</t>
  </si>
  <si>
    <t>-536.650193469984 74.9657361690627 -239.681043480123</t>
  </si>
  <si>
    <t>-574.467004954978 64.1214341002114 -354.223995525701</t>
  </si>
  <si>
    <t>-587.116716420693 53.5179123761604 -474.299447870975</t>
  </si>
  <si>
    <t>-588.042034364381 44.3238146904402 -583.429992184773</t>
  </si>
  <si>
    <t>-578.553954048263 35.6946193627001 -692.19753476991</t>
  </si>
  <si>
    <t>-554.572756083914 24.4388017291067 -842.191452014371</t>
  </si>
  <si>
    <t>-506.167406971504 23.0726655346723 -931.846574411296</t>
  </si>
  <si>
    <t>-565.480910697506 61.1189107693588 -778.250043488899</t>
  </si>
  <si>
    <t>-582.659902531588 206.208075451171 -761.551580948417</t>
  </si>
  <si>
    <t>-592.781857422175 284.663964421065 -455.074192331136</t>
  </si>
  <si>
    <t>-398.534468417613 251.064441287084 -285.424350249068</t>
  </si>
  <si>
    <t>-532.883531546553 172.465000204135 -249.582409690917</t>
  </si>
  <si>
    <t>-507.065089069562 182.799016524363 205.262971217992</t>
  </si>
  <si>
    <t>-499.376942298107 174.275365461721 674.983062681096</t>
  </si>
  <si>
    <t>-342.417016369306 175.320116907811 754.393371423703</t>
  </si>
  <si>
    <t>-452.127538927987 -43.4226207865897 217.484606325357</t>
  </si>
  <si>
    <t>-588.700388776589 -107.334679201218 662.654148542543</t>
  </si>
  <si>
    <t>-437.707938028367 -141.310909769836 746.262802990896</t>
  </si>
  <si>
    <t>9763-20170724T164419.487729700.bin</t>
  </si>
  <si>
    <t>-536.002342466477 74.8675057662275 -239.77049860554</t>
  </si>
  <si>
    <t>-573.689993882355 63.9987046956795 -354.353714644153</t>
  </si>
  <si>
    <t>-586.270144333268 53.3914724905801 -474.436149926699</t>
  </si>
  <si>
    <t>-587.159199728076 44.206598724149 -583.567697795411</t>
  </si>
  <si>
    <t>-577.662048875353 35.6014319847643 -692.336266099587</t>
  </si>
  <si>
    <t>-553.696678763598 24.3965229475491 -842.336737766424</t>
  </si>
  <si>
    <t>-505.180362563866 23.0756377842175 -931.93245283514</t>
  </si>
  <si>
    <t>-564.6573753101 61.0535762744928 -778.391097737387</t>
  </si>
  <si>
    <t>-582.2158197649 206.088777321763 -761.69577507857</t>
  </si>
  <si>
    <t>-593.945495445126 285.194119099686 -455.442707678317</t>
  </si>
  <si>
    <t>-400.02303358504 251.802990823654 -285.380591223576</t>
  </si>
  <si>
    <t>-532.323390251438 172.457559622718 -249.674865108076</t>
  </si>
  <si>
    <t>-506.671094564375 182.850652358221 205.1785446306</t>
  </si>
  <si>
    <t>-499.443474744176 174.397407946814 674.949969065665</t>
  </si>
  <si>
    <t>-342.502432044 174.870036730621 754.403078623025</t>
  </si>
  <si>
    <t>-451.892045731687 -43.2653749482738 217.453234268506</t>
  </si>
  <si>
    <t>-588.49388864331 -107.448661388227 662.562065763834</t>
  </si>
  <si>
    <t>-437.519363186944 -141.220532237757 746.285732505181</t>
  </si>
  <si>
    <t>9763-20170724T164419.521316800.bin</t>
  </si>
  <si>
    <t>-535.670953877202 74.9433451642838 -239.782952101913</t>
  </si>
  <si>
    <t>-573.371168393906 64.0856317926826 -354.363067482024</t>
  </si>
  <si>
    <t>-585.951849447319 53.4843448457299 -474.445995904347</t>
  </si>
  <si>
    <t>-586.836374357688 44.3074088208459 -583.578384581832</t>
  </si>
  <si>
    <t>-577.329889114796 35.7156404767845 -692.347117412487</t>
  </si>
  <si>
    <t>-553.346971181266 24.5375667438056 -842.346780272983</t>
  </si>
  <si>
    <t>-504.740048516477 23.2305694587517 -931.893584672711</t>
  </si>
  <si>
    <t>-564.357438663157 61.1821612766418 -778.402395868751</t>
  </si>
  <si>
    <t>-582.104021520444 206.209229967874 -761.755159999476</t>
  </si>
  <si>
    <t>-594.594666072777 285.354118678284 -455.542323533358</t>
  </si>
  <si>
    <t>-400.86112956729 252.192096779852 -285.220174493641</t>
  </si>
  <si>
    <t>-532.005884227296 172.39491133986 -249.673556049539</t>
  </si>
  <si>
    <t>-506.409966113608 182.831829564091 205.181975596007</t>
  </si>
  <si>
    <t>-499.443072469043 174.336499437887 674.943881961036</t>
  </si>
  <si>
    <t>-342.506048239112 175.517614112041 754.397539134639</t>
  </si>
  <si>
    <t>-451.692903541196 -43.1755288870575 217.488434166945</t>
  </si>
  <si>
    <t>-588.418259751358 -107.326410562218 662.534255173882</t>
  </si>
  <si>
    <t>-437.515967395509 -141.278235894241 746.315395277367</t>
  </si>
  <si>
    <t>9763-20170724T164419.586672900.bin</t>
  </si>
  <si>
    <t>-535.236752382587 75.0433151898972 -239.867642123395</t>
  </si>
  <si>
    <t>-572.838096767057 64.1744325410329 -354.479285633144</t>
  </si>
  <si>
    <t>-585.336357701741 53.5301880103636 -474.566977677116</t>
  </si>
  <si>
    <t>-586.154427370987 44.3078322863804 -583.695936786337</t>
  </si>
  <si>
    <t>-576.590510080581 35.6677999166731 -692.455968073336</t>
  </si>
  <si>
    <t>-552.53732469156 24.4229390407707 -842.439228287974</t>
  </si>
  <si>
    <t>-503.630891905211 22.9484981277046 -931.820257392369</t>
  </si>
  <si>
    <t>-563.654469463985 61.0940333536037 -778.528661942909</t>
  </si>
  <si>
    <t>-581.865644173521 206.063841799288 -761.974612545103</t>
  </si>
  <si>
    <t>-595.567679335498 285.129284099341 -455.793137763981</t>
  </si>
  <si>
    <t>-401.996734308396 252.320777598928 -285.217967937806</t>
  </si>
  <si>
    <t>-531.618808500165 172.55774899747 -249.726855740806</t>
  </si>
  <si>
    <t>-506.120806458563 182.950574116773 205.135311915222</t>
  </si>
  <si>
    <t>-499.458575431316 174.347812506277 674.908630960366</t>
  </si>
  <si>
    <t>-342.54071821612 174.778681621584 754.407864609943</t>
  </si>
  <si>
    <t>-451.838018910024 -43.0826415819325 217.474803907679</t>
  </si>
  <si>
    <t>-588.340869371435 -107.38388340995 662.646177753927</t>
  </si>
  <si>
    <t>-437.46665209781 -141.316749156418 746.485654440363</t>
  </si>
  <si>
    <t>9763-20170724T164419.619262500.bin</t>
  </si>
  <si>
    <t>-535.054325776072 75.3280479779268 -239.853782208788</t>
  </si>
  <si>
    <t>-572.631134617079 64.4648442693105 -354.47393582797</t>
  </si>
  <si>
    <t>-585.122030558765 53.828605903758 -474.563058120475</t>
  </si>
  <si>
    <t>-585.941057863214 44.616065701208 -583.692956473034</t>
  </si>
  <si>
    <t>-576.385735578035 35.9891795605599 -692.454596712767</t>
  </si>
  <si>
    <t>-552.3524212314 24.7667967737883 -842.442842932355</t>
  </si>
  <si>
    <t>-503.221270394844 23.1523273132879 -931.698182902348</t>
  </si>
  <si>
    <t>-563.486930372206 61.4275814519355 -778.529463253753</t>
  </si>
  <si>
    <t>-581.801197218271 206.38661769058 -761.927319008316</t>
  </si>
  <si>
    <t>-595.962151940526 285.489775443969 -455.776424911221</t>
  </si>
  <si>
    <t>-402.52072078843 252.771846860684 -285.036928539288</t>
  </si>
  <si>
    <t>-531.440772779529 172.688416643236 -249.718306005264</t>
  </si>
  <si>
    <t>-506.02398089864 183.017178816301 205.149729426804</t>
  </si>
  <si>
    <t>-499.396333909645 174.078239301727 674.916923852075</t>
  </si>
  <si>
    <t>-342.478127612253 174.920001390142 754.412005922683</t>
  </si>
  <si>
    <t>-451.898520657889 -42.7575036926795 217.558722716787</t>
  </si>
  <si>
    <t>-588.348568160954 -107.039038640902 662.713108669319</t>
  </si>
  <si>
    <t>-437.769427149733 -142.148115399234 746.59862391944</t>
  </si>
  <si>
    <t>9763-20170724T164419.689466100.bin</t>
  </si>
  <si>
    <t>-534.544927554882 75.3563403451394 -239.780147930402</t>
  </si>
  <si>
    <t>-572.073141231038 64.430864584668 -354.410376060795</t>
  </si>
  <si>
    <t>-584.521704648776 53.7597690527372 -474.500859703231</t>
  </si>
  <si>
    <t>-585.305871943492 44.5281834673324 -583.629311950256</t>
  </si>
  <si>
    <t>-575.71950408212 35.8950796690445 -692.387853234382</t>
  </si>
  <si>
    <t>-551.647460812097 24.6781354277861 -842.370254635896</t>
  </si>
  <si>
    <t>-502.069501083014 22.6218158191786 -931.368952998986</t>
  </si>
  <si>
    <t>-562.829996909643 61.3357102129917 -778.463304553475</t>
  </si>
  <si>
    <t>-581.329916446978 206.259737042026 -761.753019029833</t>
  </si>
  <si>
    <t>-596.399819251316 285.603417216142 -455.707824825062</t>
  </si>
  <si>
    <t>-403.233893591927 252.90069230206 -284.653742047313</t>
  </si>
  <si>
    <t>-530.859079964533 172.550597861083 -249.69323701472</t>
  </si>
  <si>
    <t>-505.810485108799 182.789886648007 205.197423608551</t>
  </si>
  <si>
    <t>-499.249689518823 173.542823864048 674.924839860316</t>
  </si>
  <si>
    <t>-342.327258214901 176.286239183527 754.368723136792</t>
  </si>
  <si>
    <t>-451.66299560064 -42.6791952038713 217.699658207616</t>
  </si>
  <si>
    <t>-588.291567777811 -106.923647389256 662.760883695926</t>
  </si>
  <si>
    <t>-437.622039269463 -141.557908808874 746.681464842383</t>
  </si>
  <si>
    <t>9763-20170724T164419.722568000.bin</t>
  </si>
  <si>
    <t>-534.254326240326 75.639200033044 -239.812602315582</t>
  </si>
  <si>
    <t>-571.762140798633 64.6921544060565 -354.447293014247</t>
  </si>
  <si>
    <t>-584.174511413616 54.0054539309263 -474.540248726889</t>
  </si>
  <si>
    <t>-584.919882553105 44.7629334646699 -583.667956945783</t>
  </si>
  <si>
    <t>-575.288989266921 36.1225416893914 -692.42188926622</t>
  </si>
  <si>
    <t>-551.149661845119 24.8995978082675 -842.393177531988</t>
  </si>
  <si>
    <t>-501.376657189852 22.6003417235233 -931.277055075373</t>
  </si>
  <si>
    <t>-562.379405320895 61.5591759527306 -778.495745298654</t>
  </si>
  <si>
    <t>-580.998930808959 206.469317848294 -761.747952571888</t>
  </si>
  <si>
    <t>-596.517627583517 285.91915465287 -455.752713389044</t>
  </si>
  <si>
    <t>-403.490414613524 253.331596993148 -284.520043358217</t>
  </si>
  <si>
    <t>-530.681898554048 172.98439710566 -249.714172328286</t>
  </si>
  <si>
    <t>-505.750855502134 183.083621032309 205.185970037128</t>
  </si>
  <si>
    <t>-499.340862751293 173.797766933969 674.921404867501</t>
  </si>
  <si>
    <t>-342.419764141706 175.363854166197 754.399837492767</t>
  </si>
  <si>
    <t>-451.648870842961 -42.6070150239786 217.744075778865</t>
  </si>
  <si>
    <t>-588.275446936963 -107.145130312544 662.828329851866</t>
  </si>
  <si>
    <t>-437.504034603927 -141.38843091196 746.726456032051</t>
  </si>
  <si>
    <t>9763-20170724T164419.786227000.bin</t>
  </si>
  <si>
    <t>-533.661662167685 76.1233194423615 -239.783184042352</t>
  </si>
  <si>
    <t>-571.089182032116 65.1485969602781 -354.44150866751</t>
  </si>
  <si>
    <t>-583.402591969523 54.4210367909975 -474.540956814465</t>
  </si>
  <si>
    <t>-584.052067794672 45.1410493327262 -583.666091773865</t>
  </si>
  <si>
    <t>-574.319870551525 36.46557885797 -692.408290180439</t>
  </si>
  <si>
    <t>-550.034966519822 25.1989175486896 -842.35280836284</t>
  </si>
  <si>
    <t>-499.952404885683 22.4377325137958 -931.049410897548</t>
  </si>
  <si>
    <t>-561.367684994931 61.8759036874186 -778.483359090886</t>
  </si>
  <si>
    <t>-580.330053652947 206.728415906484 -761.73855198181</t>
  </si>
  <si>
    <t>-596.946909346554 286.292156556826 -455.830513113513</t>
  </si>
  <si>
    <t>-404.074536873625 254.127121789501 -284.343845412084</t>
  </si>
  <si>
    <t>-530.061839648934 173.67754414529 -249.717327435473</t>
  </si>
  <si>
    <t>-505.491258483427 183.621537021231 205.20585876719</t>
  </si>
  <si>
    <t>-499.477758115847 174.20969645045 674.910046073604</t>
  </si>
  <si>
    <t>-342.571503898979 174.938071268542 754.429825333232</t>
  </si>
  <si>
    <t>-451.384263117262 -42.4880904156192 217.871029766524</t>
  </si>
  <si>
    <t>-588.18235720985 -107.582688314415 662.830382851197</t>
  </si>
  <si>
    <t>-437.208070460134 -140.896691519284 746.737728777472</t>
  </si>
  <si>
    <t>9763-20170724T164419.823838600.bin</t>
  </si>
  <si>
    <t>-533.340297800552 76.5084890336129 -239.770033058803</t>
  </si>
  <si>
    <t>-570.657788702791 65.5640898452621 -354.467214442175</t>
  </si>
  <si>
    <t>-582.885420582782 54.8677277312629 -474.578118913419</t>
  </si>
  <si>
    <t>-583.469108783445 45.6173112968785 -583.706274549397</t>
  </si>
  <si>
    <t>-573.6833219927 36.973347859328 -692.446227417509</t>
  </si>
  <si>
    <t>-549.337110683922 25.7530572277588 -842.384123164783</t>
  </si>
  <si>
    <t>-499.167906794802 22.790849258224 -931.025208252538</t>
  </si>
  <si>
    <t>-560.70904328328 62.4098212729196 -778.510122002726</t>
  </si>
  <si>
    <t>-579.742663942544 207.258297702234 -761.745376925033</t>
  </si>
  <si>
    <t>-597.093140909667 286.836297549378 -455.881817051417</t>
  </si>
  <si>
    <t>-404.256267109317 254.874542290106 -284.317132244296</t>
  </si>
  <si>
    <t>-529.691752554154 174.058555473112 -249.721599892482</t>
  </si>
  <si>
    <t>-505.279329100969 183.847271032323 205.213408108243</t>
  </si>
  <si>
    <t>-499.492759256672 174.244603778297 674.911512621535</t>
  </si>
  <si>
    <t>-342.592446079787 174.904505152907 754.443751188368</t>
  </si>
  <si>
    <t>-451.363914271756 -42.3079849067738 217.876429534302</t>
  </si>
  <si>
    <t>-588.171992476204 -107.51761942757 662.857457868212</t>
  </si>
  <si>
    <t>-437.239628008145 -140.960887412821 746.78880146954</t>
  </si>
  <si>
    <t>9763-20170724T164419.854427000.bin</t>
  </si>
  <si>
    <t>-532.959701254729 76.8457964145323 -239.796392618463</t>
  </si>
  <si>
    <t>-570.275676675785 65.9074749647502 -354.494569505043</t>
  </si>
  <si>
    <t>-582.464183943619 55.2098595715697 -474.60949847739</t>
  </si>
  <si>
    <t>-582.997030033367 45.957989134212 -583.737684631087</t>
  </si>
  <si>
    <t>-573.145660664589 37.3138956651435 -692.471617623852</t>
  </si>
  <si>
    <t>-548.693521232059 26.0962163382361 -842.392385531835</t>
  </si>
  <si>
    <t>-498.452684994124 22.9294843139928 -930.986018081535</t>
  </si>
  <si>
    <t>-560.122936033481 62.7515309926909 -778.527825445288</t>
  </si>
  <si>
    <t>-579.285201762578 207.595836436364 -761.775588729308</t>
  </si>
  <si>
    <t>-597.257811177358 287.231222056836 -455.962922535045</t>
  </si>
  <si>
    <t>-404.545891299027 255.416372259167 -284.230680532649</t>
  </si>
  <si>
    <t>-529.265365871271 174.303196226401 -249.720600692981</t>
  </si>
  <si>
    <t>-505.023099364762 183.938891828901 205.226898734553</t>
  </si>
  <si>
    <t>-499.423767059285 173.948922939177 674.92438404123</t>
  </si>
  <si>
    <t>-342.529001155431 174.959408036557 754.463839837374</t>
  </si>
  <si>
    <t>-451.267723696196 -42.1064170631679 217.919036134155</t>
  </si>
  <si>
    <t>-588.141243087464 -107.59210334725 662.869152211524</t>
  </si>
  <si>
    <t>-437.324536803593 -141.452129063016 746.841247392511</t>
  </si>
  <si>
    <t>9763-20170724T164419.908576000.bin</t>
  </si>
  <si>
    <t>-532.635966113793 77.2209025433549 -239.796213278893</t>
  </si>
  <si>
    <t>-569.859620208846 66.2767415142675 -354.523742493574</t>
  </si>
  <si>
    <t>-581.966069837981 55.5648680318472 -474.645711394659</t>
  </si>
  <si>
    <t>-582.430323964061 46.2980804778332 -583.772875632868</t>
  </si>
  <si>
    <t>-572.516467037304 37.6378788020458 -692.499923996634</t>
  </si>
  <si>
    <t>-547.984525964946 26.3975147426782 -842.406065587397</t>
  </si>
  <si>
    <t>-497.689975667858 23.0460795907513 -930.962366579499</t>
  </si>
  <si>
    <t>-559.45074263121 63.062398962695 -778.553648731854</t>
  </si>
  <si>
    <t>-578.69214218352 207.883089643076 -761.795504591158</t>
  </si>
  <si>
    <t>-597.090312155631 287.686310864064 -456.051849790351</t>
  </si>
  <si>
    <t>-404.591880504491 255.904080646454 -284.074202311528</t>
  </si>
  <si>
    <t>-528.86087488921 174.68257506316 -249.734954678974</t>
  </si>
  <si>
    <t>-504.884283279134 184.208932077975 205.228773624594</t>
  </si>
  <si>
    <t>-499.467446462906 174.049215901837 674.914703073546</t>
  </si>
  <si>
    <t>-342.582897278009 174.8214413833 754.47708067419</t>
  </si>
  <si>
    <t>-451.140299373867 -41.7993028867757 217.945084618391</t>
  </si>
  <si>
    <t>-588.104315262959 -107.403789732545 662.844990991463</t>
  </si>
  <si>
    <t>-437.400925812625 -141.655043632298 746.861989408031</t>
  </si>
  <si>
    <t>9763-20170724T164420.312553400.bin</t>
  </si>
  <si>
    <t>-532.233086054833 77.5906032238125 -239.817177945574</t>
  </si>
  <si>
    <t>-569.392815544007 66.6514966885964 -354.565941224819</t>
  </si>
  <si>
    <t>-581.466279236576 55.9428345305556 -474.691462573813</t>
  </si>
  <si>
    <t>-581.914364725515 46.6781575810706 -583.818876765312</t>
  </si>
  <si>
    <t>-571.998099836329 38.0193020467959 -692.545797769219</t>
  </si>
  <si>
    <t>-547.476824625504 26.7798919569963 -842.453789217709</t>
  </si>
  <si>
    <t>-497.160058214675 23.2750648419063 -930.991482671329</t>
  </si>
  <si>
    <t>-558.931851189245 63.4445627670771 -778.599192357936</t>
  </si>
  <si>
    <t>-578.117141699904 208.271093529742 -761.815782795908</t>
  </si>
  <si>
    <t>-596.94755672084 288.319174199658 -456.162579485666</t>
  </si>
  <si>
    <t>-404.688999292285 256.527482308516 -283.91863916247</t>
  </si>
  <si>
    <t>-557.72158757889 0.0613688379928163 -773.649138419474</t>
  </si>
  <si>
    <t>-528.466691239688 175.221434834802 -249.764571173925</t>
  </si>
  <si>
    <t>-504.773831072403 184.602484164698 205.217139393489</t>
  </si>
  <si>
    <t>-499.578147335914 174.414892986139 674.895585782478</t>
  </si>
  <si>
    <t>-342.710843484332 174.198766583477 754.495249850829</t>
  </si>
  <si>
    <t>-451.068658358125 -41.7611060984853 217.978364274138</t>
  </si>
  <si>
    <t>-588.069270855457 -107.660012538933 662.861804262473</t>
  </si>
  <si>
    <t>-437.271264966732 -141.493950635637 746.878134150333</t>
  </si>
  <si>
    <t>9763-20170724T164420.320574400.bin</t>
  </si>
  <si>
    <t>-525.720774233595 83.0604024036715 -239.920645151985</t>
  </si>
  <si>
    <t>-562.373338343982 72.252614756011 -354.844833905757</t>
  </si>
  <si>
    <t>-574.086266195057 61.3905518525261 -474.992281804014</t>
  </si>
  <si>
    <t>-574.274185304359 51.8875437139305 -584.100120786799</t>
  </si>
  <si>
    <t>-564.165139819532 42.9022505617539 -692.782679011011</t>
  </si>
  <si>
    <t>-539.446393312761 31.1276211709639 -842.61718289356</t>
  </si>
  <si>
    <t>-489.094564419163 27.5310382269309 -931.131135859462</t>
  </si>
  <si>
    <t>-550.902518478363 68.0226630063257 -778.895606459628</t>
  </si>
  <si>
    <t>-570.112333418125 212.881950687441 -762.3546692224</t>
  </si>
  <si>
    <t>-596.095852759393 295.844703275804 -458.005829378582</t>
  </si>
  <si>
    <t>-407.880714027319 262.69296069988 -281.602706010789</t>
  </si>
  <si>
    <t>-549.864815887163 4.65242841383818 -773.74447150433</t>
  </si>
  <si>
    <t>-521.309681567591 180.711416571263 -249.984465917821</t>
  </si>
  <si>
    <t>-501.123680880496 187.869561247103 205.206671387239</t>
  </si>
  <si>
    <t>-499.704670527546 174.393215479152 674.811962308232</t>
  </si>
  <si>
    <t>-342.970617776731 173.724867885835 754.671239719284</t>
  </si>
  <si>
    <t>-448.109597270107 -38.9152246976811 218.446394371926</t>
  </si>
  <si>
    <t>-587.493536147812 -107.23473713014 662.178353367947</t>
  </si>
  <si>
    <t>-437.057319375924 -141.846063763797 746.526039943377</t>
  </si>
  <si>
    <t>9763-20170724T164420.385772200.bin</t>
  </si>
  <si>
    <t>-524.486435882818 84.0964934517328 -239.973796616478</t>
  </si>
  <si>
    <t>-561.056246675904 73.287889807613 -354.924315838497</t>
  </si>
  <si>
    <t>-572.751023694837 62.3637733995096 -475.067828579899</t>
  </si>
  <si>
    <t>-572.949576275347 52.7859373016505 -584.169070765564</t>
  </si>
  <si>
    <t>-562.878272067326 43.7109271007767 -692.847753481468</t>
  </si>
  <si>
    <t>-538.239524546531 31.7998808887799 -842.684562265592</t>
  </si>
  <si>
    <t>-487.904457874973 28.6649223856588 -931.225693245344</t>
  </si>
  <si>
    <t>-549.677322298772 68.7524680901618 -778.993132712795</t>
  </si>
  <si>
    <t>-569.072256095792 213.579124547568 -762.600955703697</t>
  </si>
  <si>
    <t>-596.383812795298 297.825576308295 -458.721252804728</t>
  </si>
  <si>
    <t>-408.870279770626 264.081739862086 -281.684381395359</t>
  </si>
  <si>
    <t>-548.605488526287 5.38787989290388 -773.779794023878</t>
  </si>
  <si>
    <t>-519.990180680916 181.677280307921 -250.055373225247</t>
  </si>
  <si>
    <t>-500.374312887879 188.270056049617 205.169304567349</t>
  </si>
  <si>
    <t>-499.631933422441 174.102279417976 674.776302574325</t>
  </si>
  <si>
    <t>-342.933098779293 174.483552893757 754.706572331036</t>
  </si>
  <si>
    <t>-447.61713976869 -38.3790626488387 218.464786979723</t>
  </si>
  <si>
    <t>-587.330276043444 -107.380899123884 661.961345951345</t>
  </si>
  <si>
    <t>-436.865847508444 -141.765213438569 746.351446056818</t>
  </si>
  <si>
    <t>9763-20170724T164420.445932900.bin</t>
  </si>
  <si>
    <t>-524.021004286265 84.7250095454668 -240.013772823782</t>
  </si>
  <si>
    <t>-560.498974779711 73.9265245547281 -354.994444775369</t>
  </si>
  <si>
    <t>-572.163304058308 62.9804786104098 -475.138852631401</t>
  </si>
  <si>
    <t>-572.360558204009 53.3720051148753 -584.237437362588</t>
  </si>
  <si>
    <t>-562.314163304053 44.2571928902293 -692.915133298439</t>
  </si>
  <si>
    <t>-537.736623492555 32.2823676612679 -842.756921209281</t>
  </si>
  <si>
    <t>-487.388680740104 29.3392368927865 -931.297320353769</t>
  </si>
  <si>
    <t>-549.15984914573 69.2616699633102 -779.078382407542</t>
  </si>
  <si>
    <t>-568.632593576554 214.117770697443 -762.763500873952</t>
  </si>
  <si>
    <t>-596.4737641214 298.787985524409 -459.049867278558</t>
  </si>
  <si>
    <t>-409.399517793645 264.938139436634 -281.568890291668</t>
  </si>
  <si>
    <t>-548.062924887755 5.90000279124816 -773.834713374354</t>
  </si>
  <si>
    <t>-519.438837278704 182.204258394709 -250.098132988658</t>
  </si>
  <si>
    <t>-500.131003121806 188.537594620997 205.143336300637</t>
  </si>
  <si>
    <t>-499.538725140654 173.784783061684 674.746402436183</t>
  </si>
  <si>
    <t>-342.854004802906 174.426446026494 754.702564346683</t>
  </si>
  <si>
    <t>-447.516451383794 -37.9097229911958 218.463373170212</t>
  </si>
  <si>
    <t>-587.292857931047 -107.034196165356 661.908322555429</t>
  </si>
  <si>
    <t>-436.94533624698 -141.799920125954 746.350355428051</t>
  </si>
  <si>
    <t>9763-20170724T164420.488048400.bin</t>
  </si>
  <si>
    <t>-523.183263239543 85.9759625553705 -240.078471341246</t>
  </si>
  <si>
    <t>-559.59232731149 75.1539087258766 -355.078814135837</t>
  </si>
  <si>
    <t>-571.213528887743 64.1894618845606 -475.225745948095</t>
  </si>
  <si>
    <t>-571.383473911481 54.5683685544117 -584.3231441323</t>
  </si>
  <si>
    <t>-561.321665037023 45.4459292330154 -692.998748853186</t>
  </si>
  <si>
    <t>-536.735435411754 33.4668347344926 -842.838781286827</t>
  </si>
  <si>
    <t>-486.366340830339 30.8441718725137 -931.377357458703</t>
  </si>
  <si>
    <t>-548.17769199495 70.4474668832479 -779.164375026917</t>
  </si>
  <si>
    <t>-567.835351711345 215.254093143977 -762.861128937023</t>
  </si>
  <si>
    <t>-596.747413809623 300.453945437433 -459.395713702345</t>
  </si>
  <si>
    <t>-410.536020172317 266.379852886 -281.052434431677</t>
  </si>
  <si>
    <t>-547.050482160817 7.08691187588656 -773.914093984201</t>
  </si>
  <si>
    <t>-518.450924201552 183.43471605138 -250.171366168196</t>
  </si>
  <si>
    <t>-499.818064748044 189.185415758225 205.105956954341</t>
  </si>
  <si>
    <t>-499.499651633355 173.609676990985 674.691573602557</t>
  </si>
  <si>
    <t>-342.818865574275 174.338106380671 754.654702687472</t>
  </si>
  <si>
    <t>-447.521773789024 -37.3348267665452 218.486117920243</t>
  </si>
  <si>
    <t>-587.172369423972 -107.430282322369 661.875164842707</t>
  </si>
  <si>
    <t>-436.837987693482 -141.962034715667 746.436730240647</t>
  </si>
  <si>
    <t>9763-20170724T164420.521639800.bin</t>
  </si>
  <si>
    <t>-522.885035501097 86.8275986983026 -240.098930532588</t>
  </si>
  <si>
    <t>-559.195479342668 76.0420609050129 -355.13378954571</t>
  </si>
  <si>
    <t>-570.754908611917 65.1156918707939 -475.290162819011</t>
  </si>
  <si>
    <t>-570.885494081467 55.5300340166129 -584.390778831002</t>
  </si>
  <si>
    <t>-560.80103735561 46.4441934589539 -693.067457474714</t>
  </si>
  <si>
    <t>-536.200791531081 34.5175427880421 -842.909259938622</t>
  </si>
  <si>
    <t>-485.811595497925 32.0112169488865 -931.439649157158</t>
  </si>
  <si>
    <t>-547.654711376771 71.4757513354841 -779.224002051964</t>
  </si>
  <si>
    <t>-567.317211216618 216.294725682701 -762.86822820069</t>
  </si>
  <si>
    <t>-596.724444681106 301.760200646255 -459.525172349831</t>
  </si>
  <si>
    <t>-411.074977562514 267.751215797841 -280.584586522042</t>
  </si>
  <si>
    <t>-546.516561687737 8.11372623056739 -773.993738553157</t>
  </si>
  <si>
    <t>-518.091165839618 184.255785720038 -250.196894631722</t>
  </si>
  <si>
    <t>-499.678649099483 189.649678803843 205.093722628577</t>
  </si>
  <si>
    <t>-499.549981423547 173.765670569338 674.666072956592</t>
  </si>
  <si>
    <t>-342.874566161758 174.527740877285 754.63937003953</t>
  </si>
  <si>
    <t>-447.587224037279 -36.6562545795999 218.492915719991</t>
  </si>
  <si>
    <t>-587.166027049424 -106.861122316746 661.882315931059</t>
  </si>
  <si>
    <t>-437.216272882156 -142.732646294084 746.568949341668</t>
  </si>
  <si>
    <t>9763-20170724T164420.587321800.bin</t>
  </si>
  <si>
    <t>-521.937738965014 88.2837531581698 -240.008866038639</t>
  </si>
  <si>
    <t>-558.201289990538 77.4591681778508 -355.054917954666</t>
  </si>
  <si>
    <t>-569.727065762582 66.5393299325426 -475.215070218711</t>
  </si>
  <si>
    <t>-569.833680930124 56.9814039313262 -584.318178257443</t>
  </si>
  <si>
    <t>-559.732381223139 47.9471388229671 -692.997559775269</t>
  </si>
  <si>
    <t>-535.116522140676 36.1186217504276 -842.84462490475</t>
  </si>
  <si>
    <t>-484.682671801768 33.7602960700635 -931.353674154285</t>
  </si>
  <si>
    <t>-546.580199656996 73.034993113209 -779.136745201268</t>
  </si>
  <si>
    <t>-566.199738560332 217.836115460644 -762.671951480692</t>
  </si>
  <si>
    <t>-596.670230692518 303.409328948968 -459.464082501605</t>
  </si>
  <si>
    <t>-412.061567706913 269.5623082027 -279.419553535001</t>
  </si>
  <si>
    <t>-545.43625208238 9.66972655783489 -773.947047127605</t>
  </si>
  <si>
    <t>-517.03924444095 185.854463538198 -250.170779538274</t>
  </si>
  <si>
    <t>-499.380705945718 190.760669599366 205.155217849439</t>
  </si>
  <si>
    <t>-499.720292562109 174.323190820433 674.657634845735</t>
  </si>
  <si>
    <t>-343.05509656531 174.257474253755 754.654692919817</t>
  </si>
  <si>
    <t>-446.854602485865 -36.1246879162655 218.692409380504</t>
  </si>
  <si>
    <t>-587.043180134748 -107.37550511457 661.764627072028</t>
  </si>
  <si>
    <t>-436.778731972971 -141.896607174009 746.454638897319</t>
  </si>
  <si>
    <t>9763-20170724T164420.619404600.bin</t>
  </si>
  <si>
    <t>-521.328611211424 89.0586224617614 -239.935621535065</t>
  </si>
  <si>
    <t>-557.539416260838 78.2422700538201 -354.998929055767</t>
  </si>
  <si>
    <t>-569.016246451859 67.350521057415 -475.166486747769</t>
  </si>
  <si>
    <t>-569.081150919709 57.8276580542102 -584.272641313812</t>
  </si>
  <si>
    <t>-558.941235419461 48.8392872297088 -692.952171101856</t>
  </si>
  <si>
    <t>-534.275378704081 37.0867911014673 -842.796974415875</t>
  </si>
  <si>
    <t>-483.788320144739 34.7778660624624 -931.277077407499</t>
  </si>
  <si>
    <t>-545.750862459542 73.9711250659654 -779.072871787018</t>
  </si>
  <si>
    <t>-565.283145788984 218.77316504977 -762.500819807457</t>
  </si>
  <si>
    <t>-596.422107863769 304.764793555285 -459.479329097987</t>
  </si>
  <si>
    <t>-412.15834673941 270.857244378907 -279.09321436128</t>
  </si>
  <si>
    <t>-544.627650664665 10.6026543330202 -773.917803468868</t>
  </si>
  <si>
    <t>-516.353590261505 186.549349681923 -250.151955111659</t>
  </si>
  <si>
    <t>-499.092120875135 191.106117520472 205.192843068533</t>
  </si>
  <si>
    <t>-499.638366944171 174.006495885782 674.669162256763</t>
  </si>
  <si>
    <t>-342.9810085997 174.021041851836 754.681451175626</t>
  </si>
  <si>
    <t>-446.38918608314 -35.3916213660201 218.767175309402</t>
  </si>
  <si>
    <t>-587.009816139573 -106.770848024724 661.648320779482</t>
  </si>
  <si>
    <t>-437.049339076011 -142.49488004238 746.378255373593</t>
  </si>
  <si>
    <t>9763-20170724T164420.689606800.bin</t>
  </si>
  <si>
    <t>-519.974782366357 90.490140749715 -239.860504856996</t>
  </si>
  <si>
    <t>-556.168901811206 79.6825193831629 -354.929984529049</t>
  </si>
  <si>
    <t>-567.607566662434 68.8543835117409 -475.106782169595</t>
  </si>
  <si>
    <t>-567.62998377936 59.4152621938947 -584.220375465345</t>
  </si>
  <si>
    <t>-557.440454787148 50.5393927741633 -692.904385279238</t>
  </si>
  <si>
    <t>-532.699093350559 38.9752321784391 -842.751415173661</t>
  </si>
  <si>
    <t>-482.090828058659 36.7952091654316 -931.165469335222</t>
  </si>
  <si>
    <t>-544.193499546935 75.7798368253765 -778.98462955916</t>
  </si>
  <si>
    <t>-563.585169993024 220.586055400456 -762.255092009485</t>
  </si>
  <si>
    <t>-596.437541776872 307.346361156778 -459.633936152905</t>
  </si>
  <si>
    <t>-412.935832460115 273.440756025021 -278.472270391477</t>
  </si>
  <si>
    <t>-543.099245956399 12.4041624892777 -773.913045056878</t>
  </si>
  <si>
    <t>-514.940356412272 187.966903784295 -250.127934483301</t>
  </si>
  <si>
    <t>-498.343826297492 191.937171363661 205.247085218692</t>
  </si>
  <si>
    <t>-499.602761350493 173.869404033498 674.682795670496</t>
  </si>
  <si>
    <t>-342.974092055885 173.647959595508 754.750955382728</t>
  </si>
  <si>
    <t>-445.382989961339 -34.32674429102 218.965655287279</t>
  </si>
  <si>
    <t>-586.942487241947 -106.820075284488 661.407626088517</t>
  </si>
  <si>
    <t>-436.973346206305 -142.785689990584 746.019951082199</t>
  </si>
  <si>
    <t>9763-20170724T164420.716679000.bin</t>
  </si>
  <si>
    <t>-519.307853355161 91.4418018657517 -239.798055563077</t>
  </si>
  <si>
    <t>-555.600089789724 80.646634009049 -354.837897490493</t>
  </si>
  <si>
    <t>-567.072523263285 69.8422380317023 -475.013605990231</t>
  </si>
  <si>
    <t>-567.097971769125 60.4312943884306 -584.129491777163</t>
  </si>
  <si>
    <t>-556.884192661607 51.5917952678258 -692.814381561311</t>
  </si>
  <si>
    <t>-532.081501627344 40.0880134398584 -842.655864855878</t>
  </si>
  <si>
    <t>-481.399584412215 37.959138898299 -931.028900759872</t>
  </si>
  <si>
    <t>-543.582278086068 76.8675604216218 -778.875660276365</t>
  </si>
  <si>
    <t>-562.937917446131 221.678282677556 -762.098497042188</t>
  </si>
  <si>
    <t>-596.887656108457 308.951402204092 -459.746094156759</t>
  </si>
  <si>
    <t>-413.739001597171 274.888679072055 -278.256816414275</t>
  </si>
  <si>
    <t>-542.529577240333 13.4886222392193 -773.835655234579</t>
  </si>
  <si>
    <t>-514.26198366907 188.934111066897 -250.109394527067</t>
  </si>
  <si>
    <t>-497.924106351655 192.62158450634 205.277351523551</t>
  </si>
  <si>
    <t>-499.670005892632 174.154987639615 674.66970495404</t>
  </si>
  <si>
    <t>-343.077129298617 173.251574098191 754.803150921083</t>
  </si>
  <si>
    <t>-444.935014925378 -33.4829772178472 219.084879238338</t>
  </si>
  <si>
    <t>-587.010525731996 -106.388999512237 661.282033372378</t>
  </si>
  <si>
    <t>-436.900150671891 -142.604623087275 745.536447595597</t>
  </si>
  <si>
    <t>9763-20170724T164420.785876200.bin</t>
  </si>
  <si>
    <t>-518.001789602536 93.4263277763648 -239.651625711676</t>
  </si>
  <si>
    <t>-554.574605614849 82.6389412853395 -354.603229877775</t>
  </si>
  <si>
    <t>-566.091231007153 71.8900911745151 -474.779727648757</t>
  </si>
  <si>
    <t>-566.056853071395 62.5512919331916 -583.901786565861</t>
  </si>
  <si>
    <t>-555.684229309813 53.8073551378406 -692.579409199374</t>
  </si>
  <si>
    <t>-530.560107932664 42.462014184577 -842.379544262616</t>
  </si>
  <si>
    <t>-479.677878816698 40.4398035809175 -930.63975794166</t>
  </si>
  <si>
    <t>-542.15298826574 79.1753661526498 -778.577766560372</t>
  </si>
  <si>
    <t>-561.392805768562 224.00193869566 -761.761174333359</t>
  </si>
  <si>
    <t>-597.643640579447 312.580304711596 -460.056173272972</t>
  </si>
  <si>
    <t>-415.171999750088 278.01675787817 -277.980708843255</t>
  </si>
  <si>
    <t>-541.200502781653 15.7885588131403 -773.617395192384</t>
  </si>
  <si>
    <t>-512.911644822312 190.643082466561 -250.040929142343</t>
  </si>
  <si>
    <t>-496.780775959632 193.749848572567 205.35757433227</t>
  </si>
  <si>
    <t>-499.570094158286 173.906740498346 674.671136238743</t>
  </si>
  <si>
    <t>-343.041970509713 173.531850333382 754.93501965141</t>
  </si>
  <si>
    <t>-443.765773620152 -31.7278758241776 219.35654105314</t>
  </si>
  <si>
    <t>-587.105967333591 -106.262874697218 660.842391363397</t>
  </si>
  <si>
    <t>-436.526625307096 -142.595496376394 744.204903094248</t>
  </si>
  <si>
    <t>9763-20170724T164420.818965700.bin</t>
  </si>
  <si>
    <t>-517.526461464797 94.2563330408866 -239.500093767344</t>
  </si>
  <si>
    <t>-554.200988959297 83.3710887437265 -354.410078058832</t>
  </si>
  <si>
    <t>-565.735654140114 72.5802472886819 -474.581010576459</t>
  </si>
  <si>
    <t>-565.682477693894 63.2273497124738 -583.701916014746</t>
  </si>
  <si>
    <t>-555.256456359311 54.4941125242849 -692.375190091392</t>
  </si>
  <si>
    <t>-530.02319012705 43.1897245467317 -842.160100988796</t>
  </si>
  <si>
    <t>-479.062826956903 41.1864342505194 -930.375733918642</t>
  </si>
  <si>
    <t>-541.626533709341 79.8866203657664 -778.350835980049</t>
  </si>
  <si>
    <t>-560.773666974205 224.707613062944 -761.464648364107</t>
  </si>
  <si>
    <t>-598.115255634643 314.027366469265 -460.111429829257</t>
  </si>
  <si>
    <t>-415.977284851862 279.157500536063 -277.76036996354</t>
  </si>
  <si>
    <t>-540.749734241767 16.4964755816917 -773.419016857366</t>
  </si>
  <si>
    <t>-512.293635996112 191.440265364096 -250.008309656745</t>
  </si>
  <si>
    <t>-496.521410651416 194.387457662806 205.403933274427</t>
  </si>
  <si>
    <t>-499.651720909587 174.216437210072 674.661601944017</t>
  </si>
  <si>
    <t>-343.165228062327 173.288333099606 755.00227269748</t>
  </si>
  <si>
    <t>-442.850129847915 -31.021704036004 219.501452840725</t>
  </si>
  <si>
    <t>-586.981546710558 -106.632363589139 660.492860657667</t>
  </si>
  <si>
    <t>-436.31314939153 -142.643649542853 743.833774846623</t>
  </si>
  <si>
    <t>9763-20170724T164420.887153400.bin</t>
  </si>
  <si>
    <t>-516.272000632959 95.8066283619629 -239.538338464733</t>
  </si>
  <si>
    <t>-553.244109193913 84.8033859530995 -354.341514264842</t>
  </si>
  <si>
    <t>-564.906925553687 73.997626394456 -474.498929816559</t>
  </si>
  <si>
    <t>-564.896951677995 64.6724303301335 -583.622178615105</t>
  </si>
  <si>
    <t>-554.441593935269 56.0076401028694 -692.298026538716</t>
  </si>
  <si>
    <t>-529.093549696024 44.8400352458692 -842.073792785421</t>
  </si>
  <si>
    <t>-478.03462865159 42.9235582940408 -930.234509203241</t>
  </si>
  <si>
    <t>-540.666392121608 81.4806256115513 -778.226709406561</t>
  </si>
  <si>
    <t>-559.589184404406 226.309255986937 -761.184091433188</t>
  </si>
  <si>
    <t>-599.212652855417 316.754081441052 -460.45841982198</t>
  </si>
  <si>
    <t>-417.986978134675 281.120380350258 -277.347817904212</t>
  </si>
  <si>
    <t>-539.952151342231 18.0820204895224 -773.378684515569</t>
  </si>
  <si>
    <t>-511.065775936038 192.958447984112 -250.104037686871</t>
  </si>
  <si>
    <t>-495.873439746025 195.200696628855 205.331870767363</t>
  </si>
  <si>
    <t>-499.657232871196 174.259295716049 674.61384598255</t>
  </si>
  <si>
    <t>-343.243570445699 173.575445058601 755.098703231227</t>
  </si>
  <si>
    <t>-441.911231376414 -29.4997135962031 219.492458655206</t>
  </si>
  <si>
    <t>-586.853839207564 -106.097987186401 660.032217143316</t>
  </si>
  <si>
    <t>-436.496047688621 -143.484060383277 743.328968736145</t>
  </si>
  <si>
    <t>9763-20170724T164420.920239100.bin</t>
  </si>
  <si>
    <t>-515.749231160372 96.3550233536557 -239.585876407955</t>
  </si>
  <si>
    <t>-552.427566910329 85.4218176563015 -354.490097173674</t>
  </si>
  <si>
    <t>-563.964031018783 74.6736621805086 -474.664696876729</t>
  </si>
  <si>
    <t>-563.912179944 65.3896310590544 -583.791513525899</t>
  </si>
  <si>
    <t>-553.487220698055 56.7519462062012 -692.47245910483</t>
  </si>
  <si>
    <t>-528.255554482901 45.604610042082 -842.269334212552</t>
  </si>
  <si>
    <t>-477.175867793898 43.7025669534986 -930.418299574214</t>
  </si>
  <si>
    <t>-539.740448013534 82.2374900648436 -778.401921339377</t>
  </si>
  <si>
    <t>-558.621336917323 227.06658829388 -761.297122611454</t>
  </si>
  <si>
    <t>-598.916923715068 317.89563375236 -460.776660357629</t>
  </si>
  <si>
    <t>-418.338044498935 281.928556058686 -277.092957179041</t>
  </si>
  <si>
    <t>-539.09916975701 18.8364228882801 -773.575845265768</t>
  </si>
  <si>
    <t>-510.354206701475 193.452552548154 -250.12764611561</t>
  </si>
  <si>
    <t>-495.459435421027 195.280835486773 205.319907676156</t>
  </si>
  <si>
    <t>-499.471102393914 173.59647973453 674.611373533694</t>
  </si>
  <si>
    <t>-343.120253830699 173.633469635001 755.221019771558</t>
  </si>
  <si>
    <t>-441.94407711366 -29.292621923263 219.424222421896</t>
  </si>
  <si>
    <t>-586.894448992011 -106.333745526856 659.955025440775</t>
  </si>
  <si>
    <t>-436.2503917849 -143.182536918643 742.973402435003</t>
  </si>
  <si>
    <t>9763-20170724T164420.987057200.bin</t>
  </si>
  <si>
    <t>-514.45462315204 97.862821560431 -239.688998150801</t>
  </si>
  <si>
    <t>-551.227298841143 87.1464938758469 -354.583548615291</t>
  </si>
  <si>
    <t>-562.929244207758 76.5022648179311 -474.75148199373</t>
  </si>
  <si>
    <t>-563.053984694658 67.2731386489487 -583.88275421516</t>
  </si>
  <si>
    <t>-552.831092828522 58.6562432259348 -692.584759516796</t>
  </si>
  <si>
    <t>-527.904802880909 47.5067874272537 -842.432491580025</t>
  </si>
  <si>
    <t>-476.940138431444 45.6202918552491 -930.64831585745</t>
  </si>
  <si>
    <t>-539.21997174512 84.1414718420284 -778.535743001603</t>
  </si>
  <si>
    <t>-557.938614124744 228.983411186899 -761.403082868291</t>
  </si>
  <si>
    <t>-599.58681033412 320.017903704937 -461.129453127278</t>
  </si>
  <si>
    <t>-420.425279247212 283.327143059541 -276.205007563318</t>
  </si>
  <si>
    <t>-538.647910866489 20.7387195565883 -773.723090714696</t>
  </si>
  <si>
    <t>-508.789233035899 194.864960024276 -250.154497765453</t>
  </si>
  <si>
    <t>-494.522305464301 196.110405619642 205.315233044191</t>
  </si>
  <si>
    <t>-499.471153919597 173.579747506657 674.526592991654</t>
  </si>
  <si>
    <t>-343.269099405446 172.432751983969 755.41611528694</t>
  </si>
  <si>
    <t>-520.050381077817 0.869259690524736 -228.474299269511</t>
  </si>
  <si>
    <t>-441.695844185439 -28.3586897364394 219.481025090496</t>
  </si>
  <si>
    <t>-587.063206677051 -105.657325248395 659.739053358435</t>
  </si>
  <si>
    <t>-436.048251673348 -142.396021920257 742.130013910292</t>
  </si>
  <si>
    <t>9763-20170724T164421.019136900.bin</t>
  </si>
  <si>
    <t>-513.915700987857 98.8919524935792 -239.711754352227</t>
  </si>
  <si>
    <t>-550.558294333148 88.2579617905753 -354.65544037746</t>
  </si>
  <si>
    <t>-562.228933605275 77.6505870766956 -474.829643704836</t>
  </si>
  <si>
    <t>-562.36740393387 68.436896718411 -583.962401348825</t>
  </si>
  <si>
    <t>-552.199665247768 59.8184794054256 -692.669284453866</t>
  </si>
  <si>
    <t>-527.392338303846 48.6501437016484 -842.535490993812</t>
  </si>
  <si>
    <t>-476.502090195765 46.7225588257753 -930.793285471564</t>
  </si>
  <si>
    <t>-538.596873475593 85.2940687622259 -778.62450664151</t>
  </si>
  <si>
    <t>-557.017693298268 230.183093907035 -761.502547366608</t>
  </si>
  <si>
    <t>-599.781178627348 321.397444224782 -461.440165877041</t>
  </si>
  <si>
    <t>-421.360533647448 284.389859921767 -275.863860887628</t>
  </si>
  <si>
    <t>-538.140802963041 21.889467427357 -773.824006318502</t>
  </si>
  <si>
    <t>-507.960757535168 195.917986725374 -250.210130906854</t>
  </si>
  <si>
    <t>-494.137839523711 196.803179177928 205.27401259735</t>
  </si>
  <si>
    <t>-499.543486868058 173.893537281027 674.458605613562</t>
  </si>
  <si>
    <t>-343.408784287774 171.746407270959 755.45773375822</t>
  </si>
  <si>
    <t>-519.719951258207 1.93790157093328 -228.519813896899</t>
  </si>
  <si>
    <t>-441.575926025227 -27.4499972366723 219.461860352595</t>
  </si>
  <si>
    <t>-587.14807555251 -105.120080386077 659.60521040422</t>
  </si>
  <si>
    <t>-436.460480559193 -143.789670708664 741.711421861411</t>
  </si>
  <si>
    <t>9763-20170724T164421.087331300.bin</t>
  </si>
  <si>
    <t>-512.587139583787 100.411578309647 -239.721416488412</t>
  </si>
  <si>
    <t>-549.250313928602 90.0026182415206 -354.679101534242</t>
  </si>
  <si>
    <t>-561.051942814795 79.4943066913091 -474.849313392834</t>
  </si>
  <si>
    <t>-561.35229013896 70.3194539201855 -583.984815815274</t>
  </si>
  <si>
    <t>-551.388427841135 61.6910047582219 -692.709865936669</t>
  </si>
  <si>
    <t>-526.905327875738 50.459182486529 -842.62452827702</t>
  </si>
  <si>
    <t>-476.149120646611 48.4220677674446 -930.957070907955</t>
  </si>
  <si>
    <t>-537.826689991791 87.1327331233223 -778.68164287547</t>
  </si>
  <si>
    <t>-555.483703429272 232.118636369902 -761.59313641861</t>
  </si>
  <si>
    <t>-600.799097233587 323.838749719196 -462.059950261876</t>
  </si>
  <si>
    <t>-423.779115555951 285.809725534496 -275.352289093757</t>
  </si>
  <si>
    <t>-537.649938979524 23.7250878798549 -773.902219961536</t>
  </si>
  <si>
    <t>-506.190488331318 197.11668612672 -250.213891868474</t>
  </si>
  <si>
    <t>-493.017438309658 197.325453067613 205.290290230969</t>
  </si>
  <si>
    <t>-499.460337880337 173.404584593996 674.461107539922</t>
  </si>
  <si>
    <t>-343.394219477369 172.199254294559 755.611767302926</t>
  </si>
  <si>
    <t>-518.854161687332 3.76633603923389 -228.543020219085</t>
  </si>
  <si>
    <t>-441.197086460078 -26.5027460843753 219.464596239798</t>
  </si>
  <si>
    <t>-587.229430996286 -104.631786570837 659.278690912256</t>
  </si>
  <si>
    <t>-436.296908196704 -143.370359420098 740.900979301765</t>
  </si>
  <si>
    <t>9763-20170724T164421.118416900.bin</t>
  </si>
  <si>
    <t>-512.08846689283 101.256246319757 -239.766486974315</t>
  </si>
  <si>
    <t>-548.913997656966 91.002909917147 -354.68619346899</t>
  </si>
  <si>
    <t>-560.845013291041 80.5509835738157 -474.848495656026</t>
  </si>
  <si>
    <t>-561.245990728953 71.3895707934941 -583.984964072116</t>
  </si>
  <si>
    <t>-551.364679531253 62.7393799781825 -692.715762478675</t>
  </si>
  <si>
    <t>-526.977261947959 51.4431605890622 -842.641270733256</t>
  </si>
  <si>
    <t>-476.247928078762 49.3064178374881 -930.98681447763</t>
  </si>
  <si>
    <t>-537.788793478046 88.1451087124151 -778.69595200382</t>
  </si>
  <si>
    <t>-555.082788246801 233.184039122315 -761.615193589894</t>
  </si>
  <si>
    <t>-601.628806363457 325.421227421621 -462.429779996816</t>
  </si>
  <si>
    <t>-425.315580441056 286.783329966076 -275.179172716386</t>
  </si>
  <si>
    <t>-537.74718399897 24.7376590281718 -773.911689502651</t>
  </si>
  <si>
    <t>-505.480554707653 198.029627840143 -250.230318159142</t>
  </si>
  <si>
    <t>-492.455121040223 197.927902489769 205.278110232823</t>
  </si>
  <si>
    <t>-499.534157384566 173.669829496693 674.414799628338</t>
  </si>
  <si>
    <t>-343.549920281265 171.267686480837 755.696191015061</t>
  </si>
  <si>
    <t>-518.65154549244 4.56765048289984 -228.587011708993</t>
  </si>
  <si>
    <t>-440.979733387608 -25.9738018651515 219.399614747623</t>
  </si>
  <si>
    <t>-587.212405171416 -104.489818652294 659.050244539266</t>
  </si>
  <si>
    <t>-436.274990201287 -143.297320068098 740.630903278992</t>
  </si>
  <si>
    <t>9763-20170724T164421.186621200.bin</t>
  </si>
  <si>
    <t>-511.093104039956 102.206727979099 -239.742609396968</t>
  </si>
  <si>
    <t>-548.101885454488 92.1286449525148 -354.619015930712</t>
  </si>
  <si>
    <t>-560.217139819653 81.7235063866848 -474.766858965806</t>
  </si>
  <si>
    <t>-560.781468968372 72.5543820467751 -583.901951914964</t>
  </si>
  <si>
    <t>-551.058340803077 63.8492432505777 -692.642620431668</t>
  </si>
  <si>
    <t>-526.883617048779 52.4294758323434 -842.593235274023</t>
  </si>
  <si>
    <t>-476.1645066413 50.0612218823095 -930.93887914417</t>
  </si>
  <si>
    <t>-537.44651865491 89.1857393682349 -778.637525995842</t>
  </si>
  <si>
    <t>-553.939483274063 234.32611983079 -761.653089824896</t>
  </si>
  <si>
    <t>-603.379991399636 327.783970123815 -463.31183805317</t>
  </si>
  <si>
    <t>-428.407540415616 288.077888581328 -275.029915032625</t>
  </si>
  <si>
    <t>-537.713780701402 25.7789716938153 -773.851773175498</t>
  </si>
  <si>
    <t>-503.966603996249 199.05513226295 -250.216129580665</t>
  </si>
  <si>
    <t>-491.345253956621 198.34520225919 205.303183300552</t>
  </si>
  <si>
    <t>-499.516029427123 173.495402121654 674.374057316259</t>
  </si>
  <si>
    <t>-343.620938647543 171.574282071628 755.839017554964</t>
  </si>
  <si>
    <t>-518.110599813574 5.30382612983121 -228.568048573664</t>
  </si>
  <si>
    <t>-440.390619803212 -25.4855392008454 219.393195767568</t>
  </si>
  <si>
    <t>-587.129791604716 -105.188539752817 658.687883353423</t>
  </si>
  <si>
    <t>-435.95807057547 -142.837166852514 740.377593394906</t>
  </si>
  <si>
    <t>9763-20170724T164421.223725300.bin</t>
  </si>
  <si>
    <t>-510.670769965556 102.801895565896 -239.758211860222</t>
  </si>
  <si>
    <t>-547.851451827228 92.8042860642886 -354.58610236072</t>
  </si>
  <si>
    <t>-560.073450143153 82.4020328922648 -474.723443791546</t>
  </si>
  <si>
    <t>-560.704440520338 73.2056598648821 -583.85578659391</t>
  </si>
  <si>
    <t>-551.017378830688 64.4453712602619 -692.595314703987</t>
  </si>
  <si>
    <t>-526.860479728254 52.9212889791515 -842.540805254358</t>
  </si>
  <si>
    <t>-476.122821478135 50.4183611990328 -930.871957974388</t>
  </si>
  <si>
    <t>-537.327145103659 89.7226680700021 -778.595180412128</t>
  </si>
  <si>
    <t>-553.534088895429 234.909755083085 -761.670995553602</t>
  </si>
  <si>
    <t>-604.481350414183 328.931468148881 -463.760890136574</t>
  </si>
  <si>
    <t>-429.854766251825 288.795630327193 -275.248926765353</t>
  </si>
  <si>
    <t>-537.771121243955 26.3180312957883 -773.793774652952</t>
  </si>
  <si>
    <t>-503.343939863441 199.81278944921 -250.268479026785</t>
  </si>
  <si>
    <t>-490.915906501107 198.779340967196 205.255589944141</t>
  </si>
  <si>
    <t>-499.552159807629 173.636408228097 674.30873278097</t>
  </si>
  <si>
    <t>-343.726255845664 170.803544544912 755.879450723607</t>
  </si>
  <si>
    <t>-517.91942760331 5.83017741009739 -228.539010989735</t>
  </si>
  <si>
    <t>-440.067353277106 -25.105945001386 219.389188849172</t>
  </si>
  <si>
    <t>-587.024500923284 -105.507038702167 658.464111636622</t>
  </si>
  <si>
    <t>-435.941289122716 -142.893759702412 740.437298975083</t>
  </si>
  <si>
    <t>9763-20170724T164421.286892400.bin</t>
  </si>
  <si>
    <t>-509.921539503415 103.916738341253 -239.737626909306</t>
  </si>
  <si>
    <t>-547.39361554196 93.9276436097578 -354.471543692618</t>
  </si>
  <si>
    <t>-559.809745345278 83.4198874903762 -474.579732780694</t>
  </si>
  <si>
    <t>-560.571385687011 74.0833209765143 -583.69944503317</t>
  </si>
  <si>
    <t>-550.96835724364 65.1401766345319 -692.431450720252</t>
  </si>
  <si>
    <t>-526.87905200369 53.319232472965 -842.364644334646</t>
  </si>
  <si>
    <t>-476.065742527473 50.5264168218253 -930.643835222743</t>
  </si>
  <si>
    <t>-537.137158839002 90.2476217286406 -778.458608940007</t>
  </si>
  <si>
    <t>-552.886583049665 235.504804260417 -761.744068736512</t>
  </si>
  <si>
    <t>-606.674229176835 330.719916966072 -464.713560907927</t>
  </si>
  <si>
    <t>-433.069200390644 290.208676650996 -275.340445134121</t>
  </si>
  <si>
    <t>-537.938544565098 26.8516587864152 -773.589211542987</t>
  </si>
  <si>
    <t>-501.986823562044 200.900557634623 -250.381064101186</t>
  </si>
  <si>
    <t>-490.133613477507 199.393946576671 205.156986384562</t>
  </si>
  <si>
    <t>-499.443106968755 173.362000940695 674.165591697847</t>
  </si>
  <si>
    <t>-343.687988394881 170.565218363431 755.872551602379</t>
  </si>
  <si>
    <t>-517.724209348161 6.99139804261881 -228.385043922734</t>
  </si>
  <si>
    <t>-439.309951926227 -24.0613331250358 219.437044095278</t>
  </si>
  <si>
    <t>-586.839310260418 -105.296074786478 658.121746124052</t>
  </si>
  <si>
    <t>-436.142019810084 -142.996634428226 740.659652526188</t>
  </si>
  <si>
    <t>9763-20170724T164421.318979500.bin</t>
  </si>
  <si>
    <t>-509.541265999677 104.27908095457 -239.73886721237</t>
  </si>
  <si>
    <t>-547.164953567428 94.3508072514244 -354.428529124962</t>
  </si>
  <si>
    <t>-559.672262475011 83.7994972044241 -474.523427535937</t>
  </si>
  <si>
    <t>-560.488472491585 74.378489444455 -583.6353839757</t>
  </si>
  <si>
    <t>-550.910900668713 65.3048886835315 -692.358916894666</t>
  </si>
  <si>
    <t>-526.826126294804 53.2539356003352 -842.274607772922</t>
  </si>
  <si>
    <t>-475.968652898138 50.3054491611503 -930.523073380468</t>
  </si>
  <si>
    <t>-536.985060962539 90.2801445844153 -778.409369506432</t>
  </si>
  <si>
    <t>-552.720871662341 235.560818489384 -761.884770540709</t>
  </si>
  <si>
    <t>-607.807939224899 331.209283895119 -465.231798213477</t>
  </si>
  <si>
    <t>-434.696393371011 290.480674621954 -275.453949802</t>
  </si>
  <si>
    <t>-537.980740499326 26.8920947918188 -773.473751774001</t>
  </si>
  <si>
    <t>-501.420870679178 201.228916861533 -250.389673428744</t>
  </si>
  <si>
    <t>-489.703960075889 199.358108789649 205.15042334114</t>
  </si>
  <si>
    <t>-499.345600242476 172.878769848359 674.157502124358</t>
  </si>
  <si>
    <t>-343.595424653846 170.992151551112 755.9000565019</t>
  </si>
  <si>
    <t>-517.571726012517 7.34546450058292 -228.382154611799</t>
  </si>
  <si>
    <t>-439.143019708591 -23.8974544754745 219.424094810949</t>
  </si>
  <si>
    <t>-586.775343650972 -105.852704063135 658.008322012219</t>
  </si>
  <si>
    <t>-435.937536212772 -142.842916271007 740.610951148962</t>
  </si>
  <si>
    <t>9763-20170724T164421.385693600.bin</t>
  </si>
  <si>
    <t>-509.187953370514 105.320140057828 -239.604901761758</t>
  </si>
  <si>
    <t>-546.946509595272 95.7347242065173 -354.279343956685</t>
  </si>
  <si>
    <t>-559.552316122223 85.2387413983377 -474.368852385384</t>
  </si>
  <si>
    <t>-560.438276707246 75.7511169943191 -583.474546047311</t>
  </si>
  <si>
    <t>-550.908736330089 66.4960820353939 -692.186961991976</t>
  </si>
  <si>
    <t>-526.866561304031 54.0750250371679 -842.079178087553</t>
  </si>
  <si>
    <t>-475.896934694664 50.879626245522 -930.254425496585</t>
  </si>
  <si>
    <t>-536.862587815103 91.2580890970281 -778.279420385039</t>
  </si>
  <si>
    <t>-553.100946440075 236.524956416061 -762.28234079356</t>
  </si>
  <si>
    <t>-608.719878473963 331.849490771423 -465.624379815933</t>
  </si>
  <si>
    <t>-435.711210839151 290.832361020437 -275.81487800381</t>
  </si>
  <si>
    <t>-538.146329015871 27.8838113248033 -773.23364035688</t>
  </si>
  <si>
    <t>-500.717982836571 202.146036517768 -250.197881001489</t>
  </si>
  <si>
    <t>-488.761566311244 198.951021071509 205.328664045381</t>
  </si>
  <si>
    <t>-498.951969393652 171.237211140755 674.257496995189</t>
  </si>
  <si>
    <t>-343.555408580944 168.610277703236 756.649889114887</t>
  </si>
  <si>
    <t>-517.501070046418 8.44236175718228 -228.366071978263</t>
  </si>
  <si>
    <t>-439.057842153132 -23.3602841591669 219.398291581467</t>
  </si>
  <si>
    <t>-586.72901080981 -105.878964745517 657.820605480314</t>
  </si>
  <si>
    <t>-436.136992512847 -143.276186402196 740.687999950552</t>
  </si>
  <si>
    <t>9763-20170724T164421.417778900.bin</t>
  </si>
  <si>
    <t>-509.292214962484 105.727562947475 -239.400992010914</t>
  </si>
  <si>
    <t>-547.350169511349 96.4873514657272 -354.00479496582</t>
  </si>
  <si>
    <t>-560.129099733931 86.09888934483 -474.08538068854</t>
  </si>
  <si>
    <t>-561.113192460516 76.6212381698225 -583.191065548882</t>
  </si>
  <si>
    <t>-551.621452691517 67.2959558558695 -691.900690116023</t>
  </si>
  <si>
    <t>-527.568501863574 54.7003648776211 -841.776681688287</t>
  </si>
  <si>
    <t>-476.571977299215 51.3840608679068 -929.93183460391</t>
  </si>
  <si>
    <t>-537.505544618138 91.9571399530391 -778.010596675694</t>
  </si>
  <si>
    <t>-553.993111506607 237.212939838014 -762.230696274557</t>
  </si>
  <si>
    <t>-608.381975806384 331.416343091643 -464.987094145581</t>
  </si>
  <si>
    <t>-435.264713950145 290.293477819657 -275.29964281356</t>
  </si>
  <si>
    <t>-538.916881683974 28.5899142270441 -772.911780005362</t>
  </si>
  <si>
    <t>-500.696170303883 202.409459952503 -249.960833795895</t>
  </si>
  <si>
    <t>-488.052191261584 198.028231240513 205.537288738845</t>
  </si>
  <si>
    <t>-498.626928256333 169.637860573764 674.460764889585</t>
  </si>
  <si>
    <t>-343.509948457525 167.963575892185 757.403030147232</t>
  </si>
  <si>
    <t>-517.956413495043 8.95915832922753 -228.23870232714</t>
  </si>
  <si>
    <t>-438.908797819307 -23.1815503265127 219.395257007898</t>
  </si>
  <si>
    <t>-586.759903321013 -105.86431277546 657.652961617291</t>
  </si>
  <si>
    <t>-436.112722307628 -143.016519219923 740.530148199052</t>
  </si>
  <si>
    <t>9763-20170724T164421.486468400.bin</t>
  </si>
  <si>
    <t>-509.694035134789 107.59374524773 -239.011289499638</t>
  </si>
  <si>
    <t>-548.411355709057 98.9501645827364 -353.44063454145</t>
  </si>
  <si>
    <t>-561.599427344342 88.756675781451 -473.493722947674</t>
  </si>
  <si>
    <t>-562.83686296018 79.3205545304183 -582.600366260078</t>
  </si>
  <si>
    <t>-553.477583559396 69.9227232511468 -691.315320644628</t>
  </si>
  <si>
    <t>-529.481712466228 57.1259085068172 -841.183305763018</t>
  </si>
  <si>
    <t>-478.43181718457 53.601815397908 -929.299574095062</t>
  </si>
  <si>
    <t>-539.187173627885 94.4656569816803 -777.430270696779</t>
  </si>
  <si>
    <t>-555.429700042679 239.810912774225 -762.006766931792</t>
  </si>
  <si>
    <t>-605.437727387356 329.931993377299 -462.735105378185</t>
  </si>
  <si>
    <t>-432.241226203128 289.361777203399 -273.000746589165</t>
  </si>
  <si>
    <t>-541.011124270183 31.1104968891609 -772.312565768984</t>
  </si>
  <si>
    <t>-500.208619044862 204.309481554773 -249.46564150546</t>
  </si>
  <si>
    <t>-486.321439016556 197.933323420913 205.972740757219</t>
  </si>
  <si>
    <t>-498.72875634001 168.322165349946 674.850263401763</t>
  </si>
  <si>
    <t>-344.1466942411 165.252630975895 758.74586795519</t>
  </si>
  <si>
    <t>-519.116530790278 10.925167657369 -227.863243826306</t>
  </si>
  <si>
    <t>-438.385940073226 -22.0306044756224 219.410896873266</t>
  </si>
  <si>
    <t>-586.764192671457 -105.353197958007 657.108840563303</t>
  </si>
  <si>
    <t>-436.651196010902 -144.154440489068 740.199577371999</t>
  </si>
  <si>
    <t>9763-20170724T164421.518554000.bin</t>
  </si>
  <si>
    <t>-509.529619394937 108.417367758621 -238.864254695637</t>
  </si>
  <si>
    <t>-548.504777435607 100.014360236056 -353.223874446847</t>
  </si>
  <si>
    <t>-561.865312311537 89.9312476435778 -473.267155485335</t>
  </si>
  <si>
    <t>-563.218037405015 80.5540960224541 -582.377563296676</t>
  </si>
  <si>
    <t>-553.931727433402 71.1834552415036 -691.101261489397</t>
  </si>
  <si>
    <t>-529.992769245622 58.3994483281336 -840.979422169644</t>
  </si>
  <si>
    <t>-478.911185405442 54.7869992856331 -929.073747837024</t>
  </si>
  <si>
    <t>-539.532110686678 95.7312712660265 -777.196565722224</t>
  </si>
  <si>
    <t>-555.327172091679 241.120867178936 -761.92491229563</t>
  </si>
  <si>
    <t>-601.586716535378 328.927828663558 -461.365174987675</t>
  </si>
  <si>
    <t>-428.25648672062 288.839351553986 -271.6506703942</t>
  </si>
  <si>
    <t>-541.63793552376 32.3807458548677 -772.129359865612</t>
  </si>
  <si>
    <t>-499.410928269771 205.154717664232 -249.383659398491</t>
  </si>
  <si>
    <t>-485.175126955906 198.046135129291 206.033235959979</t>
  </si>
  <si>
    <t>-498.63032079865 167.716647306664 674.711697205535</t>
  </si>
  <si>
    <t>-344.331970331907 164.044104914324 759.104000191832</t>
  </si>
  <si>
    <t>-519.456454944925 11.6857042824835 -227.686660672269</t>
  </si>
  <si>
    <t>-438.041357340536 -21.9451881255931 219.413021191163</t>
  </si>
  <si>
    <t>-586.781813005383 -105.862207645941 656.878772349834</t>
  </si>
  <si>
    <t>-436.427950437809 -143.655291315198 739.998610444212</t>
  </si>
  <si>
    <t>9763-20170724T164421.590767900.bin</t>
  </si>
  <si>
    <t>-508.351247200343 110.159172153903 -238.909280891643</t>
  </si>
  <si>
    <t>-547.679469279843 102.199012215647 -353.179709615236</t>
  </si>
  <si>
    <t>-561.409142429157 92.3248135546386 -473.198697641058</t>
  </si>
  <si>
    <t>-563.093498067717 83.053557398449 -582.313664709784</t>
  </si>
  <si>
    <t>-554.132218101813 73.7172907431333 -691.067408841548</t>
  </si>
  <si>
    <t>-530.634742482449 60.9156048396726 -841.014016443189</t>
  </si>
  <si>
    <t>-479.584273780492 56.9949657530042 -929.113171199142</t>
  </si>
  <si>
    <t>-539.610391063577 98.2449828599886 -777.147920599711</t>
  </si>
  <si>
    <t>-553.933663737371 243.842177524018 -762.044681004185</t>
  </si>
  <si>
    <t>-589.112471314273 326.346263842576 -458.496201649737</t>
  </si>
  <si>
    <t>-414.73411781618 286.229450436583 -269.750604673601</t>
  </si>
  <si>
    <t>-542.452864805049 34.9148688595488 -772.186695256912</t>
  </si>
  <si>
    <t>-496.797610040897 206.840230355993 -249.65553099983</t>
  </si>
  <si>
    <t>-482.500441967914 198.514532993257 205.738654963058</t>
  </si>
  <si>
    <t>-498.262012235942 166.908124432234 674.172171275774</t>
  </si>
  <si>
    <t>-344.45331777105 162.899225934952 759.438509489736</t>
  </si>
  <si>
    <t>-519.667256805159 13.4738695440366 -227.485183256362</t>
  </si>
  <si>
    <t>-436.937362617414 -21.5936341018044 219.26280286253</t>
  </si>
  <si>
    <t>-586.780828998676 -105.821506602459 656.273757077375</t>
  </si>
  <si>
    <t>-436.857659815913 -144.358048178835 739.829048852363</t>
  </si>
  <si>
    <t>9763-20170724T164421.621852500.bin</t>
  </si>
  <si>
    <t>-507.528067302217 110.949752069699 -239.081236332452</t>
  </si>
  <si>
    <t>-546.968544850263 103.187440059245 -353.326547889286</t>
  </si>
  <si>
    <t>-560.93151789428 93.4270487787967 -473.327944011902</t>
  </si>
  <si>
    <t>-562.873744280463 84.2200786261632 -582.444022481884</t>
  </si>
  <si>
    <t>-554.214226247631 74.9082842181478 -691.224229710718</t>
  </si>
  <si>
    <t>-531.178480804301 62.0978384806067 -841.241726816252</t>
  </si>
  <si>
    <t>-480.239898702667 57.9735462326377 -929.396389824907</t>
  </si>
  <si>
    <t>-539.715346323061 99.4222039286394 -777.312644830796</t>
  </si>
  <si>
    <t>-553.049253910151 245.093920472789 -762.303953578619</t>
  </si>
  <si>
    <t>-581.653242231909 324.929125391159 -457.354309869669</t>
  </si>
  <si>
    <t>-406.84604775474 283.828179658459 -269.218153845584</t>
  </si>
  <si>
    <t>-543.026790013984 36.1099605661871 -772.414764349503</t>
  </si>
  <si>
    <t>-495.258072427971 207.656263869399 -249.940254299429</t>
  </si>
  <si>
    <t>-481.228636779433 198.825874647925 205.452820753438</t>
  </si>
  <si>
    <t>-497.996443781904 166.727823447569 673.754679790533</t>
  </si>
  <si>
    <t>-344.558951508838 162.145981761101 759.658382106382</t>
  </si>
  <si>
    <t>-519.549741037761 14.2627461850393 -227.533961448707</t>
  </si>
  <si>
    <t>-436.406146174423 -21.2609020948723 219.101169031067</t>
  </si>
  <si>
    <t>-586.820035728757 -105.678223516082 655.982518034128</t>
  </si>
  <si>
    <t>-437.176597807045 -144.938255585448 739.702150300261</t>
  </si>
  <si>
    <t>9763-20170724T164421.690036300.bin</t>
  </si>
  <si>
    <t>-505.640297981895 112.404787927862 -239.188096277396</t>
  </si>
  <si>
    <t>-545.029289122484 104.987849914915 -353.474183527843</t>
  </si>
  <si>
    <t>-559.333610998795 95.4775162749177 -473.455461339301</t>
  </si>
  <si>
    <t>-561.745384530799 86.4340538366896 -582.57586307106</t>
  </si>
  <si>
    <t>-553.711513398761 77.2119425364967 -691.411783784133</t>
  </si>
  <si>
    <t>-531.700811479175 64.4381974713883 -841.586183692362</t>
  </si>
  <si>
    <t>-481.1558400053 59.8209493518818 -929.942682328934</t>
  </si>
  <si>
    <t>-539.23630790275 101.71914050935 -777.5059275323</t>
  </si>
  <si>
    <t>-549.760614224542 247.621512919112 -762.460777559785</t>
  </si>
  <si>
    <t>-564.521329588255 323.260112973058 -455.463808838614</t>
  </si>
  <si>
    <t>-389.135236032598 278.320877632313 -268.749432889333</t>
  </si>
  <si>
    <t>-543.643457546326 38.461268289786 -772.771342608436</t>
  </si>
  <si>
    <t>-492.185087774388 209.176351349365 -250.228303549943</t>
  </si>
  <si>
    <t>-479.275063090903 199.374283138175 205.178062864197</t>
  </si>
  <si>
    <t>-497.933655557947 166.597301195136 673.496541185031</t>
  </si>
  <si>
    <t>-344.740429583076 161.477635513263 759.804870765524</t>
  </si>
  <si>
    <t>-518.920702820138 15.7310847738081 -227.447857582027</t>
  </si>
  <si>
    <t>-435.331698685897 -20.8239045699693 219.02070127329</t>
  </si>
  <si>
    <t>-586.968756171056 -105.823667208422 655.459319075636</t>
  </si>
  <si>
    <t>-437.471446332217 -145.385993831879 739.297704159085</t>
  </si>
  <si>
    <t>9763-20170724T164421.721121200.bin</t>
  </si>
  <si>
    <t>-504.636555463996 113.236415047728 -239.099053251428</t>
  </si>
  <si>
    <t>-544.086452077463 105.97371518278 -353.374070766625</t>
  </si>
  <si>
    <t>-558.606923778665 96.6221999830799 -473.341898383265</t>
  </si>
  <si>
    <t>-561.277465941319 87.7091353444652 -582.466826794195</t>
  </si>
  <si>
    <t>-553.5633181445 78.5970315533465 -691.335313976908</t>
  </si>
  <si>
    <t>-532.057305470348 65.9475338821432 -841.593223415675</t>
  </si>
  <si>
    <t>-481.764530833544 61.0847846214203 -930.080434205555</t>
  </si>
  <si>
    <t>-539.061754692891 103.155351939603 -777.410489407762</t>
  </si>
  <si>
    <t>-547.945459479962 249.141136909313 -762.170443411835</t>
  </si>
  <si>
    <t>-555.703949117246 321.907842686256 -454.223973874944</t>
  </si>
  <si>
    <t>-379.198014271789 275.24135581961 -268.994606270309</t>
  </si>
  <si>
    <t>-544.084352045842 39.9336780571132 -772.807031896256</t>
  </si>
  <si>
    <t>-490.561649838928 209.835237028774 -250.209235116438</t>
  </si>
  <si>
    <t>-478.297657859759 199.623393773271 205.205944558944</t>
  </si>
  <si>
    <t>-497.799278934649 166.149634833053 673.463034834304</t>
  </si>
  <si>
    <t>-344.650017289789 160.829317426296 759.837206713618</t>
  </si>
  <si>
    <t>-518.56104931851 16.7437955662671 -227.209078942676</t>
  </si>
  <si>
    <t>-434.58994086454 -20.4101111354756 219.138384703973</t>
  </si>
  <si>
    <t>-587.063072848595 -105.460930348516 655.207136857819</t>
  </si>
  <si>
    <t>-437.702364947943 -145.594816673484 739.017387892143</t>
  </si>
  <si>
    <t>9763-20170724T164421.789051500.bin</t>
  </si>
  <si>
    <t>-502.193473186424 115.370895928181 -238.895276011387</t>
  </si>
  <si>
    <t>-541.861751283393 108.416147641434 -353.113854999422</t>
  </si>
  <si>
    <t>-556.84511677757 99.435051667177 -473.052924645016</t>
  </si>
  <si>
    <t>-560.032472778718 90.8574376551728 -582.190953447244</t>
  </si>
  <si>
    <t>-552.929670427839 82.0699477465773 -691.127620260061</t>
  </si>
  <si>
    <t>-532.366570129715 69.8488059893403 -841.553030818459</t>
  </si>
  <si>
    <t>-482.493435532756 64.4944229118785 -930.24914175369</t>
  </si>
  <si>
    <t>-538.291877201801 106.819550766181 -777.124988180451</t>
  </si>
  <si>
    <t>-543.118315126337 252.951273561737 -760.930034472383</t>
  </si>
  <si>
    <t>-536.962485158777 323.0362414455 -452.326049882437</t>
  </si>
  <si>
    <t>-359.252939587562 274.003560830052 -268.867141772756</t>
  </si>
  <si>
    <t>-544.63834237544 43.6930158729174 -772.86393082335</t>
  </si>
  <si>
    <t>-486.558162594668 211.717568755514 -250.47889502813</t>
  </si>
  <si>
    <t>-475.720924332452 200.969692968429 204.960126723985</t>
  </si>
  <si>
    <t>-497.506773026007 166.597827333956 672.779971429311</t>
  </si>
  <si>
    <t>-344.650941536214 159.512596081343 759.546265461665</t>
  </si>
  <si>
    <t>-517.64905227764 19.1403347321293 -226.622567567042</t>
  </si>
  <si>
    <t>-432.478366936636 -19.5762147163322 219.364725006223</t>
  </si>
  <si>
    <t>-587.225178083097 -105.268613577409 654.49104039067</t>
  </si>
  <si>
    <t>-438.13110023345 -146.515132989511 738.235889972247</t>
  </si>
  <si>
    <t>9763-20170724T164421.817125400.bin</t>
  </si>
  <si>
    <t>-500.726514653872 116.158549542145 -238.803506961526</t>
  </si>
  <si>
    <t>-540.450570174985 109.402056156933 -353.01459138912</t>
  </si>
  <si>
    <t>-555.592569289431 100.628802778034 -472.949159900882</t>
  </si>
  <si>
    <t>-558.965245572256 92.2321683516714 -582.095761024931</t>
  </si>
  <si>
    <t>-552.08814462244 83.614246100949 -691.06044789334</t>
  </si>
  <si>
    <t>-531.878622445858 71.6119421207721 -841.551299296011</t>
  </si>
  <si>
    <t>-482.137478885378 66.1125322112612 -930.312566407752</t>
  </si>
  <si>
    <t>-537.301368183972 108.454952697713 -777.00598783363</t>
  </si>
  <si>
    <t>-540.323250995145 254.558314703174 -760.462624347881</t>
  </si>
  <si>
    <t>-529.375303843622 322.849412572664 -451.589361277675</t>
  </si>
  <si>
    <t>-352.171761566783 271.185211014892 -268.363391773876</t>
  </si>
  <si>
    <t>-544.340122575061 45.3901422487256 -772.921524475563</t>
  </si>
  <si>
    <t>-484.248112066553 212.353242335263 -250.431691432701</t>
  </si>
  <si>
    <t>-474.172160095126 201.352308372521 205.018788645304</t>
  </si>
  <si>
    <t>-497.656620010698 166.23071374068 673.000144032031</t>
  </si>
  <si>
    <t>-344.641232567202 159.575287322178 759.518920048556</t>
  </si>
  <si>
    <t>-516.969575475702 19.9058146462016 -226.483130568856</t>
  </si>
  <si>
    <t>-431.545200256657 -18.997384886949 219.439313227393</t>
  </si>
  <si>
    <t>-587.305167422006 -105.058980877587 654.186670722214</t>
  </si>
  <si>
    <t>-438.245673080216 -146.626843331845 737.834100186139</t>
  </si>
  <si>
    <t>9763-20170724T164421.887216900.bin</t>
  </si>
  <si>
    <t>-498.382509324504 117.915142088603 -238.016823170717</t>
  </si>
  <si>
    <t>-538.17925138226 111.687915162434 -352.232667979122</t>
  </si>
  <si>
    <t>-553.40714723302 103.455555580321 -472.194789181423</t>
  </si>
  <si>
    <t>-556.862388798924 95.5362991241618 -581.374473169856</t>
  </si>
  <si>
    <t>-550.071761704105 87.3784273359908 -690.379869462421</t>
  </si>
  <si>
    <t>-529.985595003605 75.9907515156602 -840.935052477095</t>
  </si>
  <si>
    <t>-480.323824005187 70.3723835258252 -929.733283310097</t>
  </si>
  <si>
    <t>-534.694150020226 112.494737809414 -776.141531525353</t>
  </si>
  <si>
    <t>-534.15805568978 258.52452056649 -758.734327851241</t>
  </si>
  <si>
    <t>-516.830655169001 325.065201043031 -449.771104600267</t>
  </si>
  <si>
    <t>-340.689850841177 269.956498833375 -266.523978908081</t>
  </si>
  <si>
    <t>-543.052018295497 49.5641505321188 -772.496622958059</t>
  </si>
  <si>
    <t>-480.375582561086 213.924005446921 -249.623871754415</t>
  </si>
  <si>
    <t>-471.448376901165 202.290233518806 205.834852138525</t>
  </si>
  <si>
    <t>-498.37227807423 166.313168973449 673.718043325805</t>
  </si>
  <si>
    <t>-344.792497157487 159.21981300379 759.195738930565</t>
  </si>
  <si>
    <t>-516.336699945256 22.0395375773983 -225.587154199756</t>
  </si>
  <si>
    <t>-429.766584266779 -18.0438518978554 220.009693503318</t>
  </si>
  <si>
    <t>-587.467703675401 -104.500456199434 653.832072101655</t>
  </si>
  <si>
    <t>-438.838385879812 -147.833039297049 737.349210377173</t>
  </si>
  <si>
    <t>9763-20170724T164421.967438700.bin</t>
  </si>
  <si>
    <t>-497.363310212519 118.740914100764 -237.468776142752</t>
  </si>
  <si>
    <t>-537.208416370111 112.807505608216 -351.683383782046</t>
  </si>
  <si>
    <t>-552.450526762047 104.853266448548 -471.662305405781</t>
  </si>
  <si>
    <t>-555.903938177329 97.1739914127347 -580.859152486719</t>
  </si>
  <si>
    <t>-549.096345539646 89.2436800831238 -689.880349161763</t>
  </si>
  <si>
    <t>-528.970965409538 78.1576744063415 -840.452819505687</t>
  </si>
  <si>
    <t>-479.282677391284 72.5120269509256 -929.234572138374</t>
  </si>
  <si>
    <t>-533.419376952284 114.495942293438 -775.547782234151</t>
  </si>
  <si>
    <t>-531.469813851168 260.460833250033 -757.782620881228</t>
  </si>
  <si>
    <t>-512.073232760777 326.06478141005 -448.742130363515</t>
  </si>
  <si>
    <t>-336.303423050695 269.730062429339 -265.511613650253</t>
  </si>
  <si>
    <t>-542.332298024948 51.6298457754118 -772.110599527561</t>
  </si>
  <si>
    <t>-478.708778585423 214.633365547671 -249.048205484191</t>
  </si>
  <si>
    <t>-470.314955890085 202.706662986143 206.41309279427</t>
  </si>
  <si>
    <t>-498.853147609739 166.483442938556 674.210433656623</t>
  </si>
  <si>
    <t>-345.047681901207 158.4510704384 759.197861739617</t>
  </si>
  <si>
    <t>-515.890205713337 23.0083585230313 -225.061319011298</t>
  </si>
  <si>
    <t>-428.901312118329 -17.7893219937902 220.389149778495</t>
  </si>
  <si>
    <t>-587.585206674137 -104.241985372328 653.791411584785</t>
  </si>
  <si>
    <t>-438.916595885698 -147.671704119492 737.188130634546</t>
  </si>
  <si>
    <t>9763-20170724T164422.018574800.bin</t>
  </si>
  <si>
    <t>-494.548249077507 120.298290677733 -236.49477798122</t>
  </si>
  <si>
    <t>-534.160481543677 114.994536131431 -350.821231024251</t>
  </si>
  <si>
    <t>-549.076971877944 107.747092811883 -470.885965847902</t>
  </si>
  <si>
    <t>-552.202069377674 100.731127601742 -580.137357741867</t>
  </si>
  <si>
    <t>-545.034816554686 93.4877021241662 -689.183247350099</t>
  </si>
  <si>
    <t>-524.379980232075 83.3792585304557 -839.752875623813</t>
  </si>
  <si>
    <t>-474.360713580433 77.9719049856895 -928.363363040907</t>
  </si>
  <si>
    <t>-528.532989597663 119.220176041811 -774.552417691693</t>
  </si>
  <si>
    <t>-523.472987779864 264.953692604539 -755.567439009325</t>
  </si>
  <si>
    <t>-498.795837036206 324.816572641037 -445.739014490067</t>
  </si>
  <si>
    <t>-325.079955331888 261.937233441221 -262.678691474966</t>
  </si>
  <si>
    <t>-538.505204411361 56.483707429582 -771.708541028385</t>
  </si>
  <si>
    <t>-474.310411972039 216.164074758202 -248.159548401831</t>
  </si>
  <si>
    <t>-467.902654267356 203.513928146422 207.314522630317</t>
  </si>
  <si>
    <t>-499.250906442842 167.119082818156 674.552953471139</t>
  </si>
  <si>
    <t>-345.220524062185 157.728001498082 758.992007037793</t>
  </si>
  <si>
    <t>-514.421948695331 24.6045201670221 -224.243844457109</t>
  </si>
  <si>
    <t>-427.6101510086 -17.1103870548002 221.156336091873</t>
  </si>
  <si>
    <t>-587.921867865592 -104.039857454128 653.761036809918</t>
  </si>
  <si>
    <t>-439.333592209861 -148.562639964455 736.723424477851</t>
  </si>
  <si>
    <t>9763-20170724T164422.057712500.bin</t>
  </si>
  <si>
    <t>-493.910683852701 120.815056666473 -236.426917133471</t>
  </si>
  <si>
    <t>-533.394445095152 115.652127711721 -350.804182729612</t>
  </si>
  <si>
    <t>-548.097077347682 108.677190229125 -470.911510963349</t>
  </si>
  <si>
    <t>-550.997128334754 101.957987885471 -580.187663488032</t>
  </si>
  <si>
    <t>-543.575561223394 95.0600805016968 -689.239022754287</t>
  </si>
  <si>
    <t>-522.539485331364 85.4809567086033 -839.790542586783</t>
  </si>
  <si>
    <t>-472.327196367661 80.3248970174864 -928.306634261642</t>
  </si>
  <si>
    <t>-526.802557068184 121.083986650558 -774.466925145613</t>
  </si>
  <si>
    <t>-521.307138751166 266.736860880848 -754.962971209305</t>
  </si>
  <si>
    <t>-494.399587156366 324.303217280635 -444.885054861423</t>
  </si>
  <si>
    <t>-320.828430179634 258.2655431453 -262.802372255017</t>
  </si>
  <si>
    <t>-536.892110168348 58.354921089379 -771.885361861895</t>
  </si>
  <si>
    <t>-473.481041606778 216.54490760081 -248.058905650044</t>
  </si>
  <si>
    <t>-467.53408347596 203.745317438211 207.417198839984</t>
  </si>
  <si>
    <t>-499.197416235769 166.883678576125 674.653316061546</t>
  </si>
  <si>
    <t>-345.190897452324 157.248889546232 759.108504555623</t>
  </si>
  <si>
    <t>-514.107747645121 25.2731365383139 -224.174133980964</t>
  </si>
  <si>
    <t>-427.37369368199 -16.8317525515085 221.20437817252</t>
  </si>
  <si>
    <t>-588.004492463779 -103.583859270946 653.657292148191</t>
  </si>
  <si>
    <t>-439.565665325282 -148.736755378413 736.546540886494</t>
  </si>
  <si>
    <t>9763-20170724T164422.119876800.bin</t>
  </si>
  <si>
    <t>-493.161417380231 121.127031322873 -236.70593193661</t>
  </si>
  <si>
    <t>-532.357242414004 116.004138014329 -351.183917066616</t>
  </si>
  <si>
    <t>-546.506062359122 109.456293623505 -471.381747195515</t>
  </si>
  <si>
    <t>-548.804683552997 103.271989414013 -580.703946964823</t>
  </si>
  <si>
    <t>-540.68812208178 97.0520314917609 -689.74653574793</t>
  </si>
  <si>
    <t>-518.596429719707 88.558141407712 -840.21188464655</t>
  </si>
  <si>
    <t>-467.882852506051 84.059207780922 -928.477707639948</t>
  </si>
  <si>
    <t>-523.359103140896 123.695644272033 -774.671041994272</t>
  </si>
  <si>
    <t>-517.841005840006 269.170494757944 -754.035680287379</t>
  </si>
  <si>
    <t>-482.656371767052 323.074228757962 -444.128127363377</t>
  </si>
  <si>
    <t>-308.505479621187 248.574429326242 -265.905518615855</t>
  </si>
  <si>
    <t>-533.383556065321 60.937261698936 -772.6001666684</t>
  </si>
  <si>
    <t>-472.698120390651 216.584914040797 -248.316817900851</t>
  </si>
  <si>
    <t>-467.040435809186 203.567474056607 207.156752088307</t>
  </si>
  <si>
    <t>-498.445191781731 165.977070331865 674.087153359918</t>
  </si>
  <si>
    <t>-344.801405525754 157.281078549429 759.301458000842</t>
  </si>
  <si>
    <t>-513.397670316425 25.654309300178 -224.573511685358</t>
  </si>
  <si>
    <t>-426.868019106281 -16.374293775492 220.852005362793</t>
  </si>
  <si>
    <t>-588.123270768265 -103.523258449421 653.203753981961</t>
  </si>
  <si>
    <t>-439.623796541622 -148.641444134874 736.003302852519</t>
  </si>
  <si>
    <t>9763-20170724T164422.185060800.bin</t>
  </si>
  <si>
    <t>-492.984191468219 121.597288098224 -237.188076330222</t>
  </si>
  <si>
    <t>-531.921649175163 116.35145166176 -351.748879000393</t>
  </si>
  <si>
    <t>-545.696929208036 110.160299242186 -472.008911141129</t>
  </si>
  <si>
    <t>-547.619313700689 104.477111460415 -581.36553231651</t>
  </si>
  <si>
    <t>-539.093810019995 98.925289104904 -690.412940992548</t>
  </si>
  <si>
    <t>-516.405076118711 91.5232303002113 -840.846999164935</t>
  </si>
  <si>
    <t>-465.217719946394 87.6769321364866 -928.870035289696</t>
  </si>
  <si>
    <t>-521.488771513633 126.193587810609 -775.082058429534</t>
  </si>
  <si>
    <t>-515.198935525977 271.411135979976 -752.754157657254</t>
  </si>
  <si>
    <t>-471.214826903018 323.696435197635 -443.694564580963</t>
  </si>
  <si>
    <t>-294.463579607992 244.428539221286 -270.150271369726</t>
  </si>
  <si>
    <t>-531.399464386846 63.4032098094795 -773.487218167906</t>
  </si>
  <si>
    <t>-472.978837185987 217.095139935422 -248.624917597309</t>
  </si>
  <si>
    <t>-467.418481846795 203.920502227851 206.845322189765</t>
  </si>
  <si>
    <t>-498.253971740111 165.782825111153 674.031889172539</t>
  </si>
  <si>
    <t>-344.675618479729 157.718383339139 759.426208178821</t>
  </si>
  <si>
    <t>-512.941638517857 26.1340333475604 -225.121710516596</t>
  </si>
  <si>
    <t>-426.516112274785 -15.6849894098735 220.343748010935</t>
  </si>
  <si>
    <t>-588.13631379041 -103.796645674288 652.456781609783</t>
  </si>
  <si>
    <t>-439.38620945906 -148.024191632516 735.286985850975</t>
  </si>
  <si>
    <t>9763-20170724T164422.221155800.bin</t>
  </si>
  <si>
    <t>-493.034556291056 122.055403378191 -237.360856272602</t>
  </si>
  <si>
    <t>-531.844022599997 116.713408819396 -351.96056037638</t>
  </si>
  <si>
    <t>-545.436928641677 110.65439663931 -472.248029400329</t>
  </si>
  <si>
    <t>-547.176352497622 105.176017779559 -581.61824277228</t>
  </si>
  <si>
    <t>-538.452100771904 99.9087779926003 -690.663904297556</t>
  </si>
  <si>
    <t>-515.473672817271 92.980440254932 -841.07676408767</t>
  </si>
  <si>
    <t>-464.059966599195 89.4759227050126 -928.98202033144</t>
  </si>
  <si>
    <t>-520.69838578572 127.445747805038 -775.21501932286</t>
  </si>
  <si>
    <t>-514.2411171429 272.641988909771 -752.416431114846</t>
  </si>
  <si>
    <t>-466.738364074562 321.816670136748 -443.366952438811</t>
  </si>
  <si>
    <t>-288.546421899689 241.867473334207 -271.617854389583</t>
  </si>
  <si>
    <t>-530.583518237019 64.6462750169378 -773.832590130348</t>
  </si>
  <si>
    <t>-473.210472434259 217.494768412014 -248.645761942316</t>
  </si>
  <si>
    <t>-467.96549944421 204.269533207752 206.826836608331</t>
  </si>
  <si>
    <t>-498.30633688284 165.919853420005 674.131952138109</t>
  </si>
  <si>
    <t>-344.643134902412 157.840461546448 759.371973830556</t>
  </si>
  <si>
    <t>-512.757086004758 26.604983974921 -225.39092173592</t>
  </si>
  <si>
    <t>-426.50857817704 -14.9688951153555 220.131857447856</t>
  </si>
  <si>
    <t>-588.087732826204 -103.397915929674 652.119126503436</t>
  </si>
  <si>
    <t>-439.530715257084 -148.132890611115 735.023343560374</t>
  </si>
  <si>
    <t>9763-20170724T164422.287340900.bin</t>
  </si>
  <si>
    <t>-493.240727138353 122.475604042242 -237.56379855344</t>
  </si>
  <si>
    <t>-531.613602475506 117.033734619217 -352.30570990938</t>
  </si>
  <si>
    <t>-544.642528861471 111.123662894422 -472.663072766924</t>
  </si>
  <si>
    <t>-545.828595414973 105.878051824352 -582.05195076946</t>
  </si>
  <si>
    <t>-536.513774402405 100.938781896835 -691.064186688352</t>
  </si>
  <si>
    <t>-512.681519708167 94.5624233890657 -841.368485151039</t>
  </si>
  <si>
    <t>-460.789478593062 91.6122419470952 -929.012708286017</t>
  </si>
  <si>
    <t>-518.38686208793 128.802032776979 -775.42896596719</t>
  </si>
  <si>
    <t>-511.892560082332 273.885693977714 -752.152905677619</t>
  </si>
  <si>
    <t>-459.436938868995 320.203486040155 -443.463329956682</t>
  </si>
  <si>
    <t>-279.869344350977 239.785172232187 -273.373902944108</t>
  </si>
  <si>
    <t>-528.066246208515 65.9655469318917 -774.298040146902</t>
  </si>
  <si>
    <t>-473.601438108102 218.153759369562 -248.702314309151</t>
  </si>
  <si>
    <t>-468.866211019567 204.707948944649 206.769411066092</t>
  </si>
  <si>
    <t>-498.22610786715 166.040609427526 674.022247559631</t>
  </si>
  <si>
    <t>-344.562740969402 157.716081057305 759.238457563774</t>
  </si>
  <si>
    <t>-512.74850379366 26.7972786803016 -225.775838271337</t>
  </si>
  <si>
    <t>-426.686522532325 -14.5917077067538 219.800077789207</t>
  </si>
  <si>
    <t>-588.091159159241 -104.171532711524 651.709245507134</t>
  </si>
  <si>
    <t>-439.088052914183 -147.34642093287 734.640074443902</t>
  </si>
  <si>
    <t>9763-20170724T164422.320433000.bin</t>
  </si>
  <si>
    <t>-493.397533398462 122.77988308589 -237.684690835019</t>
  </si>
  <si>
    <t>-531.644043156919 117.325656214423 -352.468286751263</t>
  </si>
  <si>
    <t>-544.387319129167 111.454463286809 -472.858083943407</t>
  </si>
  <si>
    <t>-545.252400019299 106.265706165121 -582.252601584805</t>
  </si>
  <si>
    <t>-535.556735164157 101.404576250127 -691.235334397367</t>
  </si>
  <si>
    <t>-511.136869884691 95.1594331960447 -841.450717660406</t>
  </si>
  <si>
    <t>-458.98368569832 92.454345505304 -928.94754811929</t>
  </si>
  <si>
    <t>-517.165213325589 129.351254625938 -775.515117684765</t>
  </si>
  <si>
    <t>-510.965388962577 274.411793070068 -752.143653777036</t>
  </si>
  <si>
    <t>-457.180656993217 319.195752438717 -443.456600638808</t>
  </si>
  <si>
    <t>-276.35531904501 239.461985098603 -274.380357903426</t>
  </si>
  <si>
    <t>-526.718630339739 66.494211831122 -774.455046901981</t>
  </si>
  <si>
    <t>-473.899083004899 218.306593768841 -248.741584999375</t>
  </si>
  <si>
    <t>-469.060322538242 204.696473203912 206.724119325189</t>
  </si>
  <si>
    <t>-498.222952241107 165.359543508738 674.017183368591</t>
  </si>
  <si>
    <t>-344.479355219898 158.325571358577 759.204889168585</t>
  </si>
  <si>
    <t>-512.80016450559 27.2713545302187 -225.982745655309</t>
  </si>
  <si>
    <t>-426.897707086615 -14.4280990392122 219.595083085864</t>
  </si>
  <si>
    <t>-588.125366509766 -104.087519223788 651.554960851831</t>
  </si>
  <si>
    <t>-439.152607740006 -147.362524950244 734.488129754594</t>
  </si>
  <si>
    <t>9763-20170724T164422.389617900.bin</t>
  </si>
  <si>
    <t>-493.765628032823 123.967056642584 -237.846816706628</t>
  </si>
  <si>
    <t>-531.768244264682 118.47497486302 -352.709608904484</t>
  </si>
  <si>
    <t>-544.059640558356 112.645138564562 -473.148339143903</t>
  </si>
  <si>
    <t>-544.435383486413 107.527585075346 -582.548986863704</t>
  </si>
  <si>
    <t>-534.174713460908 102.771590777248 -691.484507870151</t>
  </si>
  <si>
    <t>-508.89618733515 96.7077310024185 -841.565221672087</t>
  </si>
  <si>
    <t>-456.288973438596 94.274177120383 -928.798030975906</t>
  </si>
  <si>
    <t>-515.457623122403 130.842838457779 -775.651273390598</t>
  </si>
  <si>
    <t>-510.119839174351 275.916850357776 -752.217516382769</t>
  </si>
  <si>
    <t>-452.651206387394 316.727780602062 -443.643325753247</t>
  </si>
  <si>
    <t>-266.534971449466 238.353584976759 -279.752303052119</t>
  </si>
  <si>
    <t>-524.704690497622 67.9387584940292 -774.667225492865</t>
  </si>
  <si>
    <t>-474.609919398865 219.667671602625 -248.740565577321</t>
  </si>
  <si>
    <t>-469.320889903025 205.586616219282 206.705812416104</t>
  </si>
  <si>
    <t>-498.11381867601 165.602572661859 673.949202498703</t>
  </si>
  <si>
    <t>-344.407632767009 158.270154095974 759.179224225485</t>
  </si>
  <si>
    <t>-512.768912053276 28.2678362255847 -226.342940385426</t>
  </si>
  <si>
    <t>-427.278640197612 -13.7248639299145 219.286567592667</t>
  </si>
  <si>
    <t>-588.189389856379 -103.935349620637 651.296887484115</t>
  </si>
  <si>
    <t>-439.337027482467 -147.578575106378 734.253145247696</t>
  </si>
  <si>
    <t>9763-20170724T164422.421703200.bin</t>
  </si>
  <si>
    <t>-493.969073317014 124.712203413246 -237.873782051349</t>
  </si>
  <si>
    <t>-531.915409435423 119.149649434236 -352.75184871655</t>
  </si>
  <si>
    <t>-544.062792059633 113.301048192369 -473.204316643762</t>
  </si>
  <si>
    <t>-544.273865004716 108.191344484001 -582.605778362683</t>
  </si>
  <si>
    <t>-533.815974702356 103.469369499276 -691.523974083305</t>
  </si>
  <si>
    <t>-508.231809048437 97.4817067010102 -841.556015063526</t>
  </si>
  <si>
    <t>-455.432881947078 95.1306439350178 -928.675111570736</t>
  </si>
  <si>
    <t>-515.027332602383 131.597563568158 -775.6556541969</t>
  </si>
  <si>
    <t>-510.337896314234 276.662295867349 -752.080011330619</t>
  </si>
  <si>
    <t>-449.514056680891 314.914818731663 -443.821460350126</t>
  </si>
  <si>
    <t>-261.055463322058 236.738606861165 -282.533195283822</t>
  </si>
  <si>
    <t>-524.07665515776 68.6645335640302 -774.687339389315</t>
  </si>
  <si>
    <t>-329.006938347713 1.10082522021128 -462.756318167963</t>
  </si>
  <si>
    <t>-475.076965733305 220.418324783662 -248.705305667516</t>
  </si>
  <si>
    <t>-469.532791493283 206.086461834138 206.730154655108</t>
  </si>
  <si>
    <t>-498.094001838748 165.746929504209 673.961885161858</t>
  </si>
  <si>
    <t>-344.365649305752 158.5113292715 759.160207027776</t>
  </si>
  <si>
    <t>-512.74946341378 29.081762618337 -226.409185461355</t>
  </si>
  <si>
    <t>-427.36396782596 -13.107895897407 219.221766430654</t>
  </si>
  <si>
    <t>-588.175883828914 -103.536840750764 651.146927096212</t>
  </si>
  <si>
    <t>-439.595585638849 -148.001960724053 734.154652868839</t>
  </si>
  <si>
    <t>9763-20170724T164422.485566400.bin</t>
  </si>
  <si>
    <t>-494.43093716362 125.63237541709 -237.860557826993</t>
  </si>
  <si>
    <t>-532.412725391654 119.826055700471 -352.714818210586</t>
  </si>
  <si>
    <t>-544.477973135949 113.820004952069 -473.167778618177</t>
  </si>
  <si>
    <t>-544.566913594151 108.606157098364 -582.564489959126</t>
  </si>
  <si>
    <t>-533.94068819649 103.818956174373 -691.463638814757</t>
  </si>
  <si>
    <t>-508.076964437892 97.7817497605206 -841.445714003935</t>
  </si>
  <si>
    <t>-454.999596588471 95.4603533738264 -928.396146563739</t>
  </si>
  <si>
    <t>-515.128959242916 131.937896171837 -775.593211742441</t>
  </si>
  <si>
    <t>-511.464002770175 277.043098283704 -752.015259157993</t>
  </si>
  <si>
    <t>-442.808360601684 309.129140703829 -444.699302410345</t>
  </si>
  <si>
    <t>-249.967251300142 232.322164534263 -287.998809084177</t>
  </si>
  <si>
    <t>-523.912745252771 68.9680503438658 -774.573407916511</t>
  </si>
  <si>
    <t>-329.245102271805 3.15188587267781 -461.965646809634</t>
  </si>
  <si>
    <t>-475.917334532868 221.437056179806 -248.734776941817</t>
  </si>
  <si>
    <t>-470.196376112248 206.825181597038 206.689673504402</t>
  </si>
  <si>
    <t>-498.103267256128 165.882937117753 673.881150910242</t>
  </si>
  <si>
    <t>-344.334226580179 158.507771730727 758.99391246091</t>
  </si>
  <si>
    <t>-512.843917314237 29.8058998504589 -226.305352524032</t>
  </si>
  <si>
    <t>-427.163884937386 -12.400696907721 219.267581645823</t>
  </si>
  <si>
    <t>-588.120068626428 -104.108252917069 650.861124903987</t>
  </si>
  <si>
    <t>-439.077935199609 -146.901846702835 733.91929315131</t>
  </si>
  <si>
    <t>9763-20170724T164422.518655200.bin</t>
  </si>
  <si>
    <t>-494.565472759914 126.041698826447 -237.841718528348</t>
  </si>
  <si>
    <t>-532.47718703401 120.040626252778 -352.708884676974</t>
  </si>
  <si>
    <t>-544.511332040657 113.916206700222 -473.159064798394</t>
  </si>
  <si>
    <t>-544.589652797578 108.62120359056 -582.551966778334</t>
  </si>
  <si>
    <t>-533.970732202362 103.775244890363 -691.449303797964</t>
  </si>
  <si>
    <t>-508.135466708962 97.6762051760487 -841.43376234391</t>
  </si>
  <si>
    <t>-454.977281609445 95.3376530633068 -928.334428694745</t>
  </si>
  <si>
    <t>-515.197927823287 131.862722225483 -775.598130234361</t>
  </si>
  <si>
    <t>-511.817961678247 276.976396301936 -752.107682403395</t>
  </si>
  <si>
    <t>-439.094105356977 306.55021305847 -445.476247276756</t>
  </si>
  <si>
    <t>-244.945948895698 229.494535455432 -290.521491770541</t>
  </si>
  <si>
    <t>-523.935541316525 68.8870302288304 -774.542409638087</t>
  </si>
  <si>
    <t>-329.375306787926 3.99126470012244 -461.504837347862</t>
  </si>
  <si>
    <t>-476.132818820088 221.69135547902 -248.766566487726</t>
  </si>
  <si>
    <t>-470.317159174066 207.0302862803 206.655042725116</t>
  </si>
  <si>
    <t>-497.959428089513 165.572641915903 673.848908718666</t>
  </si>
  <si>
    <t>-344.072040324095 159.197349419832 758.828544480853</t>
  </si>
  <si>
    <t>-512.850852978134 30.37213127867 -226.248251332605</t>
  </si>
  <si>
    <t>-426.985266584964 -11.8661129134863 219.285860609645</t>
  </si>
  <si>
    <t>-588.052158056314 -103.832981280747 650.707980366059</t>
  </si>
  <si>
    <t>-439.111218716524 -146.882732004009 733.81526500206</t>
  </si>
  <si>
    <t>9763-20170724T164422.586775600.bin</t>
  </si>
  <si>
    <t>-494.821705575679 127.156458801249 -237.79974355757</t>
  </si>
  <si>
    <t>-532.668607296441 120.990505541482 -352.679566692912</t>
  </si>
  <si>
    <t>-544.681080108589 114.735668888123 -473.125243245681</t>
  </si>
  <si>
    <t>-544.758629729997 109.327236396756 -582.512470761752</t>
  </si>
  <si>
    <t>-534.15727686397 104.365890260124 -691.406254878349</t>
  </si>
  <si>
    <t>-508.36500085832 98.0989775050453 -841.391344352889</t>
  </si>
  <si>
    <t>-455.126187379302 95.6860833331804 -928.240475307127</t>
  </si>
  <si>
    <t>-515.402902235391 132.358365205284 -775.590971724209</t>
  </si>
  <si>
    <t>-511.736893000354 277.514382355684 -752.286393874032</t>
  </si>
  <si>
    <t>-432.985558698028 303.191455489803 -446.794812494971</t>
  </si>
  <si>
    <t>-238.826023741894 226.648910460105 -291.600188461842</t>
  </si>
  <si>
    <t>-524.151692310679 69.3854627938108 -774.464185799362</t>
  </si>
  <si>
    <t>-329.938527836922 5.98251647477369 -460.577822469623</t>
  </si>
  <si>
    <t>-476.590147003704 222.712856329877 -248.722985498457</t>
  </si>
  <si>
    <t>-470.392099933362 207.789826880859 206.685120485667</t>
  </si>
  <si>
    <t>-498.011243554964 165.788767848038 673.893750544374</t>
  </si>
  <si>
    <t>-343.990626704478 159.385348684509 758.629478608025</t>
  </si>
  <si>
    <t>-512.919528823913 31.6409800506851 -226.219829515386</t>
  </si>
  <si>
    <t>-426.830016780946 -10.401188389351 219.289697514435</t>
  </si>
  <si>
    <t>-587.924415435941 -103.316830080628 650.521710700361</t>
  </si>
  <si>
    <t>-439.483747264865 -147.782331558254 733.778618396251</t>
  </si>
  <si>
    <t>9763-20170724T164422.618860500.bin</t>
  </si>
  <si>
    <t>-494.941067066257 127.46966153806 -237.761127331756</t>
  </si>
  <si>
    <t>-532.761108183894 121.292362801774 -352.649126216308</t>
  </si>
  <si>
    <t>-544.744935633682 114.963423456708 -473.093872517694</t>
  </si>
  <si>
    <t>-544.79563966446 109.460218225825 -582.476425582299</t>
  </si>
  <si>
    <t>-534.166317381739 104.375076670443 -691.36168929894</t>
  </si>
  <si>
    <t>-508.333846548909 97.9047278871797 -841.331121023386</t>
  </si>
  <si>
    <t>-455.086825890425 95.3818340088214 -928.172233088002</t>
  </si>
  <si>
    <t>-515.362044928512 132.249586976315 -775.574349037206</t>
  </si>
  <si>
    <t>-511.305850311038 277.452072350617 -752.543563680144</t>
  </si>
  <si>
    <t>-431.648943387638 302.739685741144 -447.254457071939</t>
  </si>
  <si>
    <t>-237.956068436818 226.000670396385 -291.574564285018</t>
  </si>
  <si>
    <t>-524.165668183431 69.2857490683694 -774.374270230553</t>
  </si>
  <si>
    <t>-330.34558854848 6.59176065614211 -460.144606458599</t>
  </si>
  <si>
    <t>-476.637613150028 223.037974110739 -248.68136874162</t>
  </si>
  <si>
    <t>-470.336714567697 207.950676358869 206.719944819046</t>
  </si>
  <si>
    <t>-498.02025620333 165.870167868226 673.907060779194</t>
  </si>
  <si>
    <t>-343.941683978257 159.846157801636 758.565206792154</t>
  </si>
  <si>
    <t>-513.13932166765 31.8632122097332 -226.19405471285</t>
  </si>
  <si>
    <t>-426.909772838577 -10.2146468769601 219.284937060525</t>
  </si>
  <si>
    <t>-587.886962072001 -103.517814014911 650.487554470106</t>
  </si>
  <si>
    <t>-439.230603111032 -147.238989776717 733.753824573247</t>
  </si>
  <si>
    <t>9763-20170724T164422.687075300.bin</t>
  </si>
  <si>
    <t>-495.019252654446 127.82762827846 -237.77843584856</t>
  </si>
  <si>
    <t>-532.824535532209 121.748755768957 -352.676745184036</t>
  </si>
  <si>
    <t>-544.718414106228 115.261808819888 -473.121754657156</t>
  </si>
  <si>
    <t>-544.655391888966 109.511653845295 -582.491623249872</t>
  </si>
  <si>
    <t>-533.879718421631 104.076858768181 -691.345729902722</t>
  </si>
  <si>
    <t>-507.809974851025 97.014558811101 -841.24742238655</t>
  </si>
  <si>
    <t>-454.500084769402 94.1154891204472 -928.038173671759</t>
  </si>
  <si>
    <t>-514.843567446338 131.605207697775 -775.620109517135</t>
  </si>
  <si>
    <t>-510.346561685206 276.904892758064 -753.349839317899</t>
  </si>
  <si>
    <t>-433.133476112618 303.558592258355 -447.549287552866</t>
  </si>
  <si>
    <t>-240.625172073039 225.162532178206 -291.227105828848</t>
  </si>
  <si>
    <t>-523.846502540665 68.6735593919674 -774.22092803007</t>
  </si>
  <si>
    <t>-330.650644046433 6.41437211180701 -459.475458692791</t>
  </si>
  <si>
    <t>-476.402006038398 223.384785133134 -248.687926823988</t>
  </si>
  <si>
    <t>-469.915269318275 207.987717000053 206.700404436659</t>
  </si>
  <si>
    <t>-497.843633841188 165.683817683413 673.831037685755</t>
  </si>
  <si>
    <t>-343.734715713351 160.394133985684 758.483103150482</t>
  </si>
  <si>
    <t>-513.489383965019 32.3030834272916 -226.211926609072</t>
  </si>
  <si>
    <t>-427.196683519498 -10.0297855972531 219.230825153589</t>
  </si>
  <si>
    <t>-587.903620871276 -103.33022908382 650.58058432069</t>
  </si>
  <si>
    <t>-439.397716027192 -147.511551700367 733.87234426939</t>
  </si>
  <si>
    <t>9763-20170724T164422.721157900.bin</t>
  </si>
  <si>
    <t>-495.185380933808 128.18002366383 -237.756919612877</t>
  </si>
  <si>
    <t>-532.958309950635 122.133617147112 -352.667415256298</t>
  </si>
  <si>
    <t>-544.801054184798 115.52984853075 -473.111359615371</t>
  </si>
  <si>
    <t>-544.68346785569 109.61623035723 -582.47242435235</t>
  </si>
  <si>
    <t>-533.844642105002 103.962485274062 -691.309097454238</t>
  </si>
  <si>
    <t>-507.678357630658 96.5404774110909 -841.176425118322</t>
  </si>
  <si>
    <t>-454.313511238851 93.3781909334984 -927.924306126865</t>
  </si>
  <si>
    <t>-514.720562895265 131.283840994896 -775.630857526431</t>
  </si>
  <si>
    <t>-510.211056969366 276.650161274027 -753.784908911916</t>
  </si>
  <si>
    <t>-434.919692222301 304.197180354727 -447.584689999149</t>
  </si>
  <si>
    <t>-243.223261443487 224.679231332774 -290.831899831582</t>
  </si>
  <si>
    <t>-523.791819067299 68.3651233749796 -774.098748376927</t>
  </si>
  <si>
    <t>-330.689713491074 6.16120796158356 -459.23906790347</t>
  </si>
  <si>
    <t>-476.366961733241 223.699280862427 -248.707092110765</t>
  </si>
  <si>
    <t>-469.842571620506 208.241950178711 206.678767693909</t>
  </si>
  <si>
    <t>-497.790274714852 165.755808258561 673.790837752422</t>
  </si>
  <si>
    <t>-343.741081791111 159.561612203932 758.490194090177</t>
  </si>
  <si>
    <t>-513.859170595924 32.7320806592236 -226.148020993579</t>
  </si>
  <si>
    <t>-427.332960800739 -9.97677274759646 219.213522061919</t>
  </si>
  <si>
    <t>-587.938803562477 -103.222660858476 650.6396979324</t>
  </si>
  <si>
    <t>-439.606064974706 -147.990488210361 733.926817657761</t>
  </si>
  <si>
    <t>9763-20170724T164422.789884700.bin</t>
  </si>
  <si>
    <t>-495.771833183629 128.298670392419 -237.736452688941</t>
  </si>
  <si>
    <t>-533.627099019987 122.368415015961 -352.626074897793</t>
  </si>
  <si>
    <t>-545.418017033716 115.603682494158 -473.066067992043</t>
  </si>
  <si>
    <t>-545.195566437107 109.437412780725 -582.413144136032</t>
  </si>
  <si>
    <t>-534.19344810853 103.427523599649 -691.214206452757</t>
  </si>
  <si>
    <t>-507.740383034041 95.4071835101687 -841.000462926673</t>
  </si>
  <si>
    <t>-454.202258518378 91.7773144770319 -927.623124263705</t>
  </si>
  <si>
    <t>-514.864102324336 130.405891936598 -775.599644164504</t>
  </si>
  <si>
    <t>-510.459220130506 275.842020904389 -754.306568564319</t>
  </si>
  <si>
    <t>-439.461883183497 305.400696988281 -447.269273180469</t>
  </si>
  <si>
    <t>-249.326199795494 223.95451699727 -289.608234247803</t>
  </si>
  <si>
    <t>-524.025938381227 67.505961588055 -773.849667547178</t>
  </si>
  <si>
    <t>-331.048512874533 5.60039377874158 -458.680740905184</t>
  </si>
  <si>
    <t>-476.78286366778 223.932842942087 -248.688486739291</t>
  </si>
  <si>
    <t>-469.906984704603 208.256152776074 206.684642617643</t>
  </si>
  <si>
    <t>-497.759430534225 165.902072550436 673.801965988421</t>
  </si>
  <si>
    <t>-343.695980237885 160.090130135207 758.502528878625</t>
  </si>
  <si>
    <t>-514.608869423843 32.7373776834622 -226.132522640753</t>
  </si>
  <si>
    <t>-427.762947134544 -10.3007889672291 219.135046438915</t>
  </si>
  <si>
    <t>-588.05218778192 -103.536108118766 650.775722762239</t>
  </si>
  <si>
    <t>-439.458216834082 -147.651365662596 733.94531548452</t>
  </si>
  <si>
    <t>9763-20170724T164422.820965800.bin</t>
  </si>
  <si>
    <t>-496.247584027676 128.585190084466 -237.739713465367</t>
  </si>
  <si>
    <t>-534.122211514993 122.661462390254 -352.62325924254</t>
  </si>
  <si>
    <t>-545.883837695607 115.816495766672 -473.061584087658</t>
  </si>
  <si>
    <t>-545.614049659186 109.542226206396 -582.402301833607</t>
  </si>
  <si>
    <t>-534.543842871553 103.389239437461 -691.188565712241</t>
  </si>
  <si>
    <t>-507.974714795833 95.1336338938086 -840.941489446162</t>
  </si>
  <si>
    <t>-454.343791638483 91.3086761386807 -927.498241380887</t>
  </si>
  <si>
    <t>-515.144379861992 130.234420659195 -775.600448500764</t>
  </si>
  <si>
    <t>-510.84446296264 275.702919182829 -754.51831239345</t>
  </si>
  <si>
    <t>-441.627583612864 306.406056848459 -447.186862915321</t>
  </si>
  <si>
    <t>-252.260241596237 223.437272128419 -289.395095177683</t>
  </si>
  <si>
    <t>-524.317091881348 67.3386455456795 -773.760512318148</t>
  </si>
  <si>
    <t>-331.535883182713 5.78816175733809 -458.361131375719</t>
  </si>
  <si>
    <t>-477.290526496794 224.233520427898 -248.673322877383</t>
  </si>
  <si>
    <t>-470.173664445857 208.524499368155 206.694924277721</t>
  </si>
  <si>
    <t>-497.839008716571 166.28893089331 673.808528692212</t>
  </si>
  <si>
    <t>-343.805052015633 159.956517756067 758.525457758792</t>
  </si>
  <si>
    <t>-515.05494655759 33.1499363584633 -226.1336048501</t>
  </si>
  <si>
    <t>-428.106700584954 -10.1130208478462 219.092196655515</t>
  </si>
  <si>
    <t>-588.095885032881 -103.168350863832 650.818289798539</t>
  </si>
  <si>
    <t>-439.648123889948 -147.836714080934 733.953772813363</t>
  </si>
  <si>
    <t>9763-20170724T164422.887194300.bin</t>
  </si>
  <si>
    <t>-497.456699594878 128.71588012986 -237.7698700296</t>
  </si>
  <si>
    <t>-535.403261951657 122.792775917792 -352.629719013648</t>
  </si>
  <si>
    <t>-547.098627069514 115.840616305651 -473.068353272991</t>
  </si>
  <si>
    <t>-546.710502659463 109.428548164671 -582.400800612014</t>
  </si>
  <si>
    <t>-535.464380290159 103.098789538299 -691.158717279798</t>
  </si>
  <si>
    <t>-508.592517007289 94.5586877174462 -840.841598911581</t>
  </si>
  <si>
    <t>-454.732513747887 90.4942145510308 -927.245093939086</t>
  </si>
  <si>
    <t>-515.921744309142 129.787330732828 -775.587295965351</t>
  </si>
  <si>
    <t>-511.819424151065 275.310321698877 -754.791354226445</t>
  </si>
  <si>
    <t>-445.725389216466 307.924986399808 -446.969815360303</t>
  </si>
  <si>
    <t>-256.994784691224 222.730323064438 -289.601913856189</t>
  </si>
  <si>
    <t>-525.043286862814 66.8874739788222 -773.636030556819</t>
  </si>
  <si>
    <t>-332.726679007165 6.03781656187779 -457.788508268153</t>
  </si>
  <si>
    <t>-478.628102307055 224.501372758318 -248.708142761361</t>
  </si>
  <si>
    <t>-471.117424089351 208.785899330801 206.653587504582</t>
  </si>
  <si>
    <t>-497.820535377343 166.571317233193 673.772192942539</t>
  </si>
  <si>
    <t>-343.859923205485 159.278131803757 758.545222712147</t>
  </si>
  <si>
    <t>-516.163520165176 32.9891453385639 -226.176836631954</t>
  </si>
  <si>
    <t>-428.749534366745 -10.2830192885223 218.95685777186</t>
  </si>
  <si>
    <t>-588.190326648294 -103.610026303671 650.869667893265</t>
  </si>
  <si>
    <t>-439.34059392938 -147.094424539654 733.914054814932</t>
  </si>
  <si>
    <t>9763-20170724T164422.920288800.bin</t>
  </si>
  <si>
    <t>-498.089923137314 128.646335381422 -237.836582127672</t>
  </si>
  <si>
    <t>-536.114514559243 122.675637533431 -352.668228666518</t>
  </si>
  <si>
    <t>-547.821302649629 115.656811354765 -473.101781771957</t>
  </si>
  <si>
    <t>-547.415281682183 109.177777276751 -582.430287326983</t>
  </si>
  <si>
    <t>-536.122795964424 102.7748002919 -691.179117398813</t>
  </si>
  <si>
    <t>-509.15781826762 94.1268193884224 -840.839160330084</t>
  </si>
  <si>
    <t>-455.210862140611 89.9995555683472 -927.185391710464</t>
  </si>
  <si>
    <t>-516.551721475108 129.405836649472 -775.619137548816</t>
  </si>
  <si>
    <t>-512.557640192105 274.924847589738 -754.899833897883</t>
  </si>
  <si>
    <t>-447.728518769903 308.453859398975 -446.907600397055</t>
  </si>
  <si>
    <t>-259.015966024549 222.5268033926 -289.916689209691</t>
  </si>
  <si>
    <t>-525.626286657879 66.5007429078378 -773.619169343309</t>
  </si>
  <si>
    <t>-333.541448454808 5.9523361062756 -457.599238112348</t>
  </si>
  <si>
    <t>-479.306634672924 224.41290292563 -248.784172501572</t>
  </si>
  <si>
    <t>-471.562173745855 208.770132602284 206.576227745637</t>
  </si>
  <si>
    <t>-497.736030415619 166.537552329106 673.723681383071</t>
  </si>
  <si>
    <t>-343.770349278793 159.486083051127 758.507838794966</t>
  </si>
  <si>
    <t>-516.730141548963 32.8733899266349 -226.212430953739</t>
  </si>
  <si>
    <t>-429.037778785598 -10.3529560061996 218.870831038081</t>
  </si>
  <si>
    <t>-588.234953672259 -103.7903485109 650.881753665559</t>
  </si>
  <si>
    <t>-439.340508916071 -147.166687208923 733.902524916333</t>
  </si>
  <si>
    <t>9763-20170724T164422.988362300.bin</t>
  </si>
  <si>
    <t>-499.245967749027 128.230158026598 -237.915233831998</t>
  </si>
  <si>
    <t>-537.300095061898 122.210399897361 -352.734448517146</t>
  </si>
  <si>
    <t>-548.953857396505 115.103649989688 -473.168074605198</t>
  </si>
  <si>
    <t>-548.465235097401 108.531626135035 -582.490598587301</t>
  </si>
  <si>
    <t>-537.056604362557 102.023339283814 -691.221122859979</t>
  </si>
  <si>
    <t>-509.896277974 93.2171843496743 -840.836601910841</t>
  </si>
  <si>
    <t>-455.788550099712 89.0618484922439 -927.080857240101</t>
  </si>
  <si>
    <t>-517.417166099577 128.570861099061 -775.671511890485</t>
  </si>
  <si>
    <t>-513.609897232274 274.131759349719 -755.102606271204</t>
  </si>
  <si>
    <t>-451.429697384418 308.867436761759 -446.698198683667</t>
  </si>
  <si>
    <t>-262.246114312836 221.711580871733 -290.95661320613</t>
  </si>
  <si>
    <t>-526.410531853643 65.656352761718 -773.601209011327</t>
  </si>
  <si>
    <t>-334.521706870894 5.7441937666504 -457.23478017617</t>
  </si>
  <si>
    <t>-480.604065374882 223.872112292306 -248.88666993236</t>
  </si>
  <si>
    <t>-472.530981042606 208.328390141927 206.471253352554</t>
  </si>
  <si>
    <t>-497.594280920733 166.238573396017 673.734190268409</t>
  </si>
  <si>
    <t>-343.569732532011 160.106553314987 758.482913533799</t>
  </si>
  <si>
    <t>-517.705464948722 32.6363095009656 -226.306229268556</t>
  </si>
  <si>
    <t>-429.586237298648 -10.4475944981146 218.706651601202</t>
  </si>
  <si>
    <t>-588.341799284295 -103.493087011893 650.9373965333</t>
  </si>
  <si>
    <t>-439.39016914305 -146.860114683681 733.860327889108</t>
  </si>
  <si>
    <t>9763-20170724T164423.025444500.bin</t>
  </si>
  <si>
    <t>-499.901793247002 128.125183673981 -237.941315457227</t>
  </si>
  <si>
    <t>-538.033618758372 122.104080148139 -352.734690091611</t>
  </si>
  <si>
    <t>-549.681893168152 114.955359084309 -473.166383702415</t>
  </si>
  <si>
    <t>-549.152777308347 108.333181177394 -582.485677186381</t>
  </si>
  <si>
    <t>-537.6684503927 101.765169066829 -691.204803786515</t>
  </si>
  <si>
    <t>-510.367289463619 92.8685137357538 -840.789028268747</t>
  </si>
  <si>
    <t>-456.202054802433 88.7021110178959 -926.996657977284</t>
  </si>
  <si>
    <t>-517.972804541658 128.264776813413 -775.657086791767</t>
  </si>
  <si>
    <t>-514.241283816457 273.839500649923 -755.156981292217</t>
  </si>
  <si>
    <t>-453.361982701148 308.947578740324 -446.535380085652</t>
  </si>
  <si>
    <t>-264.147659334612 221.134150556946 -291.200951864011</t>
  </si>
  <si>
    <t>-526.921592956865 65.3452113672446 -773.548264861155</t>
  </si>
  <si>
    <t>-335.096090678722 5.70659920283394 -457.130342284563</t>
  </si>
  <si>
    <t>-481.304995974542 223.828925417123 -248.928689573998</t>
  </si>
  <si>
    <t>-473.122304240534 208.365826201726 206.430094446104</t>
  </si>
  <si>
    <t>-497.621422489987 166.485720211622 673.714382433465</t>
  </si>
  <si>
    <t>-343.646269156361 159.731172513168 758.505559091955</t>
  </si>
  <si>
    <t>-518.389043197242 32.5176696840156 -226.284700880529</t>
  </si>
  <si>
    <t>-429.87525793718 -10.6900216052307 218.63787515482</t>
  </si>
  <si>
    <t>-588.400452397812 -103.71360816461 650.946219236958</t>
  </si>
  <si>
    <t>-439.385436211589 -146.959850484492 733.818360063816</t>
  </si>
  <si>
    <t>9763-20170724T164423.084601000.bin</t>
  </si>
  <si>
    <t>-501.07147712117 127.645350261843 -238.093811086831</t>
  </si>
  <si>
    <t>-539.343147003258 121.640784888128 -352.841588985103</t>
  </si>
  <si>
    <t>-550.986983581526 114.406838258064 -473.268546953999</t>
  </si>
  <si>
    <t>-550.392123812192 107.67372422663 -582.580709533832</t>
  </si>
  <si>
    <t>-538.780453169608 100.965471266091 -691.27764783067</t>
  </si>
  <si>
    <t>-511.23986750481 91.8482041727277 -840.804861837726</t>
  </si>
  <si>
    <t>-456.978847390631 87.6474135147739 -926.950609571148</t>
  </si>
  <si>
    <t>-518.972166655289 127.343546419905 -775.741774024317</t>
  </si>
  <si>
    <t>-515.354802679576 272.92785827696 -755.289718481134</t>
  </si>
  <si>
    <t>-456.852553895237 308.893976483435 -446.307393074451</t>
  </si>
  <si>
    <t>-267.464355291287 220.896413652049 -291.289406198156</t>
  </si>
  <si>
    <t>-527.879251479298 64.4210858606104 -773.545635123053</t>
  </si>
  <si>
    <t>-336.052212993424 5.29083345932992 -456.985128517966</t>
  </si>
  <si>
    <t>-482.42495773731 223.279727595787 -249.096074289968</t>
  </si>
  <si>
    <t>-474.04701700385 207.973945938299 206.264448165175</t>
  </si>
  <si>
    <t>-497.439560709791 166.282273946212 673.64792520083</t>
  </si>
  <si>
    <t>-343.513518708898 159.457447780857 758.522509742809</t>
  </si>
  <si>
    <t>-519.559188885397 32.0713181730775 -226.421686555561</t>
  </si>
  <si>
    <t>-430.417624733206 -11.0695950666125 218.381960735335</t>
  </si>
  <si>
    <t>-588.515195307811 -103.453705805267 650.962256840439</t>
  </si>
  <si>
    <t>-439.634875777549 -147.303347132954 733.759453476089</t>
  </si>
  <si>
    <t>9763-20170724T164423.123704400.bin</t>
  </si>
  <si>
    <t>-501.662281051672 127.535348452661 -238.143179335969</t>
  </si>
  <si>
    <t>-539.88247723012 121.495361811442 -352.906186337335</t>
  </si>
  <si>
    <t>-551.481548062421 114.205463454928 -473.33419789538</t>
  </si>
  <si>
    <t>-550.84946961637 107.415248583042 -582.64260159577</t>
  </si>
  <si>
    <t>-539.204192710077 100.644694551427 -691.33210676495</t>
  </si>
  <si>
    <t>-511.620990988823 91.4360025407012 -840.845871158188</t>
  </si>
  <si>
    <t>-457.333844963301 87.1975816267243 -926.973163803139</t>
  </si>
  <si>
    <t>-519.387697452351 126.973265086227 -775.80972865223</t>
  </si>
  <si>
    <t>-515.854742934871 272.562223967273 -755.425457787347</t>
  </si>
  <si>
    <t>-458.319960359702 308.914774329861 -446.306720252199</t>
  </si>
  <si>
    <t>-269.007407593343 221.054858450487 -291.11827458494</t>
  </si>
  <si>
    <t>-528.263719704378 64.0478697446772 -773.571595741762</t>
  </si>
  <si>
    <t>-336.385902458789 5.08302931069014 -457.019833891236</t>
  </si>
  <si>
    <t>-483.04076326115 223.268144207346 -249.166520517668</t>
  </si>
  <si>
    <t>-474.630479669354 208.044632239812 206.196117203056</t>
  </si>
  <si>
    <t>-497.556871114434 166.790061979401 673.640162633582</t>
  </si>
  <si>
    <t>-343.674709890994 159.146263084424 758.524596518174</t>
  </si>
  <si>
    <t>-520.103587631825 31.9070205862847 -226.50721100728</t>
  </si>
  <si>
    <t>-430.851955143934 -11.1421240790401 218.283324533184</t>
  </si>
  <si>
    <t>-588.609205029119 -103.242331228755 651.042090303419</t>
  </si>
  <si>
    <t>-439.731696325417 -147.283648673312 733.742474577683</t>
  </si>
  <si>
    <t>9763-20170724T164423.152331300.bin</t>
  </si>
  <si>
    <t>-502.106537479512 126.91328487667 -238.251695401732</t>
  </si>
  <si>
    <t>-540.367578127774 120.900681916611 -353.002519753798</t>
  </si>
  <si>
    <t>-551.976440181775 113.594675899752 -473.428574147178</t>
  </si>
  <si>
    <t>-551.339489230347 106.774672933088 -582.735076919125</t>
  </si>
  <si>
    <t>-539.675643934426 99.9605113131671 -691.419890015865</t>
  </si>
  <si>
    <t>-512.052368906594 90.6786491031106 -840.92166121367</t>
  </si>
  <si>
    <t>-457.731807657917 86.3937216364666 -927.025649540431</t>
  </si>
  <si>
    <t>-519.855312699734 126.250215307489 -775.908670877268</t>
  </si>
  <si>
    <t>-516.43361311479 271.855184165921 -755.562322741052</t>
  </si>
  <si>
    <t>-459.708566012768 308.498230704813 -446.328181020576</t>
  </si>
  <si>
    <t>-270.443416114594 220.948365421982 -290.906906014107</t>
  </si>
  <si>
    <t>-528.694313817871 63.3209371407745 -773.634838078645</t>
  </si>
  <si>
    <t>-336.824166451548 4.56413363223845 -457.062839726239</t>
  </si>
  <si>
    <t>-483.514913374964 222.632863277674 -249.232188855732</t>
  </si>
  <si>
    <t>-475.059977425753 207.479124187523 206.132011446874</t>
  </si>
  <si>
    <t>-497.401990499131 166.328785246108 673.623759260116</t>
  </si>
  <si>
    <t>-343.441348930132 160.064364645815 758.478955322846</t>
  </si>
  <si>
    <t>-520.53580229138 31.239675475703 -226.616019869389</t>
  </si>
  <si>
    <t>-431.285982175235 -11.7684969653013 218.178832567287</t>
  </si>
  <si>
    <t>-588.724818584404 -103.9263335653 651.139939717503</t>
  </si>
  <si>
    <t>-439.486231906483 -146.949667447596 733.725400589507</t>
  </si>
  <si>
    <t>9763-20170724T164423.222523200.bin</t>
  </si>
  <si>
    <t>-502.993510879955 126.176776232509 -238.327408424729</t>
  </si>
  <si>
    <t>-541.27949828882 120.157819289255 -353.06956963797</t>
  </si>
  <si>
    <t>-552.882210782568 112.779465920718 -473.491751311749</t>
  </si>
  <si>
    <t>-552.226200805119 105.869535289699 -582.792692742384</t>
  </si>
  <si>
    <t>-540.529417745084 98.9425099971148 -691.466737928081</t>
  </si>
  <si>
    <t>-512.846517141371 89.4813076863778 -840.946176793726</t>
  </si>
  <si>
    <t>-458.497307914217 85.049214136941 -927.024725626397</t>
  </si>
  <si>
    <t>-520.699558598177 125.134138676028 -775.983758410958</t>
  </si>
  <si>
    <t>-517.418667121784 270.751937942284 -755.764148054865</t>
  </si>
  <si>
    <t>-462.074007597052 308.161167334176 -446.371819624576</t>
  </si>
  <si>
    <t>-272.763233881857 221.273556595323 -290.634629176682</t>
  </si>
  <si>
    <t>-529.49104768903 62.2011097981884 -773.628533230272</t>
  </si>
  <si>
    <t>-337.543078778655 3.66929545385216 -457.132557180539</t>
  </si>
  <si>
    <t>-484.436208459106 221.886322602256 -249.321180519674</t>
  </si>
  <si>
    <t>-475.723356042716 207.026197425183 206.047854938329</t>
  </si>
  <si>
    <t>-497.328250742959 166.243792457591 673.620768030631</t>
  </si>
  <si>
    <t>-343.351850247912 160.07942823869 758.45465893923</t>
  </si>
  <si>
    <t>-521.398401824496 30.5355963534572 -226.652079020169</t>
  </si>
  <si>
    <t>-431.775343417328 -12.4971955787086 218.065271094531</t>
  </si>
  <si>
    <t>-588.879457459583 -104.089653034074 651.238598780838</t>
  </si>
  <si>
    <t>-439.663544186496 -147.355402694625 733.738324502351</t>
  </si>
  <si>
    <t>9763-20170724T164423.286192500.bin</t>
  </si>
  <si>
    <t>-503.652579866487 125.522619464348 -238.360985119471</t>
  </si>
  <si>
    <t>-542.070348329815 119.501061131298 -353.058891374901</t>
  </si>
  <si>
    <t>-553.728725578044 112.061494093768 -473.471891109025</t>
  </si>
  <si>
    <t>-553.089492898935 105.074593462436 -582.767923668588</t>
  </si>
  <si>
    <t>-541.375408528589 98.0506205736133 -691.433853279986</t>
  </si>
  <si>
    <t>-513.633480330133 88.4350808431287 -840.892648919557</t>
  </si>
  <si>
    <t>-459.257520459627 83.8842057332272 -926.94809542558</t>
  </si>
  <si>
    <t>-521.519416302416 124.155894106664 -775.971549225256</t>
  </si>
  <si>
    <t>-518.309873792548 269.787841049526 -755.849124417652</t>
  </si>
  <si>
    <t>-463.961854653178 308.386472225102 -446.426081867209</t>
  </si>
  <si>
    <t>-274.639734443214 221.815662466656 -290.52657898806</t>
  </si>
  <si>
    <t>-530.297443854364 61.2234294343382 -773.552052183367</t>
  </si>
  <si>
    <t>-338.143209627122 2.82358510598664 -457.10022723411</t>
  </si>
  <si>
    <t>-485.140490073857 221.204571003544 -249.363500026745</t>
  </si>
  <si>
    <t>-476.000394552757 206.638529635506 206.006580593361</t>
  </si>
  <si>
    <t>-497.293917712108 166.207587115326 673.639184100647</t>
  </si>
  <si>
    <t>-343.294169751904 160.111817895743 758.435610278944</t>
  </si>
  <si>
    <t>-521.994813079301 29.8925707200867 -226.703450602354</t>
  </si>
  <si>
    <t>-432.120731159398 -12.8829347961762 217.988095257678</t>
  </si>
  <si>
    <t>-588.992347785244 -103.930824663533 651.319763841941</t>
  </si>
  <si>
    <t>-439.763810757098 -147.337527034796 733.72253378229</t>
  </si>
  <si>
    <t>9763-20170724T164423.318278100.bin</t>
  </si>
  <si>
    <t>-503.909464264031 125.173027252915 -238.395340526817</t>
  </si>
  <si>
    <t>-542.411937546499 119.147578939338 -353.064717251286</t>
  </si>
  <si>
    <t>-554.128937860973 111.676163688594 -473.470248181</t>
  </si>
  <si>
    <t>-553.530383142684 104.650623955816 -582.763916086088</t>
  </si>
  <si>
    <t>-541.844318616544 97.5785514670707 -691.429891658199</t>
  </si>
  <si>
    <t>-514.127887806494 87.8877009653801 -840.88840147694</t>
  </si>
  <si>
    <t>-459.747940007796 83.2966282139313 -926.939218402022</t>
  </si>
  <si>
    <t>-522.000182122378 123.640918138964 -775.983475608243</t>
  </si>
  <si>
    <t>-518.745613947777 269.276470743376 -755.902665370083</t>
  </si>
  <si>
    <t>-464.929783395335 308.615592632651 -446.479959111425</t>
  </si>
  <si>
    <t>-275.616159572184 222.261371086067 -290.44994783826</t>
  </si>
  <si>
    <t>-530.782943544598 60.7103872252746 -773.531726715708</t>
  </si>
  <si>
    <t>-338.537206228918 2.35824611639074 -457.078765499816</t>
  </si>
  <si>
    <t>-485.393994933036 220.855268095009 -249.40366200995</t>
  </si>
  <si>
    <t>-476.047330065417 206.457540931296 205.967676303553</t>
  </si>
  <si>
    <t>-497.231725093149 166.105053504286 673.617086129054</t>
  </si>
  <si>
    <t>-343.244567041722 159.703016057914 758.413825044967</t>
  </si>
  <si>
    <t>-522.295502483582 29.4898113726514 -226.707975390992</t>
  </si>
  <si>
    <t>-432.232372267161 -13.0579117835348 217.967127642543</t>
  </si>
  <si>
    <t>-589.032750168226 -103.903101233314 651.346951032156</t>
  </si>
  <si>
    <t>-439.747493703553 -147.190713318925 733.709597806515</t>
  </si>
  <si>
    <t>9763-20170724T164423.389031500.bin</t>
  </si>
  <si>
    <t>-504.327062026761 124.255237650577 -238.441304364026</t>
  </si>
  <si>
    <t>-542.85969373666 118.206458105484 -353.099283218748</t>
  </si>
  <si>
    <t>-554.627599770783 110.685830646865 -473.496580208057</t>
  </si>
  <si>
    <t>-554.082584421381 103.606033158595 -582.787174944554</t>
  </si>
  <si>
    <t>-542.457246154006 96.4708708770166 -691.455475306444</t>
  </si>
  <si>
    <t>-514.831644925558 86.6831976216216 -840.924697751613</t>
  </si>
  <si>
    <t>-460.470597977231 82.0526027163129 -926.985252258955</t>
  </si>
  <si>
    <t>-522.676762545526 122.480025290064 -776.040357668572</t>
  </si>
  <si>
    <t>-519.400366878448 268.137153853489 -756.075931505574</t>
  </si>
  <si>
    <t>-467.196483034469 308.453104550273 -446.502719380432</t>
  </si>
  <si>
    <t>-277.933950037435 222.448031108166 -290.218223024841</t>
  </si>
  <si>
    <t>-531.433431777886 59.5478582331138 -773.53792011088</t>
  </si>
  <si>
    <t>-339.004164770927 1.32870694401505 -457.019110495928</t>
  </si>
  <si>
    <t>-485.785673455812 219.879101398985 -249.458636546398</t>
  </si>
  <si>
    <t>-476.151487420275 205.775136213181 205.915826849922</t>
  </si>
  <si>
    <t>-497.103043821711 165.78390970799 673.621888052618</t>
  </si>
  <si>
    <t>-343.043846591437 160.28519641961 758.351086110177</t>
  </si>
  <si>
    <t>-522.667581389897 28.6797106703026 -226.778990581075</t>
  </si>
  <si>
    <t>-432.524853693747 -13.5429018833262 217.910991405016</t>
  </si>
  <si>
    <t>-589.116974030128 -103.90378939014 651.439973608842</t>
  </si>
  <si>
    <t>-439.699281140502 -146.877544114089 733.726727846142</t>
  </si>
  <si>
    <t>9763-20170724T164423.422121400.bin</t>
  </si>
  <si>
    <t>-504.565258502768 124.101583326974 -238.441264991946</t>
  </si>
  <si>
    <t>-543.154563211901 118.062821480753 -353.08083037755</t>
  </si>
  <si>
    <t>-554.970748974317 110.536920743189 -473.47313491099</t>
  </si>
  <si>
    <t>-554.465088298476 103.447236288346 -582.763090584261</t>
  </si>
  <si>
    <t>-542.874024296741 96.2975242002033 -691.43411446605</t>
  </si>
  <si>
    <t>-515.290785123608 86.4854319608969 -840.909568873555</t>
  </si>
  <si>
    <t>-460.956589868921 81.8398314463992 -926.986290701877</t>
  </si>
  <si>
    <t>-523.125970664625 122.293969666643 -776.030504593852</t>
  </si>
  <si>
    <t>-519.847292102714 267.945849159594 -756.079836530428</t>
  </si>
  <si>
    <t>-468.474286544391 308.858976543114 -446.445985380967</t>
  </si>
  <si>
    <t>-279.282654544125 222.986718548757 -290.002440931014</t>
  </si>
  <si>
    <t>-531.864976232613 59.3599608955688 -773.512022650451</t>
  </si>
  <si>
    <t>-339.406440355865 1.19426477890589 -456.913068438752</t>
  </si>
  <si>
    <t>-486.091526938367 219.827186582146 -249.466230897906</t>
  </si>
  <si>
    <t>-476.28318764745 205.839867850102 205.908157688803</t>
  </si>
  <si>
    <t>-497.229764676146 166.226744275771 673.648372156375</t>
  </si>
  <si>
    <t>-343.211140206315 159.557353460412 758.367159147605</t>
  </si>
  <si>
    <t>-522.913991434032 28.5132960034621 -226.752572473904</t>
  </si>
  <si>
    <t>-432.658550376797 -13.6723365330411 217.918089796867</t>
  </si>
  <si>
    <t>-589.161832749133 -103.950501288347 651.498564031717</t>
  </si>
  <si>
    <t>-439.68416506721 -146.789513072866 733.746684680852</t>
  </si>
  <si>
    <t>9763-20170724T164423.486838200.bin</t>
  </si>
  <si>
    <t>-505.108162361105 123.658064479086 -238.415743652643</t>
  </si>
  <si>
    <t>-543.72897009347 117.589426515926 -353.042971322945</t>
  </si>
  <si>
    <t>-555.593771663782 110.012101281041 -473.427312286625</t>
  </si>
  <si>
    <t>-555.138175739025 102.868781901982 -582.714209226589</t>
  </si>
  <si>
    <t>-543.602709200181 95.6591390918342 -691.38708114393</t>
  </si>
  <si>
    <t>-516.102002632073 85.7580477337457 -840.871774188433</t>
  </si>
  <si>
    <t>-461.805340583064 81.0822139071291 -926.97051613999</t>
  </si>
  <si>
    <t>-523.935141259831 121.609616486822 -776.016313248992</t>
  </si>
  <si>
    <t>-520.71336203671 267.286433878509 -756.190356726796</t>
  </si>
  <si>
    <t>-471.08680141493 309.172655686928 -446.401941931854</t>
  </si>
  <si>
    <t>-282.275419956325 222.964689749405 -289.684000215064</t>
  </si>
  <si>
    <t>-532.60523283324 58.6683108536034 -773.442513872997</t>
  </si>
  <si>
    <t>-339.981006110858 0.782144264825426 -456.722873598131</t>
  </si>
  <si>
    <t>-486.653355562778 219.31619075778 -249.457950003948</t>
  </si>
  <si>
    <t>-476.496916384319 205.603745865305 205.917113818566</t>
  </si>
  <si>
    <t>-497.244632605392 166.26620073151 673.692501673589</t>
  </si>
  <si>
    <t>-343.19615730597 159.481432727492 758.347987383856</t>
  </si>
  <si>
    <t>-523.374939687969 28.0440198227461 -226.754149939067</t>
  </si>
  <si>
    <t>-432.852916780994 -13.8256719991476 217.892214712384</t>
  </si>
  <si>
    <t>-589.224730164638 -103.896847996536 651.578747600237</t>
  </si>
  <si>
    <t>-439.815087201807 -147.027092293546 733.798341216684</t>
  </si>
  <si>
    <t>9763-20170724T164423.522934600.bin</t>
  </si>
  <si>
    <t>-505.380299527407 123.514845185337 -238.427113347877</t>
  </si>
  <si>
    <t>-544.105059537342 117.451198156538 -353.019491040413</t>
  </si>
  <si>
    <t>-556.057218963839 109.859215864811 -473.394312635049</t>
  </si>
  <si>
    <t>-555.672008351235 102.696041436953 -582.680098149602</t>
  </si>
  <si>
    <t>-544.197578833869 95.4605491968911 -691.357781472381</t>
  </si>
  <si>
    <t>-516.771416464424 85.51850634031 -840.853531780484</t>
  </si>
  <si>
    <t>-462.501880875102 80.8410836847625 -926.969247709853</t>
  </si>
  <si>
    <t>-524.592208608425 121.390442003964 -776.007918683605</t>
  </si>
  <si>
    <t>-521.449756362718 267.076508190054 -756.238429563454</t>
  </si>
  <si>
    <t>-472.573864192163 309.275785602313 -446.373024336287</t>
  </si>
  <si>
    <t>-283.836127743522 223.195299143267 -289.496419285526</t>
  </si>
  <si>
    <t>-533.221121811058 58.4446754436374 -773.404781809978</t>
  </si>
  <si>
    <t>-340.420342768079 0.757713430885119 -456.581079082205</t>
  </si>
  <si>
    <t>-487.0099647606 219.183934347339 -249.451790654398</t>
  </si>
  <si>
    <t>-476.636886253804 205.571125568892 205.921457053361</t>
  </si>
  <si>
    <t>-497.288879902776 166.456289020828 673.706421035716</t>
  </si>
  <si>
    <t>-343.267902316675 159.172818191297 758.370414408983</t>
  </si>
  <si>
    <t>-523.630878534997 27.9093579409547 -226.743568853464</t>
  </si>
  <si>
    <t>-432.996977330831 -13.8518056312391 217.890128021058</t>
  </si>
  <si>
    <t>-589.249090172865 -103.846483736695 651.611022211336</t>
  </si>
  <si>
    <t>-439.879188388722 -147.159460360914 733.806702815603</t>
  </si>
  <si>
    <t>9763-20170724T164423.588626100.bin</t>
  </si>
  <si>
    <t>-505.848731194011 123.210652509818 -238.433864459929</t>
  </si>
  <si>
    <t>-544.623485324442 117.094790299295 -353.006603908597</t>
  </si>
  <si>
    <t>-556.660069615623 109.444910858792 -473.36924249792</t>
  </si>
  <si>
    <t>-556.364269822366 102.229366507029 -582.651969304222</t>
  </si>
  <si>
    <t>-544.991505950541 94.9428087227038 -691.336949489521</t>
  </si>
  <si>
    <t>-517.718301492095 84.9318399927431 -840.85597336391</t>
  </si>
  <si>
    <t>-463.504210708287 80.2826158177562 -927.008194279589</t>
  </si>
  <si>
    <t>-525.523791327409 120.84018048488 -776.028644689731</t>
  </si>
  <si>
    <t>-522.609067394575 266.543215397297 -756.385767334478</t>
  </si>
  <si>
    <t>-475.099021384771 309.11441846897 -446.358801337249</t>
  </si>
  <si>
    <t>-286.287350961885 223.413047331869 -289.363667467562</t>
  </si>
  <si>
    <t>-534.047920811719 57.8826002525268 -773.368278966292</t>
  </si>
  <si>
    <t>-340.872180501736 0.741404259053667 -456.625616645072</t>
  </si>
  <si>
    <t>-487.526991801261 218.684605281926 -249.480548223912</t>
  </si>
  <si>
    <t>-476.736905852845 205.319168815897 205.890233208551</t>
  </si>
  <si>
    <t>-497.237641973128 166.415291953504 673.704127128801</t>
  </si>
  <si>
    <t>-343.1959471435 159.535732522884 758.364204640497</t>
  </si>
  <si>
    <t>-523.973776766354 27.7707314442302 -226.763513315742</t>
  </si>
  <si>
    <t>-433.161415839334 -13.8280640046666 217.849048755956</t>
  </si>
  <si>
    <t>-589.283439593892 -103.275956657 651.665952457367</t>
  </si>
  <si>
    <t>-440.084427843536 -147.287377995984 733.800911229285</t>
  </si>
  <si>
    <t>9763-20170724T164423.623717500.bin</t>
  </si>
  <si>
    <t>-506.047319660583 122.848493710152 -238.447774213097</t>
  </si>
  <si>
    <t>-544.900614054925 116.71484540944 -352.9928988408</t>
  </si>
  <si>
    <t>-557.021214643562 109.048801542306 -473.346098025202</t>
  </si>
  <si>
    <t>-556.802269251992 101.820741554073 -582.628155255955</t>
  </si>
  <si>
    <t>-545.506499153034 94.5245568507621 -691.320473291026</t>
  </si>
  <si>
    <t>-518.340024679807 84.5038687984799 -840.858378361832</t>
  </si>
  <si>
    <t>-464.164017089846 79.8716387689454 -927.035463645447</t>
  </si>
  <si>
    <t>-526.126739982518 120.419878801956 -776.032992576475</t>
  </si>
  <si>
    <t>-523.30127038495 266.133816308916 -756.42538313151</t>
  </si>
  <si>
    <t>-476.307256563879 308.798603667934 -446.332698195559</t>
  </si>
  <si>
    <t>-287.40034398429 223.249992952715 -289.368691230086</t>
  </si>
  <si>
    <t>-534.593996277566 57.4555118474472 -773.35196713112</t>
  </si>
  <si>
    <t>-341.199197680216 0.566561307982248 -456.694104370726</t>
  </si>
  <si>
    <t>-487.768552278313 218.187996623903 -249.50274759489</t>
  </si>
  <si>
    <t>-476.764677263277 204.907433152404 205.865516997332</t>
  </si>
  <si>
    <t>-497.067037331345 165.93704903638 673.687695409369</t>
  </si>
  <si>
    <t>-342.985802424599 160.0775866964 758.352606486309</t>
  </si>
  <si>
    <t>-524.181430854153 27.5322998072262 -226.755140699623</t>
  </si>
  <si>
    <t>-433.205187654745 -14.0181326592037 217.828399482446</t>
  </si>
  <si>
    <t>-589.30363624912 -103.151895594246 651.692051966426</t>
  </si>
  <si>
    <t>-440.052764860822 -147.049720898162 733.793663295802</t>
  </si>
  <si>
    <t>9763-20170724T164423.686430400.bin</t>
  </si>
  <si>
    <t>-506.686626432066 122.227932691155 -238.481273239898</t>
  </si>
  <si>
    <t>-545.622693782883 116.034901199097 -352.995298226844</t>
  </si>
  <si>
    <t>-557.902231470037 108.335693706969 -473.330160404287</t>
  </si>
  <si>
    <t>-557.856793693527 101.089494463934 -582.611210181869</t>
  </si>
  <si>
    <t>-546.76281627002 93.7873018427414 -691.323821174963</t>
  </si>
  <si>
    <t>-519.904147056894 83.7713535131339 -840.917675205816</t>
  </si>
  <si>
    <t>-465.857641634129 79.1719623392545 -927.177785654505</t>
  </si>
  <si>
    <t>-527.60846095002 119.691750907312 -776.085012618471</t>
  </si>
  <si>
    <t>-524.972754310046 265.426292861093 -756.594067450188</t>
  </si>
  <si>
    <t>-478.881733843101 308.470188971861 -446.418360533416</t>
  </si>
  <si>
    <t>-289.869656281274 223.193115161898 -289.433256550105</t>
  </si>
  <si>
    <t>-535.968080592661 56.7144944969973 -773.369313082881</t>
  </si>
  <si>
    <t>-342.178206817606 0.232962747214103 -456.927025639342</t>
  </si>
  <si>
    <t>-488.526270773775 217.666803201083 -249.574854587264</t>
  </si>
  <si>
    <t>-477.129112826529 204.585520689151 205.789525666386</t>
  </si>
  <si>
    <t>-496.989863752834 165.932369717026 673.647702662173</t>
  </si>
  <si>
    <t>-342.943564375773 159.925214358338 758.365831360774</t>
  </si>
  <si>
    <t>-524.675254059084 26.8110131746929 -226.778252054949</t>
  </si>
  <si>
    <t>-433.403208148666 -14.4191858658958 217.774488692941</t>
  </si>
  <si>
    <t>-589.355265826021 -103.447980868546 651.756065648054</t>
  </si>
  <si>
    <t>-439.935490899121 -146.88225145265 733.79692400164</t>
  </si>
  <si>
    <t>9763-20170724T164423.718515000.bin</t>
  </si>
  <si>
    <t>-506.99673489939 121.988472440362 -238.53954966949</t>
  </si>
  <si>
    <t>-546.009528529124 115.784578552384 -353.02686423963</t>
  </si>
  <si>
    <t>-558.384973699427 108.071779690289 -473.350956869369</t>
  </si>
  <si>
    <t>-558.432695361871 100.812429179578 -582.631118359305</t>
  </si>
  <si>
    <t>-547.437619423151 93.4962316660809 -691.35300498309</t>
  </si>
  <si>
    <t>-520.721310166983 83.4601699766133 -840.970961433195</t>
  </si>
  <si>
    <t>-466.743123599209 78.8577078110524 -927.273694529734</t>
  </si>
  <si>
    <t>-528.3780733835 119.391023300602 -776.138260738112</t>
  </si>
  <si>
    <t>-525.820262529167 265.12966950121 -756.705906652367</t>
  </si>
  <si>
    <t>-480.154437572485 308.467399027854 -446.508098095792</t>
  </si>
  <si>
    <t>-291.184804835622 223.21406191286 -289.459044972177</t>
  </si>
  <si>
    <t>-536.706735488469 56.4105773863157 -773.400839377223</t>
  </si>
  <si>
    <t>-342.725343101523 0.113222866783268 -457.00602804535</t>
  </si>
  <si>
    <t>-488.899865326605 217.514984395191 -249.649485542573</t>
  </si>
  <si>
    <t>-477.331593423981 204.525623805027 205.71314714991</t>
  </si>
  <si>
    <t>-496.940740376635 166.099441905846 673.560848006326</t>
  </si>
  <si>
    <t>-342.997469894257 159.247855926108 758.402108306828</t>
  </si>
  <si>
    <t>-524.943706435213 26.5209696751368 -226.796123967571</t>
  </si>
  <si>
    <t>-433.504555996161 -14.6772280090264 217.72525482554</t>
  </si>
  <si>
    <t>-589.3808945149 -103.741628007221 651.770513717976</t>
  </si>
  <si>
    <t>-439.823989975407 -146.741150053727 733.790656189894</t>
  </si>
  <si>
    <t>9763-20170724T164423.786737600.bin</t>
  </si>
  <si>
    <t>-507.669950362436 121.394630022368 -238.664640696401</t>
  </si>
  <si>
    <t>-546.799971851754 115.181220343055 -353.111338928922</t>
  </si>
  <si>
    <t>-559.328916819863 107.455041953418 -473.418867148358</t>
  </si>
  <si>
    <t>-559.528060332701 100.184909091175 -582.698117246606</t>
  </si>
  <si>
    <t>-548.695716584513 92.8608165026481 -691.435750933268</t>
  </si>
  <si>
    <t>-522.215759529212 82.8179673953929 -841.095255049857</t>
  </si>
  <si>
    <t>-468.372609473263 78.2254443223453 -927.482704517193</t>
  </si>
  <si>
    <t>-529.800372825935 118.75553451774 -776.257786299723</t>
  </si>
  <si>
    <t>-527.385368093273 264.518497178084 -756.936741390093</t>
  </si>
  <si>
    <t>-482.580406236837 308.50378996557 -446.704622880905</t>
  </si>
  <si>
    <t>-293.876269878567 223.426881246403 -289.241170598561</t>
  </si>
  <si>
    <t>-538.064237275004 55.767681416486 -773.493124825608</t>
  </si>
  <si>
    <t>-489.627142807992 216.950853810096 -249.802369774629</t>
  </si>
  <si>
    <t>-477.705665907215 204.133995316987 205.556050200139</t>
  </si>
  <si>
    <t>-496.789655573113 166.054978900699 673.46791246588</t>
  </si>
  <si>
    <t>-342.848790119508 160.092985710341 758.380611379383</t>
  </si>
  <si>
    <t>-525.563256136307 25.8310252770649 -226.886289061049</t>
  </si>
  <si>
    <t>-433.730121512645 -15.0847918767749 217.579974329675</t>
  </si>
  <si>
    <t>-589.431368761766 -103.862048991642 651.76469430283</t>
  </si>
  <si>
    <t>-439.766750542062 -146.550269844876 733.750904291971</t>
  </si>
  <si>
    <t>9763-20170724T164423.817819700.bin</t>
  </si>
  <si>
    <t>-508.070732434181 121.290862470864 -238.722083874391</t>
  </si>
  <si>
    <t>-547.257413889194 115.074335284303 -353.149315346906</t>
  </si>
  <si>
    <t>-559.878599725919 107.329401191929 -473.445953885323</t>
  </si>
  <si>
    <t>-560.174931790714 100.036345903889 -582.723447648569</t>
  </si>
  <si>
    <t>-549.452140606827 92.6836110723563 -691.469994004261</t>
  </si>
  <si>
    <t>-523.136412079856 82.5953306734685 -841.155395041584</t>
  </si>
  <si>
    <t>-469.368053051545 77.9989139999395 -927.589130718407</t>
  </si>
  <si>
    <t>-530.652869963709 118.552912038302 -776.321162945783</t>
  </si>
  <si>
    <t>-528.26603553644 264.322503956443 -757.077124928915</t>
  </si>
  <si>
    <t>-484.032306350108 308.725969648476 -446.82266999822</t>
  </si>
  <si>
    <t>-295.533527163855 223.7128830059 -289.079059000874</t>
  </si>
  <si>
    <t>-538.907755882296 55.5652352072818 -773.527251666458</t>
  </si>
  <si>
    <t>-490.111657813305 217.000311478492 -249.858489511756</t>
  </si>
  <si>
    <t>-478.040087110683 204.248036475009 205.497813162741</t>
  </si>
  <si>
    <t>-496.817249120872 166.32961251071 673.442027621968</t>
  </si>
  <si>
    <t>-342.974970476883 158.853373458107 758.413701384795</t>
  </si>
  <si>
    <t>-525.893674340424 25.6756980521831 -226.925444346745</t>
  </si>
  <si>
    <t>-433.913682090194 -15.2341618929324 217.510922542398</t>
  </si>
  <si>
    <t>-589.466668534107 -103.81652944216 651.774743750906</t>
  </si>
  <si>
    <t>-439.799327723271 -146.527862727071 733.743817290039</t>
  </si>
  <si>
    <t>9763-20170724T164423.884074700.bin</t>
  </si>
  <si>
    <t>-508.745038214525 120.965634592419 -238.774215432515</t>
  </si>
  <si>
    <t>-547.992354526561 114.724332256226 -353.179235461937</t>
  </si>
  <si>
    <t>-560.797638500429 106.941152124534 -473.453845745903</t>
  </si>
  <si>
    <t>-561.309609655137 99.6068149766833 -582.727928372309</t>
  </si>
  <si>
    <t>-550.849557764405 92.205144931177 -691.496721718827</t>
  </si>
  <si>
    <t>-524.945139118609 82.0401943581256 -841.24859552601</t>
  </si>
  <si>
    <t>-471.354913426097 77.4335246926956 -927.792539491225</t>
  </si>
  <si>
    <t>-532.294914045857 118.032408684317 -776.41455761139</t>
  </si>
  <si>
    <t>-530.020612161552 263.826892811509 -757.339959261042</t>
  </si>
  <si>
    <t>-487.211962269716 308.86765553029 -446.977346753024</t>
  </si>
  <si>
    <t>-299.109556271536 224.198928336319 -288.576699947307</t>
  </si>
  <si>
    <t>-540.519194012602 55.0433706682286 -773.561569420149</t>
  </si>
  <si>
    <t>-490.869790003301 216.606451693615 -249.901679079984</t>
  </si>
  <si>
    <t>-478.599688859853 204.008116957118 205.453519648325</t>
  </si>
  <si>
    <t>-496.808002499931 166.295165275873 673.482399421892</t>
  </si>
  <si>
    <t>-342.87829972112 159.555751617016 758.357314789419</t>
  </si>
  <si>
    <t>-526.485629742128 25.3632634145342 -226.990356963405</t>
  </si>
  <si>
    <t>-434.292618583438 -15.4550829238025 217.410307881244</t>
  </si>
  <si>
    <t>-589.549677387546 -103.677855976939 651.850377822786</t>
  </si>
  <si>
    <t>-440.113364574543 -147.293406606633 733.764937904236</t>
  </si>
  <si>
    <t>9763-20170724T164423.917162500.bin</t>
  </si>
  <si>
    <t>-509.094652254078 120.697017499247 -238.789652240152</t>
  </si>
  <si>
    <t>-548.412175302414 114.482101533252 -353.171970243534</t>
  </si>
  <si>
    <t>-561.32303748076 106.707016232431 -473.435880287669</t>
  </si>
  <si>
    <t>-561.94350127595 99.3729876466726 -582.709356155139</t>
  </si>
  <si>
    <t>-551.603944056323 91.9649203962559 -691.489299956512</t>
  </si>
  <si>
    <t>-525.878140564511 81.7844502908854 -841.270841445713</t>
  </si>
  <si>
    <t>-472.365806040736 77.1691035568741 -927.862434873859</t>
  </si>
  <si>
    <t>-533.161908633839 117.784726311357 -776.433930807051</t>
  </si>
  <si>
    <t>-530.946158146103 263.592154911473 -757.451804202473</t>
  </si>
  <si>
    <t>-488.828676425687 308.875465676918 -447.029908829028</t>
  </si>
  <si>
    <t>-300.850311546759 224.431761887313 -288.362111211865</t>
  </si>
  <si>
    <t>-541.36017203107 54.7932219966522 -773.560531969784</t>
  </si>
  <si>
    <t>-491.302465033921 216.413353133938 -249.902128452614</t>
  </si>
  <si>
    <t>-478.895989327021 203.868367276511 205.45085135313</t>
  </si>
  <si>
    <t>-496.790011242857 166.247803537267 673.495167992163</t>
  </si>
  <si>
    <t>-342.848361938888 159.484951046535 758.346512058285</t>
  </si>
  <si>
    <t>-526.725779430952 25.0242699235304 -227.01938571257</t>
  </si>
  <si>
    <t>-434.479289351915 -15.6565029853781 217.382894120051</t>
  </si>
  <si>
    <t>-589.604927250191 -103.693754062791 651.906731114808</t>
  </si>
  <si>
    <t>-440.084869948495 -147.122842226532 733.767395610214</t>
  </si>
  <si>
    <t>9763-20170724T164423.985912300.bin</t>
  </si>
  <si>
    <t>-509.807555782815 120.28522091192 -238.75841528618</t>
  </si>
  <si>
    <t>-549.217834325707 114.071435293149 -353.108746114033</t>
  </si>
  <si>
    <t>-562.305310647152 106.292503321117 -473.353561894865</t>
  </si>
  <si>
    <t>-563.118134084678 98.9535791319528 -582.625328335878</t>
  </si>
  <si>
    <t>-553.001627389001 91.5395309337729 -691.425800401032</t>
  </si>
  <si>
    <t>-527.615695783202 81.3498892968717 -841.264763106307</t>
  </si>
  <si>
    <t>-474.256855959483 76.7001338672087 -927.949241976938</t>
  </si>
  <si>
    <t>-534.768694646996 117.356119018967 -776.416439297799</t>
  </si>
  <si>
    <t>-532.715023774715 263.176822088719 -757.577545578112</t>
  </si>
  <si>
    <t>-492.084515757431 308.979023961386 -447.033520108996</t>
  </si>
  <si>
    <t>-304.229164305262 224.774168078008 -288.093446924947</t>
  </si>
  <si>
    <t>-542.927793630676 54.360826149411 -773.514870815922</t>
  </si>
  <si>
    <t>-492.099900183255 216.002696420441 -249.88843092527</t>
  </si>
  <si>
    <t>-479.362496556824 203.621699479852 205.45997841186</t>
  </si>
  <si>
    <t>-496.771910438936 166.222727390903 673.547899384636</t>
  </si>
  <si>
    <t>-342.804040170873 159.277161787891 758.336746829947</t>
  </si>
  <si>
    <t>-527.345235201843 24.6196914173316 -226.978211427241</t>
  </si>
  <si>
    <t>-434.827559867238 -15.7970988022959 217.391714754753</t>
  </si>
  <si>
    <t>-589.691541593857 -103.410422112875 651.992964754059</t>
  </si>
  <si>
    <t>-440.235201106484 -147.197808635719 733.779079533154</t>
  </si>
  <si>
    <t>9763-20170724T164424.017997600.bin</t>
  </si>
  <si>
    <t>-510.131244477586 120.115721436205 -238.760866484601</t>
  </si>
  <si>
    <t>-549.616228879047 113.915561458848 -353.086132750427</t>
  </si>
  <si>
    <t>-562.805058633267 106.143865972061 -473.320252780153</t>
  </si>
  <si>
    <t>-563.718987282668 98.8096297892781 -582.591533146874</t>
  </si>
  <si>
    <t>-553.712308993808 91.3988518979018 -691.402420385133</t>
  </si>
  <si>
    <t>-528.486912845094 81.2125309769003 -841.268721381416</t>
  </si>
  <si>
    <t>-475.200688618896 76.5601059707665 -927.997759640196</t>
  </si>
  <si>
    <t>-535.576079782502 117.217969057598 -776.413078562509</t>
  </si>
  <si>
    <t>-533.567741987867 263.051774670132 -757.610063727026</t>
  </si>
  <si>
    <t>-493.653184376389 309.299724547971 -447.039440390242</t>
  </si>
  <si>
    <t>-305.846708551274 225.225484545214 -287.972435594398</t>
  </si>
  <si>
    <t>-543.720676819662 54.2212460863992 -773.502085228775</t>
  </si>
  <si>
    <t>-492.469138104797 215.862188031321 -249.892747333274</t>
  </si>
  <si>
    <t>-479.56281310236 203.574076690166 205.453417716134</t>
  </si>
  <si>
    <t>-496.774209335278 166.362147371697 673.531556234722</t>
  </si>
  <si>
    <t>-342.824388338027 159.186330507093 758.334093085583</t>
  </si>
  <si>
    <t>-527.636145361198 24.4558287253694 -226.960197348964</t>
  </si>
  <si>
    <t>-434.939179108734 -15.8587621391209 217.381664429171</t>
  </si>
  <si>
    <t>-589.727317462066 -103.301025741001 652.029725856958</t>
  </si>
  <si>
    <t>-440.309556923402 -147.244982996823 733.802424143271</t>
  </si>
  <si>
    <t>9763-20170724T164424.085770200.bin</t>
  </si>
  <si>
    <t>-510.680218592784 119.438528930483 -238.803653600047</t>
  </si>
  <si>
    <t>-550.270241859135 113.249504701808 -353.093326660413</t>
  </si>
  <si>
    <t>-563.659042595477 105.486772505937 -473.305894101884</t>
  </si>
  <si>
    <t>-564.790714923551 98.1592858833212 -582.575595432093</t>
  </si>
  <si>
    <t>-555.036823337592 90.7538222837233 -691.409668692507</t>
  </si>
  <si>
    <t>-530.196692446711 80.5732828602534 -841.34084464666</t>
  </si>
  <si>
    <t>-477.070429861177 75.9277392454632 -928.168315424302</t>
  </si>
  <si>
    <t>-537.125286010402 116.5770653012 -776.46670255327</t>
  </si>
  <si>
    <t>-535.215310918575 262.422497888224 -757.779050245433</t>
  </si>
  <si>
    <t>-497.010559600125 309.38692903994 -447.100806007606</t>
  </si>
  <si>
    <t>-309.425649618258 225.70300907057 -287.56726734294</t>
  </si>
  <si>
    <t>-545.250038118433 53.5786752091906 -773.535102430793</t>
  </si>
  <si>
    <t>-493.001550749925 215.215472772734 -249.94571529839</t>
  </si>
  <si>
    <t>-479.827303614272 203.088165350472 205.396997892547</t>
  </si>
  <si>
    <t>-496.68174642925 166.279711082948 673.521907303325</t>
  </si>
  <si>
    <t>-342.694616410052 159.761846012563 758.309858051077</t>
  </si>
  <si>
    <t>-528.17210261525 23.6641857295971 -227.015245965346</t>
  </si>
  <si>
    <t>-435.242876284591 -16.4473332188022 217.296559455463</t>
  </si>
  <si>
    <t>-589.797509484746 -103.780415085965 652.10651460827</t>
  </si>
  <si>
    <t>-440.255507410342 -147.271110222648 733.894546475105</t>
  </si>
  <si>
    <t>9763-20170724T164424.118858100.bin</t>
  </si>
  <si>
    <t>-510.963575755825 119.25448950867 -238.825791756723</t>
  </si>
  <si>
    <t>-550.594683481022 113.064587646267 -353.101178777609</t>
  </si>
  <si>
    <t>-564.070658973229 105.311519915609 -473.304460446546</t>
  </si>
  <si>
    <t>-565.299634554197 97.9976305733358 -582.574148228522</t>
  </si>
  <si>
    <t>-555.660412838832 90.6105284854154 -691.419691167014</t>
  </si>
  <si>
    <t>-530.996954031074 80.4607499048495 -841.38209904843</t>
  </si>
  <si>
    <t>-477.951166635465 75.8353239756484 -928.259786838914</t>
  </si>
  <si>
    <t>-537.862966488211 116.452888861492 -776.494953349477</t>
  </si>
  <si>
    <t>-536.006071430626 262.313451283914 -757.867883675089</t>
  </si>
  <si>
    <t>-498.679328044759 309.599370971854 -447.131741915796</t>
  </si>
  <si>
    <t>-311.269349679735 226.171069390096 -287.259033837263</t>
  </si>
  <si>
    <t>-545.956556686982 53.4505875070174 -773.561902995618</t>
  </si>
  <si>
    <t>-493.337756051376 215.181376452096 -249.967345809994</t>
  </si>
  <si>
    <t>-480.040681868679 203.154132064471 205.37449743571</t>
  </si>
  <si>
    <t>-496.7589349599 166.646038954081 673.526176806406</t>
  </si>
  <si>
    <t>-342.820178028 159.03630591233 758.310999632718</t>
  </si>
  <si>
    <t>-528.44114824678 23.4030657040059 -227.038568299158</t>
  </si>
  <si>
    <t>-435.454947711957 -16.5677677665537 217.273920916823</t>
  </si>
  <si>
    <t>-589.833491648783 -103.818655681229 652.165382236655</t>
  </si>
  <si>
    <t>-440.371745024782 -147.575180802028 733.958194857626</t>
  </si>
  <si>
    <t>9763-20170724T164424.188570100.bin</t>
  </si>
  <si>
    <t>-511.553837961293 118.831827676259 -238.858993533037</t>
  </si>
  <si>
    <t>-551.265946882026 112.634152189415 -353.105824537855</t>
  </si>
  <si>
    <t>-564.922100378987 104.883492527915 -473.289062656068</t>
  </si>
  <si>
    <t>-566.353183599637 97.5756488217561 -582.556600948718</t>
  </si>
  <si>
    <t>-556.953776450707 90.1983627511166 -691.423938186471</t>
  </si>
  <si>
    <t>-532.66020111547 80.0658863551297 -841.447763408281</t>
  </si>
  <si>
    <t>-479.787318734334 75.4648715478907 -928.432045521113</t>
  </si>
  <si>
    <t>-539.398570861703 116.054359128121 -776.545195014622</t>
  </si>
  <si>
    <t>-537.764915405167 261.921037034088 -757.99722271058</t>
  </si>
  <si>
    <t>-501.997437822342 309.916913097626 -447.186540506303</t>
  </si>
  <si>
    <t>-314.825759994381 226.949221786343 -286.795891848679</t>
  </si>
  <si>
    <t>-547.420104577914 53.0439771801838 -773.588440640883</t>
  </si>
  <si>
    <t>-493.993205841061 214.784396065159 -249.985701146126</t>
  </si>
  <si>
    <t>-480.45450797929 202.867226529911 205.351854144306</t>
  </si>
  <si>
    <t>-496.71850301763 166.619705485482 673.541947146588</t>
  </si>
  <si>
    <t>-342.761859804559 158.892856151763 758.283621384736</t>
  </si>
  <si>
    <t>-528.959570041005 22.9890716832999 -227.064289831126</t>
  </si>
  <si>
    <t>-435.815140694553 -16.9338616590554 217.219325249871</t>
  </si>
  <si>
    <t>-589.913945449713 -103.60807368769 652.298826533709</t>
  </si>
  <si>
    <t>-440.404313467647 -147.304233959017 734.036401108963</t>
  </si>
  <si>
    <t>9763-20170724T164424.219651900.bin</t>
  </si>
  <si>
    <t>-511.822166235276 118.55725812315 -238.839615738311</t>
  </si>
  <si>
    <t>-551.528388965747 112.343280375811 -353.087598439811</t>
  </si>
  <si>
    <t>-565.241169333312 104.595099849463 -473.264642055415</t>
  </si>
  <si>
    <t>-566.749296387674 97.297128290229 -582.531684144996</t>
  </si>
  <si>
    <t>-557.452118598845 89.9368437404455 -691.408937664176</t>
  </si>
  <si>
    <t>-533.325975588409 79.8353953797778 -841.461880572883</t>
  </si>
  <si>
    <t>-480.532757568574 75.2670519669907 -928.496347951169</t>
  </si>
  <si>
    <t>-540.015538164008 115.813282858451 -776.548418915292</t>
  </si>
  <si>
    <t>-538.492304019677 261.691222004496 -758.057831526953</t>
  </si>
  <si>
    <t>-503.416540938894 309.940414378317 -447.207537048445</t>
  </si>
  <si>
    <t>-316.318051623214 227.090526777783 -286.670589460545</t>
  </si>
  <si>
    <t>-547.986660865439 52.7966874919865 -773.587776191944</t>
  </si>
  <si>
    <t>-494.251224892365 214.398735186293 -249.989507459073</t>
  </si>
  <si>
    <t>-480.608362041235 202.575060371201 205.347318335346</t>
  </si>
  <si>
    <t>-496.601534155376 166.260072560238 673.549449564376</t>
  </si>
  <si>
    <t>-342.603489818229 159.174066694709 758.27193275317</t>
  </si>
  <si>
    <t>-529.186737236253 22.749022696056 -227.072301257835</t>
  </si>
  <si>
    <t>-435.96583376198 -17.0495433728753 217.206460816206</t>
  </si>
  <si>
    <t>-589.956165017827 -103.618519453176 652.361907008668</t>
  </si>
  <si>
    <t>-440.476165534808 -147.443822457284 734.084437597837</t>
  </si>
  <si>
    <t>9763-20170724T164424.288891000.bin</t>
  </si>
  <si>
    <t>-512.349222951398 117.837350316346 -239.002657640561</t>
  </si>
  <si>
    <t>-552.206534994619 111.654809846973 -353.199699519922</t>
  </si>
  <si>
    <t>-566.124433572481 103.928543068675 -473.354593752635</t>
  </si>
  <si>
    <t>-567.837515808624 96.6496839281057 -582.619950204017</t>
  </si>
  <si>
    <t>-558.762904581138 89.3095015164179 -691.517286013068</t>
  </si>
  <si>
    <t>-534.962525001604 79.2385650256546 -841.624224635252</t>
  </si>
  <si>
    <t>-482.319605846594 74.7485287275377 -928.753707681061</t>
  </si>
  <si>
    <t>-541.584150366782 115.211798726989 -776.701293871941</t>
  </si>
  <si>
    <t>-540.360862565683 261.105617226368 -758.302390170416</t>
  </si>
  <si>
    <t>-506.066412312276 309.860806689761 -447.443867154251</t>
  </si>
  <si>
    <t>-318.97761575531 227.096643800937 -286.851492824283</t>
  </si>
  <si>
    <t>-549.402725625505 52.1774396020117 -773.711825881919</t>
  </si>
  <si>
    <t>-494.89733423199 213.784047924276 -250.102696475436</t>
  </si>
  <si>
    <t>-480.837790543687 202.025607887624 205.223352903959</t>
  </si>
  <si>
    <t>-496.398256503444 166.05166567575 673.431751562671</t>
  </si>
  <si>
    <t>-342.473242600292 159.078741053817 758.296231558648</t>
  </si>
  <si>
    <t>-529.674190189164 21.953843599409 -227.25437737034</t>
  </si>
  <si>
    <t>-436.319448597231 -17.7811188004282 217.001966358727</t>
  </si>
  <si>
    <t>-589.903078475946 -103.997668056655 652.3590752151</t>
  </si>
  <si>
    <t>-440.274474208166 -146.740639342014 734.382461285951</t>
  </si>
  <si>
    <t>9763-20170724T164424.322981700.bin</t>
  </si>
  <si>
    <t>-512.621832341991 117.572379927196 -239.096870886433</t>
  </si>
  <si>
    <t>-552.462880041044 111.389436032969 -353.299725023632</t>
  </si>
  <si>
    <t>-566.433699766313 103.666187018808 -473.448445208852</t>
  </si>
  <si>
    <t>-568.223102492476 96.3919047294427 -582.712957100418</t>
  </si>
  <si>
    <t>-559.252818808721 89.0583055212616 -691.619392816414</t>
  </si>
  <si>
    <t>-535.625434663256 78.998538519775 -841.754525583433</t>
  </si>
  <si>
    <t>-483.045940469609 74.5527578075533 -928.924536555578</t>
  </si>
  <si>
    <t>-542.204669528061 114.970739748644 -776.826575242913</t>
  </si>
  <si>
    <t>-541.157841031565 260.87349490051 -758.488923416761</t>
  </si>
  <si>
    <t>-507.084218845954 309.741068957831 -447.623717140241</t>
  </si>
  <si>
    <t>-320.001674463898 227.042142969527 -286.990442239452</t>
  </si>
  <si>
    <t>-549.954877573571 51.9285807418236 -773.82220039819</t>
  </si>
  <si>
    <t>-495.217904152214 213.559300819634 -250.195971438328</t>
  </si>
  <si>
    <t>-481.00611220945 201.86608055299 205.126892376603</t>
  </si>
  <si>
    <t>-496.338002361869 166.204928041689 673.349327619805</t>
  </si>
  <si>
    <t>-342.452719795626 159.398728073259 758.299352061805</t>
  </si>
  <si>
    <t>-529.865876521228 21.6590689946992 -227.387345029467</t>
  </si>
  <si>
    <t>-436.525585826751 -18.0385215339083 216.875372374271</t>
  </si>
  <si>
    <t>-589.87894871472 -104.086404342238 652.373853510055</t>
  </si>
  <si>
    <t>-440.463735658903 -147.165693117916 734.610037914228</t>
  </si>
  <si>
    <t>9763-20170724T164424.386849100.bin</t>
  </si>
  <si>
    <t>-513.079079389947 116.938451864094 -239.274836465238</t>
  </si>
  <si>
    <t>-552.976052042987 110.737448409097 -353.457090579538</t>
  </si>
  <si>
    <t>-567.106840396416 103.014338414276 -473.587151074182</t>
  </si>
  <si>
    <t>-569.082765261855 95.7487821577199 -582.849023876399</t>
  </si>
  <si>
    <t>-560.339358607027 88.4328787058033 -691.775088156438</t>
  </si>
  <si>
    <t>-537.067149140002 78.4074354861312 -841.96792487627</t>
  </si>
  <si>
    <t>-484.645249308451 74.0526950282217 -929.237528140091</t>
  </si>
  <si>
    <t>-543.5496374673 114.371286159479 -777.02567933834</t>
  </si>
  <si>
    <t>-542.826529227844 260.290243776928 -758.788785041288</t>
  </si>
  <si>
    <t>-509.501005525159 309.622915983438 -447.916001109901</t>
  </si>
  <si>
    <t>-322.379873212936 227.201477631404 -287.185039768746</t>
  </si>
  <si>
    <t>-551.179136064752 51.3155124090505 -773.998921065803</t>
  </si>
  <si>
    <t>-495.794691177583 213.012454028018 -250.353314303836</t>
  </si>
  <si>
    <t>-481.428731016194 201.436979936417 204.967824739556</t>
  </si>
  <si>
    <t>-496.162034795577 166.110196349788 673.25135853986</t>
  </si>
  <si>
    <t>-342.301019167915 159.554437250806 758.265042561012</t>
  </si>
  <si>
    <t>-530.238729271621 20.8918554802741 -227.53409392908</t>
  </si>
  <si>
    <t>-436.81434678462 -18.6346312213925 216.72621205175</t>
  </si>
  <si>
    <t>-589.90037785425 -104.532227667845 652.42614160883</t>
  </si>
  <si>
    <t>-440.41847049196 -147.023259416733 734.847019992101</t>
  </si>
  <si>
    <t>9763-20170724T164424.420941200.bin</t>
  </si>
  <si>
    <t>-513.362010886159 116.817667699618 -239.325963366327</t>
  </si>
  <si>
    <t>-553.28744200784 110.584724392405 -353.496485584493</t>
  </si>
  <si>
    <t>-567.487367787373 102.856860966954 -473.618271689918</t>
  </si>
  <si>
    <t>-569.542193986963 95.5980664825096 -582.879140908809</t>
  </si>
  <si>
    <t>-560.893662393433 88.2998086813837 -691.813927998429</t>
  </si>
  <si>
    <t>-537.769225455741 78.3101154053121 -842.031919574136</t>
  </si>
  <si>
    <t>-485.419524627345 73.9963722848275 -929.346796245169</t>
  </si>
  <si>
    <t>-544.214293717046 114.261515985921 -777.078948260566</t>
  </si>
  <si>
    <t>-543.640631683549 260.185141042506 -758.873722414013</t>
  </si>
  <si>
    <t>-510.795941700548 309.636292992168 -447.968702138812</t>
  </si>
  <si>
    <t>-323.5878449656 227.375032214303 -287.256907953963</t>
  </si>
  <si>
    <t>-551.787859078412 51.1990517980054 -774.051170938931</t>
  </si>
  <si>
    <t>-496.116260167429 212.906454652799 -250.397404077091</t>
  </si>
  <si>
    <t>-481.705917077301 201.407501128885 204.92422587799</t>
  </si>
  <si>
    <t>-496.159750350335 166.260283093324 673.223094535836</t>
  </si>
  <si>
    <t>-342.28976811925 159.715334203856 758.221257057577</t>
  </si>
  <si>
    <t>-530.493558738198 20.8658966400603 -227.560599285272</t>
  </si>
  <si>
    <t>-436.977746441083 -18.6815090479773 216.678573234997</t>
  </si>
  <si>
    <t>-589.920661004148 -104.369117527238 652.448999969362</t>
  </si>
  <si>
    <t>-440.579963842945 -147.271045390639 734.912853498343</t>
  </si>
  <si>
    <t>9763-20170724T164424.487648900.bin</t>
  </si>
  <si>
    <t>-513.912933608083 116.5973255598 -239.360408313625</t>
  </si>
  <si>
    <t>-553.881384213225 110.350969718458 -353.515232333332</t>
  </si>
  <si>
    <t>-568.127703537859 102.626840392513 -473.63145651267</t>
  </si>
  <si>
    <t>-570.22534198355 95.3804827897034 -582.892355188882</t>
  </si>
  <si>
    <t>-561.62015592938 88.1045401832624 -691.832037136687</t>
  </si>
  <si>
    <t>-538.556433961364 78.1571288162736 -842.062257121878</t>
  </si>
  <si>
    <t>-486.260095043318 73.9217925131969 -929.413104539621</t>
  </si>
  <si>
    <t>-545.020546037449 114.095237780075 -777.104019551971</t>
  </si>
  <si>
    <t>-544.709690953437 260.02289223087 -758.947867177311</t>
  </si>
  <si>
    <t>-512.85471339028 309.982820216399 -448.021172967293</t>
  </si>
  <si>
    <t>-325.754953880048 228.027548979174 -287.027281360269</t>
  </si>
  <si>
    <t>-552.502230129053 51.0218478184992 -774.076253719569</t>
  </si>
  <si>
    <t>-496.757194820514 212.742094081203 -250.445404153453</t>
  </si>
  <si>
    <t>-482.261511936957 201.339634790181 204.876019789315</t>
  </si>
  <si>
    <t>-496.077451822162 166.260052787408 673.205921611648</t>
  </si>
  <si>
    <t>-342.236696644158 159.00657917833 758.199470174249</t>
  </si>
  <si>
    <t>-530.905581496622 20.5822475326995 -227.583385086842</t>
  </si>
  <si>
    <t>-437.187330755366 -18.9467754486376 216.614726241907</t>
  </si>
  <si>
    <t>-589.984881176393 -104.462762291606 652.478470285698</t>
  </si>
  <si>
    <t>-440.373485793591 -146.49564005114 734.899152676033</t>
  </si>
  <si>
    <t>9763-20170724T164424.518724000.bin</t>
  </si>
  <si>
    <t>-514.199733803006 116.727833792033 -239.363225109416</t>
  </si>
  <si>
    <t>-554.211976531095 110.445070181155 -353.500601847289</t>
  </si>
  <si>
    <t>-568.493054836626 102.69115285819 -473.61097447388</t>
  </si>
  <si>
    <t>-570.617910603443 95.4213169232691 -582.869738045759</t>
  </si>
  <si>
    <t>-562.035489645519 88.1257474503815 -691.809978106956</t>
  </si>
  <si>
    <t>-538.998553395773 78.1555027006227 -842.042736697764</t>
  </si>
  <si>
    <t>-486.718476055431 73.9420354660754 -929.404179528713</t>
  </si>
  <si>
    <t>-545.46868987467 114.105452885132 -777.09154201667</t>
  </si>
  <si>
    <t>-545.312352211399 260.041428327624 -758.937157880192</t>
  </si>
  <si>
    <t>-514.092842921979 310.488522259865 -448.024587860994</t>
  </si>
  <si>
    <t>-327.061865600457 228.684868383872 -286.873525184947</t>
  </si>
  <si>
    <t>-552.914654601948 51.0286195871382 -774.047223979902</t>
  </si>
  <si>
    <t>-497.082440475247 212.875284006393 -250.455740079078</t>
  </si>
  <si>
    <t>-482.54373754755 201.594547573319 204.867257080603</t>
  </si>
  <si>
    <t>-496.15839405348 166.657431900743 673.207891894398</t>
  </si>
  <si>
    <t>-342.349235584852 158.524577277679 758.17908957906</t>
  </si>
  <si>
    <t>-531.180963389147 20.676573281896 -227.550040673775</t>
  </si>
  <si>
    <t>-437.229656314798 -18.8066811541848 216.602949607775</t>
  </si>
  <si>
    <t>-590.011791669651 -104.485022542596 652.472562066747</t>
  </si>
  <si>
    <t>-440.609433893261 -147.263778619363 734.888731264503</t>
  </si>
  <si>
    <t>9763-20170724T164424.585411600.bin</t>
  </si>
  <si>
    <t>-514.594760675088 116.198897086144 -239.393079256189</t>
  </si>
  <si>
    <t>-554.58368216569 109.850353627989 -353.535041035708</t>
  </si>
  <si>
    <t>-568.858866707866 102.056592592787 -473.643425120494</t>
  </si>
  <si>
    <t>-570.986066967936 94.7606921667042 -582.900370847808</t>
  </si>
  <si>
    <t>-562.413911110489 87.4484317621876 -691.840333483127</t>
  </si>
  <si>
    <t>-539.399566972657 77.4639405406567 -842.075742477674</t>
  </si>
  <si>
    <t>-487.120704151283 73.3127618312847 -929.440740550335</t>
  </si>
  <si>
    <t>-545.903680778042 113.42483836077 -777.134013199028</t>
  </si>
  <si>
    <t>-546.189899066243 259.364980626964 -759.026334810863</t>
  </si>
  <si>
    <t>-516.409262293578 310.259612636272 -448.045577658036</t>
  </si>
  <si>
    <t>-329.517570542378 228.847673583418 -286.535110768299</t>
  </si>
  <si>
    <t>-553.261790529264 50.3387340619818 -774.068469018973</t>
  </si>
  <si>
    <t>-497.544461823688 212.15508919133 -250.498988493977</t>
  </si>
  <si>
    <t>-482.837407509761 200.930202870771 204.820061517858</t>
  </si>
  <si>
    <t>-495.877242197715 165.979738778808 673.172680689401</t>
  </si>
  <si>
    <t>-341.966715531874 159.827342146608 758.12686787216</t>
  </si>
  <si>
    <t>-531.451043717556 20.217315670777 -227.635994967461</t>
  </si>
  <si>
    <t>-437.386136894171 -19.1882531493953 216.499949804003</t>
  </si>
  <si>
    <t>-590.030625810417 -104.73691700464 652.456552146386</t>
  </si>
  <si>
    <t>-440.476326414566 -146.861185658172 734.934254380494</t>
  </si>
  <si>
    <t>9763-20170724T164424.617492700.bin</t>
  </si>
  <si>
    <t>-514.833987324627 116.313911662338 -239.434873042771</t>
  </si>
  <si>
    <t>-554.82811268259 109.939012594498 -353.573504873934</t>
  </si>
  <si>
    <t>-569.095021275643 102.113985883788 -473.681048333304</t>
  </si>
  <si>
    <t>-571.208959324312 94.7879426955975 -582.936255449927</t>
  </si>
  <si>
    <t>-562.617973583167 87.4434636719148 -691.872424085712</t>
  </si>
  <si>
    <t>-539.57168775511 77.4121305333508 -842.09974173106</t>
  </si>
  <si>
    <t>-487.276207850879 73.2832143016386 -929.455967248098</t>
  </si>
  <si>
    <t>-546.117321098935 113.396226781151 -777.175088611999</t>
  </si>
  <si>
    <t>-546.63213216109 259.335878451189 -759.096553721543</t>
  </si>
  <si>
    <t>-517.578800577764 310.4562224872 -448.083919097759</t>
  </si>
  <si>
    <t>-330.746123813868 229.364096847449 -286.344365241564</t>
  </si>
  <si>
    <t>-553.420603391205 50.3050932266293 -774.082624891668</t>
  </si>
  <si>
    <t>-497.891794701589 212.36957061734 -250.535095555098</t>
  </si>
  <si>
    <t>-483.082753971932 201.212561867076 204.782215920402</t>
  </si>
  <si>
    <t>-496.002112430211 166.625484443795 673.149306134992</t>
  </si>
  <si>
    <t>-342.155725627166 159.407662439866 758.135762521924</t>
  </si>
  <si>
    <t>-531.618578257238 20.3945157546951 -227.685843917719</t>
  </si>
  <si>
    <t>-437.531535142309 -18.9923579172818 216.446977159082</t>
  </si>
  <si>
    <t>-590.04958874619 -104.320191751573 652.461290953272</t>
  </si>
  <si>
    <t>-440.762224980911 -147.281522076699 734.990759165</t>
  </si>
  <si>
    <t>9763-20170724T164424.687685000.bin</t>
  </si>
  <si>
    <t>-515.241889307106 115.956716951292 -239.470974616003</t>
  </si>
  <si>
    <t>-555.272691599913 109.507923860948 -353.592653386518</t>
  </si>
  <si>
    <t>-569.518232514727 101.621466272779 -473.698588554172</t>
  </si>
  <si>
    <t>-571.588845493801 94.2454709097884 -582.951279946665</t>
  </si>
  <si>
    <t>-562.930750375179 86.8563686100523 -691.879174067417</t>
  </si>
  <si>
    <t>-539.767339595125 76.7684590978898 -842.084766962996</t>
  </si>
  <si>
    <t>-487.416491224792 72.6944247362206 -929.410422797961</t>
  </si>
  <si>
    <t>-546.418725237239 112.782995977571 -777.187707009246</t>
  </si>
  <si>
    <t>-547.388243415866 258.715989637245 -759.104606017401</t>
  </si>
  <si>
    <t>-519.59624954451 310.190148145247 -448.03515281681</t>
  </si>
  <si>
    <t>-332.977162802837 229.812320720161 -285.693567765957</t>
  </si>
  <si>
    <t>-553.614058812606 49.6811315627577 -774.059288806317</t>
  </si>
  <si>
    <t>-498.428162483418 211.970389730992 -250.564766881052</t>
  </si>
  <si>
    <t>-483.431559214791 200.932366328329 204.749378329337</t>
  </si>
  <si>
    <t>-495.801114164918 166.185581752686 673.122308463758</t>
  </si>
  <si>
    <t>-341.932019050026 159.457987082294 758.10796231624</t>
  </si>
  <si>
    <t>-531.927105490918 19.975505694389 -227.6989838855</t>
  </si>
  <si>
    <t>-437.646188081077 -19.3403790968215 216.399060798576</t>
  </si>
  <si>
    <t>-590.126671938744 -104.634752862186 652.47644389956</t>
  </si>
  <si>
    <t>-440.482532838115 -146.578914281338 734.882938440351</t>
  </si>
  <si>
    <t>9763-20170724T164424.719770700.bin</t>
  </si>
  <si>
    <t>-515.475145377688 116.082155517384 -239.490933440495</t>
  </si>
  <si>
    <t>-555.473753324004 109.586134473869 -353.621136903868</t>
  </si>
  <si>
    <t>-569.638174023353 101.672247891534 -473.734857343955</t>
  </si>
  <si>
    <t>-571.615893670529 94.2814476633787 -582.988356160572</t>
  </si>
  <si>
    <t>-562.846553671985 86.8885423580911 -691.90697122938</t>
  </si>
  <si>
    <t>-539.510470714863 76.8076562706395 -842.086391168953</t>
  </si>
  <si>
    <t>-487.095878951151 72.7758172214755 -929.375717741235</t>
  </si>
  <si>
    <t>-546.274933624269 112.823213308912 -777.201410651373</t>
  </si>
  <si>
    <t>-547.48737133827 258.746448163013 -759.100297446852</t>
  </si>
  <si>
    <t>-520.349448164961 310.502574253883 -448.019882273257</t>
  </si>
  <si>
    <t>-333.830104751453 230.463441464453 -285.39656540884</t>
  </si>
  <si>
    <t>-553.396985626392 49.7131640780891 -774.071810025212</t>
  </si>
  <si>
    <t>-498.754954571976 212.203033074165 -250.614008814303</t>
  </si>
  <si>
    <t>-483.661616873978 201.194442096061 204.697565009449</t>
  </si>
  <si>
    <t>-495.877946122794 166.682840522695 673.089265379231</t>
  </si>
  <si>
    <t>-342.086247286368 158.720457932129 758.108237180485</t>
  </si>
  <si>
    <t>-532.015771264802 20.0522361417056 -227.747486574788</t>
  </si>
  <si>
    <t>-437.803891195509 -19.158356745647 216.374530816307</t>
  </si>
  <si>
    <t>-590.163651334159 -104.598359485081 652.485614106819</t>
  </si>
  <si>
    <t>-440.617318530608 -146.969326796204 734.851231265183</t>
  </si>
  <si>
    <t>9763-20170724T164424.786499600.bin</t>
  </si>
  <si>
    <t>-515.786793126102 115.72721202391 -239.556783372163</t>
  </si>
  <si>
    <t>-555.796130862263 109.159068499837 -353.679230907918</t>
  </si>
  <si>
    <t>-569.853476698874 101.191623937228 -473.801983123218</t>
  </si>
  <si>
    <t>-571.686121488184 93.7638511927766 -583.055372293677</t>
  </si>
  <si>
    <t>-562.724757498569 86.3474719169086 -691.957031866205</t>
  </si>
  <si>
    <t>-539.075200472071 76.2498611142498 -842.086028681181</t>
  </si>
  <si>
    <t>-486.533022437317 72.2975057431535 -929.302336052603</t>
  </si>
  <si>
    <t>-546.048454179763 112.280194108894 -777.231500643962</t>
  </si>
  <si>
    <t>-547.734960822359 258.205075568164 -759.105309812269</t>
  </si>
  <si>
    <t>-521.890078791489 310.382793025506 -447.985239486563</t>
  </si>
  <si>
    <t>-335.547849456638 231.159258419551 -284.760706595257</t>
  </si>
  <si>
    <t>-553.030397629135 49.1552976090428 -774.085662506273</t>
  </si>
  <si>
    <t>-499.139346756954 211.723338283478 -250.668162362744</t>
  </si>
  <si>
    <t>-483.854485115621 200.852023023019 204.64045444386</t>
  </si>
  <si>
    <t>-495.67615615486 166.236083684496 673.049295803177</t>
  </si>
  <si>
    <t>-341.778020282361 159.745557331077 758.000710232504</t>
  </si>
  <si>
    <t>-532.315770716155 19.7631452611946 -227.780590594664</t>
  </si>
  <si>
    <t>-437.953238260584 -19.3989858664038 216.313658957973</t>
  </si>
  <si>
    <t>-590.212611902384 -104.636212235156 652.476931949707</t>
  </si>
  <si>
    <t>-440.463917316268 -146.497346897305 734.735618963266</t>
  </si>
  <si>
    <t>9763-20170724T164424.821594500.bin</t>
  </si>
  <si>
    <t>-516.027489563023 115.875293201742 -239.572636446196</t>
  </si>
  <si>
    <t>-556.001341892303 109.279551701048 -353.705791238715</t>
  </si>
  <si>
    <t>-569.978671281515 101.287745645169 -473.83636504252</t>
  </si>
  <si>
    <t>-571.721362513452 93.8415501129309 -583.090004049147</t>
  </si>
  <si>
    <t>-562.653286321175 86.4111591018298 -691.981732606821</t>
  </si>
  <si>
    <t>-538.838928426018 76.2998299373841 -842.083775070002</t>
  </si>
  <si>
    <t>-486.234448223486 72.3870193112676 -929.264371199499</t>
  </si>
  <si>
    <t>-545.923916378919 112.340205652672 -777.24696962911</t>
  </si>
  <si>
    <t>-547.827969166682 258.258301612975 -759.10995701796</t>
  </si>
  <si>
    <t>-522.622230949987 310.730728906256 -447.986966056453</t>
  </si>
  <si>
    <t>-336.361595407101 231.733923197543 -284.559486137899</t>
  </si>
  <si>
    <t>-552.828188263094 49.2073397168837 -774.089600143622</t>
  </si>
  <si>
    <t>-499.492103041558 211.828640380581 -250.668181333088</t>
  </si>
  <si>
    <t>-484.084237952891 200.961384936587 204.636404862613</t>
  </si>
  <si>
    <t>-495.728179993507 166.464848579783 673.077364817499</t>
  </si>
  <si>
    <t>-341.827308993271 159.623905559886 757.996355157325</t>
  </si>
  <si>
    <t>-532.42160254964 20.0369482998814 -227.831777171508</t>
  </si>
  <si>
    <t>-438.040315855869 -19.1257571353127 216.258410009231</t>
  </si>
  <si>
    <t>-590.21159601826 -104.23472599956 652.463643669743</t>
  </si>
  <si>
    <t>-440.831241828095 -147.301427358367 734.769572652878</t>
  </si>
  <si>
    <t>9763-20170724T164424.885819500.bin</t>
  </si>
  <si>
    <t>-516.419187592081 115.354008912351 -239.647328755797</t>
  </si>
  <si>
    <t>-556.395626669243 108.711985780718 -353.777002972782</t>
  </si>
  <si>
    <t>-570.251828792499 100.667195363159 -473.917968849004</t>
  </si>
  <si>
    <t>-571.834159834957 93.1758164774585 -583.170976604082</t>
  </si>
  <si>
    <t>-562.556279326037 85.7060348925836 -692.042316959953</t>
  </si>
  <si>
    <t>-538.401419136429 75.5487688859758 -842.086958910868</t>
  </si>
  <si>
    <t>-485.65664319795 71.7145758351716 -929.186161752787</t>
  </si>
  <si>
    <t>-545.715920482916 111.61722666609 -777.291325168424</t>
  </si>
  <si>
    <t>-548.008438566312 257.528874141299 -759.149622601076</t>
  </si>
  <si>
    <t>-523.798716115187 310.416708862203 -448.017730761392</t>
  </si>
  <si>
    <t>-337.773535878074 231.746139042296 -284.16528588017</t>
  </si>
  <si>
    <t>-552.462520710026 48.4688523276832 -774.102554360568</t>
  </si>
  <si>
    <t>-500.039242455375 211.488914428744 -250.720187219292</t>
  </si>
  <si>
    <t>-484.449265802759 200.69273813404 204.579782511204</t>
  </si>
  <si>
    <t>-495.6757282675 166.59385956997 673.011719635904</t>
  </si>
  <si>
    <t>-341.775521988945 160.001889912175 757.951594250199</t>
  </si>
  <si>
    <t>-532.632651957026 19.1420015317838 -227.972081315252</t>
  </si>
  <si>
    <t>-438.211787751387 -19.7598629103586 216.132653286567</t>
  </si>
  <si>
    <t>-590.061261088019 -105.207118784148 652.3466452151</t>
  </si>
  <si>
    <t>-440.43049188418 -146.421403570258 735.144714100776</t>
  </si>
  <si>
    <t>9763-20170724T164424.918908000.bin</t>
  </si>
  <si>
    <t>-516.589060801306 114.547776025426 -239.921299243194</t>
  </si>
  <si>
    <t>-556.609910566407 107.903004600334 -354.03518153433</t>
  </si>
  <si>
    <t>-570.431063384353 99.8387882855272 -474.178974970842</t>
  </si>
  <si>
    <t>-571.948280670136 92.3263966283488 -583.431423551831</t>
  </si>
  <si>
    <t>-562.572340907127 84.8340251205797 -692.292932030691</t>
  </si>
  <si>
    <t>-538.247915567899 74.6454517348932 -842.307913095702</t>
  </si>
  <si>
    <t>-485.425490479899 70.8464539467765 -929.361571559466</t>
  </si>
  <si>
    <t>-545.677229270465 110.73141850729 -777.53508608844</t>
  </si>
  <si>
    <t>-548.143127597414 256.645506596054 -759.386040773685</t>
  </si>
  <si>
    <t>-524.485572752397 309.737770409537 -448.24668753937</t>
  </si>
  <si>
    <t>-338.611631565405 231.238817285378 -284.140476896358</t>
  </si>
  <si>
    <t>-552.344218053417 47.5756941112716 -774.326680699707</t>
  </si>
  <si>
    <t>-500.253028941114 210.841372175429 -250.923677285692</t>
  </si>
  <si>
    <t>-484.506712362624 200.091811981395 204.37207407106</t>
  </si>
  <si>
    <t>-495.405023792549 166.031752475267 672.847976094991</t>
  </si>
  <si>
    <t>-341.544350898689 159.890668658682 757.893147820126</t>
  </si>
  <si>
    <t>-532.78688590441 18.0792024024126 -228.386158142431</t>
  </si>
  <si>
    <t>-438.368740422358 -20.6246686855698 215.736441518171</t>
  </si>
  <si>
    <t>-589.73309282144 -106.19159080086 651.772482138394</t>
  </si>
  <si>
    <t>-441.050416036418 -146.980389410332 736.467494372433</t>
  </si>
  <si>
    <t>9763-20170724T164424.988276200.bin</t>
  </si>
  <si>
    <t>-516.704168292721 112.681818640032 -240.576893524772</t>
  </si>
  <si>
    <t>-556.703510371063 105.969831736114 -354.69446826313</t>
  </si>
  <si>
    <t>-570.417001952128 97.8619057876601 -474.847432202929</t>
  </si>
  <si>
    <t>-571.802221120543 90.3212910054668 -584.099772158298</t>
  </si>
  <si>
    <t>-562.260947800704 82.8125922892113 -692.945766240044</t>
  </si>
  <si>
    <t>-537.673930131379 72.6143343650174 -842.91739297491</t>
  </si>
  <si>
    <t>-484.723538760794 68.8871875289465 -929.896270829613</t>
  </si>
  <si>
    <t>-545.291241031435 108.711640486203 -778.172606603811</t>
  </si>
  <si>
    <t>-548.159743228119 254.613176321161 -759.980596492625</t>
  </si>
  <si>
    <t>-525.439151018116 307.85133482512 -448.796303703392</t>
  </si>
  <si>
    <t>-339.709192719214 229.841206538618 -284.294408315384</t>
  </si>
  <si>
    <t>-551.814645546939 45.5417581950264 -774.946391446547</t>
  </si>
  <si>
    <t>-500.666700254263 209.876377654496 -251.431570357797</t>
  </si>
  <si>
    <t>-484.682434535118 199.258007075986 203.858833986841</t>
  </si>
  <si>
    <t>-495.311740113255 166.480093392233 672.51920851118</t>
  </si>
  <si>
    <t>-341.593985383127 159.542132041005 757.761498303539</t>
  </si>
  <si>
    <t>-532.563898756072 15.4927266995832 -229.192979636263</t>
  </si>
  <si>
    <t>-438.505021382841 -22.7641326303129 215.044645314824</t>
  </si>
  <si>
    <t>-588.62974399356 -108.536207580349 651.864016179755</t>
  </si>
  <si>
    <t>-440.798873694624 -146.904854505032 739.141700217703</t>
  </si>
  <si>
    <t>9763-20170724T164425.021359100.bin</t>
  </si>
  <si>
    <t>-516.915971296588 112.247768147168 -240.735814790947</t>
  </si>
  <si>
    <t>-556.877003648627 105.521135227709 -354.865977834639</t>
  </si>
  <si>
    <t>-570.524149613599 97.4068479356558 -475.026114187783</t>
  </si>
  <si>
    <t>-571.83850516381 89.8645222034865 -584.279177989314</t>
  </si>
  <si>
    <t>-562.216253827658 82.3581149670883 -693.118160909853</t>
  </si>
  <si>
    <t>-537.507110858903 72.1674588776246 -843.070170894605</t>
  </si>
  <si>
    <t>-484.508154600766 68.4803057185304 -930.021298952152</t>
  </si>
  <si>
    <t>-545.221133210292 108.265719726877 -778.33730113759</t>
  </si>
  <si>
    <t>-548.304759256028 254.149515557611 -760.109483689072</t>
  </si>
  <si>
    <t>-526.049428206259 307.448810672902 -448.902117682531</t>
  </si>
  <si>
    <t>-340.394311730293 229.649361202148 -284.216057459545</t>
  </si>
  <si>
    <t>-551.659156325682 45.0873417912934 -775.104698433715</t>
  </si>
  <si>
    <t>-500.99939653209 209.590393871126 -251.534533883379</t>
  </si>
  <si>
    <t>-484.953835845895 198.968837091074 203.753745354824</t>
  </si>
  <si>
    <t>-495.269657852381 166.41006233053 672.475615174627</t>
  </si>
  <si>
    <t>-341.542188066412 159.67151694389 757.716244387008</t>
  </si>
  <si>
    <t>-532.764249480378 15.1540012872943 -229.273560970024</t>
  </si>
  <si>
    <t>-438.788815764293 -23.1140714964754 214.980693381883</t>
  </si>
  <si>
    <t>-588.491367830834 -108.397613599159 652.100908266321</t>
  </si>
  <si>
    <t>-440.85607515523 -146.733035946387 739.723595356912</t>
  </si>
  <si>
    <t>9763-20170724T164425.086474800.bin</t>
  </si>
  <si>
    <t>-517.444197093683 112.112262006714 -240.82254613774</t>
  </si>
  <si>
    <t>-557.375780272768 105.385571828319 -354.962778216468</t>
  </si>
  <si>
    <t>-570.91233708248 97.2799006251402 -475.136152753441</t>
  </si>
  <si>
    <t>-572.094190756574 89.7505953501028 -584.391720733824</t>
  </si>
  <si>
    <t>-562.307980261219 82.2627439349824 -693.217336796849</t>
  </si>
  <si>
    <t>-537.340063214797 72.1043151961131 -843.12859273015</t>
  </si>
  <si>
    <t>-484.247660005669 68.5191239928487 -930.026950396912</t>
  </si>
  <si>
    <t>-545.261308251906 108.197305442413 -778.418043453486</t>
  </si>
  <si>
    <t>-548.767032835846 254.077450555188 -760.14019954005</t>
  </si>
  <si>
    <t>-527.490936911258 307.780548868919 -448.933643676902</t>
  </si>
  <si>
    <t>-341.884701539113 230.095169495408 -284.138819267834</t>
  </si>
  <si>
    <t>-551.51385991974 45.0008449443423 -775.177062769671</t>
  </si>
  <si>
    <t>-501.725315091288 209.385992813294 -251.550729630596</t>
  </si>
  <si>
    <t>-485.395770534374 198.857342826877 203.729512606943</t>
  </si>
  <si>
    <t>-495.239484898899 166.450390288354 672.452599384709</t>
  </si>
  <si>
    <t>-341.500396276795 159.523041038967 757.657216941946</t>
  </si>
  <si>
    <t>-533.012016781299 15.1017348787164 -229.304558116365</t>
  </si>
  <si>
    <t>-439.604742622056 -23.0934417517366 215.075777727186</t>
  </si>
  <si>
    <t>-588.62878224242 -107.939710122689 652.652013515353</t>
  </si>
  <si>
    <t>-441.015508837758 -146.475902703089 740.223633382466</t>
  </si>
  <si>
    <t>9763-20170724T164425.123570100.bin</t>
  </si>
  <si>
    <t>-517.661273640249 112.030158843376 -240.742397006566</t>
  </si>
  <si>
    <t>-557.542407518868 105.288468361655 -354.899481634997</t>
  </si>
  <si>
    <t>-571.01353734198 97.183755475285 -475.080297356341</t>
  </si>
  <si>
    <t>-572.130921517556 89.6618274077526 -584.336954161946</t>
  </si>
  <si>
    <t>-562.275804356279 82.1875871606084 -693.157246316806</t>
  </si>
  <si>
    <t>-537.208260256445 72.0543771865937 -843.05378321348</t>
  </si>
  <si>
    <t>-484.083042911979 68.5313558238069 -929.93452311803</t>
  </si>
  <si>
    <t>-545.228523970559 108.141541195503 -778.351972044576</t>
  </si>
  <si>
    <t>-548.929578835247 254.000680658471 -760.069111454786</t>
  </si>
  <si>
    <t>-528.073097490954 307.856687418481 -448.86054527532</t>
  </si>
  <si>
    <t>-342.457025735889 230.20343011561 -284.061594954624</t>
  </si>
  <si>
    <t>-551.371168063783 44.9344573515093 -775.106386326857</t>
  </si>
  <si>
    <t>-502.030402417355 209.195940963188 -251.465297553128</t>
  </si>
  <si>
    <t>-485.552553592875 198.75078405312 203.811634112642</t>
  </si>
  <si>
    <t>-495.242445455801 166.385712572248 672.50813310544</t>
  </si>
  <si>
    <t>-341.442183373042 159.91604729045 757.638202456343</t>
  </si>
  <si>
    <t>-533.115126470387 15.0423604260399 -229.25973577967</t>
  </si>
  <si>
    <t>-439.980008472061 -23.1999942570932 215.173597366578</t>
  </si>
  <si>
    <t>-588.699607451549 -107.873907509176 652.874885102525</t>
  </si>
  <si>
    <t>-441.121660316673 -146.699641650011 740.378242118414</t>
  </si>
  <si>
    <t>9763-20170724T164425.189292600.bin</t>
  </si>
  <si>
    <t>-518.049002261631 111.804546042481 -240.662861427717</t>
  </si>
  <si>
    <t>-557.930632840014 105.142644151993 -354.824442320096</t>
  </si>
  <si>
    <t>-571.343562565185 97.0801415180195 -475.014553381592</t>
  </si>
  <si>
    <t>-572.38393392887 89.5830257742432 -584.273651661163</t>
  </si>
  <si>
    <t>-562.427919934212 82.1209723168722 -693.085670973136</t>
  </si>
  <si>
    <t>-537.195962010507 71.9924071024848 -842.954833009901</t>
  </si>
  <si>
    <t>-483.997691386302 68.5710426452183 -929.795033674144</t>
  </si>
  <si>
    <t>-545.39215099259 108.08667064425 -778.279059355017</t>
  </si>
  <si>
    <t>-549.617315629963 253.941017737289 -759.987420390035</t>
  </si>
  <si>
    <t>-529.581545337496 308.196962834094 -448.794394996256</t>
  </si>
  <si>
    <t>-343.953347002156 230.729148308137 -283.921955171574</t>
  </si>
  <si>
    <t>-551.328534562847 44.8613285627406 -775.005657899336</t>
  </si>
  <si>
    <t>-502.6425938986 208.937945516292 -251.30626308163</t>
  </si>
  <si>
    <t>-485.795068320038 198.514876316991 203.957578495866</t>
  </si>
  <si>
    <t>-495.195706464608 166.213603049196 672.582834204099</t>
  </si>
  <si>
    <t>-341.355623631817 159.983364687468 757.658827887266</t>
  </si>
  <si>
    <t>-533.257394985905 14.811339832932 -229.322494628754</t>
  </si>
  <si>
    <t>-440.715393391171 -23.4986541904528 215.228882547593</t>
  </si>
  <si>
    <t>-588.846709413654 -107.599590199771 653.235290202333</t>
  </si>
  <si>
    <t>-441.231788692738 -146.556802371646 740.61766978319</t>
  </si>
  <si>
    <t>9763-20170724T164425.222380400.bin</t>
  </si>
  <si>
    <t>-518.150052073532 111.612060110786 -240.61278444368</t>
  </si>
  <si>
    <t>-558.009276374256 104.943075341825 -354.781878593723</t>
  </si>
  <si>
    <t>-571.347606185479 96.8922720632798 -474.981113207284</t>
  </si>
  <si>
    <t>-572.299457616481 89.4156376733412 -584.242338413817</t>
  </si>
  <si>
    <t>-562.235087007369 81.9848886855421 -693.046445707403</t>
  </si>
  <si>
    <t>-536.833172890656 71.9123001275256 -842.890657122486</t>
  </si>
  <si>
    <t>-483.581866773152 68.566207724718 -929.701437441142</t>
  </si>
  <si>
    <t>-545.156853078323 107.986937953833 -778.220334900401</t>
  </si>
  <si>
    <t>-549.640612950214 253.822865524627 -759.922264844817</t>
  </si>
  <si>
    <t>-530.144318029558 308.324159719187 -448.737882241201</t>
  </si>
  <si>
    <t>-344.42153800748 230.976463151242 -283.915542715469</t>
  </si>
  <si>
    <t>-550.988672823451 44.7512827801709 -774.958277173924</t>
  </si>
  <si>
    <t>-502.805441612653 208.710068348249 -251.229765055638</t>
  </si>
  <si>
    <t>-485.834137590275 198.401007815506 204.032160892449</t>
  </si>
  <si>
    <t>-495.146231053651 166.067940121507 672.621636437249</t>
  </si>
  <si>
    <t>-341.275292342031 160.075296842187 757.658871982345</t>
  </si>
  <si>
    <t>-533.307844886415 14.5423411772412 -229.298892288713</t>
  </si>
  <si>
    <t>-440.977920670584 -23.7116437820788 215.301474769424</t>
  </si>
  <si>
    <t>-588.907037838686 -107.876768428382 653.369385174323</t>
  </si>
  <si>
    <t>-441.078463070763 -146.257720243369 740.645502551111</t>
  </si>
  <si>
    <t>9763-20170724T164425.284279500.bin</t>
  </si>
  <si>
    <t>-518.332953036663 111.247171032325 -240.574454534888</t>
  </si>
  <si>
    <t>-558.291838573615 104.609825387704 -354.710476637161</t>
  </si>
  <si>
    <t>-571.583810608042 96.5682020094713 -474.915342823883</t>
  </si>
  <si>
    <t>-572.432178271857 89.095166571018 -584.177828244885</t>
  </si>
  <si>
    <t>-562.203577977949 81.6658938231228 -692.966817190783</t>
  </si>
  <si>
    <t>-536.512305009089 71.5954262957688 -842.76168907595</t>
  </si>
  <si>
    <t>-483.151028372542 68.3589717452684 -929.508978734867</t>
  </si>
  <si>
    <t>-545.039489253083 107.675581153502 -778.121044948356</t>
  </si>
  <si>
    <t>-549.990140389382 253.508937272415 -759.791325135157</t>
  </si>
  <si>
    <t>-531.584005188999 308.590545728899 -448.642762987097</t>
  </si>
  <si>
    <t>-345.635699477076 231.443694222878 -283.980557436635</t>
  </si>
  <si>
    <t>-550.720288491576 44.4269847671881 -774.843299713264</t>
  </si>
  <si>
    <t>-503.191763305604 208.467834113641 -251.144985626133</t>
  </si>
  <si>
    <t>-485.923417908932 198.132387943367 204.105128012059</t>
  </si>
  <si>
    <t>-495.125662898906 166.117120952889 672.659296181529</t>
  </si>
  <si>
    <t>-341.244760386904 160.438837941781 757.700044004135</t>
  </si>
  <si>
    <t>-533.374149659183 14.0325458906792 -229.317302392687</t>
  </si>
  <si>
    <t>-441.30783427457 -24.0492491755313 215.352400656377</t>
  </si>
  <si>
    <t>-588.949491835285 -108.261023836307 653.523980005228</t>
  </si>
  <si>
    <t>-440.80192954244 -145.601098030183 740.710774060318</t>
  </si>
  <si>
    <t>9763-20170724T164425.322381900.bin</t>
  </si>
  <si>
    <t>-518.434821390244 111.272113663967 -240.560141059022</t>
  </si>
  <si>
    <t>-558.311340538237 104.569439194176 -354.721149571157</t>
  </si>
  <si>
    <t>-571.523777284086 96.4808760442564 -474.93168099285</t>
  </si>
  <si>
    <t>-572.302989457833 88.9743158997929 -584.19234339359</t>
  </si>
  <si>
    <t>-562.008682503681 81.5208490890312 -692.973385351043</t>
  </si>
  <si>
    <t>-536.23052620999 71.4269883362667 -842.752028357357</t>
  </si>
  <si>
    <t>-482.827137257259 68.2255688412906 -929.474642771843</t>
  </si>
  <si>
    <t>-544.834504652212 107.520422582491 -778.128696195905</t>
  </si>
  <si>
    <t>-549.980211770858 253.344608136399 -759.832012189659</t>
  </si>
  <si>
    <t>-532.056015187096 308.720985957851 -448.707650063389</t>
  </si>
  <si>
    <t>-346.163482047969 231.650903261818 -283.946525219433</t>
  </si>
  <si>
    <t>-550.438653570186 44.2660250741168 -774.830517636917</t>
  </si>
  <si>
    <t>-503.332376958958 208.445963784176 -251.148946282833</t>
  </si>
  <si>
    <t>-486.009738418103 198.141411461516 204.099860024114</t>
  </si>
  <si>
    <t>-495.077495896767 166.009623990708 672.669736930195</t>
  </si>
  <si>
    <t>-341.184616034759 160.48768314352 757.699193615456</t>
  </si>
  <si>
    <t>-533.381930249295 14.173937899315 -229.350905319011</t>
  </si>
  <si>
    <t>-441.483947852347 -23.8981523832593 215.354560442343</t>
  </si>
  <si>
    <t>-588.964234319716 -107.941143580533 653.581350539821</t>
  </si>
  <si>
    <t>-441.022930559418 -146.009233808663 740.803494382546</t>
  </si>
  <si>
    <t>9763-20170724T164425.385097000.bin</t>
  </si>
  <si>
    <t>-518.676061455903 111.47487688515 -240.550124738767</t>
  </si>
  <si>
    <t>-558.566683479329 104.705627768914 -354.702234173172</t>
  </si>
  <si>
    <t>-571.744382639976 96.5440009622422 -474.911707042507</t>
  </si>
  <si>
    <t>-572.471838890544 88.9713423062304 -584.16816579127</t>
  </si>
  <si>
    <t>-562.106169247984 81.4530516633693 -692.93802291044</t>
  </si>
  <si>
    <t>-536.209012760102 71.2715344777504 -842.69009380038</t>
  </si>
  <si>
    <t>-482.740809765012 68.1033212509655 -929.373997660047</t>
  </si>
  <si>
    <t>-544.932647385819 107.408055462066 -778.107128890229</t>
  </si>
  <si>
    <t>-550.432287150532 253.219709262587 -759.864360404008</t>
  </si>
  <si>
    <t>-533.329475727112 309.212018054594 -448.80404049535</t>
  </si>
  <si>
    <t>-347.520994036647 232.248133126436 -283.898519620867</t>
  </si>
  <si>
    <t>-550.402691348654 44.1449831760035 -774.751845216177</t>
  </si>
  <si>
    <t>-503.694436192148 208.622680621173 -251.149772670648</t>
  </si>
  <si>
    <t>-486.299543615652 198.317746697006 204.096273854634</t>
  </si>
  <si>
    <t>-495.02932059665 166.009534968263 672.63889262367</t>
  </si>
  <si>
    <t>-341.165221887917 160.094835328765 757.694022930056</t>
  </si>
  <si>
    <t>-533.562618237463 14.4197314444464 -229.328293934049</t>
  </si>
  <si>
    <t>-441.679766752089 -23.724297825735 215.374141847832</t>
  </si>
  <si>
    <t>-588.979137875828 -107.745222377811 653.687509660626</t>
  </si>
  <si>
    <t>-441.00347771504 -145.718123191976 740.8928267483</t>
  </si>
  <si>
    <t>9763-20170724T164425.420186600.bin</t>
  </si>
  <si>
    <t>-518.758578063406 111.708466782002 -240.575730634827</t>
  </si>
  <si>
    <t>-558.636823674525 104.885799284608 -354.729106641505</t>
  </si>
  <si>
    <t>-571.785522773488 96.6736710041693 -474.938237811327</t>
  </si>
  <si>
    <t>-572.480356328116 89.0570657476422 -584.191831296657</t>
  </si>
  <si>
    <t>-562.07578456856 81.4964747453897 -692.955050781062</t>
  </si>
  <si>
    <t>-536.118630009365 71.2580711020051 -842.692801145836</t>
  </si>
  <si>
    <t>-482.624047139721 68.0798383924516 -929.360154642613</t>
  </si>
  <si>
    <t>-544.900160407254 107.421564831868 -778.132785728766</t>
  </si>
  <si>
    <t>-550.554067061646 253.239969585606 -759.924256095078</t>
  </si>
  <si>
    <t>-533.725534226368 309.423601867356 -448.883336891856</t>
  </si>
  <si>
    <t>-347.949942659901 232.558337046884 -283.894891470807</t>
  </si>
  <si>
    <t>-550.30749634257 44.1549111762303 -774.744295444547</t>
  </si>
  <si>
    <t>-503.858241867411 208.87549944554 -251.183454034842</t>
  </si>
  <si>
    <t>-486.380885843934 198.571116191021 204.059392117265</t>
  </si>
  <si>
    <t>-495.065412941164 166.325218018523 672.608011028179</t>
  </si>
  <si>
    <t>-341.24921001653 159.785233006339 757.70395067126</t>
  </si>
  <si>
    <t>-533.50101408162 14.6623614672597 -229.340768191771</t>
  </si>
  <si>
    <t>-441.708224030371 -23.5304483121192 215.376024254704</t>
  </si>
  <si>
    <t>-589.003415464468 -107.614144172987 653.735252346761</t>
  </si>
  <si>
    <t>-441.036648957537 -145.702021151743 740.905486319591</t>
  </si>
  <si>
    <t>9763-20170724T164425.486412300.bin</t>
  </si>
  <si>
    <t>-518.770014582924 111.880024777102 -240.538099710739</t>
  </si>
  <si>
    <t>-558.661657743893 104.977411548094 -354.681969414928</t>
  </si>
  <si>
    <t>-571.785606489839 96.6916867695512 -474.888824777801</t>
  </si>
  <si>
    <t>-572.442216411264 89.0136376380611 -584.138344113986</t>
  </si>
  <si>
    <t>-561.984176698051 81.3979731914275 -692.892557306538</t>
  </si>
  <si>
    <t>-535.937525633537 71.09065011986 -842.610126360604</t>
  </si>
  <si>
    <t>-482.408284550645 67.9092208105454 -929.255764988476</t>
  </si>
  <si>
    <t>-544.812668703913 107.287973288054 -778.081876460467</t>
  </si>
  <si>
    <t>-550.724735956339 253.100212695551 -759.928809379027</t>
  </si>
  <si>
    <t>-534.437063948412 309.899979585014 -448.9712697105</t>
  </si>
  <si>
    <t>-348.82449641704 233.308774827509 -283.671889737584</t>
  </si>
  <si>
    <t>-550.111980225582 44.0145954900962 -774.647757658792</t>
  </si>
  <si>
    <t>-503.964282902892 208.943542521165 -251.165770591486</t>
  </si>
  <si>
    <t>-486.416898149137 198.602895872126 204.073375682401</t>
  </si>
  <si>
    <t>-494.991714806245 166.100836285673 672.629469749302</t>
  </si>
  <si>
    <t>-341.126449733929 160.125789939226 757.678329356043</t>
  </si>
  <si>
    <t>-533.421884684783 14.9114633303498 -229.255046078007</t>
  </si>
  <si>
    <t>-441.633367853673 -23.4078128212852 215.451787443345</t>
  </si>
  <si>
    <t>-588.979693353025 -107.801468504699 653.737087356972</t>
  </si>
  <si>
    <t>-440.90596915966 -145.463523562016 740.910736979611</t>
  </si>
  <si>
    <t>9763-20170724T164425.520497300.bin</t>
  </si>
  <si>
    <t>-518.71570498935 111.982858977409 -240.522103578686</t>
  </si>
  <si>
    <t>-558.63374086122 105.033987200709 -354.653902927913</t>
  </si>
  <si>
    <t>-571.777633928318 96.7022971037762 -474.85539601834</t>
  </si>
  <si>
    <t>-572.449317788237 88.9832032169175 -584.101920466822</t>
  </si>
  <si>
    <t>-562.003029880336 81.327006317313 -692.8543669921</t>
  </si>
  <si>
    <t>-535.96936796502 70.9641666519211 -842.570371252889</t>
  </si>
  <si>
    <t>-482.448880019471 67.7702977679942 -929.221020680301</t>
  </si>
  <si>
    <t>-544.847468306074 107.186044536684 -778.056179561828</t>
  </si>
  <si>
    <t>-550.814224315305 252.999301821521 -759.945333766691</t>
  </si>
  <si>
    <t>-535.026362241863 310.223250220431 -449.039698206495</t>
  </si>
  <si>
    <t>-349.508967199264 233.689535694999 -283.607051388476</t>
  </si>
  <si>
    <t>-550.129413319246 43.912709900597 -774.595055700759</t>
  </si>
  <si>
    <t>-503.943913937317 208.944698480492 -251.171031256024</t>
  </si>
  <si>
    <t>-486.360238800335 198.617073141738 204.067201059394</t>
  </si>
  <si>
    <t>-494.889415068594 165.845361364803 672.608940338107</t>
  </si>
  <si>
    <t>-341.005832428877 160.297666199966 757.653466353086</t>
  </si>
  <si>
    <t>-533.308829276933 15.0406997736144 -229.208330660329</t>
  </si>
  <si>
    <t>-441.515427054027 -23.3181030481833 215.494165477867</t>
  </si>
  <si>
    <t>-588.95503749391 -107.809248473639 653.726519072478</t>
  </si>
  <si>
    <t>-440.881801705169 -145.437603994539 740.915636084264</t>
  </si>
  <si>
    <t>9763-20170724T164425.589183200.bin</t>
  </si>
  <si>
    <t>-518.595727060293 112.328481041132 -240.411330331396</t>
  </si>
  <si>
    <t>-558.551099618124 105.302654889262 -354.525406860301</t>
  </si>
  <si>
    <t>-571.745630785048 96.8908314699121 -474.715721248144</t>
  </si>
  <si>
    <t>-572.467960669944 89.1000067946089 -583.956892174817</t>
  </si>
  <si>
    <t>-562.076639041582 81.3738061448198 -692.709741074328</t>
  </si>
  <si>
    <t>-536.123432285114 70.9165642195158 -842.432969762096</t>
  </si>
  <si>
    <t>-482.655454880632 67.7048912920312 -929.115438248423</t>
  </si>
  <si>
    <t>-544.992622028322 107.181045896173 -777.941633365928</t>
  </si>
  <si>
    <t>-551.090800610648 253.006315025484 -759.936329437874</t>
  </si>
  <si>
    <t>-536.325233467753 311.250655266087 -449.169798657042</t>
  </si>
  <si>
    <t>-351.145097095104 234.618682058301 -283.405175279625</t>
  </si>
  <si>
    <t>-550.22132225859 43.9061279238978 -774.428571646875</t>
  </si>
  <si>
    <t>-503.932057375709 209.246911910901 -251.123597366371</t>
  </si>
  <si>
    <t>-486.330013294757 198.867952863935 204.112680457345</t>
  </si>
  <si>
    <t>-494.91814976172 165.935936521164 672.655742819261</t>
  </si>
  <si>
    <t>-341.006214619344 160.494872760587 757.655851239983</t>
  </si>
  <si>
    <t>-533.097252919266 15.4975848438464 -229.009455862794</t>
  </si>
  <si>
    <t>-441.089218073348 -23.030104447121 215.634070943573</t>
  </si>
  <si>
    <t>-588.946825130922 -107.543967737092 653.672594096806</t>
  </si>
  <si>
    <t>-440.873588850426 -145.167853775461 740.863572152668</t>
  </si>
  <si>
    <t>9763-20170724T164425.622273200.bin</t>
  </si>
  <si>
    <t>-518.576390587133 112.551330006083 -240.33301904972</t>
  </si>
  <si>
    <t>-558.584379990251 105.481216638652 -354.42584869317</t>
  </si>
  <si>
    <t>-571.836750079917 97.0278888248229 -474.606897592766</t>
  </si>
  <si>
    <t>-572.612528859501 89.2019955394685 -583.845222599297</t>
  </si>
  <si>
    <t>-562.275542971192 81.4440619824907 -692.600896355265</t>
  </si>
  <si>
    <t>-536.398147236523 70.9467151288108 -842.334547801542</t>
  </si>
  <si>
    <t>-482.978979096963 67.7199384760374 -929.046464794934</t>
  </si>
  <si>
    <t>-545.240689308678 107.228926402735 -777.849462605984</t>
  </si>
  <si>
    <t>-551.359537038875 253.051282112753 -759.882463294544</t>
  </si>
  <si>
    <t>-537.097042288402 311.899329099861 -449.206315955259</t>
  </si>
  <si>
    <t>-352.164787615406 235.098303216016 -283.24318866655</t>
  </si>
  <si>
    <t>-550.455442218914 43.9540351219367 -774.314651921531</t>
  </si>
  <si>
    <t>-503.908082256638 209.352231643368 -251.094628196344</t>
  </si>
  <si>
    <t>-486.308927907902 198.948114357164 204.141265139466</t>
  </si>
  <si>
    <t>-494.884122652619 165.829671620988 672.662134506925</t>
  </si>
  <si>
    <t>-340.966934125775 160.538029115569 757.662275638054</t>
  </si>
  <si>
    <t>-533.110043218436 15.8484165785047 -228.881219341267</t>
  </si>
  <si>
    <t>-440.820938947591 -22.6656464268323 215.705174899479</t>
  </si>
  <si>
    <t>-588.926261385558 -107.299761406475 653.60804588191</t>
  </si>
  <si>
    <t>-441.130085561332 -145.898287862562 740.84309363688</t>
  </si>
  <si>
    <t>9763-20170724T164425.685006900.bin</t>
  </si>
  <si>
    <t>-518.551329479219 112.715598105622 -240.293858585841</t>
  </si>
  <si>
    <t>-558.672569477679 105.575727955159 -354.342602081359</t>
  </si>
  <si>
    <t>-572.08301217256 97.0562292746602 -474.501483872975</t>
  </si>
  <si>
    <t>-573.018341880023 89.1723137053096 -583.734283496604</t>
  </si>
  <si>
    <t>-562.855910974519 81.3581243701655 -692.502522251269</t>
  </si>
  <si>
    <t>-537.235135348799 70.7844841824376 -842.274827635702</t>
  </si>
  <si>
    <t>-483.930480369316 67.4878423458379 -929.054590749885</t>
  </si>
  <si>
    <t>-545.955270102036 107.098650125132 -777.791134304435</t>
  </si>
  <si>
    <t>-552.031180007238 252.945514531842 -759.928865831881</t>
  </si>
  <si>
    <t>-538.982041290716 312.888286817732 -449.408832194598</t>
  </si>
  <si>
    <t>-354.501704753564 236.069125698523 -282.951987075944</t>
  </si>
  <si>
    <t>-551.187756717298 43.82729415278 -774.219380279692</t>
  </si>
  <si>
    <t>-503.880087020379 209.586445428456 -251.113297848044</t>
  </si>
  <si>
    <t>-486.261601676655 199.144234874903 204.120895057041</t>
  </si>
  <si>
    <t>-494.895802539732 165.990581565297 672.647831977134</t>
  </si>
  <si>
    <t>-341.014909516483 160.138291323114 757.676807027216</t>
  </si>
  <si>
    <t>-533.064503788156 15.8939033331538 -228.808046534154</t>
  </si>
  <si>
    <t>-440.558756662284 -22.4016909934638 215.752248800735</t>
  </si>
  <si>
    <t>-588.888841088178 -107.392477776992 653.538640660215</t>
  </si>
  <si>
    <t>-440.95132813055 -145.442623761406 740.775010825996</t>
  </si>
  <si>
    <t>9763-20170724T164425.718093300.bin</t>
  </si>
  <si>
    <t>-518.548573867465 112.725408406854 -240.315698248813</t>
  </si>
  <si>
    <t>-558.659217317219 105.567381389997 -354.367056750339</t>
  </si>
  <si>
    <t>-572.129919072675 97.0306170998136 -474.517913297257</t>
  </si>
  <si>
    <t>-573.148891068282 89.1295849944266 -583.748716392381</t>
  </si>
  <si>
    <t>-563.098478696251 81.2954591968154 -692.52587199515</t>
  </si>
  <si>
    <t>-537.661565008363 70.6900277721707 -842.327508860083</t>
  </si>
  <si>
    <t>-484.429250042098 67.3504867717913 -929.149881449767</t>
  </si>
  <si>
    <t>-546.295141672869 107.017347540638 -777.839341602698</t>
  </si>
  <si>
    <t>-552.426503174355 252.862655636912 -760.034233201892</t>
  </si>
  <si>
    <t>-539.882766377698 313.035594929059 -449.537713170563</t>
  </si>
  <si>
    <t>-355.613998443688 236.240166693348 -282.83580143267</t>
  </si>
  <si>
    <t>-551.538084770227 43.7478542412481 -774.250284493418</t>
  </si>
  <si>
    <t>-503.872967166387 209.629343334152 -251.137075199147</t>
  </si>
  <si>
    <t>-486.231872654302 199.159036466484 204.095669585822</t>
  </si>
  <si>
    <t>-494.892308148813 166.015733785771 672.629433039476</t>
  </si>
  <si>
    <t>-341.021968611765 160.070035396787 757.671148553546</t>
  </si>
  <si>
    <t>-533.052671062904 15.9173214913879 -228.837133354361</t>
  </si>
  <si>
    <t>-440.657452041943 -22.4495508539104 215.739882645592</t>
  </si>
  <si>
    <t>-588.901745737787 -107.489696596777 653.564236420015</t>
  </si>
  <si>
    <t>-440.850535816753 -145.199655249768 740.755550094824</t>
  </si>
  <si>
    <t>9763-20170724T164425.787282100.bin</t>
  </si>
  <si>
    <t>-518.641815774286 112.616008375976 -240.35448775357</t>
  </si>
  <si>
    <t>-558.776660963223 105.496147704814 -354.399701071936</t>
  </si>
  <si>
    <t>-572.402715756046 96.9651186255371 -474.53353981659</t>
  </si>
  <si>
    <t>-573.614994198545 89.0543612043575 -583.761749410671</t>
  </si>
  <si>
    <t>-563.808838284106 81.1948239973038 -692.559195398181</t>
  </si>
  <si>
    <t>-538.76147293997 70.5370435976049 -842.422794473521</t>
  </si>
  <si>
    <t>-485.725238154803 67.136908216854 -929.362805068073</t>
  </si>
  <si>
    <t>-547.227911343304 106.886886741044 -777.92525591699</t>
  </si>
  <si>
    <t>-553.38162610642 252.74466585979 -760.23036701299</t>
  </si>
  <si>
    <t>-541.740075977964 313.411241230877 -449.794768291731</t>
  </si>
  <si>
    <t>-357.900555825645 236.714746738985 -282.574198403105</t>
  </si>
  <si>
    <t>-552.460369032382 43.6186181113482 -774.300429467706</t>
  </si>
  <si>
    <t>-503.933630606893 209.584760150443 -251.165023289847</t>
  </si>
  <si>
    <t>-486.184838955275 199.112887221855 204.063446705933</t>
  </si>
  <si>
    <t>-494.901885371053 166.184998134726 672.588278685847</t>
  </si>
  <si>
    <t>-341.076318924733 159.892844702528 757.685874439875</t>
  </si>
  <si>
    <t>-533.216277875895 15.7345222289106 -228.885784221592</t>
  </si>
  <si>
    <t>-440.909672795901 -22.5055285844495 215.720555653856</t>
  </si>
  <si>
    <t>-588.958181405079 -107.492202050288 653.631712869005</t>
  </si>
  <si>
    <t>-440.791243051021 -144.949415409306 740.735250508383</t>
  </si>
  <si>
    <t>9763-20170724T164425.819367000.bin</t>
  </si>
  <si>
    <t>-518.691067938348 112.499633684696 -240.358539569651</t>
  </si>
  <si>
    <t>-558.842175486547 105.401520887847 -354.399378123326</t>
  </si>
  <si>
    <t>-572.542678909559 96.8735723869196 -474.52482595641</t>
  </si>
  <si>
    <t>-573.845723402714 88.9579261321878 -583.751699511055</t>
  </si>
  <si>
    <t>-564.152660931651 81.0860132610488 -692.558575905899</t>
  </si>
  <si>
    <t>-539.284610469839 70.403372322838 -842.450001823381</t>
  </si>
  <si>
    <t>-486.358626206235 66.9781517569886 -929.456290497779</t>
  </si>
  <si>
    <t>-547.673972373867 106.763957685307 -777.948576607128</t>
  </si>
  <si>
    <t>-553.798304957636 252.627628898516 -760.292612206432</t>
  </si>
  <si>
    <t>-542.629377865257 313.595469842662 -449.898802965456</t>
  </si>
  <si>
    <t>-359.040459597009 236.895170161192 -282.404739142571</t>
  </si>
  <si>
    <t>-552.901917291354 43.4962573165254 -774.306816355519</t>
  </si>
  <si>
    <t>-503.942978465227 209.455652963168 -251.178772404659</t>
  </si>
  <si>
    <t>-486.171173008024 199.025185371925 204.049898625211</t>
  </si>
  <si>
    <t>-494.850653096905 166.069651258867 672.578353888545</t>
  </si>
  <si>
    <t>-341.033818536391 159.786370739244 757.692502060101</t>
  </si>
  <si>
    <t>-533.25507364302 15.6006202915617 -228.882503752398</t>
  </si>
  <si>
    <t>-440.94024275135 -22.3737947833705 215.744982333236</t>
  </si>
  <si>
    <t>-589.008745177272 -107.454263362607 653.685030333227</t>
  </si>
  <si>
    <t>-440.861786660541 -145.164358405618 740.71345214161</t>
  </si>
  <si>
    <t>9763-20170724T164425.888082900.bin</t>
  </si>
  <si>
    <t>-518.668623524446 111.941568403062 -240.351259471179</t>
  </si>
  <si>
    <t>-558.89141031022 104.811505560318 -354.364926986965</t>
  </si>
  <si>
    <t>-572.649326544804 96.2575090202101 -474.481990269549</t>
  </si>
  <si>
    <t>-573.99719134357 88.3228588842168 -583.706833764967</t>
  </si>
  <si>
    <t>-564.341563157569 80.4374438727029 -692.516104474324</t>
  </si>
  <si>
    <t>-539.517697156598 69.7427641924689 -842.414000903794</t>
  </si>
  <si>
    <t>-486.722725937424 66.3282996639016 -929.500279235978</t>
  </si>
  <si>
    <t>-547.901407917749 106.109538758709 -777.915245686616</t>
  </si>
  <si>
    <t>-553.959804758381 251.977989864841 -760.300799902793</t>
  </si>
  <si>
    <t>-543.714235897863 313.783072565373 -450.040560734138</t>
  </si>
  <si>
    <t>-360.521077343409 236.952509941664 -282.173574364216</t>
  </si>
  <si>
    <t>-553.101563791689 42.8401616012578 -774.262441765375</t>
  </si>
  <si>
    <t>-503.896014383286 208.849808290314 -251.212907549592</t>
  </si>
  <si>
    <t>-486.109132847591 198.554637154273 204.018042857733</t>
  </si>
  <si>
    <t>-494.748569151848 165.780715267532 672.560565593157</t>
  </si>
  <si>
    <t>-340.905259204315 160.30789456202 757.682897472093</t>
  </si>
  <si>
    <t>-533.262899319054 15.1068750585117 -228.835110900894</t>
  </si>
  <si>
    <t>-440.878242352693 -22.566408000434 215.803415879403</t>
  </si>
  <si>
    <t>-589.063782686963 -107.458989606941 653.709611282097</t>
  </si>
  <si>
    <t>-440.753987478744 -144.752014498127 740.640346011857</t>
  </si>
  <si>
    <t>9763-20170724T164425.920167200.bin</t>
  </si>
  <si>
    <t>-518.670811903329 111.803660652268 -240.361561751747</t>
  </si>
  <si>
    <t>-558.932238994014 104.679937677254 -354.361876824356</t>
  </si>
  <si>
    <t>-572.774257585131 96.1358656633283 -474.470134583792</t>
  </si>
  <si>
    <t>-574.216178152216 88.2116265652952 -583.694511498296</t>
  </si>
  <si>
    <t>-564.671758747857 80.3380372040434 -692.514358001848</t>
  </si>
  <si>
    <t>-540.01924491601 69.6612751084929 -842.441892543388</t>
  </si>
  <si>
    <t>-487.305791513952 66.2628757946847 -929.578130345524</t>
  </si>
  <si>
    <t>-548.339619721193 106.021128687863 -777.931008470491</t>
  </si>
  <si>
    <t>-554.394860611643 251.892729866632 -760.330434153413</t>
  </si>
  <si>
    <t>-544.47391566394 314.125168801309 -450.145159028838</t>
  </si>
  <si>
    <t>-361.47255631403 237.331571594137 -282.052080497148</t>
  </si>
  <si>
    <t>-553.514816749819 42.7497676648767 -774.276218075975</t>
  </si>
  <si>
    <t>-503.926397124662 208.752152917116 -251.22253530222</t>
  </si>
  <si>
    <t>-486.016812994956 198.523047578239 204.005202746004</t>
  </si>
  <si>
    <t>-494.765995732475 165.839477919826 672.566261414456</t>
  </si>
  <si>
    <t>-340.950089103342 159.924512533835 757.708536425195</t>
  </si>
  <si>
    <t>-533.261653853898 15.0058340674049 -228.840629562369</t>
  </si>
  <si>
    <t>-440.851879323184 -22.6221412677831 215.796585482864</t>
  </si>
  <si>
    <t>-589.086344165245 -107.35035260711 653.722821667723</t>
  </si>
  <si>
    <t>-440.895860319128 -145.133505774166 740.645422311954</t>
  </si>
  <si>
    <t>9763-20170724T164425.989393000.bin</t>
  </si>
  <si>
    <t>-518.651563837449 111.421782227479 -240.446563690403</t>
  </si>
  <si>
    <t>-559.000253877482 104.320319455978 -354.417432054416</t>
  </si>
  <si>
    <t>-573.012705416338 95.8278104679115 -474.509508202525</t>
  </si>
  <si>
    <t>-574.641601802629 87.9582929763033 -583.735285376215</t>
  </si>
  <si>
    <t>-565.315460535978 80.1451560677985 -692.578303956527</t>
  </si>
  <si>
    <t>-540.996805809382 69.5560733247172 -842.566567246293</t>
  </si>
  <si>
    <t>-488.372213675123 66.2042227502239 -929.758383698772</t>
  </si>
  <si>
    <t>-549.172160875634 105.878050620349 -778.015962842793</t>
  </si>
  <si>
    <t>-555.337587994716 251.742861672977 -760.419803083806</t>
  </si>
  <si>
    <t>-546.431734428849 314.566172055166 -450.322712582143</t>
  </si>
  <si>
    <t>-363.615468970035 238.104480299197 -281.877310137981</t>
  </si>
  <si>
    <t>-554.341912438877 42.6047965506156 -774.387096737422</t>
  </si>
  <si>
    <t>-503.884321271022 208.293585765142 -251.249953973337</t>
  </si>
  <si>
    <t>-485.753910776693 198.199887999023 203.97207713725</t>
  </si>
  <si>
    <t>-494.695202725185 165.583101011845 672.5471603989</t>
  </si>
  <si>
    <t>-340.902101188563 159.526337201689 757.720560379844</t>
  </si>
  <si>
    <t>-533.290354937093 14.6065466818298 -228.989447783027</t>
  </si>
  <si>
    <t>-441.255988179218 -22.8482045861896 215.74028916188</t>
  </si>
  <si>
    <t>-589.168424112215 -107.537093415268 653.838943913109</t>
  </si>
  <si>
    <t>-440.810128771734 -145.003095027116 740.612382261018</t>
  </si>
  <si>
    <t>9763-20170724T164426.022470900.bin</t>
  </si>
  <si>
    <t>-518.703268886772 111.40222531709 -240.512517737773</t>
  </si>
  <si>
    <t>-559.035518248911 104.356928720487 -354.49272368017</t>
  </si>
  <si>
    <t>-573.069698134161 95.920317651434 -474.586138264474</t>
  </si>
  <si>
    <t>-574.734032662229 88.1005028432092 -583.814945022782</t>
  </si>
  <si>
    <t>-565.458985116535 80.3359175235565 -692.665916194369</t>
  </si>
  <si>
    <t>-541.22692118113 69.8127896256706 -842.67280160062</t>
  </si>
  <si>
    <t>-488.655445110701 66.5073425890624 -929.898349945733</t>
  </si>
  <si>
    <t>-549.374965050859 106.107051658187 -778.103170304188</t>
  </si>
  <si>
    <t>-555.616213259114 251.974965626452 -760.523619359398</t>
  </si>
  <si>
    <t>-547.310025400712 315.014486230348 -450.453983169278</t>
  </si>
  <si>
    <t>-364.501306076157 238.770788271238 -281.901476450068</t>
  </si>
  <si>
    <t>-554.522657666047 42.8307961918708 -774.495772519441</t>
  </si>
  <si>
    <t>-503.919134230521 208.254570664696 -251.26501262099</t>
  </si>
  <si>
    <t>-485.628168450687 198.166687827769 203.950777610112</t>
  </si>
  <si>
    <t>-494.760068539066 165.776750771547 672.54832680652</t>
  </si>
  <si>
    <t>-340.964710389108 159.736689465351 757.718922566974</t>
  </si>
  <si>
    <t>-533.311859341155 14.7258209256087 -229.138592047471</t>
  </si>
  <si>
    <t>-441.641729658698 -22.8250685748417 215.658207273055</t>
  </si>
  <si>
    <t>-589.237979687252 -107.060683574251 653.92171600947</t>
  </si>
  <si>
    <t>-440.95370688902 -144.957225857178 740.634713551011</t>
  </si>
  <si>
    <t>9763-20170724T164426.087187400.bin</t>
  </si>
  <si>
    <t>-518.694889118284 110.859108633385 -240.623687928735</t>
  </si>
  <si>
    <t>-559.14442573882 103.947281358989 -354.570431474796</t>
  </si>
  <si>
    <t>-573.352677683656 95.5850168676026 -474.648582209583</t>
  </si>
  <si>
    <t>-575.1951060343 87.8062772969811 -583.877422455336</t>
  </si>
  <si>
    <t>-566.11688509231 80.055420941078 -692.745920860172</t>
  </si>
  <si>
    <t>-542.175663362484 69.5220485893807 -842.79884112464</t>
  </si>
  <si>
    <t>-489.768725189487 66.2606875749568 -930.125036503885</t>
  </si>
  <si>
    <t>-550.213217305352 105.821808432091 -778.218420913538</t>
  </si>
  <si>
    <t>-556.632898193747 251.689369447241 -760.688951986578</t>
  </si>
  <si>
    <t>-549.515970768669 315.175834561892 -450.681039947074</t>
  </si>
  <si>
    <t>-366.852259773866 239.328245922455 -281.792861652122</t>
  </si>
  <si>
    <t>-555.324623709601 42.5436409224442 -774.591962309355</t>
  </si>
  <si>
    <t>-503.916968230175 207.744813425219 -251.231995391777</t>
  </si>
  <si>
    <t>-485.344596126392 197.83137634899 203.976117709907</t>
  </si>
  <si>
    <t>-494.872218868295 165.926784269632 672.59433981233</t>
  </si>
  <si>
    <t>-341.039574323069 159.864790939 757.695847835089</t>
  </si>
  <si>
    <t>-533.295470976326 13.997688996245 -229.343698009543</t>
  </si>
  <si>
    <t>-442.302563268956 -23.5037752484715 215.596273530742</t>
  </si>
  <si>
    <t>-589.333519994222 -107.268486621926 654.12402885464</t>
  </si>
  <si>
    <t>-440.810981129198 -144.536141477 740.70172813479</t>
  </si>
  <si>
    <t>9763-20170724T164426.119272000.bin</t>
  </si>
  <si>
    <t>-518.619875566985 110.533123895343 -240.6315466467</t>
  </si>
  <si>
    <t>-559.055437073023 103.638384180505 -354.584327271598</t>
  </si>
  <si>
    <t>-573.308041351512 95.2884352717856 -474.658052166333</t>
  </si>
  <si>
    <t>-575.214614424894 87.5162264529546 -583.88639882162</t>
  </si>
  <si>
    <t>-566.223881755767 79.765509483851 -692.762106789459</t>
  </si>
  <si>
    <t>-542.427710933745 69.2243732119914 -842.837626385529</t>
  </si>
  <si>
    <t>-490.122251568868 65.9795805061934 -930.225191964594</t>
  </si>
  <si>
    <t>-550.411352795683 105.528062861951 -778.252588148834</t>
  </si>
  <si>
    <t>-556.862721048001 251.400375622768 -760.770267364058</t>
  </si>
  <si>
    <t>-550.426752058156 315.112447986787 -450.793551889152</t>
  </si>
  <si>
    <t>-367.852404428132 239.385979543557 -281.754680640131</t>
  </si>
  <si>
    <t>-555.502351306658 42.2489420595625 -774.615089983784</t>
  </si>
  <si>
    <t>-503.899933752168 207.406298676758 -251.213941328353</t>
  </si>
  <si>
    <t>-485.236869701123 197.573644222248 203.992207400046</t>
  </si>
  <si>
    <t>-494.859189013561 165.726773646024 672.623516538478</t>
  </si>
  <si>
    <t>-340.979140408733 160.17579581605 757.674204419071</t>
  </si>
  <si>
    <t>-533.176868200587 13.6850845552583 -229.438994387447</t>
  </si>
  <si>
    <t>-442.635583693072 -23.5337720567609 215.616828515642</t>
  </si>
  <si>
    <t>-589.377714205837 -107.079207237211 654.232213600441</t>
  </si>
  <si>
    <t>-441.013045702559 -145.043379289688 740.777894168829</t>
  </si>
  <si>
    <t>9763-20170724T164426.183985400.bin</t>
  </si>
  <si>
    <t>-518.466236708773 109.954230728619 -240.697496888604</t>
  </si>
  <si>
    <t>-558.882179553375 103.165524392567 -354.663631492461</t>
  </si>
  <si>
    <t>-573.206051034186 94.872404280163 -474.732832378352</t>
  </si>
  <si>
    <t>-575.214106600302 87.1270487987389 -583.961098699688</t>
  </si>
  <si>
    <t>-566.360763127719 79.3757936430288 -692.848120723148</t>
  </si>
  <si>
    <t>-542.791001810043 68.8028843629048 -842.957105860605</t>
  </si>
  <si>
    <t>-490.633832262552 65.5687291338217 -930.433706821422</t>
  </si>
  <si>
    <t>-550.712284170315 105.122698919332 -778.373540633561</t>
  </si>
  <si>
    <t>-557.324491391379 250.995855978462 -760.958073775025</t>
  </si>
  <si>
    <t>-551.657414494907 315.220062985182 -451.07194725669</t>
  </si>
  <si>
    <t>-369.261180788089 239.583935669404 -281.800456743596</t>
  </si>
  <si>
    <t>-555.727457398164 41.8393911928175 -774.70364596832</t>
  </si>
  <si>
    <t>-503.899273489883 206.989552530499 -251.138057243246</t>
  </si>
  <si>
    <t>-485.032400822416 197.321429447661 204.063306753485</t>
  </si>
  <si>
    <t>-494.962749344412 165.674885189879 672.727956640356</t>
  </si>
  <si>
    <t>-341.046413708688 159.328553672009 757.657302107462</t>
  </si>
  <si>
    <t>-532.845969565269 12.9861269113239 -229.633076630966</t>
  </si>
  <si>
    <t>-443.178393173867 -23.8044337770276 215.635255476106</t>
  </si>
  <si>
    <t>-589.453105816074 -107.128030073408 654.500928595871</t>
  </si>
  <si>
    <t>-440.97571465288 -144.905303601027 740.935074669409</t>
  </si>
  <si>
    <t>9763-20170724T164426.221083800.bin</t>
  </si>
  <si>
    <t>-518.34546378333 109.556358735166 -240.680213579018</t>
  </si>
  <si>
    <t>-558.819930693686 102.779068243793 -354.626193628502</t>
  </si>
  <si>
    <t>-573.224213206231 94.501211238703 -474.686848301825</t>
  </si>
  <si>
    <t>-575.313169427581 86.7690415421853 -583.914564546402</t>
  </si>
  <si>
    <t>-566.548147637329 79.0289164774172 -692.809646224602</t>
  </si>
  <si>
    <t>-543.107964409561 68.4681833039754 -842.939570146814</t>
  </si>
  <si>
    <t>-491.008391781826 65.2432309367119 -930.450915357187</t>
  </si>
  <si>
    <t>-550.995861921755 104.784342636395 -778.349995729804</t>
  </si>
  <si>
    <t>-557.64182865465 250.650246527185 -760.943435381764</t>
  </si>
  <si>
    <t>-552.373652370603 315.134550507581 -451.104334806348</t>
  </si>
  <si>
    <t>-370.053743097766 239.527368968567 -281.737659734363</t>
  </si>
  <si>
    <t>-555.963182894807 41.4976123723641 -774.673625632763</t>
  </si>
  <si>
    <t>-503.835234364775 206.503857650076 -251.049631197974</t>
  </si>
  <si>
    <t>-484.802460487189 196.943849249792 204.146961916161</t>
  </si>
  <si>
    <t>-494.953417488054 165.31963784167 672.821730472699</t>
  </si>
  <si>
    <t>-340.921274895536 159.92268232319 757.606683172846</t>
  </si>
  <si>
    <t>-532.751243288908 12.6343271800804 -229.634029633408</t>
  </si>
  <si>
    <t>-443.33755558769 -24.0449766872447 215.694523112132</t>
  </si>
  <si>
    <t>-589.474406755243 -107.134945131694 654.620739255598</t>
  </si>
  <si>
    <t>-440.924412103053 -144.717058613498 741.015072453273</t>
  </si>
  <si>
    <t>9763-20170724T164426.284585900.bin</t>
  </si>
  <si>
    <t>-518.268537232707 109.073323899755 -240.616311387632</t>
  </si>
  <si>
    <t>-558.82088925114 102.351394495814 -354.537890276222</t>
  </si>
  <si>
    <t>-573.307533834131 94.1213456407219 -474.591946870727</t>
  </si>
  <si>
    <t>-575.471379623722 86.4262090770022 -583.820882696465</t>
  </si>
  <si>
    <t>-566.780907597984 78.714703354865 -692.723832575131</t>
  </si>
  <si>
    <t>-543.443267441951 68.1830312152707 -842.871897991555</t>
  </si>
  <si>
    <t>-491.387861834187 65.0160830890075 -930.411584118301</t>
  </si>
  <si>
    <t>-551.337147430516 104.490130098052 -778.277739187026</t>
  </si>
  <si>
    <t>-558.121301386745 250.347308977247 -760.859417274393</t>
  </si>
  <si>
    <t>-553.925249099019 315.657887122338 -451.177133356024</t>
  </si>
  <si>
    <t>-371.817346392173 240.118509898345 -281.552279227724</t>
  </si>
  <si>
    <t>-556.201726688431 41.1958231850246 -774.594388778923</t>
  </si>
  <si>
    <t>-503.913676866294 206.070749094981 -250.872227790808</t>
  </si>
  <si>
    <t>-484.385071655962 196.631142054972 204.306055383404</t>
  </si>
  <si>
    <t>-495.070179691581 165.152685480712 672.960994128779</t>
  </si>
  <si>
    <t>-340.912198277461 160.236370072263 757.546246668226</t>
  </si>
  <si>
    <t>-532.462461400653 12.1652134555153 -229.704144265376</t>
  </si>
  <si>
    <t>-443.710952569824 -24.5208702407986 215.756209030777</t>
  </si>
  <si>
    <t>-589.511871352599 -107.368609656366 654.90203405718</t>
  </si>
  <si>
    <t>-440.83651178948 -144.648928179673 741.211470880852</t>
  </si>
  <si>
    <t>9763-20170724T164426.321684100.bin</t>
  </si>
  <si>
    <t>-518.23857095607 109.088541273676 -240.591522114683</t>
  </si>
  <si>
    <t>-558.843776306497 102.381554500282 -354.495063412399</t>
  </si>
  <si>
    <t>-573.37424107973 94.1633822489039 -474.544579863658</t>
  </si>
  <si>
    <t>-575.57322670178 86.4779883136816 -583.773625286043</t>
  </si>
  <si>
    <t>-566.912789027811 78.7749337496392 -692.67951961736</t>
  </si>
  <si>
    <t>-543.611673414652 68.2539254378738 -842.834022153991</t>
  </si>
  <si>
    <t>-491.569236730015 65.1237641248779 -930.382705842812</t>
  </si>
  <si>
    <t>-551.52160111441 104.558512328541 -778.240340909821</t>
  </si>
  <si>
    <t>-558.359863459595 250.419925120774 -760.820109493973</t>
  </si>
  <si>
    <t>-554.879422612552 316.282563973569 -451.245790531472</t>
  </si>
  <si>
    <t>-372.951874304888 240.577963020439 -281.501248760498</t>
  </si>
  <si>
    <t>-556.321898678472 41.2597647171325 -774.550209031572</t>
  </si>
  <si>
    <t>-503.950476241013 206.08893307539 -250.824223913178</t>
  </si>
  <si>
    <t>-484.063345282658 196.765554353485 204.340893354027</t>
  </si>
  <si>
    <t>-495.163718373521 165.444193676539 672.964538204125</t>
  </si>
  <si>
    <t>-341.033811750812 159.91983729114 757.563284380567</t>
  </si>
  <si>
    <t>-532.32128087208 12.1898953683383 -229.705525843488</t>
  </si>
  <si>
    <t>-443.842904507807 -24.4960849886334 215.809209340575</t>
  </si>
  <si>
    <t>-589.529925103289 -107.264370187334 655.01180903649</t>
  </si>
  <si>
    <t>-440.908408666558 -144.811447499973 741.298353429969</t>
  </si>
  <si>
    <t>9763-20170724T164426.387850500.bin</t>
  </si>
  <si>
    <t>-518.112880787433 108.833637137974 -240.51509967087</t>
  </si>
  <si>
    <t>-558.923048530538 102.19230031968 -354.349242079289</t>
  </si>
  <si>
    <t>-573.586583741025 94.0135885411417 -474.385419725303</t>
  </si>
  <si>
    <t>-575.872655323025 86.3548902419974 -583.614273108641</t>
  </si>
  <si>
    <t>-567.265359696816 78.6705932994277 -692.52573276608</t>
  </si>
  <si>
    <t>-544.002134944668 68.168188561615 -842.687429412888</t>
  </si>
  <si>
    <t>-491.955403921674 65.1551405527338 -930.237778157899</t>
  </si>
  <si>
    <t>-551.950976602142 104.468433032779 -778.096192207636</t>
  </si>
  <si>
    <t>-558.913059335569 250.327392048447 -760.702241769338</t>
  </si>
  <si>
    <t>-556.97264192276 317.4441147142 -451.383909471844</t>
  </si>
  <si>
    <t>-375.517313030815 241.31908595246 -281.322301180187</t>
  </si>
  <si>
    <t>-556.63976122281 41.1619105395209 -774.394983145758</t>
  </si>
  <si>
    <t>-503.994098356657 205.882305876402 -250.683011785433</t>
  </si>
  <si>
    <t>-483.207454060796 196.627164637972 204.443204823823</t>
  </si>
  <si>
    <t>-495.225057117984 165.357860416942 673.065480231858</t>
  </si>
  <si>
    <t>-341.066487842688 159.848029042702 757.613069999864</t>
  </si>
  <si>
    <t>-532.077617919824 11.8451790130551 -229.700004410931</t>
  </si>
  <si>
    <t>-443.979413101745 -24.759512330951 215.896712265494</t>
  </si>
  <si>
    <t>-589.50465657209 -107.531418383037 655.161344186906</t>
  </si>
  <si>
    <t>-440.697297694765 -144.382271859806 741.427727861746</t>
  </si>
  <si>
    <t>9763-20170724T164426.421944000.bin</t>
  </si>
  <si>
    <t>-518.05004289427 108.840833842155 -240.437992226133</t>
  </si>
  <si>
    <t>-558.909035331526 102.202394992847 -354.254921226781</t>
  </si>
  <si>
    <t>-573.617349431178 94.0158153393934 -474.284821412362</t>
  </si>
  <si>
    <t>-575.94139252957 86.3465519957904 -583.512334423082</t>
  </si>
  <si>
    <t>-567.369109168984 78.6487708227091 -692.425662557822</t>
  </si>
  <si>
    <t>-544.151356625362 68.1250802926704 -842.592825891673</t>
  </si>
  <si>
    <t>-492.113170506273 65.1643135728766 -930.150017053795</t>
  </si>
  <si>
    <t>-552.102812621536 104.435894354903 -778.007986601088</t>
  </si>
  <si>
    <t>-559.084401456417 250.299705500735 -760.652570993322</t>
  </si>
  <si>
    <t>-557.932394756982 318.028425359724 -451.463848742079</t>
  </si>
  <si>
    <t>-376.793245319872 241.717208151934 -281.148760369479</t>
  </si>
  <si>
    <t>-556.746145602572 41.1270671065269 -774.289127026037</t>
  </si>
  <si>
    <t>-503.996855954595 205.88341665766 -250.592772849452</t>
  </si>
  <si>
    <t>-482.874197062136 196.688055791445 204.519265756975</t>
  </si>
  <si>
    <t>-495.282960045112 165.37905659557 673.119187958316</t>
  </si>
  <si>
    <t>-341.116743695507 159.543662503447 757.630919730393</t>
  </si>
  <si>
    <t>-531.912594251161 11.8629944049451 -229.634485319635</t>
  </si>
  <si>
    <t>-443.944565787808 -24.8770395290251 215.976865106774</t>
  </si>
  <si>
    <t>-589.478992951437 -107.637540691286 655.216736735405</t>
  </si>
  <si>
    <t>-440.610317631194 -144.224675507032 741.489667462207</t>
  </si>
  <si>
    <t>9763-20170724T164426.487122500.bin</t>
  </si>
  <si>
    <t>-517.813709103057 108.648184081533 -240.341236577391</t>
  </si>
  <si>
    <t>-558.749320762528 101.982258139915 -354.129037067423</t>
  </si>
  <si>
    <t>-573.542679004485 93.7591576344139 -474.146032639568</t>
  </si>
  <si>
    <t>-575.945592373293 86.055364578929 -583.369458056489</t>
  </si>
  <si>
    <t>-567.453503991147 78.3226827579745 -692.286462847654</t>
  </si>
  <si>
    <t>-544.347898096646 67.7513261363264 -842.46760412598</t>
  </si>
  <si>
    <t>-492.334301141849 64.8720846119431 -930.042054204609</t>
  </si>
  <si>
    <t>-552.296433344315 104.085525617799 -777.895533717995</t>
  </si>
  <si>
    <t>-559.514161543404 249.941944700354 -760.622589141267</t>
  </si>
  <si>
    <t>-559.601544691178 318.255304074977 -451.560368492681</t>
  </si>
  <si>
    <t>-378.801659674565 242.023335815105 -280.849634103266</t>
  </si>
  <si>
    <t>-556.846368579962 40.7721573831848 -774.138773966753</t>
  </si>
  <si>
    <t>-503.818845470653 205.467076516343 -250.494871884401</t>
  </si>
  <si>
    <t>-482.401012958674 196.373630154962 204.605464296731</t>
  </si>
  <si>
    <t>-495.169271713469 164.822433517698 673.154866571982</t>
  </si>
  <si>
    <t>-340.916495094889 160.555798829306 757.602516776887</t>
  </si>
  <si>
    <t>-531.668239247218 11.8427359548012 -229.538614059953</t>
  </si>
  <si>
    <t>-443.813405470207 -25.0365504610569 216.083573292654</t>
  </si>
  <si>
    <t>-589.438729991516 -107.603709348148 655.305758003158</t>
  </si>
  <si>
    <t>-440.5143020977 -143.943411958011 741.587064869839</t>
  </si>
  <si>
    <t>9763-20170724T164426.519207800.bin</t>
  </si>
  <si>
    <t>-517.726979098241 108.792000619325 -240.336415169888</t>
  </si>
  <si>
    <t>-558.637139614249 102.094942357432 -354.131431484552</t>
  </si>
  <si>
    <t>-573.443369358867 93.853706479704 -474.145701852665</t>
  </si>
  <si>
    <t>-575.874174664445 86.1389311154118 -583.367640191483</t>
  </si>
  <si>
    <t>-567.4261446754 78.4004641355795 -692.287729309906</t>
  </si>
  <si>
    <t>-544.398082086135 67.8262299224465 -842.480630342519</t>
  </si>
  <si>
    <t>-492.414171128647 64.971246781141 -930.07345121795</t>
  </si>
  <si>
    <t>-552.332711446101 104.162908467153 -777.908006729687</t>
  </si>
  <si>
    <t>-559.664139380758 250.014009338199 -760.630959373127</t>
  </si>
  <si>
    <t>-560.119288527414 318.53860121295 -451.615781879583</t>
  </si>
  <si>
    <t>-379.413815579355 242.535832312922 -280.703056862756</t>
  </si>
  <si>
    <t>-556.841875820936 40.8471592696484 -774.141739365667</t>
  </si>
  <si>
    <t>-503.807350674609 205.62078411334 -250.498048433324</t>
  </si>
  <si>
    <t>-482.33622778246 196.575956690199 204.600766018796</t>
  </si>
  <si>
    <t>-495.204986564774 164.942934885413 673.151576841795</t>
  </si>
  <si>
    <t>-340.983073276477 159.927456307761 757.614304351482</t>
  </si>
  <si>
    <t>-531.480365073777 11.9808567260957 -229.55844735581</t>
  </si>
  <si>
    <t>-443.85261094654 -24.6606502933492 216.128060212837</t>
  </si>
  <si>
    <t>-589.437599566597 -107.341289270579 655.353209414038</t>
  </si>
  <si>
    <t>-440.839860942862 -144.90754352545 741.672461008868</t>
  </si>
  <si>
    <t>9763-20170724T164426.588397900.bin</t>
  </si>
  <si>
    <t>-517.41064366525 109.047784306997 -240.352185693536</t>
  </si>
  <si>
    <t>-558.322106531885 102.29583546323 -354.143556149205</t>
  </si>
  <si>
    <t>-573.207878201906 94.0326257475124 -474.146446738955</t>
  </si>
  <si>
    <t>-575.743081724429 86.3097154228496 -583.365393821113</t>
  </si>
  <si>
    <t>-567.431134834149 78.573498633703 -692.296177616937</t>
  </si>
  <si>
    <t>-544.623986380459 68.012113656815 -842.523581177853</t>
  </si>
  <si>
    <t>-492.755374084478 65.1982233440261 -930.186074188457</t>
  </si>
  <si>
    <t>-552.497173622898 104.345259275664 -777.941655410592</t>
  </si>
  <si>
    <t>-559.961492986914 250.189800675129 -760.680330801658</t>
  </si>
  <si>
    <t>-561.470179070682 318.992735251177 -451.730436379768</t>
  </si>
  <si>
    <t>-381.006312330847 243.578467074953 -280.30241082013</t>
  </si>
  <si>
    <t>-556.933743976228 41.0251425270526 -774.163645025607</t>
  </si>
  <si>
    <t>-503.626952709056 205.867879895744 -250.509651051547</t>
  </si>
  <si>
    <t>-482.253813891168 196.906516708444 204.595253635469</t>
  </si>
  <si>
    <t>-495.361443987961 165.4303612833 673.163723870745</t>
  </si>
  <si>
    <t>-341.135947637441 159.923803053463 757.589380962865</t>
  </si>
  <si>
    <t>-531.030547460966 12.3497991687206 -229.546150905819</t>
  </si>
  <si>
    <t>-443.83390346145 -24.3791662182766 216.217607810475</t>
  </si>
  <si>
    <t>-589.412468524331 -106.977178038725 655.43417729787</t>
  </si>
  <si>
    <t>-440.98154608482 -145.136454712144 741.780198996041</t>
  </si>
  <si>
    <t>9763-20170724T164426.620482900.bin</t>
  </si>
  <si>
    <t>-517.207755201165 108.94741510224 -240.356702704447</t>
  </si>
  <si>
    <t>-558.094098508324 102.198966869263 -354.157222495062</t>
  </si>
  <si>
    <t>-572.997353405261 93.9472283002023 -474.158804764257</t>
  </si>
  <si>
    <t>-575.566227121144 86.2371900010794 -583.377744829063</t>
  </si>
  <si>
    <t>-567.305750847352 78.5157418574512 -692.313566250622</t>
  </si>
  <si>
    <t>-544.588015237661 67.9763808192918 -842.556099426142</t>
  </si>
  <si>
    <t>-492.784530312196 65.1929429851706 -930.258113006594</t>
  </si>
  <si>
    <t>-552.444104805769 104.30136945536 -777.967485456835</t>
  </si>
  <si>
    <t>-559.947221239075 250.138984897689 -760.687164198523</t>
  </si>
  <si>
    <t>-561.977942636418 319.301161703235 -451.820411782758</t>
  </si>
  <si>
    <t>-381.641334128583 244.142302626237 -280.146513395487</t>
  </si>
  <si>
    <t>-556.835668430877 40.9780505846262 -774.189503373708</t>
  </si>
  <si>
    <t>-503.488292667735 205.778290031739 -250.47993108371</t>
  </si>
  <si>
    <t>-482.107124398852 196.830585538863 204.62490941074</t>
  </si>
  <si>
    <t>-495.361980566265 165.284145968321 673.208960561073</t>
  </si>
  <si>
    <t>-341.092475131831 160.078502559667 757.573132974102</t>
  </si>
  <si>
    <t>-530.746631917643 12.1560330012029 -229.574983413212</t>
  </si>
  <si>
    <t>-443.859741252743 -24.5561393232818 216.250688255085</t>
  </si>
  <si>
    <t>-589.407243021849 -107.16942188829 655.500664195203</t>
  </si>
  <si>
    <t>-440.745020346903 -144.532734697214 741.796912576115</t>
  </si>
  <si>
    <t>9763-20170724T164426.692221100.bin</t>
  </si>
  <si>
    <t>-516.791313109389 108.657996958671 -240.252148765151</t>
  </si>
  <si>
    <t>-557.691537002847 101.919615682224 -354.048275130891</t>
  </si>
  <si>
    <t>-572.645809414277 93.6683135102804 -474.043564672222</t>
  </si>
  <si>
    <t>-575.275772137015 85.9572099360836 -583.261077216963</t>
  </si>
  <si>
    <t>-567.090722012403 78.2344661670235 -692.202417570505</t>
  </si>
  <si>
    <t>-544.492116237485 67.6943435406186 -842.462884252062</t>
  </si>
  <si>
    <t>-492.796904649421 64.9499743928703 -930.22987878979</t>
  </si>
  <si>
    <t>-552.330284157683 104.021594730569 -777.873241207256</t>
  </si>
  <si>
    <t>-559.908631354645 249.871215348709 -760.609277989751</t>
  </si>
  <si>
    <t>-563.55617798907 319.600474756411 -451.884855704989</t>
  </si>
  <si>
    <t>-383.393810824836 244.810200484112 -279.867483275943</t>
  </si>
  <si>
    <t>-556.65231023106 40.6944029009265 -774.081222115762</t>
  </si>
  <si>
    <t>-503.084854578389 205.476495473618 -250.36948900808</t>
  </si>
  <si>
    <t>-481.796150105804 196.594937802832 204.74106067955</t>
  </si>
  <si>
    <t>-495.355189314739 164.965992230845 673.299000556407</t>
  </si>
  <si>
    <t>-341.008952341787 160.458934224796 757.563010111554</t>
  </si>
  <si>
    <t>-530.373042189786 11.8307197291849 -229.459503145714</t>
  </si>
  <si>
    <t>-443.64069808405 -24.808601646484 216.402229407715</t>
  </si>
  <si>
    <t>-589.365876982125 -107.451458266356 655.575731881381</t>
  </si>
  <si>
    <t>-440.610269754777 -144.435593137187 741.874469796369</t>
  </si>
  <si>
    <t>9763-20170724T164426.716269900.bin</t>
  </si>
  <si>
    <t>-516.57010757581 108.852785774109 -240.197311640862</t>
  </si>
  <si>
    <t>-557.437825028753 102.08927439466 -354.003734873661</t>
  </si>
  <si>
    <t>-572.378994747614 93.8205872300678 -473.99930221184</t>
  </si>
  <si>
    <t>-575.005771332882 86.0977323739681 -583.21602830761</t>
  </si>
  <si>
    <t>-566.826175638755 78.3676939905584 -692.157366535681</t>
  </si>
  <si>
    <t>-544.244206359957 67.8223760253727 -842.419935233805</t>
  </si>
  <si>
    <t>-492.585804439431 65.1040811477006 -930.209616682332</t>
  </si>
  <si>
    <t>-552.087414236268 104.152616496158 -777.83275485972</t>
  </si>
  <si>
    <t>-559.83257861625 249.992064835649 -760.59533667807</t>
  </si>
  <si>
    <t>-564.323128065311 319.920245102855 -451.927197809872</t>
  </si>
  <si>
    <t>-384.192107728775 245.25864695306 -279.821090711902</t>
  </si>
  <si>
    <t>-556.384601147878 40.8240752719981 -774.034117717708</t>
  </si>
  <si>
    <t>-502.886578828328 205.694331695835 -250.337505537409</t>
  </si>
  <si>
    <t>-481.655460920179 196.805778864701 204.77559367828</t>
  </si>
  <si>
    <t>-495.489186974832 165.354438159702 673.317383819603</t>
  </si>
  <si>
    <t>-341.155389640768 160.303431327966 757.573406518108</t>
  </si>
  <si>
    <t>-530.099812869224 12.1234257365503 -229.427140319408</t>
  </si>
  <si>
    <t>-443.533599532543 -24.5168644875386 216.466873127473</t>
  </si>
  <si>
    <t>-589.355573955482 -107.083895635124 655.614064778031</t>
  </si>
  <si>
    <t>-440.90755828816 -145.174937308599 741.960923776487</t>
  </si>
  <si>
    <t>9763-20170724T164426.789564200.bin</t>
  </si>
  <si>
    <t>-516.004673015391 108.832502233102 -240.130314261599</t>
  </si>
  <si>
    <t>-556.82748923725 102.037968789495 -353.950989065157</t>
  </si>
  <si>
    <t>-571.682424272053 93.7638565293684 -473.957012450227</t>
  </si>
  <si>
    <t>-574.215095193261 86.0526154154605 -583.176821623566</t>
  </si>
  <si>
    <t>-565.926422096633 78.3541593963922 -692.11199033962</t>
  </si>
  <si>
    <t>-543.178394211901 67.8766951984285 -842.354405055228</t>
  </si>
  <si>
    <t>-491.471475068524 65.2422627718581 -930.117894699264</t>
  </si>
  <si>
    <t>-551.14846325771 104.180975185155 -777.768022780406</t>
  </si>
  <si>
    <t>-559.288236771332 249.994468830545 -760.565054829851</t>
  </si>
  <si>
    <t>-564.993175017932 320.28447727062 -451.999180679947</t>
  </si>
  <si>
    <t>-385.098666737213 245.819629868563 -279.560822885664</t>
  </si>
  <si>
    <t>-555.338908206071 40.8443036259141 -773.985501647097</t>
  </si>
  <si>
    <t>-502.383213171304 205.812474358789 -250.29859846081</t>
  </si>
  <si>
    <t>-481.291448164081 197.001809430516 204.822539193175</t>
  </si>
  <si>
    <t>-495.581677483679 165.621397743243 673.332311223854</t>
  </si>
  <si>
    <t>-341.281942932413 159.647398920852 757.590270003179</t>
  </si>
  <si>
    <t>-529.483043050843 11.9486116761786 -229.344663272344</t>
  </si>
  <si>
    <t>-443.328239119864 -24.7119663776821 216.627327678093</t>
  </si>
  <si>
    <t>-589.317867884434 -107.451474051727 655.69791585975</t>
  </si>
  <si>
    <t>-440.659460321221 -144.726100897863 742.039038640671</t>
  </si>
  <si>
    <t>9763-20170724T164426.818641300.bin</t>
  </si>
  <si>
    <t>-515.67442333547 108.839179537421 -240.12985998633</t>
  </si>
  <si>
    <t>-556.463849748235 102.009172161714 -353.960304555449</t>
  </si>
  <si>
    <t>-571.254929991246 93.7253096151586 -473.973452767878</t>
  </si>
  <si>
    <t>-573.71812063787 86.0173381986914 -583.195158668946</t>
  </si>
  <si>
    <t>-565.348891727975 78.3350256356348 -692.125350164493</t>
  </si>
  <si>
    <t>-542.478459167089 67.8940989633794 -842.351674442808</t>
  </si>
  <si>
    <t>-490.723755204222 65.3129093075682 -930.088565739897</t>
  </si>
  <si>
    <t>-550.533983505421 104.184492176864 -777.768076199448</t>
  </si>
  <si>
    <t>-558.880963597452 249.985297419807 -760.511984613318</t>
  </si>
  <si>
    <t>-564.84730088363 320.50971455048 -452.004400451634</t>
  </si>
  <si>
    <t>-385.07258949082 246.13442361453 -279.402397254809</t>
  </si>
  <si>
    <t>-554.661940745706 40.8432327746612 -773.994224324746</t>
  </si>
  <si>
    <t>-502.105261822925 205.780300723869 -250.292130514373</t>
  </si>
  <si>
    <t>-481.011307567677 196.99302583353 204.829398179285</t>
  </si>
  <si>
    <t>-495.552305251657 165.477597271898 673.340644794993</t>
  </si>
  <si>
    <t>-341.236125669602 159.709265770442 757.582838478764</t>
  </si>
  <si>
    <t>-529.095108268656 11.9577199470839 -229.363450455605</t>
  </si>
  <si>
    <t>-443.250652539126 -24.6573211264515 216.672093972531</t>
  </si>
  <si>
    <t>-589.297541734513 -107.425960704221 655.733527304532</t>
  </si>
  <si>
    <t>-440.560984216561 -144.387819170582 742.074627364944</t>
  </si>
  <si>
    <t>9763-20170724T164426.887437300.bin</t>
  </si>
  <si>
    <t>-514.915626227773 108.633311371396 -240.229727755265</t>
  </si>
  <si>
    <t>-555.638163621582 101.789062851724 -354.083238184662</t>
  </si>
  <si>
    <t>-570.333452406619 93.5432196512472 -474.110924941506</t>
  </si>
  <si>
    <t>-572.699798363581 85.8893928278375 -583.338436255446</t>
  </si>
  <si>
    <t>-564.224697170557 78.2793828214566 -692.26553957475</t>
  </si>
  <si>
    <t>-541.199014753005 67.9567552186759 -842.476351283101</t>
  </si>
  <si>
    <t>-489.371023654171 65.4901489502295 -930.173271437655</t>
  </si>
  <si>
    <t>-549.3829724313 104.199693177901 -777.882219526726</t>
  </si>
  <si>
    <t>-557.998812080173 249.980185959699 -760.507984942524</t>
  </si>
  <si>
    <t>-564.672193775907 320.78809736069 -452.079994001031</t>
  </si>
  <si>
    <t>-384.94558030207 246.79997447541 -279.261681524451</t>
  </si>
  <si>
    <t>-553.391424910043 40.8487147180441 -774.14309583299</t>
  </si>
  <si>
    <t>-501.481223862731 205.54285651539 -250.301541627807</t>
  </si>
  <si>
    <t>-480.138559621914 196.863520491987 204.810372032909</t>
  </si>
  <si>
    <t>-495.485223348467 165.254551923478 673.308786731943</t>
  </si>
  <si>
    <t>-341.15998739517 159.764346973539 757.55306459502</t>
  </si>
  <si>
    <t>-528.163284267084 11.8409618879905 -229.544909373281</t>
  </si>
  <si>
    <t>-443.394752488224 -24.5049907349407 216.718434218056</t>
  </si>
  <si>
    <t>-589.299513327906 -107.279280903882 655.871715018459</t>
  </si>
  <si>
    <t>-440.673791390143 -144.711229740919 742.20105876526</t>
  </si>
  <si>
    <t>9763-20170724T164426.919521900.bin</t>
  </si>
  <si>
    <t>-514.474141826092 108.511427890403 -240.268570000123</t>
  </si>
  <si>
    <t>-555.181027089613 101.695223198924 -354.129421023405</t>
  </si>
  <si>
    <t>-569.84599034596 93.4786700516175 -474.162670080122</t>
  </si>
  <si>
    <t>-572.179028352175 85.8519349241427 -583.392984073748</t>
  </si>
  <si>
    <t>-563.665180850403 78.2696889595215 -692.319064537644</t>
  </si>
  <si>
    <t>-540.580216428236 67.9862695126532 -842.523252552188</t>
  </si>
  <si>
    <t>-488.736632070937 65.5805376262107 -930.212795702559</t>
  </si>
  <si>
    <t>-548.829085708159 104.214460824404 -777.929180610874</t>
  </si>
  <si>
    <t>-557.618674521406 249.973092240243 -760.510220594485</t>
  </si>
  <si>
    <t>-564.586026815471 320.833837253233 -452.100615956325</t>
  </si>
  <si>
    <t>-384.789766026403 246.984823689635 -279.29534178336</t>
  </si>
  <si>
    <t>-552.760137917027 40.858282586091 -774.195811246467</t>
  </si>
  <si>
    <t>-501.12040740113 205.498427640423 -250.278243212084</t>
  </si>
  <si>
    <t>-479.692746854546 196.882647538214 204.830798372452</t>
  </si>
  <si>
    <t>-495.545542733394 165.453509345985 673.308763618263</t>
  </si>
  <si>
    <t>-341.220092322552 160.016980319138 757.556181343187</t>
  </si>
  <si>
    <t>-527.634922654806 11.5796537329072 -229.616555843975</t>
  </si>
  <si>
    <t>-443.443659813665 -24.6966281643091 216.761597982475</t>
  </si>
  <si>
    <t>-589.285985532532 -107.492706468828 655.936076918193</t>
  </si>
  <si>
    <t>-440.478717490316 -144.249810371922 742.242594904245</t>
  </si>
  <si>
    <t>9763-20170724T164426.988318200.bin</t>
  </si>
  <si>
    <t>-513.634932186234 108.45126263036 -240.223483146248</t>
  </si>
  <si>
    <t>-554.318682025574 101.617077953201 -354.091667973535</t>
  </si>
  <si>
    <t>-568.9243014682 93.4156105226014 -474.133101440277</t>
  </si>
  <si>
    <t>-571.189479648866 85.8196989860178 -583.366905639723</t>
  </si>
  <si>
    <t>-562.594438501918 78.287316059566 -692.290076151518</t>
  </si>
  <si>
    <t>-539.383577318001 68.0946127112239 -842.481084543285</t>
  </si>
  <si>
    <t>-487.538066742044 65.818261670358 -930.172876023101</t>
  </si>
  <si>
    <t>-547.763991221442 104.287824642258 -777.884372349607</t>
  </si>
  <si>
    <t>-556.906552982836 250.010489508485 -760.369117372693</t>
  </si>
  <si>
    <t>-564.921907942042 321.183325985156 -452.056969264638</t>
  </si>
  <si>
    <t>-384.845406925516 247.643492340808 -279.411742737313</t>
  </si>
  <si>
    <t>-551.543396560803 40.9213580960834 -774.168024495951</t>
  </si>
  <si>
    <t>-500.405486446271 205.45409134533 -250.20268651198</t>
  </si>
  <si>
    <t>-479.046114662789 196.878224319884 204.910332689271</t>
  </si>
  <si>
    <t>-495.534130314752 165.295261988891 673.338985680968</t>
  </si>
  <si>
    <t>-341.204083291049 160.012039864148 757.587629928756</t>
  </si>
  <si>
    <t>-526.74880468003 11.5183391462771 -229.567276420934</t>
  </si>
  <si>
    <t>-443.133608176493 -24.6922985476884 216.924522103508</t>
  </si>
  <si>
    <t>-589.241057821324 -107.459443895681 655.998328852902</t>
  </si>
  <si>
    <t>-440.401102926521 -144.054178726611 742.317552614141</t>
  </si>
  <si>
    <t>9763-20170724T164427.021406000.bin</t>
  </si>
  <si>
    <t>-513.143565803263 108.594078093774 -240.176267512217</t>
  </si>
  <si>
    <t>-553.811445789544 101.748240321039 -354.049304187191</t>
  </si>
  <si>
    <t>-568.379043572176 93.5683564799678 -474.096991649725</t>
  </si>
  <si>
    <t>-570.601350654612 86.010461629499 -583.334321573201</t>
  </si>
  <si>
    <t>-561.955532397179 78.5373821790703 -692.25741520047</t>
  </si>
  <si>
    <t>-538.666811484039 68.4517938018542 -842.44374026186</t>
  </si>
  <si>
    <t>-486.811977100887 66.2756676243719 -930.132561734156</t>
  </si>
  <si>
    <t>-547.116922963774 104.600688586536 -777.831170485765</t>
  </si>
  <si>
    <t>-556.392585088641 250.295363467492 -760.248757688561</t>
  </si>
  <si>
    <t>-565.071566305336 321.706564752255 -452.009653902747</t>
  </si>
  <si>
    <t>-384.878433598379 248.312416400248 -279.424108448833</t>
  </si>
  <si>
    <t>-550.825743577589 41.2280146319094 -774.150615138373</t>
  </si>
  <si>
    <t>-499.892451270478 205.465508681583 -250.180694353617</t>
  </si>
  <si>
    <t>-478.776914903335 196.925998502641 204.944356032302</t>
  </si>
  <si>
    <t>-495.550439656218 165.322019266448 673.346057599728</t>
  </si>
  <si>
    <t>-341.211197566768 160.370004486934 757.597915620831</t>
  </si>
  <si>
    <t>-526.236272918537 11.8300363127264 -229.500059266776</t>
  </si>
  <si>
    <t>-442.792031890515 -24.4230681714688 217.020253457688</t>
  </si>
  <si>
    <t>-589.225264467545 -107.033568406226 655.988586972717</t>
  </si>
  <si>
    <t>-440.74734512578 -144.950549074681 742.360571139966</t>
  </si>
  <si>
    <t>9763-20170724T164427.086111600.bin</t>
  </si>
  <si>
    <t>-512.206066581498 108.822245607234 -240.029736037432</t>
  </si>
  <si>
    <t>-552.926825511124 102.00833804821 -353.885698746205</t>
  </si>
  <si>
    <t>-567.467873979914 93.8696712799706 -473.939474266644</t>
  </si>
  <si>
    <t>-569.63251594123 86.3725753334128 -583.182136105126</t>
  </si>
  <si>
    <t>-560.896303898683 78.9960450615215 -692.104636235775</t>
  </si>
  <si>
    <t>-537.449813521224 69.0928226978929 -842.278566957887</t>
  </si>
  <si>
    <t>-485.587742205092 67.1720308151679 -929.968987333618</t>
  </si>
  <si>
    <t>-546.053101405267 105.167340904712 -777.644778288965</t>
  </si>
  <si>
    <t>-555.567827964727 250.829926333537 -759.888161867869</t>
  </si>
  <si>
    <t>-565.597575269667 322.684279506603 -451.793138854121</t>
  </si>
  <si>
    <t>-385.384610069338 249.906528212353 -278.967486661854</t>
  </si>
  <si>
    <t>-549.595286771313 41.7820262727438 -774.017754198766</t>
  </si>
  <si>
    <t>-345.579608949335 0.0341797889328959 -460.425502126068</t>
  </si>
  <si>
    <t>-498.74396157003 205.473749688383 -250.14112013341</t>
  </si>
  <si>
    <t>-478.257590933538 196.978664374354 205.013566306387</t>
  </si>
  <si>
    <t>-495.497411521336 165.112660767214 673.368834008233</t>
  </si>
  <si>
    <t>-341.174804599686 160.181407690601 757.652396111879</t>
  </si>
  <si>
    <t>-525.529957335895 12.2498702632537 -229.256293533161</t>
  </si>
  <si>
    <t>-441.90587304306 -24.3618587932524 217.201122918829</t>
  </si>
  <si>
    <t>-589.169161111518 -106.919453271671 655.881773694582</t>
  </si>
  <si>
    <t>-440.732137527285 -145.030899719493 742.238560133142</t>
  </si>
  <si>
    <t>9763-20170724T164427.119199400.bin</t>
  </si>
  <si>
    <t>-511.793069834585 109.166186105788 -239.998803803743</t>
  </si>
  <si>
    <t>-552.518381052501 102.346254155856 -353.852749839383</t>
  </si>
  <si>
    <t>-567.013928374284 94.2071945608365 -473.912015489988</t>
  </si>
  <si>
    <t>-569.116810499832 86.7211933427421 -583.156617492361</t>
  </si>
  <si>
    <t>-560.298936456111 79.3727478358489 -692.074470569146</t>
  </si>
  <si>
    <t>-536.719573361987 69.5312688956838 -842.231581428589</t>
  </si>
  <si>
    <t>-484.842948179899 67.7458087394348 -929.916283968064</t>
  </si>
  <si>
    <t>-545.422589247709 105.581186463388 -777.597495076176</t>
  </si>
  <si>
    <t>-555.131352281341 251.227538218854 -759.777132363399</t>
  </si>
  <si>
    <t>-565.787633945692 323.261495975665 -451.745118614162</t>
  </si>
  <si>
    <t>-385.641331074132 250.770345404369 -278.729499044629</t>
  </si>
  <si>
    <t>-548.882855281178 42.1904150551377 -773.98602926023</t>
  </si>
  <si>
    <t>-344.917691187673 0.614228254097377 -460.458270732954</t>
  </si>
  <si>
    <t>-498.323769090628 205.80859115381 -250.144183571162</t>
  </si>
  <si>
    <t>-477.959835488732 197.273581318372 205.015328133663</t>
  </si>
  <si>
    <t>-495.54674363009 165.303703190542 673.369750370203</t>
  </si>
  <si>
    <t>-341.271465273782 159.636811198356 757.693810161873</t>
  </si>
  <si>
    <t>-525.12900174801 12.6329570176206 -229.194923274205</t>
  </si>
  <si>
    <t>-441.534669662061 -24.4314019003615 217.230780541601</t>
  </si>
  <si>
    <t>-589.148508391802 -106.886554184243 655.812071811379</t>
  </si>
  <si>
    <t>-440.739340563019 -145.107055586037 742.16846952916</t>
  </si>
  <si>
    <t>9763-20170724T164427.187549300.bin</t>
  </si>
  <si>
    <t>-511.106550330904 109.505059291837 -239.995388240328</t>
  </si>
  <si>
    <t>-551.728416869014 102.659100476487 -353.884813704537</t>
  </si>
  <si>
    <t>-566.057770020802 94.4862312294113 -473.961645882519</t>
  </si>
  <si>
    <t>-567.986257552333 86.9786431357565 -583.20790488389</t>
  </si>
  <si>
    <t>-558.971564063189 79.6247979644838 -692.109289081984</t>
  </si>
  <si>
    <t>-535.097454962071 69.7991940475672 -842.220883308645</t>
  </si>
  <si>
    <t>-483.130157347955 68.1831879252004 -929.855221407395</t>
  </si>
  <si>
    <t>-543.997666365349 105.845437818216 -777.611461690787</t>
  </si>
  <si>
    <t>-554.006510766819 251.470851212287 -759.750778761551</t>
  </si>
  <si>
    <t>-565.743657870926 323.744066873542 -451.814028294722</t>
  </si>
  <si>
    <t>-385.640451851663 251.701936737137 -278.56619006136</t>
  </si>
  <si>
    <t>-547.324322271876 42.4480600122624 -773.990818977277</t>
  </si>
  <si>
    <t>-343.417347541971 1.26804362726861 -460.385538295472</t>
  </si>
  <si>
    <t>-497.585681012379 206.112078463357 -250.155634746361</t>
  </si>
  <si>
    <t>-477.533549159034 197.533662394811 205.016809175515</t>
  </si>
  <si>
    <t>-495.576153077684 165.41045372877 673.359329131676</t>
  </si>
  <si>
    <t>-341.351267034858 159.12019276425 757.731195401144</t>
  </si>
  <si>
    <t>-524.420725588238 12.9108840303322 -229.226457010144</t>
  </si>
  <si>
    <t>-441.289000658346 -24.1578276971782 217.285222059091</t>
  </si>
  <si>
    <t>-589.142855754954 -106.529656475109 655.755297164805</t>
  </si>
  <si>
    <t>-440.808867624331 -145.088713655637 742.090296551591</t>
  </si>
  <si>
    <t>9763-20170724T164427.221640300.bin</t>
  </si>
  <si>
    <t>-510.815027994669 109.325864488013 -240.02728589023</t>
  </si>
  <si>
    <t>-551.37150045207 102.445000671688 -353.937876534785</t>
  </si>
  <si>
    <t>-565.604547137615 94.229797885544 -474.023271683413</t>
  </si>
  <si>
    <t>-567.434182017203 86.6834972050573 -583.268740890504</t>
  </si>
  <si>
    <t>-558.310030531838 79.2918772334655 -692.158365916987</t>
  </si>
  <si>
    <t>-534.273557960443 69.4159882389858 -842.240806137324</t>
  </si>
  <si>
    <t>-482.238704916842 67.8078305329541 -929.835055162898</t>
  </si>
  <si>
    <t>-543.27334698005 105.485132996507 -777.65790975367</t>
  </si>
  <si>
    <t>-553.442493401407 251.10914241613 -759.810162736607</t>
  </si>
  <si>
    <t>-565.621271532966 323.619924614123 -451.946496754977</t>
  </si>
  <si>
    <t>-385.546956834915 251.775994878006 -278.586171032952</t>
  </si>
  <si>
    <t>-546.544578750997 42.0864159719662 -774.009969706555</t>
  </si>
  <si>
    <t>-342.742698923389 1.22842731531473 -460.258961873638</t>
  </si>
  <si>
    <t>-497.332774009758 205.848358067491 -250.17611675872</t>
  </si>
  <si>
    <t>-477.444407368467 197.25715988715 205.003400104943</t>
  </si>
  <si>
    <t>-495.482697086635 165.060218777478 673.351616534745</t>
  </si>
  <si>
    <t>-341.193015928143 160.104184077544 757.693983176076</t>
  </si>
  <si>
    <t>-524.148908055103 12.8277705942313 -229.22842785395</t>
  </si>
  <si>
    <t>-441.214936284921 -24.2824961455394 217.316528240803</t>
  </si>
  <si>
    <t>-589.135875053121 -106.75289309586 655.755050605951</t>
  </si>
  <si>
    <t>-440.658971196708 -144.853731790825 742.047807270514</t>
  </si>
  <si>
    <t>9763-20170724T164427.283379600.bin</t>
  </si>
  <si>
    <t>-510.482040728598 109.381862194355 -240.068573256432</t>
  </si>
  <si>
    <t>-550.86746266734 102.393959325595 -354.033416223338</t>
  </si>
  <si>
    <t>-564.857023226892 94.0526725907396 -474.138780951248</t>
  </si>
  <si>
    <t>-566.439571071221 86.3856978375323 -583.379552672899</t>
  </si>
  <si>
    <t>-557.043424939372 78.866879021052 -692.237456140448</t>
  </si>
  <si>
    <t>-532.605451893131 68.8079848579388 -842.24283178089</t>
  </si>
  <si>
    <t>-480.382320518543 67.1329806137758 -929.723756484668</t>
  </si>
  <si>
    <t>-541.826269938209 104.95783290522 -777.736410160588</t>
  </si>
  <si>
    <t>-552.197986246701 250.564778504787 -759.975369957663</t>
  </si>
  <si>
    <t>-565.648367404163 323.625451663575 -452.294512094321</t>
  </si>
  <si>
    <t>-385.550694936426 252.388163873473 -278.708504229949</t>
  </si>
  <si>
    <t>-545.010732701556 41.5596706869765 -774.003789509578</t>
  </si>
  <si>
    <t>-341.584360596315 1.40034059071476 -459.872212195738</t>
  </si>
  <si>
    <t>-497.187018719069 206.044112225182 -250.24072575986</t>
  </si>
  <si>
    <t>-477.669544300648 197.51044855325 204.955844605177</t>
  </si>
  <si>
    <t>-495.599385297973 165.528328992781 673.311941754154</t>
  </si>
  <si>
    <t>-341.366816429376 159.4625090912 757.686347784092</t>
  </si>
  <si>
    <t>-523.572184748857 12.8491150747542 -229.267000601279</t>
  </si>
  <si>
    <t>-441.074803686958 -24.2561675090055 217.359250478202</t>
  </si>
  <si>
    <t>-589.113117336837 -106.914205369162 655.721905579193</t>
  </si>
  <si>
    <t>-440.581264393885 -144.81614976225 742.00772255687</t>
  </si>
  <si>
    <t>9763-20170724T164427.321484500.bin</t>
  </si>
  <si>
    <t>-510.251452780909 109.195300424153 -240.088815005217</t>
  </si>
  <si>
    <t>-550.648934542257 102.145509627509 -354.045494512077</t>
  </si>
  <si>
    <t>-564.580664996282 93.7271995540222 -474.152221469177</t>
  </si>
  <si>
    <t>-566.081986257671 85.9848412332262 -583.388859561089</t>
  </si>
  <si>
    <t>-556.576278123184 78.3850785094198 -692.231632196114</t>
  </si>
  <si>
    <t>-531.957612057537 68.2078400023774 -842.199379782576</t>
  </si>
  <si>
    <t>-479.641144463597 66.4660479780824 -929.623288491843</t>
  </si>
  <si>
    <t>-541.274979016295 104.409291974438 -777.735806936074</t>
  </si>
  <si>
    <t>-551.708807900511 250.027455050944 -760.021376129269</t>
  </si>
  <si>
    <t>-566.008531296711 323.518130963532 -452.481516958273</t>
  </si>
  <si>
    <t>-385.922680616951 252.819040762071 -278.663261378096</t>
  </si>
  <si>
    <t>-544.426174006355 41.0125803330428 -773.95086880768</t>
  </si>
  <si>
    <t>-341.226996039488 1.20932115530369 -459.594743187116</t>
  </si>
  <si>
    <t>-497.048489491097 205.739147702875 -250.261458059017</t>
  </si>
  <si>
    <t>-477.671094502719 197.270881116986 204.942381429008</t>
  </si>
  <si>
    <t>-495.450269128682 165.023511761144 673.302675056288</t>
  </si>
  <si>
    <t>-341.166941698 159.972252240561 757.65103806922</t>
  </si>
  <si>
    <t>-523.315164794006 12.6647003005563 -229.231404123906</t>
  </si>
  <si>
    <t>-440.817175781302 -24.3725960733065 217.400435797858</t>
  </si>
  <si>
    <t>-589.062818424912 -107.211985041832 655.665013442351</t>
  </si>
  <si>
    <t>-440.449221297843 -144.749069009507 741.969555045065</t>
  </si>
  <si>
    <t>9763-20170724T164427.384654100.bin</t>
  </si>
  <si>
    <t>-509.910696809066 109.220079271157 -240.152948309382</t>
  </si>
  <si>
    <t>-550.1204197225 102.072962630205 -354.17007706086</t>
  </si>
  <si>
    <t>-563.785527890025 93.5135109033439 -474.29745880256</t>
  </si>
  <si>
    <t>-565.016090925277 85.6266978756588 -583.527080197028</t>
  </si>
  <si>
    <t>-555.212120127109 77.8657321626778 -692.331987787461</t>
  </si>
  <si>
    <t>-530.152985558518 67.4476808610849 -842.210403105941</t>
  </si>
  <si>
    <t>-477.606869471896 65.5708028272836 -929.493520794915</t>
  </si>
  <si>
    <t>-539.704365652212 103.754359079405 -777.840188804066</t>
  </si>
  <si>
    <t>-550.338481460076 249.370489051554 -760.270703204909</t>
  </si>
  <si>
    <t>-566.900647840425 323.920892649016 -453.099550501173</t>
  </si>
  <si>
    <t>-386.963858493337 254.286425501491 -278.698256858494</t>
  </si>
  <si>
    <t>-542.777473817655 40.3603284053716 -773.947470722346</t>
  </si>
  <si>
    <t>-340.017940005439 1.32171791570984 -459.119120536144</t>
  </si>
  <si>
    <t>-496.904326115928 205.914347226604 -250.346280447743</t>
  </si>
  <si>
    <t>-477.731181520786 197.499813056389 204.867110853785</t>
  </si>
  <si>
    <t>-495.554826382229 165.510443932528 673.251326780898</t>
  </si>
  <si>
    <t>-341.332669137324 159.361787198992 757.638695155154</t>
  </si>
  <si>
    <t>-522.68414127728 12.6069525167948 -229.378379217072</t>
  </si>
  <si>
    <t>-440.684069381991 -24.2886195277642 217.356897058217</t>
  </si>
  <si>
    <t>-588.99465037193 -107.179221044835 655.578916451199</t>
  </si>
  <si>
    <t>-440.351859004339 -144.604806819211 741.881564007952</t>
  </si>
  <si>
    <t>9763-20170724T164427.418748300.bin</t>
  </si>
  <si>
    <t>-509.643986064859 109.113111033325 -240.170774998608</t>
  </si>
  <si>
    <t>-549.860281562861 101.940020963096 -354.18398549001</t>
  </si>
  <si>
    <t>-563.452897967871 93.315780878591 -474.314884451157</t>
  </si>
  <si>
    <t>-564.585057558282 85.3580618421927 -583.540593000468</t>
  </si>
  <si>
    <t>-554.650606000028 77.5160253539521 -692.327676542031</t>
  </si>
  <si>
    <t>-529.377932026964 66.9764922678416 -842.161593173454</t>
  </si>
  <si>
    <t>-476.708807967513 65.0357083736553 -929.369375222271</t>
  </si>
  <si>
    <t>-539.050836120054 103.336479828188 -777.839750007249</t>
  </si>
  <si>
    <t>-549.868322369513 248.946843309968 -760.355596449162</t>
  </si>
  <si>
    <t>-567.517609471491 324.305445940348 -453.442316393594</t>
  </si>
  <si>
    <t>-387.752304404637 255.182056701114 -278.661170379802</t>
  </si>
  <si>
    <t>-542.069712614935 39.9433628641613 -773.889813539259</t>
  </si>
  <si>
    <t>-339.518627292631 1.2362212747551 -458.824384816839</t>
  </si>
  <si>
    <t>-496.696432145616 205.661828880869 -250.34799115422</t>
  </si>
  <si>
    <t>-477.585722499297 197.305466948229 204.869032923745</t>
  </si>
  <si>
    <t>-495.467508270752 165.211248323329 673.247072831345</t>
  </si>
  <si>
    <t>-341.184409905689 160.335447971053 757.60620787638</t>
  </si>
  <si>
    <t>-522.452416979634 12.6259659059596 -229.345459893659</t>
  </si>
  <si>
    <t>-440.540625778138 -24.2254870556669 217.409540351772</t>
  </si>
  <si>
    <t>-588.989218973015 -107.001522903718 655.555374218162</t>
  </si>
  <si>
    <t>-440.431373746879 -144.85928153795 741.815821869903</t>
  </si>
  <si>
    <t>9763-20170724T164427.488625000.bin</t>
  </si>
  <si>
    <t>-509.275042106611 109.144476156044 -240.177773633587</t>
  </si>
  <si>
    <t>-549.448688911354 101.890143280782 -354.200815367866</t>
  </si>
  <si>
    <t>-562.849788049673 93.1293404726785 -474.343258757273</t>
  </si>
  <si>
    <t>-563.748066151562 85.0346830869225 -583.561089897719</t>
  </si>
  <si>
    <t>-553.520854830644 77.0474874410334 -692.310629956169</t>
  </si>
  <si>
    <t>-527.783248674926 66.302493447889 -842.050823100827</t>
  </si>
  <si>
    <t>-474.861093297474 64.2768183226277 -929.103239910878</t>
  </si>
  <si>
    <t>-537.728730144922 102.753218720755 -777.821981244733</t>
  </si>
  <si>
    <t>-548.912308250454 248.360250055932 -760.535472321664</t>
  </si>
  <si>
    <t>-568.765519518803 325.478884265234 -454.194533038848</t>
  </si>
  <si>
    <t>-389.711161661598 257.081612395927 -278.400842137479</t>
  </si>
  <si>
    <t>-540.61394555302 39.3604596279598 -773.768960180627</t>
  </si>
  <si>
    <t>-338.512689346806 1.2902756047434 -458.284159297065</t>
  </si>
  <si>
    <t>-496.435147460663 205.763154380818 -250.382931269029</t>
  </si>
  <si>
    <t>-477.529676842869 197.510338197189 204.844723465889</t>
  </si>
  <si>
    <t>-495.523967198612 165.53202834732 673.207103245856</t>
  </si>
  <si>
    <t>-341.308578030086 159.52948407529 757.617410135128</t>
  </si>
  <si>
    <t>-521.968771596732 12.6385260442116 -229.320269420549</t>
  </si>
  <si>
    <t>-440.206228815581 -24.036055449908 217.476680981281</t>
  </si>
  <si>
    <t>-589.002747557165 -106.912740634223 655.504471107602</t>
  </si>
  <si>
    <t>-440.261704877254 -144.571205287143 741.536184990263</t>
  </si>
  <si>
    <t>9763-20170724T164427.519708100.bin</t>
  </si>
  <si>
    <t>-509.049550702534 109.183876267092 -240.172991506517</t>
  </si>
  <si>
    <t>-549.150930793908 101.857447109884 -354.216897190224</t>
  </si>
  <si>
    <t>-562.444303084319 93.014920510091 -474.36538610521</t>
  </si>
  <si>
    <t>-563.231698370347 84.8446220886213 -583.578403056606</t>
  </si>
  <si>
    <t>-552.881281542855 76.7810531952073 -692.310590433607</t>
  </si>
  <si>
    <t>-526.960671417112 65.9301835140941 -842.011585763482</t>
  </si>
  <si>
    <t>-473.91712046826 63.8678560584667 -928.989153729706</t>
  </si>
  <si>
    <t>-537.010348427695 102.427214109227 -777.825196138518</t>
  </si>
  <si>
    <t>-548.395039931054 248.033134708313 -760.63450923519</t>
  </si>
  <si>
    <t>-569.294807053655 326.002620508545 -454.578704055845</t>
  </si>
  <si>
    <t>-390.679309638334 257.848069367733 -278.245215220442</t>
  </si>
  <si>
    <t>-539.849082509056 39.0355417495225 -773.721898784172</t>
  </si>
  <si>
    <t>-337.870689377605 1.32457475695767 -458.060501562897</t>
  </si>
  <si>
    <t>-496.242966475504 205.626049814995 -250.410613574673</t>
  </si>
  <si>
    <t>-477.441926430588 197.439731906095 204.822549016729</t>
  </si>
  <si>
    <t>-495.436812560336 165.306375734396 673.187734279036</t>
  </si>
  <si>
    <t>-341.1843255312 160.224284668954 757.590641131819</t>
  </si>
  <si>
    <t>-521.661893441281 12.8916672750188 -229.287444508078</t>
  </si>
  <si>
    <t>-440.056815210405 -23.8686238590245 217.531273471232</t>
  </si>
  <si>
    <t>-589.051281623511 -106.572022686241 655.487540296127</t>
  </si>
  <si>
    <t>-440.283128360276 -144.603683145175 741.308018220893</t>
  </si>
  <si>
    <t>9763-20170724T164427.555523800.bin</t>
  </si>
  <si>
    <t>-508.858973598353 109.213665427748 -240.162478422213</t>
  </si>
  <si>
    <t>-548.935855009108 101.859180493145 -354.213214120281</t>
  </si>
  <si>
    <t>-562.137584262793 92.9695523710737 -474.368276120914</t>
  </si>
  <si>
    <t>-562.814986143124 84.7519417320637 -583.57848336676</t>
  </si>
  <si>
    <t>-552.328269951213 76.6381038520405 -692.293924132119</t>
  </si>
  <si>
    <t>-526.192451102093 65.7157953408359 -841.952311669787</t>
  </si>
  <si>
    <t>-473.01760655068 63.6362779189139 -928.849376171743</t>
  </si>
  <si>
    <t>-536.366074820441 102.244473290449 -777.803416490803</t>
  </si>
  <si>
    <t>-547.915641127901 247.830924352912 -760.67662514408</t>
  </si>
  <si>
    <t>-569.731209535473 326.631023254987 -454.897566412544</t>
  </si>
  <si>
    <t>-391.588207212194 258.640102955922 -278.023617229636</t>
  </si>
  <si>
    <t>-539.147299198092 38.8526767401067 -773.662661121933</t>
  </si>
  <si>
    <t>-337.247218373626 1.45816287131126 -457.784982714592</t>
  </si>
  <si>
    <t>-496.111512199987 205.558915774025 -250.414056747453</t>
  </si>
  <si>
    <t>-477.359385984566 197.399788148511 204.821556322908</t>
  </si>
  <si>
    <t>-495.397773003967 165.179777426251 673.194157022462</t>
  </si>
  <si>
    <t>-341.135743888896 160.388909900351 757.596736185483</t>
  </si>
  <si>
    <t>-521.427087026323 13.0026905955122 -229.262560470776</t>
  </si>
  <si>
    <t>-439.902579714805 -23.8335104711299 217.564613600989</t>
  </si>
  <si>
    <t>-589.074392106749 -106.672574109714 655.45848559922</t>
  </si>
  <si>
    <t>-440.220358953364 -144.835684852679 741.071421689229</t>
  </si>
  <si>
    <t>9763-20170724T164427.685380300.bin</t>
  </si>
  <si>
    <t>-508.726476659363 109.218482229639 -240.176511550485</t>
  </si>
  <si>
    <t>-548.796030177707 101.827717149828 -354.227472893008</t>
  </si>
  <si>
    <t>-561.882200147979 92.9070283267134 -474.392901068392</t>
  </si>
  <si>
    <t>-562.411112017816 84.668047023505 -583.602399247175</t>
  </si>
  <si>
    <t>-551.733467306831 76.5418676739842 -692.298307840002</t>
  </si>
  <si>
    <t>-525.290475725348 65.6143226591263 -841.902300543083</t>
  </si>
  <si>
    <t>-471.974052092719 63.5501328621792 -928.712928299807</t>
  </si>
  <si>
    <t>-535.638464236782 102.146628175384 -777.783444624869</t>
  </si>
  <si>
    <t>-547.376312377958 247.731629974323 -760.662012618089</t>
  </si>
  <si>
    <t>-570.09785255285 327.128136311062 -455.103376781786</t>
  </si>
  <si>
    <t>-392.294578705537 259.258849773241 -277.841397856194</t>
  </si>
  <si>
    <t>-538.342881995614 38.7522558843407 -773.630892813353</t>
  </si>
  <si>
    <t>-336.592519730084 1.64930922016212 -457.579526341782</t>
  </si>
  <si>
    <t>-496.064535382344 205.534029881981 -250.417900881021</t>
  </si>
  <si>
    <t>-477.328458989564 197.44508115912 204.819614317062</t>
  </si>
  <si>
    <t>-495.3803236256 165.119934313591 673.198879815807</t>
  </si>
  <si>
    <t>-341.126581452132 160.080024965892 757.602057054698</t>
  </si>
  <si>
    <t>-521.271025795497 12.9330906321486 -229.274806138866</t>
  </si>
  <si>
    <t>-439.828910836838 -23.7624312739562 217.579059035699</t>
  </si>
  <si>
    <t>-589.062676233708 -106.716007571563 655.401421199246</t>
  </si>
  <si>
    <t>-440.130772619533 -144.773655522107 740.92575708151</t>
  </si>
  <si>
    <t>9763-20170724T164427.721478100.bin</t>
  </si>
  <si>
    <t>-508.435120063604 109.051461940225 -240.261605057579</t>
  </si>
  <si>
    <t>-548.33482539244 101.517945598327 -354.362728186139</t>
  </si>
  <si>
    <t>-561.089835145686 92.4546716340384 -474.553230283508</t>
  </si>
  <si>
    <t>-561.256204045875 84.0917745896604 -583.754288744056</t>
  </si>
  <si>
    <t>-550.156871959057 75.8492033879279 -692.399167460182</t>
  </si>
  <si>
    <t>-523.07063815449 64.7700725971615 -841.87690706191</t>
  </si>
  <si>
    <t>-469.418565036023 62.7476867382508 -928.481457314243</t>
  </si>
  <si>
    <t>-533.787759542438 101.370042234243 -777.857378505421</t>
  </si>
  <si>
    <t>-546.102600540384 246.911903242769 -760.761771522516</t>
  </si>
  <si>
    <t>-570.91466028759 327.169250335799 -455.590710582944</t>
  </si>
  <si>
    <t>-392.817162913001 259.683904259257 -278.477530875262</t>
  </si>
  <si>
    <t>-536.323109265675 37.9744797651127 -773.617969795585</t>
  </si>
  <si>
    <t>-335.259667524433 1.75618321029203 -457.052380004384</t>
  </si>
  <si>
    <t>-495.972357499009 205.395399762193 -250.489457877967</t>
  </si>
  <si>
    <t>-477.487649199264 197.504950108021 204.761830527411</t>
  </si>
  <si>
    <t>-495.409257086419 165.324846392501 673.149963981865</t>
  </si>
  <si>
    <t>-341.169652996274 160.01166575387 757.562198294377</t>
  </si>
  <si>
    <t>-520.759212844404 12.8083690391764 -229.376699498384</t>
  </si>
  <si>
    <t>-439.635928844225 -23.8304204830815 217.539764808666</t>
  </si>
  <si>
    <t>-588.975380929743 -106.694600030606 655.308228399589</t>
  </si>
  <si>
    <t>-440.075750743983 -144.79672823188 740.869068762363</t>
  </si>
  <si>
    <t>9763-20170724T164427.785158900.bin</t>
  </si>
  <si>
    <t>-508.177199396378 108.979576787154 -240.28951118562</t>
  </si>
  <si>
    <t>-548.03655963856 101.372337684988 -354.399774466682</t>
  </si>
  <si>
    <t>-560.718253861021 92.2576688528581 -474.594027351478</t>
  </si>
  <si>
    <t>-560.805927561299 83.8596193808784 -583.792578947323</t>
  </si>
  <si>
    <t>-549.616391734724 75.5943404889791 -692.426493152227</t>
  </si>
  <si>
    <t>-522.394015754428 64.4974180319105 -841.878254637753</t>
  </si>
  <si>
    <t>-468.71393058574 62.520395350935 -928.466441760795</t>
  </si>
  <si>
    <t>-533.214659560513 101.106256257779 -777.881105477754</t>
  </si>
  <si>
    <t>-545.728618077308 246.629398920834 -760.772219183507</t>
  </si>
  <si>
    <t>-571.151393800686 326.984227181656 -455.677132804962</t>
  </si>
  <si>
    <t>-392.978028688893 259.572316699572 -278.612382046132</t>
  </si>
  <si>
    <t>-535.663480058092 37.7087131283326 -773.619869185967</t>
  </si>
  <si>
    <t>-334.671978263616 1.62528511089267 -456.979305754713</t>
  </si>
  <si>
    <t>-495.851116389679 205.375742010875 -250.522415750724</t>
  </si>
  <si>
    <t>-477.514873452807 197.640390273616 204.737543899042</t>
  </si>
  <si>
    <t>-495.513846157744 165.680671900099 673.142190657866</t>
  </si>
  <si>
    <t>-341.287486836123 159.914071079006 757.548817036641</t>
  </si>
  <si>
    <t>-520.367590065756 12.6542967263188 -229.404216610716</t>
  </si>
  <si>
    <t>-439.479742105978 -23.6519148157563 217.582059804087</t>
  </si>
  <si>
    <t>-588.941398709341 -106.543021023399 655.337795685447</t>
  </si>
  <si>
    <t>-440.281095272665 -145.379003688871 740.984740492495</t>
  </si>
  <si>
    <t>9763-20170724T164427.828273100.bin</t>
  </si>
  <si>
    <t>-507.971177021086 108.660228463483 -240.284759961537</t>
  </si>
  <si>
    <t>-547.786292360438 101.037558850364 -354.409510322673</t>
  </si>
  <si>
    <t>-560.430824893422 91.9377934207444 -474.608846626385</t>
  </si>
  <si>
    <t>-560.488971832322 83.5671891420246 -583.809466501643</t>
  </si>
  <si>
    <t>-549.274464677878 75.3440948328598 -692.44406127377</t>
  </si>
  <si>
    <t>-522.022547445666 64.321796403411 -841.895866574337</t>
  </si>
  <si>
    <t>-468.346418957019 62.3852468510095 -928.487469283864</t>
  </si>
  <si>
    <t>-532.880538811932 100.899292540149 -777.887117138086</t>
  </si>
  <si>
    <t>-545.46517445404 246.39554575476 -760.714991648959</t>
  </si>
  <si>
    <t>-571.123078473375 326.933337995489 -455.687754018522</t>
  </si>
  <si>
    <t>-392.927680801591 259.504696276871 -278.651466352106</t>
  </si>
  <si>
    <t>-535.280767346429 37.498382860717 -773.648878287824</t>
  </si>
  <si>
    <t>-334.215517606637 1.49597640502707 -456.988189113513</t>
  </si>
  <si>
    <t>-495.620607805114 204.908481562504 -250.526149940835</t>
  </si>
  <si>
    <t>-477.352865757215 197.241138802396 204.737658670155</t>
  </si>
  <si>
    <t>-495.361047800329 165.127929329045 673.150673531967</t>
  </si>
  <si>
    <t>-341.058611732887 160.885405843217 757.508737739476</t>
  </si>
  <si>
    <t>-520.165333511477 12.4565117699572 -229.394237472996</t>
  </si>
  <si>
    <t>-439.399323744056 -23.7949208271032 217.618417777837</t>
  </si>
  <si>
    <t>-588.947702553034 -106.695976553008 655.365590537914</t>
  </si>
  <si>
    <t>-440.241200746174 -145.491846204175 740.950393769901</t>
  </si>
  <si>
    <t>9763-20170724T164427.889068800.bin</t>
  </si>
  <si>
    <t>-507.565007717293 108.57224526257 -240.268886264825</t>
  </si>
  <si>
    <t>-547.354582163325 100.940071860944 -354.401811220906</t>
  </si>
  <si>
    <t>-559.978718092937 91.8607217452768 -474.60492441968</t>
  </si>
  <si>
    <t>-560.021305154172 83.5237953777768 -583.808131959326</t>
  </si>
  <si>
    <t>-548.794546799174 75.3513405333721 -692.445246307924</t>
  </si>
  <si>
    <t>-521.52948184292 64.4184347752778 -841.901159468776</t>
  </si>
  <si>
    <t>-467.904572539054 62.5202981354886 -928.525387834531</t>
  </si>
  <si>
    <t>-532.414777793776 100.958125477093 -777.87562692721</t>
  </si>
  <si>
    <t>-545.210720414429 246.443177724116 -760.646971944638</t>
  </si>
  <si>
    <t>-571.417350772076 326.906980128645 -455.646893577456</t>
  </si>
  <si>
    <t>-393.093861222788 259.616207968952 -278.687235451271</t>
  </si>
  <si>
    <t>-534.772181213894 37.5536171589488 -773.667509214223</t>
  </si>
  <si>
    <t>-333.548130842825 1.41892121313596 -457.057645369351</t>
  </si>
  <si>
    <t>-495.262133523044 205.018120666951 -250.528645612584</t>
  </si>
  <si>
    <t>-477.088006859888 197.506049158212 204.741546873663</t>
  </si>
  <si>
    <t>-495.549247414732 165.83253387323 673.139590562262</t>
  </si>
  <si>
    <t>-341.332492681869 159.930410135423 757.554490483017</t>
  </si>
  <si>
    <t>-519.749876135562 12.1814596618025 -229.328547987547</t>
  </si>
  <si>
    <t>-439.18664408223 -23.9655427201557 217.729207592022</t>
  </si>
  <si>
    <t>-588.977972995109 -106.918595955275 655.39402968358</t>
  </si>
  <si>
    <t>-440.03906805146 -145.256336631358 740.780979562047</t>
  </si>
  <si>
    <t>9763-20170724T164427.922143600.bin</t>
  </si>
  <si>
    <t>-507.31620043209 108.468731164898 -240.270776859975</t>
  </si>
  <si>
    <t>-547.070861759216 100.839231964678 -354.41610553558</t>
  </si>
  <si>
    <t>-559.675166886834 91.7854877519038 -474.623102572641</t>
  </si>
  <si>
    <t>-559.706721917684 83.481299644495 -583.828838804669</t>
  </si>
  <si>
    <t>-548.476190246581 75.351119597652 -692.46870537842</t>
  </si>
  <si>
    <t>-521.213533256447 64.4870972775002 -841.930247973894</t>
  </si>
  <si>
    <t>-467.653166551877 62.6110872506615 -928.594791539375</t>
  </si>
  <si>
    <t>-532.103899328967 100.997465951589 -777.888794171778</t>
  </si>
  <si>
    <t>-544.95793859366 246.456225358865 -760.587946202818</t>
  </si>
  <si>
    <t>-571.432458239937 327.052242109478 -455.64600205341</t>
  </si>
  <si>
    <t>-392.987607454305 259.811501006661 -278.789673066387</t>
  </si>
  <si>
    <t>-534.44884741459 37.5907300123676 -773.707570609393</t>
  </si>
  <si>
    <t>-333.180551988671 1.36590711445817 -457.16364133029</t>
  </si>
  <si>
    <t>-494.972573652863 204.822331109471 -250.525675578271</t>
  </si>
  <si>
    <t>-476.862534172293 197.380598090603 204.748154774815</t>
  </si>
  <si>
    <t>-495.474027708856 165.578064923781 673.139669275746</t>
  </si>
  <si>
    <t>-341.24443122931 160.02656652459 757.55489061296</t>
  </si>
  <si>
    <t>-519.499423627026 12.2250844185003 -229.341235652709</t>
  </si>
  <si>
    <t>-439.121375685723 -23.8939579387294 217.752120355596</t>
  </si>
  <si>
    <t>-589.06205509473 -106.554008691683 655.433534004895</t>
  </si>
  <si>
    <t>-440.034264400403 -145.149819792041 740.548709365123</t>
  </si>
  <si>
    <t>9763-20170724T164427.952445700.bin</t>
  </si>
  <si>
    <t>-507.033334326647 108.457841188455 -240.228834605342</t>
  </si>
  <si>
    <t>-546.744083358399 100.835737433875 -354.389929057801</t>
  </si>
  <si>
    <t>-559.341895008474 91.8100412925754 -474.599792606904</t>
  </si>
  <si>
    <t>-559.383900973901 83.5399093046336 -583.808072122085</t>
  </si>
  <si>
    <t>-548.180104485525 75.4523158650981 -692.453908830952</t>
  </si>
  <si>
    <t>-520.971247809286 64.6566119794686 -841.930023234052</t>
  </si>
  <si>
    <t>-467.502813313369 62.8011666648749 -928.651969620506</t>
  </si>
  <si>
    <t>-531.840793030036 101.137796673884 -777.868424627549</t>
  </si>
  <si>
    <t>-544.692325016292 246.597737587976 -760.473613619918</t>
  </si>
  <si>
    <t>-571.643201400741 327.458964453196 -455.643802089526</t>
  </si>
  <si>
    <t>-393.06633281801 260.290350814081 -278.893180204254</t>
  </si>
  <si>
    <t>-534.179816383457 37.7289628664236 -773.714603274843</t>
  </si>
  <si>
    <t>-332.795099222127 1.30213926315648 -457.236277327336</t>
  </si>
  <si>
    <t>-494.617787812301 204.593794379047 -250.4997490385</t>
  </si>
  <si>
    <t>-476.602132735138 197.232684612795 204.779259854617</t>
  </si>
  <si>
    <t>-495.377009440037 165.213881599521 673.159968928213</t>
  </si>
  <si>
    <t>-341.124303493454 160.245153180651 757.569224195418</t>
  </si>
  <si>
    <t>-519.265038758079 12.4905861457142 -229.287302403067</t>
  </si>
  <si>
    <t>-439.082937748956 -23.7019099161155 217.835342259522</t>
  </si>
  <si>
    <t>-589.221772660712 -105.892806110499 655.494357860947</t>
  </si>
  <si>
    <t>-440.063732893975 -145.127583751669 740.087687453925</t>
  </si>
  <si>
    <t>9763-20170724T164428.531484900.bin</t>
  </si>
  <si>
    <t>-506.593425752176 108.700905704259 -240.203711001865</t>
  </si>
  <si>
    <t>-546.298235616795 101.117759163685 -354.369507268689</t>
  </si>
  <si>
    <t>-558.895409167687 92.1562734518826 -474.584015161769</t>
  </si>
  <si>
    <t>-558.939409492428 83.9521947686859 -583.797380749589</t>
  </si>
  <si>
    <t>-547.740240804761 75.9377309259493 -692.449117346978</t>
  </si>
  <si>
    <t>-520.540649409679 65.2497604960355 -841.934746697889</t>
  </si>
  <si>
    <t>-467.269741051922 63.4432485605185 -928.779031457822</t>
  </si>
  <si>
    <t>-531.380600251355 101.684109578361 -777.84139391156</t>
  </si>
  <si>
    <t>-544.362273909872 247.12729550003 -760.418656347145</t>
  </si>
  <si>
    <t>-572.604361156863 328.483978288583 -455.837571633651</t>
  </si>
  <si>
    <t>-393.686857788212 261.085444342356 -279.519651754816</t>
  </si>
  <si>
    <t>-533.77067143401 38.2736504697203 -773.742563382901</t>
  </si>
  <si>
    <t>-332.168919604231 1.52557099052638 -457.373330737222</t>
  </si>
  <si>
    <t>-494.09931378131 204.642699021378 -250.468110133073</t>
  </si>
  <si>
    <t>-476.320614913873 197.432011668805 204.82265405213</t>
  </si>
  <si>
    <t>-495.422310888063 165.389638489053 673.179169868742</t>
  </si>
  <si>
    <t>-341.203397273981 159.89577316069 757.617656319335</t>
  </si>
  <si>
    <t>-518.975643818025 12.8236634268262 -229.242805705624</t>
  </si>
  <si>
    <t>-439.050977871221 -23.3269189941778 217.9292916751</t>
  </si>
  <si>
    <t>-589.489216724415 -105.551796364883 655.501197096888</t>
  </si>
  <si>
    <t>-439.871884884888 -145.348834624288 739.013733727615</t>
  </si>
  <si>
    <t>9763-20170724T164428.580629400.bin</t>
  </si>
  <si>
    <t>-504.616249143042 108.756208478382 -240.564573130392</t>
  </si>
  <si>
    <t>-544.020391964303 101.121642598582 -354.831133877431</t>
  </si>
  <si>
    <t>-556.092876190351 92.2123880345729 -475.103493496217</t>
  </si>
  <si>
    <t>-555.577546738701 84.0918097840346 -584.321825244834</t>
  </si>
  <si>
    <t>-543.740537917436 76.193026352807 -692.914368571709</t>
  </si>
  <si>
    <t>-515.579727779572 65.6953325337622 -842.2354096358</t>
  </si>
  <si>
    <t>-462.487133515029 64.012902873178 -929.191343070844</t>
  </si>
  <si>
    <t>-526.852843522706 102.048604873103 -778.170759666692</t>
  </si>
  <si>
    <t>-541.083552579383 247.395693995669 -760.892023477108</t>
  </si>
  <si>
    <t>-573.105090404697 327.066557754494 -456.239131193691</t>
  </si>
  <si>
    <t>-393.580157694555 260.700506630645 -280.147125707414</t>
  </si>
  <si>
    <t>-529.227165803946 38.6319126333362 -774.160175532475</t>
  </si>
  <si>
    <t>-327.685539899502 1.90264037900187 -458.20997079402</t>
  </si>
  <si>
    <t>-492.316038371118 204.44840046901 -250.710661213958</t>
  </si>
  <si>
    <t>-475.625180780202 197.851430425779 204.630501227764</t>
  </si>
  <si>
    <t>-495.510400866324 166.149888027333 673.016628285092</t>
  </si>
  <si>
    <t>-341.380444783391 160.466708263821 757.604813494744</t>
  </si>
  <si>
    <t>-516.788723516698 13.1259596955125 -229.729860754955</t>
  </si>
  <si>
    <t>-438.338979105422 -22.9954540505109 217.705657184555</t>
  </si>
  <si>
    <t>-589.672156287096 -105.054165436642 654.931315506385</t>
  </si>
  <si>
    <t>-439.180356518532 -144.809445917095 736.877990575658</t>
  </si>
  <si>
    <t>9763-20170724T164428.616724400.bin</t>
  </si>
  <si>
    <t>-504.472523364658 109.18332550512 -240.841673086038</t>
  </si>
  <si>
    <t>-543.670618890081 101.466303595663 -355.17335056114</t>
  </si>
  <si>
    <t>-555.46465758937 92.4195624715741 -475.463201891965</t>
  </si>
  <si>
    <t>-554.671107149011 84.149962987703 -584.668679354788</t>
  </si>
  <si>
    <t>-542.531644774771 76.0754309353964 -693.214840667357</t>
  </si>
  <si>
    <t>-513.928040242145 65.3045713931008 -842.432278820886</t>
  </si>
  <si>
    <t>-460.515473317332 63.6352791566286 -929.192249999336</t>
  </si>
  <si>
    <t>-525.425569774355 101.775833277876 -778.474585604478</t>
  </si>
  <si>
    <t>-540.142862440571 247.07933640912 -761.337229359827</t>
  </si>
  <si>
    <t>-574.259006255574 326.478762936383 -456.840940512716</t>
  </si>
  <si>
    <t>-394.331523185821 260.899899980676 -280.864812596909</t>
  </si>
  <si>
    <t>-527.742945251999 38.3649148403528 -774.341751864169</t>
  </si>
  <si>
    <t>-326.895945357527 2.21341981735974 -458.055278474969</t>
  </si>
  <si>
    <t>-492.365497974491 204.909758850191 -250.966146421647</t>
  </si>
  <si>
    <t>-476.174401845132 198.281775093535 204.392564040953</t>
  </si>
  <si>
    <t>-495.424433659408 166.489588414699 672.804633715762</t>
  </si>
  <si>
    <t>-341.354523826293 160.816540831246 757.502910793671</t>
  </si>
  <si>
    <t>-516.452282431251 13.5934916764662 -230.030809192231</t>
  </si>
  <si>
    <t>-438.504843140051 -22.7368528266156 217.475561460996</t>
  </si>
  <si>
    <t>-589.576888825004 -104.989768587565 654.755437296708</t>
  </si>
  <si>
    <t>-439.195735941595 -145.129653888093 736.717731136292</t>
  </si>
  <si>
    <t>9763-20170724T164428.688466400.bin</t>
  </si>
  <si>
    <t>-504.480337830903 109.566958018157 -240.855896953856</t>
  </si>
  <si>
    <t>-543.614915527586 101.794508953614 -355.205668343597</t>
  </si>
  <si>
    <t>-555.271475604402 92.6847121533738 -475.504037979897</t>
  </si>
  <si>
    <t>-554.324668389025 84.3586728248079 -584.704084843917</t>
  </si>
  <si>
    <t>-542.004610633809 76.2301546021598 -693.22591520703</t>
  </si>
  <si>
    <t>-513.123586237925 65.3887417232132 -842.384736003933</t>
  </si>
  <si>
    <t>-459.513523142161 63.7333836358984 -929.023047228717</t>
  </si>
  <si>
    <t>-524.778396767564 101.891112579175 -778.473378162717</t>
  </si>
  <si>
    <t>-539.782389824021 247.176073498023 -761.3870083625</t>
  </si>
  <si>
    <t>-574.770692904016 326.663950988772 -457.012808398886</t>
  </si>
  <si>
    <t>-394.606066991785 261.286384892574 -281.204562289367</t>
  </si>
  <si>
    <t>-527.026579455889 38.4803699398014 -774.299836532471</t>
  </si>
  <si>
    <t>-326.291066349008 2.679478421403 -457.96768788612</t>
  </si>
  <si>
    <t>-492.388478285315 205.161165822341 -250.998727229885</t>
  </si>
  <si>
    <t>-476.281961121509 198.475285912937 204.362213833924</t>
  </si>
  <si>
    <t>-495.357254471798 166.376881525259 672.769414288105</t>
  </si>
  <si>
    <t>-341.253085311733 161.324223609723 757.44463876147</t>
  </si>
  <si>
    <t>-516.417896507334 14.0167767643441 -230.057738870451</t>
  </si>
  <si>
    <t>-438.464574315023 -22.4369045009293 217.437630671125</t>
  </si>
  <si>
    <t>-589.54209428726 -104.67760052902 654.677400424458</t>
  </si>
  <si>
    <t>-439.295166751045 -145.334411071304 736.6310784012</t>
  </si>
  <si>
    <t>9763-20170724T164428.720551700.bin</t>
  </si>
  <si>
    <t>-504.514150641105 109.568251940939 -240.823957385922</t>
  </si>
  <si>
    <t>-543.621077736671 101.762544067696 -355.181091723682</t>
  </si>
  <si>
    <t>-555.234040658899 92.6140599085108 -475.480651214632</t>
  </si>
  <si>
    <t>-554.241658833114 84.2515262243959 -584.67748986368</t>
  </si>
  <si>
    <t>-541.870381941754 76.0853705557303 -693.190538825708</t>
  </si>
  <si>
    <t>-512.912960713307 65.1907678664886 -842.33069292661</t>
  </si>
  <si>
    <t>-459.229836772014 63.525397649545 -928.923662008256</t>
  </si>
  <si>
    <t>-524.620173041008 101.71637497086 -778.442263154249</t>
  </si>
  <si>
    <t>-539.780333390948 246.998021106263 -761.419143553055</t>
  </si>
  <si>
    <t>-575.062206886631 326.533912870324 -457.091327892015</t>
  </si>
  <si>
    <t>-394.828375781879 261.32977704274 -281.289733798898</t>
  </si>
  <si>
    <t>-526.831240512827 38.3062305900552 -774.239487736732</t>
  </si>
  <si>
    <t>-326.225539104013 2.7191424271105 -457.839845472804</t>
  </si>
  <si>
    <t>-492.484814554402 205.267862046871 -250.994422438491</t>
  </si>
  <si>
    <t>-476.347350285514 198.55235826133 204.364938629346</t>
  </si>
  <si>
    <t>-495.351452743166 166.399926299569 672.758301770651</t>
  </si>
  <si>
    <t>-341.258880299979 161.089826131463 757.438793930311</t>
  </si>
  <si>
    <t>-516.42912654463 13.8572779658157 -230.035797570112</t>
  </si>
  <si>
    <t>-438.364258640011 -22.5443484898944 217.444323569468</t>
  </si>
  <si>
    <t>-589.506038581915 -105.321634619876 654.635201329232</t>
  </si>
  <si>
    <t>-439.050961689568 -145.192924822351 736.5928490576</t>
  </si>
  <si>
    <t>9763-20170724T164428.788021500.bin</t>
  </si>
  <si>
    <t>-504.52597030337 109.937802586526 -240.896772123161</t>
  </si>
  <si>
    <t>-543.616980965366 102.049247398702 -355.253600855853</t>
  </si>
  <si>
    <t>-555.159754003652 92.8328749340075 -475.554810920117</t>
  </si>
  <si>
    <t>-554.082317384125 84.41845088073 -584.746757053493</t>
  </si>
  <si>
    <t>-541.605499433483 76.2116883227033 -693.244786309912</t>
  </si>
  <si>
    <t>-512.481511993009 65.2737767035498 -842.349261416954</t>
  </si>
  <si>
    <t>-458.690707708923 63.6008772371782 -928.8751886012</t>
  </si>
  <si>
    <t>-524.312785405818 101.819018894049 -778.494974319001</t>
  </si>
  <si>
    <t>-539.703696411825 247.085986969985 -761.554336176423</t>
  </si>
  <si>
    <t>-575.459774327053 326.884451549869 -457.350637713043</t>
  </si>
  <si>
    <t>-395.361401790739 261.86138914226 -281.343099872968</t>
  </si>
  <si>
    <t>-526.423167932708 38.407895426082 -774.255495580033</t>
  </si>
  <si>
    <t>-325.93983670465 3.24674760283838 -457.692754636918</t>
  </si>
  <si>
    <t>-492.581989882747 205.677904024586 -251.072757261227</t>
  </si>
  <si>
    <t>-476.474621010576 198.918126841256 204.287025689445</t>
  </si>
  <si>
    <t>-495.354670861807 166.702897493036 672.660733784353</t>
  </si>
  <si>
    <t>-341.288565760426 161.365494835721 757.387739868322</t>
  </si>
  <si>
    <t>-516.300099319071 14.2412471291411 -230.076864943359</t>
  </si>
  <si>
    <t>-438.244187231167 -22.2611927393346 217.396500082063</t>
  </si>
  <si>
    <t>-589.396378438165 -105.319272722442 654.527732795408</t>
  </si>
  <si>
    <t>-439.191908419272 -145.83151388333 736.630632996592</t>
  </si>
  <si>
    <t>9763-20170724T164428.821113900.bin</t>
  </si>
  <si>
    <t>-504.509512878866 110.12655885146 -240.926147012667</t>
  </si>
  <si>
    <t>-543.552110133606 102.186339937788 -355.295868682487</t>
  </si>
  <si>
    <t>-555.049495252979 92.9287514451633 -475.598269444757</t>
  </si>
  <si>
    <t>-553.933069270235 84.4814623473401 -584.787354582426</t>
  </si>
  <si>
    <t>-541.420005110148 76.2460979584229 -693.278987811388</t>
  </si>
  <si>
    <t>-512.248741236412 65.272762470362 -842.371665440022</t>
  </si>
  <si>
    <t>-458.427819599056 63.585117902392 -928.878613872187</t>
  </si>
  <si>
    <t>-524.123436485893 101.833605723515 -778.534324743356</t>
  </si>
  <si>
    <t>-539.557250232551 247.096589926825 -761.626178760913</t>
  </si>
  <si>
    <t>-575.735360280212 327.087812992781 -457.52301305757</t>
  </si>
  <si>
    <t>-395.798868050995 262.163741734272 -281.313446565095</t>
  </si>
  <si>
    <t>-526.188782901907 38.4225916480386 -774.27137521065</t>
  </si>
  <si>
    <t>-325.747888742339 3.51081967466958 -457.55904660324</t>
  </si>
  <si>
    <t>-492.636586363456 205.954904264874 -251.117931494273</t>
  </si>
  <si>
    <t>-476.643309328942 199.176479291798 204.245621345287</t>
  </si>
  <si>
    <t>-495.384890254089 166.96783653152 672.613948383469</t>
  </si>
  <si>
    <t>-341.351485708416 161.148580496524 757.368575403178</t>
  </si>
  <si>
    <t>-516.230609336785 14.3382741276872 -230.119965531975</t>
  </si>
  <si>
    <t>-438.27682365082 -22.1911753361289 217.369112435791</t>
  </si>
  <si>
    <t>-589.356479991493 -105.428640539947 654.493667654271</t>
  </si>
  <si>
    <t>-439.098326977902 -145.696867568103 736.618322046549</t>
  </si>
  <si>
    <t>9763-20170724T164428.883866300.bin</t>
  </si>
  <si>
    <t>-504.435924683422 110.261840155972 -241.085846960784</t>
  </si>
  <si>
    <t>-543.371084118548 102.278947118985 -355.489192838018</t>
  </si>
  <si>
    <t>-554.772360331487 92.9654945486202 -475.796398284955</t>
  </si>
  <si>
    <t>-553.575382132985 84.4636832701318 -584.980491508553</t>
  </si>
  <si>
    <t>-540.988871611961 76.1705628219493 -693.459230349299</t>
  </si>
  <si>
    <t>-511.723296154497 65.114226336535 -842.527396996426</t>
  </si>
  <si>
    <t>-457.869259982249 63.4213542178647 -929.013626670177</t>
  </si>
  <si>
    <t>-523.686732556939 101.711554926211 -778.727432846988</t>
  </si>
  <si>
    <t>-539.364228901495 246.964561548277 -761.937352458832</t>
  </si>
  <si>
    <t>-576.93317680173 327.332211149106 -458.102184631855</t>
  </si>
  <si>
    <t>-397.684061200938 262.847950712066 -281.032865179648</t>
  </si>
  <si>
    <t>-525.658055429397 38.3010980875901 -774.411212456717</t>
  </si>
  <si>
    <t>-325.445539453739 3.90654466612011 -457.429844399389</t>
  </si>
  <si>
    <t>-492.612261249921 206.163526516368 -251.247521736266</t>
  </si>
  <si>
    <t>-476.996820913073 199.287473349154 204.127707176458</t>
  </si>
  <si>
    <t>-495.260154704399 166.880757931979 672.503753268363</t>
  </si>
  <si>
    <t>-341.230358546182 161.583282734953 757.299159810113</t>
  </si>
  <si>
    <t>-516.154974760152 14.3045044373364 -230.270234107007</t>
  </si>
  <si>
    <t>-438.295090077159 -22.3275040128977 217.226766855921</t>
  </si>
  <si>
    <t>-589.219550080867 -105.859557398284 654.405277304648</t>
  </si>
  <si>
    <t>-438.9263635491 -145.424552353213 736.807355951124</t>
  </si>
  <si>
    <t>9763-20170724T164428.921969100.bin</t>
  </si>
  <si>
    <t>-504.454838314007 110.327782632108 -241.139272680735</t>
  </si>
  <si>
    <t>-543.283020941452 102.323185578372 -355.577532760579</t>
  </si>
  <si>
    <t>-554.598559412559 92.9797162530976 -475.890544575114</t>
  </si>
  <si>
    <t>-553.334511857671 84.4482822978962 -585.071493148163</t>
  </si>
  <si>
    <t>-540.691896839671 76.1232996181279 -693.54127355553</t>
  </si>
  <si>
    <t>-511.360104720838 65.0205045858642 -842.592903553253</t>
  </si>
  <si>
    <t>-457.487670557569 63.333179014411 -929.067693385968</t>
  </si>
  <si>
    <t>-523.37834582543 101.638082778148 -778.81497751168</t>
  </si>
  <si>
    <t>-539.191820122419 246.884153516884 -762.090108381872</t>
  </si>
  <si>
    <t>-577.943744306528 327.578283149891 -458.490128716782</t>
  </si>
  <si>
    <t>-399.250963252131 263.378802313356 -280.756240809727</t>
  </si>
  <si>
    <t>-525.298729028311 38.2281541454896 -774.469393778858</t>
  </si>
  <si>
    <t>-325.133137258964 4.19337737207432 -457.33657787083</t>
  </si>
  <si>
    <t>-492.65741041414 206.37253293085 -251.314702804035</t>
  </si>
  <si>
    <t>-477.222217200535 199.450414545213 204.065932954387</t>
  </si>
  <si>
    <t>-495.318469390443 167.251105253651 672.450176002368</t>
  </si>
  <si>
    <t>-341.306491993237 161.810120044277 757.268986467767</t>
  </si>
  <si>
    <t>-516.063798857993 14.3257355021297 -230.339305236162</t>
  </si>
  <si>
    <t>-438.338151491939 -22.3808679273022 217.174959281307</t>
  </si>
  <si>
    <t>-589.192136993566 -106.017015458289 654.418197449721</t>
  </si>
  <si>
    <t>-438.960783957112 -145.695532506943 736.87827284111</t>
  </si>
  <si>
    <t>9763-20170724T164428.985151700.bin</t>
  </si>
  <si>
    <t>-504.509422911821 110.862294312315 -241.200080609992</t>
  </si>
  <si>
    <t>-543.292201929708 102.757542660066 -355.646706887286</t>
  </si>
  <si>
    <t>-554.460449743087 93.3239115364073 -475.966451969977</t>
  </si>
  <si>
    <t>-553.022776982567 84.7185183701347 -585.139443814634</t>
  </si>
  <si>
    <t>-540.168155859386 76.328719175724 -693.579373028236</t>
  </si>
  <si>
    <t>-510.504464564843 65.1471900017618 -842.559305679803</t>
  </si>
  <si>
    <t>-456.51876794756 63.4832966302835 -928.963972526957</t>
  </si>
  <si>
    <t>-522.734568235546 101.799614056901 -778.841660393407</t>
  </si>
  <si>
    <t>-539.031640919136 247.009818963356 -762.261762877025</t>
  </si>
  <si>
    <t>-580.278503209707 328.873532940326 -459.304231514971</t>
  </si>
  <si>
    <t>-402.409199073603 265.255280385656 -280.538355837572</t>
  </si>
  <si>
    <t>-524.524880934331 38.3897322806829 -774.438921304974</t>
  </si>
  <si>
    <t>-324.548187015893 5.03876779656548 -457.206479523654</t>
  </si>
  <si>
    <t>-492.946251001476 206.985606892548 -251.365760964006</t>
  </si>
  <si>
    <t>-477.620916535803 199.963774809962 204.017054693838</t>
  </si>
  <si>
    <t>-495.380407591981 167.566822777723 672.425374110206</t>
  </si>
  <si>
    <t>-341.409338558456 161.121424072918 757.248089810659</t>
  </si>
  <si>
    <t>-515.927772366587 14.8601090820449 -230.370848957232</t>
  </si>
  <si>
    <t>-438.257506519917 -21.8366860267405 217.153847237903</t>
  </si>
  <si>
    <t>-589.066241130453 -105.584688530444 654.297588124999</t>
  </si>
  <si>
    <t>-439.17850673426 -146.065700826889 736.992620167235</t>
  </si>
  <si>
    <t>9763-20170724T164429.017237000.bin</t>
  </si>
  <si>
    <t>-504.58323128181 110.834964494833 -241.241919229128</t>
  </si>
  <si>
    <t>-543.372879907192 102.671159130433 -355.681976587563</t>
  </si>
  <si>
    <t>-554.475408960556 93.1836810223498 -476.0036809722</t>
  </si>
  <si>
    <t>-552.948802253455 84.5349057099144 -585.171879190575</t>
  </si>
  <si>
    <t>-539.976850292499 76.1085554337762 -693.595100412999</t>
  </si>
  <si>
    <t>-510.122228475117 64.8848318518424 -842.533757026627</t>
  </si>
  <si>
    <t>-456.03607698681 63.2348315794217 -928.87568444552</t>
  </si>
  <si>
    <t>-522.485465496557 101.556018733994 -778.852481917761</t>
  </si>
  <si>
    <t>-539.101988836403 246.740040231717 -762.376488366459</t>
  </si>
  <si>
    <t>-581.005473403111 329.292810815753 -459.696172494144</t>
  </si>
  <si>
    <t>-403.557073478404 265.848879860544 -280.450547123745</t>
  </si>
  <si>
    <t>-524.178512468457 38.145999012895 -774.413429290698</t>
  </si>
  <si>
    <t>-324.30765238748 5.2089788276443 -457.073888409665</t>
  </si>
  <si>
    <t>-493.145368681882 207.10562542432 -251.394477766479</t>
  </si>
  <si>
    <t>-477.837018801681 200.056676330854 203.988493730504</t>
  </si>
  <si>
    <t>-495.415156763388 167.700652883112 672.408247143784</t>
  </si>
  <si>
    <t>-341.43301874776 161.250847867591 757.210405380111</t>
  </si>
  <si>
    <t>-515.914735489818 14.5626072272667 -230.431546911747</t>
  </si>
  <si>
    <t>-438.179429071893 -21.9459290689536 217.09715491485</t>
  </si>
  <si>
    <t>-588.896756300321 -106.113797730841 654.222369980488</t>
  </si>
  <si>
    <t>-439.089972140195 -146.080847828268 737.313038759074</t>
  </si>
  <si>
    <t>9763-20170724T164429.087904300.bin</t>
  </si>
  <si>
    <t>-504.688881478176 110.401267474442 -241.276207059068</t>
  </si>
  <si>
    <t>-543.305763528562 102.085029968843 -355.763726043209</t>
  </si>
  <si>
    <t>-554.205305658967 92.4847445404789 -476.09490102715</t>
  </si>
  <si>
    <t>-552.486401395791 83.752069914428 -585.253719598119</t>
  </si>
  <si>
    <t>-539.315663493399 75.260300055879 -693.647712589707</t>
  </si>
  <si>
    <t>-509.180363466719 63.9652803784888 -842.524548677722</t>
  </si>
  <si>
    <t>-454.853391135696 62.3612227867575 -928.716199580014</t>
  </si>
  <si>
    <t>-521.771126048977 100.668036387891 -778.906103737968</t>
  </si>
  <si>
    <t>-538.843445294089 245.807904532254 -762.52551233354</t>
  </si>
  <si>
    <t>-581.94326226178 329.439475878179 -460.30977932208</t>
  </si>
  <si>
    <t>-405.318700618079 266.624101554054 -280.031964951093</t>
  </si>
  <si>
    <t>-523.257465148563 37.2578846551853 -774.396197013017</t>
  </si>
  <si>
    <t>-323.532769637875 5.16638083443644 -456.848231635027</t>
  </si>
  <si>
    <t>-493.465247247549 206.839700729669 -251.445596600637</t>
  </si>
  <si>
    <t>-478.164247413244 199.736028738419 203.936707280382</t>
  </si>
  <si>
    <t>-495.290734245752 167.301143118215 672.359579628198</t>
  </si>
  <si>
    <t>-341.238313203025 161.902268427964 757.107643886628</t>
  </si>
  <si>
    <t>-515.687535349653 13.9899304731546 -230.497958972065</t>
  </si>
  <si>
    <t>-438.154599038329 -22.5616042703763 217.062444818247</t>
  </si>
  <si>
    <t>-588.708629745764 -106.998272365397 654.306970519465</t>
  </si>
  <si>
    <t>-438.796596181157 -145.538465056947 737.880491163824</t>
  </si>
  <si>
    <t>9763-20170724T164429.120993200.bin</t>
  </si>
  <si>
    <t>-504.712486827348 110.58985807217 -241.314013594961</t>
  </si>
  <si>
    <t>-543.31822473993 102.20067867689 -355.799958038717</t>
  </si>
  <si>
    <t>-554.162306209486 92.5665647246198 -476.133466938296</t>
  </si>
  <si>
    <t>-552.375870348961 83.8226130033018 -585.290215772471</t>
  </si>
  <si>
    <t>-539.121502629064 75.3403482008562 -693.674900558331</t>
  </si>
  <si>
    <t>-508.854396072684 64.081651959472 -842.527539006749</t>
  </si>
  <si>
    <t>-454.419372379015 62.5509603373723 -928.652425270527</t>
  </si>
  <si>
    <t>-521.567843527415 100.769394963828 -778.924967087613</t>
  </si>
  <si>
    <t>-538.996422311177 245.867926742988 -762.575880646566</t>
  </si>
  <si>
    <t>-582.900791298961 329.66624439849 -460.522187143832</t>
  </si>
  <si>
    <t>-406.38303886711 267.237880673923 -280.005603877734</t>
  </si>
  <si>
    <t>-522.925444207328 37.3571340420163 -774.404723391925</t>
  </si>
  <si>
    <t>-323.343629779633 5.59565313339895 -456.706606808802</t>
  </si>
  <si>
    <t>-493.631500160433 207.047369999083 -251.486276389693</t>
  </si>
  <si>
    <t>-478.389763866822 199.976120174068 203.898589711884</t>
  </si>
  <si>
    <t>-495.336951553294 167.671021997831 672.28717227581</t>
  </si>
  <si>
    <t>-341.285757644771 162.502013910242 757.051775015924</t>
  </si>
  <si>
    <t>-515.680687375762 14.2877024148408 -230.465269925955</t>
  </si>
  <si>
    <t>-438.149960151221 -22.4080207169717 217.083702729422</t>
  </si>
  <si>
    <t>-588.672529451269 -106.853732506844 654.316582653002</t>
  </si>
  <si>
    <t>-438.930237248315 -145.96902294405 737.927320520118</t>
  </si>
  <si>
    <t>9763-20170724T164429.189719600.bin</t>
  </si>
  <si>
    <t>-504.73016867042 110.720222971147 -241.368810687764</t>
  </si>
  <si>
    <t>-543.172441588366 102.188844483398 -355.899331381593</t>
  </si>
  <si>
    <t>-553.784413082643 92.4804914197621 -476.2474467573</t>
  </si>
  <si>
    <t>-551.764021801404 83.7028400286335 -585.397497057155</t>
  </si>
  <si>
    <t>-538.254485862314 75.2228951085482 -693.750834904006</t>
  </si>
  <si>
    <t>-507.614426131829 64.007115017734 -842.530559953412</t>
  </si>
  <si>
    <t>-452.954067989822 62.6179734901059 -928.514904330804</t>
  </si>
  <si>
    <t>-520.614338474404 100.67716208598 -778.975582294769</t>
  </si>
  <si>
    <t>-538.918334279116 245.680651599431 -762.665428943433</t>
  </si>
  <si>
    <t>-584.030547733881 329.527601693837 -460.803350513204</t>
  </si>
  <si>
    <t>-407.312203758824 268.097380657547 -280.140614053828</t>
  </si>
  <si>
    <t>-521.729053230602 37.2622938500105 -774.42466401408</t>
  </si>
  <si>
    <t>-322.536484315723 6.29612901877086 -456.424098583988</t>
  </si>
  <si>
    <t>-493.890994934823 207.193583848834 -251.5482224015</t>
  </si>
  <si>
    <t>-478.9252363956 200.028333601953 203.844305463912</t>
  </si>
  <si>
    <t>-495.22925889922 167.423681785913 672.263048581136</t>
  </si>
  <si>
    <t>-341.126639918345 163.103864079089 756.981611554434</t>
  </si>
  <si>
    <t>-515.406198386905 14.312898473637 -230.517445571001</t>
  </si>
  <si>
    <t>-438.101738257203 -22.2324216426284 217.082923675398</t>
  </si>
  <si>
    <t>-588.600188464272 -106.899384701392 654.321644951829</t>
  </si>
  <si>
    <t>-438.760486985826 -145.619387713744 737.941871683192</t>
  </si>
  <si>
    <t>9763-20170724T164429.220801800.bin</t>
  </si>
  <si>
    <t>-504.773520057898 110.916603368445 -241.336413063158</t>
  </si>
  <si>
    <t>-543.089208420193 102.287485725247 -355.901837638444</t>
  </si>
  <si>
    <t>-553.557967142753 92.5474103016611 -476.260169687336</t>
  </si>
  <si>
    <t>-551.40427625977 83.7700633680841 -585.407676549753</t>
  </si>
  <si>
    <t>-537.759887977041 75.3198172207748 -693.746291593048</t>
  </si>
  <si>
    <t>-506.932001531864 64.1765754449655 -842.492686818477</t>
  </si>
  <si>
    <t>-452.159319033905 62.8913409681557 -928.407007282094</t>
  </si>
  <si>
    <t>-520.079471614712 100.815730007308 -778.950248327457</t>
  </si>
  <si>
    <t>-538.682324953475 245.767087959567 -762.642796883524</t>
  </si>
  <si>
    <t>-584.302478489405 329.391758523948 -460.79517523123</t>
  </si>
  <si>
    <t>-407.439805523863 268.473392723789 -280.10037194946</t>
  </si>
  <si>
    <t>-521.065249608232 37.3984427098816 -774.40365418103</t>
  </si>
  <si>
    <t>-322.035063334953 6.74442629640126 -456.184742300919</t>
  </si>
  <si>
    <t>-494.050342064698 207.28184129113 -251.564480143309</t>
  </si>
  <si>
    <t>-479.228076566146 200.117762486117 203.832788764784</t>
  </si>
  <si>
    <t>-495.203131090841 167.379315346948 672.25203148104</t>
  </si>
  <si>
    <t>-341.076603157125 163.50121101565 756.948466329576</t>
  </si>
  <si>
    <t>-515.31322355793 14.6848037321501 -230.480167819235</t>
  </si>
  <si>
    <t>-438.098765274056 -21.9279974458885 217.13030855672</t>
  </si>
  <si>
    <t>-588.598079731534 -106.644744818342 654.339730087392</t>
  </si>
  <si>
    <t>-438.880642258359 -145.996439808406 737.883951628112</t>
  </si>
  <si>
    <t>9763-20170724T164429.286481300.bin</t>
  </si>
  <si>
    <t>-504.842444446802 111.272150001891 -241.423812641401</t>
  </si>
  <si>
    <t>-543.13747920487 102.526673450148 -355.987484870631</t>
  </si>
  <si>
    <t>-553.467366559267 92.7280701882858 -476.35290607043</t>
  </si>
  <si>
    <t>-551.141520960216 83.9278030081693 -585.494994788372</t>
  </si>
  <si>
    <t>-537.280628445066 75.4877634264585 -693.8069691041</t>
  </si>
  <si>
    <t>-506.109453304129 64.3959096999999 -842.485730255807</t>
  </si>
  <si>
    <t>-451.133278351649 63.292489068306 -928.272557568308</t>
  </si>
  <si>
    <t>-519.511804275589 101.012964092598 -778.983818174944</t>
  </si>
  <si>
    <t>-538.771701364452 245.89110297813 -762.672024808545</t>
  </si>
  <si>
    <t>-585.381393477164 329.276279975266 -460.909581890952</t>
  </si>
  <si>
    <t>-408.303375751182 269.28735221229 -280.114625625128</t>
  </si>
  <si>
    <t>-520.291576302849 37.5943468534028 -774.416166073022</t>
  </si>
  <si>
    <t>-321.746421301966 7.61228653056999 -455.789113582471</t>
  </si>
  <si>
    <t>-494.319345826406 207.558593075297 -251.675587265723</t>
  </si>
  <si>
    <t>-479.729563830019 200.455580324473 203.730147152414</t>
  </si>
  <si>
    <t>-495.123462877654 167.553376086272 672.122443130847</t>
  </si>
  <si>
    <t>-341.020609264082 163.925144004382 756.873017783575</t>
  </si>
  <si>
    <t>-515.233305171728 15.0775081273933 -230.463529121092</t>
  </si>
  <si>
    <t>-438.019407610493 -21.5027822201831 217.149655349839</t>
  </si>
  <si>
    <t>-588.625154323248 -106.422774335133 654.311080754728</t>
  </si>
  <si>
    <t>-438.717793276129 -145.778789787865 737.512108819956</t>
  </si>
  <si>
    <t>9763-20170724T164429.318566200.bin</t>
  </si>
  <si>
    <t>-504.923259719424 111.366854194992 -241.426049769834</t>
  </si>
  <si>
    <t>-543.102383571179 102.540045120391 -356.022148725096</t>
  </si>
  <si>
    <t>-553.3377922529 92.7122766541261 -476.39321378587</t>
  </si>
  <si>
    <t>-550.937791673145 83.906565851551 -585.533362250071</t>
  </si>
  <si>
    <t>-537.015249261027 75.4814416968579 -693.838569116392</t>
  </si>
  <si>
    <t>-505.771962211516 64.4308338156294 -842.505217750638</t>
  </si>
  <si>
    <t>-450.741767857967 63.4253033192578 -928.258568370939</t>
  </si>
  <si>
    <t>-519.256987433705 101.030123007208 -779.010612899632</t>
  </si>
  <si>
    <t>-538.797565025703 245.859760362747 -762.695891787953</t>
  </si>
  <si>
    <t>-585.881745643743 329.27229072015 -461.014548662062</t>
  </si>
  <si>
    <t>-408.783665998283 269.653832743976 -280.116930727979</t>
  </si>
  <si>
    <t>-519.935326109851 37.6106101854662 -774.439030216552</t>
  </si>
  <si>
    <t>-321.601380676866 7.99475720436078 -455.598865173065</t>
  </si>
  <si>
    <t>-494.528855440012 207.672261388339 -251.70439683124</t>
  </si>
  <si>
    <t>-480.057683623909 200.588878006359 203.705430558422</t>
  </si>
  <si>
    <t>-495.143419690257 167.729000529348 672.109338233494</t>
  </si>
  <si>
    <t>-341.041762022497 164.033563407658 756.859191766327</t>
  </si>
  <si>
    <t>-515.154056605048 15.1194953405922 -230.492736943983</t>
  </si>
  <si>
    <t>-438.069301171648 -21.471031408493 217.141826603722</t>
  </si>
  <si>
    <t>-588.646346953222 -106.689798437428 654.294086965103</t>
  </si>
  <si>
    <t>-438.459420289087 -145.44797766557 737.271287253555</t>
  </si>
  <si>
    <t>9763-20170724T164429.388758900.bin</t>
  </si>
  <si>
    <t>-504.868310466349 111.791006203703 -241.531670724592</t>
  </si>
  <si>
    <t>-542.970034275657 102.843700460875 -356.144027096129</t>
  </si>
  <si>
    <t>-553.153304738892 92.9577073342797 -476.514759516118</t>
  </si>
  <si>
    <t>-550.718526028055 84.1249622964113 -585.651919995482</t>
  </si>
  <si>
    <t>-536.77422203688 75.6974680944995 -693.95428615362</t>
  </si>
  <si>
    <t>-505.514816702412 64.6688494363486 -842.618980277162</t>
  </si>
  <si>
    <t>-450.420311428916 63.809787515748 -928.332702310324</t>
  </si>
  <si>
    <t>-519.100757523485 101.258251064736 -779.140156793218</t>
  </si>
  <si>
    <t>-539.086333206059 246.041687507 -762.84834517464</t>
  </si>
  <si>
    <t>-587.270319956162 329.766721364505 -461.427236517135</t>
  </si>
  <si>
    <t>-410.265738444999 270.837636518465 -280.212558429332</t>
  </si>
  <si>
    <t>-519.591423178368 37.839133119244 -774.538731525073</t>
  </si>
  <si>
    <t>-321.584548877267 8.94968034049249 -455.346269135556</t>
  </si>
  <si>
    <t>-494.753399422818 208.054389717262 -251.819629962445</t>
  </si>
  <si>
    <t>-480.608631357139 201.106432862022 203.602511972932</t>
  </si>
  <si>
    <t>-495.199611269541 168.352789084736 671.985652429397</t>
  </si>
  <si>
    <t>-341.136403372304 164.424515253658 756.794899631324</t>
  </si>
  <si>
    <t>-514.817017630455 15.6911641068436 -230.57180169268</t>
  </si>
  <si>
    <t>-438.038811264269 -21.0520174105744 217.10304139397</t>
  </si>
  <si>
    <t>-588.677104195913 -106.332017392811 654.196486869183</t>
  </si>
  <si>
    <t>-438.366349689142 -145.34727224884 736.828248327127</t>
  </si>
  <si>
    <t>9763-20170724T164429.421845600.bin</t>
  </si>
  <si>
    <t>-504.781904956204 111.954271797299 -241.585165551556</t>
  </si>
  <si>
    <t>-542.863692568702 102.916300804657 -356.197165925469</t>
  </si>
  <si>
    <t>-553.052639494384 92.9880217021761 -476.564101897497</t>
  </si>
  <si>
    <t>-550.634140116237 84.1355021651708 -585.699844254005</t>
  </si>
  <si>
    <t>-536.717511201188 75.7054227906002 -694.005578788347</t>
  </si>
  <si>
    <t>-505.508096202493 64.690060585239 -842.681800947764</t>
  </si>
  <si>
    <t>-450.409438315038 63.8970891944353 -928.393493883254</t>
  </si>
  <si>
    <t>-519.118719717182 101.27341736338 -779.204899769015</t>
  </si>
  <si>
    <t>-539.351134209585 246.020137082093 -762.927758523898</t>
  </si>
  <si>
    <t>-588.110369273338 329.792911354522 -461.612583857884</t>
  </si>
  <si>
    <t>-411.203215049756 271.106902000054 -280.22388365351</t>
  </si>
  <si>
    <t>-519.515863470373 37.8546562704528 -774.589401374891</t>
  </si>
  <si>
    <t>-321.556807100698 9.32317722728439 -455.290012015646</t>
  </si>
  <si>
    <t>-494.752563270825 207.951403455769 -251.890698115511</t>
  </si>
  <si>
    <t>-480.729487882824 201.131409870027 203.537153991387</t>
  </si>
  <si>
    <t>-495.052263579634 168.062133330818 671.93623737939</t>
  </si>
  <si>
    <t>-340.953764888885 165.240565806304 756.725422337849</t>
  </si>
  <si>
    <t>-514.680971000563 16.0480955519496 -230.587284972221</t>
  </si>
  <si>
    <t>-437.864170045723 -20.7657889493234 217.07510651797</t>
  </si>
  <si>
    <t>-588.666362624092 -106.259594877929 654.105930197547</t>
  </si>
  <si>
    <t>-438.516497304458 -146.129761035903 736.621903833728</t>
  </si>
  <si>
    <t>9763-20170724T164429.487723300.bin</t>
  </si>
  <si>
    <t>-504.85650967678 112.424489990587 -241.656350132204</t>
  </si>
  <si>
    <t>-542.84505977743 103.222312573688 -356.286171350956</t>
  </si>
  <si>
    <t>-553.00598709457 93.2649150705665 -476.653009009678</t>
  </si>
  <si>
    <t>-550.591966030145 84.4398995725801 -585.791221215617</t>
  </si>
  <si>
    <t>-536.710157420533 76.0895592060613 -694.107460139997</t>
  </si>
  <si>
    <t>-505.580733170361 65.2376463167032 -842.812490324713</t>
  </si>
  <si>
    <t>-450.489959126355 64.6580257761716 -928.530948861479</t>
  </si>
  <si>
    <t>-519.272793880627 101.74997607481 -779.312193703789</t>
  </si>
  <si>
    <t>-540.107826672823 246.405133867208 -762.995754521297</t>
  </si>
  <si>
    <t>-590.053474180295 330.636592085223 -462.002935975755</t>
  </si>
  <si>
    <t>-413.276485847372 272.360272542608 -280.355411037881</t>
  </si>
  <si>
    <t>-519.436247502942 38.3286055804437 -774.718115067101</t>
  </si>
  <si>
    <t>-321.423128737014 10.6183803445771 -455.360146015404</t>
  </si>
  <si>
    <t>-495.201426343913 208.546791644163 -251.98912611094</t>
  </si>
  <si>
    <t>-481.182580034332 201.886252220204 203.44121238169</t>
  </si>
  <si>
    <t>-495.186849552182 168.819449991836 671.875076632071</t>
  </si>
  <si>
    <t>-341.150227434715 164.308273488447 756.703495634624</t>
  </si>
  <si>
    <t>-514.371579144674 16.3587194317829 -230.697925679632</t>
  </si>
  <si>
    <t>-437.733972244009 -20.1283560943983 217.021884847814</t>
  </si>
  <si>
    <t>-588.619156194656 -106.044382720202 653.906897011933</t>
  </si>
  <si>
    <t>-438.082312638603 -144.977753452537 736.164907712893</t>
  </si>
  <si>
    <t>9763-20170724T164429.518804000.bin</t>
  </si>
  <si>
    <t>-505.083854493615 112.526468759911 -241.708504084017</t>
  </si>
  <si>
    <t>-543.15103960201 103.252602983629 -356.306397859523</t>
  </si>
  <si>
    <t>-553.36064446886 93.2697030424996 -476.667124417316</t>
  </si>
  <si>
    <t>-550.977537740829 84.4407340073947 -585.805626059066</t>
  </si>
  <si>
    <t>-537.113703139295 76.1049993194524 -694.12538109982</t>
  </si>
  <si>
    <t>-505.996017024737 65.2922466930532 -842.835722178592</t>
  </si>
  <si>
    <t>-450.893640545556 64.8184672811707 -928.547395455926</t>
  </si>
  <si>
    <t>-519.741232802907 101.786988240508 -779.336682074441</t>
  </si>
  <si>
    <t>-540.891212113591 246.402318321626 -763.030502568653</t>
  </si>
  <si>
    <t>-591.366475903747 330.642678606552 -462.128625192761</t>
  </si>
  <si>
    <t>-414.585930137825 272.756212791267 -280.359885728716</t>
  </si>
  <si>
    <t>-519.788078800272 38.3660632091475 -774.735081661808</t>
  </si>
  <si>
    <t>-321.80410976662 11.2473746145075 -455.35950074623</t>
  </si>
  <si>
    <t>-495.707470537871 208.651880090658 -252.001011149545</t>
  </si>
  <si>
    <t>-481.427076250512 202.086861949804 203.422560297886</t>
  </si>
  <si>
    <t>-495.160563103249 168.722535373517 671.88236580469</t>
  </si>
  <si>
    <t>-341.102049116008 164.563074300472 756.689015132138</t>
  </si>
  <si>
    <t>-514.400803161719 16.4096397029881 -230.757588730024</t>
  </si>
  <si>
    <t>-437.765934110578 -19.7918126690227 216.985890063109</t>
  </si>
  <si>
    <t>-588.557664095182 -106.223039145259 653.80412556222</t>
  </si>
  <si>
    <t>-438.025163202227 -145.287494935641 736.007830029504</t>
  </si>
  <si>
    <t>9763-20170724T164429.589995600.bin</t>
  </si>
  <si>
    <t>-505.634632308347 112.890869906421 -241.842205964373</t>
  </si>
  <si>
    <t>-543.778788317821 103.562835176498 -356.410185396476</t>
  </si>
  <si>
    <t>-554.068295634334 93.5561581513459 -476.761919180259</t>
  </si>
  <si>
    <t>-551.757573416116 84.7197223478335 -585.901496863475</t>
  </si>
  <si>
    <t>-537.965949266543 76.3906160927709 -694.230864260314</t>
  </si>
  <si>
    <t>-506.947895101725 65.6023625379004 -842.963857890432</t>
  </si>
  <si>
    <t>-451.831786086026 65.3493336239708 -928.667593552311</t>
  </si>
  <si>
    <t>-520.789311237081 102.084412483813 -779.478496201953</t>
  </si>
  <si>
    <t>-542.631400668298 246.6047954415 -763.23158595804</t>
  </si>
  <si>
    <t>-593.924524259024 330.651044733951 -462.413563587584</t>
  </si>
  <si>
    <t>-417.091831681727 273.754016103565 -280.383430520992</t>
  </si>
  <si>
    <t>-520.555474915037 38.6672458131191 -774.829736673861</t>
  </si>
  <si>
    <t>-322.65695613173 12.7887292843609 -455.356087381709</t>
  </si>
  <si>
    <t>-496.762007226783 209.075285561072 -252.012986350699</t>
  </si>
  <si>
    <t>-481.761065386751 202.536077847241 203.387770728348</t>
  </si>
  <si>
    <t>-495.277925908005 169.07059558218 671.877114566315</t>
  </si>
  <si>
    <t>-341.227913220467 164.579994303411 756.682419956563</t>
  </si>
  <si>
    <t>-514.393610856637 16.76994610832 -231.007149532572</t>
  </si>
  <si>
    <t>-438.105756038229 -19.0704904232734 216.824557510276</t>
  </si>
  <si>
    <t>-588.395684122809 -106.122623739313 653.60473961463</t>
  </si>
  <si>
    <t>-437.862199221516 -145.134777108137 735.831408749748</t>
  </si>
  <si>
    <t>9763-20170724T164429.621081300.bin</t>
  </si>
  <si>
    <t>-505.909338867775 112.997404306573 -241.89568744975</t>
  </si>
  <si>
    <t>-544.017088128954 103.606062193574 -356.470480058207</t>
  </si>
  <si>
    <t>-554.312282696651 93.5651374130446 -476.819101972375</t>
  </si>
  <si>
    <t>-552.024774855573 84.7101312547258 -585.957537325549</t>
  </si>
  <si>
    <t>-538.274270235019 76.3744886512825 -694.291661757713</t>
  </si>
  <si>
    <t>-507.331602420772 65.5893517401412 -843.040546641052</t>
  </si>
  <si>
    <t>-452.218328361713 65.4225537471435 -928.74641051069</t>
  </si>
  <si>
    <t>-521.205993717581 102.068752079065 -779.560932362013</t>
  </si>
  <si>
    <t>-543.368183632241 246.542189915299 -763.36999024773</t>
  </si>
  <si>
    <t>-595.038622721648 330.458657410413 -462.580455763951</t>
  </si>
  <si>
    <t>-418.218166830882 274.043480021978 -280.38840528564</t>
  </si>
  <si>
    <t>-520.839546024436 38.6540989600383 -774.886811400137</t>
  </si>
  <si>
    <t>-322.917966712245 13.4252426519564 -455.384131785754</t>
  </si>
  <si>
    <t>-497.163975447257 209.156879214839 -252.035021009259</t>
  </si>
  <si>
    <t>-481.949282770937 202.686972465771 203.359568734763</t>
  </si>
  <si>
    <t>-495.288362618854 169.098930759811 671.853030927572</t>
  </si>
  <si>
    <t>-341.250798413284 164.063832278921 756.650254339661</t>
  </si>
  <si>
    <t>-514.513253426256 16.8059072815256 -231.110388786828</t>
  </si>
  <si>
    <t>-438.302513312614 -18.7417303257991 216.757795655497</t>
  </si>
  <si>
    <t>-588.310689914736 -105.947116237765 653.551086885947</t>
  </si>
  <si>
    <t>-437.886645606611 -145.267173319975 735.831382891007</t>
  </si>
  <si>
    <t>9763-20170724T164429.684909200.bin</t>
  </si>
  <si>
    <t>-506.298307241583 112.555288498204 -241.966726393652</t>
  </si>
  <si>
    <t>-544.370803800554 103.068825686407 -356.545560321471</t>
  </si>
  <si>
    <t>-554.695773123735 92.9748609128836 -476.88708194345</t>
  </si>
  <si>
    <t>-552.462665782353 84.0906266082299 -586.024246877555</t>
  </si>
  <si>
    <t>-538.793663988479 75.744823766991 -694.367982205667</t>
  </si>
  <si>
    <t>-507.99178149736 64.9659068911842 -843.146554632494</t>
  </si>
  <si>
    <t>-452.911566143003 64.9439086666089 -928.873614129317</t>
  </si>
  <si>
    <t>-521.934344182379 101.439696959545 -779.678594331548</t>
  </si>
  <si>
    <t>-544.675637028663 245.839314884932 -763.570079709587</t>
  </si>
  <si>
    <t>-597.332155845392 329.963112933739 -463.009563703562</t>
  </si>
  <si>
    <t>-420.966104060131 274.349466389411 -280.13197843816</t>
  </si>
  <si>
    <t>-521.307002068058 38.030769729154 -774.954715949163</t>
  </si>
  <si>
    <t>-323.273349278156 14.0012059815103 -455.333236475253</t>
  </si>
  <si>
    <t>-497.851177361964 208.790268903018 -252.064982001555</t>
  </si>
  <si>
    <t>-482.376355198381 202.412741441517 203.322233878932</t>
  </si>
  <si>
    <t>-495.253663594307 168.860803276577 671.838479778182</t>
  </si>
  <si>
    <t>-341.12543717749 164.554410343283 756.511042750194</t>
  </si>
  <si>
    <t>-514.549573461144 16.308500072848 -231.21286569677</t>
  </si>
  <si>
    <t>-438.577372032007 -19.0594285112785 216.710155237385</t>
  </si>
  <si>
    <t>-588.174938806249 -106.499291891503 653.597088485086</t>
  </si>
  <si>
    <t>-437.503263677459 -144.635736465287 735.981467935258</t>
  </si>
  <si>
    <t>9763-20170724T164429.719002300.bin</t>
  </si>
  <si>
    <t>-506.488689275599 112.549253224078 -242.003728584659</t>
  </si>
  <si>
    <t>-544.546097049251 103.001624803022 -356.582512923268</t>
  </si>
  <si>
    <t>-554.880644868362 92.8779875851176 -476.920654037014</t>
  </si>
  <si>
    <t>-552.666881719084 83.9796707260837 -586.057043613201</t>
  </si>
  <si>
    <t>-539.027934405404 75.6320072096585 -694.4044484053</t>
  </si>
  <si>
    <t>-508.278580271893 64.8627369901714 -843.194616422452</t>
  </si>
  <si>
    <t>-453.224634955742 64.8997040603914 -928.938691908415</t>
  </si>
  <si>
    <t>-522.255958417265 101.330897200657 -779.731044660254</t>
  </si>
  <si>
    <t>-545.23974973278 245.690152448123 -763.669274531863</t>
  </si>
  <si>
    <t>-598.707040711338 330.092797721436 -463.330009375778</t>
  </si>
  <si>
    <t>-422.758156807601 274.78011715856 -279.960135273249</t>
  </si>
  <si>
    <t>-521.512417130032 37.924725867931 -774.988079422304</t>
  </si>
  <si>
    <t>-323.549539702146 14.4859140141383 -455.360954351912</t>
  </si>
  <si>
    <t>-498.187587017507 208.844794799842 -252.102575307315</t>
  </si>
  <si>
    <t>-482.642502362471 202.543230784992 203.283324430661</t>
  </si>
  <si>
    <t>-495.371900101567 169.322624948066 671.800096973902</t>
  </si>
  <si>
    <t>-341.226316384347 164.776473530468 756.428738101273</t>
  </si>
  <si>
    <t>-514.616857775187 16.2884657182615 -231.249856591099</t>
  </si>
  <si>
    <t>-438.649697490717 -19.0571551471041 216.675667169753</t>
  </si>
  <si>
    <t>-588.111852761474 -106.553311612084 653.634628817363</t>
  </si>
  <si>
    <t>-437.551216347279 -144.947213049729 736.102409475738</t>
  </si>
  <si>
    <t>9763-20170724T164429.784708300.bin</t>
  </si>
  <si>
    <t>-506.985073439821 112.329861486037 -242.032343942145</t>
  </si>
  <si>
    <t>-544.95901084556 102.657154267762 -356.628219036323</t>
  </si>
  <si>
    <t>-555.237251902202 92.4790343361848 -476.966631061192</t>
  </si>
  <si>
    <t>-552.985774653824 83.5598390603974 -586.100652063129</t>
  </si>
  <si>
    <t>-539.323087696559 75.2182207596616 -694.445368519494</t>
  </si>
  <si>
    <t>-508.555661872862 64.4844189087875 -843.234345881917</t>
  </si>
  <si>
    <t>-453.46275042303 64.6530397323766 -928.953306878101</t>
  </si>
  <si>
    <t>-522.661672645989 100.933942455964 -779.788550110396</t>
  </si>
  <si>
    <t>-546.163323012512 245.219007525018 -763.844327361169</t>
  </si>
  <si>
    <t>-601.218144383031 330.15115460575 -463.941466408881</t>
  </si>
  <si>
    <t>-426.02327482365 275.537482323192 -279.642285383764</t>
  </si>
  <si>
    <t>-521.676887241281 37.5335728479185 -775.01114840477</t>
  </si>
  <si>
    <t>-323.89646740137 15.0726687323696 -455.28679259102</t>
  </si>
  <si>
    <t>-499.019892196384 208.789264929866 -252.116488655623</t>
  </si>
  <si>
    <t>-483.273193550499 202.586563012122 203.263801454448</t>
  </si>
  <si>
    <t>-495.516806260557 169.736855689722 671.822477738195</t>
  </si>
  <si>
    <t>-341.281648499603 165.463769536306 756.301875917017</t>
  </si>
  <si>
    <t>-514.827224019886 15.9816123978056 -231.321763529488</t>
  </si>
  <si>
    <t>-438.924404310724 -19.0993486172422 216.635590961613</t>
  </si>
  <si>
    <t>-588.015624269874 -106.835223354908 653.739665713362</t>
  </si>
  <si>
    <t>-437.303794625584 -144.667024689666 736.190877188872</t>
  </si>
  <si>
    <t>9763-20170724T164429.821808900.bin</t>
  </si>
  <si>
    <t>-507.28871796424 112.313902802918 -242.053661179779</t>
  </si>
  <si>
    <t>-545.313789947708 102.612464819922 -356.630248214375</t>
  </si>
  <si>
    <t>-555.637263074765 92.4232495407167 -476.963876508872</t>
  </si>
  <si>
    <t>-553.423618802465 83.5030784776594 -586.098506610282</t>
  </si>
  <si>
    <t>-539.795640219666 75.1702559452949 -694.448334052078</t>
  </si>
  <si>
    <t>-509.07292475506 64.4594507290356 -843.248284275902</t>
  </si>
  <si>
    <t>-453.944070541594 64.7038474918588 -928.943715566523</t>
  </si>
  <si>
    <t>-523.231744751172 100.896895221628 -779.807190487777</t>
  </si>
  <si>
    <t>-546.993744294375 245.142416499438 -763.89542418519</t>
  </si>
  <si>
    <t>-602.496055337971 330.111747993965 -464.085598370409</t>
  </si>
  <si>
    <t>-427.601367241912 275.969964810567 -279.362746406444</t>
  </si>
  <si>
    <t>-522.101790316496 37.5003833387164 -775.010519291642</t>
  </si>
  <si>
    <t>-324.460529478676 15.57681653981 -455.169427181169</t>
  </si>
  <si>
    <t>-499.51947942565 208.7205546102 -252.082937092405</t>
  </si>
  <si>
    <t>-483.569996954644 202.526181835518 203.290430458951</t>
  </si>
  <si>
    <t>-495.518405828701 169.585314847854 671.871692104776</t>
  </si>
  <si>
    <t>-341.210199235163 166.051771174369 756.251724792429</t>
  </si>
  <si>
    <t>-515.003161957159 15.9916862568938 -231.376585783026</t>
  </si>
  <si>
    <t>-439.185261989742 -19.0109287290093 216.601189128602</t>
  </si>
  <si>
    <t>-587.947422089277 -106.856983122067 653.781829526565</t>
  </si>
  <si>
    <t>-437.37079056214 -145.126057098691 736.278278879115</t>
  </si>
  <si>
    <t>9763-20170724T164429.886371700.bin</t>
  </si>
  <si>
    <t>-508.131684706155 112.098996547205 -242.133198880393</t>
  </si>
  <si>
    <t>-546.097261356887 102.402083147235 -356.729813733628</t>
  </si>
  <si>
    <t>-556.401817303056 92.2056513602365 -477.06441559507</t>
  </si>
  <si>
    <t>-554.1884796952 83.2774968425651 -586.198473543648</t>
  </si>
  <si>
    <t>-540.578145988219 74.9362811680396 -694.549800976656</t>
  </si>
  <si>
    <t>-509.897724633218 64.2149130509239 -843.357667787311</t>
  </si>
  <si>
    <t>-454.667733230377 64.5957857936965 -928.987511314485</t>
  </si>
  <si>
    <t>-524.166243973859 100.652353261281 -779.941208937699</t>
  </si>
  <si>
    <t>-548.471603754463 244.814857828211 -764.112650189261</t>
  </si>
  <si>
    <t>-604.566917796712 328.902052726104 -464.164656269852</t>
  </si>
  <si>
    <t>-429.864732456297 275.75266218693 -278.971923633224</t>
  </si>
  <si>
    <t>-522.779478657348 37.265231277657 -775.088373658388</t>
  </si>
  <si>
    <t>-325.246758456445 16.3946005351148 -454.780468725278</t>
  </si>
  <si>
    <t>-500.632056651701 208.811670732471 -252.039809630813</t>
  </si>
  <si>
    <t>-484.210034766549 202.580744080039 203.316289137408</t>
  </si>
  <si>
    <t>-495.666226120178 169.86102796179 671.9173495647</t>
  </si>
  <si>
    <t>-341.308051433707 165.658682148139 756.175297825491</t>
  </si>
  <si>
    <t>-515.513399523118 15.4058960231763 -231.6009146386</t>
  </si>
  <si>
    <t>-439.875906356811 -19.4363803132826 216.419875148981</t>
  </si>
  <si>
    <t>-587.720237811998 -107.473411659879 653.894992771303</t>
  </si>
  <si>
    <t>-437.022740618337 -144.364774248808 736.797481408522</t>
  </si>
  <si>
    <t>9763-20170724T164429.919449300.bin</t>
  </si>
  <si>
    <t>-508.467038736029 112.104886100443 -242.152964023693</t>
  </si>
  <si>
    <t>-546.443042343503 102.430659407381 -356.748118920135</t>
  </si>
  <si>
    <t>-556.769789226782 92.2308557326466 -477.08051906727</t>
  </si>
  <si>
    <t>-554.580864356052 83.2925328180636 -586.21420882826</t>
  </si>
  <si>
    <t>-540.998940787204 74.9362835255773 -694.567964152777</t>
  </si>
  <si>
    <t>-510.362057215691 64.1909207659673 -843.383009651293</t>
  </si>
  <si>
    <t>-455.105529225375 64.6329747242809 -928.995602834455</t>
  </si>
  <si>
    <t>-524.673162490272 100.636239712842 -779.980772088129</t>
  </si>
  <si>
    <t>-549.213063147977 244.770226861489 -764.173011748682</t>
  </si>
  <si>
    <t>-605.52860196874 328.366011950995 -464.128963007861</t>
  </si>
  <si>
    <t>-430.799576691299 275.852367042356 -278.78004620091</t>
  </si>
  <si>
    <t>-523.162611102885 37.2546182927446 -775.093298510959</t>
  </si>
  <si>
    <t>-325.740675253444 16.9077051200802 -454.597107208746</t>
  </si>
  <si>
    <t>-501.088603482839 208.963372498698 -252.002146446733</t>
  </si>
  <si>
    <t>-484.501631698643 202.695454928379 203.347503238043</t>
  </si>
  <si>
    <t>-495.698931897904 169.857485070608 671.944030738094</t>
  </si>
  <si>
    <t>-341.317439265212 165.320393300847 756.141825281756</t>
  </si>
  <si>
    <t>-515.704422535689 15.3072806495288 -231.648707731767</t>
  </si>
  <si>
    <t>-440.157773540147 -19.6139855088616 216.381338851505</t>
  </si>
  <si>
    <t>-587.619761677248 -107.765949321259 654.022423435097</t>
  </si>
  <si>
    <t>-437.151452738996 -144.973085998815 737.19953873222</t>
  </si>
  <si>
    <t>9763-20170724T164429.988647900.bin</t>
  </si>
  <si>
    <t>-509.116175522536 111.968598684067 -242.085779448479</t>
  </si>
  <si>
    <t>-547.068241836965 102.33003387173 -356.691804945369</t>
  </si>
  <si>
    <t>-557.395658246679 92.1373775660782 -477.024722724114</t>
  </si>
  <si>
    <t>-555.217598929068 83.1990129303493 -586.158642703038</t>
  </si>
  <si>
    <t>-541.656682016763 74.8388283849552 -694.514866825998</t>
  </si>
  <si>
    <t>-511.059120425531 64.0868143506125 -843.337539531698</t>
  </si>
  <si>
    <t>-455.779060479174 64.6724282948996 -928.934055342143</t>
  </si>
  <si>
    <t>-525.439179453124 100.531440212736 -779.950469720666</t>
  </si>
  <si>
    <t>-550.082062667718 244.651373492947 -764.127893706369</t>
  </si>
  <si>
    <t>-606.941919073343 327.55519921457 -463.994417557789</t>
  </si>
  <si>
    <t>-432.280714174104 275.965168367212 -278.322593701225</t>
  </si>
  <si>
    <t>-523.756063602813 37.1570878511604 -775.02582911585</t>
  </si>
  <si>
    <t>-326.40702141813 17.7288877572885 -454.323972121922</t>
  </si>
  <si>
    <t>-501.812474712508 208.780379185949 -251.89944316956</t>
  </si>
  <si>
    <t>-485.063823772192 202.311283473428 203.441404290563</t>
  </si>
  <si>
    <t>-495.642487199798 169.444815387747 672.019019145978</t>
  </si>
  <si>
    <t>-341.129891591071 166.894765926037 756.059840010061</t>
  </si>
  <si>
    <t>-516.326055916466 15.1926956055751 -231.606778231916</t>
  </si>
  <si>
    <t>-440.727906797642 -19.9934904217592 216.393786453917</t>
  </si>
  <si>
    <t>-587.586704413202 -107.991238897499 654.298865588876</t>
  </si>
  <si>
    <t>-436.856865108001 -144.30602149195 737.396773568287</t>
  </si>
  <si>
    <t>9763-20170724T164430.021755400.bin</t>
  </si>
  <si>
    <t>-509.5178904973 112.510805757459 -242.081191386517</t>
  </si>
  <si>
    <t>-547.456201435081 102.889166992965 -356.693242341201</t>
  </si>
  <si>
    <t>-557.767249940953 92.7155900953623 -477.029152724057</t>
  </si>
  <si>
    <t>-555.57351320103 83.796354132064 -586.164331846384</t>
  </si>
  <si>
    <t>-541.996260148862 75.4577110313954 -694.52006431368</t>
  </si>
  <si>
    <t>-511.375693936174 64.7385562946777 -843.340311047568</t>
  </si>
  <si>
    <t>-456.083331337697 65.390890287913 -928.928377947085</t>
  </si>
  <si>
    <t>-525.793018183065 101.168022541728 -779.953035191675</t>
  </si>
  <si>
    <t>-550.356200623089 245.274363488556 -764.06510175792</t>
  </si>
  <si>
    <t>-607.354813922887 328.083831501074 -463.931804489257</t>
  </si>
  <si>
    <t>-432.836864823878 276.739234860349 -278.05741269962</t>
  </si>
  <si>
    <t>-524.055706210359 37.7948537679873 -775.030928133482</t>
  </si>
  <si>
    <t>-326.688800072208 18.5821848125869 -454.302090209173</t>
  </si>
  <si>
    <t>-502.279412006164 209.475499421007 -251.871628431634</t>
  </si>
  <si>
    <t>-485.476060094024 202.906639766386 203.465772211209</t>
  </si>
  <si>
    <t>-495.863058552496 170.2230059076 672.017839599287</t>
  </si>
  <si>
    <t>-341.401138346458 165.8578343754 756.077066379969</t>
  </si>
  <si>
    <t>-516.63578193236 15.7567395744197 -231.624386933956</t>
  </si>
  <si>
    <t>-441.111268999119 -19.5788733606227 216.376839380434</t>
  </si>
  <si>
    <t>-587.607007009506 -107.594022768779 654.393090623936</t>
  </si>
  <si>
    <t>-437.013743603045 -144.782589382996 737.352096244142</t>
  </si>
  <si>
    <t>9763-20170724T164430.084451800.bin</t>
  </si>
  <si>
    <t>-510.047890438291 113.233948531947 -242.092115867274</t>
  </si>
  <si>
    <t>-547.977363809666 103.669762454047 -356.711803961464</t>
  </si>
  <si>
    <t>-558.309955244998 93.5631307516003 -477.051650389844</t>
  </si>
  <si>
    <t>-556.148324191728 84.7086516796954 -586.192664489478</t>
  </si>
  <si>
    <t>-542.615532096857 76.4389872184231 -694.559279243478</t>
  </si>
  <si>
    <t>-512.06916217558 65.8204433844137 -843.402115204706</t>
  </si>
  <si>
    <t>-456.815366912801 66.5977123248398 -929.01399919337</t>
  </si>
  <si>
    <t>-526.497135818493 102.20523123897 -779.991506106948</t>
  </si>
  <si>
    <t>-550.847516442655 246.34588449414 -763.915134469304</t>
  </si>
  <si>
    <t>-608.070165505357 329.254942108595 -463.852070175096</t>
  </si>
  <si>
    <t>-433.884462893502 278.264210541287 -277.569188230324</t>
  </si>
  <si>
    <t>-524.672889654855 38.832456474115 -775.096027327147</t>
  </si>
  <si>
    <t>-327.56238809859 20.0960198569484 -454.288605402549</t>
  </si>
  <si>
    <t>-502.820633861746 210.084683561765 -251.812240262396</t>
  </si>
  <si>
    <t>-485.880055134512 203.247285206467 203.516107924951</t>
  </si>
  <si>
    <t>-495.890041920718 170.17969982857 672.070674660414</t>
  </si>
  <si>
    <t>-341.365668019212 166.568107269663 756.050923853198</t>
  </si>
  <si>
    <t>-517.17710393258 16.4890283266544 -231.719077523586</t>
  </si>
  <si>
    <t>-441.833002815542 -18.994192312889 216.300975481101</t>
  </si>
  <si>
    <t>-587.597016470463 -107.254383615964 654.499040843194</t>
  </si>
  <si>
    <t>-436.812251108474 -144.441836206662 737.109953556606</t>
  </si>
  <si>
    <t>9763-20170724T164430.121551000.bin</t>
  </si>
  <si>
    <t>-510.25703884473 113.477477489358 -242.139686336839</t>
  </si>
  <si>
    <t>-548.145230199505 103.983967558075 -356.778853472377</t>
  </si>
  <si>
    <t>-558.484232419858 93.9229155449568 -477.121910034828</t>
  </si>
  <si>
    <t>-556.34824960892 85.0970824135324 -586.265781760882</t>
  </si>
  <si>
    <t>-542.860204456704 76.842133950248 -694.639256152269</t>
  </si>
  <si>
    <t>-512.39487648826 66.2284286461187 -843.498927411427</t>
  </si>
  <si>
    <t>-457.184246566945 67.031900262965 -929.138410971247</t>
  </si>
  <si>
    <t>-526.79018150945 102.610996383387 -780.079753326762</t>
  </si>
  <si>
    <t>-551.043442994052 246.761594398618 -763.962421923077</t>
  </si>
  <si>
    <t>-608.330003695298 329.70158463035 -463.920116502171</t>
  </si>
  <si>
    <t>-434.323284648677 278.842868099208 -277.433948286799</t>
  </si>
  <si>
    <t>-524.959564169102 39.2382999167215 -775.18645398164</t>
  </si>
  <si>
    <t>-327.966798301161 20.5381340965446 -454.275859342451</t>
  </si>
  <si>
    <t>-503.03095867354 210.31128677826 -251.77621215211</t>
  </si>
  <si>
    <t>-485.985167232339 203.20654805953 203.544234068303</t>
  </si>
  <si>
    <t>-495.839758830182 169.862916910086 672.110968647508</t>
  </si>
  <si>
    <t>-341.275825844836 166.942473323712 756.045216499158</t>
  </si>
  <si>
    <t>-517.37937319707 16.6965708619204 -231.857829000409</t>
  </si>
  <si>
    <t>-442.339953821015 -18.8573334263911 216.207645886731</t>
  </si>
  <si>
    <t>-587.553102124731 -107.418740042498 654.542815901789</t>
  </si>
  <si>
    <t>-436.588198716028 -144.124828916183 737.04001514769</t>
  </si>
  <si>
    <t>9763-20170724T164430.186373300.bin</t>
  </si>
  <si>
    <t>-510.709768186792 114.71363840953 -242.258325885835</t>
  </si>
  <si>
    <t>-548.50829755738 105.420736894252 -356.943582758319</t>
  </si>
  <si>
    <t>-558.861444576023 95.4827675015616 -477.295625386178</t>
  </si>
  <si>
    <t>-556.780670430778 86.7338289411153 -586.44677602027</t>
  </si>
  <si>
    <t>-543.389158151017 78.5201967520572 -694.835235659813</t>
  </si>
  <si>
    <t>-513.098554498535 67.9259204697693 -843.732039329243</t>
  </si>
  <si>
    <t>-457.967527105858 68.79097074552 -929.422049461723</t>
  </si>
  <si>
    <t>-527.421644533712 104.300154582431 -780.291604209332</t>
  </si>
  <si>
    <t>-551.403969521487 248.484519697982 -764.082176516564</t>
  </si>
  <si>
    <t>-608.82388274441 331.47638106801 -464.079607666069</t>
  </si>
  <si>
    <t>-435.137203441329 280.809269747122 -277.243238374645</t>
  </si>
  <si>
    <t>-525.580732088702 40.9269577552321 -775.408060335017</t>
  </si>
  <si>
    <t>-328.78505242507 22.2622062984175 -454.202485117233</t>
  </si>
  <si>
    <t>-503.470394671596 211.646216190246 -251.715249799393</t>
  </si>
  <si>
    <t>-486.355532112185 203.999174786078 203.593784738942</t>
  </si>
  <si>
    <t>-496.020271515885 170.331039391553 672.121884582764</t>
  </si>
  <si>
    <t>-341.474083025221 166.484124433851 756.051558194762</t>
  </si>
  <si>
    <t>-517.884270394987 17.9230573571376 -232.12988502592</t>
  </si>
  <si>
    <t>-443.355715508868 -18.2287781774517 215.973046980952</t>
  </si>
  <si>
    <t>-587.396739293535 -107.270277494276 654.563906644871</t>
  </si>
  <si>
    <t>-436.466015687035 -144.18318777018 737.031309560737</t>
  </si>
  <si>
    <t>9763-20170724T164430.218460700.bin</t>
  </si>
  <si>
    <t>-511.016230686341 115.378994619554 -242.301919570469</t>
  </si>
  <si>
    <t>-548.825764001173 106.203790528645 -356.993025173517</t>
  </si>
  <si>
    <t>-559.211467972294 96.3206885231956 -477.346857969795</t>
  </si>
  <si>
    <t>-557.168104064521 87.5949691237294 -586.500567119706</t>
  </si>
  <si>
    <t>-543.820791626252 79.3779062929708 -694.89411852145</t>
  </si>
  <si>
    <t>-513.598013773613 68.750851819783 -843.802413740455</t>
  </si>
  <si>
    <t>-458.508433372598 69.6329668016394 -929.519005141364</t>
  </si>
  <si>
    <t>-527.885402013344 105.139333531134 -780.362107771169</t>
  </si>
  <si>
    <t>-551.688273631387 249.346857451747 -764.131780858343</t>
  </si>
  <si>
    <t>-609.144315804383 332.298373497028 -464.125131937024</t>
  </si>
  <si>
    <t>-435.63317066727 281.575505748964 -277.140759576624</t>
  </si>
  <si>
    <t>-526.055990872699 41.7666643581361 -775.468156038944</t>
  </si>
  <si>
    <t>-329.338344023866 23.0578162338689 -454.149303345871</t>
  </si>
  <si>
    <t>-503.694395725884 212.272995458208 -251.68142648031</t>
  </si>
  <si>
    <t>-486.532141957515 204.239290202195 203.619080224638</t>
  </si>
  <si>
    <t>-495.949250398596 169.993557880634 672.134560105218</t>
  </si>
  <si>
    <t>-341.378581067988 166.592846311167 756.038386926641</t>
  </si>
  <si>
    <t>-518.240278968295 18.5095424771276 -232.27092693966</t>
  </si>
  <si>
    <t>-443.868463178983 -17.9160958523015 215.835796640582</t>
  </si>
  <si>
    <t>-587.269706600341 -107.558012994807 654.542162742787</t>
  </si>
  <si>
    <t>-436.184164538995 -143.821312129667 737.014127337729</t>
  </si>
  <si>
    <t>9763-20170724T164430.287639300.bin</t>
  </si>
  <si>
    <t>-511.867070939634 117.309047955565 -242.379113640325</t>
  </si>
  <si>
    <t>-549.654175411426 108.406357026958 -357.099098403603</t>
  </si>
  <si>
    <t>-560.031157586174 98.6926554662042 -477.467390254659</t>
  </si>
  <si>
    <t>-557.984435182715 90.0747661720116 -586.629713825111</t>
  </si>
  <si>
    <t>-544.637542591371 81.9190531003761 -695.028047130617</t>
  </si>
  <si>
    <t>-514.418307956828 71.3280498130967 -843.939542252957</t>
  </si>
  <si>
    <t>-459.353741330243 72.2424773870217 -929.671687620594</t>
  </si>
  <si>
    <t>-528.659561583801 107.70309208066 -780.481093450641</t>
  </si>
  <si>
    <t>-552.042285522555 251.974710767713 -764.184906494875</t>
  </si>
  <si>
    <t>-609.580639536752 335.05217513402 -464.228794707668</t>
  </si>
  <si>
    <t>-436.464344939632 284.029265445318 -276.960366751075</t>
  </si>
  <si>
    <t>-526.919179567742 44.3253469915733 -775.620316891204</t>
  </si>
  <si>
    <t>-330.700166931293 25.5045348813046 -453.946408838375</t>
  </si>
  <si>
    <t>-504.440187137782 214.06845072582 -251.58398087108</t>
  </si>
  <si>
    <t>-486.982651054898 205.047008127277 203.686885383503</t>
  </si>
  <si>
    <t>-495.939609357903 169.780967337181 672.159473646548</t>
  </si>
  <si>
    <t>-341.329061043214 166.811698282843 756.006135050669</t>
  </si>
  <si>
    <t>-519.179536774738 20.5173383942059 -232.543274471395</t>
  </si>
  <si>
    <t>-444.878405737279 -16.6141117019325 215.517232696308</t>
  </si>
  <si>
    <t>-586.958392290778 -107.46184132449 654.362831601031</t>
  </si>
  <si>
    <t>-435.92836438965 -143.503290051816 737.033514685853</t>
  </si>
  <si>
    <t>9763-20170724T164430.320734800.bin</t>
  </si>
  <si>
    <t>-512.561217278326 118.709203428341 -242.337478881709</t>
  </si>
  <si>
    <t>-550.27353528189 109.950884237826 -357.093169142624</t>
  </si>
  <si>
    <t>-560.577569168486 100.310289547599 -477.473492100666</t>
  </si>
  <si>
    <t>-558.465934988683 91.7279653306906 -586.637485897551</t>
  </si>
  <si>
    <t>-545.055298753024 83.5767645963103 -695.028260046205</t>
  </si>
  <si>
    <t>-514.748734365944 72.9594736637655 -843.920050157359</t>
  </si>
  <si>
    <t>-459.64764842507 73.8548794712635 -929.629304092231</t>
  </si>
  <si>
    <t>-528.994410763259 109.347129423301 -780.469940873299</t>
  </si>
  <si>
    <t>-552.135713573008 253.654916677834 -764.195413021701</t>
  </si>
  <si>
    <t>-609.762410562839 336.858607283705 -464.291344946652</t>
  </si>
  <si>
    <t>-436.883109712868 285.534551251545 -276.886202666063</t>
  </si>
  <si>
    <t>-527.322403061869 45.9674560269575 -775.610026962905</t>
  </si>
  <si>
    <t>-331.626846953918 27.1138272844551 -453.661423930733</t>
  </si>
  <si>
    <t>-505.06454789194 215.572788368269 -251.50028816415</t>
  </si>
  <si>
    <t>-487.446620248864 205.996222457517 203.752989534271</t>
  </si>
  <si>
    <t>-496.154796550081 170.512517512561 672.149149339387</t>
  </si>
  <si>
    <t>-341.564905351952 166.720551210426 756.000652677051</t>
  </si>
  <si>
    <t>-519.916826223016 21.9204640431166 -232.587564222796</t>
  </si>
  <si>
    <t>-445.304611638149 -15.7151858667596 215.379202421699</t>
  </si>
  <si>
    <t>-586.808486409452 -107.260053788545 654.256678866107</t>
  </si>
  <si>
    <t>-435.89220389803 -143.475746658975 737.058870970051</t>
  </si>
  <si>
    <t>9763-20170724T164430.389502900.bin</t>
  </si>
  <si>
    <t>-514.324078355136 122.069550308456 -242.205309359529</t>
  </si>
  <si>
    <t>-551.988382451645 113.508073369746 -356.991674568438</t>
  </si>
  <si>
    <t>-562.153942955156 103.951997396647 -477.390506628119</t>
  </si>
  <si>
    <t>-559.879889233333 95.3998161691215 -586.55345857252</t>
  </si>
  <si>
    <t>-546.270529750777 87.2328653144769 -694.918291920484</t>
  </si>
  <si>
    <t>-515.651491040731 76.546584951141 -843.741364895324</t>
  </si>
  <si>
    <t>-460.398534783349 77.3443077161454 -929.353474527722</t>
  </si>
  <si>
    <t>-529.939390567514 112.967268247929 -780.319665621346</t>
  </si>
  <si>
    <t>-552.520514585273 257.376588827303 -764.08796125457</t>
  </si>
  <si>
    <t>-610.544326355265 341.280043702827 -464.455531800616</t>
  </si>
  <si>
    <t>-438.161367687934 289.032854771468 -276.848375985546</t>
  </si>
  <si>
    <t>-528.459493220887 49.5825001932137 -775.46378865032</t>
  </si>
  <si>
    <t>-334.304833509293 30.4857598433325 -452.719755230438</t>
  </si>
  <si>
    <t>-506.678445645724 218.834635040031 -251.296266494176</t>
  </si>
  <si>
    <t>-488.889785571002 208.026497845524 203.922830349082</t>
  </si>
  <si>
    <t>-496.228694754646 170.854882755512 672.147382704223</t>
  </si>
  <si>
    <t>-341.62837341276 166.349489106563 755.944469580559</t>
  </si>
  <si>
    <t>-521.838937358116 25.3126777864449 -232.450852411638</t>
  </si>
  <si>
    <t>-445.812140193794 -13.8841506804921 215.144101514779</t>
  </si>
  <si>
    <t>-586.485235602893 -107.20294960705 653.924211004496</t>
  </si>
  <si>
    <t>-435.943305703875 -144.076580960888 737.116663516082</t>
  </si>
  <si>
    <t>9763-20170724T164430.421578400.bin</t>
  </si>
  <si>
    <t>-515.385194552709 123.598319404468 -242.018064967491</t>
  </si>
  <si>
    <t>-552.923560364485 115.088842553928 -356.849625813981</t>
  </si>
  <si>
    <t>-562.910406656339 105.522568186237 -477.262761944645</t>
  </si>
  <si>
    <t>-560.454791370831 96.9379326252362 -586.419169883457</t>
  </si>
  <si>
    <t>-546.645402738089 88.7172140170334 -694.754614163592</t>
  </si>
  <si>
    <t>-515.731020310385 77.9355170538344 -843.509681169358</t>
  </si>
  <si>
    <t>-460.317868520859 78.6431250439907 -929.019135284271</t>
  </si>
  <si>
    <t>-530.075481909745 114.399534259728 -780.125672598921</t>
  </si>
  <si>
    <t>-552.319987451638 258.8742650349 -763.964019380903</t>
  </si>
  <si>
    <t>-610.689775936108 343.175795303537 -464.510413200297</t>
  </si>
  <si>
    <t>-438.532018593359 290.459310290981 -276.827972769369</t>
  </si>
  <si>
    <t>-528.743899100556 51.0126349516432 -775.2546644479</t>
  </si>
  <si>
    <t>-335.493284091672 31.7904801691126 -451.935816918857</t>
  </si>
  <si>
    <t>-507.484051164911 220.151188037327 -251.181252154958</t>
  </si>
  <si>
    <t>-489.851167142146 208.981482939985 204.035131378693</t>
  </si>
  <si>
    <t>-496.117886654557 170.617580257037 672.130617791074</t>
  </si>
  <si>
    <t>-341.449705183963 167.199131701288 755.853902890064</t>
  </si>
  <si>
    <t>-523.080235463416 26.8954839037998 -232.181962502842</t>
  </si>
  <si>
    <t>-445.638231813062 -12.8871256036712 215.118633480249</t>
  </si>
  <si>
    <t>-586.295659995817 -107.377234321036 653.657502499924</t>
  </si>
  <si>
    <t>-435.796298566432 -143.969995297223 737.050739772385</t>
  </si>
  <si>
    <t>9763-20170724T164430.484537400.bin</t>
  </si>
  <si>
    <t>-518.046955499106 126.162444473182 -241.801448306369</t>
  </si>
  <si>
    <t>-555.484319778377 117.781723514618 -356.675358510507</t>
  </si>
  <si>
    <t>-565.100358936146 108.16443534215 -477.114623578695</t>
  </si>
  <si>
    <t>-562.199736826441 99.4667651098516 -586.251077182579</t>
  </si>
  <si>
    <t>-547.83969448018 91.0718233807335 -694.501565309478</t>
  </si>
  <si>
    <t>-516.055929341002 79.9889965837238 -843.051058509957</t>
  </si>
  <si>
    <t>-460.136706094674 80.4297209923907 -928.232261539316</t>
  </si>
  <si>
    <t>-530.570730394403 116.588061800765 -779.783887850141</t>
  </si>
  <si>
    <t>-551.920502153412 261.189137361017 -763.715841065043</t>
  </si>
  <si>
    <t>-611.323464166781 346.495072250894 -464.750373913333</t>
  </si>
  <si>
    <t>-439.986511500877 292.667641484783 -276.632637216368</t>
  </si>
  <si>
    <t>-529.667773735798 53.1975563997878 -774.861282239895</t>
  </si>
  <si>
    <t>-338.819330246863 33.5962571790789 -450.001516579926</t>
  </si>
  <si>
    <t>-509.422588442606 223.036051708961 -251.103301179468</t>
  </si>
  <si>
    <t>-492.427145162072 211.10107366504 204.118055763126</t>
  </si>
  <si>
    <t>-496.162576392056 171.241449876539 672.037691937015</t>
  </si>
  <si>
    <t>-341.263518691384 168.100393818307 755.343864056026</t>
  </si>
  <si>
    <t>-526.530999631959 29.0922664268965 -231.917262352212</t>
  </si>
  <si>
    <t>-445.612277191084 -10.8081176860466 214.756816519774</t>
  </si>
  <si>
    <t>-585.824328297448 -107.348757476946 653.014556468845</t>
  </si>
  <si>
    <t>-435.54413396558 -143.718756399978 736.89899050413</t>
  </si>
  <si>
    <t>9763-20170724T164430.518629100.bin</t>
  </si>
  <si>
    <t>-520.172961637261 125.820646956281 -241.989997433598</t>
  </si>
  <si>
    <t>-557.465937625117 117.636601737286 -356.924887026191</t>
  </si>
  <si>
    <t>-566.779570414959 108.06724910377 -477.391772685284</t>
  </si>
  <si>
    <t>-563.542333278076 99.3555833219734 -586.517776362805</t>
  </si>
  <si>
    <t>-548.785164504937 90.8927528964528 -694.70949650512</t>
  </si>
  <si>
    <t>-516.390695035311 79.6625214880593 -843.11606253274</t>
  </si>
  <si>
    <t>-460.100714508569 79.954801105577 -928.053193151904</t>
  </si>
  <si>
    <t>-531.037190273144 116.328059989324 -779.917511070375</t>
  </si>
  <si>
    <t>-551.824988959819 261.023310123211 -763.861258990139</t>
  </si>
  <si>
    <t>-611.872758482606 346.812137667473 -465.162889096352</t>
  </si>
  <si>
    <t>-441.097138455197 292.459132098614 -276.686117367548</t>
  </si>
  <si>
    <t>-530.411243488885 52.9350664039996 -774.983821313752</t>
  </si>
  <si>
    <t>-341.143200773779 33.0666733656687 -449.131780478051</t>
  </si>
  <si>
    <t>-511.013401856253 223.80641533248 -251.23451958514</t>
  </si>
  <si>
    <t>-493.956197830837 211.433824652085 203.972758859413</t>
  </si>
  <si>
    <t>-496.234828967197 171.781757351368 671.885563650568</t>
  </si>
  <si>
    <t>-341.259170389693 168.477475826572 755.042871739998</t>
  </si>
  <si>
    <t>-529.230657019739 27.227688552839 -232.316718808447</t>
  </si>
  <si>
    <t>-446.423513823994 -12.1697831089727 214.055810691701</t>
  </si>
  <si>
    <t>-585.411889497075 -108.685142529517 652.933221842998</t>
  </si>
  <si>
    <t>-434.765314437775 -142.280641858458 737.316088847918</t>
  </si>
  <si>
    <t>9763-20170724T164430.587623600.bin</t>
  </si>
  <si>
    <t>-524.179366990546 122.735009560755 -242.153743530637</t>
  </si>
  <si>
    <t>-561.410271648088 115.296088333018 -357.159636260148</t>
  </si>
  <si>
    <t>-570.095578125633 105.994813752291 -477.694241726538</t>
  </si>
  <si>
    <t>-566.056262651471 97.3484306909246 -586.798671798685</t>
  </si>
  <si>
    <t>-550.270293502812 88.78855694234 -694.83752328579</t>
  </si>
  <si>
    <t>-516.222099575785 77.267633830643 -842.850893968404</t>
  </si>
  <si>
    <t>-459.033789549909 77.2394479021801 -927.186512366641</t>
  </si>
  <si>
    <t>-531.272924859395 114.063523638209 -779.823568483063</t>
  </si>
  <si>
    <t>-550.698330938771 258.943086424953 -763.723631226973</t>
  </si>
  <si>
    <t>-612.788593821527 345.909311802521 -465.784265015333</t>
  </si>
  <si>
    <t>-443.083053416368 290.592253720432 -276.622466043949</t>
  </si>
  <si>
    <t>-531.301836884635 50.6670519728767 -774.895624001361</t>
  </si>
  <si>
    <t>-346.42071576009 29.8388554089221 -447.103910388852</t>
  </si>
  <si>
    <t>-514.142226556375 223.115860945098 -251.36479099216</t>
  </si>
  <si>
    <t>-495.788661331234 210.360934033718 203.78159809357</t>
  </si>
  <si>
    <t>-495.749848104364 171.205659935327 671.587384437555</t>
  </si>
  <si>
    <t>-340.684334042134 170.377952598089 754.638651434164</t>
  </si>
  <si>
    <t>-533.693263924531 22.3691362875441 -232.617282998997</t>
  </si>
  <si>
    <t>-443.580684340209 -15.9789524757043 212.429648696678</t>
  </si>
  <si>
    <t>-584.146198970303 -110.852549051013 651.753022886649</t>
  </si>
  <si>
    <t>-433.478459306364 -135.258427238859 739.200726217195</t>
  </si>
  <si>
    <t>9763-20170724T164430.619708900.bin</t>
  </si>
  <si>
    <t>-525.873584816007 123.977846408951 -241.966659149235</t>
  </si>
  <si>
    <t>-563.522846304962 117.119422794175 -356.872282674684</t>
  </si>
  <si>
    <t>-572.068292196005 108.07192288389 -477.43629758999</t>
  </si>
  <si>
    <t>-567.665211185846 99.5300125370559 -586.53485160047</t>
  </si>
  <si>
    <t>-551.281990164456 90.9569841918461 -694.483677466691</t>
  </si>
  <si>
    <t>-516.170519513019 79.3028743953645 -842.238204235701</t>
  </si>
  <si>
    <t>-458.498842610684 79.1547991044737 -926.243723763201</t>
  </si>
  <si>
    <t>-531.512372543487 116.15790124964 -779.315537300859</t>
  </si>
  <si>
    <t>-549.79587898976 261.183102080206 -763.09582216566</t>
  </si>
  <si>
    <t>-613.012115183006 349.27502433966 -465.724464180474</t>
  </si>
  <si>
    <t>-443.577834803636 293.420085387871 -276.477865642962</t>
  </si>
  <si>
    <t>-531.900176273661 52.7610123734299 -774.407297894421</t>
  </si>
  <si>
    <t>-348.982995048086 31.3402368083947 -445.872959297727</t>
  </si>
  <si>
    <t>-515.928636382185 224.397991100375 -251.075255879755</t>
  </si>
  <si>
    <t>-495.992011701257 211.464236069205 203.999411976982</t>
  </si>
  <si>
    <t>-495.694449853893 171.954822475796 671.463000537075</t>
  </si>
  <si>
    <t>-340.721708169327 170.82243966635 754.683664174522</t>
  </si>
  <si>
    <t>-535.301720604682 24.5270622119991 -232.393405548341</t>
  </si>
  <si>
    <t>-439.242245093704 -13.363201131042 211.447387662566</t>
  </si>
  <si>
    <t>-588.576312744183 -104.610355826235 648.179713082144</t>
  </si>
  <si>
    <t>-439.439394620796 -129.899507326802 737.969170803926</t>
  </si>
  <si>
    <t>9763-20170724T164430.651300200.bin</t>
  </si>
  <si>
    <t>-526.938325520956 127.61935514359 -242.435600389505</t>
  </si>
  <si>
    <t>-564.487184144044 120.989725219226 -357.387460670962</t>
  </si>
  <si>
    <t>-572.605759798005 112.007899045485 -477.985955361473</t>
  </si>
  <si>
    <t>-567.685488285707 103.452003582346 -587.061309194132</t>
  </si>
  <si>
    <t>-550.65981657691 94.7891961753899 -694.903445950546</t>
  </si>
  <si>
    <t>-514.533706772788 82.9292604726866 -842.396633454281</t>
  </si>
  <si>
    <t>-456.301469429587 82.6230726866972 -926.01431611011</t>
  </si>
  <si>
    <t>-530.121811651555 119.87359951232 -779.587157531615</t>
  </si>
  <si>
    <t>-547.776806789958 265.038880227857 -763.339797175271</t>
  </si>
  <si>
    <t>-611.201564219202 353.969067094272 -466.262511314014</t>
  </si>
  <si>
    <t>-441.915809248726 297.730997943459 -276.996238268562</t>
  </si>
  <si>
    <t>-530.914949771078 56.4801999720621 -774.683900180204</t>
  </si>
  <si>
    <t>-349.757642801661 34.5058571668425 -445.559437651659</t>
  </si>
  <si>
    <t>-516.804676219332 226.290563426879 -251.373451762891</t>
  </si>
  <si>
    <t>-495.797234815155 213.518940056462 203.657580760641</t>
  </si>
  <si>
    <t>-495.166003391115 172.075274264847 670.967692280146</t>
  </si>
  <si>
    <t>-340.478137716755 170.873568128599 754.715658562667</t>
  </si>
  <si>
    <t>-536.459127469393 30.643933860901 -232.841647384045</t>
  </si>
  <si>
    <t>-433.855728267744 -5.67149709581842 209.664237543199</t>
  </si>
  <si>
    <t>-603.286194085417 -92.5298831163845 639.283384806007</t>
  </si>
  <si>
    <t>-457.718055723089 -122.859881387297 733.270215598882</t>
  </si>
  <si>
    <t>9763-20170724T164430.720508700.bin</t>
  </si>
  <si>
    <t>-528.759967799403 132.173420640856 -243.621911970715</t>
  </si>
  <si>
    <t>-565.808294857281 125.346342138564 -358.7245677104</t>
  </si>
  <si>
    <t>-573.387418982354 116.39284861168 -479.360197923622</t>
  </si>
  <si>
    <t>-567.977198551309 107.93127418404 -588.419786196585</t>
  </si>
  <si>
    <t>-550.466416445957 99.4176701503179 -696.19613421669</t>
  </si>
  <si>
    <t>-513.677001688131 87.8085013301961 -843.545245947739</t>
  </si>
  <si>
    <t>-454.647083245702 87.4600562348419 -926.601467683738</t>
  </si>
  <si>
    <t>-529.331200251364 124.64651725562 -780.689689915593</t>
  </si>
  <si>
    <t>-546.007287426735 269.796966346013 -764.086415059929</t>
  </si>
  <si>
    <t>-607.908786678088 360.090045587824 -467.098925715494</t>
  </si>
  <si>
    <t>-438.186254060422 303.87991439768 -278.216117716895</t>
  </si>
  <si>
    <t>-530.579223401902 61.2438693224049 -776.005877254557</t>
  </si>
  <si>
    <t>-350.420573471433 38.1321367423351 -445.08634632783</t>
  </si>
  <si>
    <t>-518.489212059015 228.526259541386 -252.349061074577</t>
  </si>
  <si>
    <t>-495.2729782175 216.45230653837 202.593623789717</t>
  </si>
  <si>
    <t>-494.827461649093 173.167014758684 670.471444014119</t>
  </si>
  <si>
    <t>-340.416280260578 170.466862585673 754.693789121995</t>
  </si>
  <si>
    <t>-539.072749509701 36.2719579477544 -233.856548935819</t>
  </si>
  <si>
    <t>-426.945943023938 1.66476988329873 206.470124661673</t>
  </si>
  <si>
    <t>-651.058639513366 -66.9437181357121 613.070204791099</t>
  </si>
  <si>
    <t>-522.498193116712 -122.920393609362 719.288548686733</t>
  </si>
  <si>
    <t>9763-20170724T164430.783730800.bin</t>
  </si>
  <si>
    <t>-530.185172448293 130.247023721559 -243.658506015023</t>
  </si>
  <si>
    <t>-567.12904727261 123.170317874864 -358.779610598633</t>
  </si>
  <si>
    <t>-574.693112354916 114.475237704889 -479.435148836257</t>
  </si>
  <si>
    <t>-569.312945185156 106.457060566818 -588.529680598528</t>
  </si>
  <si>
    <t>-551.878780115088 98.5965650422035 -696.368045531453</t>
  </si>
  <si>
    <t>-515.245580550602 88.1123248881674 -843.840448887641</t>
  </si>
  <si>
    <t>-456.330083491383 88.3109099968871 -926.978235735923</t>
  </si>
  <si>
    <t>-530.835837155219 124.469596679659 -780.689731571547</t>
  </si>
  <si>
    <t>-547.355867271647 269.534590607034 -763.192036431372</t>
  </si>
  <si>
    <t>-608.129146480477 360.644108508243 -466.221015373438</t>
  </si>
  <si>
    <t>-436.255263431693 305.730462091961 -278.908639047247</t>
  </si>
  <si>
    <t>-532.073356528258 61.0330203364777 -776.487217980886</t>
  </si>
  <si>
    <t>-353.905771797504 37.2538189545176 -444.711223346016</t>
  </si>
  <si>
    <t>-519.622268767745 226.625546714745 -252.511951692541</t>
  </si>
  <si>
    <t>-494.185890238811 215.893807234658 202.345619830125</t>
  </si>
  <si>
    <t>-494.582447190636 172.545555304164 670.460742254996</t>
  </si>
  <si>
    <t>-340.029779956643 171.689685141699 754.462320789497</t>
  </si>
  <si>
    <t>-540.97820419063 33.1457524330349 -234.045738443508</t>
  </si>
  <si>
    <t>-430.620354901969 7.88929847130153 207.362127759422</t>
  </si>
  <si>
    <t>-696.582795875647 -39.1622900219612 592.171327017385</t>
  </si>
  <si>
    <t>-582.397102470375 -102.566601415881 710.006070762398</t>
  </si>
  <si>
    <t>9763-20170724T164430.821832500.bin</t>
  </si>
  <si>
    <t>-530.954060168247 129.49586135016 -243.398262802126</t>
  </si>
  <si>
    <t>-568.214688911338 122.10358082472 -358.397474446533</t>
  </si>
  <si>
    <t>-576.095352820453 113.414980561915 -479.033066719549</t>
  </si>
  <si>
    <t>-570.99915029957 105.551205185231 -588.152479355189</t>
  </si>
  <si>
    <t>-553.84642444132 98.0032523897764 -696.058283222627</t>
  </si>
  <si>
    <t>-517.601606905929 88.1258391272879 -843.668405885798</t>
  </si>
  <si>
    <t>-459.092852169951 88.7569364211139 -927.090886260906</t>
  </si>
  <si>
    <t>-533.051974689586 124.223127365435 -780.334424295235</t>
  </si>
  <si>
    <t>-549.604649675805 269.199286922689 -762.298510705622</t>
  </si>
  <si>
    <t>-609.827901350847 360.363339314129 -465.231968179144</t>
  </si>
  <si>
    <t>-436.672781626727 306.250745979271 -278.86899722608</t>
  </si>
  <si>
    <t>-534.225620869212 60.7695614784008 -776.376501802822</t>
  </si>
  <si>
    <t>-356.91795179601 36.7149329845361 -444.563247075591</t>
  </si>
  <si>
    <t>-520.18853652194 226.02846995105 -252.5081342225</t>
  </si>
  <si>
    <t>-493.753228189951 216.09391949702 202.310588081482</t>
  </si>
  <si>
    <t>-494.735572105886 173.282162042074 670.376688099849</t>
  </si>
  <si>
    <t>-340.130864207647 172.066365983235 754.277892914343</t>
  </si>
  <si>
    <t>-542.3050013064 32.519560804748 -233.429143320951</t>
  </si>
  <si>
    <t>-437.799596061748 12.130622549345 209.651589330483</t>
  </si>
  <si>
    <t>-712.985901559478 -26.9491629800124 589.444809914105</t>
  </si>
  <si>
    <t>-601.364154707498 -89.6143159792262 710.097976634446</t>
  </si>
  <si>
    <t>9763-20170724T164430.884529600.bin</t>
  </si>
  <si>
    <t>-533.822524519988 128.938059379997 -242.463295893113</t>
  </si>
  <si>
    <t>-570.841019205227 120.567973537189 -357.473672318785</t>
  </si>
  <si>
    <t>-579.005192182598 111.61733542025 -478.071335095076</t>
  </si>
  <si>
    <t>-574.391807804246 103.844167437417 -587.218607837865</t>
  </si>
  <si>
    <t>-557.947941129299 96.7349877220297 -695.264546450009</t>
  </si>
  <si>
    <t>-522.918619564386 87.8453247728449 -843.230550725466</t>
  </si>
  <si>
    <t>-465.512052081902 89.3799643239725 -927.403628721831</t>
  </si>
  <si>
    <t>-537.799707993655 123.517790518056 -779.520608755776</t>
  </si>
  <si>
    <t>-554.108033909815 268.407392028721 -760.532853425851</t>
  </si>
  <si>
    <t>-612.549199293904 359.204573510146 -462.998522640027</t>
  </si>
  <si>
    <t>-436.741606286955 307.333373256947 -278.490679085684</t>
  </si>
  <si>
    <t>-539.036414447291 60.0396893386027 -775.999735992661</t>
  </si>
  <si>
    <t>-363.946408720261 37.1561581772677 -445.559890552396</t>
  </si>
  <si>
    <t>-521.739671554297 225.497476141487 -252.706837191645</t>
  </si>
  <si>
    <t>-494.468682755898 217.130982440239 202.094193463366</t>
  </si>
  <si>
    <t>-494.71670379152 174.420427419238 670.037847627279</t>
  </si>
  <si>
    <t>-340.090737596239 171.867956814314 753.869738526514</t>
  </si>
  <si>
    <t>-546.041395537473 31.8878670806404 -231.743680806152</t>
  </si>
  <si>
    <t>-462.182762198792 21.9422287262776 216.058149554588</t>
  </si>
  <si>
    <t>-728.118652596702 -7.20231934135162 602.945973493228</t>
  </si>
  <si>
    <t>-612.691665459745 -72.9203002675852 718.27711471541</t>
  </si>
  <si>
    <t>9763-20170724T164430.916615300.bin</t>
  </si>
  <si>
    <t>-535.712608372535 128.654800034474 -242.05048979977</t>
  </si>
  <si>
    <t>-572.462475475576 119.889844845989 -357.11748843659</t>
  </si>
  <si>
    <t>-580.666577412822 110.811133955301 -477.702932044104</t>
  </si>
  <si>
    <t>-576.223467277548 103.053972525475 -586.858452209058</t>
  </si>
  <si>
    <t>-560.08470129401 96.1067186177496 -694.960850472228</t>
  </si>
  <si>
    <t>-525.617763524565 87.6053719509881 -843.081627885715</t>
  </si>
  <si>
    <t>-468.817374564867 89.4833465596769 -927.658055095641</t>
  </si>
  <si>
    <t>-540.188188181107 123.109953866046 -779.206289610602</t>
  </si>
  <si>
    <t>-556.122732307764 267.954827152586 -759.657717955067</t>
  </si>
  <si>
    <t>-613.392120341512 358.897946424012 -461.940026776012</t>
  </si>
  <si>
    <t>-436.242276535696 308.140592961666 -278.409072832028</t>
  </si>
  <si>
    <t>-541.548432716103 59.6238906811622 -775.879083590424</t>
  </si>
  <si>
    <t>-369.032694644665 38.736999042449 -446.592960968011</t>
  </si>
  <si>
    <t>-522.734559238751 225.156553113769 -252.920575463076</t>
  </si>
  <si>
    <t>-495.89861826357 217.258984777894 201.9147546282</t>
  </si>
  <si>
    <t>-494.586324153558 174.836545427361 669.817777498146</t>
  </si>
  <si>
    <t>-339.987447438246 171.60926250175 753.676374396456</t>
  </si>
  <si>
    <t>-548.337275317895 31.6189642121293 -231.130719403248</t>
  </si>
  <si>
    <t>-478.872187148109 27.562846451692 219.220072729771</t>
  </si>
  <si>
    <t>-728.192432188135 2.40828133381433 616.972324092562</t>
  </si>
  <si>
    <t>-612.150022071748 -71.3424990255612 726.692369028458</t>
  </si>
  <si>
    <t>9763-20170724T164430.984822000.bin</t>
  </si>
  <si>
    <t>-541.528464911542 127.454660781085 -242.474084134856</t>
  </si>
  <si>
    <t>-577.246130766769 118.558458694936 -357.85569616771</t>
  </si>
  <si>
    <t>-585.015310901557 109.360011872693 -478.460744872227</t>
  </si>
  <si>
    <t>-580.441271473733 101.564431375937 -587.608172745725</t>
  </si>
  <si>
    <t>-564.437741491584 94.6908835557038 -695.735379979109</t>
  </si>
  <si>
    <t>-530.435325069959 86.4457412404455 -843.978013849337</t>
  </si>
  <si>
    <t>-474.487199754663 88.7133460926621 -929.111112021553</t>
  </si>
  <si>
    <t>-544.678007665685 121.838320513951 -779.966730970366</t>
  </si>
  <si>
    <t>-559.977979517898 266.654117035884 -759.480867460686</t>
  </si>
  <si>
    <t>-614.075237994225 356.688961746345 -460.895166890032</t>
  </si>
  <si>
    <t>-434.168440230878 308.696039941941 -279.312489451807</t>
  </si>
  <si>
    <t>-546.28272265845 58.349584285721 -776.803681450346</t>
  </si>
  <si>
    <t>-378.755970769612 43.8147512497813 -447.70380775874</t>
  </si>
  <si>
    <t>-526.101783874473 223.413159554568 -253.961396998426</t>
  </si>
  <si>
    <t>-500.730035084002 215.376794665202 200.955485962869</t>
  </si>
  <si>
    <t>-493.912103673574 175.461483140201 669.004715723801</t>
  </si>
  <si>
    <t>-339.52135977509 171.437980875649 753.211679942696</t>
  </si>
  <si>
    <t>-556.186070963015 31.0023535134995 -230.696686620536</t>
  </si>
  <si>
    <t>-512.576023935236 40.6094988807838 222.804765864537</t>
  </si>
  <si>
    <t>-728.674479196939 21.7353609777422 640.028549592196</t>
  </si>
  <si>
    <t>-609.665720526802 -63.6576735166893 737.437304738803</t>
  </si>
  <si>
    <t>9763-20170724T164431.017910200.bin</t>
  </si>
  <si>
    <t>-546.229764453097 126.496823550033 -243.386300949944</t>
  </si>
  <si>
    <t>-581.017163464852 118.389667973503 -359.109739249213</t>
  </si>
  <si>
    <t>-588.195575367079 109.394311848844 -479.766779882242</t>
  </si>
  <si>
    <t>-583.229867048682 101.564736586253 -588.894685743153</t>
  </si>
  <si>
    <t>-566.97497195189 94.4561877201058 -696.969224794198</t>
  </si>
  <si>
    <t>-532.764211388179 85.6906881628656 -845.133982229649</t>
  </si>
  <si>
    <t>-476.933643509572 87.7843291814755 -930.348651145695</t>
  </si>
  <si>
    <t>-547.030705384273 121.306781798574 -781.252192944437</t>
  </si>
  <si>
    <t>-562.345375122262 266.157366248255 -760.948959393397</t>
  </si>
  <si>
    <t>-613.737786317262 354.773901577881 -461.462438376925</t>
  </si>
  <si>
    <t>-432.906781078539 308.453952712644 -280.364035598427</t>
  </si>
  <si>
    <t>-548.772178578412 57.8314686793845 -777.898977080033</t>
  </si>
  <si>
    <t>-383.033965797152 46.8725480341379 -448.138222645429</t>
  </si>
  <si>
    <t>-529.754237058837 222.388882712523 -254.440809509675</t>
  </si>
  <si>
    <t>-504.146066589226 213.154017458076 200.44013391001</t>
  </si>
  <si>
    <t>-493.705449283772 175.70009468555 668.889541496802</t>
  </si>
  <si>
    <t>-339.298083809222 170.99127322399 753.030499695187</t>
  </si>
  <si>
    <t>-562.33132987865 30.7532215620106 -231.530786309178</t>
  </si>
  <si>
    <t>-526.228502436411 43.6994782697263 222.547094552846</t>
  </si>
  <si>
    <t>-727.121881623189 25.6635740860794 647.847163731562</t>
  </si>
  <si>
    <t>-604.145693106207 -61.5547632584984 738.474604615672</t>
  </si>
  <si>
    <t>9763-20170724T164431.089615500.bin</t>
  </si>
  <si>
    <t>-560.624735062749 123.617376503471 -245.106229517407</t>
  </si>
  <si>
    <t>-593.739248219135 118.831409912373 -361.503620533673</t>
  </si>
  <si>
    <t>-599.614227841032 110.831828340233 -482.301136084473</t>
  </si>
  <si>
    <t>-593.598294880791 102.942621325371 -591.371792517335</t>
  </si>
  <si>
    <t>-576.402658709362 94.8160910324584 -699.228683620171</t>
  </si>
  <si>
    <t>-540.978316899975 83.6451448108296 -846.945824841422</t>
  </si>
  <si>
    <t>-484.861925465074 84.5692898696171 -931.993358875288</t>
  </si>
  <si>
    <t>-555.592935102708 120.291778674452 -783.729109839282</t>
  </si>
  <si>
    <t>-570.220918259009 265.544975499716 -765.531036663063</t>
  </si>
  <si>
    <t>-616.453375888451 350.180825813755 -464.058746345572</t>
  </si>
  <si>
    <t>-433.795821190666 306.971233293657 -284.027575569671</t>
  </si>
  <si>
    <t>-557.711986048319 56.8841493898013 -779.442129396494</t>
  </si>
  <si>
    <t>-395.207405115554 53.4396261075875 -447.63454956441</t>
  </si>
  <si>
    <t>-543.538651258452 220.070270502691 -253.661237685916</t>
  </si>
  <si>
    <t>-513.165305961623 207.528090777759 200.847117286927</t>
  </si>
  <si>
    <t>-494.287436995252 176.133729662735 669.718409365602</t>
  </si>
  <si>
    <t>-339.473813036144 171.137410256019 753.092809623887</t>
  </si>
  <si>
    <t>-577.667709679903 28.0169301230871 -235.825117128594</t>
  </si>
  <si>
    <t>-547.111228202242 41.4996869786992 218.644048882917</t>
  </si>
  <si>
    <t>-726.556814670759 28.4407516654151 652.541364787206</t>
  </si>
  <si>
    <t>-599.616823261114 -59.8939864782736 736.366925571638</t>
  </si>
  <si>
    <t>9763-20170724T164431.121700900.bin</t>
  </si>
  <si>
    <t>-568.550673037436 122.121128996922 -245.725359684429</t>
  </si>
  <si>
    <t>-600.682210937972 119.004351921131 -362.454305143385</t>
  </si>
  <si>
    <t>-605.717698427285 111.287094564859 -483.308206678078</t>
  </si>
  <si>
    <t>-598.988256553572 103.073820663849 -592.313289229712</t>
  </si>
  <si>
    <t>-581.114889144035 94.0393860652315 -699.987570988198</t>
  </si>
  <si>
    <t>-544.776685938657 80.9984851129411 -847.329094478577</t>
  </si>
  <si>
    <t>-488.411433358955 80.9801748575398 -932.216799163995</t>
  </si>
  <si>
    <t>-559.747505462959 118.442347829931 -784.665178271467</t>
  </si>
  <si>
    <t>-574.094316999454 263.935898475239 -768.202741669861</t>
  </si>
  <si>
    <t>-617.02309501082 348.284005579399 -466.161859857948</t>
  </si>
  <si>
    <t>-433.690738469874 306.410588804578 -286.501259450473</t>
  </si>
  <si>
    <t>-561.962899993519 55.0950412575693 -779.604852117987</t>
  </si>
  <si>
    <t>-401.677435467249 55.6176391039583 -447.243058677154</t>
  </si>
  <si>
    <t>-551.642328158975 218.386503068605 -252.66729572093</t>
  </si>
  <si>
    <t>-517.226238405504 205.421465887936 201.540958809742</t>
  </si>
  <si>
    <t>-494.656399592769 175.927533693622 670.304035014055</t>
  </si>
  <si>
    <t>-339.464764931279 171.797090012283 753.020500887721</t>
  </si>
  <si>
    <t>-585.501150107408 26.3528639121683 -238.128444017866</t>
  </si>
  <si>
    <t>-556.654126911249 39.4956475194309 216.462269547379</t>
  </si>
  <si>
    <t>-726.625762399789 28.8984174987294 653.825995834983</t>
  </si>
  <si>
    <t>-599.601894276041 -60.3588707637255 736.539810801558</t>
  </si>
  <si>
    <t>9763-20170724T164431.152787200.bin</t>
  </si>
  <si>
    <t>-576.87511399705 120.299683178623 -246.237099550043</t>
  </si>
  <si>
    <t>-608.130886607991 118.334026218248 -363.228668154467</t>
  </si>
  <si>
    <t>-612.275547748932 110.471644924306 -484.106977864017</t>
  </si>
  <si>
    <t>-604.724422683074 101.593013142284 -593.006135666159</t>
  </si>
  <si>
    <t>-586.008248908355 91.3590771520985 -700.429624592277</t>
  </si>
  <si>
    <t>-548.473127438145 76.0985156007766 -847.256864360453</t>
  </si>
  <si>
    <t>-491.743849840433 75.0138777925108 -931.894837031714</t>
  </si>
  <si>
    <t>-563.924578833152 114.48250685953 -785.282341337038</t>
  </si>
  <si>
    <t>-578.145817352153 260.155175171063 -770.746909420592</t>
  </si>
  <si>
    <t>-617.775244520753 346.55094598151 -468.833915658039</t>
  </si>
  <si>
    <t>-433.691149685731 305.776875385084 -289.689975632141</t>
  </si>
  <si>
    <t>-566.238020503069 51.2192154679626 -779.298416781748</t>
  </si>
  <si>
    <t>-408.23402448665 56.2908358409167 -446.349473825486</t>
  </si>
  <si>
    <t>-560.071930786452 216.602657289604 -251.725866339386</t>
  </si>
  <si>
    <t>-521.511761262344 203.560249130833 202.14703724423</t>
  </si>
  <si>
    <t>-495.292460065794 176.570342424759 670.81083891948</t>
  </si>
  <si>
    <t>-339.713848349694 172.188707680245 752.784077044974</t>
  </si>
  <si>
    <t>-593.176794161215 24.0288396312782 -240.343649725778</t>
  </si>
  <si>
    <t>-568.974241578667 38.1508777805174 214.488751559907</t>
  </si>
  <si>
    <t>-727.2334349858 29.0998808416506 655.817247509644</t>
  </si>
  <si>
    <t>-599.332604379971 -60.1057620391654 737.225122057404</t>
  </si>
  <si>
    <t>9763-20170724T164431.221801400.bin</t>
  </si>
  <si>
    <t>-594.405685747476 117.666146775617 -247.602872106608</t>
  </si>
  <si>
    <t>-623.866669786055 117.988819909376 -365.075285394054</t>
  </si>
  <si>
    <t>-626.202818427282 109.656486678328 -485.970616999945</t>
  </si>
  <si>
    <t>-616.986839790658 99.2398317486475 -594.60486500562</t>
  </si>
  <si>
    <t>-596.567793536647 86.3708348513036 -701.433271687927</t>
  </si>
  <si>
    <t>-556.622543144857 66.3280017974463 -847.044657012268</t>
  </si>
  <si>
    <t>-498.87511290949 63.1013543193104 -930.936249397478</t>
  </si>
  <si>
    <t>-573.105668683384 106.713625654978 -786.627441034949</t>
  </si>
  <si>
    <t>-587.728268268473 252.658640817831 -776.864482274381</t>
  </si>
  <si>
    <t>-618.509773794098 346.347785993582 -476.097138446388</t>
  </si>
  <si>
    <t>-433.257263672933 308.854644004514 -297.441519196589</t>
  </si>
  <si>
    <t>-575.488431294486 43.6790280583787 -778.604663444883</t>
  </si>
  <si>
    <t>-421.162923846874 59.3813394132014 -443.24655730568</t>
  </si>
  <si>
    <t>-577.98834221116 214.960555216798 -250.33568963763</t>
  </si>
  <si>
    <t>-527.122417298859 200.609187957293 202.283723548788</t>
  </si>
  <si>
    <t>-496.248554901072 176.486273423953 671.563999316333</t>
  </si>
  <si>
    <t>-339.606138619739 174.223714044393 751.573615102745</t>
  </si>
  <si>
    <t>-611.242650599316 20.2146362687281 -244.187502159992</t>
  </si>
  <si>
    <t>-594.653587673645 35.4033562038511 210.951848543326</t>
  </si>
  <si>
    <t>-728.356017902204 28.7234065848179 660.141897560438</t>
  </si>
  <si>
    <t>-597.84014866023 -58.4625461461773 739.563170499387</t>
  </si>
  <si>
    <t>9763-20170724T164431.284974200.bin</t>
  </si>
  <si>
    <t>-610.237665999082 117.920556418732 -239.104751989196</t>
  </si>
  <si>
    <t>-638.087695352051 119.33253841612 -356.961408286958</t>
  </si>
  <si>
    <t>-639.12725959614 109.735927463808 -477.781012261626</t>
  </si>
  <si>
    <t>-628.838985146302 97.2558320226415 -586.101301430034</t>
  </si>
  <si>
    <t>-607.434415188678 81.4340098256341 -692.338456942262</t>
  </si>
  <si>
    <t>-566.200738343252 56.396641392236 -836.81313608066</t>
  </si>
  <si>
    <t>-507.73692095706 50.8907473429484 -920.087771989726</t>
  </si>
  <si>
    <t>-583.348864051922 98.834388175326 -778.00918036462</t>
  </si>
  <si>
    <t>-598.479264152147 245.047237504682 -773.421972958768</t>
  </si>
  <si>
    <t>-618.926448457944 347.055108389592 -474.486443897243</t>
  </si>
  <si>
    <t>-432.429043873331 313.957683545005 -296.258129460781</t>
  </si>
  <si>
    <t>-585.541880980769 36.1154728324652 -767.765923881055</t>
  </si>
  <si>
    <t>-433.904548117528 63.8786683899499 -430.770958781776</t>
  </si>
  <si>
    <t>-593.113204653772 215.313593559063 -242.260797030408</t>
  </si>
  <si>
    <t>-526.237436793089 202.746636308554 208.324767626988</t>
  </si>
  <si>
    <t>-497.391439390784 175.798449111319 676.014558861612</t>
  </si>
  <si>
    <t>-339.906571604312 171.77745095522 754.282364327003</t>
  </si>
  <si>
    <t>-626.943540087448 20.1193288788295 -235.410395525711</t>
  </si>
  <si>
    <t>-616.049525376562 33.476215000078 219.958194914201</t>
  </si>
  <si>
    <t>-729.13377930044 28.0071492960559 676.381916871405</t>
  </si>
  <si>
    <t>-596.295429035544 -56.7106189082646 754.614808568943</t>
  </si>
  <si>
    <t>9763-20170724T164431.318062700.bin</t>
  </si>
  <si>
    <t>-616.476484577699 116.745259166182 -235.910317966343</t>
  </si>
  <si>
    <t>-644.169293273123 118.601382460381 -353.797849970312</t>
  </si>
  <si>
    <t>-645.0437936464 108.310087890472 -474.561666803092</t>
  </si>
  <si>
    <t>-634.57986663102 94.7638330533275 -582.736708535541</t>
  </si>
  <si>
    <t>-612.965113044539 77.4590337050473 -688.699910236051</t>
  </si>
  <si>
    <t>-571.399399955337 49.9495266006956 -832.628808230524</t>
  </si>
  <si>
    <t>-512.779209437033 43.2579717344946 -915.70634418135</t>
  </si>
  <si>
    <t>-588.734313301471 93.3878201796666 -774.61554707633</t>
  </si>
  <si>
    <t>-604.263150350012 239.631458960015 -772.429712997363</t>
  </si>
  <si>
    <t>-618.722581116559 344.923890091519 -474.284414816768</t>
  </si>
  <si>
    <t>-431.437176023457 314.103439626658 -296.47448613896</t>
  </si>
  <si>
    <t>-590.847539097014 30.8554542083577 -763.273893286029</t>
  </si>
  <si>
    <t>-439.541878828212 64.571775638878 -425.670905843894</t>
  </si>
  <si>
    <t>-599.34711977932 213.274564377934 -238.462827888138</t>
  </si>
  <si>
    <t>-525.208863734167 202.552486010984 211.03268468379</t>
  </si>
  <si>
    <t>-500.666641027658 173.494653571412 679.534572456605</t>
  </si>
  <si>
    <t>-342.839856557006 165.72431278158 756.82516575086</t>
  </si>
  <si>
    <t>-633.426910248582 19.6001982117206 -232.659804747504</t>
  </si>
  <si>
    <t>-625.580629054045 32.0297158282661 222.797783655379</t>
  </si>
  <si>
    <t>-729.429723339224 27.6594112579795 681.121544379675</t>
  </si>
  <si>
    <t>-595.887322549647 -56.2426279918432 759.034204005824</t>
  </si>
  <si>
    <t>9763-20170724T164431.388254600.bin</t>
  </si>
  <si>
    <t>-627.048717935304 115.878602881824 -232.728084728514</t>
  </si>
  <si>
    <t>-654.322328262391 117.584159978457 -350.71572006483</t>
  </si>
  <si>
    <t>-655.221211513179 105.683535909124 -471.331267290415</t>
  </si>
  <si>
    <t>-644.924844037502 90.1266407902273 -579.251725898681</t>
  </si>
  <si>
    <t>-623.603467288788 70.2848816972246 -684.828982285151</t>
  </si>
  <si>
    <t>-582.559691997447 38.7317977016049 -828.076330711626</t>
  </si>
  <si>
    <t>-524.160745073006 29.7218132171901 -911.090637511795</t>
  </si>
  <si>
    <t>-599.623684893199 83.7887203400604 -771.229030650578</t>
  </si>
  <si>
    <t>-614.823820917613 230.051091039756 -772.96603620398</t>
  </si>
  <si>
    <t>-617.90558272036 340.364244106479 -476.305122580519</t>
  </si>
  <si>
    <t>-428.606450451425 313.14584926792 -300.046602219524</t>
  </si>
  <si>
    <t>-601.816903753007 21.5974303789149 -758.158546571072</t>
  </si>
  <si>
    <t>-447.620872095957 64.2036918021085 -420.164683831651</t>
  </si>
  <si>
    <t>-610.155452741908 211.573502460453 -234.79862187246</t>
  </si>
  <si>
    <t>-522.809027665918 206.799788186809 212.421096126379</t>
  </si>
  <si>
    <t>-506.744870314187 174.495045572845 680.764736726065</t>
  </si>
  <si>
    <t>-348.420882966894 164.336162370604 756.750423461663</t>
  </si>
  <si>
    <t>-644.463746163742 19.5760491703165 -230.097697646304</t>
  </si>
  <si>
    <t>-643.129030121369 29.8930936029726 225.478261797525</t>
  </si>
  <si>
    <t>-729.799197030404 26.7537771240353 686.649110324802</t>
  </si>
  <si>
    <t>-595.365548705361 -55.8077531310285 764.461118606196</t>
  </si>
  <si>
    <t>9763-20170724T164431.416328600.bin</t>
  </si>
  <si>
    <t>-630.909796228736 116.210001467929 -232.271736668455</t>
  </si>
  <si>
    <t>-658.249978109552 117.769444305646 -350.245781445281</t>
  </si>
  <si>
    <t>-659.526307092041 105.234424110151 -470.793799164028</t>
  </si>
  <si>
    <t>-649.678504736553 88.9167074103425 -578.643600476683</t>
  </si>
  <si>
    <t>-628.90016743166 68.1357827423843 -684.148531506984</t>
  </si>
  <si>
    <t>-588.697043063325 35.1008276971469 -827.300151019036</t>
  </si>
  <si>
    <t>-530.706318583093 25.0403955669563 -910.479814117883</t>
  </si>
  <si>
    <t>-605.268994011577 80.7479221658651 -770.779030293657</t>
  </si>
  <si>
    <t>-619.486243858285 227.068582967589 -773.782534130086</t>
  </si>
  <si>
    <t>-618.021648504534 339.363439155959 -477.853627316092</t>
  </si>
  <si>
    <t>-427.182805996403 313.117410271326 -303.114627882739</t>
  </si>
  <si>
    <t>-607.702340547003 18.6876568950004 -757.140954285173</t>
  </si>
  <si>
    <t>-450.562163659064 63.4716545112582 -419.378394215572</t>
  </si>
  <si>
    <t>-613.513898653844 211.869312760139 -234.495811142978</t>
  </si>
  <si>
    <t>-520.680197242843 212.538953556373 211.642187963897</t>
  </si>
  <si>
    <t>-509.731588953079 183.417004195849 679.802029422149</t>
  </si>
  <si>
    <t>-352.136069278192 174.710245187801 757.463801971156</t>
  </si>
  <si>
    <t>-648.69139037114 20.2616922026788 -229.681296151498</t>
  </si>
  <si>
    <t>-651.141469031179 29.3313743536497 225.916550478953</t>
  </si>
  <si>
    <t>-729.909434826235 26.4137276045272 688.308853684859</t>
  </si>
  <si>
    <t>-595.326449510823 -55.8518728875029 766.175960826179</t>
  </si>
  <si>
    <t>9763-20170724T164431.487364000.bin</t>
  </si>
  <si>
    <t>-636.089715237487 118.288287502289 -232.590916400317</t>
  </si>
  <si>
    <t>-663.869147964091 119.694724171169 -350.464321522225</t>
  </si>
  <si>
    <t>-666.149021509126 106.259116690589 -470.900428244</t>
  </si>
  <si>
    <t>-657.407618611359 88.8226469370718 -578.670573697589</t>
  </si>
  <si>
    <t>-637.91268259065 66.6231960649096 -684.131218325974</t>
  </si>
  <si>
    <t>-599.655856812125 31.3086314846401 -827.272196615843</t>
  </si>
  <si>
    <t>-542.86720922149 19.4180264401074 -911.037540528226</t>
  </si>
  <si>
    <t>-614.861873692616 77.8612275197934 -771.106692033747</t>
  </si>
  <si>
    <t>-626.319012328152 224.405080536658 -775.699889583367</t>
  </si>
  <si>
    <t>-617.561028350119 338.972519600878 -480.76967925496</t>
  </si>
  <si>
    <t>-423.111839067557 313.229581518428 -309.980801457612</t>
  </si>
  <si>
    <t>-618.304813971492 16.0072754878205 -756.76674504828</t>
  </si>
  <si>
    <t>-455.1120533364 61.2115006650665 -420.239184288582</t>
  </si>
  <si>
    <t>-617.032181192955 214.282917199636 -235.073612668086</t>
  </si>
  <si>
    <t>-514.731648592653 231.462951278612 208.657265799517</t>
  </si>
  <si>
    <t>-517.295410074875 212.853730041096 677.886937634072</t>
  </si>
  <si>
    <t>-361.961709220019 213.66114332224 760.435732381385</t>
  </si>
  <si>
    <t>-655.312189214562 22.6669740674634 -229.57440073077</t>
  </si>
  <si>
    <t>-664.234504287059 29.1719399013089 225.986538384982</t>
  </si>
  <si>
    <t>-729.991335259504 26.1283878253834 690.269112556854</t>
  </si>
  <si>
    <t>-595.512896062004 -56.200085236815 768.250479159182</t>
  </si>
  <si>
    <t>9763-20170724T164431.517765600.bin</t>
  </si>
  <si>
    <t>-637.506954886942 119.715036853447 -233.200020540558</t>
  </si>
  <si>
    <t>-665.821625907332 121.088653708219 -350.946219214263</t>
  </si>
  <si>
    <t>-668.809123636541 107.408679697306 -471.33941615126</t>
  </si>
  <si>
    <t>-660.768215586974 89.65151881993 -579.11171088775</t>
  </si>
  <si>
    <t>-642.027533554714 67.0252226494727 -684.618540783954</t>
  </si>
  <si>
    <t>-604.867606796248 31.0006154705591 -827.871489547308</t>
  </si>
  <si>
    <t>-548.746829514492 18.3407435480758 -911.973600688156</t>
  </si>
  <si>
    <t>-619.251207895844 77.8317232797183 -771.720872681852</t>
  </si>
  <si>
    <t>-628.790571696476 224.492448851652 -776.644303203865</t>
  </si>
  <si>
    <t>-617.127128286578 339.189656672603 -481.865091429847</t>
  </si>
  <si>
    <t>-421.007290721947 313.097452900579 -313.050783674822</t>
  </si>
  <si>
    <t>-623.368191599697 16.0490118798471 -757.25208139431</t>
  </si>
  <si>
    <t>-457.336009534979 59.7916605111379 -421.19858544288</t>
  </si>
  <si>
    <t>-617.348478828267 215.589527722941 -235.957484306285</t>
  </si>
  <si>
    <t>-512.089440143561 243.939376895012 206.506636149886</t>
  </si>
  <si>
    <t>-522.990907005617 235.343418318984 676.152586432115</t>
  </si>
  <si>
    <t>-368.725787753645 238.496186078075 760.626434206993</t>
  </si>
  <si>
    <t>-657.536262008845 24.1637757283943 -229.82615567427</t>
  </si>
  <si>
    <t>-669.234410721334 29.7034969345857 225.684654620281</t>
  </si>
  <si>
    <t>-729.988617744661 26.0221389535052 690.775547559544</t>
  </si>
  <si>
    <t>-595.600289778504 -56.3781332306683 768.836370971591</t>
  </si>
  <si>
    <t>9763-20170724T164431.586272000.bin</t>
  </si>
  <si>
    <t>-639.556901752197 123.021665721629 -234.479246659486</t>
  </si>
  <si>
    <t>-669.413451805361 124.523460809745 -351.842425710064</t>
  </si>
  <si>
    <t>-674.028534612663 110.704945883868 -472.168404375156</t>
  </si>
  <si>
    <t>-667.490372828166 92.6569775971662 -579.993985573154</t>
  </si>
  <si>
    <t>-650.280556695094 69.5432041255483 -685.655837635097</t>
  </si>
  <si>
    <t>-615.274702662591 32.6074684789747 -829.218871449007</t>
  </si>
  <si>
    <t>-560.414586011028 18.6657561958399 -913.947814552372</t>
  </si>
  <si>
    <t>-627.994001569982 79.7808845541977 -772.953326905904</t>
  </si>
  <si>
    <t>-633.847422934178 226.64211682755 -777.821311768865</t>
  </si>
  <si>
    <t>-616.202629527789 340.397010540177 -482.974451135924</t>
  </si>
  <si>
    <t>-417.538637765477 311.264797386153 -317.668721519594</t>
  </si>
  <si>
    <t>-633.533418171433 18.1199048491813 -758.440003287603</t>
  </si>
  <si>
    <t>-463.019365961945 56.0964354356119 -423.68598658093</t>
  </si>
  <si>
    <t>-618.745596372147 219.224834151727 -237.899833141535</t>
  </si>
  <si>
    <t>-510.048832859813 269.996926811802 201.719153464824</t>
  </si>
  <si>
    <t>-539.821724856693 284.773746698167 670.469347795654</t>
  </si>
  <si>
    <t>-387.134701275186 288.752014086897 757.729627304372</t>
  </si>
  <si>
    <t>-660.62899281692 27.4323948050205 -230.419051209208</t>
  </si>
  <si>
    <t>-677.626292517087 31.3382006845921 224.941776964699</t>
  </si>
  <si>
    <t>-730.102985244145 25.6562352114101 691.370852855058</t>
  </si>
  <si>
    <t>-595.67101598121 -56.5457220999261 769.565426999746</t>
  </si>
  <si>
    <t>9763-20170724T164431.625365600.bin</t>
  </si>
  <si>
    <t>-640.668157536486 125.429018835043 -235.052727169057</t>
  </si>
  <si>
    <t>-671.257958720232 126.89264511152 -352.227401696754</t>
  </si>
  <si>
    <t>-676.614189587013 113.096958961608 -472.525229945894</t>
  </si>
  <si>
    <t>-670.759238029898 95.0522593517742 -580.390796445838</t>
  </si>
  <si>
    <t>-654.250371330011 71.8990041863868 -686.155726341293</t>
  </si>
  <si>
    <t>-620.24037503316 34.839710930488 -829.926163689927</t>
  </si>
  <si>
    <t>-565.942825799528 20.4311216990564 -914.938790462583</t>
  </si>
  <si>
    <t>-632.182238291786 82.0473078090253 -773.519153836577</t>
  </si>
  <si>
    <t>-636.171420788033 228.96758053668 -778.071171925066</t>
  </si>
  <si>
    <t>-615.721459113681 341.602670430892 -482.975734573944</t>
  </si>
  <si>
    <t>-416.127783927648 310.34607158117 -319.184980453176</t>
  </si>
  <si>
    <t>-638.395224373916 20.427261983339 -759.105230114144</t>
  </si>
  <si>
    <t>-465.991873404447 54.6218071706746 -424.973318992229</t>
  </si>
  <si>
    <t>-619.719253663868 221.416763257843 -238.840200362554</t>
  </si>
  <si>
    <t>-510.883066125999 283.295498395793 199.31884134785</t>
  </si>
  <si>
    <t>-550.085315123787 309.518096075839 666.802617381307</t>
  </si>
  <si>
    <t>-398.434497323614 313.357989295053 755.857632991337</t>
  </si>
  <si>
    <t>-661.813851672487 29.7521593291209 -230.732218629858</t>
  </si>
  <si>
    <t>-681.189677957035 32.6951062468726 224.540897536008</t>
  </si>
  <si>
    <t>-730.20594221613 25.4821531577529 691.549929411725</t>
  </si>
  <si>
    <t>-595.68191680282 -56.5416837905514 769.773182470709</t>
  </si>
  <si>
    <t>9763-20170724T164431.686079200.bin</t>
  </si>
  <si>
    <t>-642.04055625642 131.850278862072 -235.638646705009</t>
  </si>
  <si>
    <t>-673.857745463449 133.56906974456 -352.482572334559</t>
  </si>
  <si>
    <t>-680.525703614596 120.157822479222 -472.758367959385</t>
  </si>
  <si>
    <t>-675.91071748916 102.428710622455 -580.736272570715</t>
  </si>
  <si>
    <t>-660.704381070232 79.5076120049748 -686.746771470691</t>
  </si>
  <si>
    <t>-628.575345776249 42.6359667141828 -830.997326814946</t>
  </si>
  <si>
    <t>-575.233641766482 27.595777007679 -916.504352658179</t>
  </si>
  <si>
    <t>-639.087263703593 89.7323915534213 -774.213966762717</t>
  </si>
  <si>
    <t>-639.913368422468 236.731810693646 -777.856886096859</t>
  </si>
  <si>
    <t>-614.140326311377 346.012630246124 -481.918294705046</t>
  </si>
  <si>
    <t>-413.242834962699 309.031010081837 -320.93819580612</t>
  </si>
  <si>
    <t>-646.495713445777 28.1686751680437 -760.127899716075</t>
  </si>
  <si>
    <t>-469.969603401007 54.4828142407545 -426.899338963249</t>
  </si>
  <si>
    <t>-621.277395154749 227.394829099716 -239.656288175395</t>
  </si>
  <si>
    <t>-515.848001623993 309.834278725631 195.942167075891</t>
  </si>
  <si>
    <t>-573.238569793739 357.807931860168 659.771646911332</t>
  </si>
  <si>
    <t>-423.955349822516 365.727896807157 752.482586797703</t>
  </si>
  <si>
    <t>-662.888792936112 36.3751580400068 -230.99079989264</t>
  </si>
  <si>
    <t>-687.649654483363 36.0974384838862 224.030630577393</t>
  </si>
  <si>
    <t>-730.556471159193 25.1911199583707 691.9051203485</t>
  </si>
  <si>
    <t>-595.766704169696 -56.4888459510943 770.030784700505</t>
  </si>
  <si>
    <t>9763-20170724T164431.720175200.bin</t>
  </si>
  <si>
    <t>-642.366771614707 136.43327746939 -235.561355452024</t>
  </si>
  <si>
    <t>-674.558738309709 138.399043098249 -352.29875916231</t>
  </si>
  <si>
    <t>-681.705017227146 125.284776600501 -472.579752768846</t>
  </si>
  <si>
    <t>-677.57306414564 107.808213311604 -580.618420254117</t>
  </si>
  <si>
    <t>-662.903213915136 85.1016915317811 -686.750665833949</t>
  </si>
  <si>
    <t>-631.576948569655 48.4679795099269 -831.238125120694</t>
  </si>
  <si>
    <t>-578.616233366155 33.2549853976311 -916.951211254877</t>
  </si>
  <si>
    <t>-641.47045684232 95.4493438853731 -774.248751622286</t>
  </si>
  <si>
    <t>-640.991950064298 242.467285873822 -777.365901675272</t>
  </si>
  <si>
    <t>-612.911777699952 349.824563836791 -480.933635356933</t>
  </si>
  <si>
    <t>-411.553862601889 308.984906176641 -321.468439548824</t>
  </si>
  <si>
    <t>-649.405261525643 33.9052317426067 -760.365063641844</t>
  </si>
  <si>
    <t>-470.671199513119 56.2088075745343 -427.351557143507</t>
  </si>
  <si>
    <t>-621.703244440916 231.848252423877 -239.420236704643</t>
  </si>
  <si>
    <t>-519.48485705622 323.167909504843 195.171325746599</t>
  </si>
  <si>
    <t>-585.061397907012 380.37467067219 656.947472444333</t>
  </si>
  <si>
    <t>-436.827755100846 390.38912561387 751.128147846844</t>
  </si>
  <si>
    <t>-663.189177131332 40.974008461656 -230.88724637093</t>
  </si>
  <si>
    <t>-689.878048115023 38.5138166300601 224.018595219353</t>
  </si>
  <si>
    <t>-730.803982998367 25.045403452817 692.120475372663</t>
  </si>
  <si>
    <t>-595.839120849946 -56.4528710090585 770.133423437118</t>
  </si>
  <si>
    <t>9763-20170724T164431.787367400.bin</t>
  </si>
  <si>
    <t>-642.285011234738 149.862004592663 -234.724535151804</t>
  </si>
  <si>
    <t>-675.108428168043 152.727086903527 -351.267377415467</t>
  </si>
  <si>
    <t>-683.049783894963 140.528006251082 -471.594735584571</t>
  </si>
  <si>
    <t>-679.712501677217 123.825139533401 -579.783114084757</t>
  </si>
  <si>
    <t>-665.915954216828 101.803550866022 -686.176472637274</t>
  </si>
  <si>
    <t>-635.886310481495 65.9966872810151 -831.145861755394</t>
  </si>
  <si>
    <t>-583.444553542847 50.7347685305452 -917.168653704273</t>
  </si>
  <si>
    <t>-644.75817461849 112.608073575105 -773.686366461754</t>
  </si>
  <si>
    <t>-642.004350799767 259.62524784381 -775.797179030136</t>
  </si>
  <si>
    <t>-611.385977214557 362.662978395315 -478.085900518705</t>
  </si>
  <si>
    <t>-409.262102388665 310.930725975432 -322.806347644967</t>
  </si>
  <si>
    <t>-653.588855125889 51.0721667752938 -760.316502639042</t>
  </si>
  <si>
    <t>-470.571682583166 64.8045153949261 -427.396753427557</t>
  </si>
  <si>
    <t>-621.332939506961 245.405857873639 -237.922571616678</t>
  </si>
  <si>
    <t>-527.804627495345 346.7559357476 196.402532661431</t>
  </si>
  <si>
    <t>-608.37432291036 421.509565303558 653.455829934084</t>
  </si>
  <si>
    <t>-462.493277252582 436.475799074685 750.60645219676</t>
  </si>
  <si>
    <t>-663.598707247709 54.7924283711515 -230.570595030352</t>
  </si>
  <si>
    <t>-691.959753625222 45.8744880433718 224.153258183731</t>
  </si>
  <si>
    <t>-730.948774160182 25.0977610000757 692.186645325761</t>
  </si>
  <si>
    <t>-595.994326213399 -56.4798828709046 770.134716233073</t>
  </si>
  <si>
    <t>9763-20170724T164431.820455900.bin</t>
  </si>
  <si>
    <t>-642.105457710817 158.791920311433 -233.594307811607</t>
  </si>
  <si>
    <t>-674.96060400946 162.317768654105 -350.110141810459</t>
  </si>
  <si>
    <t>-683.08419782508 150.697298810693 -470.482522548857</t>
  </si>
  <si>
    <t>-679.980568275436 134.451912633905 -578.747457812643</t>
  </si>
  <si>
    <t>-666.489485808856 112.80330105964 -685.256663948597</t>
  </si>
  <si>
    <t>-636.960558095011 77.4097802922474 -830.430020822938</t>
  </si>
  <si>
    <t>-584.696031389199 62.1602399505994 -916.562872012329</t>
  </si>
  <si>
    <t>-645.435468865774 123.837888617691 -772.762683743606</t>
  </si>
  <si>
    <t>-641.765603745661 270.831024656826 -774.468975864096</t>
  </si>
  <si>
    <t>-610.646530399042 371.869512954342 -476.125255827426</t>
  </si>
  <si>
    <t>-408.112614955853 313.019080231297 -323.94544271943</t>
  </si>
  <si>
    <t>-654.616918548693 62.3027432437057 -759.62787643032</t>
  </si>
  <si>
    <t>-469.595744810448 71.4860111276876 -426.901320172746</t>
  </si>
  <si>
    <t>-621.131119537882 254.382643749831 -236.312628396667</t>
  </si>
  <si>
    <t>-532.163136815104 357.237509931552 198.616361472047</t>
  </si>
  <si>
    <t>-619.636565329557 439.597662759848 653.324325230271</t>
  </si>
  <si>
    <t>-474.486936058228 451.037136193404 752.037292257872</t>
  </si>
  <si>
    <t>-663.274196505776 63.6205216671712 -230.205296485846</t>
  </si>
  <si>
    <t>-692.041801269708 50.8696278997245 224.401703674377</t>
  </si>
  <si>
    <t>-730.935306471162 25.0934366215322 692.14269980682</t>
  </si>
  <si>
    <t>-595.861715161389 -56.2878686922252 770.089511905436</t>
  </si>
  <si>
    <t>9763-20170724T164431.887148800.bin</t>
  </si>
  <si>
    <t>-641.521869650884 179.701092344008 -230.891247926299</t>
  </si>
  <si>
    <t>-674.562818665866 185.40237122157 -347.26822557697</t>
  </si>
  <si>
    <t>-683.062329007129 175.473452232292 -467.766143731971</t>
  </si>
  <si>
    <t>-680.381439125856 160.498067679725 -576.225328913938</t>
  </si>
  <si>
    <t>-667.399639345184 139.826921300535 -682.991561632847</t>
  </si>
  <si>
    <t>-638.672096314764 105.459717999313 -828.571888601883</t>
  </si>
  <si>
    <t>-586.626381443832 90.2334578870829 -914.841102965805</t>
  </si>
  <si>
    <t>-646.492182862671 151.443299831087 -770.457546217337</t>
  </si>
  <si>
    <t>-641.66956875223 298.423030461195 -771.098540225193</t>
  </si>
  <si>
    <t>-610.163461425397 394.473752799267 -471.152183989659</t>
  </si>
  <si>
    <t>-406.943309038565 321.481030774163 -326.184306756101</t>
  </si>
  <si>
    <t>-656.274118621025 89.8889910756323 -757.856724160429</t>
  </si>
  <si>
    <t>-467.539718867854 89.0336992478717 -424.663827364889</t>
  </si>
  <si>
    <t>-620.530483810424 275.36363298681 -232.253507290434</t>
  </si>
  <si>
    <t>-546.62281576173 374.704255179376 206.297267326016</t>
  </si>
  <si>
    <t>-627.347455374149 460.059758248074 660.72506986557</t>
  </si>
  <si>
    <t>-480.649852878531 461.965864897092 757.780161886653</t>
  </si>
  <si>
    <t>-662.803674467365 84.467586653975 -229.215308714564</t>
  </si>
  <si>
    <t>-691.279622473662 62.9227791976456 225.078253136033</t>
  </si>
  <si>
    <t>-730.611168550127 25.3200658849224 691.764765234277</t>
  </si>
  <si>
    <t>-595.453162565392 -55.7367422443411 769.903263253513</t>
  </si>
  <si>
    <t>9763-20170724T164431.920231000.bin</t>
  </si>
  <si>
    <t>-641.02451265678 192.279642758273 -229.723498482915</t>
  </si>
  <si>
    <t>-673.702358647042 198.723401450165 -346.164156155174</t>
  </si>
  <si>
    <t>-682.078988988165 189.499704341152 -466.726714012895</t>
  </si>
  <si>
    <t>-679.395723902598 175.11928260757 -575.266362189992</t>
  </si>
  <si>
    <t>-666.523481482529 154.983659244659 -682.148137609692</t>
  </si>
  <si>
    <t>-638.06565600967 121.283231736761 -827.937160721422</t>
  </si>
  <si>
    <t>-585.962654410447 106.046624100542 -914.170003698135</t>
  </si>
  <si>
    <t>-645.628118201615 166.982867616311 -769.565253660537</t>
  </si>
  <si>
    <t>-640.508502674445 313.986780380326 -769.567945294629</t>
  </si>
  <si>
    <t>-608.739591117496 406.590949718579 -468.567352139309</t>
  </si>
  <si>
    <t>-405.489857991235 327.328468563477 -326.972620675933</t>
  </si>
  <si>
    <t>-655.686625413326 105.406399539611 -757.294745443631</t>
  </si>
  <si>
    <t>-465.35852535549 98.7694105261793 -423.483193925909</t>
  </si>
  <si>
    <t>-619.965028671172 287.692243262358 -230.316876266998</t>
  </si>
  <si>
    <t>-555.489361367231 384.157792763084 210.358677391474</t>
  </si>
  <si>
    <t>-629.403390047279 460.784330566075 668.054444564511</t>
  </si>
  <si>
    <t>-480.825226543928 461.37351746721 762.222863570081</t>
  </si>
  <si>
    <t>-662.284568214771 97.0405863725003 -228.628666425563</t>
  </si>
  <si>
    <t>-690.432487658752 70.3110611039005 225.409733691523</t>
  </si>
  <si>
    <t>-730.334595170923 25.5944915170357 691.495379832344</t>
  </si>
  <si>
    <t>-595.508550410057 -55.823580843549 769.831455518642</t>
  </si>
  <si>
    <t>9763-20170724T164431.985082900.bin</t>
  </si>
  <si>
    <t>-640.343765613349 221.73147086571 -227.360607780025</t>
  </si>
  <si>
    <t>-672.181953433563 228.44844547734 -344.018286380076</t>
  </si>
  <si>
    <t>-679.96912167249 220.055691635086 -464.680984524928</t>
  </si>
  <si>
    <t>-676.892278213676 206.603820307728 -573.32926233463</t>
  </si>
  <si>
    <t>-663.78062729909 187.539912965749 -680.378254971437</t>
  </si>
  <si>
    <t>-635.159152005492 155.443711434033 -826.496841208926</t>
  </si>
  <si>
    <t>-582.611171113159 140.422484010271 -912.497209228639</t>
  </si>
  <si>
    <t>-642.540848117016 200.468119547627 -767.579735468554</t>
  </si>
  <si>
    <t>-636.646126891252 347.38179556971 -766.017853642235</t>
  </si>
  <si>
    <t>-603.981976385033 432.762422145137 -462.984256472243</t>
  </si>
  <si>
    <t>-401.886787080431 341.920812778246 -326.795462683794</t>
  </si>
  <si>
    <t>-653.105667736796 138.822493146527 -756.108216536552</t>
  </si>
  <si>
    <t>-697.594996361213 16.0248456708106 -397.301025264856</t>
  </si>
  <si>
    <t>-460.469692700006 120.320068566792 -420.456161417122</t>
  </si>
  <si>
    <t>-619.292065336883 317.38286617678 -227.452002555825</t>
  </si>
  <si>
    <t>-582.675301854696 390.859806597224 220.786814564178</t>
  </si>
  <si>
    <t>-637.136907345764 456.451213856725 682.767969858571</t>
  </si>
  <si>
    <t>-484.077395422764 462.562809999783 769.248912259992</t>
  </si>
  <si>
    <t>-661.443247191892 126.201946117583 -226.664194535173</t>
  </si>
  <si>
    <t>-688.097022907971 87.9100736834222 226.635851032769</t>
  </si>
  <si>
    <t>-729.36798967032 26.3995143892079 690.533618939092</t>
  </si>
  <si>
    <t>-595.436842049239 -55.8920894333224 769.489582227635</t>
  </si>
  <si>
    <t>9763-20170724T164432.017167900.bin</t>
  </si>
  <si>
    <t>-639.827141993391 237.488272116441 -226.813787292063</t>
  </si>
  <si>
    <t>-671.92168104972 243.918060570708 -343.417315884757</t>
  </si>
  <si>
    <t>-679.65316216447 235.661608507414 -464.09310689703</t>
  </si>
  <si>
    <t>-676.400183345448 222.507518229086 -572.772525073133</t>
  </si>
  <si>
    <t>-662.988779153791 203.917154842708 -679.867743954451</t>
  </si>
  <si>
    <t>-633.825161756637 172.662140479822 -826.061486113612</t>
  </si>
  <si>
    <t>-580.83141776152 157.896286339335 -911.832215601048</t>
  </si>
  <si>
    <t>-641.337193166382 217.335091643131 -766.893848303585</t>
  </si>
  <si>
    <t>-635.463141758879 364.329670226715 -764.470498069327</t>
  </si>
  <si>
    <t>-601.871212064735 445.832032704594 -460.471846237885</t>
  </si>
  <si>
    <t>-401.578127811999 349.403735354591 -325.467034135779</t>
  </si>
  <si>
    <t>-652.121075136822 155.647950695689 -755.856812391929</t>
  </si>
  <si>
    <t>-667.69743336111 16.0654485221701 -712.504771977417</t>
  </si>
  <si>
    <t>-699.764342819798 33.3436092033705 -398.085665058458</t>
  </si>
  <si>
    <t>-459.886426932023 131.683134452547 -418.821522464786</t>
  </si>
  <si>
    <t>-619.08490524923 331.348352275725 -227.193417931853</t>
  </si>
  <si>
    <t>-597.06690683435 401.893397348787 222.468979530626</t>
  </si>
  <si>
    <t>-638.818487972115 463.228754686451 686.490912339427</t>
  </si>
  <si>
    <t>-484.916895218145 469.677991347442 771.439257679682</t>
  </si>
  <si>
    <t>-661.318779249012 142.35294584758 -225.45406596738</t>
  </si>
  <si>
    <t>-686.018692781236 97.2440294677033 227.32931030312</t>
  </si>
  <si>
    <t>-728.689897126672 26.9124400007202 689.858097781469</t>
  </si>
  <si>
    <t>-595.383423832757 -55.9939917005239 769.227000287502</t>
  </si>
  <si>
    <t>9763-20170724T164432.091045400.bin</t>
  </si>
  <si>
    <t>-639.989399310261 272.349712185475 -230.294365513871</t>
  </si>
  <si>
    <t>-670.116686165334 277.02015735697 -347.505023277641</t>
  </si>
  <si>
    <t>-676.306596239777 268.481347586913 -468.249902417982</t>
  </si>
  <si>
    <t>-671.857611955843 255.708342368897 -576.932520101959</t>
  </si>
  <si>
    <t>-657.447285137546 238.148973848085 -684.071929124056</t>
  </si>
  <si>
    <t>-627.091844715359 209.0066732876 -830.459325450902</t>
  </si>
  <si>
    <t>-573.047072743619 194.886632137192 -915.681292697396</t>
  </si>
  <si>
    <t>-634.844901455601 252.786377196284 -770.658617644217</t>
  </si>
  <si>
    <t>-627.981025368082 399.509529053728 -766.287070147655</t>
  </si>
  <si>
    <t>-592.893798244556 475.124764465029 -460.938972742886</t>
  </si>
  <si>
    <t>-398.430426442634 369.600925609314 -324.22477854993</t>
  </si>
  <si>
    <t>-646.201508671124 191.015975157594 -760.716394679976</t>
  </si>
  <si>
    <t>-663.583379315802 50.7175048093985 -719.871828132675</t>
  </si>
  <si>
    <t>-701.885238717552 68.2772531593899 -406.166886521507</t>
  </si>
  <si>
    <t>-457.625968301941 156.384599004293 -420.882828837657</t>
  </si>
  <si>
    <t>-615.674723972059 368.368370714817 -234.013631156038</t>
  </si>
  <si>
    <t>-612.417510221169 424.478803033091 218.201615025057</t>
  </si>
  <si>
    <t>-633.938363370289 473.107683334099 682.878747881169</t>
  </si>
  <si>
    <t>-479.424765398458 481.226187560724 766.563516486666</t>
  </si>
  <si>
    <t>-662.680406797655 177.188336557726 -226.096288929019</t>
  </si>
  <si>
    <t>-678.563845340581 117.213760179427 225.355104164979</t>
  </si>
  <si>
    <t>-726.893638287328 28.5928054178626 685.48660673674</t>
  </si>
  <si>
    <t>-595.758316447267 -56.6894215929963 765.947662798794</t>
  </si>
  <si>
    <t>9763-20170724T164432.123130000.bin</t>
  </si>
  <si>
    <t>-639.824859232736 290.258987678532 -233.131826228628</t>
  </si>
  <si>
    <t>-668.950705020917 294.852704936296 -350.598339980378</t>
  </si>
  <si>
    <t>-674.193597559689 286.629917230914 -471.410049643147</t>
  </si>
  <si>
    <t>-668.915410772416 274.324795214267 -580.109604996318</t>
  </si>
  <si>
    <t>-653.702333403212 257.429150571839 -687.244638975054</t>
  </si>
  <si>
    <t>-622.256699981421 229.423746336947 -833.623963893487</t>
  </si>
  <si>
    <t>-567.503227386989 215.624094710959 -918.445017559379</t>
  </si>
  <si>
    <t>-630.258796485715 272.708082916422 -773.496152845444</t>
  </si>
  <si>
    <t>-622.325447539163 419.436237529327 -767.930755789706</t>
  </si>
  <si>
    <t>-588.223766396868 492.392163861597 -461.824989280167</t>
  </si>
  <si>
    <t>-396.905430060762 383.126884482571 -323.620551709467</t>
  </si>
  <si>
    <t>-642.082047489683 210.922417381948 -764.215234826034</t>
  </si>
  <si>
    <t>-660.86003785447 70.5355972521282 -724.765497236171</t>
  </si>
  <si>
    <t>-703.589600896167 87.7680229611619 -411.614564696649</t>
  </si>
  <si>
    <t>-457.455991002231 171.074523364517 -422.584776692056</t>
  </si>
  <si>
    <t>-613.08489380887 385.900909868467 -238.191948634108</t>
  </si>
  <si>
    <t>-620.116062104869 434.085047163684 214.893663022479</t>
  </si>
  <si>
    <t>-634.487494706594 475.186737092193 680.40835403401</t>
  </si>
  <si>
    <t>-479.276880789266 483.628354865912 762.76070563926</t>
  </si>
  <si>
    <t>-664.6330060753 195.194455570624 -227.880593371163</t>
  </si>
  <si>
    <t>-672.791381240631 127.339431576663 222.659970469516</t>
  </si>
  <si>
    <t>-725.932420794525 29.1109815792751 681.132575017067</t>
  </si>
  <si>
    <t>-595.88966815522 -57.1099793298067 762.362691991194</t>
  </si>
  <si>
    <t>9763-20170724T164432.186002300.bin</t>
  </si>
  <si>
    <t>-641.628091480503 319.87507064814 -237.858610620203</t>
  </si>
  <si>
    <t>-669.385162822039 324.301301181757 -355.662587529192</t>
  </si>
  <si>
    <t>-672.670927960628 316.473108986858 -476.569544564246</t>
  </si>
  <si>
    <t>-665.405978397218 304.777810671747 -585.221576004234</t>
  </si>
  <si>
    <t>-648.00385607878 288.766075325273 -692.159122591289</t>
  </si>
  <si>
    <t>-613.321757250708 262.290425179813 -838.091416437213</t>
  </si>
  <si>
    <t>-556.787238877206 248.395148215307 -921.720012952235</t>
  </si>
  <si>
    <t>-621.922687316672 304.818389542406 -777.508189099755</t>
  </si>
  <si>
    <t>-611.036294791727 451.248072917045 -769.178187071122</t>
  </si>
  <si>
    <t>-581.599148294232 519.908887199318 -461.598526780074</t>
  </si>
  <si>
    <t>-398.042061722775 402.221249919286 -319.82939914044</t>
  </si>
  <si>
    <t>-635.412328419499 243.191791889726 -769.533658045267</t>
  </si>
  <si>
    <t>-658.725733525156 102.656217246454 -733.129188001107</t>
  </si>
  <si>
    <t>-711.275060303385 117.932456982596 -421.373784488821</t>
  </si>
  <si>
    <t>-462.08212801192 192.346151812909 -424.116820676086</t>
  </si>
  <si>
    <t>-613.142700530529 413.386465556716 -242.652132044476</t>
  </si>
  <si>
    <t>-623.66640683628 452.592903673111 211.230968526556</t>
  </si>
  <si>
    <t>-634.389793973672 477.465719479574 678.332147660791</t>
  </si>
  <si>
    <t>-478.484483698816 485.884223424945 759.364048018915</t>
  </si>
  <si>
    <t>-669.61092601689 225.700501394706 -231.898469424939</t>
  </si>
  <si>
    <t>-658.46590517718 143.486491770091 216.180011242487</t>
  </si>
  <si>
    <t>-722.262171027203 29.941885397945 670.240921164367</t>
  </si>
  <si>
    <t>-595.960124792383 -58.6102213893987 754.797499623404</t>
  </si>
  <si>
    <t>9763-20170724T164432.218087700.bin</t>
  </si>
  <si>
    <t>-642.185554006043 331.899552730518 -240.192344519127</t>
  </si>
  <si>
    <t>-668.321480607284 336.844903063007 -358.345863590758</t>
  </si>
  <si>
    <t>-670.013948836861 329.5811980586 -479.320808572391</t>
  </si>
  <si>
    <t>-661.337714122376 318.420703795514 -587.925735241639</t>
  </si>
  <si>
    <t>-642.561438680044 302.97593862089 -694.714132275763</t>
  </si>
  <si>
    <t>-606.014944490402 277.327329910036 -840.33870583401</t>
  </si>
  <si>
    <t>-548.379306407722 263.2453534492 -923.180773971871</t>
  </si>
  <si>
    <t>-614.874097992723 319.410155897247 -779.482551539791</t>
  </si>
  <si>
    <t>-601.521134318574 465.461890234096 -769.731936585433</t>
  </si>
  <si>
    <t>-576.354635445845 532.725021124752 -461.465053647457</t>
  </si>
  <si>
    <t>-396.861431442906 410.865830164949 -318.026599469474</t>
  </si>
  <si>
    <t>-629.497158654828 257.941884153494 -772.326083020176</t>
  </si>
  <si>
    <t>-655.501061810474 117.307699973157 -737.85315590566</t>
  </si>
  <si>
    <t>-712.656617437078 132.233233424382 -426.892247171132</t>
  </si>
  <si>
    <t>-462.117307212582 202.017365247693 -425.38338478895</t>
  </si>
  <si>
    <t>-611.102298134857 424.90105884628 -244.299951122931</t>
  </si>
  <si>
    <t>-624.24819895758 459.364227025909 209.899554700327</t>
  </si>
  <si>
    <t>-634.672876277229 478.065468163236 677.808555778195</t>
  </si>
  <si>
    <t>-478.624139893549 485.895665021378 758.623023797353</t>
  </si>
  <si>
    <t>-672.105451072329 237.954296882937 -235.090506274596</t>
  </si>
  <si>
    <t>-650.896586372047 150.709449115983 211.671353745207</t>
  </si>
  <si>
    <t>-719.159148447033 32.6188119478552 663.701582164797</t>
  </si>
  <si>
    <t>-597.119133355405 -59.5607684547967 750.607714337998</t>
  </si>
  <si>
    <t>9763-20170724T164432.287957300.bin</t>
  </si>
  <si>
    <t>-643.948093935752 353.879490585531 -246.600941580497</t>
  </si>
  <si>
    <t>-668.02134809165 361.349108285486 -365.059823002994</t>
  </si>
  <si>
    <t>-667.472814198766 356.040837836744 -486.146881972145</t>
  </si>
  <si>
    <t>-656.703962440922 346.431310800179 -594.712753935643</t>
  </si>
  <si>
    <t>-635.773682365064 332.344743163209 -701.288237380364</t>
  </si>
  <si>
    <t>-596.178328049169 308.404424113966 -846.405669050493</t>
  </si>
  <si>
    <t>-536.450490799263 293.678530344333 -927.6382068192</t>
  </si>
  <si>
    <t>-605.125753797416 349.495090983718 -784.887967116355</t>
  </si>
  <si>
    <t>-586.245624786995 494.78846317445 -771.796086694943</t>
  </si>
  <si>
    <t>-569.783420540668 561.374745960966 -462.795314094834</t>
  </si>
  <si>
    <t>-398.49324059479 431.209026416497 -316.649490660013</t>
  </si>
  <si>
    <t>-622.270345855526 288.499473432884 -779.503407325458</t>
  </si>
  <si>
    <t>-654.373725794859 148.326140994254 -748.993877672049</t>
  </si>
  <si>
    <t>-719.867770542918 162.639382612043 -439.652962218683</t>
  </si>
  <si>
    <t>-466.940679668643 222.449616826308 -430.025413635752</t>
  </si>
  <si>
    <t>-609.199721644445 445.759905464776 -247.88276500658</t>
  </si>
  <si>
    <t>-625.514422322722 470.031296288758 206.872493247484</t>
  </si>
  <si>
    <t>-635.009181514208 478.871330023192 676.209713380366</t>
  </si>
  <si>
    <t>-478.842613184509 483.785727481531 757.026589367574</t>
  </si>
  <si>
    <t>-679.352944287115 262.57559144245 -244.972116847551</t>
  </si>
  <si>
    <t>-640.374652197519 170.130466909077 199.541264124684</t>
  </si>
  <si>
    <t>-711.441090729011 64.8400601576469 651.163786116709</t>
  </si>
  <si>
    <t>-605.932733005424 -43.9245663520549 740.504472917629</t>
  </si>
  <si>
    <t>9763-20170724T164432.321045800.bin</t>
  </si>
  <si>
    <t>-645.506202667398 363.960942018764 -249.203486497724</t>
  </si>
  <si>
    <t>-668.748952183078 372.504975986417 -367.755492841292</t>
  </si>
  <si>
    <t>-667.349392381941 368.120780873708 -488.872732692637</t>
  </si>
  <si>
    <t>-655.809088206276 359.280450361715 -597.424714494102</t>
  </si>
  <si>
    <t>-634.108219773243 345.90008571664 -703.936966940124</t>
  </si>
  <si>
    <t>-593.446497603706 322.878065375427 -848.908080409293</t>
  </si>
  <si>
    <t>-532.982402368627 307.725670235433 -929.515092838794</t>
  </si>
  <si>
    <t>-602.205508819993 363.406712162313 -786.99189574372</t>
  </si>
  <si>
    <t>-580.472367210615 508.083606767971 -772.032568699308</t>
  </si>
  <si>
    <t>-568.650518612608 574.758882217674 -462.838834166379</t>
  </si>
  <si>
    <t>-401.468212617799 440.492644512407 -315.649448692764</t>
  </si>
  <si>
    <t>-620.670546013313 302.722478735614 -782.534029056185</t>
  </si>
  <si>
    <t>-655.989875128541 162.835312519267 -754.06241400695</t>
  </si>
  <si>
    <t>-725.857595286617 176.649045389408 -445.657085264157</t>
  </si>
  <si>
    <t>-472.018278600085 231.654127079597 -432.163089593911</t>
  </si>
  <si>
    <t>-608.24376614688 454.459564866385 -249.377787598485</t>
  </si>
  <si>
    <t>-626.415013805682 475.028769721369 205.489591586049</t>
  </si>
  <si>
    <t>-635.190589847027 479.379241893995 675.445587623562</t>
  </si>
  <si>
    <t>-479.027535057205 482.482457034278 756.358982238797</t>
  </si>
  <si>
    <t>-683.167776827346 273.588521671053 -248.663016609848</t>
  </si>
  <si>
    <t>-637.318698265047 180.351373126229 195.02866907742</t>
  </si>
  <si>
    <t>-704.503625017196 89.3585108402677 650.410901743265</t>
  </si>
  <si>
    <t>-611.48391043158 -30.547073477115 739.368687024313</t>
  </si>
  <si>
    <t>9763-20170724T164432.386944700.bin</t>
  </si>
  <si>
    <t>-647.479889447329 379.25066386734 -252.305481007773</t>
  </si>
  <si>
    <t>-669.782307454837 390.118790745128 -370.847869998755</t>
  </si>
  <si>
    <t>-667.125075385618 387.716474796359 -491.999524209403</t>
  </si>
  <si>
    <t>-654.323741179608 380.51960711043 -600.531469550093</t>
  </si>
  <si>
    <t>-631.243140032375 368.644121850341 -706.932203398791</t>
  </si>
  <si>
    <t>-588.550436790779 347.576601356003 -851.616234404437</t>
  </si>
  <si>
    <t>-526.95800865839 331.753395159457 -931.234026702318</t>
  </si>
  <si>
    <t>-596.940794844647 386.881589212705 -788.865667226789</t>
  </si>
  <si>
    <t>-569.432579989446 530.052876893774 -769.694484711556</t>
  </si>
  <si>
    <t>-566.163046263082 596.201329233686 -460.178786969051</t>
  </si>
  <si>
    <t>-406.574832752604 455.689791152665 -310.411664995216</t>
  </si>
  <si>
    <t>-617.940470347419 326.915070238836 -786.330507139472</t>
  </si>
  <si>
    <t>-659.329539085778 187.895285679688 -762.055867005088</t>
  </si>
  <si>
    <t>-737.589000696189 201.158710066302 -455.648090249939</t>
  </si>
  <si>
    <t>-482.601800295831 247.689758297551 -434.236894994538</t>
  </si>
  <si>
    <t>-604.944186371867 467.575251477803 -251.15053872239</t>
  </si>
  <si>
    <t>-627.490594715373 482.801762463227 203.731347814001</t>
  </si>
  <si>
    <t>-635.525037545075 480.494642189376 674.129724052861</t>
  </si>
  <si>
    <t>-479.425060765504 480.93094706516 755.223008325596</t>
  </si>
  <si>
    <t>-689.793647595523 290.658534220887 -252.811887904444</t>
  </si>
  <si>
    <t>-635.1271778076 202.136236609574 190.846842989236</t>
  </si>
  <si>
    <t>-689.140700784557 138.268152435054 653.161100122288</t>
  </si>
  <si>
    <t>-621.039013507771 1.77660798000438 740.772299605447</t>
  </si>
  <si>
    <t>9763-20170724T164432.420032500.bin</t>
  </si>
  <si>
    <t>-647.561409135812 385.502966893046 -253.192139587206</t>
  </si>
  <si>
    <t>-669.16146482279 397.375070044095 -371.76818530806</t>
  </si>
  <si>
    <t>-665.748903997417 395.92492786689 -492.916206254498</t>
  </si>
  <si>
    <t>-652.252269911961 389.557252036312 -601.415593187376</t>
  </si>
  <si>
    <t>-628.468306363957 378.478254495692 -707.747330711906</t>
  </si>
  <si>
    <t>-584.794794984805 358.48214365522 -852.290678870378</t>
  </si>
  <si>
    <t>-522.729694304012 342.422646401017 -931.492929069059</t>
  </si>
  <si>
    <t>-593.039002304888 397.120464867309 -789.108274027864</t>
  </si>
  <si>
    <t>-562.777965236368 539.411728825488 -767.742650139173</t>
  </si>
  <si>
    <t>-562.797380799305 604.782203045361 -458.044774637117</t>
  </si>
  <si>
    <t>-406.927068277799 461.575451547764 -306.921100691799</t>
  </si>
  <si>
    <t>-615.198979731143 337.539068470531 -787.561329216348</t>
  </si>
  <si>
    <t>-659.486713598501 199.049354578137 -765.413487144116</t>
  </si>
  <si>
    <t>-741.51376663604 211.643710669493 -459.964444911367</t>
  </si>
  <si>
    <t>-486.301034717855 254.721150965199 -434.413074751298</t>
  </si>
  <si>
    <t>-603.03430785001 472.937950597224 -251.608191433619</t>
  </si>
  <si>
    <t>-626.727931168032 485.559758407275 203.295140267957</t>
  </si>
  <si>
    <t>-635.663553611474 480.7212869389 673.945354785699</t>
  </si>
  <si>
    <t>-479.614369995456 479.817755139121 755.132466037183</t>
  </si>
  <si>
    <t>-691.160237191692 298.099751646543 -254.346232853865</t>
  </si>
  <si>
    <t>-634.826426145008 212.242695505324 189.627497487563</t>
  </si>
  <si>
    <t>-685.483878173024 155.866566536882 653.853130096931</t>
  </si>
  <si>
    <t>-620.111225340074 17.6116612624405 740.775562252627</t>
  </si>
  <si>
    <t>9763-20170724T164432.485830100.bin</t>
  </si>
  <si>
    <t>-646.548095063131 396.76653709224 -254.506722834353</t>
  </si>
  <si>
    <t>-667.595334969241 410.984542967453 -372.924155238456</t>
  </si>
  <si>
    <t>-663.21530754289 411.604472212434 -494.048020006716</t>
  </si>
  <si>
    <t>-648.685987683836 406.968532614722 -602.501997527719</t>
  </si>
  <si>
    <t>-623.721435838891 397.477547736837 -708.716554235175</t>
  </si>
  <si>
    <t>-578.268060540072 379.535292348289 -852.980399416066</t>
  </si>
  <si>
    <t>-515.433996577471 363.066096891544 -931.489278383782</t>
  </si>
  <si>
    <t>-586.334710416611 416.897814310497 -789.01247608212</t>
  </si>
  <si>
    <t>-551.083970975787 557.429571263614 -763.708885633766</t>
  </si>
  <si>
    <t>-556.250294979166 621.07355338371 -453.694448696635</t>
  </si>
  <si>
    <t>-407.580636812003 471.969660796671 -301.026945286715</t>
  </si>
  <si>
    <t>-610.424797760877 358.050527747737 -789.283670882499</t>
  </si>
  <si>
    <t>-659.365776550159 220.576413705378 -771.280353372401</t>
  </si>
  <si>
    <t>-748.615611655977 231.690087625865 -467.80521103483</t>
  </si>
  <si>
    <t>-493.357337922386 268.748713628385 -434.45971477204</t>
  </si>
  <si>
    <t>-599.167648682533 482.677070689959 -251.77786822743</t>
  </si>
  <si>
    <t>-624.256320983996 490.335516715598 203.161221641288</t>
  </si>
  <si>
    <t>-635.549366128928 481.426178153196 673.217766472077</t>
  </si>
  <si>
    <t>-479.769845123084 478.679026225763 754.879894877716</t>
  </si>
  <si>
    <t>-694.068034152272 311.458912575687 -256.102905543814</t>
  </si>
  <si>
    <t>-637.237303008787 227.518255310357 188.173893126781</t>
  </si>
  <si>
    <t>-679.763520111452 175.871854359621 653.284916388739</t>
  </si>
  <si>
    <t>-605.516968146863 41.0613979925156 738.473564965231</t>
  </si>
  <si>
    <t>9763-20170724T164432.520923300.bin</t>
  </si>
  <si>
    <t>-646.482798371524 402.462398615542 -254.920150448761</t>
  </si>
  <si>
    <t>-667.813276991223 417.737740231481 -373.155075486089</t>
  </si>
  <si>
    <t>-663.340512991097 419.259641900086 -494.267545489064</t>
  </si>
  <si>
    <t>-648.579851295196 415.352083796827 -602.718919856314</t>
  </si>
  <si>
    <t>-623.24490177665 406.493202252854 -708.900393090385</t>
  </si>
  <si>
    <t>-577.143416457116 389.323100319225 -853.052641818797</t>
  </si>
  <si>
    <t>-514.051860270403 372.640192845587 -931.30933149323</t>
  </si>
  <si>
    <t>-585.111866748795 426.179535862543 -788.779628006518</t>
  </si>
  <si>
    <t>-547.966341980154 565.942220494438 -761.90615930076</t>
  </si>
  <si>
    <t>-554.873751489213 628.747395933779 -451.754692790892</t>
  </si>
  <si>
    <t>-409.233040723049 476.557953238798 -299.211966988681</t>
  </si>
  <si>
    <t>-609.97197863339 367.661141144443 -789.759900561445</t>
  </si>
  <si>
    <t>-660.769678603073 230.653783883785 -773.478024870184</t>
  </si>
  <si>
    <t>-753.367968555727 240.956463504024 -470.979029238154</t>
  </si>
  <si>
    <t>-498.172664384238 275.343082325948 -434.441808657698</t>
  </si>
  <si>
    <t>-598.379595121815 487.968087279634 -251.705358305078</t>
  </si>
  <si>
    <t>-623.693880838107 493.290261144148 203.254541214561</t>
  </si>
  <si>
    <t>-635.958533678287 482.102790313957 673.372251177511</t>
  </si>
  <si>
    <t>-480.222179857868 476.783896132316 754.989714804964</t>
  </si>
  <si>
    <t>-694.958930932728 317.190282175744 -256.887230405752</t>
  </si>
  <si>
    <t>-638.285696931212 235.619058332236 187.850817009979</t>
  </si>
  <si>
    <t>-677.298546598718 182.968586771811 653.161723385205</t>
  </si>
  <si>
    <t>-593.750813030041 52.9219555604601 737.132895239831</t>
  </si>
  <si>
    <t>9763-20170724T164432.583696900.bin</t>
  </si>
  <si>
    <t>-646.174145798519 410.493720679265 -255.116734606463</t>
  </si>
  <si>
    <t>-668.05414117365 427.299158411032 -373.043098769095</t>
  </si>
  <si>
    <t>-663.530133693312 430.218627164081 -494.128065020436</t>
  </si>
  <si>
    <t>-648.500873010615 427.453888355713 -602.577870033565</t>
  </si>
  <si>
    <t>-622.69547060814 419.584514462001 -708.723941441183</t>
  </si>
  <si>
    <t>-575.754355968914 403.601782512636 -852.741591169753</t>
  </si>
  <si>
    <t>-512.389212058674 386.523124764385 -930.691260468807</t>
  </si>
  <si>
    <t>-583.529135193782 439.672638957768 -788.000675625202</t>
  </si>
  <si>
    <t>-543.741800610233 578.208239136029 -758.80360879163</t>
  </si>
  <si>
    <t>-553.424059161041 638.668457281533 -448.260538606498</t>
  </si>
  <si>
    <t>-412.354803584643 480.98510419722 -297.007546358413</t>
  </si>
  <si>
    <t>-609.51951171705 381.674736895339 -790.035585744101</t>
  </si>
  <si>
    <t>-663.137333610766 245.433685808965 -776.352697137297</t>
  </si>
  <si>
    <t>-760.85179585172 254.709589532107 -475.434075364642</t>
  </si>
  <si>
    <t>-505.66956358964 283.613247068174 -434.340810696557</t>
  </si>
  <si>
    <t>-597.212648348668 495.185238771661 -251.280014554401</t>
  </si>
  <si>
    <t>-623.513969616821 497.42213375165 203.649612198886</t>
  </si>
  <si>
    <t>-636.156761409609 482.013507011156 673.476605197837</t>
  </si>
  <si>
    <t>-480.34485507444 476.667061426812 754.947889474534</t>
  </si>
  <si>
    <t>-694.895940173163 325.546322452739 -258.064150143886</t>
  </si>
  <si>
    <t>-638.730947857979 249.10976942664 187.64944382793</t>
  </si>
  <si>
    <t>-669.157881433006 191.065214700806 652.974755680904</t>
  </si>
  <si>
    <t>-567.573938399749 72.7089598203721 734.313565244177</t>
  </si>
  <si>
    <t>9763-20170724T164432.621807000.bin</t>
  </si>
  <si>
    <t>-646.221898114739 413.627260014582 -255.100904210213</t>
  </si>
  <si>
    <t>-668.046207482618 430.817701889765 -372.982165285007</t>
  </si>
  <si>
    <t>-663.334580835352 434.188448111769 -494.048171927082</t>
  </si>
  <si>
    <t>-648.097977815043 431.827727900543 -602.478552814095</t>
  </si>
  <si>
    <t>-622.057616581751 424.340719250334 -708.594884536197</t>
  </si>
  <si>
    <t>-574.770640754797 408.850887796058 -852.553324749916</t>
  </si>
  <si>
    <t>-511.295993913013 391.650092321464 -930.387033513506</t>
  </si>
  <si>
    <t>-582.522197007252 444.616274630048 -787.640574559601</t>
  </si>
  <si>
    <t>-541.914348834495 582.740206400542 -757.627264911395</t>
  </si>
  <si>
    <t>-552.3686491204 641.901129087839 -446.859088267653</t>
  </si>
  <si>
    <t>-413.305091684876 481.788583080394 -296.302288088286</t>
  </si>
  <si>
    <t>-608.865188541501 386.792945756272 -790.071844788824</t>
  </si>
  <si>
    <t>-663.398169706834 250.815681221843 -777.36298192185</t>
  </si>
  <si>
    <t>-762.733428809379 259.598039862454 -476.960558173403</t>
  </si>
  <si>
    <t>-507.556546117917 286.02919094868 -434.202997348895</t>
  </si>
  <si>
    <t>-597.301871849466 498.27228334864 -251.056457846699</t>
  </si>
  <si>
    <t>-623.651044804495 499.195502140251 203.874899233293</t>
  </si>
  <si>
    <t>-636.28564960453 482.118880490898 673.608995404163</t>
  </si>
  <si>
    <t>-480.416515607795 476.544670175242 754.955500391104</t>
  </si>
  <si>
    <t>-694.760395683236 328.971976889598 -258.276039338002</t>
  </si>
  <si>
    <t>-639.019720532917 253.745646286415 187.696645105204</t>
  </si>
  <si>
    <t>-665.924168003791 193.302912706821 652.861092828648</t>
  </si>
  <si>
    <t>-558.594802696485 79.4650172494943 733.26539534062</t>
  </si>
  <si>
    <t>9763-20170724T164432.689586300.bin</t>
  </si>
  <si>
    <t>-646.036441286499 419.775350000195 -255.406533984961</t>
  </si>
  <si>
    <t>-667.494156103605 437.421634987138 -373.287785410762</t>
  </si>
  <si>
    <t>-662.289568821646 441.43003655968 -494.314252646904</t>
  </si>
  <si>
    <t>-646.579638879358 439.683544184857 -602.68868569639</t>
  </si>
  <si>
    <t>-620.05235364651 432.826216246687 -708.726951877459</t>
  </si>
  <si>
    <t>-572.086686540785 418.207509377604 -852.551744465059</t>
  </si>
  <si>
    <t>-508.350813423358 400.955839498658 -930.160461876771</t>
  </si>
  <si>
    <t>-580.013157718479 453.516448500655 -787.410732556679</t>
  </si>
  <si>
    <t>-538.581154615763 591.100644962201 -756.164964256201</t>
  </si>
  <si>
    <t>-549.568394529275 647.994360794529 -444.99207346284</t>
  </si>
  <si>
    <t>-414.244303335322 483.685395898609 -295.552998115582</t>
  </si>
  <si>
    <t>-606.606904379397 395.835194898263 -790.416825293737</t>
  </si>
  <si>
    <t>-661.746902138684 259.94996048997 -779.113997277621</t>
  </si>
  <si>
    <t>-763.469652609466 268.249709845562 -479.497904167968</t>
  </si>
  <si>
    <t>-508.433203674436 291.343560045099 -434.053950300812</t>
  </si>
  <si>
    <t>-597.376876680259 504.630119509609 -251.223218812932</t>
  </si>
  <si>
    <t>-624.230249833334 503.166209432782 203.677183929948</t>
  </si>
  <si>
    <t>-636.095935120209 483.080100934463 673.006833339554</t>
  </si>
  <si>
    <t>-480.521869137221 476.449233067961 754.837518658427</t>
  </si>
  <si>
    <t>-694.228457194195 334.873432000251 -258.980323202987</t>
  </si>
  <si>
    <t>-639.04417737747 259.581323590652 187.050368654104</t>
  </si>
  <si>
    <t>-665.647583239363 200.145437020946 652.318805857747</t>
  </si>
  <si>
    <t>-552.792650487757 90.4362959560478 730.875717364069</t>
  </si>
  <si>
    <t>9763-20170724T164432.721671300.bin</t>
  </si>
  <si>
    <t>-646.039443448995 422.069833705356 -255.412836940453</t>
  </si>
  <si>
    <t>-667.369399354488 439.894054384214 -373.290433903832</t>
  </si>
  <si>
    <t>-661.975039998654 444.130966199306 -494.300886837986</t>
  </si>
  <si>
    <t>-646.07299457117 442.606734673112 -602.650560046306</t>
  </si>
  <si>
    <t>-619.336246784767 435.984468258471 -708.651178557525</t>
  </si>
  <si>
    <t>-571.064754268902 421.703279011372 -852.407537464018</t>
  </si>
  <si>
    <t>-507.194416053653 404.491600427354 -929.914532456537</t>
  </si>
  <si>
    <t>-579.145819727687 456.866951550667 -787.20687218957</t>
  </si>
  <si>
    <t>-537.770574180858 594.389932977049 -755.569334522262</t>
  </si>
  <si>
    <t>-548.413063555431 650.570936741718 -444.254981482255</t>
  </si>
  <si>
    <t>-414.989360010839 484.398724194031 -295.167937755421</t>
  </si>
  <si>
    <t>-605.701010433921 399.177508639935 -790.392741102528</t>
  </si>
  <si>
    <t>-660.780157865723 263.247308787053 -779.580765908151</t>
  </si>
  <si>
    <t>-763.457403591674 270.928392967926 -480.273963820276</t>
  </si>
  <si>
    <t>-508.567576767759 293.540218610584 -433.777267464878</t>
  </si>
  <si>
    <t>-597.653487845205 506.852162062675 -251.009507323959</t>
  </si>
  <si>
    <t>-624.619881739968 504.385396548917 203.880045314728</t>
  </si>
  <si>
    <t>-636.108036040859 482.812930819979 673.231848847338</t>
  </si>
  <si>
    <t>-480.401149115044 477.23632417893 754.888305098078</t>
  </si>
  <si>
    <t>-694.118164088391 337.047529061926 -259.255467172792</t>
  </si>
  <si>
    <t>-639.013140067207 261.66594532986 186.770037332043</t>
  </si>
  <si>
    <t>-668.275842092914 204.735601321004 652.157804458897</t>
  </si>
  <si>
    <t>-556.530471967577 93.6705098756579 730.394826141799</t>
  </si>
  <si>
    <t>9763-20170724T164432.787513000.bin</t>
  </si>
  <si>
    <t>-646.432804528649 426.173394991126 -255.178421189743</t>
  </si>
  <si>
    <t>-667.520909316787 444.185885093643 -373.071020001082</t>
  </si>
  <si>
    <t>-661.845878714145 448.709737316453 -494.058087531293</t>
  </si>
  <si>
    <t>-645.674478805293 447.493177562018 -602.371779157639</t>
  </si>
  <si>
    <t>-618.653176951335 441.231164855734 -708.322225107347</t>
  </si>
  <si>
    <t>-569.970592790572 427.509620370723 -851.994570615283</t>
  </si>
  <si>
    <t>-505.823749020245 410.518987325479 -929.321622476771</t>
  </si>
  <si>
    <t>-578.365212347082 462.48016168423 -786.729606123001</t>
  </si>
  <si>
    <t>-537.499704514382 600.076803461809 -754.739934800046</t>
  </si>
  <si>
    <t>-547.360443149474 655.979766159386 -443.349831719322</t>
  </si>
  <si>
    <t>-417.624693232923 486.690462529378 -294.514906398165</t>
  </si>
  <si>
    <t>-604.657051104603 404.681754075993 -790.118484440669</t>
  </si>
  <si>
    <t>-659.054309105081 268.449630067104 -779.806436364242</t>
  </si>
  <si>
    <t>-763.15179200214 274.195583188475 -480.947083914538</t>
  </si>
  <si>
    <t>-508.625603335946 297.605420474287 -432.879681422283</t>
  </si>
  <si>
    <t>-598.089898144996 511.096898181749 -250.469137195401</t>
  </si>
  <si>
    <t>-625.545334438774 506.703646178633 204.37646434684</t>
  </si>
  <si>
    <t>-636.452354271335 483.136250473117 673.635091989353</t>
  </si>
  <si>
    <t>-480.611051675398 476.640973370736 754.966552408902</t>
  </si>
  <si>
    <t>-694.643187494269 341.265652554161 -259.220846442527</t>
  </si>
  <si>
    <t>-638.898369641784 265.868693464858 186.722564296351</t>
  </si>
  <si>
    <t>-676.290978624071 215.309650770577 652.275970255455</t>
  </si>
  <si>
    <t>-570.847615956408 98.4268984734962 730.784815212226</t>
  </si>
  <si>
    <t>9763-20170724T164432.823603700.bin</t>
  </si>
  <si>
    <t>-646.143892183471 427.301291491493 -255.116839843859</t>
  </si>
  <si>
    <t>-667.146940044064 445.328445559159 -373.02229886519</t>
  </si>
  <si>
    <t>-661.377510702678 449.932405284998 -494.001913681635</t>
  </si>
  <si>
    <t>-645.115682085661 448.821450054488 -602.303260339042</t>
  </si>
  <si>
    <t>-617.998225016567 442.701595958525 -708.237322175371</t>
  </si>
  <si>
    <t>-569.175577415813 429.218594804574 -851.88470831758</t>
  </si>
  <si>
    <t>-504.891007119597 412.382028392175 -929.131141545592</t>
  </si>
  <si>
    <t>-577.725713032782 464.124413743339 -786.605398823225</t>
  </si>
  <si>
    <t>-537.230851262513 601.821281517945 -754.543399279499</t>
  </si>
  <si>
    <t>-547.065392347311 657.899530629588 -443.183782234071</t>
  </si>
  <si>
    <t>-418.884392436251 487.461585120724 -294.312795871385</t>
  </si>
  <si>
    <t>-603.830475602276 406.24439245089 -790.045128335718</t>
  </si>
  <si>
    <t>-657.735161432252 269.824624953585 -779.780777152843</t>
  </si>
  <si>
    <t>-762.173723790705 274.706355221525 -481.025129671886</t>
  </si>
  <si>
    <t>-507.810265086555 298.935843777226 -432.505196278841</t>
  </si>
  <si>
    <t>-597.862221834005 512.509195320446 -250.359698878198</t>
  </si>
  <si>
    <t>-625.351650092236 507.482138779151 204.477271494617</t>
  </si>
  <si>
    <t>-636.399366906437 483.558928080395 673.501695368018</t>
  </si>
  <si>
    <t>-480.656933283467 476.966028190069 755.014495482468</t>
  </si>
  <si>
    <t>-694.128477140174 341.956594481691 -259.158809455646</t>
  </si>
  <si>
    <t>-637.966708683525 266.467047068508 186.716577672506</t>
  </si>
  <si>
    <t>-678.968320506569 218.143002351258 652.339804095483</t>
  </si>
  <si>
    <t>-576.613697618202 98.8563619148817 731.31912603025</t>
  </si>
  <si>
    <t>9763-20170724T164432.887386500.bin</t>
  </si>
  <si>
    <t>-644.07776701117 425.924073911015 -255.226035168619</t>
  </si>
  <si>
    <t>-665.121795980066 443.960561875445 -373.122714837614</t>
  </si>
  <si>
    <t>-659.263007297279 448.67737336269 -494.093789674617</t>
  </si>
  <si>
    <t>-642.86714003299 447.71653169839 -602.376360360592</t>
  </si>
  <si>
    <t>-615.564319935014 441.79776892902 -708.274157671476</t>
  </si>
  <si>
    <t>-566.433024743112 428.650253638889 -851.847538813567</t>
  </si>
  <si>
    <t>-501.909305018547 412.139047465234 -928.964631335059</t>
  </si>
  <si>
    <t>-575.313939598877 463.493192866584 -786.578594822848</t>
  </si>
  <si>
    <t>-535.605642942013 601.405806316877 -754.498043007275</t>
  </si>
  <si>
    <t>-546.359453754845 658.539181521162 -443.360907665494</t>
  </si>
  <si>
    <t>-420.182357412563 486.62234914035 -294.47836527154</t>
  </si>
  <si>
    <t>-601.030247088806 405.44209111639 -790.062909640966</t>
  </si>
  <si>
    <t>-653.915990782281 268.615735452388 -779.779030078799</t>
  </si>
  <si>
    <t>-758.609389813036 271.840155906031 -481.090091485212</t>
  </si>
  <si>
    <t>-504.470279943653 297.918276000451 -432.352822426679</t>
  </si>
  <si>
    <t>-596.69543800728 513.345953174345 -250.486874127875</t>
  </si>
  <si>
    <t>-623.870550912968 506.9734663462 204.352103770594</t>
  </si>
  <si>
    <t>-636.204268723992 483.558021304196 673.358607207598</t>
  </si>
  <si>
    <t>-480.460342385823 477.494617772554 754.909750802658</t>
  </si>
  <si>
    <t>-691.136526013058 337.961279142941 -259.317570181426</t>
  </si>
  <si>
    <t>-634.417326901441 263.328539618437 186.631417388644</t>
  </si>
  <si>
    <t>-680.914220055703 218.049493813836 652.311969927559</t>
  </si>
  <si>
    <t>-585.052396482111 94.297588267075 732.558407582455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</si>
</sst>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414"/>
  <sheetViews>
    <sheetView tabSelected="1" workbookViewId="0"/>
  </sheetViews>
  <sheetFormatPr defaultRowHeight="14.4" x14ac:dyDescent="0.3"/>
  <sheetData>
    <row r="1" spans="1:25" x14ac:dyDescent="0.3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">
      <c r="A2">
        <v>50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43</v>
      </c>
      <c r="V2" t="s">
        <v>44</v>
      </c>
      <c r="W2" t="s">
        <v>45</v>
      </c>
      <c r="X2" t="s">
        <v>46</v>
      </c>
      <c r="Y2" t="s">
        <v>47</v>
      </c>
    </row>
    <row r="3" spans="1:25" x14ac:dyDescent="0.3">
      <c r="A3">
        <v>100</v>
      </c>
      <c r="B3" t="s">
        <v>48</v>
      </c>
      <c r="C3" t="s">
        <v>49</v>
      </c>
      <c r="D3" t="s">
        <v>50</v>
      </c>
      <c r="E3" t="s">
        <v>51</v>
      </c>
      <c r="F3" t="s">
        <v>52</v>
      </c>
      <c r="G3" t="s">
        <v>53</v>
      </c>
      <c r="H3" t="s">
        <v>54</v>
      </c>
      <c r="I3" t="s">
        <v>55</v>
      </c>
      <c r="J3" t="s">
        <v>56</v>
      </c>
      <c r="K3" t="s">
        <v>57</v>
      </c>
      <c r="L3" t="s">
        <v>58</v>
      </c>
      <c r="M3" t="s">
        <v>59</v>
      </c>
      <c r="N3" t="s">
        <v>60</v>
      </c>
      <c r="O3" t="s">
        <v>61</v>
      </c>
      <c r="P3" t="s">
        <v>62</v>
      </c>
      <c r="Q3" t="s">
        <v>63</v>
      </c>
      <c r="R3" t="s">
        <v>64</v>
      </c>
      <c r="S3" t="s">
        <v>65</v>
      </c>
      <c r="T3" t="s">
        <v>66</v>
      </c>
      <c r="U3" t="s">
        <v>67</v>
      </c>
      <c r="V3" t="s">
        <v>68</v>
      </c>
      <c r="W3" t="s">
        <v>69</v>
      </c>
      <c r="X3" t="s">
        <v>70</v>
      </c>
      <c r="Y3" t="s">
        <v>71</v>
      </c>
    </row>
    <row r="4" spans="1:25" x14ac:dyDescent="0.3">
      <c r="A4">
        <v>150</v>
      </c>
      <c r="B4" t="s">
        <v>72</v>
      </c>
      <c r="C4" t="s">
        <v>73</v>
      </c>
      <c r="D4" t="s">
        <v>74</v>
      </c>
      <c r="E4" t="s">
        <v>75</v>
      </c>
      <c r="F4" t="s">
        <v>76</v>
      </c>
      <c r="G4" t="s">
        <v>77</v>
      </c>
      <c r="H4" t="s">
        <v>78</v>
      </c>
      <c r="I4" t="s">
        <v>79</v>
      </c>
      <c r="J4" t="s">
        <v>80</v>
      </c>
      <c r="K4" t="s">
        <v>81</v>
      </c>
      <c r="L4" t="s">
        <v>82</v>
      </c>
      <c r="M4" t="s">
        <v>83</v>
      </c>
      <c r="N4" t="s">
        <v>84</v>
      </c>
      <c r="O4" t="s">
        <v>85</v>
      </c>
      <c r="P4" t="s">
        <v>86</v>
      </c>
      <c r="Q4" t="s">
        <v>87</v>
      </c>
      <c r="R4" t="s">
        <v>88</v>
      </c>
      <c r="S4" t="s">
        <v>89</v>
      </c>
      <c r="T4" t="s">
        <v>90</v>
      </c>
      <c r="U4" t="s">
        <v>91</v>
      </c>
      <c r="V4" t="s">
        <v>92</v>
      </c>
      <c r="W4" t="s">
        <v>93</v>
      </c>
      <c r="X4" t="s">
        <v>94</v>
      </c>
      <c r="Y4" t="s">
        <v>95</v>
      </c>
    </row>
    <row r="5" spans="1:25" x14ac:dyDescent="0.3">
      <c r="A5">
        <v>200</v>
      </c>
      <c r="B5" t="s">
        <v>96</v>
      </c>
      <c r="C5" t="s">
        <v>97</v>
      </c>
      <c r="D5" t="s">
        <v>98</v>
      </c>
      <c r="E5" t="s">
        <v>99</v>
      </c>
      <c r="F5" t="s">
        <v>100</v>
      </c>
      <c r="G5" t="s">
        <v>101</v>
      </c>
      <c r="H5" t="s">
        <v>102</v>
      </c>
      <c r="I5" t="s">
        <v>103</v>
      </c>
      <c r="J5" t="s">
        <v>104</v>
      </c>
      <c r="K5" t="s">
        <v>105</v>
      </c>
      <c r="L5" t="s">
        <v>106</v>
      </c>
      <c r="M5" t="s">
        <v>107</v>
      </c>
      <c r="N5" t="s">
        <v>108</v>
      </c>
      <c r="O5" t="s">
        <v>109</v>
      </c>
      <c r="P5" t="s">
        <v>110</v>
      </c>
      <c r="Q5" t="s">
        <v>111</v>
      </c>
      <c r="R5" t="s">
        <v>112</v>
      </c>
      <c r="S5" t="s">
        <v>113</v>
      </c>
      <c r="T5" t="s">
        <v>114</v>
      </c>
      <c r="U5" t="s">
        <v>115</v>
      </c>
      <c r="V5" t="s">
        <v>116</v>
      </c>
      <c r="W5" t="s">
        <v>117</v>
      </c>
      <c r="X5" t="s">
        <v>118</v>
      </c>
      <c r="Y5" t="s">
        <v>119</v>
      </c>
    </row>
    <row r="6" spans="1:25" x14ac:dyDescent="0.3">
      <c r="A6">
        <v>250</v>
      </c>
      <c r="B6" t="s">
        <v>120</v>
      </c>
      <c r="C6" t="s">
        <v>121</v>
      </c>
      <c r="D6" t="s">
        <v>122</v>
      </c>
      <c r="E6" t="s">
        <v>123</v>
      </c>
      <c r="F6" t="s">
        <v>124</v>
      </c>
      <c r="G6" t="s">
        <v>125</v>
      </c>
      <c r="H6" t="s">
        <v>126</v>
      </c>
      <c r="I6" t="s">
        <v>127</v>
      </c>
      <c r="J6" t="s">
        <v>128</v>
      </c>
      <c r="K6" t="s">
        <v>129</v>
      </c>
      <c r="L6" t="s">
        <v>130</v>
      </c>
      <c r="M6" t="s">
        <v>131</v>
      </c>
      <c r="N6" t="s">
        <v>132</v>
      </c>
      <c r="O6" t="s">
        <v>133</v>
      </c>
      <c r="P6" t="s">
        <v>134</v>
      </c>
      <c r="Q6" t="s">
        <v>135</v>
      </c>
      <c r="R6" t="s">
        <v>136</v>
      </c>
      <c r="S6" t="s">
        <v>137</v>
      </c>
      <c r="T6" t="s">
        <v>138</v>
      </c>
      <c r="U6" t="s">
        <v>139</v>
      </c>
      <c r="V6" t="s">
        <v>140</v>
      </c>
      <c r="W6" t="s">
        <v>141</v>
      </c>
      <c r="X6" t="s">
        <v>142</v>
      </c>
      <c r="Y6" t="s">
        <v>143</v>
      </c>
    </row>
    <row r="7" spans="1:25" x14ac:dyDescent="0.3">
      <c r="A7">
        <v>300</v>
      </c>
      <c r="B7" t="s">
        <v>144</v>
      </c>
      <c r="C7" t="s">
        <v>145</v>
      </c>
      <c r="D7" t="s">
        <v>146</v>
      </c>
      <c r="E7" t="s">
        <v>147</v>
      </c>
      <c r="F7" t="s">
        <v>148</v>
      </c>
      <c r="G7" t="s">
        <v>149</v>
      </c>
      <c r="H7" t="s">
        <v>150</v>
      </c>
      <c r="I7" t="s">
        <v>151</v>
      </c>
      <c r="J7" t="s">
        <v>152</v>
      </c>
      <c r="K7" t="s">
        <v>153</v>
      </c>
      <c r="L7" t="s">
        <v>154</v>
      </c>
      <c r="M7" t="s">
        <v>155</v>
      </c>
      <c r="N7" t="s">
        <v>156</v>
      </c>
      <c r="O7" t="s">
        <v>157</v>
      </c>
      <c r="P7" t="s">
        <v>158</v>
      </c>
      <c r="Q7" t="s">
        <v>159</v>
      </c>
      <c r="R7" t="s">
        <v>160</v>
      </c>
      <c r="S7" t="s">
        <v>161</v>
      </c>
      <c r="T7" t="s">
        <v>162</v>
      </c>
      <c r="U7" t="s">
        <v>163</v>
      </c>
      <c r="V7" t="s">
        <v>164</v>
      </c>
      <c r="W7" t="s">
        <v>165</v>
      </c>
      <c r="X7" t="s">
        <v>166</v>
      </c>
      <c r="Y7" t="s">
        <v>167</v>
      </c>
    </row>
    <row r="8" spans="1:25" x14ac:dyDescent="0.3">
      <c r="A8">
        <v>350</v>
      </c>
      <c r="B8" t="s">
        <v>168</v>
      </c>
      <c r="C8" t="s">
        <v>169</v>
      </c>
      <c r="D8" t="s">
        <v>170</v>
      </c>
      <c r="E8" t="s">
        <v>171</v>
      </c>
      <c r="F8" t="s">
        <v>172</v>
      </c>
      <c r="G8" t="s">
        <v>173</v>
      </c>
      <c r="H8" t="s">
        <v>174</v>
      </c>
      <c r="I8" t="s">
        <v>175</v>
      </c>
      <c r="J8" t="s">
        <v>176</v>
      </c>
      <c r="K8" t="s">
        <v>177</v>
      </c>
      <c r="L8" t="s">
        <v>178</v>
      </c>
      <c r="M8" t="s">
        <v>179</v>
      </c>
      <c r="N8" t="s">
        <v>180</v>
      </c>
      <c r="O8" t="s">
        <v>181</v>
      </c>
      <c r="P8" t="s">
        <v>182</v>
      </c>
      <c r="Q8" t="s">
        <v>183</v>
      </c>
      <c r="R8" t="s">
        <v>184</v>
      </c>
      <c r="S8" t="s">
        <v>185</v>
      </c>
      <c r="T8" t="s">
        <v>186</v>
      </c>
      <c r="U8" t="s">
        <v>187</v>
      </c>
      <c r="V8" t="s">
        <v>188</v>
      </c>
      <c r="W8" t="s">
        <v>189</v>
      </c>
      <c r="X8" t="s">
        <v>190</v>
      </c>
      <c r="Y8" t="s">
        <v>191</v>
      </c>
    </row>
    <row r="9" spans="1:25" x14ac:dyDescent="0.3">
      <c r="A9">
        <v>400</v>
      </c>
      <c r="B9" t="s">
        <v>192</v>
      </c>
      <c r="C9" t="s">
        <v>193</v>
      </c>
      <c r="D9" t="s">
        <v>194</v>
      </c>
      <c r="E9" t="s">
        <v>195</v>
      </c>
      <c r="F9" t="s">
        <v>196</v>
      </c>
      <c r="G9" t="s">
        <v>197</v>
      </c>
      <c r="H9" t="s">
        <v>198</v>
      </c>
      <c r="I9" t="s">
        <v>199</v>
      </c>
      <c r="J9" t="s">
        <v>200</v>
      </c>
      <c r="K9" t="s">
        <v>201</v>
      </c>
      <c r="L9" t="s">
        <v>202</v>
      </c>
      <c r="M9" t="s">
        <v>203</v>
      </c>
      <c r="N9" t="s">
        <v>204</v>
      </c>
      <c r="O9" t="s">
        <v>205</v>
      </c>
      <c r="P9" t="s">
        <v>206</v>
      </c>
      <c r="Q9" t="s">
        <v>207</v>
      </c>
      <c r="R9" t="s">
        <v>208</v>
      </c>
      <c r="S9" t="s">
        <v>209</v>
      </c>
      <c r="T9" t="s">
        <v>210</v>
      </c>
      <c r="U9" t="s">
        <v>211</v>
      </c>
      <c r="V9" t="s">
        <v>212</v>
      </c>
      <c r="W9" t="s">
        <v>213</v>
      </c>
      <c r="X9" t="s">
        <v>214</v>
      </c>
      <c r="Y9" t="s">
        <v>215</v>
      </c>
    </row>
    <row r="10" spans="1:25" x14ac:dyDescent="0.3">
      <c r="A10">
        <v>450</v>
      </c>
      <c r="B10" t="s">
        <v>216</v>
      </c>
      <c r="C10" t="s">
        <v>217</v>
      </c>
      <c r="D10" t="s">
        <v>218</v>
      </c>
      <c r="E10" t="s">
        <v>219</v>
      </c>
      <c r="F10" t="s">
        <v>220</v>
      </c>
      <c r="G10" t="s">
        <v>221</v>
      </c>
      <c r="H10" t="s">
        <v>222</v>
      </c>
      <c r="I10" t="s">
        <v>223</v>
      </c>
      <c r="J10" t="s">
        <v>224</v>
      </c>
      <c r="K10" t="s">
        <v>225</v>
      </c>
      <c r="L10" t="s">
        <v>226</v>
      </c>
      <c r="M10" t="s">
        <v>227</v>
      </c>
      <c r="N10" t="s">
        <v>228</v>
      </c>
      <c r="O10" t="s">
        <v>229</v>
      </c>
      <c r="P10" t="s">
        <v>230</v>
      </c>
      <c r="Q10" t="s">
        <v>231</v>
      </c>
      <c r="R10" t="s">
        <v>232</v>
      </c>
      <c r="S10" t="s">
        <v>233</v>
      </c>
      <c r="T10" t="s">
        <v>234</v>
      </c>
      <c r="U10" t="s">
        <v>235</v>
      </c>
      <c r="V10" t="s">
        <v>236</v>
      </c>
      <c r="W10" t="s">
        <v>237</v>
      </c>
      <c r="X10" t="s">
        <v>238</v>
      </c>
      <c r="Y10" t="s">
        <v>239</v>
      </c>
    </row>
    <row r="11" spans="1:25" x14ac:dyDescent="0.3">
      <c r="A11">
        <v>500</v>
      </c>
      <c r="B11" t="s">
        <v>240</v>
      </c>
      <c r="C11" t="s">
        <v>241</v>
      </c>
      <c r="D11" t="s">
        <v>242</v>
      </c>
      <c r="E11" t="s">
        <v>243</v>
      </c>
      <c r="F11" t="s">
        <v>244</v>
      </c>
      <c r="G11" t="s">
        <v>245</v>
      </c>
      <c r="H11" t="s">
        <v>246</v>
      </c>
      <c r="I11" t="s">
        <v>247</v>
      </c>
      <c r="J11" t="s">
        <v>248</v>
      </c>
      <c r="K11" t="s">
        <v>249</v>
      </c>
      <c r="L11" t="s">
        <v>250</v>
      </c>
      <c r="M11" t="s">
        <v>251</v>
      </c>
      <c r="N11" t="s">
        <v>252</v>
      </c>
      <c r="O11" t="s">
        <v>253</v>
      </c>
      <c r="P11" t="s">
        <v>254</v>
      </c>
      <c r="Q11" t="s">
        <v>255</v>
      </c>
      <c r="R11" t="s">
        <v>256</v>
      </c>
      <c r="S11" t="s">
        <v>257</v>
      </c>
      <c r="T11" t="s">
        <v>258</v>
      </c>
      <c r="U11" t="s">
        <v>259</v>
      </c>
      <c r="V11" t="s">
        <v>260</v>
      </c>
      <c r="W11" t="s">
        <v>261</v>
      </c>
      <c r="X11" t="s">
        <v>262</v>
      </c>
      <c r="Y11" t="s">
        <v>263</v>
      </c>
    </row>
    <row r="12" spans="1:25" x14ac:dyDescent="0.3">
      <c r="A12">
        <v>550</v>
      </c>
      <c r="B12" t="s">
        <v>264</v>
      </c>
      <c r="C12" t="s">
        <v>265</v>
      </c>
      <c r="D12" t="s">
        <v>266</v>
      </c>
      <c r="E12" t="s">
        <v>267</v>
      </c>
      <c r="F12" t="s">
        <v>268</v>
      </c>
      <c r="G12" t="s">
        <v>269</v>
      </c>
      <c r="H12" t="s">
        <v>270</v>
      </c>
      <c r="I12" t="s">
        <v>271</v>
      </c>
      <c r="J12" t="s">
        <v>272</v>
      </c>
      <c r="K12" t="s">
        <v>273</v>
      </c>
      <c r="L12" t="s">
        <v>274</v>
      </c>
      <c r="M12" t="s">
        <v>275</v>
      </c>
      <c r="N12" t="s">
        <v>276</v>
      </c>
      <c r="O12" t="s">
        <v>277</v>
      </c>
      <c r="P12" t="s">
        <v>278</v>
      </c>
      <c r="Q12" t="s">
        <v>279</v>
      </c>
      <c r="R12" t="s">
        <v>280</v>
      </c>
      <c r="S12" t="s">
        <v>281</v>
      </c>
      <c r="T12" t="s">
        <v>282</v>
      </c>
      <c r="U12" t="s">
        <v>283</v>
      </c>
      <c r="V12" t="s">
        <v>284</v>
      </c>
      <c r="W12" t="s">
        <v>285</v>
      </c>
      <c r="X12" t="s">
        <v>286</v>
      </c>
      <c r="Y12" t="s">
        <v>287</v>
      </c>
    </row>
    <row r="13" spans="1:25" x14ac:dyDescent="0.3">
      <c r="A13">
        <v>600</v>
      </c>
      <c r="B13" t="s">
        <v>288</v>
      </c>
      <c r="C13" t="s">
        <v>289</v>
      </c>
      <c r="D13" t="s">
        <v>290</v>
      </c>
      <c r="E13" t="s">
        <v>291</v>
      </c>
      <c r="F13" t="s">
        <v>292</v>
      </c>
      <c r="G13" t="s">
        <v>293</v>
      </c>
      <c r="H13" t="s">
        <v>294</v>
      </c>
      <c r="I13" t="s">
        <v>295</v>
      </c>
      <c r="J13" t="s">
        <v>296</v>
      </c>
      <c r="K13" t="s">
        <v>297</v>
      </c>
      <c r="L13" t="s">
        <v>298</v>
      </c>
      <c r="M13" t="s">
        <v>299</v>
      </c>
      <c r="N13" t="s">
        <v>300</v>
      </c>
      <c r="O13" t="s">
        <v>301</v>
      </c>
      <c r="P13" t="s">
        <v>302</v>
      </c>
      <c r="Q13" t="s">
        <v>303</v>
      </c>
      <c r="R13" t="s">
        <v>304</v>
      </c>
      <c r="S13" t="s">
        <v>305</v>
      </c>
      <c r="T13" t="s">
        <v>306</v>
      </c>
      <c r="U13" t="s">
        <v>307</v>
      </c>
      <c r="V13" t="s">
        <v>308</v>
      </c>
      <c r="W13" t="s">
        <v>309</v>
      </c>
      <c r="X13" t="s">
        <v>310</v>
      </c>
      <c r="Y13" t="s">
        <v>311</v>
      </c>
    </row>
    <row r="14" spans="1:25" x14ac:dyDescent="0.3">
      <c r="A14">
        <v>650</v>
      </c>
      <c r="B14" t="s">
        <v>312</v>
      </c>
      <c r="C14" t="s">
        <v>313</v>
      </c>
      <c r="D14" t="s">
        <v>314</v>
      </c>
      <c r="E14" t="s">
        <v>315</v>
      </c>
      <c r="F14" t="s">
        <v>316</v>
      </c>
      <c r="G14" t="s">
        <v>317</v>
      </c>
      <c r="H14" t="s">
        <v>318</v>
      </c>
      <c r="I14" t="s">
        <v>319</v>
      </c>
      <c r="J14" t="s">
        <v>320</v>
      </c>
      <c r="K14" t="s">
        <v>321</v>
      </c>
      <c r="L14" t="s">
        <v>322</v>
      </c>
      <c r="M14" t="s">
        <v>323</v>
      </c>
      <c r="N14" t="s">
        <v>324</v>
      </c>
      <c r="O14" t="s">
        <v>325</v>
      </c>
      <c r="P14" t="s">
        <v>326</v>
      </c>
      <c r="Q14" t="s">
        <v>327</v>
      </c>
      <c r="R14" t="s">
        <v>328</v>
      </c>
      <c r="S14" t="s">
        <v>329</v>
      </c>
      <c r="T14" t="s">
        <v>330</v>
      </c>
      <c r="U14" t="s">
        <v>331</v>
      </c>
      <c r="V14" t="s">
        <v>332</v>
      </c>
      <c r="W14" t="s">
        <v>333</v>
      </c>
      <c r="X14" t="s">
        <v>334</v>
      </c>
      <c r="Y14" t="s">
        <v>335</v>
      </c>
    </row>
    <row r="15" spans="1:25" x14ac:dyDescent="0.3">
      <c r="A15">
        <v>700</v>
      </c>
      <c r="B15" t="s">
        <v>336</v>
      </c>
      <c r="C15" t="s">
        <v>337</v>
      </c>
      <c r="D15" t="s">
        <v>338</v>
      </c>
      <c r="E15" t="s">
        <v>339</v>
      </c>
      <c r="F15" t="s">
        <v>340</v>
      </c>
      <c r="G15" t="s">
        <v>341</v>
      </c>
      <c r="H15" t="s">
        <v>342</v>
      </c>
      <c r="I15" t="s">
        <v>343</v>
      </c>
      <c r="J15" t="s">
        <v>344</v>
      </c>
      <c r="K15" t="s">
        <v>345</v>
      </c>
      <c r="L15" t="s">
        <v>346</v>
      </c>
      <c r="M15" t="s">
        <v>347</v>
      </c>
      <c r="N15" t="s">
        <v>348</v>
      </c>
      <c r="O15" t="s">
        <v>349</v>
      </c>
      <c r="P15" t="s">
        <v>350</v>
      </c>
      <c r="Q15" t="s">
        <v>351</v>
      </c>
      <c r="R15" t="s">
        <v>352</v>
      </c>
      <c r="S15" t="s">
        <v>353</v>
      </c>
      <c r="T15" t="s">
        <v>354</v>
      </c>
      <c r="U15" t="s">
        <v>355</v>
      </c>
      <c r="V15" t="s">
        <v>356</v>
      </c>
      <c r="W15" t="s">
        <v>357</v>
      </c>
      <c r="X15" t="s">
        <v>358</v>
      </c>
      <c r="Y15" t="s">
        <v>359</v>
      </c>
    </row>
    <row r="16" spans="1:25" x14ac:dyDescent="0.3">
      <c r="A16">
        <v>750</v>
      </c>
      <c r="B16" t="s">
        <v>360</v>
      </c>
      <c r="C16" t="s">
        <v>361</v>
      </c>
      <c r="D16" t="s">
        <v>362</v>
      </c>
      <c r="E16" t="s">
        <v>363</v>
      </c>
      <c r="F16" t="s">
        <v>364</v>
      </c>
      <c r="G16" t="s">
        <v>365</v>
      </c>
      <c r="H16" t="s">
        <v>366</v>
      </c>
      <c r="I16" t="s">
        <v>367</v>
      </c>
      <c r="J16" t="s">
        <v>368</v>
      </c>
      <c r="K16" t="s">
        <v>369</v>
      </c>
      <c r="L16" t="s">
        <v>370</v>
      </c>
      <c r="M16" t="s">
        <v>371</v>
      </c>
      <c r="N16" t="s">
        <v>372</v>
      </c>
      <c r="O16" t="s">
        <v>373</v>
      </c>
      <c r="P16" t="s">
        <v>374</v>
      </c>
      <c r="Q16" t="s">
        <v>375</v>
      </c>
      <c r="R16" t="s">
        <v>376</v>
      </c>
      <c r="S16" t="s">
        <v>377</v>
      </c>
      <c r="T16" t="s">
        <v>378</v>
      </c>
      <c r="U16" t="s">
        <v>379</v>
      </c>
      <c r="V16" t="s">
        <v>380</v>
      </c>
      <c r="W16" t="s">
        <v>381</v>
      </c>
      <c r="X16" t="s">
        <v>382</v>
      </c>
      <c r="Y16" t="s">
        <v>383</v>
      </c>
    </row>
    <row r="17" spans="1:25" x14ac:dyDescent="0.3">
      <c r="A17">
        <v>800</v>
      </c>
      <c r="B17" t="s">
        <v>384</v>
      </c>
      <c r="C17" t="s">
        <v>385</v>
      </c>
      <c r="D17" t="s">
        <v>386</v>
      </c>
      <c r="E17" t="s">
        <v>387</v>
      </c>
      <c r="F17" t="s">
        <v>388</v>
      </c>
      <c r="G17" t="s">
        <v>389</v>
      </c>
      <c r="H17" t="s">
        <v>390</v>
      </c>
      <c r="I17" t="s">
        <v>391</v>
      </c>
      <c r="J17" t="s">
        <v>392</v>
      </c>
      <c r="K17" t="s">
        <v>393</v>
      </c>
      <c r="L17" t="s">
        <v>394</v>
      </c>
      <c r="M17" t="s">
        <v>395</v>
      </c>
      <c r="N17" t="s">
        <v>396</v>
      </c>
      <c r="O17" t="s">
        <v>397</v>
      </c>
      <c r="P17" t="s">
        <v>398</v>
      </c>
      <c r="Q17" t="s">
        <v>399</v>
      </c>
      <c r="R17" t="s">
        <v>400</v>
      </c>
      <c r="S17" t="s">
        <v>401</v>
      </c>
      <c r="T17" t="s">
        <v>402</v>
      </c>
      <c r="U17" t="s">
        <v>403</v>
      </c>
      <c r="V17" t="s">
        <v>404</v>
      </c>
      <c r="W17" t="s">
        <v>405</v>
      </c>
      <c r="X17" t="s">
        <v>406</v>
      </c>
      <c r="Y17" t="s">
        <v>407</v>
      </c>
    </row>
    <row r="18" spans="1:25" x14ac:dyDescent="0.3">
      <c r="A18">
        <v>850</v>
      </c>
      <c r="B18" t="s">
        <v>408</v>
      </c>
      <c r="C18" t="s">
        <v>409</v>
      </c>
      <c r="D18" t="s">
        <v>410</v>
      </c>
      <c r="E18" t="s">
        <v>411</v>
      </c>
      <c r="F18" t="s">
        <v>412</v>
      </c>
      <c r="G18" t="s">
        <v>413</v>
      </c>
      <c r="H18" t="s">
        <v>414</v>
      </c>
      <c r="I18" t="s">
        <v>415</v>
      </c>
      <c r="J18" t="s">
        <v>416</v>
      </c>
      <c r="K18" t="s">
        <v>417</v>
      </c>
      <c r="L18" t="s">
        <v>418</v>
      </c>
      <c r="M18" t="s">
        <v>419</v>
      </c>
      <c r="N18" t="s">
        <v>420</v>
      </c>
      <c r="O18" t="s">
        <v>421</v>
      </c>
      <c r="P18" t="s">
        <v>422</v>
      </c>
      <c r="Q18" t="s">
        <v>423</v>
      </c>
      <c r="R18" t="s">
        <v>424</v>
      </c>
      <c r="S18" t="s">
        <v>425</v>
      </c>
      <c r="T18" t="s">
        <v>426</v>
      </c>
      <c r="U18" t="s">
        <v>427</v>
      </c>
      <c r="V18" t="s">
        <v>428</v>
      </c>
      <c r="W18" t="s">
        <v>429</v>
      </c>
      <c r="X18" t="s">
        <v>430</v>
      </c>
      <c r="Y18" t="s">
        <v>431</v>
      </c>
    </row>
    <row r="19" spans="1:25" x14ac:dyDescent="0.3">
      <c r="A19">
        <v>900</v>
      </c>
      <c r="B19" t="s">
        <v>432</v>
      </c>
      <c r="C19" t="s">
        <v>433</v>
      </c>
      <c r="D19" t="s">
        <v>434</v>
      </c>
      <c r="E19" t="s">
        <v>435</v>
      </c>
      <c r="F19" t="s">
        <v>436</v>
      </c>
      <c r="G19" t="s">
        <v>437</v>
      </c>
      <c r="H19" t="s">
        <v>438</v>
      </c>
      <c r="I19" t="s">
        <v>439</v>
      </c>
      <c r="J19" t="s">
        <v>440</v>
      </c>
      <c r="K19" t="s">
        <v>441</v>
      </c>
      <c r="L19" t="s">
        <v>442</v>
      </c>
      <c r="M19" t="s">
        <v>443</v>
      </c>
      <c r="N19" t="s">
        <v>444</v>
      </c>
      <c r="O19" t="s">
        <v>445</v>
      </c>
      <c r="P19" t="s">
        <v>446</v>
      </c>
      <c r="Q19" t="s">
        <v>447</v>
      </c>
      <c r="R19" t="s">
        <v>448</v>
      </c>
      <c r="S19" t="s">
        <v>449</v>
      </c>
      <c r="T19" t="s">
        <v>450</v>
      </c>
      <c r="U19" t="s">
        <v>451</v>
      </c>
      <c r="V19" t="s">
        <v>452</v>
      </c>
      <c r="W19" t="s">
        <v>453</v>
      </c>
      <c r="X19" t="s">
        <v>454</v>
      </c>
      <c r="Y19" t="s">
        <v>455</v>
      </c>
    </row>
    <row r="20" spans="1:25" x14ac:dyDescent="0.3">
      <c r="A20">
        <v>950</v>
      </c>
      <c r="B20" t="s">
        <v>456</v>
      </c>
      <c r="C20" t="s">
        <v>457</v>
      </c>
      <c r="D20" t="s">
        <v>458</v>
      </c>
      <c r="E20" t="s">
        <v>459</v>
      </c>
      <c r="F20" t="s">
        <v>460</v>
      </c>
      <c r="G20" t="s">
        <v>461</v>
      </c>
      <c r="H20" t="s">
        <v>462</v>
      </c>
      <c r="I20" t="s">
        <v>463</v>
      </c>
      <c r="J20" t="s">
        <v>464</v>
      </c>
      <c r="K20" t="s">
        <v>465</v>
      </c>
      <c r="L20" t="s">
        <v>466</v>
      </c>
      <c r="M20" t="s">
        <v>467</v>
      </c>
      <c r="N20" t="s">
        <v>468</v>
      </c>
      <c r="O20" t="s">
        <v>469</v>
      </c>
      <c r="P20" t="s">
        <v>470</v>
      </c>
      <c r="Q20" t="s">
        <v>471</v>
      </c>
      <c r="R20" t="s">
        <v>472</v>
      </c>
      <c r="S20" t="s">
        <v>473</v>
      </c>
      <c r="T20" t="s">
        <v>474</v>
      </c>
      <c r="U20" t="s">
        <v>475</v>
      </c>
      <c r="V20" t="s">
        <v>476</v>
      </c>
      <c r="W20" t="s">
        <v>477</v>
      </c>
      <c r="X20" t="s">
        <v>478</v>
      </c>
      <c r="Y20" t="s">
        <v>479</v>
      </c>
    </row>
    <row r="21" spans="1:25" x14ac:dyDescent="0.3">
      <c r="A21">
        <v>1000</v>
      </c>
      <c r="B21" t="s">
        <v>480</v>
      </c>
      <c r="C21" t="s">
        <v>481</v>
      </c>
      <c r="D21" t="s">
        <v>482</v>
      </c>
      <c r="E21" t="s">
        <v>483</v>
      </c>
      <c r="F21" t="s">
        <v>484</v>
      </c>
      <c r="G21" t="s">
        <v>485</v>
      </c>
      <c r="H21" t="s">
        <v>486</v>
      </c>
      <c r="I21" t="s">
        <v>487</v>
      </c>
      <c r="J21" t="s">
        <v>488</v>
      </c>
      <c r="K21" t="s">
        <v>489</v>
      </c>
      <c r="L21" t="s">
        <v>490</v>
      </c>
      <c r="M21" t="s">
        <v>491</v>
      </c>
      <c r="N21" t="s">
        <v>492</v>
      </c>
      <c r="O21" t="s">
        <v>493</v>
      </c>
      <c r="P21" t="s">
        <v>494</v>
      </c>
      <c r="Q21" t="s">
        <v>495</v>
      </c>
      <c r="R21" t="s">
        <v>496</v>
      </c>
      <c r="S21" t="s">
        <v>497</v>
      </c>
      <c r="T21" t="s">
        <v>498</v>
      </c>
      <c r="U21" t="s">
        <v>499</v>
      </c>
      <c r="V21" t="s">
        <v>500</v>
      </c>
      <c r="W21" t="s">
        <v>501</v>
      </c>
      <c r="X21" t="s">
        <v>502</v>
      </c>
      <c r="Y21" t="s">
        <v>503</v>
      </c>
    </row>
    <row r="22" spans="1:25" x14ac:dyDescent="0.3">
      <c r="A22">
        <v>1050</v>
      </c>
      <c r="B22" t="s">
        <v>504</v>
      </c>
      <c r="C22" t="s">
        <v>505</v>
      </c>
      <c r="D22" t="s">
        <v>506</v>
      </c>
      <c r="E22" t="s">
        <v>507</v>
      </c>
      <c r="F22" t="s">
        <v>508</v>
      </c>
      <c r="G22" t="s">
        <v>509</v>
      </c>
      <c r="H22" t="s">
        <v>510</v>
      </c>
      <c r="I22" t="s">
        <v>511</v>
      </c>
      <c r="J22" t="s">
        <v>512</v>
      </c>
      <c r="K22" t="s">
        <v>513</v>
      </c>
      <c r="L22" t="s">
        <v>514</v>
      </c>
      <c r="M22" t="s">
        <v>515</v>
      </c>
      <c r="N22" t="s">
        <v>516</v>
      </c>
      <c r="O22" t="s">
        <v>517</v>
      </c>
      <c r="P22" t="s">
        <v>518</v>
      </c>
      <c r="Q22" t="s">
        <v>519</v>
      </c>
      <c r="R22" t="s">
        <v>520</v>
      </c>
      <c r="S22" t="s">
        <v>521</v>
      </c>
      <c r="T22" t="s">
        <v>522</v>
      </c>
      <c r="U22" t="s">
        <v>523</v>
      </c>
      <c r="V22" t="s">
        <v>524</v>
      </c>
      <c r="W22" t="s">
        <v>525</v>
      </c>
      <c r="X22" t="s">
        <v>526</v>
      </c>
      <c r="Y22" t="s">
        <v>527</v>
      </c>
    </row>
    <row r="23" spans="1:25" x14ac:dyDescent="0.3">
      <c r="A23">
        <v>1100</v>
      </c>
      <c r="B23" t="s">
        <v>528</v>
      </c>
      <c r="C23" t="s">
        <v>529</v>
      </c>
      <c r="D23" t="s">
        <v>530</v>
      </c>
      <c r="E23" t="s">
        <v>531</v>
      </c>
      <c r="F23" t="s">
        <v>532</v>
      </c>
      <c r="G23" t="s">
        <v>533</v>
      </c>
      <c r="H23" t="s">
        <v>534</v>
      </c>
      <c r="I23" t="s">
        <v>535</v>
      </c>
      <c r="J23" t="s">
        <v>536</v>
      </c>
      <c r="K23" t="s">
        <v>537</v>
      </c>
      <c r="L23" t="s">
        <v>538</v>
      </c>
      <c r="M23" t="s">
        <v>539</v>
      </c>
      <c r="N23" t="s">
        <v>540</v>
      </c>
      <c r="O23">
        <f>-683.542665221161 -4.37361908304695 -712.337828795987</f>
        <v>-1400.2541131001949</v>
      </c>
      <c r="P23" t="s">
        <v>541</v>
      </c>
      <c r="Q23" t="s">
        <v>542</v>
      </c>
      <c r="R23" t="s">
        <v>543</v>
      </c>
      <c r="S23" t="s">
        <v>544</v>
      </c>
      <c r="T23" t="s">
        <v>545</v>
      </c>
      <c r="U23" t="s">
        <v>546</v>
      </c>
      <c r="V23" t="s">
        <v>547</v>
      </c>
      <c r="W23" t="s">
        <v>548</v>
      </c>
      <c r="X23" t="s">
        <v>549</v>
      </c>
      <c r="Y23" t="s">
        <v>550</v>
      </c>
    </row>
    <row r="24" spans="1:25" x14ac:dyDescent="0.3">
      <c r="A24">
        <v>1150</v>
      </c>
      <c r="B24" t="s">
        <v>551</v>
      </c>
      <c r="C24" t="s">
        <v>552</v>
      </c>
      <c r="D24" t="s">
        <v>553</v>
      </c>
      <c r="E24" t="s">
        <v>554</v>
      </c>
      <c r="F24" t="s">
        <v>555</v>
      </c>
      <c r="G24" t="s">
        <v>556</v>
      </c>
      <c r="H24" t="s">
        <v>557</v>
      </c>
      <c r="I24" t="s">
        <v>558</v>
      </c>
      <c r="J24" t="s">
        <v>559</v>
      </c>
      <c r="K24" t="s">
        <v>560</v>
      </c>
      <c r="L24" t="s">
        <v>561</v>
      </c>
      <c r="M24" t="s">
        <v>562</v>
      </c>
      <c r="N24" t="s">
        <v>563</v>
      </c>
      <c r="O24">
        <f>-679.620428255564 -10.2083930345762 -711.064079161573</f>
        <v>-1400.8929004517131</v>
      </c>
      <c r="P24" t="s">
        <v>564</v>
      </c>
      <c r="Q24" t="s">
        <v>565</v>
      </c>
      <c r="R24" t="s">
        <v>566</v>
      </c>
      <c r="S24" t="s">
        <v>567</v>
      </c>
      <c r="T24" t="s">
        <v>568</v>
      </c>
      <c r="U24" t="s">
        <v>569</v>
      </c>
      <c r="V24" t="s">
        <v>570</v>
      </c>
      <c r="W24" t="s">
        <v>571</v>
      </c>
      <c r="X24" t="s">
        <v>572</v>
      </c>
      <c r="Y24" t="s">
        <v>573</v>
      </c>
    </row>
    <row r="25" spans="1:25" x14ac:dyDescent="0.3">
      <c r="A25">
        <v>1200</v>
      </c>
      <c r="B25" t="s">
        <v>574</v>
      </c>
      <c r="C25" t="s">
        <v>575</v>
      </c>
      <c r="D25" t="s">
        <v>576</v>
      </c>
      <c r="E25" t="s">
        <v>577</v>
      </c>
      <c r="F25" t="s">
        <v>578</v>
      </c>
      <c r="G25" t="s">
        <v>579</v>
      </c>
      <c r="H25" t="s">
        <v>580</v>
      </c>
      <c r="I25" t="s">
        <v>581</v>
      </c>
      <c r="J25" t="s">
        <v>582</v>
      </c>
      <c r="K25" t="s">
        <v>583</v>
      </c>
      <c r="L25" t="s">
        <v>584</v>
      </c>
      <c r="M25" t="s">
        <v>585</v>
      </c>
      <c r="N25" t="s">
        <v>586</v>
      </c>
      <c r="O25">
        <f>-678.355890154471 -11.9625477239142 -710.371942213016</f>
        <v>-1400.6903800914013</v>
      </c>
      <c r="P25" t="s">
        <v>587</v>
      </c>
      <c r="Q25" t="s">
        <v>588</v>
      </c>
      <c r="R25" t="s">
        <v>589</v>
      </c>
      <c r="S25" t="s">
        <v>590</v>
      </c>
      <c r="T25" t="s">
        <v>591</v>
      </c>
      <c r="U25" t="s">
        <v>592</v>
      </c>
      <c r="V25" t="s">
        <v>593</v>
      </c>
      <c r="W25" t="s">
        <v>594</v>
      </c>
      <c r="X25" t="s">
        <v>595</v>
      </c>
      <c r="Y25" t="s">
        <v>596</v>
      </c>
    </row>
    <row r="26" spans="1:25" x14ac:dyDescent="0.3">
      <c r="A26">
        <v>1250</v>
      </c>
      <c r="B26" t="s">
        <v>597</v>
      </c>
      <c r="C26" t="s">
        <v>598</v>
      </c>
      <c r="D26" t="s">
        <v>599</v>
      </c>
      <c r="E26" t="s">
        <v>600</v>
      </c>
      <c r="F26" t="s">
        <v>601</v>
      </c>
      <c r="G26" t="s">
        <v>602</v>
      </c>
      <c r="H26" t="s">
        <v>603</v>
      </c>
      <c r="I26" t="s">
        <v>604</v>
      </c>
      <c r="J26" t="s">
        <v>605</v>
      </c>
      <c r="K26" t="s">
        <v>606</v>
      </c>
      <c r="L26" t="s">
        <v>607</v>
      </c>
      <c r="M26" t="s">
        <v>608</v>
      </c>
      <c r="N26" t="s">
        <v>609</v>
      </c>
      <c r="O26">
        <f>-675.714991071773 -14.8107323680628 -708.93511517713</f>
        <v>-1399.4608386169657</v>
      </c>
      <c r="P26" t="s">
        <v>610</v>
      </c>
      <c r="Q26" t="s">
        <v>611</v>
      </c>
      <c r="R26" t="s">
        <v>612</v>
      </c>
      <c r="S26" t="s">
        <v>613</v>
      </c>
      <c r="T26" t="s">
        <v>614</v>
      </c>
      <c r="U26" t="s">
        <v>615</v>
      </c>
      <c r="V26" t="s">
        <v>616</v>
      </c>
      <c r="W26" t="s">
        <v>617</v>
      </c>
      <c r="X26" t="s">
        <v>618</v>
      </c>
      <c r="Y26" t="s">
        <v>619</v>
      </c>
    </row>
    <row r="27" spans="1:25" x14ac:dyDescent="0.3">
      <c r="A27">
        <v>1300</v>
      </c>
      <c r="B27" t="s">
        <v>620</v>
      </c>
      <c r="C27" t="s">
        <v>621</v>
      </c>
      <c r="D27" t="s">
        <v>622</v>
      </c>
      <c r="E27" t="s">
        <v>623</v>
      </c>
      <c r="F27" t="s">
        <v>624</v>
      </c>
      <c r="G27" t="s">
        <v>625</v>
      </c>
      <c r="H27" t="s">
        <v>626</v>
      </c>
      <c r="I27" t="s">
        <v>627</v>
      </c>
      <c r="J27" t="s">
        <v>628</v>
      </c>
      <c r="K27" t="s">
        <v>629</v>
      </c>
      <c r="L27" t="s">
        <v>630</v>
      </c>
      <c r="M27" t="s">
        <v>631</v>
      </c>
      <c r="N27" t="s">
        <v>632</v>
      </c>
      <c r="O27">
        <f>-674.354400685875 -15.4963161104628 -708.621858822176</f>
        <v>-1398.4725756185139</v>
      </c>
      <c r="P27" t="s">
        <v>633</v>
      </c>
      <c r="Q27" t="s">
        <v>634</v>
      </c>
      <c r="R27" t="s">
        <v>635</v>
      </c>
      <c r="S27" t="s">
        <v>636</v>
      </c>
      <c r="T27" t="s">
        <v>637</v>
      </c>
      <c r="U27" t="s">
        <v>638</v>
      </c>
      <c r="V27" t="s">
        <v>639</v>
      </c>
      <c r="W27" t="s">
        <v>640</v>
      </c>
      <c r="X27" t="s">
        <v>641</v>
      </c>
      <c r="Y27" t="s">
        <v>642</v>
      </c>
    </row>
    <row r="28" spans="1:25" x14ac:dyDescent="0.3">
      <c r="A28">
        <v>1350</v>
      </c>
      <c r="B28" t="s">
        <v>643</v>
      </c>
      <c r="C28" t="s">
        <v>644</v>
      </c>
      <c r="D28" t="s">
        <v>645</v>
      </c>
      <c r="E28" t="s">
        <v>646</v>
      </c>
      <c r="F28" t="s">
        <v>647</v>
      </c>
      <c r="G28" t="s">
        <v>648</v>
      </c>
      <c r="H28" t="s">
        <v>649</v>
      </c>
      <c r="I28" t="s">
        <v>650</v>
      </c>
      <c r="J28" t="s">
        <v>651</v>
      </c>
      <c r="K28" t="s">
        <v>652</v>
      </c>
      <c r="L28" t="s">
        <v>653</v>
      </c>
      <c r="M28" t="s">
        <v>654</v>
      </c>
      <c r="N28" t="s">
        <v>655</v>
      </c>
      <c r="O28">
        <f>-670.771478458959 -15.7099314632873 -708.52863406044</f>
        <v>-1395.0100439826863</v>
      </c>
      <c r="P28" t="s">
        <v>656</v>
      </c>
      <c r="Q28" t="s">
        <v>657</v>
      </c>
      <c r="R28" t="s">
        <v>658</v>
      </c>
      <c r="S28" t="s">
        <v>659</v>
      </c>
      <c r="T28" t="s">
        <v>660</v>
      </c>
      <c r="U28" t="s">
        <v>661</v>
      </c>
      <c r="V28" t="s">
        <v>662</v>
      </c>
      <c r="W28" t="s">
        <v>663</v>
      </c>
      <c r="X28" t="s">
        <v>664</v>
      </c>
      <c r="Y28" t="s">
        <v>665</v>
      </c>
    </row>
    <row r="29" spans="1:25" x14ac:dyDescent="0.3">
      <c r="A29">
        <v>1400</v>
      </c>
      <c r="B29" t="s">
        <v>666</v>
      </c>
      <c r="C29" t="s">
        <v>667</v>
      </c>
      <c r="D29" t="s">
        <v>668</v>
      </c>
      <c r="E29" t="s">
        <v>669</v>
      </c>
      <c r="F29" t="s">
        <v>670</v>
      </c>
      <c r="G29" t="s">
        <v>671</v>
      </c>
      <c r="H29" t="s">
        <v>672</v>
      </c>
      <c r="I29" t="s">
        <v>673</v>
      </c>
      <c r="J29" t="s">
        <v>674</v>
      </c>
      <c r="K29" t="s">
        <v>675</v>
      </c>
      <c r="L29" t="s">
        <v>676</v>
      </c>
      <c r="M29" t="s">
        <v>677</v>
      </c>
      <c r="N29" t="s">
        <v>678</v>
      </c>
      <c r="O29">
        <f>-669.474209925956 -14.5156006019795 -708.340552778706</f>
        <v>-1392.3303633066414</v>
      </c>
      <c r="P29" t="s">
        <v>679</v>
      </c>
      <c r="Q29" t="s">
        <v>680</v>
      </c>
      <c r="R29" t="s">
        <v>681</v>
      </c>
      <c r="S29" t="s">
        <v>682</v>
      </c>
      <c r="T29" t="s">
        <v>683</v>
      </c>
      <c r="U29" t="s">
        <v>684</v>
      </c>
      <c r="V29" t="s">
        <v>685</v>
      </c>
      <c r="W29" t="s">
        <v>686</v>
      </c>
      <c r="X29" t="s">
        <v>687</v>
      </c>
      <c r="Y29" t="s">
        <v>688</v>
      </c>
    </row>
    <row r="30" spans="1:25" x14ac:dyDescent="0.3">
      <c r="A30">
        <v>1450</v>
      </c>
      <c r="B30" t="s">
        <v>689</v>
      </c>
      <c r="C30" t="s">
        <v>690</v>
      </c>
      <c r="D30" t="s">
        <v>691</v>
      </c>
      <c r="E30" t="s">
        <v>692</v>
      </c>
      <c r="F30" t="s">
        <v>693</v>
      </c>
      <c r="G30" t="s">
        <v>694</v>
      </c>
      <c r="H30" t="s">
        <v>695</v>
      </c>
      <c r="I30" t="s">
        <v>696</v>
      </c>
      <c r="J30" t="s">
        <v>697</v>
      </c>
      <c r="K30" t="s">
        <v>698</v>
      </c>
      <c r="L30" t="s">
        <v>699</v>
      </c>
      <c r="M30" t="s">
        <v>700</v>
      </c>
      <c r="N30" t="s">
        <v>701</v>
      </c>
      <c r="O30">
        <f>-666.745541000817 -9.36968637668797 -707.779807297325</f>
        <v>-1383.8950346748297</v>
      </c>
      <c r="P30" t="s">
        <v>702</v>
      </c>
      <c r="Q30" t="s">
        <v>703</v>
      </c>
      <c r="R30" t="s">
        <v>704</v>
      </c>
      <c r="S30" t="s">
        <v>705</v>
      </c>
      <c r="T30" t="s">
        <v>706</v>
      </c>
      <c r="U30" t="s">
        <v>707</v>
      </c>
      <c r="V30" t="s">
        <v>708</v>
      </c>
      <c r="W30" t="s">
        <v>709</v>
      </c>
      <c r="X30" t="s">
        <v>710</v>
      </c>
      <c r="Y30" t="s">
        <v>711</v>
      </c>
    </row>
    <row r="31" spans="1:25" x14ac:dyDescent="0.3">
      <c r="A31">
        <v>1500</v>
      </c>
      <c r="B31" t="s">
        <v>712</v>
      </c>
      <c r="C31" t="s">
        <v>713</v>
      </c>
      <c r="D31" t="s">
        <v>714</v>
      </c>
      <c r="E31" t="s">
        <v>715</v>
      </c>
      <c r="F31" t="s">
        <v>716</v>
      </c>
      <c r="G31" t="s">
        <v>717</v>
      </c>
      <c r="H31" t="s">
        <v>718</v>
      </c>
      <c r="I31" t="s">
        <v>719</v>
      </c>
      <c r="J31" t="s">
        <v>720</v>
      </c>
      <c r="K31" t="s">
        <v>721</v>
      </c>
      <c r="L31" t="s">
        <v>722</v>
      </c>
      <c r="M31" t="s">
        <v>723</v>
      </c>
      <c r="N31" t="s">
        <v>724</v>
      </c>
      <c r="O31">
        <f>-665.88647503486 -5.97202017897809 -707.595869502441</f>
        <v>-1379.4543647162791</v>
      </c>
      <c r="P31" t="s">
        <v>725</v>
      </c>
      <c r="Q31" t="s">
        <v>726</v>
      </c>
      <c r="R31" t="s">
        <v>727</v>
      </c>
      <c r="S31" t="s">
        <v>728</v>
      </c>
      <c r="T31" t="s">
        <v>729</v>
      </c>
      <c r="U31" t="s">
        <v>730</v>
      </c>
      <c r="V31" t="s">
        <v>731</v>
      </c>
      <c r="W31" t="s">
        <v>732</v>
      </c>
      <c r="X31" t="s">
        <v>733</v>
      </c>
      <c r="Y31" t="s">
        <v>734</v>
      </c>
    </row>
    <row r="32" spans="1:25" x14ac:dyDescent="0.3">
      <c r="A32">
        <v>1550</v>
      </c>
      <c r="B32" t="s">
        <v>735</v>
      </c>
      <c r="C32" t="s">
        <v>736</v>
      </c>
      <c r="D32" t="s">
        <v>737</v>
      </c>
      <c r="E32" t="s">
        <v>738</v>
      </c>
      <c r="F32" t="s">
        <v>739</v>
      </c>
      <c r="G32" t="s">
        <v>740</v>
      </c>
      <c r="H32" t="s">
        <v>741</v>
      </c>
      <c r="I32" t="s">
        <v>742</v>
      </c>
      <c r="J32" t="s">
        <v>743</v>
      </c>
      <c r="K32" t="s">
        <v>744</v>
      </c>
      <c r="L32" t="s">
        <v>745</v>
      </c>
      <c r="M32" t="s">
        <v>746</v>
      </c>
      <c r="N32" t="s">
        <v>747</v>
      </c>
      <c r="O32" t="s">
        <v>748</v>
      </c>
      <c r="P32" t="s">
        <v>749</v>
      </c>
      <c r="Q32" t="s">
        <v>750</v>
      </c>
      <c r="R32" t="s">
        <v>751</v>
      </c>
      <c r="S32" t="s">
        <v>752</v>
      </c>
      <c r="T32" t="s">
        <v>753</v>
      </c>
      <c r="U32" t="s">
        <v>754</v>
      </c>
      <c r="V32" t="s">
        <v>755</v>
      </c>
      <c r="W32" t="s">
        <v>756</v>
      </c>
      <c r="X32" t="s">
        <v>757</v>
      </c>
      <c r="Y32" t="s">
        <v>758</v>
      </c>
    </row>
    <row r="33" spans="1:25" x14ac:dyDescent="0.3">
      <c r="A33">
        <v>1600</v>
      </c>
      <c r="B33" t="s">
        <v>759</v>
      </c>
      <c r="C33" t="s">
        <v>760</v>
      </c>
      <c r="D33" t="s">
        <v>761</v>
      </c>
      <c r="E33" t="s">
        <v>762</v>
      </c>
      <c r="F33" t="s">
        <v>763</v>
      </c>
      <c r="G33" t="s">
        <v>764</v>
      </c>
      <c r="H33" t="s">
        <v>765</v>
      </c>
      <c r="I33" t="s">
        <v>766</v>
      </c>
      <c r="J33" t="s">
        <v>767</v>
      </c>
      <c r="K33" t="s">
        <v>768</v>
      </c>
      <c r="L33" t="s">
        <v>769</v>
      </c>
      <c r="M33" t="s">
        <v>770</v>
      </c>
      <c r="N33" t="s">
        <v>771</v>
      </c>
      <c r="O33" t="s">
        <v>772</v>
      </c>
      <c r="P33" t="s">
        <v>773</v>
      </c>
      <c r="Q33" t="s">
        <v>774</v>
      </c>
      <c r="R33" t="s">
        <v>775</v>
      </c>
      <c r="S33" t="s">
        <v>776</v>
      </c>
      <c r="T33" t="s">
        <v>777</v>
      </c>
      <c r="U33" t="s">
        <v>778</v>
      </c>
      <c r="V33" t="s">
        <v>779</v>
      </c>
      <c r="W33" t="s">
        <v>780</v>
      </c>
      <c r="X33" t="s">
        <v>781</v>
      </c>
      <c r="Y33" t="s">
        <v>782</v>
      </c>
    </row>
    <row r="34" spans="1:25" x14ac:dyDescent="0.3">
      <c r="A34">
        <v>1650</v>
      </c>
      <c r="B34" t="s">
        <v>783</v>
      </c>
      <c r="C34" t="s">
        <v>784</v>
      </c>
      <c r="D34" t="s">
        <v>785</v>
      </c>
      <c r="E34" t="s">
        <v>786</v>
      </c>
      <c r="F34" t="s">
        <v>787</v>
      </c>
      <c r="G34" t="s">
        <v>788</v>
      </c>
      <c r="H34" t="s">
        <v>789</v>
      </c>
      <c r="I34" t="s">
        <v>790</v>
      </c>
      <c r="J34" t="s">
        <v>791</v>
      </c>
      <c r="K34" t="s">
        <v>792</v>
      </c>
      <c r="L34" t="s">
        <v>793</v>
      </c>
      <c r="M34" t="s">
        <v>794</v>
      </c>
      <c r="N34" t="s">
        <v>795</v>
      </c>
      <c r="O34" t="s">
        <v>796</v>
      </c>
      <c r="P34" t="s">
        <v>797</v>
      </c>
      <c r="Q34" t="s">
        <v>798</v>
      </c>
      <c r="R34" t="s">
        <v>799</v>
      </c>
      <c r="S34" t="s">
        <v>800</v>
      </c>
      <c r="T34" t="s">
        <v>801</v>
      </c>
      <c r="U34" t="s">
        <v>802</v>
      </c>
      <c r="V34" t="s">
        <v>803</v>
      </c>
      <c r="W34" t="s">
        <v>804</v>
      </c>
      <c r="X34" t="s">
        <v>805</v>
      </c>
      <c r="Y34" t="s">
        <v>806</v>
      </c>
    </row>
    <row r="35" spans="1:25" x14ac:dyDescent="0.3">
      <c r="A35">
        <v>1700</v>
      </c>
      <c r="B35" t="s">
        <v>807</v>
      </c>
      <c r="C35" t="s">
        <v>808</v>
      </c>
      <c r="D35" t="s">
        <v>809</v>
      </c>
      <c r="E35" t="s">
        <v>810</v>
      </c>
      <c r="F35" t="s">
        <v>811</v>
      </c>
      <c r="G35" t="s">
        <v>812</v>
      </c>
      <c r="H35" t="s">
        <v>813</v>
      </c>
      <c r="I35" t="s">
        <v>814</v>
      </c>
      <c r="J35" t="s">
        <v>815</v>
      </c>
      <c r="K35" t="s">
        <v>816</v>
      </c>
      <c r="L35" t="s">
        <v>817</v>
      </c>
      <c r="M35" t="s">
        <v>818</v>
      </c>
      <c r="N35" t="s">
        <v>819</v>
      </c>
      <c r="O35" t="s">
        <v>820</v>
      </c>
      <c r="P35" t="s">
        <v>821</v>
      </c>
      <c r="Q35" t="s">
        <v>822</v>
      </c>
      <c r="R35" t="s">
        <v>823</v>
      </c>
      <c r="S35" t="s">
        <v>824</v>
      </c>
      <c r="T35" t="s">
        <v>825</v>
      </c>
      <c r="U35" t="s">
        <v>826</v>
      </c>
      <c r="V35" t="s">
        <v>827</v>
      </c>
      <c r="W35" t="s">
        <v>828</v>
      </c>
      <c r="X35" t="s">
        <v>829</v>
      </c>
      <c r="Y35" t="s">
        <v>830</v>
      </c>
    </row>
    <row r="36" spans="1:25" x14ac:dyDescent="0.3">
      <c r="A36">
        <v>1750</v>
      </c>
      <c r="B36" t="s">
        <v>831</v>
      </c>
      <c r="C36" t="s">
        <v>832</v>
      </c>
      <c r="D36" t="s">
        <v>833</v>
      </c>
      <c r="E36" t="s">
        <v>834</v>
      </c>
      <c r="F36" t="s">
        <v>835</v>
      </c>
      <c r="G36" t="s">
        <v>836</v>
      </c>
      <c r="H36" t="s">
        <v>837</v>
      </c>
      <c r="I36" t="s">
        <v>838</v>
      </c>
      <c r="J36" t="s">
        <v>839</v>
      </c>
      <c r="K36" t="s">
        <v>840</v>
      </c>
      <c r="L36" t="s">
        <v>841</v>
      </c>
      <c r="M36" t="s">
        <v>842</v>
      </c>
      <c r="N36" t="s">
        <v>843</v>
      </c>
      <c r="O36" t="s">
        <v>844</v>
      </c>
      <c r="P36" t="s">
        <v>845</v>
      </c>
      <c r="Q36" t="s">
        <v>846</v>
      </c>
      <c r="R36" t="s">
        <v>847</v>
      </c>
      <c r="S36" t="s">
        <v>848</v>
      </c>
      <c r="T36" t="s">
        <v>849</v>
      </c>
      <c r="U36" t="s">
        <v>850</v>
      </c>
      <c r="V36" t="s">
        <v>851</v>
      </c>
      <c r="W36" t="s">
        <v>852</v>
      </c>
      <c r="X36" t="s">
        <v>853</v>
      </c>
      <c r="Y36" t="s">
        <v>854</v>
      </c>
    </row>
    <row r="37" spans="1:25" x14ac:dyDescent="0.3">
      <c r="A37">
        <v>1800</v>
      </c>
      <c r="B37" t="s">
        <v>855</v>
      </c>
      <c r="C37" t="s">
        <v>856</v>
      </c>
      <c r="D37" t="s">
        <v>857</v>
      </c>
      <c r="E37" t="s">
        <v>858</v>
      </c>
      <c r="F37" t="s">
        <v>859</v>
      </c>
      <c r="G37" t="s">
        <v>860</v>
      </c>
      <c r="H37" t="s">
        <v>861</v>
      </c>
      <c r="I37" t="s">
        <v>862</v>
      </c>
      <c r="J37" t="s">
        <v>863</v>
      </c>
      <c r="K37" t="s">
        <v>864</v>
      </c>
      <c r="L37" t="s">
        <v>865</v>
      </c>
      <c r="M37" t="s">
        <v>866</v>
      </c>
      <c r="N37" t="s">
        <v>867</v>
      </c>
      <c r="O37" t="s">
        <v>868</v>
      </c>
      <c r="P37" t="s">
        <v>869</v>
      </c>
      <c r="Q37" t="s">
        <v>870</v>
      </c>
      <c r="R37" t="s">
        <v>871</v>
      </c>
      <c r="S37" t="s">
        <v>872</v>
      </c>
      <c r="T37" t="s">
        <v>873</v>
      </c>
      <c r="U37" t="s">
        <v>874</v>
      </c>
      <c r="V37" t="s">
        <v>875</v>
      </c>
      <c r="W37" t="s">
        <v>876</v>
      </c>
      <c r="X37" t="s">
        <v>877</v>
      </c>
      <c r="Y37" t="s">
        <v>878</v>
      </c>
    </row>
    <row r="38" spans="1:25" x14ac:dyDescent="0.3">
      <c r="A38">
        <v>1850</v>
      </c>
      <c r="B38" t="s">
        <v>879</v>
      </c>
      <c r="C38" t="s">
        <v>880</v>
      </c>
      <c r="D38" t="s">
        <v>881</v>
      </c>
      <c r="E38" t="s">
        <v>882</v>
      </c>
      <c r="F38" t="s">
        <v>883</v>
      </c>
      <c r="G38" t="s">
        <v>884</v>
      </c>
      <c r="H38" t="s">
        <v>885</v>
      </c>
      <c r="I38" t="s">
        <v>886</v>
      </c>
      <c r="J38" t="s">
        <v>887</v>
      </c>
      <c r="K38" t="s">
        <v>888</v>
      </c>
      <c r="L38" t="s">
        <v>889</v>
      </c>
      <c r="M38" t="s">
        <v>890</v>
      </c>
      <c r="N38" t="s">
        <v>891</v>
      </c>
      <c r="O38" t="s">
        <v>892</v>
      </c>
      <c r="P38" t="s">
        <v>893</v>
      </c>
      <c r="Q38" t="s">
        <v>894</v>
      </c>
      <c r="R38" t="s">
        <v>895</v>
      </c>
      <c r="S38" t="s">
        <v>896</v>
      </c>
      <c r="T38" t="s">
        <v>897</v>
      </c>
      <c r="U38" t="s">
        <v>898</v>
      </c>
      <c r="V38" t="s">
        <v>899</v>
      </c>
      <c r="W38" t="s">
        <v>900</v>
      </c>
      <c r="X38" t="s">
        <v>901</v>
      </c>
      <c r="Y38" t="s">
        <v>902</v>
      </c>
    </row>
    <row r="39" spans="1:25" x14ac:dyDescent="0.3">
      <c r="A39">
        <v>1900</v>
      </c>
      <c r="B39" t="s">
        <v>903</v>
      </c>
      <c r="C39" t="s">
        <v>904</v>
      </c>
      <c r="D39" t="s">
        <v>905</v>
      </c>
      <c r="E39" t="s">
        <v>906</v>
      </c>
      <c r="F39" t="s">
        <v>907</v>
      </c>
      <c r="G39" t="s">
        <v>908</v>
      </c>
      <c r="H39" t="s">
        <v>909</v>
      </c>
      <c r="I39" t="s">
        <v>910</v>
      </c>
      <c r="J39" t="s">
        <v>911</v>
      </c>
      <c r="K39" t="s">
        <v>912</v>
      </c>
      <c r="L39" t="s">
        <v>913</v>
      </c>
      <c r="M39" t="s">
        <v>914</v>
      </c>
      <c r="N39" t="s">
        <v>915</v>
      </c>
      <c r="O39" t="s">
        <v>916</v>
      </c>
      <c r="P39" t="s">
        <v>917</v>
      </c>
      <c r="Q39" t="s">
        <v>918</v>
      </c>
      <c r="R39" t="s">
        <v>919</v>
      </c>
      <c r="S39" t="s">
        <v>920</v>
      </c>
      <c r="T39" t="s">
        <v>921</v>
      </c>
      <c r="U39" t="s">
        <v>922</v>
      </c>
      <c r="V39" t="s">
        <v>923</v>
      </c>
      <c r="W39" t="s">
        <v>924</v>
      </c>
      <c r="X39" t="s">
        <v>925</v>
      </c>
      <c r="Y39" t="s">
        <v>926</v>
      </c>
    </row>
    <row r="40" spans="1:25" x14ac:dyDescent="0.3">
      <c r="A40">
        <v>1950</v>
      </c>
      <c r="B40" t="s">
        <v>927</v>
      </c>
      <c r="C40" t="s">
        <v>928</v>
      </c>
      <c r="D40" t="s">
        <v>929</v>
      </c>
      <c r="E40" t="s">
        <v>930</v>
      </c>
      <c r="F40" t="s">
        <v>931</v>
      </c>
      <c r="G40" t="s">
        <v>932</v>
      </c>
      <c r="H40" t="s">
        <v>933</v>
      </c>
      <c r="I40" t="s">
        <v>934</v>
      </c>
      <c r="J40" t="s">
        <v>935</v>
      </c>
      <c r="K40" t="s">
        <v>936</v>
      </c>
      <c r="L40" t="s">
        <v>937</v>
      </c>
      <c r="M40" t="s">
        <v>938</v>
      </c>
      <c r="N40" t="s">
        <v>939</v>
      </c>
      <c r="O40" t="s">
        <v>940</v>
      </c>
      <c r="P40" t="s">
        <v>941</v>
      </c>
      <c r="Q40" t="s">
        <v>942</v>
      </c>
      <c r="R40" t="s">
        <v>943</v>
      </c>
      <c r="S40" t="s">
        <v>944</v>
      </c>
      <c r="T40" t="s">
        <v>945</v>
      </c>
      <c r="U40" t="s">
        <v>946</v>
      </c>
      <c r="V40" t="s">
        <v>947</v>
      </c>
      <c r="W40" t="s">
        <v>948</v>
      </c>
      <c r="X40" t="s">
        <v>949</v>
      </c>
      <c r="Y40" t="s">
        <v>950</v>
      </c>
    </row>
    <row r="41" spans="1:25" x14ac:dyDescent="0.3">
      <c r="A41">
        <v>2000</v>
      </c>
      <c r="B41" t="s">
        <v>951</v>
      </c>
      <c r="C41" t="s">
        <v>952</v>
      </c>
      <c r="D41" t="s">
        <v>953</v>
      </c>
      <c r="E41" t="s">
        <v>954</v>
      </c>
      <c r="F41" t="s">
        <v>955</v>
      </c>
      <c r="G41" t="s">
        <v>956</v>
      </c>
      <c r="H41" t="s">
        <v>957</v>
      </c>
      <c r="I41" t="s">
        <v>958</v>
      </c>
      <c r="J41" t="s">
        <v>959</v>
      </c>
      <c r="K41" t="s">
        <v>960</v>
      </c>
      <c r="L41" t="s">
        <v>961</v>
      </c>
      <c r="M41" t="s">
        <v>962</v>
      </c>
      <c r="N41" t="s">
        <v>963</v>
      </c>
      <c r="O41" t="s">
        <v>964</v>
      </c>
      <c r="P41" t="s">
        <v>965</v>
      </c>
      <c r="Q41" t="s">
        <v>966</v>
      </c>
      <c r="R41" t="s">
        <v>967</v>
      </c>
      <c r="S41" t="s">
        <v>968</v>
      </c>
      <c r="T41" t="s">
        <v>969</v>
      </c>
      <c r="U41" t="s">
        <v>970</v>
      </c>
      <c r="V41" t="s">
        <v>971</v>
      </c>
      <c r="W41" t="s">
        <v>972</v>
      </c>
      <c r="X41" t="s">
        <v>973</v>
      </c>
      <c r="Y41" t="s">
        <v>974</v>
      </c>
    </row>
    <row r="42" spans="1:25" x14ac:dyDescent="0.3">
      <c r="A42">
        <v>2050</v>
      </c>
      <c r="B42" t="s">
        <v>975</v>
      </c>
      <c r="C42" t="s">
        <v>976</v>
      </c>
      <c r="D42" t="s">
        <v>977</v>
      </c>
      <c r="E42" t="s">
        <v>978</v>
      </c>
      <c r="F42" t="s">
        <v>979</v>
      </c>
      <c r="G42" t="s">
        <v>980</v>
      </c>
      <c r="H42" t="s">
        <v>981</v>
      </c>
      <c r="I42" t="s">
        <v>982</v>
      </c>
      <c r="J42" t="s">
        <v>983</v>
      </c>
      <c r="K42" t="s">
        <v>984</v>
      </c>
      <c r="L42" t="s">
        <v>985</v>
      </c>
      <c r="M42" t="s">
        <v>986</v>
      </c>
      <c r="N42" t="s">
        <v>987</v>
      </c>
      <c r="O42" t="s">
        <v>988</v>
      </c>
      <c r="P42" t="s">
        <v>989</v>
      </c>
      <c r="Q42" t="s">
        <v>990</v>
      </c>
      <c r="R42" t="s">
        <v>991</v>
      </c>
      <c r="S42" t="s">
        <v>992</v>
      </c>
      <c r="T42" t="s">
        <v>993</v>
      </c>
      <c r="U42" t="s">
        <v>994</v>
      </c>
      <c r="V42" t="s">
        <v>995</v>
      </c>
      <c r="W42" t="s">
        <v>996</v>
      </c>
      <c r="X42" t="s">
        <v>997</v>
      </c>
      <c r="Y42" t="s">
        <v>998</v>
      </c>
    </row>
    <row r="43" spans="1:25" x14ac:dyDescent="0.3">
      <c r="A43">
        <v>2100</v>
      </c>
      <c r="B43" t="s">
        <v>999</v>
      </c>
      <c r="C43" t="s">
        <v>1000</v>
      </c>
      <c r="D43" t="s">
        <v>1001</v>
      </c>
      <c r="E43" t="s">
        <v>1002</v>
      </c>
      <c r="F43" t="s">
        <v>1003</v>
      </c>
      <c r="G43" t="s">
        <v>1004</v>
      </c>
      <c r="H43" t="s">
        <v>1005</v>
      </c>
      <c r="I43" t="s">
        <v>1006</v>
      </c>
      <c r="J43" t="s">
        <v>1007</v>
      </c>
      <c r="K43" t="s">
        <v>1008</v>
      </c>
      <c r="L43" t="s">
        <v>1009</v>
      </c>
      <c r="M43" t="s">
        <v>1010</v>
      </c>
      <c r="N43" t="s">
        <v>1011</v>
      </c>
      <c r="O43" t="s">
        <v>1012</v>
      </c>
      <c r="P43" t="s">
        <v>1013</v>
      </c>
      <c r="Q43" t="s">
        <v>1014</v>
      </c>
      <c r="R43" t="s">
        <v>1015</v>
      </c>
      <c r="S43" t="s">
        <v>1016</v>
      </c>
      <c r="T43" t="s">
        <v>1017</v>
      </c>
      <c r="U43" t="s">
        <v>1018</v>
      </c>
      <c r="V43" t="s">
        <v>1019</v>
      </c>
      <c r="W43" t="s">
        <v>1020</v>
      </c>
      <c r="X43" t="s">
        <v>1021</v>
      </c>
      <c r="Y43" t="s">
        <v>1022</v>
      </c>
    </row>
    <row r="44" spans="1:25" x14ac:dyDescent="0.3">
      <c r="A44">
        <v>2150</v>
      </c>
      <c r="B44" t="s">
        <v>1023</v>
      </c>
      <c r="C44" t="s">
        <v>1024</v>
      </c>
      <c r="D44" t="s">
        <v>1025</v>
      </c>
      <c r="E44" t="s">
        <v>1026</v>
      </c>
      <c r="F44" t="s">
        <v>1027</v>
      </c>
      <c r="G44" t="s">
        <v>1028</v>
      </c>
      <c r="H44" t="s">
        <v>1029</v>
      </c>
      <c r="I44" t="s">
        <v>1030</v>
      </c>
      <c r="J44" t="s">
        <v>1031</v>
      </c>
      <c r="K44" t="s">
        <v>1032</v>
      </c>
      <c r="L44" t="s">
        <v>1033</v>
      </c>
      <c r="M44" t="s">
        <v>1034</v>
      </c>
      <c r="N44" t="s">
        <v>1035</v>
      </c>
      <c r="O44" t="s">
        <v>1036</v>
      </c>
      <c r="P44" t="s">
        <v>1037</v>
      </c>
      <c r="Q44" t="s">
        <v>1038</v>
      </c>
      <c r="R44" t="s">
        <v>1039</v>
      </c>
      <c r="S44" t="s">
        <v>1040</v>
      </c>
      <c r="T44" t="s">
        <v>1041</v>
      </c>
      <c r="U44" t="s">
        <v>1042</v>
      </c>
      <c r="V44" t="s">
        <v>1043</v>
      </c>
      <c r="W44" t="s">
        <v>1044</v>
      </c>
      <c r="X44" t="s">
        <v>1045</v>
      </c>
      <c r="Y44" t="s">
        <v>1046</v>
      </c>
    </row>
    <row r="45" spans="1:25" x14ac:dyDescent="0.3">
      <c r="A45">
        <v>2200</v>
      </c>
      <c r="B45" t="s">
        <v>1047</v>
      </c>
      <c r="C45" t="s">
        <v>1048</v>
      </c>
      <c r="D45" t="s">
        <v>1049</v>
      </c>
      <c r="E45" t="s">
        <v>1050</v>
      </c>
      <c r="F45" t="s">
        <v>1051</v>
      </c>
      <c r="G45" t="s">
        <v>1052</v>
      </c>
      <c r="H45" t="s">
        <v>1053</v>
      </c>
      <c r="I45" t="s">
        <v>1054</v>
      </c>
      <c r="J45" t="s">
        <v>1055</v>
      </c>
      <c r="K45" t="s">
        <v>1056</v>
      </c>
      <c r="L45" t="s">
        <v>1057</v>
      </c>
      <c r="M45" t="s">
        <v>1058</v>
      </c>
      <c r="N45" t="s">
        <v>1059</v>
      </c>
      <c r="O45" t="s">
        <v>1060</v>
      </c>
      <c r="P45" t="s">
        <v>1061</v>
      </c>
      <c r="Q45" t="s">
        <v>1062</v>
      </c>
      <c r="R45" t="s">
        <v>1063</v>
      </c>
      <c r="S45" t="s">
        <v>1064</v>
      </c>
      <c r="T45" t="s">
        <v>1065</v>
      </c>
      <c r="U45" t="s">
        <v>1066</v>
      </c>
      <c r="V45" t="s">
        <v>1067</v>
      </c>
      <c r="W45" t="s">
        <v>1068</v>
      </c>
      <c r="X45" t="s">
        <v>1069</v>
      </c>
      <c r="Y45" t="s">
        <v>1070</v>
      </c>
    </row>
    <row r="46" spans="1:25" x14ac:dyDescent="0.3">
      <c r="A46">
        <v>2250</v>
      </c>
      <c r="B46" t="s">
        <v>1071</v>
      </c>
      <c r="C46" t="s">
        <v>1072</v>
      </c>
      <c r="D46" t="s">
        <v>1073</v>
      </c>
      <c r="E46" t="s">
        <v>1074</v>
      </c>
      <c r="F46" t="s">
        <v>1075</v>
      </c>
      <c r="G46" t="s">
        <v>1076</v>
      </c>
      <c r="H46" t="s">
        <v>1077</v>
      </c>
      <c r="I46" t="s">
        <v>1078</v>
      </c>
      <c r="J46" t="s">
        <v>1079</v>
      </c>
      <c r="K46" t="s">
        <v>1080</v>
      </c>
      <c r="L46" t="s">
        <v>1081</v>
      </c>
      <c r="M46" t="s">
        <v>1082</v>
      </c>
      <c r="N46" t="s">
        <v>1083</v>
      </c>
      <c r="O46" t="s">
        <v>1084</v>
      </c>
      <c r="P46" t="s">
        <v>1085</v>
      </c>
      <c r="Q46" t="s">
        <v>1086</v>
      </c>
      <c r="R46" t="s">
        <v>1087</v>
      </c>
      <c r="S46" t="s">
        <v>1088</v>
      </c>
      <c r="T46" t="s">
        <v>1089</v>
      </c>
      <c r="U46" t="s">
        <v>1090</v>
      </c>
      <c r="V46" t="s">
        <v>1091</v>
      </c>
      <c r="W46" t="s">
        <v>1092</v>
      </c>
      <c r="X46" t="s">
        <v>1093</v>
      </c>
      <c r="Y46" t="s">
        <v>1094</v>
      </c>
    </row>
    <row r="47" spans="1:25" x14ac:dyDescent="0.3">
      <c r="A47">
        <v>2300</v>
      </c>
      <c r="B47" t="s">
        <v>1095</v>
      </c>
      <c r="C47" t="s">
        <v>1096</v>
      </c>
      <c r="D47" t="s">
        <v>1097</v>
      </c>
      <c r="E47" t="s">
        <v>1098</v>
      </c>
      <c r="F47" t="s">
        <v>1099</v>
      </c>
      <c r="G47" t="s">
        <v>1100</v>
      </c>
      <c r="H47" t="s">
        <v>1101</v>
      </c>
      <c r="I47" t="s">
        <v>1102</v>
      </c>
      <c r="J47" t="s">
        <v>1103</v>
      </c>
      <c r="K47" t="s">
        <v>1104</v>
      </c>
      <c r="L47" t="s">
        <v>1105</v>
      </c>
      <c r="M47" t="s">
        <v>1106</v>
      </c>
      <c r="N47" t="s">
        <v>1107</v>
      </c>
      <c r="O47" t="s">
        <v>1108</v>
      </c>
      <c r="P47" t="s">
        <v>1109</v>
      </c>
      <c r="Q47" t="s">
        <v>1110</v>
      </c>
      <c r="R47" t="s">
        <v>1111</v>
      </c>
      <c r="S47" t="s">
        <v>1112</v>
      </c>
      <c r="T47" t="s">
        <v>1113</v>
      </c>
      <c r="U47" t="s">
        <v>1114</v>
      </c>
      <c r="V47" t="s">
        <v>1115</v>
      </c>
      <c r="W47" t="s">
        <v>1116</v>
      </c>
      <c r="X47" t="s">
        <v>1117</v>
      </c>
      <c r="Y47" t="s">
        <v>1118</v>
      </c>
    </row>
    <row r="48" spans="1:25" x14ac:dyDescent="0.3">
      <c r="A48">
        <v>2350</v>
      </c>
      <c r="B48" t="s">
        <v>1119</v>
      </c>
      <c r="C48" t="s">
        <v>1120</v>
      </c>
      <c r="D48" t="s">
        <v>1121</v>
      </c>
      <c r="E48" t="s">
        <v>1122</v>
      </c>
      <c r="F48" t="s">
        <v>1123</v>
      </c>
      <c r="G48" t="s">
        <v>1124</v>
      </c>
      <c r="H48" t="s">
        <v>1125</v>
      </c>
      <c r="I48" t="s">
        <v>1126</v>
      </c>
      <c r="J48" t="s">
        <v>1127</v>
      </c>
      <c r="K48" t="s">
        <v>1128</v>
      </c>
      <c r="L48" t="s">
        <v>1129</v>
      </c>
      <c r="M48" t="s">
        <v>1130</v>
      </c>
      <c r="N48" t="s">
        <v>1131</v>
      </c>
      <c r="O48" t="s">
        <v>1132</v>
      </c>
      <c r="P48" t="s">
        <v>1133</v>
      </c>
      <c r="Q48" t="s">
        <v>1134</v>
      </c>
      <c r="R48" t="s">
        <v>1135</v>
      </c>
      <c r="S48" t="s">
        <v>1136</v>
      </c>
      <c r="T48" t="s">
        <v>1137</v>
      </c>
      <c r="U48" t="s">
        <v>1138</v>
      </c>
      <c r="V48" t="s">
        <v>1139</v>
      </c>
      <c r="W48" t="s">
        <v>1140</v>
      </c>
      <c r="X48" t="s">
        <v>1141</v>
      </c>
      <c r="Y48" t="s">
        <v>1142</v>
      </c>
    </row>
    <row r="49" spans="1:25" x14ac:dyDescent="0.3">
      <c r="A49">
        <v>2400</v>
      </c>
      <c r="B49" t="s">
        <v>1143</v>
      </c>
      <c r="C49" t="s">
        <v>1144</v>
      </c>
      <c r="D49" t="s">
        <v>1145</v>
      </c>
      <c r="E49" t="s">
        <v>1146</v>
      </c>
      <c r="F49" t="s">
        <v>1147</v>
      </c>
      <c r="G49" t="s">
        <v>1148</v>
      </c>
      <c r="H49" t="s">
        <v>1149</v>
      </c>
      <c r="I49" t="s">
        <v>1150</v>
      </c>
      <c r="J49" t="s">
        <v>1151</v>
      </c>
      <c r="K49" t="s">
        <v>1152</v>
      </c>
      <c r="L49" t="s">
        <v>1153</v>
      </c>
      <c r="M49" t="s">
        <v>1154</v>
      </c>
      <c r="N49" t="s">
        <v>1155</v>
      </c>
      <c r="O49" t="s">
        <v>1156</v>
      </c>
      <c r="P49" t="s">
        <v>1157</v>
      </c>
      <c r="Q49" t="s">
        <v>1158</v>
      </c>
      <c r="R49" t="s">
        <v>1159</v>
      </c>
      <c r="S49" t="s">
        <v>1160</v>
      </c>
      <c r="T49" t="s">
        <v>1161</v>
      </c>
      <c r="U49" t="s">
        <v>1162</v>
      </c>
      <c r="V49" t="s">
        <v>1163</v>
      </c>
      <c r="W49" t="s">
        <v>1164</v>
      </c>
      <c r="X49" t="s">
        <v>1165</v>
      </c>
      <c r="Y49" t="s">
        <v>1166</v>
      </c>
    </row>
    <row r="50" spans="1:25" x14ac:dyDescent="0.3">
      <c r="A50">
        <v>2450</v>
      </c>
      <c r="B50" t="s">
        <v>1167</v>
      </c>
      <c r="C50" t="s">
        <v>1168</v>
      </c>
      <c r="D50" t="s">
        <v>1169</v>
      </c>
      <c r="E50" t="s">
        <v>1170</v>
      </c>
      <c r="F50" t="s">
        <v>1171</v>
      </c>
      <c r="G50" t="s">
        <v>1172</v>
      </c>
      <c r="H50" t="s">
        <v>1173</v>
      </c>
      <c r="I50" t="s">
        <v>1174</v>
      </c>
      <c r="J50" t="s">
        <v>1175</v>
      </c>
      <c r="K50" t="s">
        <v>1176</v>
      </c>
      <c r="L50" t="s">
        <v>1177</v>
      </c>
      <c r="M50" t="s">
        <v>1178</v>
      </c>
      <c r="N50" t="s">
        <v>1179</v>
      </c>
      <c r="O50" t="s">
        <v>1180</v>
      </c>
      <c r="P50" t="s">
        <v>1181</v>
      </c>
      <c r="Q50" t="s">
        <v>1182</v>
      </c>
      <c r="R50" t="s">
        <v>1183</v>
      </c>
      <c r="S50" t="s">
        <v>1184</v>
      </c>
      <c r="T50" t="s">
        <v>1185</v>
      </c>
      <c r="U50" t="s">
        <v>1186</v>
      </c>
      <c r="V50" t="s">
        <v>1187</v>
      </c>
      <c r="W50" t="s">
        <v>1188</v>
      </c>
      <c r="X50" t="s">
        <v>1189</v>
      </c>
      <c r="Y50" t="s">
        <v>1190</v>
      </c>
    </row>
    <row r="51" spans="1:25" x14ac:dyDescent="0.3">
      <c r="A51">
        <v>2500</v>
      </c>
      <c r="B51" t="s">
        <v>1191</v>
      </c>
      <c r="C51" t="s">
        <v>1192</v>
      </c>
      <c r="D51" t="s">
        <v>1193</v>
      </c>
      <c r="E51" t="s">
        <v>1194</v>
      </c>
      <c r="F51" t="s">
        <v>1195</v>
      </c>
      <c r="G51" t="s">
        <v>1196</v>
      </c>
      <c r="H51" t="s">
        <v>1197</v>
      </c>
      <c r="I51" t="s">
        <v>1198</v>
      </c>
      <c r="J51" t="s">
        <v>1199</v>
      </c>
      <c r="K51" t="s">
        <v>1200</v>
      </c>
      <c r="L51" t="s">
        <v>1201</v>
      </c>
      <c r="M51" t="s">
        <v>1202</v>
      </c>
      <c r="N51" t="s">
        <v>1203</v>
      </c>
      <c r="O51" t="s">
        <v>1204</v>
      </c>
      <c r="P51" t="s">
        <v>1205</v>
      </c>
      <c r="Q51" t="s">
        <v>1206</v>
      </c>
      <c r="R51" t="s">
        <v>1207</v>
      </c>
      <c r="S51" t="s">
        <v>1208</v>
      </c>
      <c r="T51" t="s">
        <v>1209</v>
      </c>
      <c r="U51" t="s">
        <v>1210</v>
      </c>
      <c r="V51" t="s">
        <v>1211</v>
      </c>
      <c r="W51" t="s">
        <v>1212</v>
      </c>
      <c r="X51" t="s">
        <v>1213</v>
      </c>
      <c r="Y51" t="s">
        <v>1214</v>
      </c>
    </row>
    <row r="52" spans="1:25" x14ac:dyDescent="0.3">
      <c r="A52">
        <v>2550</v>
      </c>
      <c r="B52" t="s">
        <v>1215</v>
      </c>
      <c r="C52" t="s">
        <v>1216</v>
      </c>
      <c r="D52" t="s">
        <v>1217</v>
      </c>
      <c r="E52" t="s">
        <v>1218</v>
      </c>
      <c r="F52" t="s">
        <v>1219</v>
      </c>
      <c r="G52" t="s">
        <v>1220</v>
      </c>
      <c r="H52" t="s">
        <v>1221</v>
      </c>
      <c r="I52" t="s">
        <v>1222</v>
      </c>
      <c r="J52" t="s">
        <v>1223</v>
      </c>
      <c r="K52" t="s">
        <v>1224</v>
      </c>
      <c r="L52" t="s">
        <v>1225</v>
      </c>
      <c r="M52" t="s">
        <v>1226</v>
      </c>
      <c r="N52" t="s">
        <v>1227</v>
      </c>
      <c r="O52" t="s">
        <v>1228</v>
      </c>
      <c r="P52" t="s">
        <v>1229</v>
      </c>
      <c r="Q52" t="s">
        <v>1230</v>
      </c>
      <c r="R52" t="s">
        <v>1231</v>
      </c>
      <c r="S52" t="s">
        <v>1232</v>
      </c>
      <c r="T52" t="s">
        <v>1233</v>
      </c>
      <c r="U52" t="s">
        <v>1234</v>
      </c>
      <c r="V52" t="s">
        <v>1235</v>
      </c>
      <c r="W52" t="s">
        <v>1236</v>
      </c>
      <c r="X52" t="s">
        <v>1237</v>
      </c>
      <c r="Y52" t="s">
        <v>1238</v>
      </c>
    </row>
    <row r="53" spans="1:25" x14ac:dyDescent="0.3">
      <c r="A53">
        <v>2600</v>
      </c>
      <c r="B53" t="s">
        <v>1239</v>
      </c>
      <c r="C53" t="s">
        <v>1240</v>
      </c>
      <c r="D53" t="s">
        <v>1241</v>
      </c>
      <c r="E53" t="s">
        <v>1242</v>
      </c>
      <c r="F53" t="s">
        <v>1243</v>
      </c>
      <c r="G53" t="s">
        <v>1244</v>
      </c>
      <c r="H53" t="s">
        <v>1245</v>
      </c>
      <c r="I53" t="s">
        <v>1246</v>
      </c>
      <c r="J53" t="s">
        <v>1247</v>
      </c>
      <c r="K53" t="s">
        <v>1248</v>
      </c>
      <c r="L53" t="s">
        <v>1249</v>
      </c>
      <c r="M53" t="s">
        <v>1250</v>
      </c>
      <c r="N53" t="s">
        <v>1251</v>
      </c>
      <c r="O53" t="s">
        <v>1252</v>
      </c>
      <c r="P53" t="s">
        <v>1253</v>
      </c>
      <c r="Q53" t="s">
        <v>1254</v>
      </c>
      <c r="R53" t="s">
        <v>1255</v>
      </c>
      <c r="S53" t="s">
        <v>1256</v>
      </c>
      <c r="T53" t="s">
        <v>1257</v>
      </c>
      <c r="U53" t="s">
        <v>1258</v>
      </c>
      <c r="V53" t="s">
        <v>1259</v>
      </c>
      <c r="W53" t="s">
        <v>1260</v>
      </c>
      <c r="X53" t="s">
        <v>1261</v>
      </c>
      <c r="Y53" t="s">
        <v>1262</v>
      </c>
    </row>
    <row r="54" spans="1:25" x14ac:dyDescent="0.3">
      <c r="A54">
        <v>2650</v>
      </c>
      <c r="B54" t="s">
        <v>1263</v>
      </c>
      <c r="C54" t="s">
        <v>1264</v>
      </c>
      <c r="D54" t="s">
        <v>1265</v>
      </c>
      <c r="E54" t="s">
        <v>1266</v>
      </c>
      <c r="F54" t="s">
        <v>1267</v>
      </c>
      <c r="G54" t="s">
        <v>1268</v>
      </c>
      <c r="H54" t="s">
        <v>1269</v>
      </c>
      <c r="I54" t="s">
        <v>1270</v>
      </c>
      <c r="J54" t="s">
        <v>1271</v>
      </c>
      <c r="K54" t="s">
        <v>1272</v>
      </c>
      <c r="L54" t="s">
        <v>1273</v>
      </c>
      <c r="M54" t="s">
        <v>1274</v>
      </c>
      <c r="N54" t="s">
        <v>1275</v>
      </c>
      <c r="O54" t="s">
        <v>1276</v>
      </c>
      <c r="P54" t="s">
        <v>1277</v>
      </c>
      <c r="Q54" t="s">
        <v>1278</v>
      </c>
      <c r="R54" t="s">
        <v>1279</v>
      </c>
      <c r="S54" t="s">
        <v>1280</v>
      </c>
      <c r="T54" t="s">
        <v>1281</v>
      </c>
      <c r="U54" t="s">
        <v>1282</v>
      </c>
      <c r="V54" t="s">
        <v>1283</v>
      </c>
      <c r="W54" t="s">
        <v>1284</v>
      </c>
      <c r="X54" t="s">
        <v>1285</v>
      </c>
      <c r="Y54" t="s">
        <v>1286</v>
      </c>
    </row>
    <row r="55" spans="1:25" x14ac:dyDescent="0.3">
      <c r="A55">
        <v>2700</v>
      </c>
      <c r="B55" t="s">
        <v>1287</v>
      </c>
      <c r="C55" t="s">
        <v>1288</v>
      </c>
      <c r="D55" t="s">
        <v>1289</v>
      </c>
      <c r="E55" t="s">
        <v>1290</v>
      </c>
      <c r="F55" t="s">
        <v>1291</v>
      </c>
      <c r="G55" t="s">
        <v>1292</v>
      </c>
      <c r="H55" t="s">
        <v>1293</v>
      </c>
      <c r="I55" t="s">
        <v>1294</v>
      </c>
      <c r="J55" t="s">
        <v>1295</v>
      </c>
      <c r="K55" t="s">
        <v>1296</v>
      </c>
      <c r="L55" t="s">
        <v>1297</v>
      </c>
      <c r="M55" t="s">
        <v>1298</v>
      </c>
      <c r="N55" t="s">
        <v>1299</v>
      </c>
      <c r="O55" t="s">
        <v>1300</v>
      </c>
      <c r="P55" t="s">
        <v>1301</v>
      </c>
      <c r="Q55" t="s">
        <v>1302</v>
      </c>
      <c r="R55" t="s">
        <v>1303</v>
      </c>
      <c r="S55" t="s">
        <v>1304</v>
      </c>
      <c r="T55" t="s">
        <v>1305</v>
      </c>
      <c r="U55" t="s">
        <v>1306</v>
      </c>
      <c r="V55" t="s">
        <v>1307</v>
      </c>
      <c r="W55" t="s">
        <v>1308</v>
      </c>
      <c r="X55" t="s">
        <v>1309</v>
      </c>
      <c r="Y55" t="s">
        <v>1310</v>
      </c>
    </row>
    <row r="56" spans="1:25" x14ac:dyDescent="0.3">
      <c r="A56">
        <v>2750</v>
      </c>
      <c r="B56" t="s">
        <v>1311</v>
      </c>
      <c r="C56" t="s">
        <v>1312</v>
      </c>
      <c r="D56" t="s">
        <v>1313</v>
      </c>
      <c r="E56" t="s">
        <v>1314</v>
      </c>
      <c r="F56" t="s">
        <v>1315</v>
      </c>
      <c r="G56" t="s">
        <v>1316</v>
      </c>
      <c r="H56" t="s">
        <v>1317</v>
      </c>
      <c r="I56" t="s">
        <v>1318</v>
      </c>
      <c r="J56" t="s">
        <v>1319</v>
      </c>
      <c r="K56" t="s">
        <v>1320</v>
      </c>
      <c r="L56" t="s">
        <v>1321</v>
      </c>
      <c r="M56" t="s">
        <v>1322</v>
      </c>
      <c r="N56" t="s">
        <v>1323</v>
      </c>
      <c r="O56" t="s">
        <v>1324</v>
      </c>
      <c r="P56" t="s">
        <v>1325</v>
      </c>
      <c r="Q56" t="s">
        <v>1326</v>
      </c>
      <c r="R56" t="s">
        <v>1327</v>
      </c>
      <c r="S56" t="s">
        <v>1328</v>
      </c>
      <c r="T56" t="s">
        <v>1329</v>
      </c>
      <c r="U56" t="s">
        <v>1330</v>
      </c>
      <c r="V56" t="s">
        <v>1331</v>
      </c>
      <c r="W56" t="s">
        <v>1332</v>
      </c>
      <c r="X56" t="s">
        <v>1333</v>
      </c>
      <c r="Y56" t="s">
        <v>1334</v>
      </c>
    </row>
    <row r="57" spans="1:25" x14ac:dyDescent="0.3">
      <c r="A57">
        <v>2800</v>
      </c>
      <c r="B57" t="s">
        <v>1335</v>
      </c>
      <c r="C57" t="s">
        <v>1336</v>
      </c>
      <c r="D57" t="s">
        <v>1337</v>
      </c>
      <c r="E57" t="s">
        <v>1338</v>
      </c>
      <c r="F57" t="s">
        <v>1339</v>
      </c>
      <c r="G57" t="s">
        <v>1340</v>
      </c>
      <c r="H57" t="s">
        <v>1341</v>
      </c>
      <c r="I57" t="s">
        <v>1342</v>
      </c>
      <c r="J57" t="s">
        <v>1343</v>
      </c>
      <c r="K57" t="s">
        <v>1344</v>
      </c>
      <c r="L57" t="s">
        <v>1345</v>
      </c>
      <c r="M57" t="s">
        <v>1346</v>
      </c>
      <c r="N57" t="s">
        <v>1347</v>
      </c>
      <c r="O57" t="s">
        <v>1348</v>
      </c>
      <c r="P57" t="s">
        <v>1349</v>
      </c>
      <c r="Q57" t="s">
        <v>1350</v>
      </c>
      <c r="R57" t="s">
        <v>1351</v>
      </c>
      <c r="S57" t="s">
        <v>1352</v>
      </c>
      <c r="T57" t="s">
        <v>1353</v>
      </c>
      <c r="U57" t="s">
        <v>1354</v>
      </c>
      <c r="V57" t="s">
        <v>1355</v>
      </c>
      <c r="W57" t="s">
        <v>1356</v>
      </c>
      <c r="X57" t="s">
        <v>1357</v>
      </c>
      <c r="Y57" t="s">
        <v>1358</v>
      </c>
    </row>
    <row r="58" spans="1:25" x14ac:dyDescent="0.3">
      <c r="A58">
        <v>2850</v>
      </c>
      <c r="B58" t="s">
        <v>1359</v>
      </c>
      <c r="C58" t="s">
        <v>1360</v>
      </c>
      <c r="D58" t="s">
        <v>1361</v>
      </c>
      <c r="E58" t="s">
        <v>1362</v>
      </c>
      <c r="F58" t="s">
        <v>1363</v>
      </c>
      <c r="G58" t="s">
        <v>1364</v>
      </c>
      <c r="H58" t="s">
        <v>1365</v>
      </c>
      <c r="I58" t="s">
        <v>1366</v>
      </c>
      <c r="J58" t="s">
        <v>1367</v>
      </c>
      <c r="K58" t="s">
        <v>1368</v>
      </c>
      <c r="L58" t="s">
        <v>1369</v>
      </c>
      <c r="M58" t="s">
        <v>1370</v>
      </c>
      <c r="N58" t="s">
        <v>1371</v>
      </c>
      <c r="O58" t="s">
        <v>1372</v>
      </c>
      <c r="P58" t="s">
        <v>1373</v>
      </c>
      <c r="Q58" t="s">
        <v>1374</v>
      </c>
      <c r="R58" t="s">
        <v>1375</v>
      </c>
      <c r="S58" t="s">
        <v>1376</v>
      </c>
      <c r="T58" t="s">
        <v>1377</v>
      </c>
      <c r="U58" t="s">
        <v>1378</v>
      </c>
      <c r="V58" t="s">
        <v>1379</v>
      </c>
      <c r="W58" t="s">
        <v>1380</v>
      </c>
      <c r="X58" t="s">
        <v>1381</v>
      </c>
      <c r="Y58" t="s">
        <v>1382</v>
      </c>
    </row>
    <row r="59" spans="1:25" x14ac:dyDescent="0.3">
      <c r="A59">
        <v>2900</v>
      </c>
      <c r="B59" t="s">
        <v>1383</v>
      </c>
      <c r="C59" t="s">
        <v>1384</v>
      </c>
      <c r="D59" t="s">
        <v>1385</v>
      </c>
      <c r="E59" t="s">
        <v>1386</v>
      </c>
      <c r="F59" t="s">
        <v>1387</v>
      </c>
      <c r="G59" t="s">
        <v>1388</v>
      </c>
      <c r="H59" t="s">
        <v>1389</v>
      </c>
      <c r="I59" t="s">
        <v>1390</v>
      </c>
      <c r="J59" t="s">
        <v>1391</v>
      </c>
      <c r="K59" t="s">
        <v>1392</v>
      </c>
      <c r="L59" t="s">
        <v>1393</v>
      </c>
      <c r="M59" t="s">
        <v>1394</v>
      </c>
      <c r="N59" t="s">
        <v>1395</v>
      </c>
      <c r="O59" t="s">
        <v>1396</v>
      </c>
      <c r="P59" t="s">
        <v>1397</v>
      </c>
      <c r="Q59" t="s">
        <v>1398</v>
      </c>
      <c r="R59" t="s">
        <v>1399</v>
      </c>
      <c r="S59" t="s">
        <v>1400</v>
      </c>
      <c r="T59" t="s">
        <v>1401</v>
      </c>
      <c r="U59" t="s">
        <v>1402</v>
      </c>
      <c r="V59" t="s">
        <v>1403</v>
      </c>
      <c r="W59" t="s">
        <v>1404</v>
      </c>
      <c r="X59" t="s">
        <v>1405</v>
      </c>
      <c r="Y59" t="s">
        <v>1406</v>
      </c>
    </row>
    <row r="60" spans="1:25" x14ac:dyDescent="0.3">
      <c r="A60">
        <v>2950</v>
      </c>
      <c r="B60" t="s">
        <v>1407</v>
      </c>
      <c r="C60" t="s">
        <v>1408</v>
      </c>
      <c r="D60" t="s">
        <v>1409</v>
      </c>
      <c r="E60" t="s">
        <v>1410</v>
      </c>
      <c r="F60" t="s">
        <v>1411</v>
      </c>
      <c r="G60" t="s">
        <v>1412</v>
      </c>
      <c r="H60" t="s">
        <v>1413</v>
      </c>
      <c r="I60" t="s">
        <v>1414</v>
      </c>
      <c r="J60" t="s">
        <v>1415</v>
      </c>
      <c r="K60" t="s">
        <v>1416</v>
      </c>
      <c r="L60" t="s">
        <v>1417</v>
      </c>
      <c r="M60" t="s">
        <v>1418</v>
      </c>
      <c r="N60" t="s">
        <v>1419</v>
      </c>
      <c r="O60" t="s">
        <v>1420</v>
      </c>
      <c r="P60" t="s">
        <v>1421</v>
      </c>
      <c r="Q60" t="s">
        <v>1422</v>
      </c>
      <c r="R60" t="s">
        <v>1423</v>
      </c>
      <c r="S60" t="s">
        <v>1424</v>
      </c>
      <c r="T60" t="s">
        <v>1425</v>
      </c>
      <c r="U60" t="s">
        <v>1426</v>
      </c>
      <c r="V60" t="s">
        <v>1427</v>
      </c>
      <c r="W60" t="s">
        <v>1428</v>
      </c>
      <c r="X60" t="s">
        <v>1429</v>
      </c>
      <c r="Y60" t="s">
        <v>1430</v>
      </c>
    </row>
    <row r="61" spans="1:25" x14ac:dyDescent="0.3">
      <c r="A61">
        <v>3000</v>
      </c>
      <c r="B61" t="s">
        <v>1431</v>
      </c>
      <c r="C61" t="s">
        <v>1432</v>
      </c>
      <c r="D61" t="s">
        <v>1433</v>
      </c>
      <c r="E61" t="s">
        <v>1434</v>
      </c>
      <c r="F61" t="s">
        <v>1435</v>
      </c>
      <c r="G61" t="s">
        <v>1436</v>
      </c>
      <c r="H61" t="s">
        <v>1437</v>
      </c>
      <c r="I61" t="s">
        <v>1438</v>
      </c>
      <c r="J61" t="s">
        <v>1439</v>
      </c>
      <c r="K61" t="s">
        <v>1440</v>
      </c>
      <c r="L61" t="s">
        <v>1441</v>
      </c>
      <c r="M61" t="s">
        <v>1442</v>
      </c>
      <c r="N61" t="s">
        <v>1443</v>
      </c>
      <c r="O61" t="s">
        <v>1444</v>
      </c>
      <c r="P61" t="s">
        <v>1445</v>
      </c>
      <c r="Q61" t="s">
        <v>1446</v>
      </c>
      <c r="R61" t="s">
        <v>1447</v>
      </c>
      <c r="S61" t="s">
        <v>1448</v>
      </c>
      <c r="T61" t="s">
        <v>1449</v>
      </c>
      <c r="U61" t="s">
        <v>1450</v>
      </c>
      <c r="V61" t="s">
        <v>1451</v>
      </c>
      <c r="W61" t="s">
        <v>1452</v>
      </c>
      <c r="X61" t="s">
        <v>1453</v>
      </c>
      <c r="Y61" t="s">
        <v>1454</v>
      </c>
    </row>
    <row r="62" spans="1:25" x14ac:dyDescent="0.3">
      <c r="A62">
        <v>3050</v>
      </c>
      <c r="B62" t="s">
        <v>1455</v>
      </c>
      <c r="C62" t="s">
        <v>1456</v>
      </c>
      <c r="D62" t="s">
        <v>1457</v>
      </c>
      <c r="E62" t="s">
        <v>1458</v>
      </c>
      <c r="F62" t="s">
        <v>1459</v>
      </c>
      <c r="G62" t="s">
        <v>1460</v>
      </c>
      <c r="H62" t="s">
        <v>1461</v>
      </c>
      <c r="I62" t="s">
        <v>1462</v>
      </c>
      <c r="J62" t="s">
        <v>1463</v>
      </c>
      <c r="K62" t="s">
        <v>1464</v>
      </c>
      <c r="L62" t="s">
        <v>1465</v>
      </c>
      <c r="M62" t="s">
        <v>1466</v>
      </c>
      <c r="N62" t="s">
        <v>1467</v>
      </c>
      <c r="O62" t="s">
        <v>1468</v>
      </c>
      <c r="P62" t="s">
        <v>1469</v>
      </c>
      <c r="Q62" t="s">
        <v>1470</v>
      </c>
      <c r="R62" t="s">
        <v>1471</v>
      </c>
      <c r="S62" t="s">
        <v>1472</v>
      </c>
      <c r="T62" t="s">
        <v>1473</v>
      </c>
      <c r="U62" t="s">
        <v>1474</v>
      </c>
      <c r="V62" t="s">
        <v>1475</v>
      </c>
      <c r="W62" t="s">
        <v>1476</v>
      </c>
      <c r="X62" t="s">
        <v>1477</v>
      </c>
      <c r="Y62" t="s">
        <v>1478</v>
      </c>
    </row>
    <row r="63" spans="1:25" x14ac:dyDescent="0.3">
      <c r="A63">
        <v>3100</v>
      </c>
      <c r="B63" t="s">
        <v>1479</v>
      </c>
      <c r="C63" t="s">
        <v>1480</v>
      </c>
      <c r="D63" t="s">
        <v>1481</v>
      </c>
      <c r="E63" t="s">
        <v>1482</v>
      </c>
      <c r="F63" t="s">
        <v>1483</v>
      </c>
      <c r="G63" t="s">
        <v>1484</v>
      </c>
      <c r="H63" t="s">
        <v>1485</v>
      </c>
      <c r="I63" t="s">
        <v>1486</v>
      </c>
      <c r="J63" t="s">
        <v>1487</v>
      </c>
      <c r="K63" t="s">
        <v>1488</v>
      </c>
      <c r="L63" t="s">
        <v>1489</v>
      </c>
      <c r="M63" t="s">
        <v>1490</v>
      </c>
      <c r="N63" t="s">
        <v>1491</v>
      </c>
      <c r="O63" t="s">
        <v>1492</v>
      </c>
      <c r="P63" t="s">
        <v>1493</v>
      </c>
      <c r="Q63" t="s">
        <v>1494</v>
      </c>
      <c r="R63" t="s">
        <v>1495</v>
      </c>
      <c r="S63" t="s">
        <v>1496</v>
      </c>
      <c r="T63" t="s">
        <v>1497</v>
      </c>
      <c r="U63" t="s">
        <v>1498</v>
      </c>
      <c r="V63" t="s">
        <v>1499</v>
      </c>
      <c r="W63" t="s">
        <v>1500</v>
      </c>
      <c r="X63" t="s">
        <v>1501</v>
      </c>
      <c r="Y63" t="s">
        <v>1502</v>
      </c>
    </row>
    <row r="64" spans="1:25" x14ac:dyDescent="0.3">
      <c r="A64">
        <v>3150</v>
      </c>
      <c r="B64" t="s">
        <v>1503</v>
      </c>
      <c r="C64" t="s">
        <v>1504</v>
      </c>
      <c r="D64" t="s">
        <v>1505</v>
      </c>
      <c r="E64" t="s">
        <v>1506</v>
      </c>
      <c r="F64" t="s">
        <v>1507</v>
      </c>
      <c r="G64" t="s">
        <v>1508</v>
      </c>
      <c r="H64" t="s">
        <v>1509</v>
      </c>
      <c r="I64" t="s">
        <v>1510</v>
      </c>
      <c r="J64" t="s">
        <v>1511</v>
      </c>
      <c r="K64" t="s">
        <v>1512</v>
      </c>
      <c r="L64" t="s">
        <v>1513</v>
      </c>
      <c r="M64" t="s">
        <v>1514</v>
      </c>
      <c r="N64" t="s">
        <v>1515</v>
      </c>
      <c r="O64" t="s">
        <v>1516</v>
      </c>
      <c r="P64" t="s">
        <v>1517</v>
      </c>
      <c r="Q64" t="s">
        <v>1518</v>
      </c>
      <c r="R64" t="s">
        <v>1519</v>
      </c>
      <c r="S64" t="s">
        <v>1520</v>
      </c>
      <c r="T64" t="s">
        <v>1521</v>
      </c>
      <c r="U64" t="s">
        <v>1522</v>
      </c>
      <c r="V64" t="s">
        <v>1523</v>
      </c>
      <c r="W64" t="s">
        <v>1524</v>
      </c>
      <c r="X64" t="s">
        <v>1525</v>
      </c>
      <c r="Y64" t="s">
        <v>1526</v>
      </c>
    </row>
    <row r="65" spans="1:25" x14ac:dyDescent="0.3">
      <c r="A65">
        <v>3200</v>
      </c>
      <c r="B65" t="s">
        <v>1527</v>
      </c>
      <c r="C65" t="s">
        <v>1528</v>
      </c>
      <c r="D65" t="s">
        <v>1529</v>
      </c>
      <c r="E65" t="s">
        <v>1530</v>
      </c>
      <c r="F65" t="s">
        <v>1531</v>
      </c>
      <c r="G65" t="s">
        <v>1532</v>
      </c>
      <c r="H65" t="s">
        <v>1533</v>
      </c>
      <c r="I65" t="s">
        <v>1534</v>
      </c>
      <c r="J65" t="s">
        <v>1535</v>
      </c>
      <c r="K65" t="s">
        <v>1536</v>
      </c>
      <c r="L65" t="s">
        <v>1537</v>
      </c>
      <c r="M65" t="s">
        <v>1538</v>
      </c>
      <c r="N65" t="s">
        <v>1539</v>
      </c>
      <c r="O65" t="s">
        <v>1540</v>
      </c>
      <c r="P65" t="s">
        <v>1541</v>
      </c>
      <c r="Q65" t="s">
        <v>1542</v>
      </c>
      <c r="R65" t="s">
        <v>1543</v>
      </c>
      <c r="S65" t="s">
        <v>1544</v>
      </c>
      <c r="T65" t="s">
        <v>1545</v>
      </c>
      <c r="U65" t="s">
        <v>1546</v>
      </c>
      <c r="V65" t="s">
        <v>1547</v>
      </c>
      <c r="W65" t="s">
        <v>1548</v>
      </c>
      <c r="X65" t="s">
        <v>1549</v>
      </c>
      <c r="Y65" t="s">
        <v>1550</v>
      </c>
    </row>
    <row r="66" spans="1:25" x14ac:dyDescent="0.3">
      <c r="A66">
        <v>3250</v>
      </c>
      <c r="B66" t="s">
        <v>1551</v>
      </c>
      <c r="C66" t="s">
        <v>1552</v>
      </c>
      <c r="D66" t="s">
        <v>1553</v>
      </c>
      <c r="E66" t="s">
        <v>1554</v>
      </c>
      <c r="F66" t="s">
        <v>1555</v>
      </c>
      <c r="G66" t="s">
        <v>1556</v>
      </c>
      <c r="H66" t="s">
        <v>1557</v>
      </c>
      <c r="I66" t="s">
        <v>1558</v>
      </c>
      <c r="J66" t="s">
        <v>1559</v>
      </c>
      <c r="K66" t="s">
        <v>1560</v>
      </c>
      <c r="L66" t="s">
        <v>1561</v>
      </c>
      <c r="M66" t="s">
        <v>1562</v>
      </c>
      <c r="N66" t="s">
        <v>1563</v>
      </c>
      <c r="O66" t="s">
        <v>1564</v>
      </c>
      <c r="P66" t="s">
        <v>1565</v>
      </c>
      <c r="Q66" t="s">
        <v>1566</v>
      </c>
      <c r="R66" t="s">
        <v>1567</v>
      </c>
      <c r="S66" t="s">
        <v>1568</v>
      </c>
      <c r="T66" t="s">
        <v>1569</v>
      </c>
      <c r="U66" t="s">
        <v>1570</v>
      </c>
      <c r="V66" t="s">
        <v>1571</v>
      </c>
      <c r="W66" t="s">
        <v>1572</v>
      </c>
      <c r="X66" t="s">
        <v>1573</v>
      </c>
      <c r="Y66" t="s">
        <v>1574</v>
      </c>
    </row>
    <row r="67" spans="1:25" x14ac:dyDescent="0.3">
      <c r="A67">
        <v>3300</v>
      </c>
      <c r="B67" t="s">
        <v>1575</v>
      </c>
      <c r="C67" t="s">
        <v>1576</v>
      </c>
      <c r="D67" t="s">
        <v>1577</v>
      </c>
      <c r="E67" t="s">
        <v>1578</v>
      </c>
      <c r="F67" t="s">
        <v>1579</v>
      </c>
      <c r="G67" t="s">
        <v>1580</v>
      </c>
      <c r="H67" t="s">
        <v>1581</v>
      </c>
      <c r="I67" t="s">
        <v>1582</v>
      </c>
      <c r="J67" t="s">
        <v>1583</v>
      </c>
      <c r="K67" t="s">
        <v>1584</v>
      </c>
      <c r="L67" t="s">
        <v>1585</v>
      </c>
      <c r="M67" t="s">
        <v>1586</v>
      </c>
      <c r="N67" t="s">
        <v>1587</v>
      </c>
      <c r="O67" t="s">
        <v>1588</v>
      </c>
      <c r="P67" t="s">
        <v>1589</v>
      </c>
      <c r="Q67" t="s">
        <v>1590</v>
      </c>
      <c r="R67" t="s">
        <v>1591</v>
      </c>
      <c r="S67" t="s">
        <v>1592</v>
      </c>
      <c r="T67" t="s">
        <v>1593</v>
      </c>
      <c r="U67" t="s">
        <v>1594</v>
      </c>
      <c r="V67" t="s">
        <v>1595</v>
      </c>
      <c r="W67" t="s">
        <v>1596</v>
      </c>
      <c r="X67" t="s">
        <v>1597</v>
      </c>
      <c r="Y67" t="s">
        <v>1598</v>
      </c>
    </row>
    <row r="68" spans="1:25" x14ac:dyDescent="0.3">
      <c r="A68">
        <v>3350</v>
      </c>
      <c r="B68" t="s">
        <v>1599</v>
      </c>
      <c r="C68" t="s">
        <v>1600</v>
      </c>
      <c r="D68" t="s">
        <v>1601</v>
      </c>
      <c r="E68" t="s">
        <v>1602</v>
      </c>
      <c r="F68" t="s">
        <v>1603</v>
      </c>
      <c r="G68" t="s">
        <v>1604</v>
      </c>
      <c r="H68" t="s">
        <v>1605</v>
      </c>
      <c r="I68" t="s">
        <v>1606</v>
      </c>
      <c r="J68" t="s">
        <v>1607</v>
      </c>
      <c r="K68" t="s">
        <v>1608</v>
      </c>
      <c r="L68" t="s">
        <v>1609</v>
      </c>
      <c r="M68" t="s">
        <v>1610</v>
      </c>
      <c r="N68" t="s">
        <v>1611</v>
      </c>
      <c r="O68" t="s">
        <v>1612</v>
      </c>
      <c r="P68" t="s">
        <v>1613</v>
      </c>
      <c r="Q68" t="s">
        <v>1614</v>
      </c>
      <c r="R68" t="s">
        <v>1615</v>
      </c>
      <c r="S68" t="s">
        <v>1616</v>
      </c>
      <c r="T68" t="s">
        <v>1617</v>
      </c>
      <c r="U68" t="s">
        <v>1618</v>
      </c>
      <c r="V68" t="s">
        <v>1619</v>
      </c>
      <c r="W68" t="s">
        <v>1620</v>
      </c>
      <c r="X68" t="s">
        <v>1621</v>
      </c>
      <c r="Y68" t="s">
        <v>1622</v>
      </c>
    </row>
    <row r="69" spans="1:25" x14ac:dyDescent="0.3">
      <c r="A69">
        <v>3400</v>
      </c>
      <c r="B69" t="s">
        <v>1623</v>
      </c>
      <c r="C69" t="s">
        <v>1624</v>
      </c>
      <c r="D69" t="s">
        <v>1625</v>
      </c>
      <c r="E69" t="s">
        <v>1626</v>
      </c>
      <c r="F69" t="s">
        <v>1627</v>
      </c>
      <c r="G69" t="s">
        <v>1628</v>
      </c>
      <c r="H69" t="s">
        <v>1629</v>
      </c>
      <c r="I69" t="s">
        <v>1630</v>
      </c>
      <c r="J69" t="s">
        <v>1631</v>
      </c>
      <c r="K69" t="s">
        <v>1632</v>
      </c>
      <c r="L69" t="s">
        <v>1633</v>
      </c>
      <c r="M69" t="s">
        <v>1634</v>
      </c>
      <c r="N69" t="s">
        <v>1635</v>
      </c>
      <c r="O69" t="s">
        <v>1636</v>
      </c>
      <c r="P69" t="s">
        <v>1637</v>
      </c>
      <c r="Q69" t="s">
        <v>1638</v>
      </c>
      <c r="R69" t="s">
        <v>1639</v>
      </c>
      <c r="S69" t="s">
        <v>1640</v>
      </c>
      <c r="T69" t="s">
        <v>1641</v>
      </c>
      <c r="U69" t="s">
        <v>1642</v>
      </c>
      <c r="V69" t="s">
        <v>1643</v>
      </c>
      <c r="W69" t="s">
        <v>1644</v>
      </c>
      <c r="X69" t="s">
        <v>1645</v>
      </c>
      <c r="Y69" t="s">
        <v>1646</v>
      </c>
    </row>
    <row r="70" spans="1:25" x14ac:dyDescent="0.3">
      <c r="A70">
        <v>3450</v>
      </c>
      <c r="B70" t="s">
        <v>1647</v>
      </c>
      <c r="C70" t="s">
        <v>1648</v>
      </c>
      <c r="D70" t="s">
        <v>1649</v>
      </c>
      <c r="E70" t="s">
        <v>1650</v>
      </c>
      <c r="F70" t="s">
        <v>1651</v>
      </c>
      <c r="G70" t="s">
        <v>1652</v>
      </c>
      <c r="H70" t="s">
        <v>1653</v>
      </c>
      <c r="I70" t="s">
        <v>1654</v>
      </c>
      <c r="J70" t="s">
        <v>1655</v>
      </c>
      <c r="K70" t="s">
        <v>1656</v>
      </c>
      <c r="L70" t="s">
        <v>1657</v>
      </c>
      <c r="M70" t="s">
        <v>1658</v>
      </c>
      <c r="N70" t="s">
        <v>1659</v>
      </c>
      <c r="O70" t="s">
        <v>1660</v>
      </c>
      <c r="P70" t="s">
        <v>1661</v>
      </c>
      <c r="Q70" t="s">
        <v>1662</v>
      </c>
      <c r="R70" t="s">
        <v>1663</v>
      </c>
      <c r="S70" t="s">
        <v>1664</v>
      </c>
      <c r="T70" t="s">
        <v>1665</v>
      </c>
      <c r="U70" t="s">
        <v>1666</v>
      </c>
      <c r="V70" t="s">
        <v>1667</v>
      </c>
      <c r="W70" t="s">
        <v>1668</v>
      </c>
      <c r="X70" t="s">
        <v>1669</v>
      </c>
      <c r="Y70" t="s">
        <v>1670</v>
      </c>
    </row>
    <row r="71" spans="1:25" x14ac:dyDescent="0.3">
      <c r="A71">
        <v>3500</v>
      </c>
      <c r="B71" t="s">
        <v>1671</v>
      </c>
      <c r="C71" t="s">
        <v>1672</v>
      </c>
      <c r="D71" t="s">
        <v>1673</v>
      </c>
      <c r="E71" t="s">
        <v>1674</v>
      </c>
      <c r="F71" t="s">
        <v>1675</v>
      </c>
      <c r="G71" t="s">
        <v>1676</v>
      </c>
      <c r="H71" t="s">
        <v>1677</v>
      </c>
      <c r="I71" t="s">
        <v>1678</v>
      </c>
      <c r="J71" t="s">
        <v>1679</v>
      </c>
      <c r="K71" t="s">
        <v>1680</v>
      </c>
      <c r="L71" t="s">
        <v>1681</v>
      </c>
      <c r="M71" t="s">
        <v>1682</v>
      </c>
      <c r="N71" t="s">
        <v>1683</v>
      </c>
      <c r="O71" t="s">
        <v>1684</v>
      </c>
      <c r="P71" t="s">
        <v>1685</v>
      </c>
      <c r="Q71" t="s">
        <v>1686</v>
      </c>
      <c r="R71" t="s">
        <v>1687</v>
      </c>
      <c r="S71" t="s">
        <v>1688</v>
      </c>
      <c r="T71" t="s">
        <v>1689</v>
      </c>
      <c r="U71" t="s">
        <v>1690</v>
      </c>
      <c r="V71" t="s">
        <v>1691</v>
      </c>
      <c r="W71" t="s">
        <v>1692</v>
      </c>
      <c r="X71" t="s">
        <v>1693</v>
      </c>
      <c r="Y71" t="s">
        <v>1694</v>
      </c>
    </row>
    <row r="72" spans="1:25" x14ac:dyDescent="0.3">
      <c r="A72">
        <v>3550</v>
      </c>
      <c r="B72" t="s">
        <v>1695</v>
      </c>
      <c r="C72" t="s">
        <v>1696</v>
      </c>
      <c r="D72" t="s">
        <v>1697</v>
      </c>
      <c r="E72" t="s">
        <v>1698</v>
      </c>
      <c r="F72" t="s">
        <v>1699</v>
      </c>
      <c r="G72" t="s">
        <v>1700</v>
      </c>
      <c r="H72" t="s">
        <v>1701</v>
      </c>
      <c r="I72" t="s">
        <v>1702</v>
      </c>
      <c r="J72" t="s">
        <v>1703</v>
      </c>
      <c r="K72" t="s">
        <v>1704</v>
      </c>
      <c r="L72" t="s">
        <v>1705</v>
      </c>
      <c r="M72" t="s">
        <v>1706</v>
      </c>
      <c r="N72" t="s">
        <v>1707</v>
      </c>
      <c r="O72" t="s">
        <v>1708</v>
      </c>
      <c r="P72" t="s">
        <v>1709</v>
      </c>
      <c r="Q72" t="s">
        <v>1710</v>
      </c>
      <c r="R72" t="s">
        <v>1711</v>
      </c>
      <c r="S72" t="s">
        <v>1712</v>
      </c>
      <c r="T72" t="s">
        <v>1713</v>
      </c>
      <c r="U72" t="s">
        <v>1714</v>
      </c>
      <c r="V72" t="s">
        <v>1715</v>
      </c>
      <c r="W72" t="s">
        <v>1716</v>
      </c>
      <c r="X72" t="s">
        <v>1717</v>
      </c>
      <c r="Y72" t="s">
        <v>1718</v>
      </c>
    </row>
    <row r="73" spans="1:25" x14ac:dyDescent="0.3">
      <c r="A73">
        <v>3600</v>
      </c>
      <c r="B73" t="s">
        <v>1719</v>
      </c>
      <c r="C73" t="s">
        <v>1720</v>
      </c>
      <c r="D73" t="s">
        <v>1721</v>
      </c>
      <c r="E73" t="s">
        <v>1722</v>
      </c>
      <c r="F73" t="s">
        <v>1723</v>
      </c>
      <c r="G73" t="s">
        <v>1724</v>
      </c>
      <c r="H73" t="s">
        <v>1725</v>
      </c>
      <c r="I73" t="s">
        <v>1726</v>
      </c>
      <c r="J73" t="s">
        <v>1727</v>
      </c>
      <c r="K73" t="s">
        <v>1728</v>
      </c>
      <c r="L73" t="s">
        <v>1729</v>
      </c>
      <c r="M73" t="s">
        <v>1730</v>
      </c>
      <c r="N73" t="s">
        <v>1731</v>
      </c>
      <c r="O73" t="s">
        <v>1732</v>
      </c>
      <c r="P73" t="s">
        <v>1733</v>
      </c>
      <c r="Q73" t="s">
        <v>1734</v>
      </c>
      <c r="R73" t="s">
        <v>1735</v>
      </c>
      <c r="S73" t="s">
        <v>1736</v>
      </c>
      <c r="T73" t="s">
        <v>1737</v>
      </c>
      <c r="U73" t="s">
        <v>1738</v>
      </c>
      <c r="V73" t="s">
        <v>1739</v>
      </c>
      <c r="W73" t="s">
        <v>1740</v>
      </c>
      <c r="X73" t="s">
        <v>1741</v>
      </c>
      <c r="Y73" t="s">
        <v>1742</v>
      </c>
    </row>
    <row r="74" spans="1:25" x14ac:dyDescent="0.3">
      <c r="A74">
        <v>3650</v>
      </c>
      <c r="B74" t="s">
        <v>1743</v>
      </c>
      <c r="C74" t="s">
        <v>1744</v>
      </c>
      <c r="D74" t="s">
        <v>1745</v>
      </c>
      <c r="E74" t="s">
        <v>1746</v>
      </c>
      <c r="F74" t="s">
        <v>1747</v>
      </c>
      <c r="G74" t="s">
        <v>1748</v>
      </c>
      <c r="H74" t="s">
        <v>1749</v>
      </c>
      <c r="I74" t="s">
        <v>1750</v>
      </c>
      <c r="J74" t="s">
        <v>1751</v>
      </c>
      <c r="K74" t="s">
        <v>1752</v>
      </c>
      <c r="L74" t="s">
        <v>1753</v>
      </c>
      <c r="M74" t="s">
        <v>1754</v>
      </c>
      <c r="N74" t="s">
        <v>1755</v>
      </c>
      <c r="O74" t="s">
        <v>1756</v>
      </c>
      <c r="P74" t="s">
        <v>1757</v>
      </c>
      <c r="Q74" t="s">
        <v>1758</v>
      </c>
      <c r="R74" t="s">
        <v>1759</v>
      </c>
      <c r="S74" t="s">
        <v>1760</v>
      </c>
      <c r="T74" t="s">
        <v>1761</v>
      </c>
      <c r="U74" t="s">
        <v>1762</v>
      </c>
      <c r="V74" t="s">
        <v>1763</v>
      </c>
      <c r="W74" t="s">
        <v>1764</v>
      </c>
      <c r="X74" t="s">
        <v>1765</v>
      </c>
      <c r="Y74" t="s">
        <v>1766</v>
      </c>
    </row>
    <row r="75" spans="1:25" x14ac:dyDescent="0.3">
      <c r="A75">
        <v>3700</v>
      </c>
      <c r="B75" t="s">
        <v>1767</v>
      </c>
      <c r="C75" t="s">
        <v>1768</v>
      </c>
      <c r="D75" t="s">
        <v>1769</v>
      </c>
      <c r="E75" t="s">
        <v>1770</v>
      </c>
      <c r="F75" t="s">
        <v>1771</v>
      </c>
      <c r="G75" t="s">
        <v>1772</v>
      </c>
      <c r="H75" t="s">
        <v>1773</v>
      </c>
      <c r="I75" t="s">
        <v>1774</v>
      </c>
      <c r="J75" t="s">
        <v>1775</v>
      </c>
      <c r="K75" t="s">
        <v>1776</v>
      </c>
      <c r="L75" t="s">
        <v>1777</v>
      </c>
      <c r="M75" t="s">
        <v>1778</v>
      </c>
      <c r="N75" t="s">
        <v>1779</v>
      </c>
      <c r="O75" t="s">
        <v>1780</v>
      </c>
      <c r="P75" t="s">
        <v>1781</v>
      </c>
      <c r="Q75" t="s">
        <v>1782</v>
      </c>
      <c r="R75" t="s">
        <v>1783</v>
      </c>
      <c r="S75" t="s">
        <v>1784</v>
      </c>
      <c r="T75" t="s">
        <v>1785</v>
      </c>
      <c r="U75" t="s">
        <v>1786</v>
      </c>
      <c r="V75" t="s">
        <v>1787</v>
      </c>
      <c r="W75" t="s">
        <v>1788</v>
      </c>
      <c r="X75" t="s">
        <v>1789</v>
      </c>
      <c r="Y75" t="s">
        <v>1790</v>
      </c>
    </row>
    <row r="76" spans="1:25" x14ac:dyDescent="0.3">
      <c r="A76">
        <v>3750</v>
      </c>
      <c r="B76" t="s">
        <v>1791</v>
      </c>
      <c r="C76" t="s">
        <v>1792</v>
      </c>
      <c r="D76" t="s">
        <v>1793</v>
      </c>
      <c r="E76" t="s">
        <v>1794</v>
      </c>
      <c r="F76" t="s">
        <v>1795</v>
      </c>
      <c r="G76" t="s">
        <v>1796</v>
      </c>
      <c r="H76" t="s">
        <v>1797</v>
      </c>
      <c r="I76" t="s">
        <v>1798</v>
      </c>
      <c r="J76" t="s">
        <v>1799</v>
      </c>
      <c r="K76" t="s">
        <v>1800</v>
      </c>
      <c r="L76" t="s">
        <v>1801</v>
      </c>
      <c r="M76" t="s">
        <v>1802</v>
      </c>
      <c r="N76" t="s">
        <v>1803</v>
      </c>
      <c r="O76" t="s">
        <v>1804</v>
      </c>
      <c r="P76" t="s">
        <v>1805</v>
      </c>
      <c r="Q76" t="s">
        <v>1806</v>
      </c>
      <c r="R76" t="s">
        <v>1807</v>
      </c>
      <c r="S76" t="s">
        <v>1808</v>
      </c>
      <c r="T76" t="s">
        <v>1809</v>
      </c>
      <c r="U76" t="s">
        <v>1810</v>
      </c>
      <c r="V76" t="s">
        <v>1811</v>
      </c>
      <c r="W76" t="s">
        <v>1812</v>
      </c>
      <c r="X76" t="s">
        <v>1813</v>
      </c>
      <c r="Y76" t="s">
        <v>1814</v>
      </c>
    </row>
    <row r="77" spans="1:25" x14ac:dyDescent="0.3">
      <c r="A77">
        <v>3800</v>
      </c>
      <c r="B77" t="s">
        <v>1815</v>
      </c>
      <c r="C77" t="s">
        <v>1816</v>
      </c>
      <c r="D77" t="s">
        <v>1817</v>
      </c>
      <c r="E77" t="s">
        <v>1818</v>
      </c>
      <c r="F77" t="s">
        <v>1819</v>
      </c>
      <c r="G77" t="s">
        <v>1820</v>
      </c>
      <c r="H77" t="s">
        <v>1821</v>
      </c>
      <c r="I77" t="s">
        <v>1822</v>
      </c>
      <c r="J77" t="s">
        <v>1823</v>
      </c>
      <c r="K77" t="s">
        <v>1824</v>
      </c>
      <c r="L77" t="s">
        <v>1825</v>
      </c>
      <c r="M77" t="s">
        <v>1826</v>
      </c>
      <c r="N77" t="s">
        <v>1827</v>
      </c>
      <c r="O77" t="s">
        <v>1828</v>
      </c>
      <c r="P77" t="s">
        <v>1829</v>
      </c>
      <c r="Q77" t="s">
        <v>1830</v>
      </c>
      <c r="R77" t="s">
        <v>1831</v>
      </c>
      <c r="S77" t="s">
        <v>1832</v>
      </c>
      <c r="T77" t="s">
        <v>1833</v>
      </c>
      <c r="U77" t="s">
        <v>1834</v>
      </c>
      <c r="V77" t="s">
        <v>1835</v>
      </c>
      <c r="W77" t="s">
        <v>1836</v>
      </c>
      <c r="X77" t="s">
        <v>1837</v>
      </c>
      <c r="Y77" t="s">
        <v>1838</v>
      </c>
    </row>
    <row r="78" spans="1:25" x14ac:dyDescent="0.3">
      <c r="A78">
        <v>3850</v>
      </c>
      <c r="B78" t="s">
        <v>1839</v>
      </c>
      <c r="C78" t="s">
        <v>1840</v>
      </c>
      <c r="D78" t="s">
        <v>1841</v>
      </c>
      <c r="E78" t="s">
        <v>1842</v>
      </c>
      <c r="F78" t="s">
        <v>1843</v>
      </c>
      <c r="G78" t="s">
        <v>1844</v>
      </c>
      <c r="H78" t="s">
        <v>1845</v>
      </c>
      <c r="I78" t="s">
        <v>1846</v>
      </c>
      <c r="J78" t="s">
        <v>1847</v>
      </c>
      <c r="K78" t="s">
        <v>1848</v>
      </c>
      <c r="L78" t="s">
        <v>1849</v>
      </c>
      <c r="M78" t="s">
        <v>1850</v>
      </c>
      <c r="N78" t="s">
        <v>1851</v>
      </c>
      <c r="O78" t="s">
        <v>1852</v>
      </c>
      <c r="P78" t="s">
        <v>1853</v>
      </c>
      <c r="Q78" t="s">
        <v>1854</v>
      </c>
      <c r="R78" t="s">
        <v>1855</v>
      </c>
      <c r="S78" t="s">
        <v>1856</v>
      </c>
      <c r="T78" t="s">
        <v>1857</v>
      </c>
      <c r="U78" t="s">
        <v>1858</v>
      </c>
      <c r="V78" t="s">
        <v>1859</v>
      </c>
      <c r="W78" t="s">
        <v>1860</v>
      </c>
      <c r="X78" t="s">
        <v>1861</v>
      </c>
      <c r="Y78" t="s">
        <v>1862</v>
      </c>
    </row>
    <row r="79" spans="1:25" x14ac:dyDescent="0.3">
      <c r="A79">
        <v>3900</v>
      </c>
      <c r="B79" t="s">
        <v>1863</v>
      </c>
      <c r="C79" t="s">
        <v>1864</v>
      </c>
      <c r="D79" t="s">
        <v>1865</v>
      </c>
      <c r="E79" t="s">
        <v>1866</v>
      </c>
      <c r="F79" t="s">
        <v>1867</v>
      </c>
      <c r="G79" t="s">
        <v>1868</v>
      </c>
      <c r="H79" t="s">
        <v>1869</v>
      </c>
      <c r="I79" t="s">
        <v>1870</v>
      </c>
      <c r="J79" t="s">
        <v>1871</v>
      </c>
      <c r="K79" t="s">
        <v>1872</v>
      </c>
      <c r="L79" t="s">
        <v>1873</v>
      </c>
      <c r="M79" t="s">
        <v>1874</v>
      </c>
      <c r="N79" t="s">
        <v>1875</v>
      </c>
      <c r="O79" t="s">
        <v>1876</v>
      </c>
      <c r="P79" t="s">
        <v>1877</v>
      </c>
      <c r="Q79" t="s">
        <v>1878</v>
      </c>
      <c r="R79" t="s">
        <v>1879</v>
      </c>
      <c r="S79" t="s">
        <v>1880</v>
      </c>
      <c r="T79" t="s">
        <v>1881</v>
      </c>
      <c r="U79" t="s">
        <v>1882</v>
      </c>
      <c r="V79" t="s">
        <v>1883</v>
      </c>
      <c r="W79" t="s">
        <v>1884</v>
      </c>
      <c r="X79" t="s">
        <v>1885</v>
      </c>
      <c r="Y79" t="s">
        <v>1886</v>
      </c>
    </row>
    <row r="80" spans="1:25" x14ac:dyDescent="0.3">
      <c r="A80">
        <v>3950</v>
      </c>
      <c r="B80" t="s">
        <v>1887</v>
      </c>
      <c r="C80" t="s">
        <v>1888</v>
      </c>
      <c r="D80" t="s">
        <v>1889</v>
      </c>
      <c r="E80" t="s">
        <v>1890</v>
      </c>
      <c r="F80" t="s">
        <v>1891</v>
      </c>
      <c r="G80" t="s">
        <v>1892</v>
      </c>
      <c r="H80" t="s">
        <v>1893</v>
      </c>
      <c r="I80" t="s">
        <v>1894</v>
      </c>
      <c r="J80" t="s">
        <v>1895</v>
      </c>
      <c r="K80" t="s">
        <v>1896</v>
      </c>
      <c r="L80" t="s">
        <v>1897</v>
      </c>
      <c r="M80" t="s">
        <v>1898</v>
      </c>
      <c r="N80" t="s">
        <v>1899</v>
      </c>
      <c r="O80">
        <f>-693.29335879615 -1.2356686679914 -705.122100469295</f>
        <v>-1399.6511279334363</v>
      </c>
      <c r="P80" t="s">
        <v>1900</v>
      </c>
      <c r="Q80" t="s">
        <v>1901</v>
      </c>
      <c r="R80" t="s">
        <v>1902</v>
      </c>
      <c r="S80" t="s">
        <v>1903</v>
      </c>
      <c r="T80" t="s">
        <v>1904</v>
      </c>
      <c r="U80" t="s">
        <v>1905</v>
      </c>
      <c r="V80" t="s">
        <v>1906</v>
      </c>
      <c r="W80" t="s">
        <v>1907</v>
      </c>
      <c r="X80" t="s">
        <v>1908</v>
      </c>
      <c r="Y80" t="s">
        <v>1909</v>
      </c>
    </row>
    <row r="81" spans="1:25" x14ac:dyDescent="0.3">
      <c r="A81">
        <v>4000</v>
      </c>
      <c r="B81" t="s">
        <v>1910</v>
      </c>
      <c r="C81" t="s">
        <v>1911</v>
      </c>
      <c r="D81" t="s">
        <v>1912</v>
      </c>
      <c r="E81" t="s">
        <v>1913</v>
      </c>
      <c r="F81" t="s">
        <v>1914</v>
      </c>
      <c r="G81" t="s">
        <v>1915</v>
      </c>
      <c r="H81" t="s">
        <v>1916</v>
      </c>
      <c r="I81" t="s">
        <v>1917</v>
      </c>
      <c r="J81" t="s">
        <v>1918</v>
      </c>
      <c r="K81" t="s">
        <v>1919</v>
      </c>
      <c r="L81" t="s">
        <v>1920</v>
      </c>
      <c r="M81" t="s">
        <v>1921</v>
      </c>
      <c r="N81" t="s">
        <v>1922</v>
      </c>
      <c r="O81">
        <f>-695.274094231103 -3.56446651834005 -704.606524036391</f>
        <v>-1403.4450847858341</v>
      </c>
      <c r="P81" t="s">
        <v>1923</v>
      </c>
      <c r="Q81" t="s">
        <v>1924</v>
      </c>
      <c r="R81" t="s">
        <v>1925</v>
      </c>
      <c r="S81" t="s">
        <v>1926</v>
      </c>
      <c r="T81" t="s">
        <v>1927</v>
      </c>
      <c r="U81" t="s">
        <v>1928</v>
      </c>
      <c r="V81" t="s">
        <v>1929</v>
      </c>
      <c r="W81" t="s">
        <v>1930</v>
      </c>
      <c r="X81" t="s">
        <v>1931</v>
      </c>
      <c r="Y81" t="s">
        <v>1932</v>
      </c>
    </row>
    <row r="82" spans="1:25" x14ac:dyDescent="0.3">
      <c r="A82">
        <v>4050</v>
      </c>
      <c r="B82" t="s">
        <v>1933</v>
      </c>
      <c r="C82" t="s">
        <v>1934</v>
      </c>
      <c r="D82" t="s">
        <v>1935</v>
      </c>
      <c r="E82" t="s">
        <v>1936</v>
      </c>
      <c r="F82" t="s">
        <v>1937</v>
      </c>
      <c r="G82" t="s">
        <v>1938</v>
      </c>
      <c r="H82" t="s">
        <v>1939</v>
      </c>
      <c r="I82" t="s">
        <v>1940</v>
      </c>
      <c r="J82" t="s">
        <v>1941</v>
      </c>
      <c r="K82" t="s">
        <v>1942</v>
      </c>
      <c r="L82" t="s">
        <v>1943</v>
      </c>
      <c r="M82" t="s">
        <v>1944</v>
      </c>
      <c r="N82" t="s">
        <v>1945</v>
      </c>
      <c r="O82">
        <f>-697.645396533685 -5.15422044586987 -704.442336413058</f>
        <v>-1407.2419533926129</v>
      </c>
      <c r="P82" t="s">
        <v>1946</v>
      </c>
      <c r="Q82" t="s">
        <v>1947</v>
      </c>
      <c r="R82" t="s">
        <v>1948</v>
      </c>
      <c r="S82" t="s">
        <v>1949</v>
      </c>
      <c r="T82" t="s">
        <v>1950</v>
      </c>
      <c r="U82" t="s">
        <v>1951</v>
      </c>
      <c r="V82" t="s">
        <v>1952</v>
      </c>
      <c r="W82" t="s">
        <v>1953</v>
      </c>
      <c r="X82" t="s">
        <v>1954</v>
      </c>
      <c r="Y82" t="s">
        <v>1955</v>
      </c>
    </row>
    <row r="83" spans="1:25" x14ac:dyDescent="0.3">
      <c r="A83">
        <v>4100</v>
      </c>
      <c r="B83" t="s">
        <v>1956</v>
      </c>
      <c r="C83" t="s">
        <v>1957</v>
      </c>
      <c r="D83" t="s">
        <v>1958</v>
      </c>
      <c r="E83" t="s">
        <v>1959</v>
      </c>
      <c r="F83" t="s">
        <v>1960</v>
      </c>
      <c r="G83" t="s">
        <v>1961</v>
      </c>
      <c r="H83" t="s">
        <v>1962</v>
      </c>
      <c r="I83" t="s">
        <v>1963</v>
      </c>
      <c r="J83" t="s">
        <v>1964</v>
      </c>
      <c r="K83" t="s">
        <v>1965</v>
      </c>
      <c r="L83" t="s">
        <v>1966</v>
      </c>
      <c r="M83" t="s">
        <v>1967</v>
      </c>
      <c r="N83" t="s">
        <v>1968</v>
      </c>
      <c r="O83">
        <f>-701.547890042231 -7.2791422676864 -705.026162331768</f>
        <v>-1413.8531946416854</v>
      </c>
      <c r="P83" t="s">
        <v>1969</v>
      </c>
      <c r="Q83" t="s">
        <v>1970</v>
      </c>
      <c r="R83" t="s">
        <v>1971</v>
      </c>
      <c r="S83" t="s">
        <v>1972</v>
      </c>
      <c r="T83" t="s">
        <v>1973</v>
      </c>
      <c r="U83" t="s">
        <v>1974</v>
      </c>
      <c r="V83" t="s">
        <v>1975</v>
      </c>
      <c r="W83" t="s">
        <v>1976</v>
      </c>
      <c r="X83" t="s">
        <v>1977</v>
      </c>
      <c r="Y83" t="s">
        <v>1978</v>
      </c>
    </row>
    <row r="84" spans="1:25" x14ac:dyDescent="0.3">
      <c r="A84">
        <v>4150</v>
      </c>
      <c r="B84" t="s">
        <v>1979</v>
      </c>
      <c r="C84" t="s">
        <v>1980</v>
      </c>
      <c r="D84" t="s">
        <v>1981</v>
      </c>
      <c r="E84" t="s">
        <v>1982</v>
      </c>
      <c r="F84" t="s">
        <v>1983</v>
      </c>
      <c r="G84" t="s">
        <v>1984</v>
      </c>
      <c r="H84" t="s">
        <v>1985</v>
      </c>
      <c r="I84" t="s">
        <v>1986</v>
      </c>
      <c r="J84" t="s">
        <v>1987</v>
      </c>
      <c r="K84" t="s">
        <v>1988</v>
      </c>
      <c r="L84" t="s">
        <v>1989</v>
      </c>
      <c r="M84" t="s">
        <v>1990</v>
      </c>
      <c r="N84" t="s">
        <v>1991</v>
      </c>
      <c r="O84">
        <f>-703.142462467204 -7.7656537525313 -706.054043471626</f>
        <v>-1416.9621596913612</v>
      </c>
      <c r="P84" t="s">
        <v>1992</v>
      </c>
      <c r="Q84" t="s">
        <v>1993</v>
      </c>
      <c r="R84" t="s">
        <v>1994</v>
      </c>
      <c r="S84" t="s">
        <v>1995</v>
      </c>
      <c r="T84" t="s">
        <v>1996</v>
      </c>
      <c r="U84" t="s">
        <v>1997</v>
      </c>
      <c r="V84" t="s">
        <v>1998</v>
      </c>
      <c r="W84" t="s">
        <v>1999</v>
      </c>
      <c r="X84" t="s">
        <v>2000</v>
      </c>
      <c r="Y84" t="s">
        <v>2001</v>
      </c>
    </row>
    <row r="85" spans="1:25" x14ac:dyDescent="0.3">
      <c r="A85">
        <v>4200</v>
      </c>
      <c r="B85" t="s">
        <v>2002</v>
      </c>
      <c r="C85" t="s">
        <v>2003</v>
      </c>
      <c r="D85" t="s">
        <v>2004</v>
      </c>
      <c r="E85" t="s">
        <v>2005</v>
      </c>
      <c r="F85" t="s">
        <v>2006</v>
      </c>
      <c r="G85" t="s">
        <v>2007</v>
      </c>
      <c r="H85" t="s">
        <v>2008</v>
      </c>
      <c r="I85" t="s">
        <v>2009</v>
      </c>
      <c r="J85" t="s">
        <v>2010</v>
      </c>
      <c r="K85" t="s">
        <v>2011</v>
      </c>
      <c r="L85" t="s">
        <v>2012</v>
      </c>
      <c r="M85" t="s">
        <v>2013</v>
      </c>
      <c r="N85" t="s">
        <v>2014</v>
      </c>
      <c r="O85">
        <f>-703.413281859046 -7.09366633097365 -706.536514136862</f>
        <v>-1417.0434623268816</v>
      </c>
      <c r="P85" t="s">
        <v>2015</v>
      </c>
      <c r="Q85" t="s">
        <v>2016</v>
      </c>
      <c r="R85" t="s">
        <v>2017</v>
      </c>
      <c r="S85" t="s">
        <v>2018</v>
      </c>
      <c r="T85" t="s">
        <v>2019</v>
      </c>
      <c r="U85" t="s">
        <v>2020</v>
      </c>
      <c r="V85" t="s">
        <v>2021</v>
      </c>
      <c r="W85" t="s">
        <v>2022</v>
      </c>
      <c r="X85" t="s">
        <v>2023</v>
      </c>
      <c r="Y85" t="s">
        <v>2024</v>
      </c>
    </row>
    <row r="86" spans="1:25" x14ac:dyDescent="0.3">
      <c r="A86">
        <v>4250</v>
      </c>
      <c r="B86" t="s">
        <v>2025</v>
      </c>
      <c r="C86" t="s">
        <v>2026</v>
      </c>
      <c r="D86" t="s">
        <v>2027</v>
      </c>
      <c r="E86" t="s">
        <v>2028</v>
      </c>
      <c r="F86" t="s">
        <v>2029</v>
      </c>
      <c r="G86" t="s">
        <v>2030</v>
      </c>
      <c r="H86" t="s">
        <v>2031</v>
      </c>
      <c r="I86" t="s">
        <v>2032</v>
      </c>
      <c r="J86" t="s">
        <v>2033</v>
      </c>
      <c r="K86" t="s">
        <v>2034</v>
      </c>
      <c r="L86" t="s">
        <v>2035</v>
      </c>
      <c r="M86" t="s">
        <v>2036</v>
      </c>
      <c r="N86" t="s">
        <v>2037</v>
      </c>
      <c r="O86">
        <f>-702.831419009891 -5.97199866181169 -707.015161196766</f>
        <v>-1415.8185788684686</v>
      </c>
      <c r="P86" t="s">
        <v>2038</v>
      </c>
      <c r="Q86" t="s">
        <v>2039</v>
      </c>
      <c r="R86" t="s">
        <v>2040</v>
      </c>
      <c r="S86" t="s">
        <v>2041</v>
      </c>
      <c r="T86" t="s">
        <v>2042</v>
      </c>
      <c r="U86" t="s">
        <v>2043</v>
      </c>
      <c r="V86" t="s">
        <v>2044</v>
      </c>
      <c r="W86" t="s">
        <v>2045</v>
      </c>
      <c r="X86" t="s">
        <v>2046</v>
      </c>
      <c r="Y86" t="s">
        <v>2047</v>
      </c>
    </row>
    <row r="87" spans="1:25" x14ac:dyDescent="0.3">
      <c r="A87">
        <v>4300</v>
      </c>
      <c r="B87" t="s">
        <v>2048</v>
      </c>
      <c r="C87" t="s">
        <v>2049</v>
      </c>
      <c r="D87" t="s">
        <v>2050</v>
      </c>
      <c r="E87" t="s">
        <v>2051</v>
      </c>
      <c r="F87" t="s">
        <v>2052</v>
      </c>
      <c r="G87" t="s">
        <v>2053</v>
      </c>
      <c r="H87" t="s">
        <v>2054</v>
      </c>
      <c r="I87" t="s">
        <v>2055</v>
      </c>
      <c r="J87" t="s">
        <v>2056</v>
      </c>
      <c r="K87" t="s">
        <v>2057</v>
      </c>
      <c r="L87" t="s">
        <v>2058</v>
      </c>
      <c r="M87" t="s">
        <v>2059</v>
      </c>
      <c r="N87" t="s">
        <v>2060</v>
      </c>
      <c r="O87">
        <f>-702.268453848834 -5.22283899001134 -707.237981328517</f>
        <v>-1414.7292741673623</v>
      </c>
      <c r="P87" t="s">
        <v>2061</v>
      </c>
      <c r="Q87" t="s">
        <v>2062</v>
      </c>
      <c r="R87" t="s">
        <v>2063</v>
      </c>
      <c r="S87" t="s">
        <v>2064</v>
      </c>
      <c r="T87" t="s">
        <v>2065</v>
      </c>
      <c r="U87" t="s">
        <v>2066</v>
      </c>
      <c r="V87" t="s">
        <v>2067</v>
      </c>
      <c r="W87" t="s">
        <v>2068</v>
      </c>
      <c r="X87" t="s">
        <v>2069</v>
      </c>
      <c r="Y87" t="s">
        <v>2070</v>
      </c>
    </row>
    <row r="88" spans="1:25" x14ac:dyDescent="0.3">
      <c r="A88">
        <v>4350</v>
      </c>
      <c r="B88" t="s">
        <v>2071</v>
      </c>
      <c r="C88" t="s">
        <v>2072</v>
      </c>
      <c r="D88" t="s">
        <v>2073</v>
      </c>
      <c r="E88" t="s">
        <v>2074</v>
      </c>
      <c r="F88" t="s">
        <v>2075</v>
      </c>
      <c r="G88" t="s">
        <v>2076</v>
      </c>
      <c r="H88" t="s">
        <v>2077</v>
      </c>
      <c r="I88" t="s">
        <v>2078</v>
      </c>
      <c r="J88" t="s">
        <v>2079</v>
      </c>
      <c r="K88" t="s">
        <v>2080</v>
      </c>
      <c r="L88" t="s">
        <v>2081</v>
      </c>
      <c r="M88" t="s">
        <v>2082</v>
      </c>
      <c r="N88" t="s">
        <v>2083</v>
      </c>
      <c r="O88">
        <f>-700.441567687106 -3.13913718499047 -707.822838116245</f>
        <v>-1411.4035429883415</v>
      </c>
      <c r="P88" t="s">
        <v>2084</v>
      </c>
      <c r="Q88" t="s">
        <v>2085</v>
      </c>
      <c r="R88" t="s">
        <v>2086</v>
      </c>
      <c r="S88" t="s">
        <v>2087</v>
      </c>
      <c r="T88" t="s">
        <v>2088</v>
      </c>
      <c r="U88" t="s">
        <v>2089</v>
      </c>
      <c r="V88" t="s">
        <v>2090</v>
      </c>
      <c r="W88" t="s">
        <v>2091</v>
      </c>
      <c r="X88" t="s">
        <v>2092</v>
      </c>
      <c r="Y88" t="s">
        <v>2093</v>
      </c>
    </row>
    <row r="89" spans="1:25" x14ac:dyDescent="0.3">
      <c r="A89">
        <v>4400</v>
      </c>
      <c r="B89" t="s">
        <v>2094</v>
      </c>
      <c r="C89" t="s">
        <v>2095</v>
      </c>
      <c r="D89" t="s">
        <v>2096</v>
      </c>
      <c r="E89" t="s">
        <v>2097</v>
      </c>
      <c r="F89" t="s">
        <v>2098</v>
      </c>
      <c r="G89" t="s">
        <v>2099</v>
      </c>
      <c r="H89" t="s">
        <v>2100</v>
      </c>
      <c r="I89" t="s">
        <v>2101</v>
      </c>
      <c r="J89" t="s">
        <v>2102</v>
      </c>
      <c r="K89" t="s">
        <v>2103</v>
      </c>
      <c r="L89" t="s">
        <v>2104</v>
      </c>
      <c r="M89" t="s">
        <v>2105</v>
      </c>
      <c r="N89" t="s">
        <v>2106</v>
      </c>
      <c r="O89">
        <f>-699.424558578151 -1.33464560997576 -708.201648213504</f>
        <v>-1408.9608524016307</v>
      </c>
      <c r="P89" t="s">
        <v>2107</v>
      </c>
      <c r="Q89" t="s">
        <v>2108</v>
      </c>
      <c r="R89" t="s">
        <v>2109</v>
      </c>
      <c r="S89" t="s">
        <v>2110</v>
      </c>
      <c r="T89" t="s">
        <v>2111</v>
      </c>
      <c r="U89" t="s">
        <v>2112</v>
      </c>
      <c r="V89" t="s">
        <v>2113</v>
      </c>
      <c r="W89" t="s">
        <v>2114</v>
      </c>
      <c r="X89" t="s">
        <v>2115</v>
      </c>
      <c r="Y89" t="s">
        <v>2116</v>
      </c>
    </row>
    <row r="90" spans="1:25" x14ac:dyDescent="0.3">
      <c r="A90">
        <v>4450</v>
      </c>
      <c r="B90" t="s">
        <v>2117</v>
      </c>
      <c r="C90" t="s">
        <v>2118</v>
      </c>
      <c r="D90" t="s">
        <v>2119</v>
      </c>
      <c r="E90" t="s">
        <v>2120</v>
      </c>
      <c r="F90" t="s">
        <v>2121</v>
      </c>
      <c r="G90" t="s">
        <v>2122</v>
      </c>
      <c r="H90" t="s">
        <v>2123</v>
      </c>
      <c r="I90" t="s">
        <v>2124</v>
      </c>
      <c r="J90" t="s">
        <v>2125</v>
      </c>
      <c r="K90" t="s">
        <v>2126</v>
      </c>
      <c r="L90" t="s">
        <v>2127</v>
      </c>
      <c r="M90" t="s">
        <v>2128</v>
      </c>
      <c r="N90" t="s">
        <v>2129</v>
      </c>
      <c r="O90" t="s">
        <v>2130</v>
      </c>
      <c r="P90" t="s">
        <v>2131</v>
      </c>
      <c r="Q90" t="s">
        <v>2132</v>
      </c>
      <c r="R90" t="s">
        <v>2133</v>
      </c>
      <c r="S90" t="s">
        <v>2134</v>
      </c>
      <c r="T90" t="s">
        <v>2135</v>
      </c>
      <c r="U90" t="s">
        <v>2136</v>
      </c>
      <c r="V90" t="s">
        <v>2137</v>
      </c>
      <c r="W90" t="s">
        <v>2138</v>
      </c>
      <c r="X90" t="s">
        <v>2139</v>
      </c>
      <c r="Y90" t="s">
        <v>2140</v>
      </c>
    </row>
    <row r="91" spans="1:25" x14ac:dyDescent="0.3">
      <c r="A91">
        <v>4500</v>
      </c>
      <c r="B91" t="s">
        <v>2141</v>
      </c>
      <c r="C91" t="s">
        <v>2142</v>
      </c>
      <c r="D91" t="s">
        <v>2143</v>
      </c>
      <c r="E91" t="s">
        <v>2144</v>
      </c>
      <c r="F91" t="s">
        <v>2145</v>
      </c>
      <c r="G91" t="s">
        <v>2146</v>
      </c>
      <c r="H91" t="s">
        <v>2147</v>
      </c>
      <c r="I91" t="s">
        <v>2148</v>
      </c>
      <c r="J91" t="s">
        <v>2149</v>
      </c>
      <c r="K91" t="s">
        <v>2150</v>
      </c>
      <c r="L91" t="s">
        <v>2151</v>
      </c>
      <c r="M91" t="s">
        <v>2152</v>
      </c>
      <c r="N91" t="s">
        <v>2153</v>
      </c>
      <c r="O91" t="s">
        <v>2154</v>
      </c>
      <c r="P91" t="s">
        <v>2155</v>
      </c>
      <c r="Q91" t="s">
        <v>2156</v>
      </c>
      <c r="R91" t="s">
        <v>2157</v>
      </c>
      <c r="S91" t="s">
        <v>2158</v>
      </c>
      <c r="T91" t="s">
        <v>2159</v>
      </c>
      <c r="U91" t="s">
        <v>2160</v>
      </c>
      <c r="V91" t="s">
        <v>2161</v>
      </c>
      <c r="W91" t="s">
        <v>2162</v>
      </c>
      <c r="X91" t="s">
        <v>2163</v>
      </c>
      <c r="Y91" t="s">
        <v>2164</v>
      </c>
    </row>
    <row r="92" spans="1:25" x14ac:dyDescent="0.3">
      <c r="A92">
        <v>4550</v>
      </c>
      <c r="B92" t="s">
        <v>2165</v>
      </c>
      <c r="C92" t="s">
        <v>2166</v>
      </c>
      <c r="D92" t="s">
        <v>2167</v>
      </c>
      <c r="E92" t="s">
        <v>2168</v>
      </c>
      <c r="F92" t="s">
        <v>2169</v>
      </c>
      <c r="G92" t="s">
        <v>2170</v>
      </c>
      <c r="H92" t="s">
        <v>2171</v>
      </c>
      <c r="I92" t="s">
        <v>2172</v>
      </c>
      <c r="J92" t="s">
        <v>2173</v>
      </c>
      <c r="K92" t="s">
        <v>2174</v>
      </c>
      <c r="L92" t="s">
        <v>2175</v>
      </c>
      <c r="M92" t="s">
        <v>2176</v>
      </c>
      <c r="N92" t="s">
        <v>2177</v>
      </c>
      <c r="O92" t="s">
        <v>2178</v>
      </c>
      <c r="P92" t="s">
        <v>2179</v>
      </c>
      <c r="Q92" t="s">
        <v>2180</v>
      </c>
      <c r="R92" t="s">
        <v>2181</v>
      </c>
      <c r="S92" t="s">
        <v>2182</v>
      </c>
      <c r="T92" t="s">
        <v>2183</v>
      </c>
      <c r="U92" t="s">
        <v>2184</v>
      </c>
      <c r="V92" t="s">
        <v>2185</v>
      </c>
      <c r="W92" t="s">
        <v>2186</v>
      </c>
      <c r="X92" t="s">
        <v>2187</v>
      </c>
      <c r="Y92" t="s">
        <v>2188</v>
      </c>
    </row>
    <row r="93" spans="1:25" x14ac:dyDescent="0.3">
      <c r="A93">
        <v>4600</v>
      </c>
      <c r="B93" t="s">
        <v>2189</v>
      </c>
      <c r="C93" t="s">
        <v>2190</v>
      </c>
      <c r="D93" t="s">
        <v>2191</v>
      </c>
      <c r="E93" t="s">
        <v>2192</v>
      </c>
      <c r="F93" t="s">
        <v>2193</v>
      </c>
      <c r="G93" t="s">
        <v>2194</v>
      </c>
      <c r="H93" t="s">
        <v>2195</v>
      </c>
      <c r="I93" t="s">
        <v>2196</v>
      </c>
      <c r="J93" t="s">
        <v>2197</v>
      </c>
      <c r="K93" t="s">
        <v>2198</v>
      </c>
      <c r="L93" t="s">
        <v>2199</v>
      </c>
      <c r="M93" t="s">
        <v>2200</v>
      </c>
      <c r="N93" t="s">
        <v>2201</v>
      </c>
      <c r="O93" t="s">
        <v>2202</v>
      </c>
      <c r="P93" t="s">
        <v>2203</v>
      </c>
      <c r="Q93" t="s">
        <v>2204</v>
      </c>
      <c r="R93" t="s">
        <v>2205</v>
      </c>
      <c r="S93" t="s">
        <v>2206</v>
      </c>
      <c r="T93" t="s">
        <v>2207</v>
      </c>
      <c r="U93" t="s">
        <v>2208</v>
      </c>
      <c r="V93" t="s">
        <v>2209</v>
      </c>
      <c r="W93" t="s">
        <v>2210</v>
      </c>
      <c r="X93" t="s">
        <v>2211</v>
      </c>
      <c r="Y93" t="s">
        <v>2212</v>
      </c>
    </row>
    <row r="94" spans="1:25" x14ac:dyDescent="0.3">
      <c r="A94">
        <v>4650</v>
      </c>
      <c r="B94" t="s">
        <v>2213</v>
      </c>
      <c r="C94" t="s">
        <v>2214</v>
      </c>
      <c r="D94" t="s">
        <v>2215</v>
      </c>
      <c r="E94" t="s">
        <v>2216</v>
      </c>
      <c r="F94" t="s">
        <v>2217</v>
      </c>
      <c r="G94" t="s">
        <v>2218</v>
      </c>
      <c r="H94" t="s">
        <v>2219</v>
      </c>
      <c r="I94" t="s">
        <v>2220</v>
      </c>
      <c r="J94" t="s">
        <v>2221</v>
      </c>
      <c r="K94" t="s">
        <v>2222</v>
      </c>
      <c r="L94" t="s">
        <v>2223</v>
      </c>
      <c r="M94" t="s">
        <v>2224</v>
      </c>
      <c r="N94" t="s">
        <v>2225</v>
      </c>
      <c r="O94" t="s">
        <v>2226</v>
      </c>
      <c r="P94" t="s">
        <v>2227</v>
      </c>
      <c r="Q94" t="s">
        <v>2228</v>
      </c>
      <c r="R94" t="s">
        <v>2229</v>
      </c>
      <c r="S94" t="s">
        <v>2230</v>
      </c>
      <c r="T94" t="s">
        <v>2231</v>
      </c>
      <c r="U94" t="s">
        <v>2232</v>
      </c>
      <c r="V94" t="s">
        <v>2233</v>
      </c>
      <c r="W94" t="s">
        <v>2234</v>
      </c>
      <c r="X94" t="s">
        <v>2235</v>
      </c>
      <c r="Y94" t="s">
        <v>2236</v>
      </c>
    </row>
    <row r="95" spans="1:25" x14ac:dyDescent="0.3">
      <c r="A95">
        <v>4700</v>
      </c>
      <c r="B95" t="s">
        <v>2237</v>
      </c>
      <c r="C95" t="s">
        <v>2238</v>
      </c>
      <c r="D95" t="s">
        <v>2239</v>
      </c>
      <c r="E95" t="s">
        <v>2240</v>
      </c>
      <c r="F95" t="s">
        <v>2241</v>
      </c>
      <c r="G95" t="s">
        <v>2242</v>
      </c>
      <c r="H95" t="s">
        <v>2243</v>
      </c>
      <c r="I95" t="s">
        <v>2244</v>
      </c>
      <c r="J95" t="s">
        <v>2245</v>
      </c>
      <c r="K95" t="s">
        <v>2246</v>
      </c>
      <c r="L95" t="s">
        <v>2247</v>
      </c>
      <c r="M95" t="s">
        <v>2248</v>
      </c>
      <c r="N95" t="s">
        <v>2249</v>
      </c>
      <c r="O95" t="s">
        <v>2250</v>
      </c>
      <c r="P95" t="s">
        <v>2251</v>
      </c>
      <c r="Q95" t="s">
        <v>2252</v>
      </c>
      <c r="R95" t="s">
        <v>2253</v>
      </c>
      <c r="S95" t="s">
        <v>2254</v>
      </c>
      <c r="T95" t="s">
        <v>2255</v>
      </c>
      <c r="U95" t="s">
        <v>2256</v>
      </c>
      <c r="V95" t="s">
        <v>2257</v>
      </c>
      <c r="W95" t="s">
        <v>2258</v>
      </c>
      <c r="X95" t="s">
        <v>2259</v>
      </c>
      <c r="Y95" t="s">
        <v>2260</v>
      </c>
    </row>
    <row r="96" spans="1:25" x14ac:dyDescent="0.3">
      <c r="A96">
        <v>4750</v>
      </c>
      <c r="B96" t="s">
        <v>2261</v>
      </c>
      <c r="C96" t="s">
        <v>2262</v>
      </c>
      <c r="D96" t="s">
        <v>2263</v>
      </c>
      <c r="E96" t="s">
        <v>2264</v>
      </c>
      <c r="F96" t="s">
        <v>2265</v>
      </c>
      <c r="G96" t="s">
        <v>2266</v>
      </c>
      <c r="H96" t="s">
        <v>2267</v>
      </c>
      <c r="I96" t="s">
        <v>2268</v>
      </c>
      <c r="J96" t="s">
        <v>2269</v>
      </c>
      <c r="K96" t="s">
        <v>2270</v>
      </c>
      <c r="L96" t="s">
        <v>2271</v>
      </c>
      <c r="M96" t="s">
        <v>2272</v>
      </c>
      <c r="N96" t="s">
        <v>2273</v>
      </c>
      <c r="O96" t="s">
        <v>2274</v>
      </c>
      <c r="P96" t="s">
        <v>2275</v>
      </c>
      <c r="Q96" t="s">
        <v>2276</v>
      </c>
      <c r="R96" t="s">
        <v>2277</v>
      </c>
      <c r="S96" t="s">
        <v>2278</v>
      </c>
      <c r="T96" t="s">
        <v>2279</v>
      </c>
      <c r="U96" t="s">
        <v>2280</v>
      </c>
      <c r="V96" t="s">
        <v>2281</v>
      </c>
      <c r="W96" t="s">
        <v>2282</v>
      </c>
      <c r="X96" t="s">
        <v>2283</v>
      </c>
      <c r="Y96" t="s">
        <v>2284</v>
      </c>
    </row>
    <row r="97" spans="1:25" x14ac:dyDescent="0.3">
      <c r="A97">
        <v>4800</v>
      </c>
      <c r="B97" t="s">
        <v>2285</v>
      </c>
      <c r="C97" t="s">
        <v>2286</v>
      </c>
      <c r="D97" t="s">
        <v>2287</v>
      </c>
      <c r="E97" t="s">
        <v>2288</v>
      </c>
      <c r="F97" t="s">
        <v>2289</v>
      </c>
      <c r="G97" t="s">
        <v>2290</v>
      </c>
      <c r="H97" t="s">
        <v>2291</v>
      </c>
      <c r="I97" t="s">
        <v>2292</v>
      </c>
      <c r="J97" t="s">
        <v>2293</v>
      </c>
      <c r="K97" t="s">
        <v>2294</v>
      </c>
      <c r="L97" t="s">
        <v>2295</v>
      </c>
      <c r="M97" t="s">
        <v>2296</v>
      </c>
      <c r="N97" t="s">
        <v>2297</v>
      </c>
      <c r="O97" t="s">
        <v>2298</v>
      </c>
      <c r="P97" t="s">
        <v>2299</v>
      </c>
      <c r="Q97" t="s">
        <v>2300</v>
      </c>
      <c r="R97" t="s">
        <v>2301</v>
      </c>
      <c r="S97" t="s">
        <v>2302</v>
      </c>
      <c r="T97" t="s">
        <v>2303</v>
      </c>
      <c r="U97" t="s">
        <v>2304</v>
      </c>
      <c r="V97" t="s">
        <v>2305</v>
      </c>
      <c r="W97" t="s">
        <v>2306</v>
      </c>
      <c r="X97" t="s">
        <v>2307</v>
      </c>
      <c r="Y97" t="s">
        <v>2308</v>
      </c>
    </row>
    <row r="98" spans="1:25" x14ac:dyDescent="0.3">
      <c r="A98">
        <v>4850</v>
      </c>
      <c r="B98" t="s">
        <v>2309</v>
      </c>
      <c r="C98" t="s">
        <v>2310</v>
      </c>
      <c r="D98" t="s">
        <v>2311</v>
      </c>
      <c r="E98" t="s">
        <v>2312</v>
      </c>
      <c r="F98" t="s">
        <v>2313</v>
      </c>
      <c r="G98" t="s">
        <v>2314</v>
      </c>
      <c r="H98" t="s">
        <v>2315</v>
      </c>
      <c r="I98" t="s">
        <v>2316</v>
      </c>
      <c r="J98" t="s">
        <v>2317</v>
      </c>
      <c r="K98" t="s">
        <v>2318</v>
      </c>
      <c r="L98" t="s">
        <v>2319</v>
      </c>
      <c r="M98" t="s">
        <v>2320</v>
      </c>
      <c r="N98" t="s">
        <v>2321</v>
      </c>
      <c r="O98" t="s">
        <v>2322</v>
      </c>
      <c r="P98" t="s">
        <v>2323</v>
      </c>
      <c r="Q98" t="s">
        <v>2324</v>
      </c>
      <c r="R98" t="s">
        <v>2325</v>
      </c>
      <c r="S98" t="s">
        <v>2326</v>
      </c>
      <c r="T98" t="s">
        <v>2327</v>
      </c>
      <c r="U98" t="s">
        <v>2328</v>
      </c>
      <c r="V98" t="s">
        <v>2329</v>
      </c>
      <c r="W98" t="s">
        <v>2330</v>
      </c>
      <c r="X98" t="s">
        <v>2331</v>
      </c>
      <c r="Y98" t="s">
        <v>2332</v>
      </c>
    </row>
    <row r="99" spans="1:25" x14ac:dyDescent="0.3">
      <c r="A99">
        <v>4900</v>
      </c>
      <c r="B99" t="s">
        <v>2333</v>
      </c>
      <c r="C99" t="s">
        <v>2334</v>
      </c>
      <c r="D99" t="s">
        <v>2335</v>
      </c>
      <c r="E99" t="s">
        <v>2336</v>
      </c>
      <c r="F99" t="s">
        <v>2337</v>
      </c>
      <c r="G99" t="s">
        <v>2338</v>
      </c>
      <c r="H99" t="s">
        <v>2339</v>
      </c>
      <c r="I99" t="s">
        <v>2340</v>
      </c>
      <c r="J99" t="s">
        <v>2341</v>
      </c>
      <c r="K99" t="s">
        <v>2342</v>
      </c>
      <c r="L99" t="s">
        <v>2343</v>
      </c>
      <c r="M99" t="s">
        <v>2344</v>
      </c>
      <c r="N99" t="s">
        <v>2345</v>
      </c>
      <c r="O99" t="s">
        <v>2346</v>
      </c>
      <c r="P99" t="s">
        <v>2347</v>
      </c>
      <c r="Q99" t="s">
        <v>2348</v>
      </c>
      <c r="R99" t="s">
        <v>2349</v>
      </c>
      <c r="S99" t="s">
        <v>2350</v>
      </c>
      <c r="T99" t="s">
        <v>2351</v>
      </c>
      <c r="U99" t="s">
        <v>2352</v>
      </c>
      <c r="V99" t="s">
        <v>2353</v>
      </c>
      <c r="W99" t="s">
        <v>2354</v>
      </c>
      <c r="X99" t="s">
        <v>2355</v>
      </c>
      <c r="Y99" t="s">
        <v>2356</v>
      </c>
    </row>
    <row r="100" spans="1:25" x14ac:dyDescent="0.3">
      <c r="A100">
        <v>4950</v>
      </c>
      <c r="B100" t="s">
        <v>2357</v>
      </c>
      <c r="C100" t="s">
        <v>2358</v>
      </c>
      <c r="D100" t="s">
        <v>2359</v>
      </c>
      <c r="E100" t="s">
        <v>2360</v>
      </c>
      <c r="F100" t="s">
        <v>2361</v>
      </c>
      <c r="G100" t="s">
        <v>2362</v>
      </c>
      <c r="H100" t="s">
        <v>2363</v>
      </c>
      <c r="I100" t="s">
        <v>2364</v>
      </c>
      <c r="J100" t="s">
        <v>2365</v>
      </c>
      <c r="K100" t="s">
        <v>2366</v>
      </c>
      <c r="L100" t="s">
        <v>2367</v>
      </c>
      <c r="M100" t="s">
        <v>2368</v>
      </c>
      <c r="N100" t="s">
        <v>2369</v>
      </c>
      <c r="O100" t="s">
        <v>2370</v>
      </c>
      <c r="P100" t="s">
        <v>2371</v>
      </c>
      <c r="Q100" t="s">
        <v>2372</v>
      </c>
      <c r="R100" t="s">
        <v>2373</v>
      </c>
      <c r="S100" t="s">
        <v>2374</v>
      </c>
      <c r="T100" t="s">
        <v>2375</v>
      </c>
      <c r="U100" t="s">
        <v>2376</v>
      </c>
      <c r="V100" t="s">
        <v>2377</v>
      </c>
      <c r="W100" t="s">
        <v>2378</v>
      </c>
      <c r="X100" t="s">
        <v>2379</v>
      </c>
      <c r="Y100" t="s">
        <v>2380</v>
      </c>
    </row>
    <row r="101" spans="1:25" x14ac:dyDescent="0.3">
      <c r="A101">
        <v>5000</v>
      </c>
      <c r="B101" t="s">
        <v>2381</v>
      </c>
      <c r="C101" t="s">
        <v>2382</v>
      </c>
      <c r="D101" t="s">
        <v>2383</v>
      </c>
      <c r="E101" t="s">
        <v>2384</v>
      </c>
      <c r="F101" t="s">
        <v>2385</v>
      </c>
      <c r="G101" t="s">
        <v>2386</v>
      </c>
      <c r="H101" t="s">
        <v>2387</v>
      </c>
      <c r="I101" t="s">
        <v>2388</v>
      </c>
      <c r="J101" t="s">
        <v>2389</v>
      </c>
      <c r="K101" t="s">
        <v>2390</v>
      </c>
      <c r="L101" t="s">
        <v>2391</v>
      </c>
      <c r="M101" t="s">
        <v>2392</v>
      </c>
      <c r="N101" t="s">
        <v>2393</v>
      </c>
      <c r="O101" t="s">
        <v>2394</v>
      </c>
      <c r="P101" t="s">
        <v>2395</v>
      </c>
      <c r="Q101" t="s">
        <v>2396</v>
      </c>
      <c r="R101" t="s">
        <v>2397</v>
      </c>
      <c r="S101" t="s">
        <v>2398</v>
      </c>
      <c r="T101" t="s">
        <v>2399</v>
      </c>
      <c r="U101" t="s">
        <v>2400</v>
      </c>
      <c r="V101" t="s">
        <v>2401</v>
      </c>
      <c r="W101" t="s">
        <v>2402</v>
      </c>
      <c r="X101" t="s">
        <v>2403</v>
      </c>
      <c r="Y101" t="s">
        <v>2404</v>
      </c>
    </row>
    <row r="102" spans="1:25" x14ac:dyDescent="0.3">
      <c r="A102">
        <v>5050</v>
      </c>
      <c r="B102" t="s">
        <v>2405</v>
      </c>
      <c r="C102" t="s">
        <v>2406</v>
      </c>
      <c r="D102" t="s">
        <v>2407</v>
      </c>
      <c r="E102" t="s">
        <v>2408</v>
      </c>
      <c r="F102" t="s">
        <v>2409</v>
      </c>
      <c r="G102" t="s">
        <v>2410</v>
      </c>
      <c r="H102" t="s">
        <v>2411</v>
      </c>
      <c r="I102" t="s">
        <v>2412</v>
      </c>
      <c r="J102" t="s">
        <v>2413</v>
      </c>
      <c r="K102" t="s">
        <v>2414</v>
      </c>
      <c r="L102" t="s">
        <v>2415</v>
      </c>
      <c r="M102" t="s">
        <v>2416</v>
      </c>
      <c r="N102" t="s">
        <v>2417</v>
      </c>
      <c r="O102" t="s">
        <v>2418</v>
      </c>
      <c r="P102" t="s">
        <v>2419</v>
      </c>
      <c r="Q102" t="s">
        <v>2420</v>
      </c>
      <c r="R102" t="s">
        <v>2421</v>
      </c>
      <c r="S102" t="s">
        <v>2422</v>
      </c>
      <c r="T102" t="s">
        <v>2423</v>
      </c>
      <c r="U102" t="s">
        <v>2424</v>
      </c>
      <c r="V102" t="s">
        <v>2425</v>
      </c>
      <c r="W102" t="s">
        <v>2426</v>
      </c>
      <c r="X102" t="s">
        <v>2427</v>
      </c>
      <c r="Y102" t="s">
        <v>2428</v>
      </c>
    </row>
    <row r="103" spans="1:25" x14ac:dyDescent="0.3">
      <c r="A103">
        <v>5100</v>
      </c>
      <c r="B103" t="s">
        <v>2429</v>
      </c>
      <c r="C103" t="s">
        <v>2430</v>
      </c>
      <c r="D103" t="s">
        <v>2431</v>
      </c>
      <c r="E103" t="s">
        <v>2432</v>
      </c>
      <c r="F103" t="s">
        <v>2433</v>
      </c>
      <c r="G103" t="s">
        <v>2434</v>
      </c>
      <c r="H103" t="s">
        <v>2435</v>
      </c>
      <c r="I103" t="s">
        <v>2436</v>
      </c>
      <c r="J103" t="s">
        <v>2437</v>
      </c>
      <c r="K103" t="s">
        <v>2438</v>
      </c>
      <c r="L103" t="s">
        <v>2439</v>
      </c>
      <c r="M103" t="s">
        <v>2440</v>
      </c>
      <c r="N103" t="s">
        <v>2441</v>
      </c>
      <c r="O103" t="s">
        <v>2442</v>
      </c>
      <c r="P103" t="s">
        <v>2443</v>
      </c>
      <c r="Q103" t="s">
        <v>2444</v>
      </c>
      <c r="R103" t="s">
        <v>2445</v>
      </c>
      <c r="S103" t="s">
        <v>2446</v>
      </c>
      <c r="T103" t="s">
        <v>2447</v>
      </c>
      <c r="U103" t="s">
        <v>2448</v>
      </c>
      <c r="V103" t="s">
        <v>2449</v>
      </c>
      <c r="W103" t="s">
        <v>2450</v>
      </c>
      <c r="X103" t="s">
        <v>2451</v>
      </c>
      <c r="Y103" t="s">
        <v>2452</v>
      </c>
    </row>
    <row r="104" spans="1:25" x14ac:dyDescent="0.3">
      <c r="A104">
        <v>5150</v>
      </c>
      <c r="B104" t="s">
        <v>2453</v>
      </c>
      <c r="C104" t="s">
        <v>2454</v>
      </c>
      <c r="D104" t="s">
        <v>2455</v>
      </c>
      <c r="E104" t="s">
        <v>2456</v>
      </c>
      <c r="F104" t="s">
        <v>2457</v>
      </c>
      <c r="G104" t="s">
        <v>2458</v>
      </c>
      <c r="H104" t="s">
        <v>2459</v>
      </c>
      <c r="I104" t="s">
        <v>2460</v>
      </c>
      <c r="J104" t="s">
        <v>2461</v>
      </c>
      <c r="K104" t="s">
        <v>2462</v>
      </c>
      <c r="L104" t="s">
        <v>2463</v>
      </c>
      <c r="M104" t="s">
        <v>2464</v>
      </c>
      <c r="N104" t="s">
        <v>2465</v>
      </c>
      <c r="O104" t="s">
        <v>2466</v>
      </c>
      <c r="P104" t="s">
        <v>2467</v>
      </c>
      <c r="Q104" t="s">
        <v>2468</v>
      </c>
      <c r="R104" t="s">
        <v>2469</v>
      </c>
      <c r="S104" t="s">
        <v>2470</v>
      </c>
      <c r="T104" t="s">
        <v>2471</v>
      </c>
      <c r="U104" t="s">
        <v>2472</v>
      </c>
      <c r="V104" t="s">
        <v>2473</v>
      </c>
      <c r="W104" t="s">
        <v>2474</v>
      </c>
      <c r="X104" t="s">
        <v>2475</v>
      </c>
      <c r="Y104" t="s">
        <v>2476</v>
      </c>
    </row>
    <row r="105" spans="1:25" x14ac:dyDescent="0.3">
      <c r="A105">
        <v>5200</v>
      </c>
      <c r="B105" t="s">
        <v>2477</v>
      </c>
      <c r="C105" t="s">
        <v>2478</v>
      </c>
      <c r="D105" t="s">
        <v>2479</v>
      </c>
      <c r="E105" t="s">
        <v>2480</v>
      </c>
      <c r="F105" t="s">
        <v>2481</v>
      </c>
      <c r="G105" t="s">
        <v>2482</v>
      </c>
      <c r="H105" t="s">
        <v>2483</v>
      </c>
      <c r="I105" t="s">
        <v>2484</v>
      </c>
      <c r="J105" t="s">
        <v>2485</v>
      </c>
      <c r="K105" t="s">
        <v>2486</v>
      </c>
      <c r="L105" t="s">
        <v>2487</v>
      </c>
      <c r="M105" t="s">
        <v>2488</v>
      </c>
      <c r="N105" t="s">
        <v>2489</v>
      </c>
      <c r="O105" t="s">
        <v>2490</v>
      </c>
      <c r="P105" t="s">
        <v>2491</v>
      </c>
      <c r="Q105" t="s">
        <v>2492</v>
      </c>
      <c r="R105" t="s">
        <v>2493</v>
      </c>
      <c r="S105" t="s">
        <v>2494</v>
      </c>
      <c r="T105" t="s">
        <v>2495</v>
      </c>
      <c r="U105" t="s">
        <v>2496</v>
      </c>
      <c r="V105" t="s">
        <v>2497</v>
      </c>
      <c r="W105" t="s">
        <v>2498</v>
      </c>
      <c r="X105" t="s">
        <v>2499</v>
      </c>
      <c r="Y105" t="s">
        <v>2500</v>
      </c>
    </row>
    <row r="106" spans="1:25" x14ac:dyDescent="0.3">
      <c r="A106">
        <v>5250</v>
      </c>
      <c r="B106" t="s">
        <v>2501</v>
      </c>
      <c r="C106" t="s">
        <v>2502</v>
      </c>
      <c r="D106" t="s">
        <v>2503</v>
      </c>
      <c r="E106" t="s">
        <v>2504</v>
      </c>
      <c r="F106" t="s">
        <v>2505</v>
      </c>
      <c r="G106" t="s">
        <v>2506</v>
      </c>
      <c r="H106" t="s">
        <v>2507</v>
      </c>
      <c r="I106" t="s">
        <v>2508</v>
      </c>
      <c r="J106" t="s">
        <v>2509</v>
      </c>
      <c r="K106" t="s">
        <v>2510</v>
      </c>
      <c r="L106" t="s">
        <v>2511</v>
      </c>
      <c r="M106" t="s">
        <v>2512</v>
      </c>
      <c r="N106" t="s">
        <v>2513</v>
      </c>
      <c r="O106" t="s">
        <v>2514</v>
      </c>
      <c r="P106" t="s">
        <v>2515</v>
      </c>
      <c r="Q106" t="s">
        <v>2516</v>
      </c>
      <c r="R106" t="s">
        <v>2517</v>
      </c>
      <c r="S106" t="s">
        <v>2518</v>
      </c>
      <c r="T106" t="s">
        <v>2519</v>
      </c>
      <c r="U106" t="s">
        <v>2520</v>
      </c>
      <c r="V106" t="s">
        <v>2521</v>
      </c>
      <c r="W106" t="s">
        <v>2522</v>
      </c>
      <c r="X106" t="s">
        <v>2523</v>
      </c>
      <c r="Y106" t="s">
        <v>2524</v>
      </c>
    </row>
    <row r="107" spans="1:25" x14ac:dyDescent="0.3">
      <c r="A107">
        <v>5300</v>
      </c>
      <c r="B107" t="s">
        <v>2525</v>
      </c>
      <c r="C107" t="s">
        <v>2526</v>
      </c>
      <c r="D107" t="s">
        <v>2527</v>
      </c>
      <c r="E107" t="s">
        <v>2528</v>
      </c>
      <c r="F107" t="s">
        <v>2529</v>
      </c>
      <c r="G107" t="s">
        <v>2530</v>
      </c>
      <c r="H107" t="s">
        <v>2531</v>
      </c>
      <c r="I107" t="s">
        <v>2532</v>
      </c>
      <c r="J107" t="s">
        <v>2533</v>
      </c>
      <c r="K107" t="s">
        <v>2534</v>
      </c>
      <c r="L107" t="s">
        <v>2535</v>
      </c>
      <c r="M107" t="s">
        <v>2536</v>
      </c>
      <c r="N107" t="s">
        <v>2537</v>
      </c>
      <c r="O107" t="s">
        <v>2538</v>
      </c>
      <c r="P107" t="s">
        <v>2539</v>
      </c>
      <c r="Q107" t="s">
        <v>2540</v>
      </c>
      <c r="R107" t="s">
        <v>2541</v>
      </c>
      <c r="S107" t="s">
        <v>2542</v>
      </c>
      <c r="T107" t="s">
        <v>2543</v>
      </c>
      <c r="U107" t="s">
        <v>2544</v>
      </c>
      <c r="V107" t="s">
        <v>2545</v>
      </c>
      <c r="W107" t="s">
        <v>2546</v>
      </c>
      <c r="X107" t="s">
        <v>2547</v>
      </c>
      <c r="Y107" t="s">
        <v>2548</v>
      </c>
    </row>
    <row r="108" spans="1:25" x14ac:dyDescent="0.3">
      <c r="A108">
        <v>5350</v>
      </c>
      <c r="B108" t="s">
        <v>2549</v>
      </c>
      <c r="C108" t="s">
        <v>2550</v>
      </c>
      <c r="D108" t="s">
        <v>2551</v>
      </c>
      <c r="E108" t="s">
        <v>2552</v>
      </c>
      <c r="F108" t="s">
        <v>2553</v>
      </c>
      <c r="G108" t="s">
        <v>2554</v>
      </c>
      <c r="H108" t="s">
        <v>2555</v>
      </c>
      <c r="I108" t="s">
        <v>2556</v>
      </c>
      <c r="J108" t="s">
        <v>2557</v>
      </c>
      <c r="K108" t="s">
        <v>2558</v>
      </c>
      <c r="L108" t="s">
        <v>2559</v>
      </c>
      <c r="M108" t="s">
        <v>2560</v>
      </c>
      <c r="N108" t="s">
        <v>2561</v>
      </c>
      <c r="O108" t="s">
        <v>2562</v>
      </c>
      <c r="P108" t="s">
        <v>2563</v>
      </c>
      <c r="Q108" t="s">
        <v>2564</v>
      </c>
      <c r="R108" t="s">
        <v>2565</v>
      </c>
      <c r="S108" t="s">
        <v>2566</v>
      </c>
      <c r="T108" t="s">
        <v>2567</v>
      </c>
      <c r="U108" t="s">
        <v>2568</v>
      </c>
      <c r="V108" t="s">
        <v>2569</v>
      </c>
      <c r="W108" t="s">
        <v>2570</v>
      </c>
      <c r="X108" t="s">
        <v>2571</v>
      </c>
      <c r="Y108" t="s">
        <v>2572</v>
      </c>
    </row>
    <row r="109" spans="1:25" x14ac:dyDescent="0.3">
      <c r="A109">
        <v>5400</v>
      </c>
      <c r="B109" t="s">
        <v>2573</v>
      </c>
      <c r="C109" t="s">
        <v>2574</v>
      </c>
      <c r="D109" t="s">
        <v>2575</v>
      </c>
      <c r="E109" t="s">
        <v>2576</v>
      </c>
      <c r="F109" t="s">
        <v>2577</v>
      </c>
      <c r="G109" t="s">
        <v>2578</v>
      </c>
      <c r="H109" t="s">
        <v>2579</v>
      </c>
      <c r="I109" t="s">
        <v>2580</v>
      </c>
      <c r="J109" t="s">
        <v>2581</v>
      </c>
      <c r="K109" t="s">
        <v>2582</v>
      </c>
      <c r="L109" t="s">
        <v>2583</v>
      </c>
      <c r="M109" t="s">
        <v>2584</v>
      </c>
      <c r="N109" t="s">
        <v>2585</v>
      </c>
      <c r="O109" t="s">
        <v>2586</v>
      </c>
      <c r="P109" t="s">
        <v>2587</v>
      </c>
      <c r="Q109" t="s">
        <v>2588</v>
      </c>
      <c r="R109" t="s">
        <v>2589</v>
      </c>
      <c r="S109" t="s">
        <v>2590</v>
      </c>
      <c r="T109" t="s">
        <v>2591</v>
      </c>
      <c r="U109" t="s">
        <v>2592</v>
      </c>
      <c r="V109" t="s">
        <v>2593</v>
      </c>
      <c r="W109" t="s">
        <v>2594</v>
      </c>
      <c r="X109" t="s">
        <v>2595</v>
      </c>
      <c r="Y109" t="s">
        <v>2596</v>
      </c>
    </row>
    <row r="110" spans="1:25" x14ac:dyDescent="0.3">
      <c r="A110">
        <v>5450</v>
      </c>
      <c r="B110" t="s">
        <v>2597</v>
      </c>
      <c r="C110" t="s">
        <v>2598</v>
      </c>
      <c r="D110" t="s">
        <v>2599</v>
      </c>
      <c r="E110" t="s">
        <v>2600</v>
      </c>
      <c r="F110" t="s">
        <v>2601</v>
      </c>
      <c r="G110" t="s">
        <v>2602</v>
      </c>
      <c r="H110" t="s">
        <v>2603</v>
      </c>
      <c r="I110" t="s">
        <v>2604</v>
      </c>
      <c r="J110" t="s">
        <v>2605</v>
      </c>
      <c r="K110" t="s">
        <v>2606</v>
      </c>
      <c r="L110" t="s">
        <v>2607</v>
      </c>
      <c r="M110" t="s">
        <v>2608</v>
      </c>
      <c r="N110" t="s">
        <v>2609</v>
      </c>
      <c r="O110" t="s">
        <v>2610</v>
      </c>
      <c r="P110" t="s">
        <v>2611</v>
      </c>
      <c r="Q110" t="s">
        <v>2612</v>
      </c>
      <c r="R110" t="s">
        <v>2613</v>
      </c>
      <c r="S110" t="s">
        <v>2614</v>
      </c>
      <c r="T110" t="s">
        <v>2615</v>
      </c>
      <c r="U110" t="s">
        <v>2616</v>
      </c>
      <c r="V110" t="s">
        <v>2617</v>
      </c>
      <c r="W110" t="s">
        <v>2618</v>
      </c>
      <c r="X110" t="s">
        <v>2619</v>
      </c>
      <c r="Y110" t="s">
        <v>2620</v>
      </c>
    </row>
    <row r="111" spans="1:25" x14ac:dyDescent="0.3">
      <c r="A111">
        <v>5500</v>
      </c>
      <c r="B111" t="s">
        <v>2621</v>
      </c>
      <c r="C111" t="s">
        <v>2622</v>
      </c>
      <c r="D111" t="s">
        <v>2623</v>
      </c>
      <c r="E111" t="s">
        <v>2624</v>
      </c>
      <c r="F111" t="s">
        <v>2625</v>
      </c>
      <c r="G111" t="s">
        <v>2626</v>
      </c>
      <c r="H111" t="s">
        <v>2627</v>
      </c>
      <c r="I111" t="s">
        <v>2628</v>
      </c>
      <c r="J111" t="s">
        <v>2629</v>
      </c>
      <c r="K111" t="s">
        <v>2630</v>
      </c>
      <c r="L111" t="s">
        <v>2631</v>
      </c>
      <c r="M111" t="s">
        <v>2632</v>
      </c>
      <c r="N111" t="s">
        <v>2633</v>
      </c>
      <c r="O111" t="s">
        <v>2634</v>
      </c>
      <c r="P111" t="s">
        <v>2635</v>
      </c>
      <c r="Q111" t="s">
        <v>2636</v>
      </c>
      <c r="R111" t="s">
        <v>2637</v>
      </c>
      <c r="S111" t="s">
        <v>2638</v>
      </c>
      <c r="T111" t="s">
        <v>2639</v>
      </c>
      <c r="U111" t="s">
        <v>2640</v>
      </c>
      <c r="V111" t="s">
        <v>2641</v>
      </c>
      <c r="W111" t="s">
        <v>2642</v>
      </c>
      <c r="X111" t="s">
        <v>2643</v>
      </c>
      <c r="Y111" t="s">
        <v>2644</v>
      </c>
    </row>
    <row r="112" spans="1:25" x14ac:dyDescent="0.3">
      <c r="A112">
        <v>5550</v>
      </c>
      <c r="B112" t="s">
        <v>2645</v>
      </c>
      <c r="C112" t="s">
        <v>2646</v>
      </c>
      <c r="D112" t="s">
        <v>2647</v>
      </c>
      <c r="E112" t="s">
        <v>2648</v>
      </c>
      <c r="F112" t="s">
        <v>2649</v>
      </c>
      <c r="G112" t="s">
        <v>2650</v>
      </c>
      <c r="H112" t="s">
        <v>2651</v>
      </c>
      <c r="I112" t="s">
        <v>2652</v>
      </c>
      <c r="J112" t="s">
        <v>2653</v>
      </c>
      <c r="K112" t="s">
        <v>2654</v>
      </c>
      <c r="L112" t="s">
        <v>2655</v>
      </c>
      <c r="M112" t="s">
        <v>2656</v>
      </c>
      <c r="N112" t="s">
        <v>2657</v>
      </c>
      <c r="O112" t="s">
        <v>2658</v>
      </c>
      <c r="P112" t="s">
        <v>2659</v>
      </c>
      <c r="Q112" t="s">
        <v>2660</v>
      </c>
      <c r="R112" t="s">
        <v>2661</v>
      </c>
      <c r="S112" t="s">
        <v>2662</v>
      </c>
      <c r="T112" t="s">
        <v>2663</v>
      </c>
      <c r="U112" t="s">
        <v>2664</v>
      </c>
      <c r="V112" t="s">
        <v>2665</v>
      </c>
      <c r="W112" t="s">
        <v>2666</v>
      </c>
      <c r="X112" t="s">
        <v>2667</v>
      </c>
      <c r="Y112" t="s">
        <v>2668</v>
      </c>
    </row>
    <row r="113" spans="1:25" x14ac:dyDescent="0.3">
      <c r="A113">
        <v>5600</v>
      </c>
      <c r="B113" t="s">
        <v>2669</v>
      </c>
      <c r="C113" t="s">
        <v>2670</v>
      </c>
      <c r="D113" t="s">
        <v>2671</v>
      </c>
      <c r="E113" t="s">
        <v>2672</v>
      </c>
      <c r="F113" t="s">
        <v>2673</v>
      </c>
      <c r="G113" t="s">
        <v>2674</v>
      </c>
      <c r="H113" t="s">
        <v>2675</v>
      </c>
      <c r="I113" t="s">
        <v>2676</v>
      </c>
      <c r="J113" t="s">
        <v>2677</v>
      </c>
      <c r="K113" t="s">
        <v>2678</v>
      </c>
      <c r="L113" t="s">
        <v>2679</v>
      </c>
      <c r="M113" t="s">
        <v>2680</v>
      </c>
      <c r="N113" t="s">
        <v>2681</v>
      </c>
      <c r="O113" t="s">
        <v>2682</v>
      </c>
      <c r="P113" t="s">
        <v>2683</v>
      </c>
      <c r="Q113" t="s">
        <v>2684</v>
      </c>
      <c r="R113" t="s">
        <v>2685</v>
      </c>
      <c r="S113" t="s">
        <v>2686</v>
      </c>
      <c r="T113" t="s">
        <v>2687</v>
      </c>
      <c r="U113" t="s">
        <v>2688</v>
      </c>
      <c r="V113" t="s">
        <v>2689</v>
      </c>
      <c r="W113" t="s">
        <v>2690</v>
      </c>
      <c r="X113" t="s">
        <v>2691</v>
      </c>
      <c r="Y113" t="s">
        <v>2692</v>
      </c>
    </row>
    <row r="114" spans="1:25" x14ac:dyDescent="0.3">
      <c r="A114">
        <v>5650</v>
      </c>
      <c r="B114" t="s">
        <v>2693</v>
      </c>
      <c r="C114" t="s">
        <v>2694</v>
      </c>
      <c r="D114" t="s">
        <v>2695</v>
      </c>
      <c r="E114" t="s">
        <v>2696</v>
      </c>
      <c r="F114" t="s">
        <v>2697</v>
      </c>
      <c r="G114" t="s">
        <v>2698</v>
      </c>
      <c r="H114" t="s">
        <v>2699</v>
      </c>
      <c r="I114" t="s">
        <v>2700</v>
      </c>
      <c r="J114" t="s">
        <v>2701</v>
      </c>
      <c r="K114" t="s">
        <v>2702</v>
      </c>
      <c r="L114" t="s">
        <v>2703</v>
      </c>
      <c r="M114" t="s">
        <v>2704</v>
      </c>
      <c r="N114" t="s">
        <v>2705</v>
      </c>
      <c r="O114" t="s">
        <v>2706</v>
      </c>
      <c r="P114" t="s">
        <v>2707</v>
      </c>
      <c r="Q114" t="s">
        <v>2708</v>
      </c>
      <c r="R114" t="s">
        <v>2709</v>
      </c>
      <c r="S114" t="s">
        <v>2710</v>
      </c>
      <c r="T114" t="s">
        <v>2711</v>
      </c>
      <c r="U114" t="s">
        <v>2712</v>
      </c>
      <c r="V114" t="s">
        <v>2713</v>
      </c>
      <c r="W114" t="s">
        <v>2714</v>
      </c>
      <c r="X114" t="s">
        <v>2715</v>
      </c>
      <c r="Y114" t="s">
        <v>2716</v>
      </c>
    </row>
    <row r="115" spans="1:25" x14ac:dyDescent="0.3">
      <c r="A115">
        <v>5700</v>
      </c>
      <c r="B115" t="s">
        <v>2717</v>
      </c>
      <c r="C115" t="s">
        <v>2718</v>
      </c>
      <c r="D115" t="s">
        <v>2719</v>
      </c>
      <c r="E115" t="s">
        <v>2720</v>
      </c>
      <c r="F115" t="s">
        <v>2721</v>
      </c>
      <c r="G115" t="s">
        <v>2722</v>
      </c>
      <c r="H115" t="s">
        <v>2723</v>
      </c>
      <c r="I115" t="s">
        <v>2724</v>
      </c>
      <c r="J115" t="s">
        <v>2725</v>
      </c>
      <c r="K115" t="s">
        <v>2726</v>
      </c>
      <c r="L115" t="s">
        <v>2727</v>
      </c>
      <c r="M115" t="s">
        <v>2728</v>
      </c>
      <c r="N115" t="s">
        <v>2729</v>
      </c>
      <c r="O115" t="s">
        <v>2730</v>
      </c>
      <c r="P115" t="s">
        <v>2731</v>
      </c>
      <c r="Q115" t="s">
        <v>2732</v>
      </c>
      <c r="R115" t="s">
        <v>2733</v>
      </c>
      <c r="S115" t="s">
        <v>2734</v>
      </c>
      <c r="T115" t="s">
        <v>2735</v>
      </c>
      <c r="U115" t="s">
        <v>2736</v>
      </c>
      <c r="V115" t="s">
        <v>2737</v>
      </c>
      <c r="W115" t="s">
        <v>2738</v>
      </c>
      <c r="X115" t="s">
        <v>2739</v>
      </c>
      <c r="Y115" t="s">
        <v>2740</v>
      </c>
    </row>
    <row r="116" spans="1:25" x14ac:dyDescent="0.3">
      <c r="A116">
        <v>5750</v>
      </c>
      <c r="B116" t="s">
        <v>2741</v>
      </c>
      <c r="C116" t="s">
        <v>2742</v>
      </c>
      <c r="D116" t="s">
        <v>2743</v>
      </c>
      <c r="E116" t="s">
        <v>2744</v>
      </c>
      <c r="F116" t="s">
        <v>2745</v>
      </c>
      <c r="G116" t="s">
        <v>2746</v>
      </c>
      <c r="H116" t="s">
        <v>2747</v>
      </c>
      <c r="I116" t="s">
        <v>2748</v>
      </c>
      <c r="J116" t="s">
        <v>2749</v>
      </c>
      <c r="K116" t="s">
        <v>2750</v>
      </c>
      <c r="L116" t="s">
        <v>2751</v>
      </c>
      <c r="M116" t="s">
        <v>2752</v>
      </c>
      <c r="N116" t="s">
        <v>2753</v>
      </c>
      <c r="O116" t="s">
        <v>2754</v>
      </c>
      <c r="P116" t="s">
        <v>2755</v>
      </c>
      <c r="Q116" t="s">
        <v>2756</v>
      </c>
      <c r="R116" t="s">
        <v>2757</v>
      </c>
      <c r="S116" t="s">
        <v>2758</v>
      </c>
      <c r="T116" t="s">
        <v>2759</v>
      </c>
      <c r="U116" t="s">
        <v>2760</v>
      </c>
      <c r="V116" t="s">
        <v>2761</v>
      </c>
      <c r="W116" t="s">
        <v>2762</v>
      </c>
      <c r="X116" t="s">
        <v>2763</v>
      </c>
      <c r="Y116" t="s">
        <v>2764</v>
      </c>
    </row>
    <row r="117" spans="1:25" x14ac:dyDescent="0.3">
      <c r="A117">
        <v>5800</v>
      </c>
      <c r="B117" t="s">
        <v>2765</v>
      </c>
      <c r="C117" t="s">
        <v>2766</v>
      </c>
      <c r="D117" t="s">
        <v>2767</v>
      </c>
      <c r="E117" t="s">
        <v>2768</v>
      </c>
      <c r="F117" t="s">
        <v>2769</v>
      </c>
      <c r="G117" t="s">
        <v>2770</v>
      </c>
      <c r="H117" t="s">
        <v>2771</v>
      </c>
      <c r="I117" t="s">
        <v>2772</v>
      </c>
      <c r="J117" t="s">
        <v>2773</v>
      </c>
      <c r="K117" t="s">
        <v>2774</v>
      </c>
      <c r="L117" t="s">
        <v>2775</v>
      </c>
      <c r="M117" t="s">
        <v>2776</v>
      </c>
      <c r="N117" t="s">
        <v>2777</v>
      </c>
      <c r="O117" t="s">
        <v>2778</v>
      </c>
      <c r="P117" t="s">
        <v>2779</v>
      </c>
      <c r="Q117" t="s">
        <v>2780</v>
      </c>
      <c r="R117" t="s">
        <v>2781</v>
      </c>
      <c r="S117" t="s">
        <v>2782</v>
      </c>
      <c r="T117" t="s">
        <v>2783</v>
      </c>
      <c r="U117" t="s">
        <v>2784</v>
      </c>
      <c r="V117" t="s">
        <v>2785</v>
      </c>
      <c r="W117" t="s">
        <v>2786</v>
      </c>
      <c r="X117" t="s">
        <v>2787</v>
      </c>
      <c r="Y117" t="s">
        <v>2788</v>
      </c>
    </row>
    <row r="118" spans="1:25" x14ac:dyDescent="0.3">
      <c r="A118">
        <v>5850</v>
      </c>
      <c r="B118" t="s">
        <v>2789</v>
      </c>
      <c r="C118" t="s">
        <v>2790</v>
      </c>
      <c r="D118" t="s">
        <v>2791</v>
      </c>
      <c r="E118" t="s">
        <v>2792</v>
      </c>
      <c r="F118" t="s">
        <v>2793</v>
      </c>
      <c r="G118" t="s">
        <v>2794</v>
      </c>
      <c r="H118" t="s">
        <v>2795</v>
      </c>
      <c r="I118" t="s">
        <v>2796</v>
      </c>
      <c r="J118" t="s">
        <v>2797</v>
      </c>
      <c r="K118" t="s">
        <v>2798</v>
      </c>
      <c r="L118" t="s">
        <v>2799</v>
      </c>
      <c r="M118" t="s">
        <v>2800</v>
      </c>
      <c r="N118" t="s">
        <v>2801</v>
      </c>
      <c r="O118" t="s">
        <v>2802</v>
      </c>
      <c r="P118" t="s">
        <v>2803</v>
      </c>
      <c r="Q118" t="s">
        <v>2804</v>
      </c>
      <c r="R118" t="s">
        <v>2805</v>
      </c>
      <c r="S118" t="s">
        <v>2806</v>
      </c>
      <c r="T118" t="s">
        <v>2807</v>
      </c>
      <c r="U118" t="s">
        <v>2808</v>
      </c>
      <c r="V118" t="s">
        <v>2809</v>
      </c>
      <c r="W118" t="s">
        <v>2810</v>
      </c>
      <c r="X118" t="s">
        <v>2811</v>
      </c>
      <c r="Y118" t="s">
        <v>2812</v>
      </c>
    </row>
    <row r="119" spans="1:25" x14ac:dyDescent="0.3">
      <c r="A119">
        <v>5900</v>
      </c>
      <c r="B119" t="s">
        <v>2813</v>
      </c>
      <c r="C119" t="s">
        <v>2814</v>
      </c>
      <c r="D119" t="s">
        <v>2815</v>
      </c>
      <c r="E119" t="s">
        <v>2816</v>
      </c>
      <c r="F119" t="s">
        <v>2817</v>
      </c>
      <c r="G119" t="s">
        <v>2818</v>
      </c>
      <c r="H119" t="s">
        <v>2819</v>
      </c>
      <c r="I119" t="s">
        <v>2820</v>
      </c>
      <c r="J119" t="s">
        <v>2821</v>
      </c>
      <c r="K119" t="s">
        <v>2822</v>
      </c>
      <c r="L119" t="s">
        <v>2823</v>
      </c>
      <c r="M119" t="s">
        <v>2824</v>
      </c>
      <c r="N119" t="s">
        <v>2825</v>
      </c>
      <c r="O119" t="s">
        <v>2826</v>
      </c>
      <c r="P119" t="s">
        <v>2827</v>
      </c>
      <c r="Q119" t="s">
        <v>2828</v>
      </c>
      <c r="R119" t="s">
        <v>2829</v>
      </c>
      <c r="S119" t="s">
        <v>2830</v>
      </c>
      <c r="T119" t="s">
        <v>2831</v>
      </c>
      <c r="U119" t="s">
        <v>2832</v>
      </c>
      <c r="V119" t="s">
        <v>2833</v>
      </c>
      <c r="W119" t="s">
        <v>2834</v>
      </c>
      <c r="X119" t="s">
        <v>2835</v>
      </c>
      <c r="Y119" t="s">
        <v>2836</v>
      </c>
    </row>
    <row r="120" spans="1:25" x14ac:dyDescent="0.3">
      <c r="A120">
        <v>5950</v>
      </c>
      <c r="B120" t="s">
        <v>2837</v>
      </c>
      <c r="C120" t="s">
        <v>2838</v>
      </c>
      <c r="D120" t="s">
        <v>2839</v>
      </c>
      <c r="E120" t="s">
        <v>2840</v>
      </c>
      <c r="F120" t="s">
        <v>2841</v>
      </c>
      <c r="G120" t="s">
        <v>2842</v>
      </c>
      <c r="H120" t="s">
        <v>2843</v>
      </c>
      <c r="I120" t="s">
        <v>2844</v>
      </c>
      <c r="J120" t="s">
        <v>2845</v>
      </c>
      <c r="K120" t="s">
        <v>2846</v>
      </c>
      <c r="L120" t="s">
        <v>2847</v>
      </c>
      <c r="M120" t="s">
        <v>2848</v>
      </c>
      <c r="N120" t="s">
        <v>2849</v>
      </c>
      <c r="O120" t="s">
        <v>2850</v>
      </c>
      <c r="P120" t="s">
        <v>2851</v>
      </c>
      <c r="Q120" t="s">
        <v>2852</v>
      </c>
      <c r="R120" t="s">
        <v>2853</v>
      </c>
      <c r="S120" t="s">
        <v>2854</v>
      </c>
      <c r="T120" t="s">
        <v>2855</v>
      </c>
      <c r="U120" t="s">
        <v>2856</v>
      </c>
      <c r="V120" t="s">
        <v>2857</v>
      </c>
      <c r="W120" t="s">
        <v>2858</v>
      </c>
      <c r="X120" t="s">
        <v>2859</v>
      </c>
      <c r="Y120" t="s">
        <v>2860</v>
      </c>
    </row>
    <row r="121" spans="1:25" x14ac:dyDescent="0.3">
      <c r="A121">
        <v>6000</v>
      </c>
      <c r="B121" t="s">
        <v>2861</v>
      </c>
      <c r="C121" t="s">
        <v>2862</v>
      </c>
      <c r="D121" t="s">
        <v>2863</v>
      </c>
      <c r="E121" t="s">
        <v>2864</v>
      </c>
      <c r="F121" t="s">
        <v>2865</v>
      </c>
      <c r="G121" t="s">
        <v>2866</v>
      </c>
      <c r="H121" t="s">
        <v>2867</v>
      </c>
      <c r="I121" t="s">
        <v>2868</v>
      </c>
      <c r="J121" t="s">
        <v>2869</v>
      </c>
      <c r="K121" t="s">
        <v>2870</v>
      </c>
      <c r="L121" t="s">
        <v>2871</v>
      </c>
      <c r="M121" t="s">
        <v>2872</v>
      </c>
      <c r="N121" t="s">
        <v>2873</v>
      </c>
      <c r="O121" t="s">
        <v>2874</v>
      </c>
      <c r="P121" t="s">
        <v>2875</v>
      </c>
      <c r="Q121" t="s">
        <v>2876</v>
      </c>
      <c r="R121" t="s">
        <v>2877</v>
      </c>
      <c r="S121" t="s">
        <v>2878</v>
      </c>
      <c r="T121" t="s">
        <v>2879</v>
      </c>
      <c r="U121" t="s">
        <v>2880</v>
      </c>
      <c r="V121" t="s">
        <v>2881</v>
      </c>
      <c r="W121" t="s">
        <v>2882</v>
      </c>
      <c r="X121" t="s">
        <v>2883</v>
      </c>
      <c r="Y121" t="s">
        <v>2884</v>
      </c>
    </row>
    <row r="122" spans="1:25" x14ac:dyDescent="0.3">
      <c r="A122">
        <v>6050</v>
      </c>
      <c r="B122" t="s">
        <v>2885</v>
      </c>
      <c r="C122" t="s">
        <v>2886</v>
      </c>
      <c r="D122" t="s">
        <v>2887</v>
      </c>
      <c r="E122" t="s">
        <v>2888</v>
      </c>
      <c r="F122" t="s">
        <v>2889</v>
      </c>
      <c r="G122" t="s">
        <v>2890</v>
      </c>
      <c r="H122" t="s">
        <v>2891</v>
      </c>
      <c r="I122" t="s">
        <v>2892</v>
      </c>
      <c r="J122" t="s">
        <v>2893</v>
      </c>
      <c r="K122" t="s">
        <v>2894</v>
      </c>
      <c r="L122" t="s">
        <v>2895</v>
      </c>
      <c r="M122" t="s">
        <v>2896</v>
      </c>
      <c r="N122" t="s">
        <v>2897</v>
      </c>
      <c r="O122" t="s">
        <v>2898</v>
      </c>
      <c r="P122" t="s">
        <v>2899</v>
      </c>
      <c r="Q122" t="s">
        <v>2900</v>
      </c>
      <c r="R122" t="s">
        <v>2901</v>
      </c>
      <c r="S122" t="s">
        <v>2902</v>
      </c>
      <c r="T122" t="s">
        <v>2903</v>
      </c>
      <c r="U122" t="s">
        <v>2904</v>
      </c>
      <c r="V122" t="s">
        <v>2905</v>
      </c>
      <c r="W122" t="s">
        <v>2906</v>
      </c>
      <c r="X122" t="s">
        <v>2907</v>
      </c>
      <c r="Y122" t="s">
        <v>2908</v>
      </c>
    </row>
    <row r="123" spans="1:25" x14ac:dyDescent="0.3">
      <c r="A123">
        <v>6100</v>
      </c>
      <c r="B123" t="s">
        <v>2909</v>
      </c>
      <c r="C123" t="s">
        <v>2910</v>
      </c>
      <c r="D123" t="s">
        <v>2911</v>
      </c>
      <c r="E123" t="s">
        <v>2912</v>
      </c>
      <c r="F123" t="s">
        <v>2913</v>
      </c>
      <c r="G123" t="s">
        <v>2914</v>
      </c>
      <c r="H123" t="s">
        <v>2915</v>
      </c>
      <c r="I123" t="s">
        <v>2916</v>
      </c>
      <c r="J123" t="s">
        <v>2917</v>
      </c>
      <c r="K123" t="s">
        <v>2918</v>
      </c>
      <c r="L123" t="s">
        <v>2919</v>
      </c>
      <c r="M123" t="s">
        <v>2920</v>
      </c>
      <c r="N123" t="s">
        <v>2921</v>
      </c>
      <c r="O123" t="s">
        <v>2922</v>
      </c>
      <c r="P123" t="s">
        <v>2923</v>
      </c>
      <c r="Q123" t="s">
        <v>2924</v>
      </c>
      <c r="R123" t="s">
        <v>2925</v>
      </c>
      <c r="S123" t="s">
        <v>2926</v>
      </c>
      <c r="T123" t="s">
        <v>2927</v>
      </c>
      <c r="U123" t="s">
        <v>2928</v>
      </c>
      <c r="V123" t="s">
        <v>2929</v>
      </c>
      <c r="W123" t="s">
        <v>2930</v>
      </c>
      <c r="X123" t="s">
        <v>2931</v>
      </c>
      <c r="Y123" t="s">
        <v>2932</v>
      </c>
    </row>
    <row r="124" spans="1:25" x14ac:dyDescent="0.3">
      <c r="A124">
        <v>6150</v>
      </c>
      <c r="B124" t="s">
        <v>2933</v>
      </c>
      <c r="C124" t="s">
        <v>2934</v>
      </c>
      <c r="D124" t="s">
        <v>2935</v>
      </c>
      <c r="E124" t="s">
        <v>2936</v>
      </c>
      <c r="F124" t="s">
        <v>2937</v>
      </c>
      <c r="G124" t="s">
        <v>2938</v>
      </c>
      <c r="H124" t="s">
        <v>2939</v>
      </c>
      <c r="I124" t="s">
        <v>2940</v>
      </c>
      <c r="J124" t="s">
        <v>2941</v>
      </c>
      <c r="K124" t="s">
        <v>2942</v>
      </c>
      <c r="L124" t="s">
        <v>2943</v>
      </c>
      <c r="M124" t="s">
        <v>2944</v>
      </c>
      <c r="N124" t="s">
        <v>2945</v>
      </c>
      <c r="O124" t="s">
        <v>2946</v>
      </c>
      <c r="P124" t="s">
        <v>2947</v>
      </c>
      <c r="Q124" t="s">
        <v>2948</v>
      </c>
      <c r="R124" t="s">
        <v>2949</v>
      </c>
      <c r="S124" t="s">
        <v>2950</v>
      </c>
      <c r="T124" t="s">
        <v>2951</v>
      </c>
      <c r="U124" t="s">
        <v>2952</v>
      </c>
      <c r="V124" t="s">
        <v>2953</v>
      </c>
      <c r="W124" t="s">
        <v>2954</v>
      </c>
      <c r="X124" t="s">
        <v>2955</v>
      </c>
      <c r="Y124" t="s">
        <v>2956</v>
      </c>
    </row>
    <row r="125" spans="1:25" x14ac:dyDescent="0.3">
      <c r="A125">
        <v>6200</v>
      </c>
      <c r="B125" t="s">
        <v>2957</v>
      </c>
      <c r="C125" t="s">
        <v>2958</v>
      </c>
      <c r="D125" t="s">
        <v>2959</v>
      </c>
      <c r="E125" t="s">
        <v>2960</v>
      </c>
      <c r="F125" t="s">
        <v>2961</v>
      </c>
      <c r="G125" t="s">
        <v>2962</v>
      </c>
      <c r="H125" t="s">
        <v>2963</v>
      </c>
      <c r="I125" t="s">
        <v>2964</v>
      </c>
      <c r="J125" t="s">
        <v>2965</v>
      </c>
      <c r="K125" t="s">
        <v>2966</v>
      </c>
      <c r="L125" t="s">
        <v>2967</v>
      </c>
      <c r="M125" t="s">
        <v>2968</v>
      </c>
      <c r="N125" t="s">
        <v>2969</v>
      </c>
      <c r="O125" t="s">
        <v>2970</v>
      </c>
      <c r="P125" t="s">
        <v>2971</v>
      </c>
      <c r="Q125" t="s">
        <v>2972</v>
      </c>
      <c r="R125" t="s">
        <v>2973</v>
      </c>
      <c r="S125" t="s">
        <v>2974</v>
      </c>
      <c r="T125" t="s">
        <v>2975</v>
      </c>
      <c r="U125" t="s">
        <v>2976</v>
      </c>
      <c r="V125" t="s">
        <v>2977</v>
      </c>
      <c r="W125" t="s">
        <v>2978</v>
      </c>
      <c r="X125" t="s">
        <v>2979</v>
      </c>
      <c r="Y125" t="s">
        <v>2980</v>
      </c>
    </row>
    <row r="126" spans="1:25" x14ac:dyDescent="0.3">
      <c r="A126">
        <v>6250</v>
      </c>
      <c r="B126" t="s">
        <v>2981</v>
      </c>
      <c r="C126" t="s">
        <v>2982</v>
      </c>
      <c r="D126" t="s">
        <v>2983</v>
      </c>
      <c r="E126" t="s">
        <v>2984</v>
      </c>
      <c r="F126" t="s">
        <v>2985</v>
      </c>
      <c r="G126" t="s">
        <v>2986</v>
      </c>
      <c r="H126" t="s">
        <v>2987</v>
      </c>
      <c r="I126" t="s">
        <v>2988</v>
      </c>
      <c r="J126" t="s">
        <v>2989</v>
      </c>
      <c r="K126" t="s">
        <v>2990</v>
      </c>
      <c r="L126" t="s">
        <v>2991</v>
      </c>
      <c r="M126" t="s">
        <v>2992</v>
      </c>
      <c r="N126" t="s">
        <v>2993</v>
      </c>
      <c r="O126" t="s">
        <v>2994</v>
      </c>
      <c r="P126" t="s">
        <v>2995</v>
      </c>
      <c r="Q126" t="s">
        <v>2996</v>
      </c>
      <c r="R126" t="s">
        <v>2997</v>
      </c>
      <c r="S126" t="s">
        <v>2998</v>
      </c>
      <c r="T126" t="s">
        <v>2999</v>
      </c>
      <c r="U126" t="s">
        <v>3000</v>
      </c>
      <c r="V126" t="s">
        <v>3001</v>
      </c>
      <c r="W126" t="s">
        <v>3002</v>
      </c>
      <c r="X126" t="s">
        <v>3003</v>
      </c>
      <c r="Y126" t="s">
        <v>3004</v>
      </c>
    </row>
    <row r="127" spans="1:25" x14ac:dyDescent="0.3">
      <c r="A127">
        <v>6300</v>
      </c>
      <c r="B127" t="s">
        <v>3005</v>
      </c>
      <c r="C127" t="s">
        <v>3006</v>
      </c>
      <c r="D127" t="s">
        <v>3007</v>
      </c>
      <c r="E127" t="s">
        <v>3008</v>
      </c>
      <c r="F127" t="s">
        <v>3009</v>
      </c>
      <c r="G127" t="s">
        <v>3010</v>
      </c>
      <c r="H127" t="s">
        <v>3011</v>
      </c>
      <c r="I127" t="s">
        <v>3012</v>
      </c>
      <c r="J127" t="s">
        <v>3013</v>
      </c>
      <c r="K127" t="s">
        <v>3014</v>
      </c>
      <c r="L127" t="s">
        <v>3015</v>
      </c>
      <c r="M127" t="s">
        <v>3016</v>
      </c>
      <c r="N127" t="s">
        <v>3017</v>
      </c>
      <c r="O127" t="s">
        <v>3018</v>
      </c>
      <c r="P127" t="s">
        <v>3019</v>
      </c>
      <c r="Q127" t="s">
        <v>3020</v>
      </c>
      <c r="R127" t="s">
        <v>3021</v>
      </c>
      <c r="S127" t="s">
        <v>3022</v>
      </c>
      <c r="T127" t="s">
        <v>3023</v>
      </c>
      <c r="U127" t="s">
        <v>3024</v>
      </c>
      <c r="V127" t="s">
        <v>3025</v>
      </c>
      <c r="W127" t="s">
        <v>3026</v>
      </c>
      <c r="X127" t="s">
        <v>3027</v>
      </c>
      <c r="Y127" t="s">
        <v>3028</v>
      </c>
    </row>
    <row r="128" spans="1:25" x14ac:dyDescent="0.3">
      <c r="A128">
        <v>6350</v>
      </c>
      <c r="B128" t="s">
        <v>3029</v>
      </c>
      <c r="C128" t="s">
        <v>3030</v>
      </c>
      <c r="D128" t="s">
        <v>3031</v>
      </c>
      <c r="E128" t="s">
        <v>3032</v>
      </c>
      <c r="F128" t="s">
        <v>3033</v>
      </c>
      <c r="G128" t="s">
        <v>3034</v>
      </c>
      <c r="H128" t="s">
        <v>3035</v>
      </c>
      <c r="I128" t="s">
        <v>3036</v>
      </c>
      <c r="J128" t="s">
        <v>3037</v>
      </c>
      <c r="K128" t="s">
        <v>3038</v>
      </c>
      <c r="L128" t="s">
        <v>3039</v>
      </c>
      <c r="M128" t="s">
        <v>3040</v>
      </c>
      <c r="N128" t="s">
        <v>3041</v>
      </c>
      <c r="O128" t="s">
        <v>3042</v>
      </c>
      <c r="P128" t="s">
        <v>3043</v>
      </c>
      <c r="Q128" t="s">
        <v>3044</v>
      </c>
      <c r="R128" t="s">
        <v>3045</v>
      </c>
      <c r="S128" t="s">
        <v>3046</v>
      </c>
      <c r="T128" t="s">
        <v>3047</v>
      </c>
      <c r="U128" t="s">
        <v>3048</v>
      </c>
      <c r="V128" t="s">
        <v>3049</v>
      </c>
      <c r="W128" t="s">
        <v>3050</v>
      </c>
      <c r="X128" t="s">
        <v>3051</v>
      </c>
      <c r="Y128" t="s">
        <v>3052</v>
      </c>
    </row>
    <row r="129" spans="1:25" x14ac:dyDescent="0.3">
      <c r="A129">
        <v>6400</v>
      </c>
      <c r="B129" t="s">
        <v>3053</v>
      </c>
      <c r="C129" t="s">
        <v>3054</v>
      </c>
      <c r="D129" t="s">
        <v>3055</v>
      </c>
      <c r="E129" t="s">
        <v>3056</v>
      </c>
      <c r="F129" t="s">
        <v>3057</v>
      </c>
      <c r="G129" t="s">
        <v>3058</v>
      </c>
      <c r="H129" t="s">
        <v>3059</v>
      </c>
      <c r="I129" t="s">
        <v>3060</v>
      </c>
      <c r="J129" t="s">
        <v>3061</v>
      </c>
      <c r="K129" t="s">
        <v>3062</v>
      </c>
      <c r="L129" t="s">
        <v>3063</v>
      </c>
      <c r="M129" t="s">
        <v>3064</v>
      </c>
      <c r="N129" t="s">
        <v>3065</v>
      </c>
      <c r="O129" t="s">
        <v>3066</v>
      </c>
      <c r="P129" t="s">
        <v>3067</v>
      </c>
      <c r="Q129" t="s">
        <v>3068</v>
      </c>
      <c r="R129" t="s">
        <v>3069</v>
      </c>
      <c r="S129" t="s">
        <v>3070</v>
      </c>
      <c r="T129" t="s">
        <v>3071</v>
      </c>
      <c r="U129" t="s">
        <v>3072</v>
      </c>
      <c r="V129" t="s">
        <v>3073</v>
      </c>
      <c r="W129" t="s">
        <v>3074</v>
      </c>
      <c r="X129" t="s">
        <v>3075</v>
      </c>
      <c r="Y129" t="s">
        <v>3076</v>
      </c>
    </row>
    <row r="130" spans="1:25" x14ac:dyDescent="0.3">
      <c r="A130">
        <v>6450</v>
      </c>
      <c r="B130" t="s">
        <v>3077</v>
      </c>
      <c r="C130" t="s">
        <v>3078</v>
      </c>
      <c r="D130" t="s">
        <v>3079</v>
      </c>
      <c r="E130" t="s">
        <v>3080</v>
      </c>
      <c r="F130" t="s">
        <v>3081</v>
      </c>
      <c r="G130" t="s">
        <v>3082</v>
      </c>
      <c r="H130" t="s">
        <v>3083</v>
      </c>
      <c r="I130" t="s">
        <v>3084</v>
      </c>
      <c r="J130" t="s">
        <v>3085</v>
      </c>
      <c r="K130" t="s">
        <v>3086</v>
      </c>
      <c r="L130" t="s">
        <v>3087</v>
      </c>
      <c r="M130" t="s">
        <v>3088</v>
      </c>
      <c r="N130" t="s">
        <v>3089</v>
      </c>
      <c r="O130" t="s">
        <v>3090</v>
      </c>
      <c r="P130" t="s">
        <v>3091</v>
      </c>
      <c r="Q130" t="s">
        <v>3092</v>
      </c>
      <c r="R130" t="s">
        <v>3093</v>
      </c>
      <c r="S130" t="s">
        <v>3094</v>
      </c>
      <c r="T130" t="s">
        <v>3095</v>
      </c>
      <c r="U130" t="s">
        <v>3096</v>
      </c>
      <c r="V130" t="s">
        <v>3097</v>
      </c>
      <c r="W130" t="s">
        <v>3098</v>
      </c>
      <c r="X130" t="s">
        <v>3099</v>
      </c>
      <c r="Y130" t="s">
        <v>3100</v>
      </c>
    </row>
    <row r="131" spans="1:25" x14ac:dyDescent="0.3">
      <c r="A131">
        <v>6500</v>
      </c>
      <c r="B131" t="s">
        <v>3101</v>
      </c>
      <c r="C131" t="s">
        <v>3102</v>
      </c>
      <c r="D131" t="s">
        <v>3103</v>
      </c>
      <c r="E131" t="s">
        <v>3104</v>
      </c>
      <c r="F131" t="s">
        <v>3105</v>
      </c>
      <c r="G131" t="s">
        <v>3106</v>
      </c>
      <c r="H131" t="s">
        <v>3107</v>
      </c>
      <c r="I131" t="s">
        <v>3108</v>
      </c>
      <c r="J131" t="s">
        <v>3109</v>
      </c>
      <c r="K131" t="s">
        <v>3110</v>
      </c>
      <c r="L131" t="s">
        <v>3111</v>
      </c>
      <c r="M131" t="s">
        <v>3112</v>
      </c>
      <c r="N131" t="s">
        <v>3113</v>
      </c>
      <c r="O131" t="s">
        <v>3114</v>
      </c>
      <c r="P131" t="s">
        <v>3115</v>
      </c>
      <c r="Q131" t="s">
        <v>3116</v>
      </c>
      <c r="R131" t="s">
        <v>3117</v>
      </c>
      <c r="S131" t="s">
        <v>3118</v>
      </c>
      <c r="T131" t="s">
        <v>3119</v>
      </c>
      <c r="U131" t="s">
        <v>3120</v>
      </c>
      <c r="V131" t="s">
        <v>3121</v>
      </c>
      <c r="W131" t="s">
        <v>3122</v>
      </c>
      <c r="X131" t="s">
        <v>3123</v>
      </c>
      <c r="Y131" t="s">
        <v>3124</v>
      </c>
    </row>
    <row r="132" spans="1:25" x14ac:dyDescent="0.3">
      <c r="A132">
        <v>6550</v>
      </c>
      <c r="B132" t="s">
        <v>3125</v>
      </c>
      <c r="C132" t="s">
        <v>3126</v>
      </c>
      <c r="D132" t="s">
        <v>3127</v>
      </c>
      <c r="E132" t="s">
        <v>3128</v>
      </c>
      <c r="F132" t="s">
        <v>3129</v>
      </c>
      <c r="G132" t="s">
        <v>3130</v>
      </c>
      <c r="H132" t="s">
        <v>3131</v>
      </c>
      <c r="I132" t="s">
        <v>3132</v>
      </c>
      <c r="J132" t="s">
        <v>3133</v>
      </c>
      <c r="K132" t="s">
        <v>3134</v>
      </c>
      <c r="L132" t="s">
        <v>3135</v>
      </c>
      <c r="M132" t="s">
        <v>3136</v>
      </c>
      <c r="N132" t="s">
        <v>3137</v>
      </c>
      <c r="O132" t="s">
        <v>3138</v>
      </c>
      <c r="P132" t="s">
        <v>3139</v>
      </c>
      <c r="Q132" t="s">
        <v>3140</v>
      </c>
      <c r="R132" t="s">
        <v>3141</v>
      </c>
      <c r="S132" t="s">
        <v>3142</v>
      </c>
      <c r="T132" t="s">
        <v>3143</v>
      </c>
      <c r="U132" t="s">
        <v>3144</v>
      </c>
      <c r="V132" t="s">
        <v>3145</v>
      </c>
      <c r="W132" t="s">
        <v>3146</v>
      </c>
      <c r="X132" t="s">
        <v>3147</v>
      </c>
      <c r="Y132" t="s">
        <v>3148</v>
      </c>
    </row>
    <row r="133" spans="1:25" x14ac:dyDescent="0.3">
      <c r="A133">
        <v>6600</v>
      </c>
      <c r="B133" t="s">
        <v>3149</v>
      </c>
      <c r="C133" t="s">
        <v>3150</v>
      </c>
      <c r="D133" t="s">
        <v>3151</v>
      </c>
      <c r="E133" t="s">
        <v>3152</v>
      </c>
      <c r="F133" t="s">
        <v>3153</v>
      </c>
      <c r="G133" t="s">
        <v>3154</v>
      </c>
      <c r="H133" t="s">
        <v>3155</v>
      </c>
      <c r="I133" t="s">
        <v>3156</v>
      </c>
      <c r="J133" t="s">
        <v>3157</v>
      </c>
      <c r="K133" t="s">
        <v>3158</v>
      </c>
      <c r="L133" t="s">
        <v>3159</v>
      </c>
      <c r="M133" t="s">
        <v>3160</v>
      </c>
      <c r="N133" t="s">
        <v>3161</v>
      </c>
      <c r="O133" t="s">
        <v>3162</v>
      </c>
      <c r="P133" t="s">
        <v>3163</v>
      </c>
      <c r="Q133" t="s">
        <v>3164</v>
      </c>
      <c r="R133" t="s">
        <v>3165</v>
      </c>
      <c r="S133" t="s">
        <v>3166</v>
      </c>
      <c r="T133" t="s">
        <v>3167</v>
      </c>
      <c r="U133" t="s">
        <v>3168</v>
      </c>
      <c r="V133" t="s">
        <v>3169</v>
      </c>
      <c r="W133" t="s">
        <v>3170</v>
      </c>
      <c r="X133" t="s">
        <v>3171</v>
      </c>
      <c r="Y133" t="s">
        <v>3172</v>
      </c>
    </row>
    <row r="134" spans="1:25" x14ac:dyDescent="0.3">
      <c r="A134">
        <v>6650</v>
      </c>
      <c r="B134" t="s">
        <v>3173</v>
      </c>
      <c r="C134" t="s">
        <v>3174</v>
      </c>
      <c r="D134" t="s">
        <v>3175</v>
      </c>
      <c r="E134" t="s">
        <v>3176</v>
      </c>
      <c r="F134" t="s">
        <v>3177</v>
      </c>
      <c r="G134" t="s">
        <v>3178</v>
      </c>
      <c r="H134" t="s">
        <v>3179</v>
      </c>
      <c r="I134" t="s">
        <v>3180</v>
      </c>
      <c r="J134" t="s">
        <v>3181</v>
      </c>
      <c r="K134" t="s">
        <v>3182</v>
      </c>
      <c r="L134" t="s">
        <v>3183</v>
      </c>
      <c r="M134" t="s">
        <v>3184</v>
      </c>
      <c r="N134" t="s">
        <v>3185</v>
      </c>
      <c r="O134" t="s">
        <v>3186</v>
      </c>
      <c r="P134" t="s">
        <v>3187</v>
      </c>
      <c r="Q134" t="s">
        <v>3188</v>
      </c>
      <c r="R134" t="s">
        <v>3189</v>
      </c>
      <c r="S134" t="s">
        <v>3190</v>
      </c>
      <c r="T134" t="s">
        <v>3191</v>
      </c>
      <c r="U134" t="s">
        <v>3192</v>
      </c>
      <c r="V134" t="s">
        <v>3193</v>
      </c>
      <c r="W134" t="s">
        <v>3194</v>
      </c>
      <c r="X134" t="s">
        <v>3195</v>
      </c>
      <c r="Y134" t="s">
        <v>3196</v>
      </c>
    </row>
    <row r="135" spans="1:25" x14ac:dyDescent="0.3">
      <c r="A135">
        <v>6700</v>
      </c>
      <c r="B135" t="s">
        <v>3197</v>
      </c>
      <c r="C135" t="s">
        <v>3198</v>
      </c>
      <c r="D135" t="s">
        <v>3199</v>
      </c>
      <c r="E135" t="s">
        <v>3200</v>
      </c>
      <c r="F135" t="s">
        <v>3201</v>
      </c>
      <c r="G135" t="s">
        <v>3202</v>
      </c>
      <c r="H135" t="s">
        <v>3203</v>
      </c>
      <c r="I135" t="s">
        <v>3204</v>
      </c>
      <c r="J135" t="s">
        <v>3205</v>
      </c>
      <c r="K135" t="s">
        <v>3206</v>
      </c>
      <c r="L135" t="s">
        <v>3207</v>
      </c>
      <c r="M135" t="s">
        <v>3208</v>
      </c>
      <c r="N135" t="s">
        <v>3209</v>
      </c>
      <c r="O135" t="s">
        <v>3210</v>
      </c>
      <c r="P135" t="s">
        <v>3211</v>
      </c>
      <c r="Q135" t="s">
        <v>3212</v>
      </c>
      <c r="R135" t="s">
        <v>3213</v>
      </c>
      <c r="S135" t="s">
        <v>3214</v>
      </c>
      <c r="T135" t="s">
        <v>3215</v>
      </c>
      <c r="U135" t="s">
        <v>3216</v>
      </c>
      <c r="V135" t="s">
        <v>3217</v>
      </c>
      <c r="W135" t="s">
        <v>3218</v>
      </c>
      <c r="X135" t="s">
        <v>3219</v>
      </c>
      <c r="Y135" t="s">
        <v>3220</v>
      </c>
    </row>
    <row r="136" spans="1:25" x14ac:dyDescent="0.3">
      <c r="A136">
        <v>6750</v>
      </c>
      <c r="B136" t="s">
        <v>3221</v>
      </c>
      <c r="C136" t="s">
        <v>3222</v>
      </c>
      <c r="D136" t="s">
        <v>3223</v>
      </c>
      <c r="E136" t="s">
        <v>3224</v>
      </c>
      <c r="F136" t="s">
        <v>3225</v>
      </c>
      <c r="G136" t="s">
        <v>3226</v>
      </c>
      <c r="H136" t="s">
        <v>3227</v>
      </c>
      <c r="I136" t="s">
        <v>3228</v>
      </c>
      <c r="J136" t="s">
        <v>3229</v>
      </c>
      <c r="K136" t="s">
        <v>3230</v>
      </c>
      <c r="L136" t="s">
        <v>3231</v>
      </c>
      <c r="M136" t="s">
        <v>3232</v>
      </c>
      <c r="N136" t="s">
        <v>3233</v>
      </c>
      <c r="O136" t="s">
        <v>3234</v>
      </c>
      <c r="P136" t="s">
        <v>3235</v>
      </c>
      <c r="Q136" t="s">
        <v>3236</v>
      </c>
      <c r="R136" t="s">
        <v>3237</v>
      </c>
      <c r="S136" t="s">
        <v>3238</v>
      </c>
      <c r="T136" t="s">
        <v>3239</v>
      </c>
      <c r="U136" t="s">
        <v>3240</v>
      </c>
      <c r="V136" t="s">
        <v>3241</v>
      </c>
      <c r="W136" t="s">
        <v>3242</v>
      </c>
      <c r="X136" t="s">
        <v>3243</v>
      </c>
      <c r="Y136" t="s">
        <v>3244</v>
      </c>
    </row>
    <row r="137" spans="1:25" x14ac:dyDescent="0.3">
      <c r="A137">
        <v>6800</v>
      </c>
      <c r="B137" t="s">
        <v>3245</v>
      </c>
      <c r="C137" t="s">
        <v>3246</v>
      </c>
      <c r="D137" t="s">
        <v>3247</v>
      </c>
      <c r="E137" t="s">
        <v>3248</v>
      </c>
      <c r="F137" t="s">
        <v>3249</v>
      </c>
      <c r="G137" t="s">
        <v>3250</v>
      </c>
      <c r="H137" t="s">
        <v>3251</v>
      </c>
      <c r="I137" t="s">
        <v>3252</v>
      </c>
      <c r="J137" t="s">
        <v>3253</v>
      </c>
      <c r="K137" t="s">
        <v>3254</v>
      </c>
      <c r="L137" t="s">
        <v>3255</v>
      </c>
      <c r="M137" t="s">
        <v>3256</v>
      </c>
      <c r="N137" t="s">
        <v>3257</v>
      </c>
      <c r="O137" t="s">
        <v>3258</v>
      </c>
      <c r="P137" t="s">
        <v>3259</v>
      </c>
      <c r="Q137" t="s">
        <v>3260</v>
      </c>
      <c r="R137" t="s">
        <v>3261</v>
      </c>
      <c r="S137" t="s">
        <v>3262</v>
      </c>
      <c r="T137" t="s">
        <v>3263</v>
      </c>
      <c r="U137" t="s">
        <v>3264</v>
      </c>
      <c r="V137" t="s">
        <v>3265</v>
      </c>
      <c r="W137" t="s">
        <v>3266</v>
      </c>
      <c r="X137" t="s">
        <v>3267</v>
      </c>
      <c r="Y137" t="s">
        <v>3268</v>
      </c>
    </row>
    <row r="138" spans="1:25" x14ac:dyDescent="0.3">
      <c r="A138">
        <v>6850</v>
      </c>
      <c r="B138" t="s">
        <v>3269</v>
      </c>
      <c r="C138" t="s">
        <v>3270</v>
      </c>
      <c r="D138" t="s">
        <v>3271</v>
      </c>
      <c r="E138" t="s">
        <v>3272</v>
      </c>
      <c r="F138" t="s">
        <v>3273</v>
      </c>
      <c r="G138" t="s">
        <v>3274</v>
      </c>
      <c r="H138" t="s">
        <v>3275</v>
      </c>
      <c r="I138" t="s">
        <v>3276</v>
      </c>
      <c r="J138" t="s">
        <v>3277</v>
      </c>
      <c r="K138" t="s">
        <v>3278</v>
      </c>
      <c r="L138" t="s">
        <v>3279</v>
      </c>
      <c r="M138" t="s">
        <v>3280</v>
      </c>
      <c r="N138" t="s">
        <v>3281</v>
      </c>
      <c r="O138" t="s">
        <v>3282</v>
      </c>
      <c r="P138" t="s">
        <v>3283</v>
      </c>
      <c r="Q138" t="s">
        <v>3284</v>
      </c>
      <c r="R138" t="s">
        <v>3285</v>
      </c>
      <c r="S138" t="s">
        <v>3286</v>
      </c>
      <c r="T138" t="s">
        <v>3287</v>
      </c>
      <c r="U138" t="s">
        <v>3288</v>
      </c>
      <c r="V138" t="s">
        <v>3289</v>
      </c>
      <c r="W138" t="s">
        <v>3290</v>
      </c>
      <c r="X138" t="s">
        <v>3291</v>
      </c>
      <c r="Y138" t="s">
        <v>3292</v>
      </c>
    </row>
    <row r="139" spans="1:25" x14ac:dyDescent="0.3">
      <c r="A139">
        <v>6900</v>
      </c>
      <c r="B139" t="s">
        <v>3293</v>
      </c>
      <c r="C139" t="s">
        <v>3294</v>
      </c>
      <c r="D139" t="s">
        <v>3295</v>
      </c>
      <c r="E139" t="s">
        <v>3296</v>
      </c>
      <c r="F139" t="s">
        <v>3297</v>
      </c>
      <c r="G139" t="s">
        <v>3298</v>
      </c>
      <c r="H139" t="s">
        <v>3299</v>
      </c>
      <c r="I139" t="s">
        <v>3300</v>
      </c>
      <c r="J139" t="s">
        <v>3301</v>
      </c>
      <c r="K139" t="s">
        <v>3302</v>
      </c>
      <c r="L139" t="s">
        <v>3303</v>
      </c>
      <c r="M139" t="s">
        <v>3304</v>
      </c>
      <c r="N139" t="s">
        <v>3305</v>
      </c>
      <c r="O139" t="s">
        <v>3306</v>
      </c>
      <c r="P139" t="s">
        <v>3307</v>
      </c>
      <c r="Q139" t="s">
        <v>3308</v>
      </c>
      <c r="R139" t="s">
        <v>3309</v>
      </c>
      <c r="S139" t="s">
        <v>3310</v>
      </c>
      <c r="T139" t="s">
        <v>3311</v>
      </c>
      <c r="U139" t="s">
        <v>3312</v>
      </c>
      <c r="V139" t="s">
        <v>3313</v>
      </c>
      <c r="W139" t="s">
        <v>3314</v>
      </c>
      <c r="X139" t="s">
        <v>3315</v>
      </c>
      <c r="Y139" t="s">
        <v>3316</v>
      </c>
    </row>
    <row r="140" spans="1:25" x14ac:dyDescent="0.3">
      <c r="A140">
        <v>6950</v>
      </c>
      <c r="B140" t="s">
        <v>3317</v>
      </c>
      <c r="C140" t="s">
        <v>3318</v>
      </c>
      <c r="D140" t="s">
        <v>3319</v>
      </c>
      <c r="E140" t="s">
        <v>3320</v>
      </c>
      <c r="F140" t="s">
        <v>3321</v>
      </c>
      <c r="G140" t="s">
        <v>3322</v>
      </c>
      <c r="H140" t="s">
        <v>3323</v>
      </c>
      <c r="I140" t="s">
        <v>3324</v>
      </c>
      <c r="J140" t="s">
        <v>3325</v>
      </c>
      <c r="K140" t="s">
        <v>3326</v>
      </c>
      <c r="L140" t="s">
        <v>3327</v>
      </c>
      <c r="M140" t="s">
        <v>3328</v>
      </c>
      <c r="N140" t="s">
        <v>3329</v>
      </c>
      <c r="O140">
        <f>-691.947090971712 -0.680672325307647 -718.842789020385</f>
        <v>-1411.4705523174048</v>
      </c>
      <c r="P140" t="s">
        <v>3330</v>
      </c>
      <c r="Q140" t="s">
        <v>3331</v>
      </c>
      <c r="R140" t="s">
        <v>3332</v>
      </c>
      <c r="S140" t="s">
        <v>3333</v>
      </c>
      <c r="T140" t="s">
        <v>3334</v>
      </c>
      <c r="U140" t="s">
        <v>3335</v>
      </c>
      <c r="V140" t="s">
        <v>3336</v>
      </c>
      <c r="W140" t="s">
        <v>3337</v>
      </c>
      <c r="X140" t="s">
        <v>3338</v>
      </c>
      <c r="Y140" t="s">
        <v>3339</v>
      </c>
    </row>
    <row r="141" spans="1:25" x14ac:dyDescent="0.3">
      <c r="A141">
        <v>7000</v>
      </c>
      <c r="B141" t="s">
        <v>3340</v>
      </c>
      <c r="C141" t="s">
        <v>3341</v>
      </c>
      <c r="D141" t="s">
        <v>3342</v>
      </c>
      <c r="E141" t="s">
        <v>3343</v>
      </c>
      <c r="F141" t="s">
        <v>3344</v>
      </c>
      <c r="G141" t="s">
        <v>3345</v>
      </c>
      <c r="H141" t="s">
        <v>3346</v>
      </c>
      <c r="I141" t="s">
        <v>3347</v>
      </c>
      <c r="J141" t="s">
        <v>3348</v>
      </c>
      <c r="K141" t="s">
        <v>3349</v>
      </c>
      <c r="L141" t="s">
        <v>3350</v>
      </c>
      <c r="M141" t="s">
        <v>3351</v>
      </c>
      <c r="N141" t="s">
        <v>3352</v>
      </c>
      <c r="O141">
        <f>-688.264390298075 -7.20425194238109 -717.920905184895</f>
        <v>-1413.3895474253511</v>
      </c>
      <c r="P141" t="s">
        <v>3353</v>
      </c>
      <c r="Q141" t="s">
        <v>3354</v>
      </c>
      <c r="R141" t="s">
        <v>3355</v>
      </c>
      <c r="S141" t="s">
        <v>3356</v>
      </c>
      <c r="T141" t="s">
        <v>3357</v>
      </c>
      <c r="U141" t="s">
        <v>3358</v>
      </c>
      <c r="V141" t="s">
        <v>3359</v>
      </c>
      <c r="W141" t="s">
        <v>3360</v>
      </c>
      <c r="X141" t="s">
        <v>3361</v>
      </c>
      <c r="Y141" t="s">
        <v>3362</v>
      </c>
    </row>
    <row r="142" spans="1:25" x14ac:dyDescent="0.3">
      <c r="A142">
        <v>7050</v>
      </c>
      <c r="B142" t="s">
        <v>3363</v>
      </c>
      <c r="C142" t="s">
        <v>3364</v>
      </c>
      <c r="D142" t="s">
        <v>3365</v>
      </c>
      <c r="E142" t="s">
        <v>3366</v>
      </c>
      <c r="F142" t="s">
        <v>3367</v>
      </c>
      <c r="G142" t="s">
        <v>3368</v>
      </c>
      <c r="H142" t="s">
        <v>3369</v>
      </c>
      <c r="I142" t="s">
        <v>3370</v>
      </c>
      <c r="J142" t="s">
        <v>3371</v>
      </c>
      <c r="K142" t="s">
        <v>3372</v>
      </c>
      <c r="L142" t="s">
        <v>3373</v>
      </c>
      <c r="M142" t="s">
        <v>3374</v>
      </c>
      <c r="N142" t="s">
        <v>3375</v>
      </c>
      <c r="O142">
        <f>-679.515400832483 -18.8410263256459 -718.257153710671</f>
        <v>-1416.6135808688</v>
      </c>
      <c r="P142" t="s">
        <v>3376</v>
      </c>
      <c r="Q142" t="s">
        <v>3377</v>
      </c>
      <c r="R142" t="s">
        <v>3378</v>
      </c>
      <c r="S142" t="s">
        <v>3379</v>
      </c>
      <c r="T142" t="s">
        <v>3380</v>
      </c>
      <c r="U142" t="s">
        <v>3381</v>
      </c>
      <c r="V142" t="s">
        <v>3382</v>
      </c>
      <c r="W142" t="s">
        <v>3383</v>
      </c>
      <c r="X142" t="s">
        <v>3384</v>
      </c>
      <c r="Y142" t="s">
        <v>3385</v>
      </c>
    </row>
    <row r="143" spans="1:25" x14ac:dyDescent="0.3">
      <c r="A143">
        <v>7100</v>
      </c>
      <c r="B143" t="s">
        <v>3386</v>
      </c>
      <c r="C143" t="s">
        <v>3387</v>
      </c>
      <c r="D143" t="s">
        <v>3388</v>
      </c>
      <c r="E143" t="s">
        <v>3389</v>
      </c>
      <c r="F143" t="s">
        <v>3390</v>
      </c>
      <c r="G143" t="s">
        <v>3391</v>
      </c>
      <c r="H143" t="s">
        <v>3392</v>
      </c>
      <c r="I143" t="s">
        <v>3393</v>
      </c>
      <c r="J143" t="s">
        <v>3394</v>
      </c>
      <c r="K143" t="s">
        <v>3395</v>
      </c>
      <c r="L143" t="s">
        <v>3396</v>
      </c>
      <c r="M143" t="s">
        <v>3397</v>
      </c>
      <c r="N143" t="s">
        <v>3398</v>
      </c>
      <c r="O143">
        <f>-678.322377298678 -23.8338928359329 -718.552416725087</f>
        <v>-1420.708686859698</v>
      </c>
      <c r="P143" t="s">
        <v>3399</v>
      </c>
      <c r="Q143" t="s">
        <v>3400</v>
      </c>
      <c r="R143" t="s">
        <v>3401</v>
      </c>
      <c r="S143" t="s">
        <v>3402</v>
      </c>
      <c r="T143" t="s">
        <v>3403</v>
      </c>
      <c r="U143" t="s">
        <v>3404</v>
      </c>
      <c r="V143" t="s">
        <v>3405</v>
      </c>
      <c r="W143" t="s">
        <v>3406</v>
      </c>
      <c r="X143" t="s">
        <v>3407</v>
      </c>
      <c r="Y143" t="s">
        <v>3408</v>
      </c>
    </row>
    <row r="144" spans="1:25" x14ac:dyDescent="0.3">
      <c r="A144">
        <v>7150</v>
      </c>
      <c r="B144" t="s">
        <v>3409</v>
      </c>
      <c r="C144" t="s">
        <v>3410</v>
      </c>
      <c r="D144" t="s">
        <v>3411</v>
      </c>
      <c r="E144" t="s">
        <v>3412</v>
      </c>
      <c r="F144" t="s">
        <v>3413</v>
      </c>
      <c r="G144" t="s">
        <v>3414</v>
      </c>
      <c r="H144" t="s">
        <v>3415</v>
      </c>
      <c r="I144" t="s">
        <v>3416</v>
      </c>
      <c r="J144" t="s">
        <v>3417</v>
      </c>
      <c r="K144" t="s">
        <v>3418</v>
      </c>
      <c r="L144" t="s">
        <v>3419</v>
      </c>
      <c r="M144" t="s">
        <v>3420</v>
      </c>
      <c r="N144" t="s">
        <v>3421</v>
      </c>
      <c r="O144">
        <f>-679.059123337873 -32.7265524116974 -718.647536640114</f>
        <v>-1430.4332123896843</v>
      </c>
      <c r="P144" t="s">
        <v>3422</v>
      </c>
      <c r="Q144" t="s">
        <v>3423</v>
      </c>
      <c r="R144" t="s">
        <v>3424</v>
      </c>
      <c r="S144" t="s">
        <v>3425</v>
      </c>
      <c r="T144" t="s">
        <v>3426</v>
      </c>
      <c r="U144" t="s">
        <v>3427</v>
      </c>
      <c r="V144" t="s">
        <v>3428</v>
      </c>
      <c r="W144" t="s">
        <v>3429</v>
      </c>
      <c r="X144" t="s">
        <v>3430</v>
      </c>
      <c r="Y144" t="s">
        <v>3431</v>
      </c>
    </row>
    <row r="145" spans="1:25" x14ac:dyDescent="0.3">
      <c r="A145">
        <v>7200</v>
      </c>
      <c r="B145" t="s">
        <v>3432</v>
      </c>
      <c r="C145" t="s">
        <v>3433</v>
      </c>
      <c r="D145" t="s">
        <v>3434</v>
      </c>
      <c r="E145" t="s">
        <v>3435</v>
      </c>
      <c r="F145" t="s">
        <v>3436</v>
      </c>
      <c r="G145" t="s">
        <v>3437</v>
      </c>
      <c r="H145" t="s">
        <v>3438</v>
      </c>
      <c r="I145" t="s">
        <v>3439</v>
      </c>
      <c r="J145" t="s">
        <v>3440</v>
      </c>
      <c r="K145" t="s">
        <v>3441</v>
      </c>
      <c r="L145" t="s">
        <v>3442</v>
      </c>
      <c r="M145" t="s">
        <v>3443</v>
      </c>
      <c r="N145" t="s">
        <v>3444</v>
      </c>
      <c r="O145">
        <f>-679.775225475736 -36.9257039218631 -718.219193691348</f>
        <v>-1434.9201230889471</v>
      </c>
      <c r="P145" t="s">
        <v>3445</v>
      </c>
      <c r="Q145" t="s">
        <v>3446</v>
      </c>
      <c r="R145" t="s">
        <v>3447</v>
      </c>
      <c r="S145" t="s">
        <v>3448</v>
      </c>
      <c r="T145" t="s">
        <v>3449</v>
      </c>
      <c r="U145" t="s">
        <v>3450</v>
      </c>
      <c r="V145" t="s">
        <v>3451</v>
      </c>
      <c r="W145" t="s">
        <v>3452</v>
      </c>
      <c r="X145" t="s">
        <v>3453</v>
      </c>
      <c r="Y145" t="s">
        <v>3454</v>
      </c>
    </row>
    <row r="146" spans="1:25" x14ac:dyDescent="0.3">
      <c r="A146">
        <v>7250</v>
      </c>
      <c r="B146" t="s">
        <v>3455</v>
      </c>
      <c r="C146" t="s">
        <v>3456</v>
      </c>
      <c r="D146" t="s">
        <v>3457</v>
      </c>
      <c r="E146" t="s">
        <v>3458</v>
      </c>
      <c r="F146" t="s">
        <v>3459</v>
      </c>
      <c r="G146" t="s">
        <v>3460</v>
      </c>
      <c r="H146" t="s">
        <v>3461</v>
      </c>
      <c r="I146" t="s">
        <v>3462</v>
      </c>
      <c r="J146" t="s">
        <v>3463</v>
      </c>
      <c r="K146" t="s">
        <v>3464</v>
      </c>
      <c r="L146" t="s">
        <v>3465</v>
      </c>
      <c r="M146" t="s">
        <v>3466</v>
      </c>
      <c r="N146" t="s">
        <v>3467</v>
      </c>
      <c r="O146">
        <f>-681.322619391709 -41.8987545812289 -716.428730216517</f>
        <v>-1439.6501041894549</v>
      </c>
      <c r="P146" t="s">
        <v>3468</v>
      </c>
      <c r="Q146" t="s">
        <v>3469</v>
      </c>
      <c r="R146" t="s">
        <v>3470</v>
      </c>
      <c r="S146" t="s">
        <v>3471</v>
      </c>
      <c r="T146" t="s">
        <v>3472</v>
      </c>
      <c r="U146" t="s">
        <v>3473</v>
      </c>
      <c r="V146" t="s">
        <v>3474</v>
      </c>
      <c r="W146" t="s">
        <v>3475</v>
      </c>
      <c r="X146" t="s">
        <v>3476</v>
      </c>
      <c r="Y146" t="s">
        <v>3477</v>
      </c>
    </row>
    <row r="147" spans="1:25" x14ac:dyDescent="0.3">
      <c r="A147">
        <v>7300</v>
      </c>
      <c r="B147" t="s">
        <v>3478</v>
      </c>
      <c r="C147" t="s">
        <v>3479</v>
      </c>
      <c r="D147" t="s">
        <v>3480</v>
      </c>
      <c r="E147" t="s">
        <v>3481</v>
      </c>
      <c r="F147" t="s">
        <v>3482</v>
      </c>
      <c r="G147" t="s">
        <v>3483</v>
      </c>
      <c r="H147" t="s">
        <v>3484</v>
      </c>
      <c r="I147" t="s">
        <v>3485</v>
      </c>
      <c r="J147" t="s">
        <v>3486</v>
      </c>
      <c r="K147" t="s">
        <v>3487</v>
      </c>
      <c r="L147" t="s">
        <v>3488</v>
      </c>
      <c r="M147" t="s">
        <v>3489</v>
      </c>
      <c r="N147" t="s">
        <v>3490</v>
      </c>
      <c r="O147">
        <f>-682.094450409896 -43.3376552411642 -715.301947169413</f>
        <v>-1440.7340528204732</v>
      </c>
      <c r="P147" t="s">
        <v>3491</v>
      </c>
      <c r="Q147" t="s">
        <v>3492</v>
      </c>
      <c r="R147" t="s">
        <v>3493</v>
      </c>
      <c r="S147" t="s">
        <v>3494</v>
      </c>
      <c r="T147" t="s">
        <v>3495</v>
      </c>
      <c r="U147" t="s">
        <v>3496</v>
      </c>
      <c r="V147" t="s">
        <v>3497</v>
      </c>
      <c r="W147" t="s">
        <v>3498</v>
      </c>
      <c r="X147" t="s">
        <v>3499</v>
      </c>
      <c r="Y147" t="s">
        <v>3500</v>
      </c>
    </row>
    <row r="148" spans="1:25" x14ac:dyDescent="0.3">
      <c r="A148">
        <v>7350</v>
      </c>
      <c r="B148" t="s">
        <v>3501</v>
      </c>
      <c r="C148" t="s">
        <v>3502</v>
      </c>
      <c r="D148" t="s">
        <v>3503</v>
      </c>
      <c r="E148" t="s">
        <v>3504</v>
      </c>
      <c r="F148" t="s">
        <v>3505</v>
      </c>
      <c r="G148" t="s">
        <v>3506</v>
      </c>
      <c r="H148" t="s">
        <v>3507</v>
      </c>
      <c r="I148" t="s">
        <v>3508</v>
      </c>
      <c r="J148" t="s">
        <v>3509</v>
      </c>
      <c r="K148" t="s">
        <v>3510</v>
      </c>
      <c r="L148" t="s">
        <v>3511</v>
      </c>
      <c r="M148" t="s">
        <v>3512</v>
      </c>
      <c r="N148" t="s">
        <v>3513</v>
      </c>
      <c r="O148">
        <f>-682.591264533172 -43.7086118723148 -714.491494886002</f>
        <v>-1440.7913712914888</v>
      </c>
      <c r="P148" t="s">
        <v>3514</v>
      </c>
      <c r="Q148" t="s">
        <v>3515</v>
      </c>
      <c r="R148" t="s">
        <v>3516</v>
      </c>
      <c r="S148" t="s">
        <v>3517</v>
      </c>
      <c r="T148" t="s">
        <v>3518</v>
      </c>
      <c r="U148" t="s">
        <v>3519</v>
      </c>
      <c r="V148" t="s">
        <v>3520</v>
      </c>
      <c r="W148" t="s">
        <v>3521</v>
      </c>
      <c r="X148" t="s">
        <v>3522</v>
      </c>
      <c r="Y148" t="s">
        <v>3523</v>
      </c>
    </row>
    <row r="149" spans="1:25" x14ac:dyDescent="0.3">
      <c r="A149">
        <v>7400</v>
      </c>
      <c r="B149" t="s">
        <v>3524</v>
      </c>
      <c r="C149" t="s">
        <v>3525</v>
      </c>
      <c r="D149" t="s">
        <v>3526</v>
      </c>
      <c r="E149" t="s">
        <v>3527</v>
      </c>
      <c r="F149" t="s">
        <v>3528</v>
      </c>
      <c r="G149" t="s">
        <v>3529</v>
      </c>
      <c r="H149" t="s">
        <v>3530</v>
      </c>
      <c r="I149" t="s">
        <v>3531</v>
      </c>
      <c r="J149" t="s">
        <v>3532</v>
      </c>
      <c r="K149" t="s">
        <v>3533</v>
      </c>
      <c r="L149" t="s">
        <v>3534</v>
      </c>
      <c r="M149" t="s">
        <v>3535</v>
      </c>
      <c r="N149" t="s">
        <v>3536</v>
      </c>
      <c r="O149">
        <f>-681.88246826181 -43.7544949252277 -713.607580229289</f>
        <v>-1439.2445434163269</v>
      </c>
      <c r="P149" t="s">
        <v>3537</v>
      </c>
      <c r="Q149" t="s">
        <v>3538</v>
      </c>
      <c r="R149" t="s">
        <v>3539</v>
      </c>
      <c r="S149" t="s">
        <v>3540</v>
      </c>
      <c r="T149" t="s">
        <v>3541</v>
      </c>
      <c r="U149" t="s">
        <v>3542</v>
      </c>
      <c r="V149" t="s">
        <v>3543</v>
      </c>
      <c r="W149" t="s">
        <v>3544</v>
      </c>
      <c r="X149" t="s">
        <v>3545</v>
      </c>
      <c r="Y149" t="s">
        <v>3546</v>
      </c>
    </row>
    <row r="150" spans="1:25" x14ac:dyDescent="0.3">
      <c r="A150">
        <v>7450</v>
      </c>
      <c r="B150" t="s">
        <v>3547</v>
      </c>
      <c r="C150" t="s">
        <v>3548</v>
      </c>
      <c r="D150" t="s">
        <v>3549</v>
      </c>
      <c r="E150" t="s">
        <v>3550</v>
      </c>
      <c r="F150" t="s">
        <v>3551</v>
      </c>
      <c r="G150" t="s">
        <v>3552</v>
      </c>
      <c r="H150" t="s">
        <v>3553</v>
      </c>
      <c r="I150" t="s">
        <v>3554</v>
      </c>
      <c r="J150" t="s">
        <v>3555</v>
      </c>
      <c r="K150" t="s">
        <v>3556</v>
      </c>
      <c r="L150" t="s">
        <v>3557</v>
      </c>
      <c r="M150" t="s">
        <v>3558</v>
      </c>
      <c r="N150" t="s">
        <v>3559</v>
      </c>
      <c r="O150">
        <f>-681.271447818829 -41.6407280175138 -713.407335439872</f>
        <v>-1436.3195112762146</v>
      </c>
      <c r="P150" t="s">
        <v>3560</v>
      </c>
      <c r="Q150" t="s">
        <v>3561</v>
      </c>
      <c r="R150" t="s">
        <v>3562</v>
      </c>
      <c r="S150" t="s">
        <v>3563</v>
      </c>
      <c r="T150" t="s">
        <v>3564</v>
      </c>
      <c r="U150" t="s">
        <v>3565</v>
      </c>
      <c r="V150" t="s">
        <v>3566</v>
      </c>
      <c r="W150" t="s">
        <v>3567</v>
      </c>
      <c r="X150" t="s">
        <v>3568</v>
      </c>
      <c r="Y150" t="s">
        <v>3569</v>
      </c>
    </row>
    <row r="151" spans="1:25" x14ac:dyDescent="0.3">
      <c r="A151">
        <v>7500</v>
      </c>
      <c r="B151" t="s">
        <v>3570</v>
      </c>
      <c r="C151" t="s">
        <v>3571</v>
      </c>
      <c r="D151" t="s">
        <v>3572</v>
      </c>
      <c r="E151" t="s">
        <v>3573</v>
      </c>
      <c r="F151" t="s">
        <v>3574</v>
      </c>
      <c r="G151" t="s">
        <v>3575</v>
      </c>
      <c r="H151" t="s">
        <v>3576</v>
      </c>
      <c r="I151" t="s">
        <v>3577</v>
      </c>
      <c r="J151" t="s">
        <v>3578</v>
      </c>
      <c r="K151" t="s">
        <v>3579</v>
      </c>
      <c r="L151" t="s">
        <v>3580</v>
      </c>
      <c r="M151" t="s">
        <v>3581</v>
      </c>
      <c r="N151" t="s">
        <v>3582</v>
      </c>
      <c r="O151">
        <f>-680.947391594713 -39.0010276541976 -713.534904488097</f>
        <v>-1433.4833237370076</v>
      </c>
      <c r="P151" t="s">
        <v>3583</v>
      </c>
      <c r="Q151" t="s">
        <v>3584</v>
      </c>
      <c r="R151" t="s">
        <v>3585</v>
      </c>
      <c r="S151" t="s">
        <v>3586</v>
      </c>
      <c r="T151" t="s">
        <v>3587</v>
      </c>
      <c r="U151" t="s">
        <v>3588</v>
      </c>
      <c r="V151" t="s">
        <v>3589</v>
      </c>
      <c r="W151" t="s">
        <v>3590</v>
      </c>
      <c r="X151" t="s">
        <v>3591</v>
      </c>
      <c r="Y151" t="s">
        <v>3592</v>
      </c>
    </row>
    <row r="152" spans="1:25" x14ac:dyDescent="0.3">
      <c r="A152">
        <v>7550</v>
      </c>
      <c r="B152" t="s">
        <v>3593</v>
      </c>
      <c r="C152" t="s">
        <v>3594</v>
      </c>
      <c r="D152" t="s">
        <v>3595</v>
      </c>
      <c r="E152" t="s">
        <v>3596</v>
      </c>
      <c r="F152" t="s">
        <v>3597</v>
      </c>
      <c r="G152" t="s">
        <v>3598</v>
      </c>
      <c r="H152" t="s">
        <v>3599</v>
      </c>
      <c r="I152" t="s">
        <v>3600</v>
      </c>
      <c r="J152" t="s">
        <v>3601</v>
      </c>
      <c r="K152" t="s">
        <v>3602</v>
      </c>
      <c r="L152" t="s">
        <v>3603</v>
      </c>
      <c r="M152" t="s">
        <v>3604</v>
      </c>
      <c r="N152" t="s">
        <v>3605</v>
      </c>
      <c r="O152">
        <f>-680.420022633814 -30.0128668696908 -714.411638179924</f>
        <v>-1424.8445276834289</v>
      </c>
      <c r="P152" t="s">
        <v>3606</v>
      </c>
      <c r="Q152" t="s">
        <v>3607</v>
      </c>
      <c r="R152" t="s">
        <v>3608</v>
      </c>
      <c r="S152" t="s">
        <v>3609</v>
      </c>
      <c r="T152" t="s">
        <v>3610</v>
      </c>
      <c r="U152" t="s">
        <v>3611</v>
      </c>
      <c r="V152" t="s">
        <v>3612</v>
      </c>
      <c r="W152" t="s">
        <v>3613</v>
      </c>
      <c r="X152" t="s">
        <v>3614</v>
      </c>
      <c r="Y152" t="s">
        <v>3615</v>
      </c>
    </row>
    <row r="153" spans="1:25" x14ac:dyDescent="0.3">
      <c r="A153">
        <v>7600</v>
      </c>
      <c r="B153" t="s">
        <v>3616</v>
      </c>
      <c r="C153" t="s">
        <v>3617</v>
      </c>
      <c r="D153" t="s">
        <v>3618</v>
      </c>
      <c r="E153" t="s">
        <v>3619</v>
      </c>
      <c r="F153" t="s">
        <v>3620</v>
      </c>
      <c r="G153" t="s">
        <v>3621</v>
      </c>
      <c r="H153" t="s">
        <v>3622</v>
      </c>
      <c r="I153" t="s">
        <v>3623</v>
      </c>
      <c r="J153" t="s">
        <v>3624</v>
      </c>
      <c r="K153" t="s">
        <v>3625</v>
      </c>
      <c r="L153" t="s">
        <v>3626</v>
      </c>
      <c r="M153" t="s">
        <v>3627</v>
      </c>
      <c r="N153" t="s">
        <v>3628</v>
      </c>
      <c r="O153">
        <f>-679.615574735652 -24.2667236749253 -715.269003170243</f>
        <v>-1419.1513015808202</v>
      </c>
      <c r="P153" t="s">
        <v>3629</v>
      </c>
      <c r="Q153" t="s">
        <v>3630</v>
      </c>
      <c r="R153" t="s">
        <v>3631</v>
      </c>
      <c r="S153" t="s">
        <v>3632</v>
      </c>
      <c r="T153" t="s">
        <v>3633</v>
      </c>
      <c r="U153" t="s">
        <v>3634</v>
      </c>
      <c r="V153" t="s">
        <v>3635</v>
      </c>
      <c r="W153" t="s">
        <v>3636</v>
      </c>
      <c r="X153" t="s">
        <v>3637</v>
      </c>
      <c r="Y153" t="s">
        <v>3638</v>
      </c>
    </row>
    <row r="154" spans="1:25" x14ac:dyDescent="0.3">
      <c r="A154">
        <v>7650</v>
      </c>
      <c r="B154" t="s">
        <v>3639</v>
      </c>
      <c r="C154" t="s">
        <v>3640</v>
      </c>
      <c r="D154" t="s">
        <v>3641</v>
      </c>
      <c r="E154" t="s">
        <v>3642</v>
      </c>
      <c r="F154" t="s">
        <v>3643</v>
      </c>
      <c r="G154" t="s">
        <v>3644</v>
      </c>
      <c r="H154" t="s">
        <v>3645</v>
      </c>
      <c r="I154" t="s">
        <v>3646</v>
      </c>
      <c r="J154" t="s">
        <v>3647</v>
      </c>
      <c r="K154" t="s">
        <v>3648</v>
      </c>
      <c r="L154" t="s">
        <v>3649</v>
      </c>
      <c r="M154" t="s">
        <v>3650</v>
      </c>
      <c r="N154" t="s">
        <v>3651</v>
      </c>
      <c r="O154">
        <f>-677.482404196005 -14.5841184313179 -716.750044149393</f>
        <v>-1408.8165667767157</v>
      </c>
      <c r="P154" t="s">
        <v>3652</v>
      </c>
      <c r="Q154" t="s">
        <v>3653</v>
      </c>
      <c r="R154" t="s">
        <v>3654</v>
      </c>
      <c r="S154" t="s">
        <v>3655</v>
      </c>
      <c r="T154" t="s">
        <v>3656</v>
      </c>
      <c r="U154" t="s">
        <v>3657</v>
      </c>
      <c r="V154" t="s">
        <v>3658</v>
      </c>
      <c r="W154" t="s">
        <v>3659</v>
      </c>
      <c r="X154" t="s">
        <v>3660</v>
      </c>
      <c r="Y154" t="s">
        <v>3661</v>
      </c>
    </row>
    <row r="155" spans="1:25" x14ac:dyDescent="0.3">
      <c r="A155">
        <v>7700</v>
      </c>
      <c r="B155" t="s">
        <v>3662</v>
      </c>
      <c r="C155" t="s">
        <v>3663</v>
      </c>
      <c r="D155" t="s">
        <v>3664</v>
      </c>
      <c r="E155" t="s">
        <v>3665</v>
      </c>
      <c r="F155" t="s">
        <v>3666</v>
      </c>
      <c r="G155" t="s">
        <v>3667</v>
      </c>
      <c r="H155" t="s">
        <v>3668</v>
      </c>
      <c r="I155" t="s">
        <v>3669</v>
      </c>
      <c r="J155" t="s">
        <v>3670</v>
      </c>
      <c r="K155" t="s">
        <v>3671</v>
      </c>
      <c r="L155" t="s">
        <v>3672</v>
      </c>
      <c r="M155" t="s">
        <v>3673</v>
      </c>
      <c r="N155" t="s">
        <v>3674</v>
      </c>
      <c r="O155">
        <f>-677.837123679124 -14.9231031724969 -716.204483747354</f>
        <v>-1408.9647105989748</v>
      </c>
      <c r="P155" t="s">
        <v>3675</v>
      </c>
      <c r="Q155" t="s">
        <v>3676</v>
      </c>
      <c r="R155" t="s">
        <v>3677</v>
      </c>
      <c r="S155" t="s">
        <v>3678</v>
      </c>
      <c r="T155" t="s">
        <v>3679</v>
      </c>
      <c r="U155" t="s">
        <v>3680</v>
      </c>
      <c r="V155" t="s">
        <v>3681</v>
      </c>
      <c r="W155" t="s">
        <v>3682</v>
      </c>
      <c r="X155" t="s">
        <v>3683</v>
      </c>
      <c r="Y155" t="s">
        <v>3684</v>
      </c>
    </row>
    <row r="156" spans="1:25" x14ac:dyDescent="0.3">
      <c r="A156">
        <v>7750</v>
      </c>
      <c r="B156" t="s">
        <v>3685</v>
      </c>
      <c r="C156" t="s">
        <v>3686</v>
      </c>
      <c r="D156" t="s">
        <v>3687</v>
      </c>
      <c r="E156" t="s">
        <v>3688</v>
      </c>
      <c r="F156" t="s">
        <v>3689</v>
      </c>
      <c r="G156" t="s">
        <v>3690</v>
      </c>
      <c r="H156" t="s">
        <v>3691</v>
      </c>
      <c r="I156" t="s">
        <v>3692</v>
      </c>
      <c r="J156" t="s">
        <v>3693</v>
      </c>
      <c r="K156" t="s">
        <v>3694</v>
      </c>
      <c r="L156" t="s">
        <v>3695</v>
      </c>
      <c r="M156" t="s">
        <v>3696</v>
      </c>
      <c r="N156" t="s">
        <v>3697</v>
      </c>
      <c r="O156">
        <f>-678.31521537392 -14.2457191357711 -715.173594220509</f>
        <v>-1407.7345287302001</v>
      </c>
      <c r="P156" t="s">
        <v>3698</v>
      </c>
      <c r="Q156" t="s">
        <v>3699</v>
      </c>
      <c r="R156" t="s">
        <v>3700</v>
      </c>
      <c r="S156" t="s">
        <v>3701</v>
      </c>
      <c r="T156" t="s">
        <v>3702</v>
      </c>
      <c r="U156" t="s">
        <v>3703</v>
      </c>
      <c r="V156" t="s">
        <v>3704</v>
      </c>
      <c r="W156" t="s">
        <v>3705</v>
      </c>
      <c r="X156" t="s">
        <v>3706</v>
      </c>
      <c r="Y156" t="s">
        <v>3707</v>
      </c>
    </row>
    <row r="157" spans="1:25" x14ac:dyDescent="0.3">
      <c r="A157">
        <v>7800</v>
      </c>
      <c r="B157" t="s">
        <v>3708</v>
      </c>
      <c r="C157" t="s">
        <v>3709</v>
      </c>
      <c r="D157" t="s">
        <v>3710</v>
      </c>
      <c r="E157" t="s">
        <v>3711</v>
      </c>
      <c r="F157" t="s">
        <v>3712</v>
      </c>
      <c r="G157" t="s">
        <v>3713</v>
      </c>
      <c r="H157" t="s">
        <v>3714</v>
      </c>
      <c r="I157" t="s">
        <v>3715</v>
      </c>
      <c r="J157" t="s">
        <v>3716</v>
      </c>
      <c r="K157" t="s">
        <v>3717</v>
      </c>
      <c r="L157" t="s">
        <v>3718</v>
      </c>
      <c r="M157" t="s">
        <v>3719</v>
      </c>
      <c r="N157" t="s">
        <v>3720</v>
      </c>
      <c r="O157">
        <f>-679.466457533771 -6.00217996816703 -714.416418533604</f>
        <v>-1399.885056035542</v>
      </c>
      <c r="P157" t="s">
        <v>3721</v>
      </c>
      <c r="Q157" t="s">
        <v>3722</v>
      </c>
      <c r="R157" t="s">
        <v>3723</v>
      </c>
      <c r="S157" t="s">
        <v>3724</v>
      </c>
      <c r="T157" t="s">
        <v>3725</v>
      </c>
      <c r="U157" t="s">
        <v>3726</v>
      </c>
      <c r="V157" t="s">
        <v>3727</v>
      </c>
      <c r="W157" t="s">
        <v>3728</v>
      </c>
      <c r="X157" t="s">
        <v>3729</v>
      </c>
      <c r="Y157" t="s">
        <v>3730</v>
      </c>
    </row>
    <row r="158" spans="1:25" x14ac:dyDescent="0.3">
      <c r="A158">
        <v>7850</v>
      </c>
      <c r="B158" t="s">
        <v>3731</v>
      </c>
      <c r="C158" t="s">
        <v>3732</v>
      </c>
      <c r="D158" t="s">
        <v>3733</v>
      </c>
      <c r="E158" t="s">
        <v>3734</v>
      </c>
      <c r="F158" t="s">
        <v>3735</v>
      </c>
      <c r="G158" t="s">
        <v>3736</v>
      </c>
      <c r="H158" t="s">
        <v>3737</v>
      </c>
      <c r="I158" t="s">
        <v>3738</v>
      </c>
      <c r="J158" t="s">
        <v>3739</v>
      </c>
      <c r="K158" t="s">
        <v>3740</v>
      </c>
      <c r="L158" t="s">
        <v>3741</v>
      </c>
      <c r="M158" t="s">
        <v>3742</v>
      </c>
      <c r="N158" t="s">
        <v>3743</v>
      </c>
      <c r="O158" t="s">
        <v>3744</v>
      </c>
      <c r="P158" t="s">
        <v>3745</v>
      </c>
      <c r="Q158" t="s">
        <v>3746</v>
      </c>
      <c r="R158" t="s">
        <v>3747</v>
      </c>
      <c r="S158" t="s">
        <v>3748</v>
      </c>
      <c r="T158" t="s">
        <v>3749</v>
      </c>
      <c r="U158" t="s">
        <v>3750</v>
      </c>
      <c r="V158" t="s">
        <v>3751</v>
      </c>
      <c r="W158" t="s">
        <v>3752</v>
      </c>
      <c r="X158" t="s">
        <v>3753</v>
      </c>
      <c r="Y158" t="s">
        <v>3754</v>
      </c>
    </row>
    <row r="159" spans="1:25" x14ac:dyDescent="0.3">
      <c r="A159">
        <v>7900</v>
      </c>
      <c r="B159" t="s">
        <v>3755</v>
      </c>
      <c r="C159" t="s">
        <v>3756</v>
      </c>
      <c r="D159" t="s">
        <v>3757</v>
      </c>
      <c r="E159" t="s">
        <v>3758</v>
      </c>
      <c r="F159" t="s">
        <v>3759</v>
      </c>
      <c r="G159" t="s">
        <v>3760</v>
      </c>
      <c r="H159" t="s">
        <v>3761</v>
      </c>
      <c r="I159" t="s">
        <v>3762</v>
      </c>
      <c r="J159" t="s">
        <v>3763</v>
      </c>
      <c r="K159" t="s">
        <v>3764</v>
      </c>
      <c r="L159" t="s">
        <v>3765</v>
      </c>
      <c r="M159" t="s">
        <v>3766</v>
      </c>
      <c r="N159" t="s">
        <v>3767</v>
      </c>
      <c r="O159" t="s">
        <v>3768</v>
      </c>
      <c r="P159" t="s">
        <v>3769</v>
      </c>
      <c r="Q159" t="s">
        <v>3770</v>
      </c>
      <c r="R159" t="s">
        <v>3771</v>
      </c>
      <c r="S159" t="s">
        <v>3772</v>
      </c>
      <c r="T159" t="s">
        <v>3773</v>
      </c>
      <c r="U159" t="s">
        <v>3774</v>
      </c>
      <c r="V159" t="s">
        <v>3775</v>
      </c>
      <c r="W159" t="s">
        <v>3776</v>
      </c>
      <c r="X159" t="s">
        <v>3777</v>
      </c>
      <c r="Y159" t="s">
        <v>3778</v>
      </c>
    </row>
    <row r="160" spans="1:25" x14ac:dyDescent="0.3">
      <c r="A160">
        <v>7950</v>
      </c>
      <c r="B160" t="s">
        <v>3779</v>
      </c>
      <c r="C160" t="s">
        <v>3780</v>
      </c>
      <c r="D160" t="s">
        <v>3781</v>
      </c>
      <c r="E160" t="s">
        <v>3782</v>
      </c>
      <c r="F160" t="s">
        <v>3783</v>
      </c>
      <c r="G160" t="s">
        <v>3784</v>
      </c>
      <c r="H160" t="s">
        <v>3785</v>
      </c>
      <c r="I160" t="s">
        <v>3786</v>
      </c>
      <c r="J160" t="s">
        <v>3787</v>
      </c>
      <c r="K160" t="s">
        <v>3788</v>
      </c>
      <c r="L160" t="s">
        <v>3789</v>
      </c>
      <c r="M160" t="s">
        <v>3790</v>
      </c>
      <c r="N160" t="s">
        <v>3791</v>
      </c>
      <c r="O160" t="s">
        <v>3792</v>
      </c>
      <c r="P160" t="s">
        <v>3793</v>
      </c>
      <c r="Q160" t="s">
        <v>3794</v>
      </c>
      <c r="R160" t="s">
        <v>3795</v>
      </c>
      <c r="S160" t="s">
        <v>3796</v>
      </c>
      <c r="T160" t="s">
        <v>3797</v>
      </c>
      <c r="U160" t="s">
        <v>3798</v>
      </c>
      <c r="V160" t="s">
        <v>3799</v>
      </c>
      <c r="W160" t="s">
        <v>3800</v>
      </c>
      <c r="X160" t="s">
        <v>3801</v>
      </c>
      <c r="Y160" t="s">
        <v>3802</v>
      </c>
    </row>
    <row r="161" spans="1:25" x14ac:dyDescent="0.3">
      <c r="A161">
        <v>8000</v>
      </c>
      <c r="B161" t="s">
        <v>3803</v>
      </c>
      <c r="C161" t="s">
        <v>3804</v>
      </c>
      <c r="D161" t="s">
        <v>3805</v>
      </c>
      <c r="E161" t="s">
        <v>3806</v>
      </c>
      <c r="F161" t="s">
        <v>3807</v>
      </c>
      <c r="G161" t="s">
        <v>3808</v>
      </c>
      <c r="H161" t="s">
        <v>3809</v>
      </c>
      <c r="I161" t="s">
        <v>3810</v>
      </c>
      <c r="J161" t="s">
        <v>3811</v>
      </c>
      <c r="K161" t="s">
        <v>3812</v>
      </c>
      <c r="L161" t="s">
        <v>3813</v>
      </c>
      <c r="M161" t="s">
        <v>3814</v>
      </c>
      <c r="N161" t="s">
        <v>3815</v>
      </c>
      <c r="O161" t="s">
        <v>3816</v>
      </c>
      <c r="P161" t="s">
        <v>3817</v>
      </c>
      <c r="Q161" t="s">
        <v>3818</v>
      </c>
      <c r="R161" t="s">
        <v>3819</v>
      </c>
      <c r="S161" t="s">
        <v>3820</v>
      </c>
      <c r="T161" t="s">
        <v>3821</v>
      </c>
      <c r="U161" t="s">
        <v>3822</v>
      </c>
      <c r="V161" t="s">
        <v>3823</v>
      </c>
      <c r="W161" t="s">
        <v>3824</v>
      </c>
      <c r="X161" t="s">
        <v>3825</v>
      </c>
      <c r="Y161" t="s">
        <v>3826</v>
      </c>
    </row>
    <row r="162" spans="1:25" x14ac:dyDescent="0.3">
      <c r="A162">
        <v>8050</v>
      </c>
      <c r="B162" t="s">
        <v>3827</v>
      </c>
      <c r="C162" t="s">
        <v>3828</v>
      </c>
      <c r="D162" t="s">
        <v>3829</v>
      </c>
      <c r="E162" t="s">
        <v>3830</v>
      </c>
      <c r="F162" t="s">
        <v>3831</v>
      </c>
      <c r="G162" t="s">
        <v>3832</v>
      </c>
      <c r="H162" t="s">
        <v>3833</v>
      </c>
      <c r="I162" t="s">
        <v>3834</v>
      </c>
      <c r="J162" t="s">
        <v>3835</v>
      </c>
      <c r="K162" t="s">
        <v>3836</v>
      </c>
      <c r="L162" t="s">
        <v>3837</v>
      </c>
      <c r="M162" t="s">
        <v>3838</v>
      </c>
      <c r="N162" t="s">
        <v>3839</v>
      </c>
      <c r="O162" t="s">
        <v>3840</v>
      </c>
      <c r="P162" t="s">
        <v>3841</v>
      </c>
      <c r="Q162" t="s">
        <v>3842</v>
      </c>
      <c r="R162" t="s">
        <v>3843</v>
      </c>
      <c r="S162" t="s">
        <v>3844</v>
      </c>
      <c r="T162" t="s">
        <v>3845</v>
      </c>
      <c r="U162" t="s">
        <v>3846</v>
      </c>
      <c r="V162" t="s">
        <v>3847</v>
      </c>
      <c r="W162" t="s">
        <v>3848</v>
      </c>
      <c r="X162" t="s">
        <v>3849</v>
      </c>
      <c r="Y162" t="s">
        <v>3850</v>
      </c>
    </row>
    <row r="163" spans="1:25" x14ac:dyDescent="0.3">
      <c r="A163">
        <v>8100</v>
      </c>
      <c r="B163" t="s">
        <v>3851</v>
      </c>
      <c r="C163" t="s">
        <v>3852</v>
      </c>
      <c r="D163" t="s">
        <v>3853</v>
      </c>
      <c r="E163" t="s">
        <v>3854</v>
      </c>
      <c r="F163" t="s">
        <v>3855</v>
      </c>
      <c r="G163" t="s">
        <v>3856</v>
      </c>
      <c r="H163" t="s">
        <v>3857</v>
      </c>
      <c r="I163" t="s">
        <v>3858</v>
      </c>
      <c r="J163" t="s">
        <v>3859</v>
      </c>
      <c r="K163" t="s">
        <v>3860</v>
      </c>
      <c r="L163" t="s">
        <v>3861</v>
      </c>
      <c r="M163" t="s">
        <v>3862</v>
      </c>
      <c r="N163" t="s">
        <v>3863</v>
      </c>
      <c r="O163" t="s">
        <v>3864</v>
      </c>
      <c r="P163" t="s">
        <v>3865</v>
      </c>
      <c r="Q163" t="s">
        <v>3866</v>
      </c>
      <c r="R163" t="s">
        <v>3867</v>
      </c>
      <c r="S163" t="s">
        <v>3868</v>
      </c>
      <c r="T163" t="s">
        <v>3869</v>
      </c>
      <c r="U163" t="s">
        <v>3870</v>
      </c>
      <c r="V163" t="s">
        <v>3871</v>
      </c>
      <c r="W163" t="s">
        <v>3872</v>
      </c>
      <c r="X163" t="s">
        <v>3873</v>
      </c>
      <c r="Y163" t="s">
        <v>3874</v>
      </c>
    </row>
    <row r="164" spans="1:25" x14ac:dyDescent="0.3">
      <c r="A164">
        <v>8150</v>
      </c>
      <c r="B164" t="s">
        <v>3875</v>
      </c>
      <c r="C164" t="s">
        <v>3876</v>
      </c>
      <c r="D164" t="s">
        <v>3877</v>
      </c>
      <c r="E164" t="s">
        <v>3878</v>
      </c>
      <c r="F164" t="s">
        <v>3879</v>
      </c>
      <c r="G164" t="s">
        <v>3880</v>
      </c>
      <c r="H164" t="s">
        <v>3881</v>
      </c>
      <c r="I164" t="s">
        <v>3882</v>
      </c>
      <c r="J164" t="s">
        <v>3883</v>
      </c>
      <c r="K164" t="s">
        <v>3884</v>
      </c>
      <c r="L164" t="s">
        <v>3885</v>
      </c>
      <c r="M164" t="s">
        <v>3886</v>
      </c>
      <c r="N164" t="s">
        <v>3887</v>
      </c>
      <c r="O164" t="s">
        <v>3888</v>
      </c>
      <c r="P164" t="s">
        <v>3889</v>
      </c>
      <c r="Q164" t="s">
        <v>3890</v>
      </c>
      <c r="R164" t="s">
        <v>3891</v>
      </c>
      <c r="S164" t="s">
        <v>3892</v>
      </c>
      <c r="T164" t="s">
        <v>3893</v>
      </c>
      <c r="U164" t="s">
        <v>3894</v>
      </c>
      <c r="V164" t="s">
        <v>3895</v>
      </c>
      <c r="W164" t="s">
        <v>3896</v>
      </c>
      <c r="X164" t="s">
        <v>3897</v>
      </c>
      <c r="Y164" t="s">
        <v>3898</v>
      </c>
    </row>
    <row r="165" spans="1:25" x14ac:dyDescent="0.3">
      <c r="A165">
        <v>8200</v>
      </c>
      <c r="B165" t="s">
        <v>3899</v>
      </c>
      <c r="C165" t="s">
        <v>3900</v>
      </c>
      <c r="D165" t="s">
        <v>3901</v>
      </c>
      <c r="E165" t="s">
        <v>3902</v>
      </c>
      <c r="F165" t="s">
        <v>3903</v>
      </c>
      <c r="G165" t="s">
        <v>3904</v>
      </c>
      <c r="H165" t="s">
        <v>3905</v>
      </c>
      <c r="I165" t="s">
        <v>3906</v>
      </c>
      <c r="J165" t="s">
        <v>3907</v>
      </c>
      <c r="K165" t="s">
        <v>3908</v>
      </c>
      <c r="L165" t="s">
        <v>3909</v>
      </c>
      <c r="M165" t="s">
        <v>3910</v>
      </c>
      <c r="N165" t="s">
        <v>3911</v>
      </c>
      <c r="O165" t="s">
        <v>3912</v>
      </c>
      <c r="P165" t="s">
        <v>3913</v>
      </c>
      <c r="Q165" t="s">
        <v>3914</v>
      </c>
      <c r="R165" t="s">
        <v>3915</v>
      </c>
      <c r="S165" t="s">
        <v>3916</v>
      </c>
      <c r="T165" t="s">
        <v>3917</v>
      </c>
      <c r="U165" t="s">
        <v>3918</v>
      </c>
      <c r="V165" t="s">
        <v>3919</v>
      </c>
      <c r="W165" t="s">
        <v>3920</v>
      </c>
      <c r="X165" t="s">
        <v>3921</v>
      </c>
      <c r="Y165" t="s">
        <v>3922</v>
      </c>
    </row>
    <row r="166" spans="1:25" x14ac:dyDescent="0.3">
      <c r="A166">
        <v>8250</v>
      </c>
      <c r="B166" t="s">
        <v>3923</v>
      </c>
      <c r="C166" t="s">
        <v>3924</v>
      </c>
      <c r="D166" t="s">
        <v>3925</v>
      </c>
      <c r="E166" t="s">
        <v>3926</v>
      </c>
      <c r="F166" t="s">
        <v>3927</v>
      </c>
      <c r="G166" t="s">
        <v>3928</v>
      </c>
      <c r="H166" t="s">
        <v>3929</v>
      </c>
      <c r="I166" t="s">
        <v>3930</v>
      </c>
      <c r="J166" t="s">
        <v>3931</v>
      </c>
      <c r="K166" t="s">
        <v>3932</v>
      </c>
      <c r="L166" t="s">
        <v>3933</v>
      </c>
      <c r="M166" t="s">
        <v>3934</v>
      </c>
      <c r="N166" t="s">
        <v>3935</v>
      </c>
      <c r="O166" t="s">
        <v>3936</v>
      </c>
      <c r="P166" t="s">
        <v>3937</v>
      </c>
      <c r="Q166" t="s">
        <v>3938</v>
      </c>
      <c r="R166" t="s">
        <v>3939</v>
      </c>
      <c r="S166" t="s">
        <v>3940</v>
      </c>
      <c r="T166" t="s">
        <v>3941</v>
      </c>
      <c r="U166" t="s">
        <v>3942</v>
      </c>
      <c r="V166" t="s">
        <v>3943</v>
      </c>
      <c r="W166" t="s">
        <v>3944</v>
      </c>
      <c r="X166" t="s">
        <v>3945</v>
      </c>
      <c r="Y166" t="s">
        <v>3946</v>
      </c>
    </row>
    <row r="167" spans="1:25" x14ac:dyDescent="0.3">
      <c r="A167">
        <v>8300</v>
      </c>
      <c r="B167" t="s">
        <v>3947</v>
      </c>
      <c r="C167" t="s">
        <v>3948</v>
      </c>
      <c r="D167" t="s">
        <v>3949</v>
      </c>
      <c r="E167" t="s">
        <v>3950</v>
      </c>
      <c r="F167" t="s">
        <v>3951</v>
      </c>
      <c r="G167" t="s">
        <v>3952</v>
      </c>
      <c r="H167" t="s">
        <v>3953</v>
      </c>
      <c r="I167" t="s">
        <v>3954</v>
      </c>
      <c r="J167" t="s">
        <v>3955</v>
      </c>
      <c r="K167" t="s">
        <v>3956</v>
      </c>
      <c r="L167" t="s">
        <v>3957</v>
      </c>
      <c r="M167" t="s">
        <v>3958</v>
      </c>
      <c r="N167" t="s">
        <v>3959</v>
      </c>
      <c r="O167" t="s">
        <v>3960</v>
      </c>
      <c r="P167" t="s">
        <v>3961</v>
      </c>
      <c r="Q167" t="s">
        <v>3962</v>
      </c>
      <c r="R167" t="s">
        <v>3963</v>
      </c>
      <c r="S167" t="s">
        <v>3964</v>
      </c>
      <c r="T167" t="s">
        <v>3965</v>
      </c>
      <c r="U167" t="s">
        <v>3966</v>
      </c>
      <c r="V167" t="s">
        <v>3967</v>
      </c>
      <c r="W167" t="s">
        <v>3968</v>
      </c>
      <c r="X167" t="s">
        <v>3969</v>
      </c>
      <c r="Y167" t="s">
        <v>3970</v>
      </c>
    </row>
    <row r="168" spans="1:25" x14ac:dyDescent="0.3">
      <c r="A168">
        <v>8350</v>
      </c>
      <c r="B168" t="s">
        <v>3971</v>
      </c>
      <c r="C168" t="s">
        <v>3972</v>
      </c>
      <c r="D168" t="s">
        <v>3973</v>
      </c>
      <c r="E168" t="s">
        <v>3974</v>
      </c>
      <c r="F168" t="s">
        <v>3975</v>
      </c>
      <c r="G168" t="s">
        <v>3976</v>
      </c>
      <c r="H168" t="s">
        <v>3977</v>
      </c>
      <c r="I168" t="s">
        <v>3978</v>
      </c>
      <c r="J168" t="s">
        <v>3979</v>
      </c>
      <c r="K168" t="s">
        <v>3980</v>
      </c>
      <c r="L168" t="s">
        <v>3981</v>
      </c>
      <c r="M168" t="s">
        <v>3982</v>
      </c>
      <c r="N168" t="s">
        <v>3983</v>
      </c>
      <c r="O168" t="s">
        <v>3984</v>
      </c>
      <c r="P168" t="s">
        <v>3985</v>
      </c>
      <c r="Q168" t="s">
        <v>3986</v>
      </c>
      <c r="R168" t="s">
        <v>3987</v>
      </c>
      <c r="S168" t="s">
        <v>3988</v>
      </c>
      <c r="T168" t="s">
        <v>3989</v>
      </c>
      <c r="U168" t="s">
        <v>3990</v>
      </c>
      <c r="V168" t="s">
        <v>3991</v>
      </c>
      <c r="W168" t="s">
        <v>3992</v>
      </c>
      <c r="X168" t="s">
        <v>3993</v>
      </c>
      <c r="Y168" t="s">
        <v>3994</v>
      </c>
    </row>
    <row r="169" spans="1:25" x14ac:dyDescent="0.3">
      <c r="A169">
        <v>8400</v>
      </c>
      <c r="B169" t="s">
        <v>3995</v>
      </c>
      <c r="C169" t="s">
        <v>3996</v>
      </c>
      <c r="D169" t="s">
        <v>3997</v>
      </c>
      <c r="E169" t="s">
        <v>3998</v>
      </c>
      <c r="F169" t="s">
        <v>3999</v>
      </c>
      <c r="G169" t="s">
        <v>4000</v>
      </c>
      <c r="H169" t="s">
        <v>4001</v>
      </c>
      <c r="I169" t="s">
        <v>4002</v>
      </c>
      <c r="J169" t="s">
        <v>4003</v>
      </c>
      <c r="K169" t="s">
        <v>4004</v>
      </c>
      <c r="L169" t="s">
        <v>4005</v>
      </c>
      <c r="M169" t="s">
        <v>4006</v>
      </c>
      <c r="N169" t="s">
        <v>4007</v>
      </c>
      <c r="O169" t="s">
        <v>4008</v>
      </c>
      <c r="P169" t="s">
        <v>4009</v>
      </c>
      <c r="Q169" t="s">
        <v>4010</v>
      </c>
      <c r="R169" t="s">
        <v>4011</v>
      </c>
      <c r="S169" t="s">
        <v>4012</v>
      </c>
      <c r="T169" t="s">
        <v>4013</v>
      </c>
      <c r="U169" t="s">
        <v>4014</v>
      </c>
      <c r="V169" t="s">
        <v>4015</v>
      </c>
      <c r="W169" t="s">
        <v>4016</v>
      </c>
      <c r="X169" t="s">
        <v>4017</v>
      </c>
      <c r="Y169" t="s">
        <v>4018</v>
      </c>
    </row>
    <row r="170" spans="1:25" x14ac:dyDescent="0.3">
      <c r="A170">
        <v>8450</v>
      </c>
      <c r="B170" t="s">
        <v>4019</v>
      </c>
      <c r="C170" t="s">
        <v>4020</v>
      </c>
      <c r="D170" t="s">
        <v>4021</v>
      </c>
      <c r="E170" t="s">
        <v>4022</v>
      </c>
      <c r="F170" t="s">
        <v>4023</v>
      </c>
      <c r="G170" t="s">
        <v>4024</v>
      </c>
      <c r="H170" t="s">
        <v>4025</v>
      </c>
      <c r="I170" t="s">
        <v>4026</v>
      </c>
      <c r="J170" t="s">
        <v>4027</v>
      </c>
      <c r="K170" t="s">
        <v>4028</v>
      </c>
      <c r="L170" t="s">
        <v>4029</v>
      </c>
      <c r="M170" t="s">
        <v>4030</v>
      </c>
      <c r="N170" t="s">
        <v>4031</v>
      </c>
      <c r="O170" t="s">
        <v>4032</v>
      </c>
      <c r="P170" t="s">
        <v>4033</v>
      </c>
      <c r="Q170" t="s">
        <v>4034</v>
      </c>
      <c r="R170" t="s">
        <v>4035</v>
      </c>
      <c r="S170" t="s">
        <v>4036</v>
      </c>
      <c r="T170" t="s">
        <v>4037</v>
      </c>
      <c r="U170" t="s">
        <v>4038</v>
      </c>
      <c r="V170" t="s">
        <v>4039</v>
      </c>
      <c r="W170" t="s">
        <v>4040</v>
      </c>
      <c r="X170" t="s">
        <v>4041</v>
      </c>
      <c r="Y170" t="s">
        <v>4042</v>
      </c>
    </row>
    <row r="171" spans="1:25" x14ac:dyDescent="0.3">
      <c r="A171">
        <v>8500</v>
      </c>
      <c r="B171" t="s">
        <v>4043</v>
      </c>
      <c r="C171" t="s">
        <v>4044</v>
      </c>
      <c r="D171" t="s">
        <v>4045</v>
      </c>
      <c r="E171" t="s">
        <v>4046</v>
      </c>
      <c r="F171" t="s">
        <v>4047</v>
      </c>
      <c r="G171" t="s">
        <v>4048</v>
      </c>
      <c r="H171" t="s">
        <v>4049</v>
      </c>
      <c r="I171" t="s">
        <v>4050</v>
      </c>
      <c r="J171" t="s">
        <v>4051</v>
      </c>
      <c r="K171" t="s">
        <v>4052</v>
      </c>
      <c r="L171" t="s">
        <v>4053</v>
      </c>
      <c r="M171" t="s">
        <v>4054</v>
      </c>
      <c r="N171" t="s">
        <v>4055</v>
      </c>
      <c r="O171" t="s">
        <v>4056</v>
      </c>
      <c r="P171" t="s">
        <v>4057</v>
      </c>
      <c r="Q171" t="s">
        <v>4058</v>
      </c>
      <c r="R171" t="s">
        <v>4059</v>
      </c>
      <c r="S171" t="s">
        <v>4060</v>
      </c>
      <c r="T171" t="s">
        <v>4061</v>
      </c>
      <c r="U171" t="s">
        <v>4062</v>
      </c>
      <c r="V171" t="s">
        <v>4063</v>
      </c>
      <c r="W171" t="s">
        <v>4064</v>
      </c>
      <c r="X171" t="s">
        <v>4065</v>
      </c>
      <c r="Y171" t="s">
        <v>4066</v>
      </c>
    </row>
    <row r="172" spans="1:25" x14ac:dyDescent="0.3">
      <c r="A172">
        <v>8550</v>
      </c>
      <c r="B172" t="s">
        <v>4067</v>
      </c>
      <c r="C172" t="s">
        <v>4068</v>
      </c>
      <c r="D172" t="s">
        <v>4069</v>
      </c>
      <c r="E172" t="s">
        <v>4070</v>
      </c>
      <c r="F172" t="s">
        <v>4071</v>
      </c>
      <c r="G172" t="s">
        <v>4072</v>
      </c>
      <c r="H172" t="s">
        <v>4073</v>
      </c>
      <c r="I172" t="s">
        <v>4074</v>
      </c>
      <c r="J172" t="s">
        <v>4075</v>
      </c>
      <c r="K172" t="s">
        <v>4076</v>
      </c>
      <c r="L172" t="s">
        <v>4077</v>
      </c>
      <c r="M172" t="s">
        <v>4078</v>
      </c>
      <c r="N172" t="s">
        <v>4079</v>
      </c>
      <c r="O172" t="s">
        <v>4080</v>
      </c>
      <c r="P172" t="s">
        <v>4081</v>
      </c>
      <c r="Q172" t="s">
        <v>4082</v>
      </c>
      <c r="R172" t="s">
        <v>4083</v>
      </c>
      <c r="S172" t="s">
        <v>4084</v>
      </c>
      <c r="T172" t="s">
        <v>4085</v>
      </c>
      <c r="U172" t="s">
        <v>4086</v>
      </c>
      <c r="V172" t="s">
        <v>4087</v>
      </c>
      <c r="W172" t="s">
        <v>4088</v>
      </c>
      <c r="X172" t="s">
        <v>4089</v>
      </c>
      <c r="Y172" t="s">
        <v>4090</v>
      </c>
    </row>
    <row r="173" spans="1:25" x14ac:dyDescent="0.3">
      <c r="A173">
        <v>8600</v>
      </c>
      <c r="B173" t="s">
        <v>4091</v>
      </c>
      <c r="C173" t="s">
        <v>4092</v>
      </c>
      <c r="D173" t="s">
        <v>4093</v>
      </c>
      <c r="E173" t="s">
        <v>4094</v>
      </c>
      <c r="F173" t="s">
        <v>4095</v>
      </c>
      <c r="G173" t="s">
        <v>4096</v>
      </c>
      <c r="H173" t="s">
        <v>4097</v>
      </c>
      <c r="I173" t="s">
        <v>4098</v>
      </c>
      <c r="J173" t="s">
        <v>4099</v>
      </c>
      <c r="K173" t="s">
        <v>4100</v>
      </c>
      <c r="L173" t="s">
        <v>4101</v>
      </c>
      <c r="M173" t="s">
        <v>4102</v>
      </c>
      <c r="N173" t="s">
        <v>4103</v>
      </c>
      <c r="O173" t="s">
        <v>4104</v>
      </c>
      <c r="P173" t="s">
        <v>4105</v>
      </c>
      <c r="Q173" t="s">
        <v>4106</v>
      </c>
      <c r="R173" t="s">
        <v>4107</v>
      </c>
      <c r="S173" t="s">
        <v>4108</v>
      </c>
      <c r="T173" t="s">
        <v>4109</v>
      </c>
      <c r="U173" t="s">
        <v>4110</v>
      </c>
      <c r="V173" t="s">
        <v>4111</v>
      </c>
      <c r="W173" t="s">
        <v>4112</v>
      </c>
      <c r="X173" t="s">
        <v>4113</v>
      </c>
      <c r="Y173" t="s">
        <v>4114</v>
      </c>
    </row>
    <row r="174" spans="1:25" x14ac:dyDescent="0.3">
      <c r="A174">
        <v>8650</v>
      </c>
      <c r="B174" t="s">
        <v>4115</v>
      </c>
      <c r="C174" t="s">
        <v>4116</v>
      </c>
      <c r="D174" t="s">
        <v>4117</v>
      </c>
      <c r="E174" t="s">
        <v>4118</v>
      </c>
      <c r="F174" t="s">
        <v>4119</v>
      </c>
      <c r="G174" t="s">
        <v>4120</v>
      </c>
      <c r="H174" t="s">
        <v>4121</v>
      </c>
      <c r="I174" t="s">
        <v>4122</v>
      </c>
      <c r="J174" t="s">
        <v>4123</v>
      </c>
      <c r="K174" t="s">
        <v>4124</v>
      </c>
      <c r="L174" t="s">
        <v>4125</v>
      </c>
      <c r="M174" t="s">
        <v>4126</v>
      </c>
      <c r="N174" t="s">
        <v>4127</v>
      </c>
      <c r="O174" t="s">
        <v>4128</v>
      </c>
      <c r="P174" t="s">
        <v>4129</v>
      </c>
      <c r="Q174" t="s">
        <v>4130</v>
      </c>
      <c r="R174" t="s">
        <v>4131</v>
      </c>
      <c r="S174" t="s">
        <v>4132</v>
      </c>
      <c r="T174" t="s">
        <v>4133</v>
      </c>
      <c r="U174" t="s">
        <v>4134</v>
      </c>
      <c r="V174" t="s">
        <v>4135</v>
      </c>
      <c r="W174" t="s">
        <v>4136</v>
      </c>
      <c r="X174" t="s">
        <v>4137</v>
      </c>
      <c r="Y174" t="s">
        <v>4138</v>
      </c>
    </row>
    <row r="175" spans="1:25" x14ac:dyDescent="0.3">
      <c r="A175">
        <v>8700</v>
      </c>
      <c r="B175" t="s">
        <v>4139</v>
      </c>
      <c r="C175" t="s">
        <v>4140</v>
      </c>
      <c r="D175" t="s">
        <v>4141</v>
      </c>
      <c r="E175" t="s">
        <v>4142</v>
      </c>
      <c r="F175" t="s">
        <v>4143</v>
      </c>
      <c r="G175" t="s">
        <v>4144</v>
      </c>
      <c r="H175" t="s">
        <v>4145</v>
      </c>
      <c r="I175" t="s">
        <v>4146</v>
      </c>
      <c r="J175" t="s">
        <v>4147</v>
      </c>
      <c r="K175" t="s">
        <v>4148</v>
      </c>
      <c r="L175" t="s">
        <v>4149</v>
      </c>
      <c r="M175" t="s">
        <v>4150</v>
      </c>
      <c r="N175" t="s">
        <v>4151</v>
      </c>
      <c r="O175" t="s">
        <v>4152</v>
      </c>
      <c r="P175" t="s">
        <v>4153</v>
      </c>
      <c r="Q175" t="s">
        <v>4154</v>
      </c>
      <c r="R175" t="s">
        <v>4155</v>
      </c>
      <c r="S175" t="s">
        <v>4156</v>
      </c>
      <c r="T175" t="s">
        <v>4157</v>
      </c>
      <c r="U175" t="s">
        <v>4158</v>
      </c>
      <c r="V175" t="s">
        <v>4159</v>
      </c>
      <c r="W175" t="s">
        <v>4160</v>
      </c>
      <c r="X175" t="s">
        <v>4161</v>
      </c>
      <c r="Y175" t="s">
        <v>4162</v>
      </c>
    </row>
    <row r="176" spans="1:25" x14ac:dyDescent="0.3">
      <c r="A176">
        <v>8750</v>
      </c>
      <c r="B176" t="s">
        <v>4163</v>
      </c>
      <c r="C176" t="s">
        <v>4164</v>
      </c>
      <c r="D176" t="s">
        <v>4165</v>
      </c>
      <c r="E176" t="s">
        <v>4166</v>
      </c>
      <c r="F176" t="s">
        <v>4167</v>
      </c>
      <c r="G176" t="s">
        <v>4168</v>
      </c>
      <c r="H176" t="s">
        <v>4169</v>
      </c>
      <c r="I176" t="s">
        <v>4170</v>
      </c>
      <c r="J176" t="s">
        <v>4171</v>
      </c>
      <c r="K176" t="s">
        <v>4172</v>
      </c>
      <c r="L176" t="s">
        <v>4173</v>
      </c>
      <c r="M176" t="s">
        <v>4174</v>
      </c>
      <c r="N176" t="s">
        <v>4175</v>
      </c>
      <c r="O176" t="s">
        <v>4176</v>
      </c>
      <c r="P176" t="s">
        <v>4177</v>
      </c>
      <c r="Q176" t="s">
        <v>4178</v>
      </c>
      <c r="R176" t="s">
        <v>4179</v>
      </c>
      <c r="S176" t="s">
        <v>4180</v>
      </c>
      <c r="T176" t="s">
        <v>4181</v>
      </c>
      <c r="U176" t="s">
        <v>4182</v>
      </c>
      <c r="V176" t="s">
        <v>4183</v>
      </c>
      <c r="W176" t="s">
        <v>4184</v>
      </c>
      <c r="X176" t="s">
        <v>4185</v>
      </c>
      <c r="Y176" t="s">
        <v>4186</v>
      </c>
    </row>
    <row r="177" spans="1:25" x14ac:dyDescent="0.3">
      <c r="A177">
        <v>8800</v>
      </c>
      <c r="B177" t="s">
        <v>4187</v>
      </c>
      <c r="C177" t="s">
        <v>4188</v>
      </c>
      <c r="D177" t="s">
        <v>4189</v>
      </c>
      <c r="E177" t="s">
        <v>4190</v>
      </c>
      <c r="F177" t="s">
        <v>4191</v>
      </c>
      <c r="G177" t="s">
        <v>4192</v>
      </c>
      <c r="H177" t="s">
        <v>4193</v>
      </c>
      <c r="I177" t="s">
        <v>4194</v>
      </c>
      <c r="J177" t="s">
        <v>4195</v>
      </c>
      <c r="K177" t="s">
        <v>4196</v>
      </c>
      <c r="L177" t="s">
        <v>4197</v>
      </c>
      <c r="M177" t="s">
        <v>4198</v>
      </c>
      <c r="N177" t="s">
        <v>4199</v>
      </c>
      <c r="O177" t="s">
        <v>4200</v>
      </c>
      <c r="P177" t="s">
        <v>4201</v>
      </c>
      <c r="Q177" t="s">
        <v>4202</v>
      </c>
      <c r="R177" t="s">
        <v>4203</v>
      </c>
      <c r="S177" t="s">
        <v>4204</v>
      </c>
      <c r="T177" t="s">
        <v>4205</v>
      </c>
      <c r="U177" t="s">
        <v>4206</v>
      </c>
      <c r="V177" t="s">
        <v>4207</v>
      </c>
      <c r="W177" t="s">
        <v>4208</v>
      </c>
      <c r="X177" t="s">
        <v>4209</v>
      </c>
      <c r="Y177" t="s">
        <v>4210</v>
      </c>
    </row>
    <row r="178" spans="1:25" x14ac:dyDescent="0.3">
      <c r="A178">
        <v>8850</v>
      </c>
      <c r="B178" t="s">
        <v>4211</v>
      </c>
      <c r="C178" t="s">
        <v>4212</v>
      </c>
      <c r="D178" t="s">
        <v>4213</v>
      </c>
      <c r="E178" t="s">
        <v>4214</v>
      </c>
      <c r="F178" t="s">
        <v>4215</v>
      </c>
      <c r="G178" t="s">
        <v>4216</v>
      </c>
      <c r="H178" t="s">
        <v>4217</v>
      </c>
      <c r="I178" t="s">
        <v>4218</v>
      </c>
      <c r="J178" t="s">
        <v>4219</v>
      </c>
      <c r="K178" t="s">
        <v>4220</v>
      </c>
      <c r="L178" t="s">
        <v>4221</v>
      </c>
      <c r="M178" t="s">
        <v>4222</v>
      </c>
      <c r="N178" t="s">
        <v>4223</v>
      </c>
      <c r="O178" t="s">
        <v>4224</v>
      </c>
      <c r="P178" t="s">
        <v>4225</v>
      </c>
      <c r="Q178" t="s">
        <v>4226</v>
      </c>
      <c r="R178" t="s">
        <v>4227</v>
      </c>
      <c r="S178" t="s">
        <v>4228</v>
      </c>
      <c r="T178" t="s">
        <v>4229</v>
      </c>
      <c r="U178" t="s">
        <v>4230</v>
      </c>
      <c r="V178" t="s">
        <v>4231</v>
      </c>
      <c r="W178" t="s">
        <v>4232</v>
      </c>
      <c r="X178" t="s">
        <v>4233</v>
      </c>
      <c r="Y178" t="s">
        <v>4234</v>
      </c>
    </row>
    <row r="179" spans="1:25" x14ac:dyDescent="0.3">
      <c r="A179">
        <v>8900</v>
      </c>
      <c r="B179" t="s">
        <v>4235</v>
      </c>
      <c r="C179" t="s">
        <v>4236</v>
      </c>
      <c r="D179" t="s">
        <v>4237</v>
      </c>
      <c r="E179" t="s">
        <v>4238</v>
      </c>
      <c r="F179" t="s">
        <v>4239</v>
      </c>
      <c r="G179" t="s">
        <v>4240</v>
      </c>
      <c r="H179" t="s">
        <v>4241</v>
      </c>
      <c r="I179" t="s">
        <v>4242</v>
      </c>
      <c r="J179" t="s">
        <v>4243</v>
      </c>
      <c r="K179" t="s">
        <v>4244</v>
      </c>
      <c r="L179" t="s">
        <v>4245</v>
      </c>
      <c r="M179" t="s">
        <v>4246</v>
      </c>
      <c r="N179" t="s">
        <v>4247</v>
      </c>
      <c r="O179" t="s">
        <v>4248</v>
      </c>
      <c r="P179" t="s">
        <v>4249</v>
      </c>
      <c r="Q179" t="s">
        <v>4250</v>
      </c>
      <c r="R179" t="s">
        <v>4251</v>
      </c>
      <c r="S179" t="s">
        <v>4252</v>
      </c>
      <c r="T179" t="s">
        <v>4253</v>
      </c>
      <c r="U179" t="s">
        <v>4254</v>
      </c>
      <c r="V179" t="s">
        <v>4255</v>
      </c>
      <c r="W179" t="s">
        <v>4256</v>
      </c>
      <c r="X179" t="s">
        <v>4257</v>
      </c>
      <c r="Y179" t="s">
        <v>4258</v>
      </c>
    </row>
    <row r="180" spans="1:25" x14ac:dyDescent="0.3">
      <c r="A180">
        <v>8950</v>
      </c>
      <c r="B180" t="s">
        <v>4259</v>
      </c>
      <c r="C180" t="s">
        <v>4260</v>
      </c>
      <c r="D180" t="s">
        <v>4261</v>
      </c>
      <c r="E180" t="s">
        <v>4262</v>
      </c>
      <c r="F180" t="s">
        <v>4263</v>
      </c>
      <c r="G180" t="s">
        <v>4264</v>
      </c>
      <c r="H180" t="s">
        <v>4265</v>
      </c>
      <c r="I180" t="s">
        <v>4266</v>
      </c>
      <c r="J180" t="s">
        <v>4267</v>
      </c>
      <c r="K180" t="s">
        <v>4268</v>
      </c>
      <c r="L180" t="s">
        <v>4269</v>
      </c>
      <c r="M180" t="s">
        <v>4270</v>
      </c>
      <c r="N180" t="s">
        <v>4271</v>
      </c>
      <c r="O180" t="s">
        <v>4272</v>
      </c>
      <c r="P180" t="s">
        <v>4273</v>
      </c>
      <c r="Q180" t="s">
        <v>4274</v>
      </c>
      <c r="R180" t="s">
        <v>4275</v>
      </c>
      <c r="S180" t="s">
        <v>4276</v>
      </c>
      <c r="T180" t="s">
        <v>4277</v>
      </c>
      <c r="U180" t="s">
        <v>4278</v>
      </c>
      <c r="V180" t="s">
        <v>4279</v>
      </c>
      <c r="W180" t="s">
        <v>4280</v>
      </c>
      <c r="X180" t="s">
        <v>4281</v>
      </c>
      <c r="Y180" t="s">
        <v>4282</v>
      </c>
    </row>
    <row r="181" spans="1:25" x14ac:dyDescent="0.3">
      <c r="A181">
        <v>9000</v>
      </c>
      <c r="B181" t="s">
        <v>4283</v>
      </c>
      <c r="C181" t="s">
        <v>4284</v>
      </c>
      <c r="D181" t="s">
        <v>4285</v>
      </c>
      <c r="E181" t="s">
        <v>4286</v>
      </c>
      <c r="F181" t="s">
        <v>4287</v>
      </c>
      <c r="G181" t="s">
        <v>4288</v>
      </c>
      <c r="H181" t="s">
        <v>4289</v>
      </c>
      <c r="I181" t="s">
        <v>4290</v>
      </c>
      <c r="J181" t="s">
        <v>4291</v>
      </c>
      <c r="K181" t="s">
        <v>4292</v>
      </c>
      <c r="L181" t="s">
        <v>4293</v>
      </c>
      <c r="M181" t="s">
        <v>4294</v>
      </c>
      <c r="N181" t="s">
        <v>4295</v>
      </c>
      <c r="O181" t="s">
        <v>4296</v>
      </c>
      <c r="P181" t="s">
        <v>4297</v>
      </c>
      <c r="Q181" t="s">
        <v>4298</v>
      </c>
      <c r="R181" t="s">
        <v>4299</v>
      </c>
      <c r="S181" t="s">
        <v>4300</v>
      </c>
      <c r="T181" t="s">
        <v>4301</v>
      </c>
      <c r="U181" t="s">
        <v>4302</v>
      </c>
      <c r="V181" t="s">
        <v>4303</v>
      </c>
      <c r="W181" t="s">
        <v>4304</v>
      </c>
      <c r="X181" t="s">
        <v>4305</v>
      </c>
      <c r="Y181" t="s">
        <v>4306</v>
      </c>
    </row>
    <row r="182" spans="1:25" x14ac:dyDescent="0.3">
      <c r="A182">
        <v>9050</v>
      </c>
      <c r="B182" t="s">
        <v>4307</v>
      </c>
      <c r="C182" t="s">
        <v>4308</v>
      </c>
      <c r="D182" t="s">
        <v>4309</v>
      </c>
      <c r="E182" t="s">
        <v>4310</v>
      </c>
      <c r="F182" t="s">
        <v>4311</v>
      </c>
      <c r="G182" t="s">
        <v>4312</v>
      </c>
      <c r="H182" t="s">
        <v>4313</v>
      </c>
      <c r="I182" t="s">
        <v>4314</v>
      </c>
      <c r="J182" t="s">
        <v>4315</v>
      </c>
      <c r="K182" t="s">
        <v>4316</v>
      </c>
      <c r="L182" t="s">
        <v>4317</v>
      </c>
      <c r="M182" t="s">
        <v>4318</v>
      </c>
      <c r="N182" t="s">
        <v>4319</v>
      </c>
      <c r="O182" t="s">
        <v>4320</v>
      </c>
      <c r="P182" t="s">
        <v>4321</v>
      </c>
      <c r="Q182" t="s">
        <v>4322</v>
      </c>
      <c r="R182" t="s">
        <v>4323</v>
      </c>
      <c r="S182" t="s">
        <v>4324</v>
      </c>
      <c r="T182" t="s">
        <v>4325</v>
      </c>
      <c r="U182" t="s">
        <v>4326</v>
      </c>
      <c r="V182" t="s">
        <v>4327</v>
      </c>
      <c r="W182" t="s">
        <v>4328</v>
      </c>
      <c r="X182" t="s">
        <v>4329</v>
      </c>
      <c r="Y182" t="s">
        <v>4330</v>
      </c>
    </row>
    <row r="183" spans="1:25" x14ac:dyDescent="0.3">
      <c r="A183">
        <v>9100</v>
      </c>
      <c r="B183" t="s">
        <v>4331</v>
      </c>
      <c r="C183" t="s">
        <v>4332</v>
      </c>
      <c r="D183" t="s">
        <v>4333</v>
      </c>
      <c r="E183" t="s">
        <v>4334</v>
      </c>
      <c r="F183" t="s">
        <v>4335</v>
      </c>
      <c r="G183" t="s">
        <v>4336</v>
      </c>
      <c r="H183" t="s">
        <v>4337</v>
      </c>
      <c r="I183" t="s">
        <v>4338</v>
      </c>
      <c r="J183" t="s">
        <v>4339</v>
      </c>
      <c r="K183" t="s">
        <v>4340</v>
      </c>
      <c r="L183" t="s">
        <v>4341</v>
      </c>
      <c r="M183" t="s">
        <v>4342</v>
      </c>
      <c r="N183" t="s">
        <v>4343</v>
      </c>
      <c r="O183" t="s">
        <v>4344</v>
      </c>
      <c r="P183" t="s">
        <v>4345</v>
      </c>
      <c r="Q183" t="s">
        <v>4346</v>
      </c>
      <c r="R183" t="s">
        <v>4347</v>
      </c>
      <c r="S183" t="s">
        <v>4348</v>
      </c>
      <c r="T183" t="s">
        <v>4349</v>
      </c>
      <c r="U183" t="s">
        <v>4350</v>
      </c>
      <c r="V183" t="s">
        <v>4351</v>
      </c>
      <c r="W183" t="s">
        <v>4352</v>
      </c>
      <c r="X183" t="s">
        <v>4353</v>
      </c>
      <c r="Y183" t="s">
        <v>4354</v>
      </c>
    </row>
    <row r="184" spans="1:25" x14ac:dyDescent="0.3">
      <c r="A184">
        <v>9150</v>
      </c>
      <c r="B184" t="s">
        <v>4355</v>
      </c>
      <c r="C184" t="s">
        <v>4356</v>
      </c>
      <c r="D184" t="s">
        <v>4357</v>
      </c>
      <c r="E184" t="s">
        <v>4358</v>
      </c>
      <c r="F184" t="s">
        <v>4359</v>
      </c>
      <c r="G184" t="s">
        <v>4360</v>
      </c>
      <c r="H184" t="s">
        <v>4361</v>
      </c>
      <c r="I184" t="s">
        <v>4362</v>
      </c>
      <c r="J184" t="s">
        <v>4363</v>
      </c>
      <c r="K184" t="s">
        <v>4364</v>
      </c>
      <c r="L184" t="s">
        <v>4365</v>
      </c>
      <c r="M184" t="s">
        <v>4366</v>
      </c>
      <c r="N184" t="s">
        <v>4367</v>
      </c>
      <c r="O184" t="s">
        <v>4368</v>
      </c>
      <c r="P184" t="s">
        <v>4369</v>
      </c>
      <c r="Q184" t="s">
        <v>4370</v>
      </c>
      <c r="R184" t="s">
        <v>4371</v>
      </c>
      <c r="S184" t="s">
        <v>4372</v>
      </c>
      <c r="T184" t="s">
        <v>4373</v>
      </c>
      <c r="U184" t="s">
        <v>4374</v>
      </c>
      <c r="V184" t="s">
        <v>4375</v>
      </c>
      <c r="W184" t="s">
        <v>4376</v>
      </c>
      <c r="X184" t="s">
        <v>4377</v>
      </c>
      <c r="Y184" t="s">
        <v>4378</v>
      </c>
    </row>
    <row r="185" spans="1:25" x14ac:dyDescent="0.3">
      <c r="A185">
        <v>9200</v>
      </c>
      <c r="B185" t="s">
        <v>4379</v>
      </c>
      <c r="C185" t="s">
        <v>4380</v>
      </c>
      <c r="D185" t="s">
        <v>4381</v>
      </c>
      <c r="E185" t="s">
        <v>4382</v>
      </c>
      <c r="F185" t="s">
        <v>4383</v>
      </c>
      <c r="G185" t="s">
        <v>4384</v>
      </c>
      <c r="H185" t="s">
        <v>4385</v>
      </c>
      <c r="I185" t="s">
        <v>4386</v>
      </c>
      <c r="J185" t="s">
        <v>4387</v>
      </c>
      <c r="K185" t="s">
        <v>4388</v>
      </c>
      <c r="L185" t="s">
        <v>4389</v>
      </c>
      <c r="M185" t="s">
        <v>4390</v>
      </c>
      <c r="N185" t="s">
        <v>4391</v>
      </c>
      <c r="O185" t="s">
        <v>4392</v>
      </c>
      <c r="P185" t="s">
        <v>4393</v>
      </c>
      <c r="Q185" t="s">
        <v>4394</v>
      </c>
      <c r="R185" t="s">
        <v>4395</v>
      </c>
      <c r="S185" t="s">
        <v>4396</v>
      </c>
      <c r="T185" t="s">
        <v>4397</v>
      </c>
      <c r="U185" t="s">
        <v>4398</v>
      </c>
      <c r="V185" t="s">
        <v>4399</v>
      </c>
      <c r="W185" t="s">
        <v>4400</v>
      </c>
      <c r="X185" t="s">
        <v>4401</v>
      </c>
      <c r="Y185" t="s">
        <v>4402</v>
      </c>
    </row>
    <row r="186" spans="1:25" x14ac:dyDescent="0.3">
      <c r="A186">
        <v>9250</v>
      </c>
      <c r="B186" t="s">
        <v>4403</v>
      </c>
      <c r="C186" t="s">
        <v>4404</v>
      </c>
      <c r="D186" t="s">
        <v>4405</v>
      </c>
      <c r="E186" t="s">
        <v>4406</v>
      </c>
      <c r="F186" t="s">
        <v>4407</v>
      </c>
      <c r="G186" t="s">
        <v>4408</v>
      </c>
      <c r="H186" t="s">
        <v>4409</v>
      </c>
      <c r="I186" t="s">
        <v>4410</v>
      </c>
      <c r="J186" t="s">
        <v>4411</v>
      </c>
      <c r="K186" t="s">
        <v>4412</v>
      </c>
      <c r="L186" t="s">
        <v>4413</v>
      </c>
      <c r="M186" t="s">
        <v>4414</v>
      </c>
      <c r="N186" t="s">
        <v>4415</v>
      </c>
      <c r="O186" t="s">
        <v>4416</v>
      </c>
      <c r="P186" t="s">
        <v>4417</v>
      </c>
      <c r="Q186" t="s">
        <v>4418</v>
      </c>
      <c r="R186" t="s">
        <v>4419</v>
      </c>
      <c r="S186" t="s">
        <v>4420</v>
      </c>
      <c r="T186" t="s">
        <v>4421</v>
      </c>
      <c r="U186" t="s">
        <v>4422</v>
      </c>
      <c r="V186" t="s">
        <v>4423</v>
      </c>
      <c r="W186" t="s">
        <v>4424</v>
      </c>
      <c r="X186" t="s">
        <v>4425</v>
      </c>
      <c r="Y186" t="s">
        <v>4426</v>
      </c>
    </row>
    <row r="187" spans="1:25" x14ac:dyDescent="0.3">
      <c r="A187">
        <v>9300</v>
      </c>
      <c r="B187" t="s">
        <v>4427</v>
      </c>
      <c r="C187" t="s">
        <v>4428</v>
      </c>
      <c r="D187" t="s">
        <v>4429</v>
      </c>
      <c r="E187" t="s">
        <v>4430</v>
      </c>
      <c r="F187" t="s">
        <v>4431</v>
      </c>
      <c r="G187" t="s">
        <v>4432</v>
      </c>
      <c r="H187" t="s">
        <v>4433</v>
      </c>
      <c r="I187" t="s">
        <v>4434</v>
      </c>
      <c r="J187" t="s">
        <v>4435</v>
      </c>
      <c r="K187" t="s">
        <v>4436</v>
      </c>
      <c r="L187" t="s">
        <v>4437</v>
      </c>
      <c r="M187" t="s">
        <v>4438</v>
      </c>
      <c r="N187" t="s">
        <v>4439</v>
      </c>
      <c r="O187" t="s">
        <v>4440</v>
      </c>
      <c r="P187" t="s">
        <v>4441</v>
      </c>
      <c r="Q187" t="s">
        <v>4442</v>
      </c>
      <c r="R187" t="s">
        <v>4443</v>
      </c>
      <c r="S187" t="s">
        <v>4444</v>
      </c>
      <c r="T187" t="s">
        <v>4445</v>
      </c>
      <c r="U187" t="s">
        <v>4446</v>
      </c>
      <c r="V187" t="s">
        <v>4447</v>
      </c>
      <c r="W187" t="s">
        <v>4448</v>
      </c>
      <c r="X187" t="s">
        <v>4449</v>
      </c>
      <c r="Y187" t="s">
        <v>4450</v>
      </c>
    </row>
    <row r="188" spans="1:25" x14ac:dyDescent="0.3">
      <c r="A188">
        <v>9350</v>
      </c>
      <c r="B188" t="s">
        <v>4451</v>
      </c>
      <c r="C188" t="s">
        <v>4452</v>
      </c>
      <c r="D188" t="s">
        <v>4453</v>
      </c>
      <c r="E188" t="s">
        <v>4454</v>
      </c>
      <c r="F188" t="s">
        <v>4455</v>
      </c>
      <c r="G188" t="s">
        <v>4456</v>
      </c>
      <c r="H188" t="s">
        <v>4457</v>
      </c>
      <c r="I188" t="s">
        <v>4458</v>
      </c>
      <c r="J188" t="s">
        <v>4459</v>
      </c>
      <c r="K188" t="s">
        <v>4460</v>
      </c>
      <c r="L188" t="s">
        <v>4461</v>
      </c>
      <c r="M188" t="s">
        <v>4462</v>
      </c>
      <c r="N188" t="s">
        <v>4463</v>
      </c>
      <c r="O188" t="s">
        <v>4464</v>
      </c>
      <c r="P188" t="s">
        <v>4465</v>
      </c>
      <c r="Q188" t="s">
        <v>4466</v>
      </c>
      <c r="R188" t="s">
        <v>4467</v>
      </c>
      <c r="S188" t="s">
        <v>4468</v>
      </c>
      <c r="T188" t="s">
        <v>4469</v>
      </c>
      <c r="U188" t="s">
        <v>4470</v>
      </c>
      <c r="V188" t="s">
        <v>4471</v>
      </c>
      <c r="W188" t="s">
        <v>4472</v>
      </c>
      <c r="X188" t="s">
        <v>4473</v>
      </c>
      <c r="Y188" t="s">
        <v>4474</v>
      </c>
    </row>
    <row r="189" spans="1:25" x14ac:dyDescent="0.3">
      <c r="A189">
        <v>9400</v>
      </c>
      <c r="B189" t="s">
        <v>4475</v>
      </c>
      <c r="C189" t="s">
        <v>4476</v>
      </c>
      <c r="D189" t="s">
        <v>4477</v>
      </c>
      <c r="E189" t="s">
        <v>4478</v>
      </c>
      <c r="F189" t="s">
        <v>4479</v>
      </c>
      <c r="G189" t="s">
        <v>4480</v>
      </c>
      <c r="H189" t="s">
        <v>4481</v>
      </c>
      <c r="I189" t="s">
        <v>4482</v>
      </c>
      <c r="J189" t="s">
        <v>4483</v>
      </c>
      <c r="K189" t="s">
        <v>4484</v>
      </c>
      <c r="L189" t="s">
        <v>4485</v>
      </c>
      <c r="M189" t="s">
        <v>4486</v>
      </c>
      <c r="N189" t="s">
        <v>4487</v>
      </c>
      <c r="O189" t="s">
        <v>4488</v>
      </c>
      <c r="P189" t="s">
        <v>4489</v>
      </c>
      <c r="Q189" t="s">
        <v>4490</v>
      </c>
      <c r="R189" t="s">
        <v>4491</v>
      </c>
      <c r="S189" t="s">
        <v>4492</v>
      </c>
      <c r="T189" t="s">
        <v>4493</v>
      </c>
      <c r="U189" t="s">
        <v>4494</v>
      </c>
      <c r="V189" t="s">
        <v>4495</v>
      </c>
      <c r="W189" t="s">
        <v>4496</v>
      </c>
      <c r="X189" t="s">
        <v>4497</v>
      </c>
      <c r="Y189" t="s">
        <v>4498</v>
      </c>
    </row>
    <row r="190" spans="1:25" x14ac:dyDescent="0.3">
      <c r="A190">
        <v>9450</v>
      </c>
      <c r="B190" t="s">
        <v>4499</v>
      </c>
      <c r="C190" t="s">
        <v>4500</v>
      </c>
      <c r="D190" t="s">
        <v>4501</v>
      </c>
      <c r="E190" t="s">
        <v>4502</v>
      </c>
      <c r="F190" t="s">
        <v>4503</v>
      </c>
      <c r="G190" t="s">
        <v>4504</v>
      </c>
      <c r="H190" t="s">
        <v>4505</v>
      </c>
      <c r="I190" t="s">
        <v>4506</v>
      </c>
      <c r="J190" t="s">
        <v>4507</v>
      </c>
      <c r="K190" t="s">
        <v>4508</v>
      </c>
      <c r="L190" t="s">
        <v>4509</v>
      </c>
      <c r="M190" t="s">
        <v>4510</v>
      </c>
      <c r="N190" t="s">
        <v>4511</v>
      </c>
      <c r="O190">
        <f>-738.558283133723 -9.45973511312005 -732.927298033119</f>
        <v>-1480.9453162799618</v>
      </c>
      <c r="P190" t="s">
        <v>4512</v>
      </c>
      <c r="Q190">
        <f>-486.105140371006 -30.6957811721982 -389.465040879741</f>
        <v>-906.26596242294522</v>
      </c>
      <c r="R190" t="s">
        <v>4513</v>
      </c>
      <c r="S190" t="s">
        <v>4514</v>
      </c>
      <c r="T190" t="s">
        <v>4515</v>
      </c>
      <c r="U190" t="s">
        <v>4516</v>
      </c>
      <c r="V190" t="s">
        <v>4517</v>
      </c>
      <c r="W190" t="s">
        <v>4518</v>
      </c>
      <c r="X190" t="s">
        <v>4519</v>
      </c>
      <c r="Y190" t="s">
        <v>4520</v>
      </c>
    </row>
    <row r="191" spans="1:25" x14ac:dyDescent="0.3">
      <c r="A191">
        <v>9500</v>
      </c>
      <c r="B191" t="s">
        <v>4521</v>
      </c>
      <c r="C191" t="s">
        <v>4522</v>
      </c>
      <c r="D191" t="s">
        <v>4523</v>
      </c>
      <c r="E191" t="s">
        <v>4524</v>
      </c>
      <c r="F191" t="s">
        <v>4525</v>
      </c>
      <c r="G191" t="s">
        <v>4526</v>
      </c>
      <c r="H191" t="s">
        <v>4527</v>
      </c>
      <c r="I191" t="s">
        <v>4528</v>
      </c>
      <c r="J191" t="s">
        <v>4529</v>
      </c>
      <c r="K191" t="s">
        <v>4530</v>
      </c>
      <c r="L191" t="s">
        <v>4531</v>
      </c>
      <c r="M191" t="s">
        <v>4532</v>
      </c>
      <c r="N191" t="s">
        <v>4533</v>
      </c>
      <c r="O191">
        <f>-738.027164460543 -25.2933407058405 -726.286542693566</f>
        <v>-1489.6070478599495</v>
      </c>
      <c r="P191" t="s">
        <v>4534</v>
      </c>
      <c r="Q191">
        <f>-480.616162339085 -39.512481285286 -382.42816139089</f>
        <v>-902.55680501526103</v>
      </c>
      <c r="R191" t="s">
        <v>4535</v>
      </c>
      <c r="S191" t="s">
        <v>4536</v>
      </c>
      <c r="T191" t="s">
        <v>4537</v>
      </c>
      <c r="U191" t="s">
        <v>4538</v>
      </c>
      <c r="V191" t="s">
        <v>4539</v>
      </c>
      <c r="W191" t="s">
        <v>4540</v>
      </c>
      <c r="X191" t="s">
        <v>4541</v>
      </c>
      <c r="Y191" t="s">
        <v>4542</v>
      </c>
    </row>
    <row r="192" spans="1:25" x14ac:dyDescent="0.3">
      <c r="A192">
        <v>9550</v>
      </c>
      <c r="B192" t="s">
        <v>4543</v>
      </c>
      <c r="C192" t="s">
        <v>4544</v>
      </c>
      <c r="D192" t="s">
        <v>4545</v>
      </c>
      <c r="E192" t="s">
        <v>4546</v>
      </c>
      <c r="F192" t="s">
        <v>4547</v>
      </c>
      <c r="G192" t="s">
        <v>4548</v>
      </c>
      <c r="H192" t="s">
        <v>4549</v>
      </c>
      <c r="I192" t="s">
        <v>4550</v>
      </c>
      <c r="J192" t="s">
        <v>4551</v>
      </c>
      <c r="K192" t="s">
        <v>4552</v>
      </c>
      <c r="L192" t="s">
        <v>4553</v>
      </c>
      <c r="M192" t="s">
        <v>4554</v>
      </c>
      <c r="N192" t="s">
        <v>4555</v>
      </c>
      <c r="O192">
        <f>-734.201693273691 -49.3595218232206 -719.134612251252</f>
        <v>-1502.6958273481637</v>
      </c>
      <c r="P192">
        <f>-731.364864687367 -14.7818202492693 -404.519721591466</f>
        <v>-1150.6664065281025</v>
      </c>
      <c r="Q192">
        <f>-473.917665417343 -43.0899179556423 -380.820124549233</f>
        <v>-897.82770792221834</v>
      </c>
      <c r="R192" t="s">
        <v>4556</v>
      </c>
      <c r="S192" t="s">
        <v>4557</v>
      </c>
      <c r="T192" t="s">
        <v>4558</v>
      </c>
      <c r="U192" t="s">
        <v>4559</v>
      </c>
      <c r="V192" t="s">
        <v>4560</v>
      </c>
      <c r="W192" t="s">
        <v>4561</v>
      </c>
      <c r="X192" t="s">
        <v>4562</v>
      </c>
      <c r="Y192" t="s">
        <v>4563</v>
      </c>
    </row>
    <row r="193" spans="1:25" x14ac:dyDescent="0.3">
      <c r="A193">
        <v>9600</v>
      </c>
      <c r="B193" t="s">
        <v>4564</v>
      </c>
      <c r="C193" t="s">
        <v>4565</v>
      </c>
      <c r="D193" t="s">
        <v>4566</v>
      </c>
      <c r="E193" t="s">
        <v>4567</v>
      </c>
      <c r="F193" t="s">
        <v>4568</v>
      </c>
      <c r="G193" t="s">
        <v>4569</v>
      </c>
      <c r="H193" t="s">
        <v>4570</v>
      </c>
      <c r="I193" t="s">
        <v>4571</v>
      </c>
      <c r="J193" t="s">
        <v>4572</v>
      </c>
      <c r="K193" t="s">
        <v>4573</v>
      </c>
      <c r="L193" t="s">
        <v>4574</v>
      </c>
      <c r="M193" t="s">
        <v>4575</v>
      </c>
      <c r="N193" t="s">
        <v>4576</v>
      </c>
      <c r="O193">
        <f>-732.121478676291 -60.8679140890917 -716.757761471505</f>
        <v>-1509.7471542368876</v>
      </c>
      <c r="P193">
        <f>-728.265403293552 -21.3554272739873 -402.735385914826</f>
        <v>-1152.3562164823652</v>
      </c>
      <c r="Q193">
        <f>-469.893479688301 -44.7586747981217 -384.342295798207</f>
        <v>-898.99445028462969</v>
      </c>
      <c r="R193" t="s">
        <v>4577</v>
      </c>
      <c r="S193" t="s">
        <v>4578</v>
      </c>
      <c r="T193" t="s">
        <v>4579</v>
      </c>
      <c r="U193" t="s">
        <v>4580</v>
      </c>
      <c r="V193" t="s">
        <v>4581</v>
      </c>
      <c r="W193" t="s">
        <v>4582</v>
      </c>
      <c r="X193" t="s">
        <v>4583</v>
      </c>
      <c r="Y193" t="s">
        <v>4584</v>
      </c>
    </row>
    <row r="194" spans="1:25" x14ac:dyDescent="0.3">
      <c r="A194">
        <v>9650</v>
      </c>
      <c r="B194" t="s">
        <v>4585</v>
      </c>
      <c r="C194" t="s">
        <v>4586</v>
      </c>
      <c r="D194" t="s">
        <v>4587</v>
      </c>
      <c r="E194" t="s">
        <v>4588</v>
      </c>
      <c r="F194" t="s">
        <v>4589</v>
      </c>
      <c r="G194" t="s">
        <v>4590</v>
      </c>
      <c r="H194" t="s">
        <v>4591</v>
      </c>
      <c r="I194" t="s">
        <v>4592</v>
      </c>
      <c r="J194" t="s">
        <v>4593</v>
      </c>
      <c r="K194" t="s">
        <v>4594</v>
      </c>
      <c r="L194" t="s">
        <v>4595</v>
      </c>
      <c r="M194" t="s">
        <v>4596</v>
      </c>
      <c r="N194" t="s">
        <v>4597</v>
      </c>
      <c r="O194">
        <f>-730.46947920679 -81.8141367907334 -713.445836890295</f>
        <v>-1525.7294528878183</v>
      </c>
      <c r="P194">
        <f>-725.689670351011 -32.9837884115375 -400.749605582353</f>
        <v>-1159.4230643449016</v>
      </c>
      <c r="Q194">
        <f>-466.324007091704 -49.8007276043956 -391.333063220059</f>
        <v>-907.4577979161586</v>
      </c>
      <c r="R194" t="s">
        <v>4598</v>
      </c>
      <c r="S194" t="s">
        <v>4599</v>
      </c>
      <c r="T194" t="s">
        <v>4600</v>
      </c>
      <c r="U194" t="s">
        <v>4601</v>
      </c>
      <c r="V194" t="s">
        <v>4602</v>
      </c>
      <c r="W194" t="s">
        <v>4603</v>
      </c>
      <c r="X194" t="s">
        <v>4604</v>
      </c>
      <c r="Y194" t="s">
        <v>4605</v>
      </c>
    </row>
    <row r="195" spans="1:25" x14ac:dyDescent="0.3">
      <c r="A195">
        <v>9700</v>
      </c>
      <c r="B195" t="s">
        <v>4606</v>
      </c>
      <c r="C195" t="s">
        <v>4607</v>
      </c>
      <c r="D195" t="s">
        <v>4608</v>
      </c>
      <c r="E195" t="s">
        <v>4609</v>
      </c>
      <c r="F195" t="s">
        <v>4610</v>
      </c>
      <c r="G195" t="s">
        <v>4611</v>
      </c>
      <c r="H195" t="s">
        <v>4612</v>
      </c>
      <c r="I195" t="s">
        <v>4613</v>
      </c>
      <c r="J195" t="s">
        <v>4614</v>
      </c>
      <c r="K195" t="s">
        <v>4615</v>
      </c>
      <c r="L195" t="s">
        <v>4616</v>
      </c>
      <c r="M195" t="s">
        <v>4617</v>
      </c>
      <c r="N195" t="s">
        <v>4618</v>
      </c>
      <c r="O195">
        <f>-728.693117123216 -88.805019367248 -712.301270471422</f>
        <v>-1529.7994069618858</v>
      </c>
      <c r="P195">
        <f>-722.229337902651 -37.4778991617109 -400.035417475964</f>
        <v>-1159.7426545403259</v>
      </c>
      <c r="Q195">
        <f>-462.764234516347 -52.5936249011371 -390.473521925919</f>
        <v>-905.83138134340311</v>
      </c>
      <c r="R195" t="s">
        <v>4619</v>
      </c>
      <c r="S195" t="s">
        <v>4620</v>
      </c>
      <c r="T195" t="s">
        <v>4621</v>
      </c>
      <c r="U195" t="s">
        <v>4622</v>
      </c>
      <c r="V195" t="s">
        <v>4623</v>
      </c>
      <c r="W195" t="s">
        <v>4624</v>
      </c>
      <c r="X195" t="s">
        <v>4625</v>
      </c>
      <c r="Y195" t="s">
        <v>4626</v>
      </c>
    </row>
    <row r="196" spans="1:25" x14ac:dyDescent="0.3">
      <c r="A196">
        <v>9750</v>
      </c>
      <c r="B196" t="s">
        <v>4627</v>
      </c>
      <c r="C196" t="s">
        <v>4628</v>
      </c>
      <c r="D196" t="s">
        <v>4629</v>
      </c>
      <c r="E196" t="s">
        <v>4630</v>
      </c>
      <c r="F196" t="s">
        <v>4631</v>
      </c>
      <c r="G196" t="s">
        <v>4632</v>
      </c>
      <c r="H196" t="s">
        <v>4633</v>
      </c>
      <c r="I196" t="s">
        <v>4634</v>
      </c>
      <c r="J196" t="s">
        <v>4635</v>
      </c>
      <c r="K196" t="s">
        <v>4636</v>
      </c>
      <c r="L196" t="s">
        <v>4637</v>
      </c>
      <c r="M196" t="s">
        <v>4638</v>
      </c>
      <c r="N196" t="s">
        <v>4639</v>
      </c>
      <c r="O196">
        <f>-726.511396861613 -99.821111112848 -708.16603644628</f>
        <v>-1534.4985444207409</v>
      </c>
      <c r="P196">
        <f>-714.029077136302 -46.5405277627892 -396.410356429445</f>
        <v>-1156.9799613285363</v>
      </c>
      <c r="Q196">
        <f>-454.458018203156 -60.5442009309143 -388.114562402197</f>
        <v>-903.11678153626735</v>
      </c>
      <c r="R196" t="s">
        <v>4640</v>
      </c>
      <c r="S196" t="s">
        <v>4641</v>
      </c>
      <c r="T196" t="s">
        <v>4642</v>
      </c>
      <c r="U196" t="s">
        <v>4643</v>
      </c>
      <c r="V196" t="s">
        <v>4644</v>
      </c>
      <c r="W196" t="s">
        <v>4645</v>
      </c>
      <c r="X196" t="s">
        <v>4646</v>
      </c>
      <c r="Y196" t="s">
        <v>4647</v>
      </c>
    </row>
    <row r="197" spans="1:25" x14ac:dyDescent="0.3">
      <c r="A197">
        <v>9800</v>
      </c>
      <c r="B197" t="s">
        <v>4648</v>
      </c>
      <c r="C197" t="s">
        <v>4649</v>
      </c>
      <c r="D197" t="s">
        <v>4650</v>
      </c>
      <c r="E197" t="s">
        <v>4651</v>
      </c>
      <c r="F197" t="s">
        <v>4652</v>
      </c>
      <c r="G197" t="s">
        <v>4653</v>
      </c>
      <c r="H197" t="s">
        <v>4654</v>
      </c>
      <c r="I197" t="s">
        <v>4655</v>
      </c>
      <c r="J197" t="s">
        <v>4656</v>
      </c>
      <c r="K197" t="s">
        <v>4657</v>
      </c>
      <c r="L197" t="s">
        <v>4658</v>
      </c>
      <c r="M197" t="s">
        <v>4659</v>
      </c>
      <c r="N197" t="s">
        <v>4660</v>
      </c>
      <c r="O197">
        <f>-726.732041040491 -104.833017298918 -705.472125466079</f>
        <v>-1537.037183805488</v>
      </c>
      <c r="P197">
        <f>-710.717921154092 -51.2145642836058 -393.935951697351</f>
        <v>-1155.8684371350487</v>
      </c>
      <c r="Q197">
        <f>-451.025788953052 -64.8489831419088 -389.917525029395</f>
        <v>-905.79229712435585</v>
      </c>
      <c r="R197" t="s">
        <v>4661</v>
      </c>
      <c r="S197" t="s">
        <v>4662</v>
      </c>
      <c r="T197" t="s">
        <v>4663</v>
      </c>
      <c r="U197" t="s">
        <v>4664</v>
      </c>
      <c r="V197" t="s">
        <v>4665</v>
      </c>
      <c r="W197" t="s">
        <v>4666</v>
      </c>
      <c r="X197" t="s">
        <v>4667</v>
      </c>
      <c r="Y197" t="s">
        <v>4668</v>
      </c>
    </row>
    <row r="198" spans="1:25" x14ac:dyDescent="0.3">
      <c r="A198">
        <v>9850</v>
      </c>
      <c r="B198" t="s">
        <v>4669</v>
      </c>
      <c r="C198" t="s">
        <v>4670</v>
      </c>
      <c r="D198" t="s">
        <v>4671</v>
      </c>
      <c r="E198" t="s">
        <v>4672</v>
      </c>
      <c r="F198" t="s">
        <v>4673</v>
      </c>
      <c r="G198" t="s">
        <v>4674</v>
      </c>
      <c r="H198" t="s">
        <v>4675</v>
      </c>
      <c r="I198" t="s">
        <v>4676</v>
      </c>
      <c r="J198" t="s">
        <v>4677</v>
      </c>
      <c r="K198" t="s">
        <v>4678</v>
      </c>
      <c r="L198" t="s">
        <v>4679</v>
      </c>
      <c r="M198" t="s">
        <v>4680</v>
      </c>
      <c r="N198" t="s">
        <v>4681</v>
      </c>
      <c r="O198">
        <f>-728.592735680691 -114.134701422377 -700.080802885916</f>
        <v>-1542.808239988984</v>
      </c>
      <c r="P198">
        <f>-701.48253898204 -60.9811883979912 -389.233787097849</f>
        <v>-1151.6975144778803</v>
      </c>
      <c r="Q198">
        <f>-441.929807201407 -72.5125503664154 -401.128030629249</f>
        <v>-915.57038819707145</v>
      </c>
      <c r="R198" t="s">
        <v>4682</v>
      </c>
      <c r="S198" t="s">
        <v>4683</v>
      </c>
      <c r="T198" t="s">
        <v>4684</v>
      </c>
      <c r="U198" t="s">
        <v>4685</v>
      </c>
      <c r="V198" t="s">
        <v>4686</v>
      </c>
      <c r="W198" t="s">
        <v>4687</v>
      </c>
      <c r="X198" t="s">
        <v>4688</v>
      </c>
      <c r="Y198" t="s">
        <v>4689</v>
      </c>
    </row>
    <row r="199" spans="1:25" x14ac:dyDescent="0.3">
      <c r="A199">
        <v>9900</v>
      </c>
      <c r="B199" t="s">
        <v>4690</v>
      </c>
      <c r="C199" t="s">
        <v>4691</v>
      </c>
      <c r="D199" t="s">
        <v>4692</v>
      </c>
      <c r="E199" t="s">
        <v>4693</v>
      </c>
      <c r="F199" t="s">
        <v>4694</v>
      </c>
      <c r="G199" t="s">
        <v>4695</v>
      </c>
      <c r="H199" t="s">
        <v>4696</v>
      </c>
      <c r="I199">
        <f>-642.386625188548 -1.7550154173863 -912.717542205242</f>
        <v>-1556.8591828111762</v>
      </c>
      <c r="J199" t="s">
        <v>4697</v>
      </c>
      <c r="K199" t="s">
        <v>4698</v>
      </c>
      <c r="L199" t="s">
        <v>4699</v>
      </c>
      <c r="M199" t="s">
        <v>4700</v>
      </c>
      <c r="N199" t="s">
        <v>4701</v>
      </c>
      <c r="O199">
        <f>-729.416528956704 -119.0776543773 -698.128199577435</f>
        <v>-1546.622382911439</v>
      </c>
      <c r="P199">
        <f>-696.956672880657 -65.7513327252086 -387.823847980853</f>
        <v>-1150.5318535867186</v>
      </c>
      <c r="Q199">
        <f>-438.010989418333 -75.9273153741409 -409.861351419032</f>
        <v>-923.79965621150586</v>
      </c>
      <c r="R199" t="s">
        <v>4702</v>
      </c>
      <c r="S199" t="s">
        <v>4703</v>
      </c>
      <c r="T199" t="s">
        <v>4704</v>
      </c>
      <c r="U199" t="s">
        <v>4705</v>
      </c>
      <c r="V199" t="s">
        <v>4706</v>
      </c>
      <c r="W199" t="s">
        <v>4707</v>
      </c>
      <c r="X199" t="s">
        <v>4708</v>
      </c>
      <c r="Y199" t="s">
        <v>4709</v>
      </c>
    </row>
    <row r="200" spans="1:25" x14ac:dyDescent="0.3">
      <c r="A200">
        <v>9950</v>
      </c>
      <c r="B200" t="s">
        <v>4710</v>
      </c>
      <c r="C200" t="s">
        <v>4711</v>
      </c>
      <c r="D200" t="s">
        <v>4712</v>
      </c>
      <c r="E200" t="s">
        <v>4713</v>
      </c>
      <c r="F200" t="s">
        <v>4714</v>
      </c>
      <c r="G200" t="s">
        <v>4715</v>
      </c>
      <c r="H200" t="s">
        <v>4716</v>
      </c>
      <c r="I200">
        <f>-639.748058481987 -12.5377246175749 -912.046423063018</f>
        <v>-1564.33220616258</v>
      </c>
      <c r="J200" t="s">
        <v>4717</v>
      </c>
      <c r="K200" t="s">
        <v>4718</v>
      </c>
      <c r="L200" t="s">
        <v>4719</v>
      </c>
      <c r="M200" t="s">
        <v>4720</v>
      </c>
      <c r="N200" t="s">
        <v>4721</v>
      </c>
      <c r="O200">
        <f>-728.324588640074 -125.445093441002 -695.985147828682</f>
        <v>-1549.754829909758</v>
      </c>
      <c r="P200">
        <f>-690.683415806172 -68.5139464316025 -386.908845937088</f>
        <v>-1146.1062081748626</v>
      </c>
      <c r="Q200">
        <f>-434.22912157166 -77.90855018475 -429.158120185237</f>
        <v>-941.29579194164694</v>
      </c>
      <c r="R200" t="s">
        <v>4722</v>
      </c>
      <c r="S200" t="s">
        <v>4723</v>
      </c>
      <c r="T200" t="s">
        <v>4724</v>
      </c>
      <c r="U200" t="s">
        <v>4725</v>
      </c>
      <c r="V200" t="s">
        <v>4726</v>
      </c>
      <c r="W200" t="s">
        <v>4727</v>
      </c>
      <c r="X200" t="s">
        <v>4728</v>
      </c>
      <c r="Y200" t="s">
        <v>4729</v>
      </c>
    </row>
    <row r="201" spans="1:25" x14ac:dyDescent="0.3">
      <c r="A201">
        <v>10000</v>
      </c>
      <c r="B201" t="s">
        <v>4730</v>
      </c>
      <c r="C201" t="s">
        <v>4731</v>
      </c>
      <c r="D201" t="s">
        <v>4732</v>
      </c>
      <c r="E201" t="s">
        <v>4733</v>
      </c>
      <c r="F201" t="s">
        <v>4734</v>
      </c>
      <c r="G201" t="s">
        <v>4735</v>
      </c>
      <c r="H201" t="s">
        <v>4736</v>
      </c>
      <c r="I201">
        <f>-636.75995536102 -14.0841228784861 -911.3515286352</f>
        <v>-1562.1956068747063</v>
      </c>
      <c r="J201" t="s">
        <v>4737</v>
      </c>
      <c r="K201" t="s">
        <v>4738</v>
      </c>
      <c r="L201" t="s">
        <v>4739</v>
      </c>
      <c r="M201" t="s">
        <v>4740</v>
      </c>
      <c r="N201" t="s">
        <v>4741</v>
      </c>
      <c r="O201">
        <f>-725.506571760362 -125.047819773297 -694.594884916133</f>
        <v>-1545.1492764497921</v>
      </c>
      <c r="P201">
        <f>-688.304420749295 -65.9464468195123 -385.87303826205</f>
        <v>-1140.1239058308572</v>
      </c>
      <c r="Q201">
        <f>-433.183098514644 -75.1103732697823 -435.584022752453</f>
        <v>-943.87749453687934</v>
      </c>
      <c r="R201" t="s">
        <v>4742</v>
      </c>
      <c r="S201" t="s">
        <v>4743</v>
      </c>
      <c r="T201" t="s">
        <v>4744</v>
      </c>
      <c r="U201" t="s">
        <v>4745</v>
      </c>
      <c r="V201" t="s">
        <v>4746</v>
      </c>
      <c r="W201" t="s">
        <v>4747</v>
      </c>
      <c r="X201" t="s">
        <v>4748</v>
      </c>
      <c r="Y201" t="s">
        <v>4749</v>
      </c>
    </row>
    <row r="202" spans="1:25" x14ac:dyDescent="0.3">
      <c r="A202">
        <v>10050</v>
      </c>
      <c r="B202" t="s">
        <v>4750</v>
      </c>
      <c r="C202" t="s">
        <v>4751</v>
      </c>
      <c r="D202" t="s">
        <v>4752</v>
      </c>
      <c r="E202" t="s">
        <v>4753</v>
      </c>
      <c r="F202" t="s">
        <v>4754</v>
      </c>
      <c r="G202" t="s">
        <v>4755</v>
      </c>
      <c r="H202" t="s">
        <v>4756</v>
      </c>
      <c r="I202">
        <f>-629.8812719038 -13.5169326640475 -909.549668705298</f>
        <v>-1552.9478732731454</v>
      </c>
      <c r="J202" t="s">
        <v>4757</v>
      </c>
      <c r="K202" t="s">
        <v>4758</v>
      </c>
      <c r="L202" t="s">
        <v>4759</v>
      </c>
      <c r="M202" t="s">
        <v>4760</v>
      </c>
      <c r="N202" t="s">
        <v>4761</v>
      </c>
      <c r="O202">
        <f>-719.597003424713 -121.422707636567 -691.668814971619</f>
        <v>-1532.6885260328991</v>
      </c>
      <c r="P202">
        <f>-686.262352589512 -59.8447900577306 -382.989091381727</f>
        <v>-1129.0962340289698</v>
      </c>
      <c r="Q202">
        <f>-432.172880978358 -68.0035395919313 -437.8894444325</f>
        <v>-938.06586500278934</v>
      </c>
      <c r="R202" t="s">
        <v>4762</v>
      </c>
      <c r="S202" t="s">
        <v>4763</v>
      </c>
      <c r="T202" t="s">
        <v>4764</v>
      </c>
      <c r="U202" t="s">
        <v>4765</v>
      </c>
      <c r="V202" t="s">
        <v>4766</v>
      </c>
      <c r="W202" t="s">
        <v>4767</v>
      </c>
      <c r="X202" t="s">
        <v>4768</v>
      </c>
      <c r="Y202" t="s">
        <v>4769</v>
      </c>
    </row>
    <row r="203" spans="1:25" x14ac:dyDescent="0.3">
      <c r="A203">
        <v>10100</v>
      </c>
      <c r="B203" t="s">
        <v>4770</v>
      </c>
      <c r="C203" t="s">
        <v>4771</v>
      </c>
      <c r="D203" t="s">
        <v>4772</v>
      </c>
      <c r="E203" t="s">
        <v>4773</v>
      </c>
      <c r="F203" t="s">
        <v>4774</v>
      </c>
      <c r="G203" t="s">
        <v>4775</v>
      </c>
      <c r="H203" t="s">
        <v>4776</v>
      </c>
      <c r="I203">
        <f>-627.469009001826 -10.6425748040581 -909.456222994604</f>
        <v>-1547.5678068004881</v>
      </c>
      <c r="J203" t="s">
        <v>4777</v>
      </c>
      <c r="K203" t="s">
        <v>4778</v>
      </c>
      <c r="L203" t="s">
        <v>4779</v>
      </c>
      <c r="M203" t="s">
        <v>4780</v>
      </c>
      <c r="N203" t="s">
        <v>4781</v>
      </c>
      <c r="O203">
        <f>-717.914154562603 -118.32987868396 -691.82376927525</f>
        <v>-1528.0678025218131</v>
      </c>
      <c r="P203">
        <f>-685.776309047316 -55.0757673880623 -383.356229868896</f>
        <v>-1124.2083063042742</v>
      </c>
      <c r="Q203">
        <f>-431.134071116799 -62.8485705758996 -435.69141374234</f>
        <v>-929.67405543503855</v>
      </c>
      <c r="R203" t="s">
        <v>4782</v>
      </c>
      <c r="S203" t="s">
        <v>4783</v>
      </c>
      <c r="T203" t="s">
        <v>4784</v>
      </c>
      <c r="U203" t="s">
        <v>4785</v>
      </c>
      <c r="V203" t="s">
        <v>4786</v>
      </c>
      <c r="W203" t="s">
        <v>4787</v>
      </c>
      <c r="X203" t="s">
        <v>4788</v>
      </c>
      <c r="Y203" t="s">
        <v>4789</v>
      </c>
    </row>
    <row r="204" spans="1:25" x14ac:dyDescent="0.3">
      <c r="A204">
        <v>10150</v>
      </c>
      <c r="B204" t="s">
        <v>4790</v>
      </c>
      <c r="C204" t="s">
        <v>4791</v>
      </c>
      <c r="D204" t="s">
        <v>4792</v>
      </c>
      <c r="E204" t="s">
        <v>4793</v>
      </c>
      <c r="F204" t="s">
        <v>4794</v>
      </c>
      <c r="G204" t="s">
        <v>4795</v>
      </c>
      <c r="H204" t="s">
        <v>4796</v>
      </c>
      <c r="I204" t="s">
        <v>4797</v>
      </c>
      <c r="J204" t="s">
        <v>4798</v>
      </c>
      <c r="K204" t="s">
        <v>4799</v>
      </c>
      <c r="L204" t="s">
        <v>4800</v>
      </c>
      <c r="M204" t="s">
        <v>4801</v>
      </c>
      <c r="N204" t="s">
        <v>4802</v>
      </c>
      <c r="O204">
        <f>-712.672532496762 -107.051938811624 -694.202443027216</f>
        <v>-1513.9269143356019</v>
      </c>
      <c r="P204">
        <f>-682.743799849092 -43.5917463020786 -385.55497885701</f>
        <v>-1111.8905250081807</v>
      </c>
      <c r="Q204">
        <f>-426.214922563055 -50.255472108792 -427.870349266858</f>
        <v>-904.34074393870492</v>
      </c>
      <c r="R204" t="s">
        <v>4803</v>
      </c>
      <c r="S204" t="s">
        <v>4804</v>
      </c>
      <c r="T204" t="s">
        <v>4805</v>
      </c>
      <c r="U204" t="s">
        <v>4806</v>
      </c>
      <c r="V204" t="s">
        <v>4807</v>
      </c>
      <c r="W204" t="s">
        <v>4808</v>
      </c>
      <c r="X204" t="s">
        <v>4809</v>
      </c>
      <c r="Y204" t="s">
        <v>4810</v>
      </c>
    </row>
    <row r="205" spans="1:25" x14ac:dyDescent="0.3">
      <c r="A205">
        <v>10200</v>
      </c>
      <c r="B205" t="s">
        <v>4811</v>
      </c>
      <c r="C205" t="s">
        <v>4812</v>
      </c>
      <c r="D205" t="s">
        <v>4813</v>
      </c>
      <c r="E205" t="s">
        <v>4814</v>
      </c>
      <c r="F205" t="s">
        <v>4815</v>
      </c>
      <c r="G205" t="s">
        <v>4816</v>
      </c>
      <c r="H205" t="s">
        <v>4817</v>
      </c>
      <c r="I205" t="s">
        <v>4818</v>
      </c>
      <c r="J205" t="s">
        <v>4819</v>
      </c>
      <c r="K205" t="s">
        <v>4820</v>
      </c>
      <c r="L205" t="s">
        <v>4821</v>
      </c>
      <c r="M205" t="s">
        <v>4822</v>
      </c>
      <c r="N205" t="s">
        <v>4823</v>
      </c>
      <c r="O205">
        <f>-708.705479686501 -101.474279871826 -696.355882143681</f>
        <v>-1506.535641702008</v>
      </c>
      <c r="P205">
        <f>-680.710366174708 -38.9436953418946 -387.337508624895</f>
        <v>-1106.9915701414975</v>
      </c>
      <c r="Q205">
        <f>-423.347367608895 -44.2659883033437 -424.459272264044</f>
        <v>-892.07262817628271</v>
      </c>
      <c r="R205" t="s">
        <v>4824</v>
      </c>
      <c r="S205" t="s">
        <v>4825</v>
      </c>
      <c r="T205" t="s">
        <v>4826</v>
      </c>
      <c r="U205" t="s">
        <v>4827</v>
      </c>
      <c r="V205" t="s">
        <v>4828</v>
      </c>
      <c r="W205" t="s">
        <v>4829</v>
      </c>
      <c r="X205" t="s">
        <v>4830</v>
      </c>
      <c r="Y205" t="s">
        <v>4831</v>
      </c>
    </row>
    <row r="206" spans="1:25" x14ac:dyDescent="0.3">
      <c r="A206">
        <v>10250</v>
      </c>
      <c r="B206" t="s">
        <v>4832</v>
      </c>
      <c r="C206" t="s">
        <v>4833</v>
      </c>
      <c r="D206" t="s">
        <v>4834</v>
      </c>
      <c r="E206" t="s">
        <v>4835</v>
      </c>
      <c r="F206" t="s">
        <v>4836</v>
      </c>
      <c r="G206" t="s">
        <v>4837</v>
      </c>
      <c r="H206" t="s">
        <v>4838</v>
      </c>
      <c r="I206" t="s">
        <v>4839</v>
      </c>
      <c r="J206" t="s">
        <v>4840</v>
      </c>
      <c r="K206" t="s">
        <v>4841</v>
      </c>
      <c r="L206" t="s">
        <v>4842</v>
      </c>
      <c r="M206" t="s">
        <v>4843</v>
      </c>
      <c r="N206" t="s">
        <v>4844</v>
      </c>
      <c r="O206">
        <f>-697.952130041511 -90.7785210962836 -701.757192191699</f>
        <v>-1490.4878433294937</v>
      </c>
      <c r="P206">
        <f>-678.058431756341 -30.0397831622038 -391.755268488498</f>
        <v>-1099.8534834070429</v>
      </c>
      <c r="Q206">
        <f>-419.874144271832 -31.587782583243 -423.068295005199</f>
        <v>-874.53022186027397</v>
      </c>
      <c r="R206" t="s">
        <v>4845</v>
      </c>
      <c r="S206" t="s">
        <v>4846</v>
      </c>
      <c r="T206" t="s">
        <v>4847</v>
      </c>
      <c r="U206" t="s">
        <v>4848</v>
      </c>
      <c r="V206" t="s">
        <v>4849</v>
      </c>
      <c r="W206" t="s">
        <v>4850</v>
      </c>
      <c r="X206" t="s">
        <v>4851</v>
      </c>
      <c r="Y206" t="s">
        <v>4852</v>
      </c>
    </row>
    <row r="207" spans="1:25" x14ac:dyDescent="0.3">
      <c r="A207">
        <v>10300</v>
      </c>
      <c r="B207" t="s">
        <v>4853</v>
      </c>
      <c r="C207" t="s">
        <v>4854</v>
      </c>
      <c r="D207" t="s">
        <v>4855</v>
      </c>
      <c r="E207" t="s">
        <v>4856</v>
      </c>
      <c r="F207" t="s">
        <v>4857</v>
      </c>
      <c r="G207" t="s">
        <v>4858</v>
      </c>
      <c r="H207" t="s">
        <v>4859</v>
      </c>
      <c r="I207" t="s">
        <v>4860</v>
      </c>
      <c r="J207" t="s">
        <v>4861</v>
      </c>
      <c r="K207" t="s">
        <v>4862</v>
      </c>
      <c r="L207" t="s">
        <v>4863</v>
      </c>
      <c r="M207" t="s">
        <v>4864</v>
      </c>
      <c r="N207" t="s">
        <v>4865</v>
      </c>
      <c r="O207">
        <f>-693.421765427733 -83.7698800293976 -704.81843928213</f>
        <v>-1482.0100847392605</v>
      </c>
      <c r="P207">
        <f>-677.047774339507 -23.9755239882643 -394.427211153309</f>
        <v>-1095.4505094810802</v>
      </c>
      <c r="Q207">
        <f>-418.501876718249 -24.2165324557417 -422.640081088146</f>
        <v>-865.35849026213668</v>
      </c>
      <c r="R207" t="s">
        <v>4866</v>
      </c>
      <c r="S207" t="s">
        <v>4867</v>
      </c>
      <c r="T207" t="s">
        <v>4868</v>
      </c>
      <c r="U207" t="s">
        <v>4869</v>
      </c>
      <c r="V207" t="s">
        <v>4870</v>
      </c>
      <c r="W207" t="s">
        <v>4871</v>
      </c>
      <c r="X207" t="s">
        <v>4872</v>
      </c>
      <c r="Y207" t="s">
        <v>4873</v>
      </c>
    </row>
    <row r="208" spans="1:25" x14ac:dyDescent="0.3">
      <c r="A208">
        <v>10350</v>
      </c>
      <c r="B208" t="s">
        <v>4874</v>
      </c>
      <c r="C208" t="s">
        <v>4875</v>
      </c>
      <c r="D208" t="s">
        <v>4876</v>
      </c>
      <c r="E208" t="s">
        <v>4877</v>
      </c>
      <c r="F208" t="s">
        <v>4878</v>
      </c>
      <c r="G208" t="s">
        <v>4879</v>
      </c>
      <c r="H208" t="s">
        <v>4880</v>
      </c>
      <c r="I208" t="s">
        <v>4881</v>
      </c>
      <c r="J208" t="s">
        <v>4882</v>
      </c>
      <c r="K208" t="s">
        <v>4883</v>
      </c>
      <c r="L208" t="s">
        <v>4884</v>
      </c>
      <c r="M208" t="s">
        <v>4885</v>
      </c>
      <c r="N208" t="s">
        <v>4886</v>
      </c>
      <c r="O208">
        <f>-689.050592685742 -75.8734230886936 -708.120855052837</f>
        <v>-1473.0448708272725</v>
      </c>
      <c r="P208">
        <f>-676.129864291083 -17.4400465052129 -397.307793574322</f>
        <v>-1090.8777043706177</v>
      </c>
      <c r="Q208">
        <f>-417.226554430242 -16.9308799819307 -422.023851384228</f>
        <v>-856.18128579640074</v>
      </c>
      <c r="R208" t="s">
        <v>4887</v>
      </c>
      <c r="S208" t="s">
        <v>4888</v>
      </c>
      <c r="T208" t="s">
        <v>4889</v>
      </c>
      <c r="U208" t="s">
        <v>4890</v>
      </c>
      <c r="V208" t="s">
        <v>4891</v>
      </c>
      <c r="W208" t="s">
        <v>4892</v>
      </c>
      <c r="X208" t="s">
        <v>4893</v>
      </c>
      <c r="Y208" t="s">
        <v>4894</v>
      </c>
    </row>
    <row r="209" spans="1:25" x14ac:dyDescent="0.3">
      <c r="A209">
        <v>10400</v>
      </c>
      <c r="B209" t="s">
        <v>4895</v>
      </c>
      <c r="C209" t="s">
        <v>4896</v>
      </c>
      <c r="D209" t="s">
        <v>4897</v>
      </c>
      <c r="E209" t="s">
        <v>4898</v>
      </c>
      <c r="F209" t="s">
        <v>4899</v>
      </c>
      <c r="G209" t="s">
        <v>4900</v>
      </c>
      <c r="H209" t="s">
        <v>4901</v>
      </c>
      <c r="I209" t="s">
        <v>4902</v>
      </c>
      <c r="J209" t="s">
        <v>4903</v>
      </c>
      <c r="K209" t="s">
        <v>4904</v>
      </c>
      <c r="L209" t="s">
        <v>4905</v>
      </c>
      <c r="M209" t="s">
        <v>4906</v>
      </c>
      <c r="N209" t="s">
        <v>4907</v>
      </c>
      <c r="O209">
        <f>-681.969948824463 -59.6304053580503 -715.105145074917</f>
        <v>-1456.7054992574303</v>
      </c>
      <c r="P209">
        <f>-674.56649564507 -5.1251197021115 -403.399339311265</f>
        <v>-1083.0909546584464</v>
      </c>
      <c r="Q209">
        <f>-415.134854169193 -4.53815861641077 -421.75582389785</f>
        <v>-841.42883668345371</v>
      </c>
      <c r="R209" t="s">
        <v>4908</v>
      </c>
      <c r="S209" t="s">
        <v>4909</v>
      </c>
      <c r="T209" t="s">
        <v>4910</v>
      </c>
      <c r="U209" t="s">
        <v>4911</v>
      </c>
      <c r="V209" t="s">
        <v>4912</v>
      </c>
      <c r="W209" t="s">
        <v>4913</v>
      </c>
      <c r="X209" t="s">
        <v>4914</v>
      </c>
      <c r="Y209" t="s">
        <v>4915</v>
      </c>
    </row>
    <row r="210" spans="1:25" x14ac:dyDescent="0.3">
      <c r="A210">
        <v>10450</v>
      </c>
      <c r="B210" t="s">
        <v>4916</v>
      </c>
      <c r="C210" t="s">
        <v>4917</v>
      </c>
      <c r="D210" t="s">
        <v>4918</v>
      </c>
      <c r="E210" t="s">
        <v>4919</v>
      </c>
      <c r="F210" t="s">
        <v>4920</v>
      </c>
      <c r="G210" t="s">
        <v>4921</v>
      </c>
      <c r="H210" t="s">
        <v>4922</v>
      </c>
      <c r="I210" t="s">
        <v>4923</v>
      </c>
      <c r="J210" t="s">
        <v>4924</v>
      </c>
      <c r="K210" t="s">
        <v>4925</v>
      </c>
      <c r="L210" t="s">
        <v>4926</v>
      </c>
      <c r="M210" t="s">
        <v>4927</v>
      </c>
      <c r="N210" t="s">
        <v>4928</v>
      </c>
      <c r="O210">
        <f>-674.834512855255 -46.3606797015803 -721.379879770159</f>
        <v>-1442.5750723269944</v>
      </c>
      <c r="P210" t="s">
        <v>4929</v>
      </c>
      <c r="Q210" t="s">
        <v>4930</v>
      </c>
      <c r="R210" t="s">
        <v>4931</v>
      </c>
      <c r="S210" t="s">
        <v>4932</v>
      </c>
      <c r="T210" t="s">
        <v>4933</v>
      </c>
      <c r="U210" t="s">
        <v>4934</v>
      </c>
      <c r="V210" t="s">
        <v>4935</v>
      </c>
      <c r="W210" t="s">
        <v>4936</v>
      </c>
      <c r="X210" t="s">
        <v>4937</v>
      </c>
      <c r="Y210" t="s">
        <v>4938</v>
      </c>
    </row>
    <row r="211" spans="1:25" x14ac:dyDescent="0.3">
      <c r="A211">
        <v>10500</v>
      </c>
      <c r="B211" t="s">
        <v>4939</v>
      </c>
      <c r="C211" t="s">
        <v>4940</v>
      </c>
      <c r="D211" t="s">
        <v>4941</v>
      </c>
      <c r="E211" t="s">
        <v>4942</v>
      </c>
      <c r="F211" t="s">
        <v>4943</v>
      </c>
      <c r="G211" t="s">
        <v>4944</v>
      </c>
      <c r="H211" t="s">
        <v>4945</v>
      </c>
      <c r="I211" t="s">
        <v>4946</v>
      </c>
      <c r="J211" t="s">
        <v>4947</v>
      </c>
      <c r="K211" t="s">
        <v>4948</v>
      </c>
      <c r="L211" t="s">
        <v>4949</v>
      </c>
      <c r="M211" t="s">
        <v>4950</v>
      </c>
      <c r="N211" t="s">
        <v>4951</v>
      </c>
      <c r="O211">
        <f>-672.66546490703 -40.3391355725548 -724.024179246389</f>
        <v>-1437.0287797259739</v>
      </c>
      <c r="P211" t="s">
        <v>4952</v>
      </c>
      <c r="Q211" t="s">
        <v>4953</v>
      </c>
      <c r="R211" t="s">
        <v>4954</v>
      </c>
      <c r="S211" t="s">
        <v>4955</v>
      </c>
      <c r="T211" t="s">
        <v>4956</v>
      </c>
      <c r="U211" t="s">
        <v>4957</v>
      </c>
      <c r="V211" t="s">
        <v>4958</v>
      </c>
      <c r="W211" t="s">
        <v>4959</v>
      </c>
      <c r="X211" t="s">
        <v>4960</v>
      </c>
      <c r="Y211" t="s">
        <v>4961</v>
      </c>
    </row>
    <row r="212" spans="1:25" x14ac:dyDescent="0.3">
      <c r="A212">
        <v>10550</v>
      </c>
      <c r="B212" t="s">
        <v>4962</v>
      </c>
      <c r="C212" t="s">
        <v>4963</v>
      </c>
      <c r="D212" t="s">
        <v>4964</v>
      </c>
      <c r="E212" t="s">
        <v>4965</v>
      </c>
      <c r="F212" t="s">
        <v>4966</v>
      </c>
      <c r="G212" t="s">
        <v>4967</v>
      </c>
      <c r="H212" t="s">
        <v>4968</v>
      </c>
      <c r="I212" t="s">
        <v>4969</v>
      </c>
      <c r="J212" t="s">
        <v>4970</v>
      </c>
      <c r="K212" t="s">
        <v>4971</v>
      </c>
      <c r="L212" t="s">
        <v>4972</v>
      </c>
      <c r="M212" t="s">
        <v>4973</v>
      </c>
      <c r="N212" t="s">
        <v>4974</v>
      </c>
      <c r="O212">
        <f>-670.242117205461 -30.1598332047332 -728.908726599759</f>
        <v>-1429.3106770099532</v>
      </c>
      <c r="P212" t="s">
        <v>4975</v>
      </c>
      <c r="Q212" t="s">
        <v>4976</v>
      </c>
      <c r="R212" t="s">
        <v>4977</v>
      </c>
      <c r="S212" t="s">
        <v>4978</v>
      </c>
      <c r="T212" t="s">
        <v>4979</v>
      </c>
      <c r="U212" t="s">
        <v>4980</v>
      </c>
      <c r="V212" t="s">
        <v>4981</v>
      </c>
      <c r="W212" t="s">
        <v>4982</v>
      </c>
      <c r="X212" t="s">
        <v>4983</v>
      </c>
      <c r="Y212" t="s">
        <v>4984</v>
      </c>
    </row>
    <row r="213" spans="1:25" x14ac:dyDescent="0.3">
      <c r="A213">
        <v>10600</v>
      </c>
      <c r="B213" t="s">
        <v>4985</v>
      </c>
      <c r="C213" t="s">
        <v>4986</v>
      </c>
      <c r="D213" t="s">
        <v>4987</v>
      </c>
      <c r="E213" t="s">
        <v>4988</v>
      </c>
      <c r="F213" t="s">
        <v>4989</v>
      </c>
      <c r="G213" t="s">
        <v>4990</v>
      </c>
      <c r="H213" t="s">
        <v>4991</v>
      </c>
      <c r="I213" t="s">
        <v>4992</v>
      </c>
      <c r="J213" t="s">
        <v>4993</v>
      </c>
      <c r="K213" t="s">
        <v>4994</v>
      </c>
      <c r="L213" t="s">
        <v>4995</v>
      </c>
      <c r="M213" t="s">
        <v>4996</v>
      </c>
      <c r="N213" t="s">
        <v>4997</v>
      </c>
      <c r="O213">
        <f>-669.653654024836 -25.8244928650313 -731.182335870658</f>
        <v>-1426.6604827605252</v>
      </c>
      <c r="P213" t="s">
        <v>4998</v>
      </c>
      <c r="Q213" t="s">
        <v>4999</v>
      </c>
      <c r="R213" t="s">
        <v>5000</v>
      </c>
      <c r="S213" t="s">
        <v>5001</v>
      </c>
      <c r="T213" t="s">
        <v>5002</v>
      </c>
      <c r="U213" t="s">
        <v>5003</v>
      </c>
      <c r="V213" t="s">
        <v>5004</v>
      </c>
      <c r="W213" t="s">
        <v>5005</v>
      </c>
      <c r="X213" t="s">
        <v>5006</v>
      </c>
      <c r="Y213" t="s">
        <v>5007</v>
      </c>
    </row>
    <row r="214" spans="1:25" x14ac:dyDescent="0.3">
      <c r="A214">
        <v>10650</v>
      </c>
      <c r="B214" t="s">
        <v>5008</v>
      </c>
      <c r="C214" t="s">
        <v>5009</v>
      </c>
      <c r="D214" t="s">
        <v>5010</v>
      </c>
      <c r="E214" t="s">
        <v>5011</v>
      </c>
      <c r="F214" t="s">
        <v>5012</v>
      </c>
      <c r="G214" t="s">
        <v>5013</v>
      </c>
      <c r="H214" t="s">
        <v>5014</v>
      </c>
      <c r="I214" t="s">
        <v>5015</v>
      </c>
      <c r="J214" t="s">
        <v>5016</v>
      </c>
      <c r="K214" t="s">
        <v>5017</v>
      </c>
      <c r="L214" t="s">
        <v>5018</v>
      </c>
      <c r="M214" t="s">
        <v>5019</v>
      </c>
      <c r="N214" t="s">
        <v>5020</v>
      </c>
      <c r="O214">
        <f>-668.413904358806 -17.7305710394903 -735.244217667555</f>
        <v>-1421.3886930658514</v>
      </c>
      <c r="P214" t="s">
        <v>5021</v>
      </c>
      <c r="Q214" t="s">
        <v>5022</v>
      </c>
      <c r="R214" t="s">
        <v>5023</v>
      </c>
      <c r="S214" t="s">
        <v>5024</v>
      </c>
      <c r="T214" t="s">
        <v>5025</v>
      </c>
      <c r="U214" t="s">
        <v>5026</v>
      </c>
      <c r="V214" t="s">
        <v>5027</v>
      </c>
      <c r="W214" t="s">
        <v>5028</v>
      </c>
      <c r="X214" t="s">
        <v>5029</v>
      </c>
      <c r="Y214" t="s">
        <v>5030</v>
      </c>
    </row>
    <row r="215" spans="1:25" x14ac:dyDescent="0.3">
      <c r="A215">
        <v>10700</v>
      </c>
      <c r="B215" t="s">
        <v>5031</v>
      </c>
      <c r="C215" t="s">
        <v>5032</v>
      </c>
      <c r="D215" t="s">
        <v>5033</v>
      </c>
      <c r="E215" t="s">
        <v>5034</v>
      </c>
      <c r="F215" t="s">
        <v>5035</v>
      </c>
      <c r="G215" t="s">
        <v>5036</v>
      </c>
      <c r="H215" t="s">
        <v>5037</v>
      </c>
      <c r="I215" t="s">
        <v>5038</v>
      </c>
      <c r="J215" t="s">
        <v>5039</v>
      </c>
      <c r="K215" t="s">
        <v>5040</v>
      </c>
      <c r="L215" t="s">
        <v>5041</v>
      </c>
      <c r="M215" t="s">
        <v>5042</v>
      </c>
      <c r="N215" t="s">
        <v>5043</v>
      </c>
      <c r="O215">
        <f>-668.110572798931 -13.6113016510402 -736.776832880268</f>
        <v>-1418.4987073302391</v>
      </c>
      <c r="P215" t="s">
        <v>5044</v>
      </c>
      <c r="Q215" t="s">
        <v>5045</v>
      </c>
      <c r="R215" t="s">
        <v>5046</v>
      </c>
      <c r="S215" t="s">
        <v>5047</v>
      </c>
      <c r="T215" t="s">
        <v>5048</v>
      </c>
      <c r="U215" t="s">
        <v>5049</v>
      </c>
      <c r="V215" t="s">
        <v>5050</v>
      </c>
      <c r="W215" t="s">
        <v>5051</v>
      </c>
      <c r="X215" t="s">
        <v>5052</v>
      </c>
      <c r="Y215" t="s">
        <v>5053</v>
      </c>
    </row>
    <row r="216" spans="1:25" x14ac:dyDescent="0.3">
      <c r="A216">
        <v>10750</v>
      </c>
      <c r="B216" t="s">
        <v>5054</v>
      </c>
      <c r="C216" t="s">
        <v>5055</v>
      </c>
      <c r="D216" t="s">
        <v>5056</v>
      </c>
      <c r="E216" t="s">
        <v>5057</v>
      </c>
      <c r="F216" t="s">
        <v>5058</v>
      </c>
      <c r="G216" t="s">
        <v>5059</v>
      </c>
      <c r="H216" t="s">
        <v>5060</v>
      </c>
      <c r="I216" t="s">
        <v>5061</v>
      </c>
      <c r="J216" t="s">
        <v>5062</v>
      </c>
      <c r="K216" t="s">
        <v>5063</v>
      </c>
      <c r="L216" t="s">
        <v>5064</v>
      </c>
      <c r="M216" t="s">
        <v>5065</v>
      </c>
      <c r="N216" t="s">
        <v>5066</v>
      </c>
      <c r="O216">
        <f>-668.653926515319 -9.42865222028127 -738.143467529193</f>
        <v>-1416.2260462647932</v>
      </c>
      <c r="P216" t="s">
        <v>5067</v>
      </c>
      <c r="Q216" t="s">
        <v>5068</v>
      </c>
      <c r="R216" t="s">
        <v>5069</v>
      </c>
      <c r="S216" t="s">
        <v>5070</v>
      </c>
      <c r="T216" t="s">
        <v>5071</v>
      </c>
      <c r="U216" t="s">
        <v>5072</v>
      </c>
      <c r="V216" t="s">
        <v>5073</v>
      </c>
      <c r="W216" t="s">
        <v>5074</v>
      </c>
      <c r="X216" t="s">
        <v>5075</v>
      </c>
      <c r="Y216" t="s">
        <v>5076</v>
      </c>
    </row>
    <row r="217" spans="1:25" x14ac:dyDescent="0.3">
      <c r="A217">
        <v>10800</v>
      </c>
      <c r="B217" t="s">
        <v>5077</v>
      </c>
      <c r="C217" t="s">
        <v>5078</v>
      </c>
      <c r="D217" t="s">
        <v>5079</v>
      </c>
      <c r="E217" t="s">
        <v>5080</v>
      </c>
      <c r="F217" t="s">
        <v>5081</v>
      </c>
      <c r="G217" t="s">
        <v>5082</v>
      </c>
      <c r="H217" t="s">
        <v>5083</v>
      </c>
      <c r="I217" t="s">
        <v>5084</v>
      </c>
      <c r="J217" t="s">
        <v>5085</v>
      </c>
      <c r="K217" t="s">
        <v>5086</v>
      </c>
      <c r="L217" t="s">
        <v>5087</v>
      </c>
      <c r="M217" t="s">
        <v>5088</v>
      </c>
      <c r="N217" t="s">
        <v>5089</v>
      </c>
      <c r="O217">
        <f>-669.20556170964 -1.78657113346785 -740.191364484934</f>
        <v>-1411.183497328042</v>
      </c>
      <c r="P217" t="s">
        <v>5090</v>
      </c>
      <c r="Q217" t="s">
        <v>5091</v>
      </c>
      <c r="R217" t="s">
        <v>5092</v>
      </c>
      <c r="S217" t="s">
        <v>5093</v>
      </c>
      <c r="T217" t="s">
        <v>5094</v>
      </c>
      <c r="U217" t="s">
        <v>5095</v>
      </c>
      <c r="V217" t="s">
        <v>5096</v>
      </c>
      <c r="W217" t="s">
        <v>5097</v>
      </c>
      <c r="X217" t="s">
        <v>5098</v>
      </c>
      <c r="Y217" t="s">
        <v>5099</v>
      </c>
    </row>
    <row r="218" spans="1:25" x14ac:dyDescent="0.3">
      <c r="A218">
        <v>10850</v>
      </c>
      <c r="B218" t="s">
        <v>5100</v>
      </c>
      <c r="C218" t="s">
        <v>5101</v>
      </c>
      <c r="D218" t="s">
        <v>5102</v>
      </c>
      <c r="E218" t="s">
        <v>5103</v>
      </c>
      <c r="F218" t="s">
        <v>5104</v>
      </c>
      <c r="G218" t="s">
        <v>5105</v>
      </c>
      <c r="H218" t="s">
        <v>5106</v>
      </c>
      <c r="I218" t="s">
        <v>5107</v>
      </c>
      <c r="J218" t="s">
        <v>5108</v>
      </c>
      <c r="K218" t="s">
        <v>5109</v>
      </c>
      <c r="L218" t="s">
        <v>5110</v>
      </c>
      <c r="M218" t="s">
        <v>5111</v>
      </c>
      <c r="N218" t="s">
        <v>5112</v>
      </c>
      <c r="O218" t="s">
        <v>5113</v>
      </c>
      <c r="P218" t="s">
        <v>5114</v>
      </c>
      <c r="Q218" t="s">
        <v>5115</v>
      </c>
      <c r="R218" t="s">
        <v>5116</v>
      </c>
      <c r="S218" t="s">
        <v>5117</v>
      </c>
      <c r="T218" t="s">
        <v>5118</v>
      </c>
      <c r="U218" t="s">
        <v>5119</v>
      </c>
      <c r="V218" t="s">
        <v>5120</v>
      </c>
      <c r="W218" t="s">
        <v>5121</v>
      </c>
      <c r="X218" t="s">
        <v>5122</v>
      </c>
      <c r="Y218" t="s">
        <v>5123</v>
      </c>
    </row>
    <row r="219" spans="1:25" x14ac:dyDescent="0.3">
      <c r="A219">
        <v>10900</v>
      </c>
      <c r="B219" t="s">
        <v>5124</v>
      </c>
      <c r="C219" t="s">
        <v>5125</v>
      </c>
      <c r="D219" t="s">
        <v>5126</v>
      </c>
      <c r="E219" t="s">
        <v>5127</v>
      </c>
      <c r="F219" t="s">
        <v>5128</v>
      </c>
      <c r="G219" t="s">
        <v>5129</v>
      </c>
      <c r="H219" t="s">
        <v>5130</v>
      </c>
      <c r="I219" t="s">
        <v>5131</v>
      </c>
      <c r="J219" t="s">
        <v>5132</v>
      </c>
      <c r="K219" t="s">
        <v>5133</v>
      </c>
      <c r="L219" t="s">
        <v>5134</v>
      </c>
      <c r="M219" t="s">
        <v>5135</v>
      </c>
      <c r="N219" t="s">
        <v>5136</v>
      </c>
      <c r="O219" t="s">
        <v>5137</v>
      </c>
      <c r="P219" t="s">
        <v>5138</v>
      </c>
      <c r="Q219" t="s">
        <v>5139</v>
      </c>
      <c r="R219" t="s">
        <v>5140</v>
      </c>
      <c r="S219" t="s">
        <v>5141</v>
      </c>
      <c r="T219" t="s">
        <v>5142</v>
      </c>
      <c r="U219" t="s">
        <v>5143</v>
      </c>
      <c r="V219" t="s">
        <v>5144</v>
      </c>
      <c r="W219" t="s">
        <v>5145</v>
      </c>
      <c r="X219" t="s">
        <v>5146</v>
      </c>
      <c r="Y219" t="s">
        <v>5147</v>
      </c>
    </row>
    <row r="220" spans="1:25" x14ac:dyDescent="0.3">
      <c r="A220">
        <v>10950</v>
      </c>
      <c r="B220" t="s">
        <v>5148</v>
      </c>
      <c r="C220" t="s">
        <v>5149</v>
      </c>
      <c r="D220" t="s">
        <v>5150</v>
      </c>
      <c r="E220" t="s">
        <v>5151</v>
      </c>
      <c r="F220" t="s">
        <v>5152</v>
      </c>
      <c r="G220" t="s">
        <v>5153</v>
      </c>
      <c r="H220" t="s">
        <v>5154</v>
      </c>
      <c r="I220" t="s">
        <v>5155</v>
      </c>
      <c r="J220" t="s">
        <v>5156</v>
      </c>
      <c r="K220" t="s">
        <v>5157</v>
      </c>
      <c r="L220" t="s">
        <v>5158</v>
      </c>
      <c r="M220" t="s">
        <v>5159</v>
      </c>
      <c r="N220" t="s">
        <v>5160</v>
      </c>
      <c r="O220" t="s">
        <v>5161</v>
      </c>
      <c r="P220" t="s">
        <v>5162</v>
      </c>
      <c r="Q220" t="s">
        <v>5163</v>
      </c>
      <c r="R220" t="s">
        <v>5164</v>
      </c>
      <c r="S220" t="s">
        <v>5165</v>
      </c>
      <c r="T220" t="s">
        <v>5166</v>
      </c>
      <c r="U220" t="s">
        <v>5167</v>
      </c>
      <c r="V220" t="s">
        <v>5168</v>
      </c>
      <c r="W220" t="s">
        <v>5169</v>
      </c>
      <c r="X220" t="s">
        <v>5170</v>
      </c>
      <c r="Y220" t="s">
        <v>5171</v>
      </c>
    </row>
    <row r="221" spans="1:25" x14ac:dyDescent="0.3">
      <c r="A221">
        <v>11000</v>
      </c>
      <c r="B221" t="s">
        <v>5172</v>
      </c>
      <c r="C221" t="s">
        <v>5173</v>
      </c>
      <c r="D221" t="s">
        <v>5174</v>
      </c>
      <c r="E221" t="s">
        <v>5175</v>
      </c>
      <c r="F221" t="s">
        <v>5176</v>
      </c>
      <c r="G221" t="s">
        <v>5177</v>
      </c>
      <c r="H221" t="s">
        <v>5178</v>
      </c>
      <c r="I221" t="s">
        <v>5179</v>
      </c>
      <c r="J221" t="s">
        <v>5180</v>
      </c>
      <c r="K221" t="s">
        <v>5181</v>
      </c>
      <c r="L221" t="s">
        <v>5182</v>
      </c>
      <c r="M221" t="s">
        <v>5183</v>
      </c>
      <c r="N221" t="s">
        <v>5184</v>
      </c>
      <c r="O221" t="s">
        <v>5185</v>
      </c>
      <c r="P221" t="s">
        <v>5186</v>
      </c>
      <c r="Q221" t="s">
        <v>5187</v>
      </c>
      <c r="R221" t="s">
        <v>5188</v>
      </c>
      <c r="S221" t="s">
        <v>5189</v>
      </c>
      <c r="T221" t="s">
        <v>5190</v>
      </c>
      <c r="U221" t="s">
        <v>5191</v>
      </c>
      <c r="V221" t="s">
        <v>5192</v>
      </c>
      <c r="W221" t="s">
        <v>5193</v>
      </c>
      <c r="X221" t="s">
        <v>5194</v>
      </c>
      <c r="Y221" t="s">
        <v>5195</v>
      </c>
    </row>
    <row r="222" spans="1:25" x14ac:dyDescent="0.3">
      <c r="A222">
        <v>11050</v>
      </c>
      <c r="B222" t="s">
        <v>5196</v>
      </c>
      <c r="C222" t="s">
        <v>5197</v>
      </c>
      <c r="D222" t="s">
        <v>5198</v>
      </c>
      <c r="E222" t="s">
        <v>5199</v>
      </c>
      <c r="F222" t="s">
        <v>5200</v>
      </c>
      <c r="G222" t="s">
        <v>5201</v>
      </c>
      <c r="H222" t="s">
        <v>5202</v>
      </c>
      <c r="I222" t="s">
        <v>5203</v>
      </c>
      <c r="J222" t="s">
        <v>5204</v>
      </c>
      <c r="K222" t="s">
        <v>5205</v>
      </c>
      <c r="L222" t="s">
        <v>5206</v>
      </c>
      <c r="M222" t="s">
        <v>5207</v>
      </c>
      <c r="N222" t="s">
        <v>5208</v>
      </c>
      <c r="O222" t="s">
        <v>5209</v>
      </c>
      <c r="P222" t="s">
        <v>5210</v>
      </c>
      <c r="Q222" t="s">
        <v>5211</v>
      </c>
      <c r="R222" t="s">
        <v>5212</v>
      </c>
      <c r="S222" t="s">
        <v>5213</v>
      </c>
      <c r="T222" t="s">
        <v>5214</v>
      </c>
      <c r="U222" t="s">
        <v>5215</v>
      </c>
      <c r="V222" t="s">
        <v>5216</v>
      </c>
      <c r="W222" t="s">
        <v>5217</v>
      </c>
      <c r="X222" t="s">
        <v>5218</v>
      </c>
      <c r="Y222" t="s">
        <v>5219</v>
      </c>
    </row>
    <row r="223" spans="1:25" x14ac:dyDescent="0.3">
      <c r="A223">
        <v>11100</v>
      </c>
      <c r="B223" t="s">
        <v>5220</v>
      </c>
      <c r="C223" t="s">
        <v>5221</v>
      </c>
      <c r="D223" t="s">
        <v>5222</v>
      </c>
      <c r="E223" t="s">
        <v>5223</v>
      </c>
      <c r="F223" t="s">
        <v>5224</v>
      </c>
      <c r="G223" t="s">
        <v>5225</v>
      </c>
      <c r="H223" t="s">
        <v>5226</v>
      </c>
      <c r="I223" t="s">
        <v>5227</v>
      </c>
      <c r="J223" t="s">
        <v>5228</v>
      </c>
      <c r="K223" t="s">
        <v>5229</v>
      </c>
      <c r="L223" t="s">
        <v>5230</v>
      </c>
      <c r="M223" t="s">
        <v>5231</v>
      </c>
      <c r="N223" t="s">
        <v>5232</v>
      </c>
      <c r="O223" t="s">
        <v>5233</v>
      </c>
      <c r="P223" t="s">
        <v>5234</v>
      </c>
      <c r="Q223" t="s">
        <v>5235</v>
      </c>
      <c r="R223" t="s">
        <v>5236</v>
      </c>
      <c r="S223" t="s">
        <v>5237</v>
      </c>
      <c r="T223" t="s">
        <v>5238</v>
      </c>
      <c r="U223" t="s">
        <v>5239</v>
      </c>
      <c r="V223" t="s">
        <v>5240</v>
      </c>
      <c r="W223" t="s">
        <v>5241</v>
      </c>
      <c r="X223" t="s">
        <v>5242</v>
      </c>
      <c r="Y223" t="s">
        <v>5243</v>
      </c>
    </row>
    <row r="224" spans="1:25" x14ac:dyDescent="0.3">
      <c r="A224">
        <v>11150</v>
      </c>
      <c r="B224" t="s">
        <v>5244</v>
      </c>
      <c r="C224" t="s">
        <v>5245</v>
      </c>
      <c r="D224" t="s">
        <v>5246</v>
      </c>
      <c r="E224" t="s">
        <v>5247</v>
      </c>
      <c r="F224" t="s">
        <v>5248</v>
      </c>
      <c r="G224" t="s">
        <v>5249</v>
      </c>
      <c r="H224" t="s">
        <v>5250</v>
      </c>
      <c r="I224" t="s">
        <v>5251</v>
      </c>
      <c r="J224" t="s">
        <v>5252</v>
      </c>
      <c r="K224" t="s">
        <v>5253</v>
      </c>
      <c r="L224" t="s">
        <v>5254</v>
      </c>
      <c r="M224" t="s">
        <v>5255</v>
      </c>
      <c r="N224" t="s">
        <v>5256</v>
      </c>
      <c r="O224" t="s">
        <v>5257</v>
      </c>
      <c r="P224" t="s">
        <v>5258</v>
      </c>
      <c r="Q224" t="s">
        <v>5259</v>
      </c>
      <c r="R224" t="s">
        <v>5260</v>
      </c>
      <c r="S224" t="s">
        <v>5261</v>
      </c>
      <c r="T224" t="s">
        <v>5262</v>
      </c>
      <c r="U224" t="s">
        <v>5263</v>
      </c>
      <c r="V224" t="s">
        <v>5264</v>
      </c>
      <c r="W224" t="s">
        <v>5265</v>
      </c>
      <c r="X224" t="s">
        <v>5266</v>
      </c>
      <c r="Y224" t="s">
        <v>5267</v>
      </c>
    </row>
    <row r="225" spans="1:25" x14ac:dyDescent="0.3">
      <c r="A225">
        <v>11200</v>
      </c>
      <c r="B225" t="s">
        <v>5268</v>
      </c>
      <c r="C225" t="s">
        <v>5269</v>
      </c>
      <c r="D225" t="s">
        <v>5270</v>
      </c>
      <c r="E225" t="s">
        <v>5271</v>
      </c>
      <c r="F225" t="s">
        <v>5272</v>
      </c>
      <c r="G225" t="s">
        <v>5273</v>
      </c>
      <c r="H225" t="s">
        <v>5274</v>
      </c>
      <c r="I225" t="s">
        <v>5275</v>
      </c>
      <c r="J225" t="s">
        <v>5276</v>
      </c>
      <c r="K225" t="s">
        <v>5277</v>
      </c>
      <c r="L225" t="s">
        <v>5278</v>
      </c>
      <c r="M225" t="s">
        <v>5279</v>
      </c>
      <c r="N225" t="s">
        <v>5280</v>
      </c>
      <c r="O225" t="s">
        <v>5281</v>
      </c>
      <c r="P225" t="s">
        <v>5282</v>
      </c>
      <c r="Q225" t="s">
        <v>5283</v>
      </c>
      <c r="R225" t="s">
        <v>5284</v>
      </c>
      <c r="S225" t="s">
        <v>5285</v>
      </c>
      <c r="T225" t="s">
        <v>5286</v>
      </c>
      <c r="U225" t="s">
        <v>5287</v>
      </c>
      <c r="V225" t="s">
        <v>5288</v>
      </c>
      <c r="W225" t="s">
        <v>5289</v>
      </c>
      <c r="X225" t="s">
        <v>5290</v>
      </c>
      <c r="Y225" t="s">
        <v>5291</v>
      </c>
    </row>
    <row r="226" spans="1:25" x14ac:dyDescent="0.3">
      <c r="A226">
        <v>11250</v>
      </c>
      <c r="B226" t="s">
        <v>5292</v>
      </c>
      <c r="C226" t="s">
        <v>5293</v>
      </c>
      <c r="D226" t="s">
        <v>5294</v>
      </c>
      <c r="E226" t="s">
        <v>5295</v>
      </c>
      <c r="F226" t="s">
        <v>5296</v>
      </c>
      <c r="G226" t="s">
        <v>5297</v>
      </c>
      <c r="H226" t="s">
        <v>5298</v>
      </c>
      <c r="I226" t="s">
        <v>5299</v>
      </c>
      <c r="J226" t="s">
        <v>5300</v>
      </c>
      <c r="K226" t="s">
        <v>5301</v>
      </c>
      <c r="L226" t="s">
        <v>5302</v>
      </c>
      <c r="M226" t="s">
        <v>5303</v>
      </c>
      <c r="N226" t="s">
        <v>5304</v>
      </c>
      <c r="O226" t="s">
        <v>5305</v>
      </c>
      <c r="P226" t="s">
        <v>5306</v>
      </c>
      <c r="Q226" t="s">
        <v>5307</v>
      </c>
      <c r="R226" t="s">
        <v>5308</v>
      </c>
      <c r="S226" t="s">
        <v>5309</v>
      </c>
      <c r="T226" t="s">
        <v>5310</v>
      </c>
      <c r="U226" t="s">
        <v>5311</v>
      </c>
      <c r="V226" t="s">
        <v>5312</v>
      </c>
      <c r="W226" t="s">
        <v>5313</v>
      </c>
      <c r="X226" t="s">
        <v>5314</v>
      </c>
      <c r="Y226" t="s">
        <v>5315</v>
      </c>
    </row>
    <row r="227" spans="1:25" x14ac:dyDescent="0.3">
      <c r="A227">
        <v>11300</v>
      </c>
      <c r="B227" t="s">
        <v>5316</v>
      </c>
      <c r="C227" t="s">
        <v>5317</v>
      </c>
      <c r="D227" t="s">
        <v>5318</v>
      </c>
      <c r="E227" t="s">
        <v>5319</v>
      </c>
      <c r="F227" t="s">
        <v>5320</v>
      </c>
      <c r="G227" t="s">
        <v>5321</v>
      </c>
      <c r="H227" t="s">
        <v>5322</v>
      </c>
      <c r="I227" t="s">
        <v>5323</v>
      </c>
      <c r="J227" t="s">
        <v>5324</v>
      </c>
      <c r="K227" t="s">
        <v>5325</v>
      </c>
      <c r="L227" t="s">
        <v>5326</v>
      </c>
      <c r="M227" t="s">
        <v>5327</v>
      </c>
      <c r="N227" t="s">
        <v>5328</v>
      </c>
      <c r="O227" t="s">
        <v>5329</v>
      </c>
      <c r="P227" t="s">
        <v>5330</v>
      </c>
      <c r="Q227" t="s">
        <v>5331</v>
      </c>
      <c r="R227" t="s">
        <v>5332</v>
      </c>
      <c r="S227" t="s">
        <v>5333</v>
      </c>
      <c r="T227" t="s">
        <v>5334</v>
      </c>
      <c r="U227" t="s">
        <v>5335</v>
      </c>
      <c r="V227" t="s">
        <v>5336</v>
      </c>
      <c r="W227" t="s">
        <v>5337</v>
      </c>
      <c r="X227" t="s">
        <v>5338</v>
      </c>
      <c r="Y227" t="s">
        <v>5339</v>
      </c>
    </row>
    <row r="228" spans="1:25" x14ac:dyDescent="0.3">
      <c r="A228">
        <v>11350</v>
      </c>
      <c r="B228" t="s">
        <v>5340</v>
      </c>
      <c r="C228" t="s">
        <v>5341</v>
      </c>
      <c r="D228" t="s">
        <v>5342</v>
      </c>
      <c r="E228" t="s">
        <v>5343</v>
      </c>
      <c r="F228" t="s">
        <v>5344</v>
      </c>
      <c r="G228" t="s">
        <v>5345</v>
      </c>
      <c r="H228" t="s">
        <v>5346</v>
      </c>
      <c r="I228" t="s">
        <v>5347</v>
      </c>
      <c r="J228" t="s">
        <v>5348</v>
      </c>
      <c r="K228" t="s">
        <v>5349</v>
      </c>
      <c r="L228" t="s">
        <v>5350</v>
      </c>
      <c r="M228" t="s">
        <v>5351</v>
      </c>
      <c r="N228" t="s">
        <v>5352</v>
      </c>
      <c r="O228" t="s">
        <v>5353</v>
      </c>
      <c r="P228" t="s">
        <v>5354</v>
      </c>
      <c r="Q228" t="s">
        <v>5355</v>
      </c>
      <c r="R228" t="s">
        <v>5356</v>
      </c>
      <c r="S228" t="s">
        <v>5357</v>
      </c>
      <c r="T228" t="s">
        <v>5358</v>
      </c>
      <c r="U228" t="s">
        <v>5359</v>
      </c>
      <c r="V228" t="s">
        <v>5360</v>
      </c>
      <c r="W228" t="s">
        <v>5361</v>
      </c>
      <c r="X228" t="s">
        <v>5362</v>
      </c>
      <c r="Y228" t="s">
        <v>5363</v>
      </c>
    </row>
    <row r="229" spans="1:25" x14ac:dyDescent="0.3">
      <c r="A229">
        <v>11400</v>
      </c>
      <c r="B229" t="s">
        <v>5364</v>
      </c>
      <c r="C229" t="s">
        <v>5365</v>
      </c>
      <c r="D229" t="s">
        <v>5366</v>
      </c>
      <c r="E229" t="s">
        <v>5367</v>
      </c>
      <c r="F229" t="s">
        <v>5368</v>
      </c>
      <c r="G229" t="s">
        <v>5369</v>
      </c>
      <c r="H229" t="s">
        <v>5370</v>
      </c>
      <c r="I229" t="s">
        <v>5371</v>
      </c>
      <c r="J229" t="s">
        <v>5372</v>
      </c>
      <c r="K229" t="s">
        <v>5373</v>
      </c>
      <c r="L229" t="s">
        <v>5374</v>
      </c>
      <c r="M229" t="s">
        <v>5375</v>
      </c>
      <c r="N229" t="s">
        <v>5376</v>
      </c>
      <c r="O229" t="s">
        <v>5377</v>
      </c>
      <c r="P229" t="s">
        <v>5378</v>
      </c>
      <c r="Q229" t="s">
        <v>5379</v>
      </c>
      <c r="R229" t="s">
        <v>5380</v>
      </c>
      <c r="S229" t="s">
        <v>5381</v>
      </c>
      <c r="T229" t="s">
        <v>5382</v>
      </c>
      <c r="U229" t="s">
        <v>5383</v>
      </c>
      <c r="V229" t="s">
        <v>5384</v>
      </c>
      <c r="W229" t="s">
        <v>5385</v>
      </c>
      <c r="X229" t="s">
        <v>5386</v>
      </c>
      <c r="Y229" t="s">
        <v>5387</v>
      </c>
    </row>
    <row r="230" spans="1:25" x14ac:dyDescent="0.3">
      <c r="A230">
        <v>11450</v>
      </c>
      <c r="B230" t="s">
        <v>5388</v>
      </c>
      <c r="C230" t="s">
        <v>5389</v>
      </c>
      <c r="D230" t="s">
        <v>5390</v>
      </c>
      <c r="E230" t="s">
        <v>5391</v>
      </c>
      <c r="F230" t="s">
        <v>5392</v>
      </c>
      <c r="G230" t="s">
        <v>5393</v>
      </c>
      <c r="H230" t="s">
        <v>5394</v>
      </c>
      <c r="I230" t="s">
        <v>5395</v>
      </c>
      <c r="J230" t="s">
        <v>5396</v>
      </c>
      <c r="K230" t="s">
        <v>5397</v>
      </c>
      <c r="L230" t="s">
        <v>5398</v>
      </c>
      <c r="M230" t="s">
        <v>5399</v>
      </c>
      <c r="N230" t="s">
        <v>5400</v>
      </c>
      <c r="O230" t="s">
        <v>5401</v>
      </c>
      <c r="P230" t="s">
        <v>5402</v>
      </c>
      <c r="Q230" t="s">
        <v>5403</v>
      </c>
      <c r="R230" t="s">
        <v>5404</v>
      </c>
      <c r="S230" t="s">
        <v>5405</v>
      </c>
      <c r="T230" t="s">
        <v>5406</v>
      </c>
      <c r="U230" t="s">
        <v>5407</v>
      </c>
      <c r="V230" t="s">
        <v>5408</v>
      </c>
      <c r="W230" t="s">
        <v>5409</v>
      </c>
      <c r="X230" t="s">
        <v>5410</v>
      </c>
      <c r="Y230" t="s">
        <v>5411</v>
      </c>
    </row>
    <row r="231" spans="1:25" x14ac:dyDescent="0.3">
      <c r="A231">
        <v>11500</v>
      </c>
      <c r="B231" t="s">
        <v>5412</v>
      </c>
      <c r="C231" t="s">
        <v>5413</v>
      </c>
      <c r="D231" t="s">
        <v>5414</v>
      </c>
      <c r="E231" t="s">
        <v>5415</v>
      </c>
      <c r="F231" t="s">
        <v>5416</v>
      </c>
      <c r="G231" t="s">
        <v>5417</v>
      </c>
      <c r="H231" t="s">
        <v>5418</v>
      </c>
      <c r="I231" t="s">
        <v>5419</v>
      </c>
      <c r="J231" t="s">
        <v>5420</v>
      </c>
      <c r="K231" t="s">
        <v>5421</v>
      </c>
      <c r="L231" t="s">
        <v>5422</v>
      </c>
      <c r="M231" t="s">
        <v>5423</v>
      </c>
      <c r="N231" t="s">
        <v>5424</v>
      </c>
      <c r="O231" t="s">
        <v>5425</v>
      </c>
      <c r="P231" t="s">
        <v>5426</v>
      </c>
      <c r="Q231" t="s">
        <v>5427</v>
      </c>
      <c r="R231" t="s">
        <v>5428</v>
      </c>
      <c r="S231" t="s">
        <v>5429</v>
      </c>
      <c r="T231" t="s">
        <v>5430</v>
      </c>
      <c r="U231" t="s">
        <v>5431</v>
      </c>
      <c r="V231" t="s">
        <v>5432</v>
      </c>
      <c r="W231" t="s">
        <v>5433</v>
      </c>
      <c r="X231" t="s">
        <v>5434</v>
      </c>
      <c r="Y231" t="s">
        <v>5435</v>
      </c>
    </row>
    <row r="232" spans="1:25" x14ac:dyDescent="0.3">
      <c r="A232">
        <v>11550</v>
      </c>
      <c r="B232" t="s">
        <v>5436</v>
      </c>
      <c r="C232" t="s">
        <v>5437</v>
      </c>
      <c r="D232" t="s">
        <v>5438</v>
      </c>
      <c r="E232" t="s">
        <v>5439</v>
      </c>
      <c r="F232" t="s">
        <v>5440</v>
      </c>
      <c r="G232" t="s">
        <v>5441</v>
      </c>
      <c r="H232" t="s">
        <v>5442</v>
      </c>
      <c r="I232" t="s">
        <v>5443</v>
      </c>
      <c r="J232" t="s">
        <v>5444</v>
      </c>
      <c r="K232" t="s">
        <v>5445</v>
      </c>
      <c r="L232" t="s">
        <v>5446</v>
      </c>
      <c r="M232" t="s">
        <v>5447</v>
      </c>
      <c r="N232" t="s">
        <v>5448</v>
      </c>
      <c r="O232" t="s">
        <v>5449</v>
      </c>
      <c r="P232" t="s">
        <v>5450</v>
      </c>
      <c r="Q232" t="s">
        <v>5451</v>
      </c>
      <c r="R232" t="s">
        <v>5452</v>
      </c>
      <c r="S232" t="s">
        <v>5453</v>
      </c>
      <c r="T232" t="s">
        <v>5454</v>
      </c>
      <c r="U232" t="s">
        <v>5455</v>
      </c>
      <c r="V232" t="s">
        <v>5456</v>
      </c>
      <c r="W232" t="s">
        <v>5457</v>
      </c>
      <c r="X232" t="s">
        <v>5458</v>
      </c>
      <c r="Y232" t="s">
        <v>5459</v>
      </c>
    </row>
    <row r="233" spans="1:25" x14ac:dyDescent="0.3">
      <c r="A233">
        <v>11600</v>
      </c>
      <c r="B233" t="s">
        <v>5460</v>
      </c>
      <c r="C233" t="s">
        <v>5461</v>
      </c>
      <c r="D233" t="s">
        <v>5462</v>
      </c>
      <c r="E233" t="s">
        <v>5463</v>
      </c>
      <c r="F233" t="s">
        <v>5464</v>
      </c>
      <c r="G233" t="s">
        <v>5465</v>
      </c>
      <c r="H233" t="s">
        <v>5466</v>
      </c>
      <c r="I233" t="s">
        <v>5467</v>
      </c>
      <c r="J233" t="s">
        <v>5468</v>
      </c>
      <c r="K233" t="s">
        <v>5469</v>
      </c>
      <c r="L233" t="s">
        <v>5470</v>
      </c>
      <c r="M233" t="s">
        <v>5471</v>
      </c>
      <c r="N233" t="s">
        <v>5472</v>
      </c>
      <c r="O233">
        <f>-707.748852931927 -4.34566831000855 -743.233030594208</f>
        <v>-1455.3275518361436</v>
      </c>
      <c r="P233" t="s">
        <v>5473</v>
      </c>
      <c r="Q233" t="s">
        <v>5474</v>
      </c>
      <c r="R233" t="s">
        <v>5475</v>
      </c>
      <c r="S233" t="s">
        <v>5476</v>
      </c>
      <c r="T233" t="s">
        <v>5477</v>
      </c>
      <c r="U233" t="s">
        <v>5478</v>
      </c>
      <c r="V233" t="s">
        <v>5479</v>
      </c>
      <c r="W233" t="s">
        <v>5480</v>
      </c>
      <c r="X233" t="s">
        <v>5481</v>
      </c>
      <c r="Y233" t="s">
        <v>5482</v>
      </c>
    </row>
    <row r="234" spans="1:25" x14ac:dyDescent="0.3">
      <c r="A234">
        <v>11650</v>
      </c>
      <c r="B234" t="s">
        <v>5483</v>
      </c>
      <c r="C234" t="s">
        <v>5484</v>
      </c>
      <c r="D234" t="s">
        <v>5485</v>
      </c>
      <c r="E234" t="s">
        <v>5486</v>
      </c>
      <c r="F234" t="s">
        <v>5487</v>
      </c>
      <c r="G234" t="s">
        <v>5488</v>
      </c>
      <c r="H234" t="s">
        <v>5489</v>
      </c>
      <c r="I234" t="s">
        <v>5490</v>
      </c>
      <c r="J234" t="s">
        <v>5491</v>
      </c>
      <c r="K234" t="s">
        <v>5492</v>
      </c>
      <c r="L234" t="s">
        <v>5493</v>
      </c>
      <c r="M234" t="s">
        <v>5494</v>
      </c>
      <c r="N234" t="s">
        <v>5495</v>
      </c>
      <c r="O234">
        <f>-706.420917433721 -15.5907966611755 -743.357406204728</f>
        <v>-1465.3691202996247</v>
      </c>
      <c r="P234" t="s">
        <v>5496</v>
      </c>
      <c r="Q234">
        <f>-444.082150788966 -3.02839415089307 -437.163484444145</f>
        <v>-884.27402938400405</v>
      </c>
      <c r="R234" t="s">
        <v>5497</v>
      </c>
      <c r="S234" t="s">
        <v>5498</v>
      </c>
      <c r="T234" t="s">
        <v>5499</v>
      </c>
      <c r="U234" t="s">
        <v>5500</v>
      </c>
      <c r="V234" t="s">
        <v>5501</v>
      </c>
      <c r="W234" t="s">
        <v>5502</v>
      </c>
      <c r="X234" t="s">
        <v>5503</v>
      </c>
      <c r="Y234" t="s">
        <v>5504</v>
      </c>
    </row>
    <row r="235" spans="1:25" x14ac:dyDescent="0.3">
      <c r="A235">
        <v>11700</v>
      </c>
      <c r="B235" t="s">
        <v>5505</v>
      </c>
      <c r="C235" t="s">
        <v>5506</v>
      </c>
      <c r="D235" t="s">
        <v>5507</v>
      </c>
      <c r="E235" t="s">
        <v>5508</v>
      </c>
      <c r="F235" t="s">
        <v>5509</v>
      </c>
      <c r="G235" t="s">
        <v>5510</v>
      </c>
      <c r="H235" t="s">
        <v>5511</v>
      </c>
      <c r="I235" t="s">
        <v>5512</v>
      </c>
      <c r="J235" t="s">
        <v>5513</v>
      </c>
      <c r="K235" t="s">
        <v>5514</v>
      </c>
      <c r="L235" t="s">
        <v>5515</v>
      </c>
      <c r="M235" t="s">
        <v>5516</v>
      </c>
      <c r="N235" t="s">
        <v>5517</v>
      </c>
      <c r="O235">
        <f>-705.195570237687 -21.786009686117 -743.29064783092</f>
        <v>-1470.2722277547241</v>
      </c>
      <c r="P235" t="s">
        <v>5518</v>
      </c>
      <c r="Q235">
        <f>-442.496503997672 -6.96317390919833 -436.95837837874</f>
        <v>-886.41805628561031</v>
      </c>
      <c r="R235" t="s">
        <v>5519</v>
      </c>
      <c r="S235" t="s">
        <v>5520</v>
      </c>
      <c r="T235" t="s">
        <v>5521</v>
      </c>
      <c r="U235" t="s">
        <v>5522</v>
      </c>
      <c r="V235" t="s">
        <v>5523</v>
      </c>
      <c r="W235" t="s">
        <v>5524</v>
      </c>
      <c r="X235" t="s">
        <v>5525</v>
      </c>
      <c r="Y235" t="s">
        <v>5526</v>
      </c>
    </row>
    <row r="236" spans="1:25" x14ac:dyDescent="0.3">
      <c r="A236">
        <v>11750</v>
      </c>
      <c r="B236" t="s">
        <v>5527</v>
      </c>
      <c r="C236" t="s">
        <v>5528</v>
      </c>
      <c r="D236" t="s">
        <v>5529</v>
      </c>
      <c r="E236" t="s">
        <v>5530</v>
      </c>
      <c r="F236" t="s">
        <v>5531</v>
      </c>
      <c r="G236" t="s">
        <v>5532</v>
      </c>
      <c r="H236" t="s">
        <v>5533</v>
      </c>
      <c r="I236" t="s">
        <v>5534</v>
      </c>
      <c r="J236" t="s">
        <v>5535</v>
      </c>
      <c r="K236" t="s">
        <v>5536</v>
      </c>
      <c r="L236" t="s">
        <v>5537</v>
      </c>
      <c r="M236" t="s">
        <v>5538</v>
      </c>
      <c r="N236" t="s">
        <v>5539</v>
      </c>
      <c r="O236">
        <f>-701.979270389111 -34.5828073314535 -742.825624324192</f>
        <v>-1479.3877020447565</v>
      </c>
      <c r="P236">
        <f>-698.358669194346 -0.199722968768384 -428.197448325676</f>
        <v>-1126.7558404887905</v>
      </c>
      <c r="Q236">
        <f>-438.760618134411 -13.9226017836871 -436.107741607223</f>
        <v>-888.79096152532111</v>
      </c>
      <c r="R236" t="s">
        <v>5540</v>
      </c>
      <c r="S236" t="s">
        <v>5541</v>
      </c>
      <c r="T236" t="s">
        <v>5542</v>
      </c>
      <c r="U236" t="s">
        <v>5543</v>
      </c>
      <c r="V236" t="s">
        <v>5544</v>
      </c>
      <c r="W236" t="s">
        <v>5545</v>
      </c>
      <c r="X236" t="s">
        <v>5546</v>
      </c>
      <c r="Y236" t="s">
        <v>5547</v>
      </c>
    </row>
    <row r="237" spans="1:25" x14ac:dyDescent="0.3">
      <c r="A237">
        <v>11800</v>
      </c>
      <c r="B237" t="s">
        <v>5548</v>
      </c>
      <c r="C237" t="s">
        <v>5549</v>
      </c>
      <c r="D237" t="s">
        <v>5550</v>
      </c>
      <c r="E237" t="s">
        <v>5551</v>
      </c>
      <c r="F237" t="s">
        <v>5552</v>
      </c>
      <c r="G237" t="s">
        <v>5553</v>
      </c>
      <c r="H237" t="s">
        <v>5554</v>
      </c>
      <c r="I237" t="s">
        <v>5555</v>
      </c>
      <c r="J237" t="s">
        <v>5556</v>
      </c>
      <c r="K237" t="s">
        <v>5557</v>
      </c>
      <c r="L237" t="s">
        <v>5558</v>
      </c>
      <c r="M237" t="s">
        <v>5559</v>
      </c>
      <c r="N237" t="s">
        <v>5560</v>
      </c>
      <c r="O237">
        <f>-700.191275024421 -41.1729775377633 -742.356400903206</f>
        <v>-1483.7206534653901</v>
      </c>
      <c r="P237">
        <f>-696.293211267353 -6.14360634426036 -427.802814247471</f>
        <v>-1130.2396318590843</v>
      </c>
      <c r="Q237">
        <f>-436.566480694884 -17.4896659769014 -435.241451282884</f>
        <v>-889.2975979546693</v>
      </c>
      <c r="R237" t="s">
        <v>5561</v>
      </c>
      <c r="S237" t="s">
        <v>5562</v>
      </c>
      <c r="T237" t="s">
        <v>5563</v>
      </c>
      <c r="U237" t="s">
        <v>5564</v>
      </c>
      <c r="V237" t="s">
        <v>5565</v>
      </c>
      <c r="W237" t="s">
        <v>5566</v>
      </c>
      <c r="X237" t="s">
        <v>5567</v>
      </c>
      <c r="Y237" t="s">
        <v>5568</v>
      </c>
    </row>
    <row r="238" spans="1:25" x14ac:dyDescent="0.3">
      <c r="A238">
        <v>11850</v>
      </c>
      <c r="B238" t="s">
        <v>5569</v>
      </c>
      <c r="C238" t="s">
        <v>5570</v>
      </c>
      <c r="D238" t="s">
        <v>5571</v>
      </c>
      <c r="E238" t="s">
        <v>5572</v>
      </c>
      <c r="F238" t="s">
        <v>5573</v>
      </c>
      <c r="G238" t="s">
        <v>5574</v>
      </c>
      <c r="H238" t="s">
        <v>5575</v>
      </c>
      <c r="I238" t="s">
        <v>5576</v>
      </c>
      <c r="J238" t="s">
        <v>5577</v>
      </c>
      <c r="K238" t="s">
        <v>5578</v>
      </c>
      <c r="L238" t="s">
        <v>5579</v>
      </c>
      <c r="M238" t="s">
        <v>5580</v>
      </c>
      <c r="N238" t="s">
        <v>5581</v>
      </c>
      <c r="O238">
        <f>-696.359613520907 -53.7792857007728 -740.125987592818</f>
        <v>-1490.2648868144979</v>
      </c>
      <c r="P238">
        <f>-693.143175164216 -16.7676556524451 -425.791731335216</f>
        <v>-1135.7025621518771</v>
      </c>
      <c r="Q238">
        <f>-433.242890056559 -22.9186216514147 -433.279440217503</f>
        <v>-889.44095192547672</v>
      </c>
      <c r="R238" t="s">
        <v>5582</v>
      </c>
      <c r="S238" t="s">
        <v>5583</v>
      </c>
      <c r="T238" t="s">
        <v>5584</v>
      </c>
      <c r="U238" t="s">
        <v>5585</v>
      </c>
      <c r="V238" t="s">
        <v>5586</v>
      </c>
      <c r="W238" t="s">
        <v>5587</v>
      </c>
      <c r="X238" t="s">
        <v>5588</v>
      </c>
      <c r="Y238" t="s">
        <v>5589</v>
      </c>
    </row>
    <row r="239" spans="1:25" x14ac:dyDescent="0.3">
      <c r="A239">
        <v>11900</v>
      </c>
      <c r="B239" t="s">
        <v>5590</v>
      </c>
      <c r="C239" t="s">
        <v>5591</v>
      </c>
      <c r="D239" t="s">
        <v>5592</v>
      </c>
      <c r="E239" t="s">
        <v>5593</v>
      </c>
      <c r="F239" t="s">
        <v>5594</v>
      </c>
      <c r="G239" t="s">
        <v>5595</v>
      </c>
      <c r="H239" t="s">
        <v>5596</v>
      </c>
      <c r="I239" t="s">
        <v>5597</v>
      </c>
      <c r="J239" t="s">
        <v>5598</v>
      </c>
      <c r="K239" t="s">
        <v>5599</v>
      </c>
      <c r="L239" t="s">
        <v>5600</v>
      </c>
      <c r="M239" t="s">
        <v>5601</v>
      </c>
      <c r="N239" t="s">
        <v>5602</v>
      </c>
      <c r="O239">
        <f>-693.965629750789 -59.2182766319517 -738.714175086038</f>
        <v>-1491.8980814687789</v>
      </c>
      <c r="P239">
        <f>-691.012798748828 -21.1298333903618 -424.505980713468</f>
        <v>-1136.6486128526578</v>
      </c>
      <c r="Q239">
        <f>-431.064751063646 -24.8176296072818 -431.954201766118</f>
        <v>-887.83658243704576</v>
      </c>
      <c r="R239" t="s">
        <v>5603</v>
      </c>
      <c r="S239" t="s">
        <v>5604</v>
      </c>
      <c r="T239" t="s">
        <v>5605</v>
      </c>
      <c r="U239" t="s">
        <v>5606</v>
      </c>
      <c r="V239" t="s">
        <v>5607</v>
      </c>
      <c r="W239" t="s">
        <v>5608</v>
      </c>
      <c r="X239" t="s">
        <v>5609</v>
      </c>
      <c r="Y239" t="s">
        <v>5610</v>
      </c>
    </row>
    <row r="240" spans="1:25" x14ac:dyDescent="0.3">
      <c r="A240">
        <v>11950</v>
      </c>
      <c r="B240" t="s">
        <v>5611</v>
      </c>
      <c r="C240" t="s">
        <v>5612</v>
      </c>
      <c r="D240" t="s">
        <v>5613</v>
      </c>
      <c r="E240" t="s">
        <v>5614</v>
      </c>
      <c r="F240" t="s">
        <v>5615</v>
      </c>
      <c r="G240" t="s">
        <v>5616</v>
      </c>
      <c r="H240" t="s">
        <v>5617</v>
      </c>
      <c r="I240" t="s">
        <v>5618</v>
      </c>
      <c r="J240" t="s">
        <v>5619</v>
      </c>
      <c r="K240" t="s">
        <v>5620</v>
      </c>
      <c r="L240" t="s">
        <v>5621</v>
      </c>
      <c r="M240" t="s">
        <v>5622</v>
      </c>
      <c r="N240" t="s">
        <v>5623</v>
      </c>
      <c r="O240">
        <f>-690.531762751837 -69.2302463172005 -735.416703944896</f>
        <v>-1495.1787130139335</v>
      </c>
      <c r="P240">
        <f>-687.842248171781 -28.8594619608751 -421.49120180576</f>
        <v>-1138.192911938416</v>
      </c>
      <c r="Q240">
        <f>-427.892817426686 -28.1120422092017 -429.724017306834</f>
        <v>-885.72887694272174</v>
      </c>
      <c r="R240" t="s">
        <v>5624</v>
      </c>
      <c r="S240" t="s">
        <v>5625</v>
      </c>
      <c r="T240" t="s">
        <v>5626</v>
      </c>
      <c r="U240" t="s">
        <v>5627</v>
      </c>
      <c r="V240" t="s">
        <v>5628</v>
      </c>
      <c r="W240" t="s">
        <v>5629</v>
      </c>
      <c r="X240" t="s">
        <v>5630</v>
      </c>
      <c r="Y240" t="s">
        <v>5631</v>
      </c>
    </row>
    <row r="241" spans="1:25" x14ac:dyDescent="0.3">
      <c r="A241">
        <v>12000</v>
      </c>
      <c r="B241" t="s">
        <v>5632</v>
      </c>
      <c r="C241" t="s">
        <v>5633</v>
      </c>
      <c r="D241" t="s">
        <v>5634</v>
      </c>
      <c r="E241" t="s">
        <v>5635</v>
      </c>
      <c r="F241" t="s">
        <v>5636</v>
      </c>
      <c r="G241" t="s">
        <v>5637</v>
      </c>
      <c r="H241" t="s">
        <v>5638</v>
      </c>
      <c r="I241" t="s">
        <v>5639</v>
      </c>
      <c r="J241" t="s">
        <v>5640</v>
      </c>
      <c r="K241" t="s">
        <v>5641</v>
      </c>
      <c r="L241" t="s">
        <v>5642</v>
      </c>
      <c r="M241" t="s">
        <v>5643</v>
      </c>
      <c r="N241" t="s">
        <v>5644</v>
      </c>
      <c r="O241">
        <f>-689.075432047224 -72.8756397319683 -733.702151972113</f>
        <v>-1495.6532237513052</v>
      </c>
      <c r="P241">
        <f>-686.010803227727 -31.5067145894579 -419.910280644834</f>
        <v>-1137.4277984620189</v>
      </c>
      <c r="Q241">
        <f>-426.082276148444 -28.8585470042141 -428.406982717667</f>
        <v>-883.34780587032515</v>
      </c>
      <c r="R241" t="s">
        <v>5645</v>
      </c>
      <c r="S241" t="s">
        <v>5646</v>
      </c>
      <c r="T241" t="s">
        <v>5647</v>
      </c>
      <c r="U241" t="s">
        <v>5648</v>
      </c>
      <c r="V241" t="s">
        <v>5649</v>
      </c>
      <c r="W241" t="s">
        <v>5650</v>
      </c>
      <c r="X241" t="s">
        <v>5651</v>
      </c>
      <c r="Y241" t="s">
        <v>5652</v>
      </c>
    </row>
    <row r="242" spans="1:25" x14ac:dyDescent="0.3">
      <c r="A242">
        <v>12050</v>
      </c>
      <c r="B242" t="s">
        <v>5653</v>
      </c>
      <c r="C242" t="s">
        <v>5654</v>
      </c>
      <c r="D242" t="s">
        <v>5655</v>
      </c>
      <c r="E242" t="s">
        <v>5656</v>
      </c>
      <c r="F242" t="s">
        <v>5657</v>
      </c>
      <c r="G242" t="s">
        <v>5658</v>
      </c>
      <c r="H242" t="s">
        <v>5659</v>
      </c>
      <c r="I242" t="s">
        <v>5660</v>
      </c>
      <c r="J242" t="s">
        <v>5661</v>
      </c>
      <c r="K242" t="s">
        <v>5662</v>
      </c>
      <c r="L242" t="s">
        <v>5663</v>
      </c>
      <c r="M242" t="s">
        <v>5664</v>
      </c>
      <c r="N242" t="s">
        <v>5665</v>
      </c>
      <c r="O242">
        <f>-687.387935707841 -77.3114650190345 -730.698977297094</f>
        <v>-1495.3983780239696</v>
      </c>
      <c r="P242">
        <f>-683.306705204387 -33.8429291489994 -417.202570101426</f>
        <v>-1134.3522044548122</v>
      </c>
      <c r="Q242">
        <f>-423.465308731745 -27.8040295344649 -426.585520694069</f>
        <v>-877.85485896027888</v>
      </c>
      <c r="R242" t="s">
        <v>5666</v>
      </c>
      <c r="S242" t="s">
        <v>5667</v>
      </c>
      <c r="T242" t="s">
        <v>5668</v>
      </c>
      <c r="U242" t="s">
        <v>5669</v>
      </c>
      <c r="V242" t="s">
        <v>5670</v>
      </c>
      <c r="W242" t="s">
        <v>5671</v>
      </c>
      <c r="X242" t="s">
        <v>5672</v>
      </c>
      <c r="Y242" t="s">
        <v>5673</v>
      </c>
    </row>
    <row r="243" spans="1:25" x14ac:dyDescent="0.3">
      <c r="A243">
        <v>12100</v>
      </c>
      <c r="B243" t="s">
        <v>5674</v>
      </c>
      <c r="C243" t="s">
        <v>5675</v>
      </c>
      <c r="D243" t="s">
        <v>5676</v>
      </c>
      <c r="E243" t="s">
        <v>5677</v>
      </c>
      <c r="F243" t="s">
        <v>5678</v>
      </c>
      <c r="G243" t="s">
        <v>5679</v>
      </c>
      <c r="H243" t="s">
        <v>5680</v>
      </c>
      <c r="I243" t="s">
        <v>5681</v>
      </c>
      <c r="J243" t="s">
        <v>5682</v>
      </c>
      <c r="K243" t="s">
        <v>5683</v>
      </c>
      <c r="L243" t="s">
        <v>5684</v>
      </c>
      <c r="M243" t="s">
        <v>5685</v>
      </c>
      <c r="N243" t="s">
        <v>5686</v>
      </c>
      <c r="O243">
        <f>-686.856785062868 -79.2185005177164 -729.447582129037</f>
        <v>-1495.5228677096213</v>
      </c>
      <c r="P243">
        <f>-682.282051876224 -34.9089616592807 -416.075698501329</f>
        <v>-1133.2667120368337</v>
      </c>
      <c r="Q243">
        <f>-422.499884557691 -27.2466904601083 -425.90282845912</f>
        <v>-875.64940347691936</v>
      </c>
      <c r="R243" t="s">
        <v>5687</v>
      </c>
      <c r="S243" t="s">
        <v>5688</v>
      </c>
      <c r="T243" t="s">
        <v>5689</v>
      </c>
      <c r="U243" t="s">
        <v>5690</v>
      </c>
      <c r="V243" t="s">
        <v>5691</v>
      </c>
      <c r="W243" t="s">
        <v>5692</v>
      </c>
      <c r="X243" t="s">
        <v>5693</v>
      </c>
      <c r="Y243" t="s">
        <v>5694</v>
      </c>
    </row>
    <row r="244" spans="1:25" x14ac:dyDescent="0.3">
      <c r="A244">
        <v>12150</v>
      </c>
      <c r="B244" t="s">
        <v>5695</v>
      </c>
      <c r="C244" t="s">
        <v>5696</v>
      </c>
      <c r="D244" t="s">
        <v>5697</v>
      </c>
      <c r="E244" t="s">
        <v>5698</v>
      </c>
      <c r="F244" t="s">
        <v>5699</v>
      </c>
      <c r="G244" t="s">
        <v>5700</v>
      </c>
      <c r="H244" t="s">
        <v>5701</v>
      </c>
      <c r="I244" t="s">
        <v>5702</v>
      </c>
      <c r="J244" t="s">
        <v>5703</v>
      </c>
      <c r="K244" t="s">
        <v>5704</v>
      </c>
      <c r="L244" t="s">
        <v>5705</v>
      </c>
      <c r="M244" t="s">
        <v>5706</v>
      </c>
      <c r="N244" t="s">
        <v>5707</v>
      </c>
      <c r="O244">
        <f>-685.593784649405 -81.4223512048503 -727.464687919782</f>
        <v>-1494.4808237740374</v>
      </c>
      <c r="P244">
        <f>-680.211927783047 -35.777359732472 -414.29741576231</f>
        <v>-1130.286703277829</v>
      </c>
      <c r="Q244">
        <f>-420.551042608614 -25.3801590312015 -424.794436025052</f>
        <v>-870.72563766486746</v>
      </c>
      <c r="R244" t="s">
        <v>5708</v>
      </c>
      <c r="S244" t="s">
        <v>5709</v>
      </c>
      <c r="T244" t="s">
        <v>5710</v>
      </c>
      <c r="U244" t="s">
        <v>5711</v>
      </c>
      <c r="V244" t="s">
        <v>5712</v>
      </c>
      <c r="W244" t="s">
        <v>5713</v>
      </c>
      <c r="X244" t="s">
        <v>5714</v>
      </c>
      <c r="Y244" t="s">
        <v>5715</v>
      </c>
    </row>
    <row r="245" spans="1:25" x14ac:dyDescent="0.3">
      <c r="A245">
        <v>12200</v>
      </c>
      <c r="B245" t="s">
        <v>5716</v>
      </c>
      <c r="C245" t="s">
        <v>5717</v>
      </c>
      <c r="D245" t="s">
        <v>5718</v>
      </c>
      <c r="E245" t="s">
        <v>5719</v>
      </c>
      <c r="F245" t="s">
        <v>5720</v>
      </c>
      <c r="G245" t="s">
        <v>5721</v>
      </c>
      <c r="H245" t="s">
        <v>5722</v>
      </c>
      <c r="I245" t="s">
        <v>5723</v>
      </c>
      <c r="J245" t="s">
        <v>5724</v>
      </c>
      <c r="K245" t="s">
        <v>5725</v>
      </c>
      <c r="L245" t="s">
        <v>5726</v>
      </c>
      <c r="M245" t="s">
        <v>5727</v>
      </c>
      <c r="N245" t="s">
        <v>5728</v>
      </c>
      <c r="O245">
        <f>-685.351025317877 -81.7811145366817 -726.643110577721</f>
        <v>-1493.7752504322798</v>
      </c>
      <c r="P245">
        <f>-679.575949335465 -35.5525000666105 -413.568337647531</f>
        <v>-1128.6967870496064</v>
      </c>
      <c r="Q245">
        <f>-419.971455308024 -24.1642382179619 -424.425778900728</f>
        <v>-868.56147242671386</v>
      </c>
      <c r="R245" t="s">
        <v>5729</v>
      </c>
      <c r="S245" t="s">
        <v>5730</v>
      </c>
      <c r="T245" t="s">
        <v>5731</v>
      </c>
      <c r="U245" t="s">
        <v>5732</v>
      </c>
      <c r="V245" t="s">
        <v>5733</v>
      </c>
      <c r="W245" t="s">
        <v>5734</v>
      </c>
      <c r="X245" t="s">
        <v>5735</v>
      </c>
      <c r="Y245" t="s">
        <v>5736</v>
      </c>
    </row>
    <row r="246" spans="1:25" x14ac:dyDescent="0.3">
      <c r="A246">
        <v>12250</v>
      </c>
      <c r="B246" t="s">
        <v>5737</v>
      </c>
      <c r="C246" t="s">
        <v>5738</v>
      </c>
      <c r="D246" t="s">
        <v>5739</v>
      </c>
      <c r="E246" t="s">
        <v>5740</v>
      </c>
      <c r="F246" t="s">
        <v>5741</v>
      </c>
      <c r="G246" t="s">
        <v>5742</v>
      </c>
      <c r="H246" t="s">
        <v>5743</v>
      </c>
      <c r="I246" t="s">
        <v>5744</v>
      </c>
      <c r="J246" t="s">
        <v>5745</v>
      </c>
      <c r="K246" t="s">
        <v>5746</v>
      </c>
      <c r="L246" t="s">
        <v>5747</v>
      </c>
      <c r="M246" t="s">
        <v>5748</v>
      </c>
      <c r="N246" t="s">
        <v>5749</v>
      </c>
      <c r="O246">
        <f>-685.163572938357 -81.9111727818565 -725.378733914626</f>
        <v>-1492.4534796348394</v>
      </c>
      <c r="P246">
        <f>-678.704228307108 -34.6405063298527 -412.473047350407</f>
        <v>-1125.8177819873677</v>
      </c>
      <c r="Q246">
        <f>-419.197978530855 -22.0008172771991 -424.255881685266</f>
        <v>-865.4546774933201</v>
      </c>
      <c r="R246" t="s">
        <v>5750</v>
      </c>
      <c r="S246" t="s">
        <v>5751</v>
      </c>
      <c r="T246" t="s">
        <v>5752</v>
      </c>
      <c r="U246" t="s">
        <v>5753</v>
      </c>
      <c r="V246" t="s">
        <v>5754</v>
      </c>
      <c r="W246" t="s">
        <v>5755</v>
      </c>
      <c r="X246" t="s">
        <v>5756</v>
      </c>
      <c r="Y246" t="s">
        <v>5757</v>
      </c>
    </row>
    <row r="247" spans="1:25" x14ac:dyDescent="0.3">
      <c r="A247">
        <v>12300</v>
      </c>
      <c r="B247" t="s">
        <v>5758</v>
      </c>
      <c r="C247" t="s">
        <v>5759</v>
      </c>
      <c r="D247" t="s">
        <v>5760</v>
      </c>
      <c r="E247" t="s">
        <v>5761</v>
      </c>
      <c r="F247" t="s">
        <v>5762</v>
      </c>
      <c r="G247" t="s">
        <v>5763</v>
      </c>
      <c r="H247" t="s">
        <v>5764</v>
      </c>
      <c r="I247" t="s">
        <v>5765</v>
      </c>
      <c r="J247" t="s">
        <v>5766</v>
      </c>
      <c r="K247" t="s">
        <v>5767</v>
      </c>
      <c r="L247" t="s">
        <v>5768</v>
      </c>
      <c r="M247" t="s">
        <v>5769</v>
      </c>
      <c r="N247" t="s">
        <v>5770</v>
      </c>
      <c r="O247">
        <f>-685.118820471934 -81.4584608572304 -724.985952288153</f>
        <v>-1491.5632336173176</v>
      </c>
      <c r="P247">
        <f>-678.303478775744 -33.8255673485462 -412.142722955808</f>
        <v>-1124.2717690800982</v>
      </c>
      <c r="Q247">
        <f>-418.833826713867 -20.8406838470379 -424.347632649593</f>
        <v>-864.02214321049792</v>
      </c>
      <c r="R247" t="s">
        <v>5771</v>
      </c>
      <c r="S247" t="s">
        <v>5772</v>
      </c>
      <c r="T247" t="s">
        <v>5773</v>
      </c>
      <c r="U247" t="s">
        <v>5774</v>
      </c>
      <c r="V247" t="s">
        <v>5775</v>
      </c>
      <c r="W247" t="s">
        <v>5776</v>
      </c>
      <c r="X247" t="s">
        <v>5777</v>
      </c>
      <c r="Y247" t="s">
        <v>5778</v>
      </c>
    </row>
    <row r="248" spans="1:25" x14ac:dyDescent="0.3">
      <c r="A248">
        <v>12350</v>
      </c>
      <c r="B248" t="s">
        <v>5779</v>
      </c>
      <c r="C248" t="s">
        <v>5780</v>
      </c>
      <c r="D248" t="s">
        <v>5781</v>
      </c>
      <c r="E248" t="s">
        <v>5782</v>
      </c>
      <c r="F248" t="s">
        <v>5783</v>
      </c>
      <c r="G248" t="s">
        <v>5784</v>
      </c>
      <c r="H248" t="s">
        <v>5785</v>
      </c>
      <c r="I248" t="s">
        <v>5786</v>
      </c>
      <c r="J248" t="s">
        <v>5787</v>
      </c>
      <c r="K248" t="s">
        <v>5788</v>
      </c>
      <c r="L248" t="s">
        <v>5789</v>
      </c>
      <c r="M248" t="s">
        <v>5790</v>
      </c>
      <c r="N248" t="s">
        <v>5791</v>
      </c>
      <c r="O248">
        <f>-685.35162354354 -80.8015167662635 -724.737152411437</f>
        <v>-1490.8902927212405</v>
      </c>
      <c r="P248">
        <f>-678.3343584708 -32.9953834047278 -411.924879115897</f>
        <v>-1123.2546209914249</v>
      </c>
      <c r="Q248">
        <f>-418.890452606099 -19.8147749046859 -424.462823294917</f>
        <v>-863.16805080570191</v>
      </c>
      <c r="R248" t="s">
        <v>5792</v>
      </c>
      <c r="S248" t="s">
        <v>5793</v>
      </c>
      <c r="T248" t="s">
        <v>5794</v>
      </c>
      <c r="U248" t="s">
        <v>5795</v>
      </c>
      <c r="V248" t="s">
        <v>5796</v>
      </c>
      <c r="W248" t="s">
        <v>5797</v>
      </c>
      <c r="X248" t="s">
        <v>5798</v>
      </c>
      <c r="Y248" t="s">
        <v>5799</v>
      </c>
    </row>
    <row r="249" spans="1:25" x14ac:dyDescent="0.3">
      <c r="A249">
        <v>12400</v>
      </c>
      <c r="B249" t="s">
        <v>5800</v>
      </c>
      <c r="C249" t="s">
        <v>5801</v>
      </c>
      <c r="D249" t="s">
        <v>5802</v>
      </c>
      <c r="E249" t="s">
        <v>5803</v>
      </c>
      <c r="F249" t="s">
        <v>5804</v>
      </c>
      <c r="G249" t="s">
        <v>5805</v>
      </c>
      <c r="H249" t="s">
        <v>5806</v>
      </c>
      <c r="I249" t="s">
        <v>5807</v>
      </c>
      <c r="J249" t="s">
        <v>5808</v>
      </c>
      <c r="K249" t="s">
        <v>5809</v>
      </c>
      <c r="L249" t="s">
        <v>5810</v>
      </c>
      <c r="M249" t="s">
        <v>5811</v>
      </c>
      <c r="N249" t="s">
        <v>5812</v>
      </c>
      <c r="O249">
        <f>-685.843030193136 -78.8017906128106 -724.613018194466</f>
        <v>-1489.2578390004126</v>
      </c>
      <c r="P249">
        <f>-678.302471174278 -30.9855469811968 -411.814511835148</f>
        <v>-1121.1025299906228</v>
      </c>
      <c r="Q249">
        <f>-418.855699729208 -17.9037908278043 -424.396938324665</f>
        <v>-861.15642888167736</v>
      </c>
      <c r="R249" t="s">
        <v>5813</v>
      </c>
      <c r="S249" t="s">
        <v>5814</v>
      </c>
      <c r="T249" t="s">
        <v>5815</v>
      </c>
      <c r="U249" t="s">
        <v>5816</v>
      </c>
      <c r="V249" t="s">
        <v>5817</v>
      </c>
      <c r="W249" t="s">
        <v>5818</v>
      </c>
      <c r="X249" t="s">
        <v>5819</v>
      </c>
      <c r="Y249" t="s">
        <v>5820</v>
      </c>
    </row>
    <row r="250" spans="1:25" x14ac:dyDescent="0.3">
      <c r="A250">
        <v>12450</v>
      </c>
      <c r="B250" t="s">
        <v>5821</v>
      </c>
      <c r="C250" t="s">
        <v>5822</v>
      </c>
      <c r="D250" t="s">
        <v>5823</v>
      </c>
      <c r="E250" t="s">
        <v>5824</v>
      </c>
      <c r="F250" t="s">
        <v>5825</v>
      </c>
      <c r="G250" t="s">
        <v>5826</v>
      </c>
      <c r="H250" t="s">
        <v>5827</v>
      </c>
      <c r="I250" t="s">
        <v>5828</v>
      </c>
      <c r="J250" t="s">
        <v>5829</v>
      </c>
      <c r="K250" t="s">
        <v>5830</v>
      </c>
      <c r="L250" t="s">
        <v>5831</v>
      </c>
      <c r="M250" t="s">
        <v>5832</v>
      </c>
      <c r="N250" t="s">
        <v>5833</v>
      </c>
      <c r="O250">
        <f>-686.40170284748 -75.5924500372976 -724.881995464124</f>
        <v>-1486.8761483489016</v>
      </c>
      <c r="P250">
        <f>-678.643090841484 -28.0115264837478 -412.05286354609</f>
        <v>-1118.7074808713219</v>
      </c>
      <c r="Q250">
        <f>-419.15488696369 -15.3347906018543 -424.187120358149</f>
        <v>-858.67679792369336</v>
      </c>
      <c r="R250" t="s">
        <v>5834</v>
      </c>
      <c r="S250" t="s">
        <v>5835</v>
      </c>
      <c r="T250" t="s">
        <v>5836</v>
      </c>
      <c r="U250" t="s">
        <v>5837</v>
      </c>
      <c r="V250" t="s">
        <v>5838</v>
      </c>
      <c r="W250" t="s">
        <v>5839</v>
      </c>
      <c r="X250" t="s">
        <v>5840</v>
      </c>
      <c r="Y250" t="s">
        <v>5841</v>
      </c>
    </row>
    <row r="251" spans="1:25" x14ac:dyDescent="0.3">
      <c r="A251">
        <v>12500</v>
      </c>
      <c r="B251" t="s">
        <v>5842</v>
      </c>
      <c r="C251" t="s">
        <v>5843</v>
      </c>
      <c r="D251" t="s">
        <v>5844</v>
      </c>
      <c r="E251" t="s">
        <v>5845</v>
      </c>
      <c r="F251" t="s">
        <v>5846</v>
      </c>
      <c r="G251" t="s">
        <v>5847</v>
      </c>
      <c r="H251" t="s">
        <v>5848</v>
      </c>
      <c r="I251" t="s">
        <v>5849</v>
      </c>
      <c r="J251" t="s">
        <v>5850</v>
      </c>
      <c r="K251" t="s">
        <v>5851</v>
      </c>
      <c r="L251" t="s">
        <v>5852</v>
      </c>
      <c r="M251" t="s">
        <v>5853</v>
      </c>
      <c r="N251" t="s">
        <v>5854</v>
      </c>
      <c r="O251">
        <f>-686.903262310646 -74.0788474596083 -725.150547494501</f>
        <v>-1486.1326572647554</v>
      </c>
      <c r="P251">
        <f>-679.117702700719 -26.6295297464987 -412.302283403707</f>
        <v>-1118.0495158509248</v>
      </c>
      <c r="Q251">
        <f>-419.600873436056 -14.2468340365695 -424.122954492572</f>
        <v>-857.97066196519745</v>
      </c>
      <c r="R251" t="s">
        <v>5855</v>
      </c>
      <c r="S251" t="s">
        <v>5856</v>
      </c>
      <c r="T251" t="s">
        <v>5857</v>
      </c>
      <c r="U251" t="s">
        <v>5858</v>
      </c>
      <c r="V251" t="s">
        <v>5859</v>
      </c>
      <c r="W251" t="s">
        <v>5860</v>
      </c>
      <c r="X251" t="s">
        <v>5861</v>
      </c>
      <c r="Y251" t="s">
        <v>5862</v>
      </c>
    </row>
    <row r="252" spans="1:25" x14ac:dyDescent="0.3">
      <c r="A252">
        <v>12550</v>
      </c>
      <c r="B252" t="s">
        <v>5863</v>
      </c>
      <c r="C252" t="s">
        <v>5864</v>
      </c>
      <c r="D252" t="s">
        <v>5865</v>
      </c>
      <c r="E252" t="s">
        <v>5866</v>
      </c>
      <c r="F252" t="s">
        <v>5867</v>
      </c>
      <c r="G252" t="s">
        <v>5868</v>
      </c>
      <c r="H252" t="s">
        <v>5869</v>
      </c>
      <c r="I252" t="s">
        <v>5870</v>
      </c>
      <c r="J252" t="s">
        <v>5871</v>
      </c>
      <c r="K252" t="s">
        <v>5872</v>
      </c>
      <c r="L252" t="s">
        <v>5873</v>
      </c>
      <c r="M252" t="s">
        <v>5874</v>
      </c>
      <c r="N252" t="s">
        <v>5875</v>
      </c>
      <c r="O252">
        <f>-688.106162711807 -70.7076308551592 -725.656690766645</f>
        <v>-1484.4704843336112</v>
      </c>
      <c r="P252">
        <f>-680.719696345068 -23.7146826635357 -412.729825034396</f>
        <v>-1117.1642040429997</v>
      </c>
      <c r="Q252">
        <f>-421.121200552134 -12.6296465498614 -424.035512189285</f>
        <v>-857.78635929128041</v>
      </c>
      <c r="R252" t="s">
        <v>5876</v>
      </c>
      <c r="S252" t="s">
        <v>5877</v>
      </c>
      <c r="T252" t="s">
        <v>5878</v>
      </c>
      <c r="U252" t="s">
        <v>5879</v>
      </c>
      <c r="V252" t="s">
        <v>5880</v>
      </c>
      <c r="W252" t="s">
        <v>5881</v>
      </c>
      <c r="X252" t="s">
        <v>5882</v>
      </c>
      <c r="Y252" t="s">
        <v>5883</v>
      </c>
    </row>
    <row r="253" spans="1:25" x14ac:dyDescent="0.3">
      <c r="A253">
        <v>12600</v>
      </c>
      <c r="B253" t="s">
        <v>5884</v>
      </c>
      <c r="C253" t="s">
        <v>5885</v>
      </c>
      <c r="D253" t="s">
        <v>5886</v>
      </c>
      <c r="E253" t="s">
        <v>5887</v>
      </c>
      <c r="F253" t="s">
        <v>5888</v>
      </c>
      <c r="G253" t="s">
        <v>5889</v>
      </c>
      <c r="H253" t="s">
        <v>5890</v>
      </c>
      <c r="I253" t="s">
        <v>5891</v>
      </c>
      <c r="J253" t="s">
        <v>5892</v>
      </c>
      <c r="K253" t="s">
        <v>5893</v>
      </c>
      <c r="L253" t="s">
        <v>5894</v>
      </c>
      <c r="M253" t="s">
        <v>5895</v>
      </c>
      <c r="N253" t="s">
        <v>5896</v>
      </c>
      <c r="O253">
        <f>-688.822760420568 -68.8038426921067 -725.883391082618</f>
        <v>-1483.5099941952926</v>
      </c>
      <c r="P253">
        <f>-681.689595188893 -22.1491780318341 -412.899951619309</f>
        <v>-1116.7387248400362</v>
      </c>
      <c r="Q253">
        <f>-422.029988728932 -12.0552476826085 -423.719412831405</f>
        <v>-857.80464924294552</v>
      </c>
      <c r="R253" t="s">
        <v>5897</v>
      </c>
      <c r="S253" t="s">
        <v>5898</v>
      </c>
      <c r="T253" t="s">
        <v>5899</v>
      </c>
      <c r="U253" t="s">
        <v>5900</v>
      </c>
      <c r="V253" t="s">
        <v>5901</v>
      </c>
      <c r="W253" t="s">
        <v>5902</v>
      </c>
      <c r="X253" t="s">
        <v>5903</v>
      </c>
      <c r="Y253" t="s">
        <v>5904</v>
      </c>
    </row>
    <row r="254" spans="1:25" x14ac:dyDescent="0.3">
      <c r="A254">
        <v>12650</v>
      </c>
      <c r="B254" t="s">
        <v>5905</v>
      </c>
      <c r="C254" t="s">
        <v>5906</v>
      </c>
      <c r="D254" t="s">
        <v>5907</v>
      </c>
      <c r="E254" t="s">
        <v>5908</v>
      </c>
      <c r="F254" t="s">
        <v>5909</v>
      </c>
      <c r="G254" t="s">
        <v>5910</v>
      </c>
      <c r="H254" t="s">
        <v>5911</v>
      </c>
      <c r="I254" t="s">
        <v>5912</v>
      </c>
      <c r="J254" t="s">
        <v>5913</v>
      </c>
      <c r="K254" t="s">
        <v>5914</v>
      </c>
      <c r="L254" t="s">
        <v>5915</v>
      </c>
      <c r="M254" t="s">
        <v>5916</v>
      </c>
      <c r="N254" t="s">
        <v>5917</v>
      </c>
      <c r="O254">
        <f>-690.02167256886 -63.5970476830101 -726.296052979385</f>
        <v>-1479.9147732312551</v>
      </c>
      <c r="P254">
        <f>-684.162792755632 -17.7486384536856 -413.167031699758</f>
        <v>-1115.0784629090758</v>
      </c>
      <c r="Q254">
        <f>-424.380092597273 -9.89865418598256 -422.828808774321</f>
        <v>-857.10755555757646</v>
      </c>
      <c r="R254" t="s">
        <v>5918</v>
      </c>
      <c r="S254" t="s">
        <v>5919</v>
      </c>
      <c r="T254" t="s">
        <v>5920</v>
      </c>
      <c r="U254" t="s">
        <v>5921</v>
      </c>
      <c r="V254" t="s">
        <v>5922</v>
      </c>
      <c r="W254" t="s">
        <v>5923</v>
      </c>
      <c r="X254" t="s">
        <v>5924</v>
      </c>
      <c r="Y254" t="s">
        <v>5925</v>
      </c>
    </row>
    <row r="255" spans="1:25" x14ac:dyDescent="0.3">
      <c r="A255">
        <v>12700</v>
      </c>
      <c r="B255" t="s">
        <v>5926</v>
      </c>
      <c r="C255" t="s">
        <v>5927</v>
      </c>
      <c r="D255" t="s">
        <v>5928</v>
      </c>
      <c r="E255" t="s">
        <v>5929</v>
      </c>
      <c r="F255" t="s">
        <v>5930</v>
      </c>
      <c r="G255" t="s">
        <v>5931</v>
      </c>
      <c r="H255" t="s">
        <v>5932</v>
      </c>
      <c r="I255" t="s">
        <v>5933</v>
      </c>
      <c r="J255" t="s">
        <v>5934</v>
      </c>
      <c r="K255" t="s">
        <v>5935</v>
      </c>
      <c r="L255" t="s">
        <v>5936</v>
      </c>
      <c r="M255" t="s">
        <v>5937</v>
      </c>
      <c r="N255" t="s">
        <v>5938</v>
      </c>
      <c r="O255">
        <f>-690.029981320348 -60.011876996668 -726.549084409261</f>
        <v>-1476.590942726277</v>
      </c>
      <c r="P255">
        <f>-684.899550496122 -14.8323822166049 -413.310102552489</f>
        <v>-1113.0420352652159</v>
      </c>
      <c r="Q255">
        <f>-425.05669008655 -8.08946912208592 -422.159253794052</f>
        <v>-855.30541300268794</v>
      </c>
      <c r="R255" t="s">
        <v>5939</v>
      </c>
      <c r="S255" t="s">
        <v>5940</v>
      </c>
      <c r="T255" t="s">
        <v>5941</v>
      </c>
      <c r="U255" t="s">
        <v>5942</v>
      </c>
      <c r="V255" t="s">
        <v>5943</v>
      </c>
      <c r="W255" t="s">
        <v>5944</v>
      </c>
      <c r="X255" t="s">
        <v>5945</v>
      </c>
      <c r="Y255" t="s">
        <v>5946</v>
      </c>
    </row>
    <row r="256" spans="1:25" x14ac:dyDescent="0.3">
      <c r="A256">
        <v>12750</v>
      </c>
      <c r="B256" t="s">
        <v>5947</v>
      </c>
      <c r="C256" t="s">
        <v>5948</v>
      </c>
      <c r="D256" t="s">
        <v>5949</v>
      </c>
      <c r="E256" t="s">
        <v>5950</v>
      </c>
      <c r="F256" t="s">
        <v>5951</v>
      </c>
      <c r="G256" t="s">
        <v>5952</v>
      </c>
      <c r="H256" t="s">
        <v>5953</v>
      </c>
      <c r="I256" t="s">
        <v>5954</v>
      </c>
      <c r="J256" t="s">
        <v>5955</v>
      </c>
      <c r="K256" t="s">
        <v>5956</v>
      </c>
      <c r="L256" t="s">
        <v>5957</v>
      </c>
      <c r="M256" t="s">
        <v>5958</v>
      </c>
      <c r="N256" t="s">
        <v>5959</v>
      </c>
      <c r="O256">
        <f>-691.535557889021 -50.7709811846517 -727.315133830746</f>
        <v>-1469.6216729044186</v>
      </c>
      <c r="P256">
        <f>-687.885760083433 -7.25078099247305 -413.820429554602</f>
        <v>-1108.9569706305081</v>
      </c>
      <c r="Q256">
        <f>-427.945992931275 -2.57300453765568 -420.996199010105</f>
        <v>-851.51519647903569</v>
      </c>
      <c r="R256" t="s">
        <v>5960</v>
      </c>
      <c r="S256" t="s">
        <v>5961</v>
      </c>
      <c r="T256" t="s">
        <v>5962</v>
      </c>
      <c r="U256" t="s">
        <v>5963</v>
      </c>
      <c r="V256" t="s">
        <v>5964</v>
      </c>
      <c r="W256" t="s">
        <v>5965</v>
      </c>
      <c r="X256" t="s">
        <v>5966</v>
      </c>
      <c r="Y256" t="s">
        <v>5967</v>
      </c>
    </row>
    <row r="257" spans="1:25" x14ac:dyDescent="0.3">
      <c r="A257">
        <v>12800</v>
      </c>
      <c r="B257" t="s">
        <v>5968</v>
      </c>
      <c r="C257" t="s">
        <v>5969</v>
      </c>
      <c r="D257" t="s">
        <v>5970</v>
      </c>
      <c r="E257" t="s">
        <v>5971</v>
      </c>
      <c r="F257" t="s">
        <v>5972</v>
      </c>
      <c r="G257" t="s">
        <v>5973</v>
      </c>
      <c r="H257" t="s">
        <v>5974</v>
      </c>
      <c r="I257" t="s">
        <v>5975</v>
      </c>
      <c r="J257" t="s">
        <v>5976</v>
      </c>
      <c r="K257" t="s">
        <v>5977</v>
      </c>
      <c r="L257" t="s">
        <v>5978</v>
      </c>
      <c r="M257" t="s">
        <v>5979</v>
      </c>
      <c r="N257" t="s">
        <v>5980</v>
      </c>
      <c r="O257">
        <f>-692.151462431631 -45.0610354750391 -727.933825541312</f>
        <v>-1465.146323447982</v>
      </c>
      <c r="P257">
        <f>-689.084187713098 -2.41579668613904 -414.312735183547</f>
        <v>-1105.812719582784</v>
      </c>
      <c r="Q257" t="s">
        <v>5981</v>
      </c>
      <c r="R257" t="s">
        <v>5982</v>
      </c>
      <c r="S257" t="s">
        <v>5983</v>
      </c>
      <c r="T257" t="s">
        <v>5984</v>
      </c>
      <c r="U257" t="s">
        <v>5985</v>
      </c>
      <c r="V257" t="s">
        <v>5986</v>
      </c>
      <c r="W257" t="s">
        <v>5987</v>
      </c>
      <c r="X257" t="s">
        <v>5988</v>
      </c>
      <c r="Y257" t="s">
        <v>5989</v>
      </c>
    </row>
    <row r="258" spans="1:25" x14ac:dyDescent="0.3">
      <c r="A258">
        <v>12850</v>
      </c>
      <c r="B258" t="s">
        <v>5990</v>
      </c>
      <c r="C258" t="s">
        <v>5991</v>
      </c>
      <c r="D258" t="s">
        <v>5992</v>
      </c>
      <c r="E258" t="s">
        <v>5993</v>
      </c>
      <c r="F258" t="s">
        <v>5994</v>
      </c>
      <c r="G258" t="s">
        <v>5995</v>
      </c>
      <c r="H258" t="s">
        <v>5996</v>
      </c>
      <c r="I258" t="s">
        <v>5997</v>
      </c>
      <c r="J258" t="s">
        <v>5998</v>
      </c>
      <c r="K258" t="s">
        <v>5999</v>
      </c>
      <c r="L258" t="s">
        <v>6000</v>
      </c>
      <c r="M258" t="s">
        <v>6001</v>
      </c>
      <c r="N258" t="s">
        <v>6002</v>
      </c>
      <c r="O258">
        <f>-692.543049756448 -32.0865334051563 -729.189891767477</f>
        <v>-1453.8194749290813</v>
      </c>
      <c r="P258" t="s">
        <v>6003</v>
      </c>
      <c r="Q258" t="s">
        <v>6004</v>
      </c>
      <c r="R258" t="s">
        <v>6005</v>
      </c>
      <c r="S258" t="s">
        <v>6006</v>
      </c>
      <c r="T258" t="s">
        <v>6007</v>
      </c>
      <c r="U258" t="s">
        <v>6008</v>
      </c>
      <c r="V258" t="s">
        <v>6009</v>
      </c>
      <c r="W258" t="s">
        <v>6010</v>
      </c>
      <c r="X258" t="s">
        <v>6011</v>
      </c>
      <c r="Y258" t="s">
        <v>6012</v>
      </c>
    </row>
    <row r="259" spans="1:25" x14ac:dyDescent="0.3">
      <c r="A259">
        <v>12900</v>
      </c>
      <c r="B259" t="s">
        <v>6013</v>
      </c>
      <c r="C259" t="s">
        <v>6014</v>
      </c>
      <c r="D259" t="s">
        <v>6015</v>
      </c>
      <c r="E259" t="s">
        <v>6016</v>
      </c>
      <c r="F259" t="s">
        <v>6017</v>
      </c>
      <c r="G259" t="s">
        <v>6018</v>
      </c>
      <c r="H259" t="s">
        <v>6019</v>
      </c>
      <c r="I259" t="s">
        <v>6020</v>
      </c>
      <c r="J259" t="s">
        <v>6021</v>
      </c>
      <c r="K259" t="s">
        <v>6022</v>
      </c>
      <c r="L259" t="s">
        <v>6023</v>
      </c>
      <c r="M259" t="s">
        <v>6024</v>
      </c>
      <c r="N259" t="s">
        <v>6025</v>
      </c>
      <c r="O259">
        <f>-692.699604207063 -25.16783670749 -729.547345696829</f>
        <v>-1447.4147866113819</v>
      </c>
      <c r="P259" t="s">
        <v>6026</v>
      </c>
      <c r="Q259" t="s">
        <v>6027</v>
      </c>
      <c r="R259" t="s">
        <v>6028</v>
      </c>
      <c r="S259" t="s">
        <v>6029</v>
      </c>
      <c r="T259" t="s">
        <v>6030</v>
      </c>
      <c r="U259" t="s">
        <v>6031</v>
      </c>
      <c r="V259" t="s">
        <v>6032</v>
      </c>
      <c r="W259" t="s">
        <v>6033</v>
      </c>
      <c r="X259" t="s">
        <v>6034</v>
      </c>
      <c r="Y259" t="s">
        <v>6035</v>
      </c>
    </row>
    <row r="260" spans="1:25" x14ac:dyDescent="0.3">
      <c r="A260">
        <v>12950</v>
      </c>
      <c r="B260" t="s">
        <v>6036</v>
      </c>
      <c r="C260" t="s">
        <v>6037</v>
      </c>
      <c r="D260" t="s">
        <v>6038</v>
      </c>
      <c r="E260" t="s">
        <v>6039</v>
      </c>
      <c r="F260" t="s">
        <v>6040</v>
      </c>
      <c r="G260" t="s">
        <v>6041</v>
      </c>
      <c r="H260" t="s">
        <v>6042</v>
      </c>
      <c r="I260" t="s">
        <v>6043</v>
      </c>
      <c r="J260" t="s">
        <v>6044</v>
      </c>
      <c r="K260" t="s">
        <v>6045</v>
      </c>
      <c r="L260" t="s">
        <v>6046</v>
      </c>
      <c r="M260" t="s">
        <v>6047</v>
      </c>
      <c r="N260" t="s">
        <v>6048</v>
      </c>
      <c r="O260">
        <f>-691.82984676469 -11.1850989383888 -729.502082357788</f>
        <v>-1432.5170280608668</v>
      </c>
      <c r="P260" t="s">
        <v>6049</v>
      </c>
      <c r="Q260" t="s">
        <v>6050</v>
      </c>
      <c r="R260" t="s">
        <v>6051</v>
      </c>
      <c r="S260" t="s">
        <v>6052</v>
      </c>
      <c r="T260" t="s">
        <v>6053</v>
      </c>
      <c r="U260" t="s">
        <v>6054</v>
      </c>
      <c r="V260" t="s">
        <v>6055</v>
      </c>
      <c r="W260" t="s">
        <v>6056</v>
      </c>
      <c r="X260" t="s">
        <v>6057</v>
      </c>
      <c r="Y260" t="s">
        <v>6058</v>
      </c>
    </row>
    <row r="261" spans="1:25" x14ac:dyDescent="0.3">
      <c r="A261">
        <v>13000</v>
      </c>
      <c r="B261" t="s">
        <v>6059</v>
      </c>
      <c r="C261" t="s">
        <v>6060</v>
      </c>
      <c r="D261" t="s">
        <v>6061</v>
      </c>
      <c r="E261" t="s">
        <v>6062</v>
      </c>
      <c r="F261" t="s">
        <v>6063</v>
      </c>
      <c r="G261" t="s">
        <v>6064</v>
      </c>
      <c r="H261" t="s">
        <v>6065</v>
      </c>
      <c r="I261" t="s">
        <v>6066</v>
      </c>
      <c r="J261" t="s">
        <v>6067</v>
      </c>
      <c r="K261" t="s">
        <v>6068</v>
      </c>
      <c r="L261" t="s">
        <v>6069</v>
      </c>
      <c r="M261" t="s">
        <v>6070</v>
      </c>
      <c r="N261" t="s">
        <v>6071</v>
      </c>
      <c r="O261">
        <f>-691.192958670774 -4.71346962297076 -728.945693347446</f>
        <v>-1424.8521216411907</v>
      </c>
      <c r="P261" t="s">
        <v>6072</v>
      </c>
      <c r="Q261" t="s">
        <v>6073</v>
      </c>
      <c r="R261" t="s">
        <v>6074</v>
      </c>
      <c r="S261" t="s">
        <v>6075</v>
      </c>
      <c r="T261" t="s">
        <v>6076</v>
      </c>
      <c r="U261" t="s">
        <v>6077</v>
      </c>
      <c r="V261" t="s">
        <v>6078</v>
      </c>
      <c r="W261" t="s">
        <v>6079</v>
      </c>
      <c r="X261" t="s">
        <v>6080</v>
      </c>
      <c r="Y261" t="s">
        <v>6081</v>
      </c>
    </row>
    <row r="262" spans="1:25" x14ac:dyDescent="0.3">
      <c r="A262">
        <v>13050</v>
      </c>
      <c r="B262" t="s">
        <v>6082</v>
      </c>
      <c r="C262" t="s">
        <v>6083</v>
      </c>
      <c r="D262" t="s">
        <v>6084</v>
      </c>
      <c r="E262" t="s">
        <v>6085</v>
      </c>
      <c r="F262" t="s">
        <v>6086</v>
      </c>
      <c r="G262" t="s">
        <v>6087</v>
      </c>
      <c r="H262" t="s">
        <v>6088</v>
      </c>
      <c r="I262" t="s">
        <v>6089</v>
      </c>
      <c r="J262" t="s">
        <v>6090</v>
      </c>
      <c r="K262" t="s">
        <v>6091</v>
      </c>
      <c r="L262" t="s">
        <v>6092</v>
      </c>
      <c r="M262" t="s">
        <v>6093</v>
      </c>
      <c r="N262" t="s">
        <v>6094</v>
      </c>
      <c r="O262" t="s">
        <v>6095</v>
      </c>
      <c r="P262" t="s">
        <v>6096</v>
      </c>
      <c r="Q262" t="s">
        <v>6097</v>
      </c>
      <c r="R262" t="s">
        <v>6098</v>
      </c>
      <c r="S262" t="s">
        <v>6099</v>
      </c>
      <c r="T262" t="s">
        <v>6100</v>
      </c>
      <c r="U262" t="s">
        <v>6101</v>
      </c>
      <c r="V262" t="s">
        <v>6102</v>
      </c>
      <c r="W262" t="s">
        <v>6103</v>
      </c>
      <c r="X262" t="s">
        <v>6104</v>
      </c>
      <c r="Y262" t="s">
        <v>6105</v>
      </c>
    </row>
    <row r="263" spans="1:25" x14ac:dyDescent="0.3">
      <c r="A263">
        <v>13100</v>
      </c>
      <c r="B263" t="s">
        <v>6106</v>
      </c>
      <c r="C263" t="s">
        <v>6107</v>
      </c>
      <c r="D263" t="s">
        <v>6108</v>
      </c>
      <c r="E263" t="s">
        <v>6109</v>
      </c>
      <c r="F263" t="s">
        <v>6110</v>
      </c>
      <c r="G263" t="s">
        <v>6111</v>
      </c>
      <c r="H263" t="s">
        <v>6112</v>
      </c>
      <c r="I263" t="s">
        <v>6113</v>
      </c>
      <c r="J263" t="s">
        <v>6114</v>
      </c>
      <c r="K263" t="s">
        <v>6115</v>
      </c>
      <c r="L263" t="s">
        <v>6116</v>
      </c>
      <c r="M263" t="s">
        <v>6117</v>
      </c>
      <c r="N263" t="s">
        <v>6118</v>
      </c>
      <c r="O263" t="s">
        <v>6119</v>
      </c>
      <c r="P263" t="s">
        <v>6120</v>
      </c>
      <c r="Q263" t="s">
        <v>6121</v>
      </c>
      <c r="R263" t="s">
        <v>6122</v>
      </c>
      <c r="S263" t="s">
        <v>6123</v>
      </c>
      <c r="T263" t="s">
        <v>6124</v>
      </c>
      <c r="U263" t="s">
        <v>6125</v>
      </c>
      <c r="V263" t="s">
        <v>6126</v>
      </c>
      <c r="W263" t="s">
        <v>6127</v>
      </c>
      <c r="X263" t="s">
        <v>6128</v>
      </c>
      <c r="Y263" t="s">
        <v>6129</v>
      </c>
    </row>
    <row r="264" spans="1:25" x14ac:dyDescent="0.3">
      <c r="A264">
        <v>13150</v>
      </c>
      <c r="B264" t="s">
        <v>6130</v>
      </c>
      <c r="C264" t="s">
        <v>6131</v>
      </c>
      <c r="D264" t="s">
        <v>6132</v>
      </c>
      <c r="E264" t="s">
        <v>6133</v>
      </c>
      <c r="F264" t="s">
        <v>6134</v>
      </c>
      <c r="G264" t="s">
        <v>6135</v>
      </c>
      <c r="H264" t="s">
        <v>6136</v>
      </c>
      <c r="I264" t="s">
        <v>6137</v>
      </c>
      <c r="J264" t="s">
        <v>6138</v>
      </c>
      <c r="K264" t="s">
        <v>6139</v>
      </c>
      <c r="L264" t="s">
        <v>6140</v>
      </c>
      <c r="M264" t="s">
        <v>6141</v>
      </c>
      <c r="N264" t="s">
        <v>6142</v>
      </c>
      <c r="O264" t="s">
        <v>6143</v>
      </c>
      <c r="P264" t="s">
        <v>6144</v>
      </c>
      <c r="Q264" t="s">
        <v>6145</v>
      </c>
      <c r="R264" t="s">
        <v>6146</v>
      </c>
      <c r="S264" t="s">
        <v>6147</v>
      </c>
      <c r="T264" t="s">
        <v>6148</v>
      </c>
      <c r="U264" t="s">
        <v>6149</v>
      </c>
      <c r="V264" t="s">
        <v>6150</v>
      </c>
      <c r="W264" t="s">
        <v>6151</v>
      </c>
      <c r="X264" t="s">
        <v>6152</v>
      </c>
      <c r="Y264" t="s">
        <v>6153</v>
      </c>
    </row>
    <row r="265" spans="1:25" x14ac:dyDescent="0.3">
      <c r="A265">
        <v>13200</v>
      </c>
      <c r="B265" t="s">
        <v>6154</v>
      </c>
      <c r="C265" t="s">
        <v>6155</v>
      </c>
      <c r="D265" t="s">
        <v>6156</v>
      </c>
      <c r="E265" t="s">
        <v>6157</v>
      </c>
      <c r="F265" t="s">
        <v>6158</v>
      </c>
      <c r="G265" t="s">
        <v>6159</v>
      </c>
      <c r="H265" t="s">
        <v>6160</v>
      </c>
      <c r="I265" t="s">
        <v>6161</v>
      </c>
      <c r="J265" t="s">
        <v>6162</v>
      </c>
      <c r="K265" t="s">
        <v>6163</v>
      </c>
      <c r="L265" t="s">
        <v>6164</v>
      </c>
      <c r="M265" t="s">
        <v>6165</v>
      </c>
      <c r="N265" t="s">
        <v>6166</v>
      </c>
      <c r="O265" t="s">
        <v>6167</v>
      </c>
      <c r="P265" t="s">
        <v>6168</v>
      </c>
      <c r="Q265" t="s">
        <v>6169</v>
      </c>
      <c r="R265" t="s">
        <v>6170</v>
      </c>
      <c r="S265" t="s">
        <v>6171</v>
      </c>
      <c r="T265" t="s">
        <v>6172</v>
      </c>
      <c r="U265" t="s">
        <v>6173</v>
      </c>
      <c r="V265" t="s">
        <v>6174</v>
      </c>
      <c r="W265" t="s">
        <v>6175</v>
      </c>
      <c r="X265" t="s">
        <v>6176</v>
      </c>
      <c r="Y265" t="s">
        <v>6177</v>
      </c>
    </row>
    <row r="266" spans="1:25" x14ac:dyDescent="0.3">
      <c r="A266">
        <v>13250</v>
      </c>
      <c r="B266" t="s">
        <v>6178</v>
      </c>
      <c r="C266" t="s">
        <v>6179</v>
      </c>
      <c r="D266" t="s">
        <v>6180</v>
      </c>
      <c r="E266" t="s">
        <v>6181</v>
      </c>
      <c r="F266" t="s">
        <v>6182</v>
      </c>
      <c r="G266" t="s">
        <v>6183</v>
      </c>
      <c r="H266" t="s">
        <v>6184</v>
      </c>
      <c r="I266" t="s">
        <v>6185</v>
      </c>
      <c r="J266" t="s">
        <v>6186</v>
      </c>
      <c r="K266" t="s">
        <v>6187</v>
      </c>
      <c r="L266" t="s">
        <v>6188</v>
      </c>
      <c r="M266" t="s">
        <v>6189</v>
      </c>
      <c r="N266" t="s">
        <v>6190</v>
      </c>
      <c r="O266" t="s">
        <v>6191</v>
      </c>
      <c r="P266" t="s">
        <v>6192</v>
      </c>
      <c r="Q266" t="s">
        <v>6193</v>
      </c>
      <c r="R266" t="s">
        <v>6194</v>
      </c>
      <c r="S266" t="s">
        <v>6195</v>
      </c>
      <c r="T266" t="s">
        <v>6196</v>
      </c>
      <c r="U266" t="s">
        <v>6197</v>
      </c>
      <c r="V266" t="s">
        <v>6198</v>
      </c>
      <c r="W266" t="s">
        <v>6199</v>
      </c>
      <c r="X266" t="s">
        <v>6200</v>
      </c>
      <c r="Y266" t="s">
        <v>6201</v>
      </c>
    </row>
    <row r="267" spans="1:25" x14ac:dyDescent="0.3">
      <c r="A267">
        <v>13300</v>
      </c>
      <c r="B267" t="s">
        <v>6202</v>
      </c>
      <c r="C267" t="s">
        <v>6203</v>
      </c>
      <c r="D267" t="s">
        <v>6204</v>
      </c>
      <c r="E267" t="s">
        <v>6205</v>
      </c>
      <c r="F267" t="s">
        <v>6206</v>
      </c>
      <c r="G267" t="s">
        <v>6207</v>
      </c>
      <c r="H267" t="s">
        <v>6208</v>
      </c>
      <c r="I267" t="s">
        <v>6209</v>
      </c>
      <c r="J267" t="s">
        <v>6210</v>
      </c>
      <c r="K267" t="s">
        <v>6211</v>
      </c>
      <c r="L267" t="s">
        <v>6212</v>
      </c>
      <c r="M267" t="s">
        <v>6213</v>
      </c>
      <c r="N267" t="s">
        <v>6214</v>
      </c>
      <c r="O267" t="s">
        <v>6215</v>
      </c>
      <c r="P267" t="s">
        <v>6216</v>
      </c>
      <c r="Q267" t="s">
        <v>6217</v>
      </c>
      <c r="R267" t="s">
        <v>6218</v>
      </c>
      <c r="S267" t="s">
        <v>6219</v>
      </c>
      <c r="T267" t="s">
        <v>6220</v>
      </c>
      <c r="U267" t="s">
        <v>6221</v>
      </c>
      <c r="V267" t="s">
        <v>6222</v>
      </c>
      <c r="W267" t="s">
        <v>6223</v>
      </c>
      <c r="X267" t="s">
        <v>6224</v>
      </c>
      <c r="Y267" t="s">
        <v>6225</v>
      </c>
    </row>
    <row r="268" spans="1:25" x14ac:dyDescent="0.3">
      <c r="A268">
        <v>13350</v>
      </c>
      <c r="B268" t="s">
        <v>6226</v>
      </c>
      <c r="C268" t="s">
        <v>6227</v>
      </c>
      <c r="D268" t="s">
        <v>6228</v>
      </c>
      <c r="E268" t="s">
        <v>6229</v>
      </c>
      <c r="F268" t="s">
        <v>6230</v>
      </c>
      <c r="G268" t="s">
        <v>6231</v>
      </c>
      <c r="H268" t="s">
        <v>6232</v>
      </c>
      <c r="I268" t="s">
        <v>6233</v>
      </c>
      <c r="J268" t="s">
        <v>6234</v>
      </c>
      <c r="K268" t="s">
        <v>6235</v>
      </c>
      <c r="L268" t="s">
        <v>6236</v>
      </c>
      <c r="M268" t="s">
        <v>6237</v>
      </c>
      <c r="N268" t="s">
        <v>6238</v>
      </c>
      <c r="O268" t="s">
        <v>6239</v>
      </c>
      <c r="P268" t="s">
        <v>6240</v>
      </c>
      <c r="Q268" t="s">
        <v>6241</v>
      </c>
      <c r="R268" t="s">
        <v>6242</v>
      </c>
      <c r="S268" t="s">
        <v>6243</v>
      </c>
      <c r="T268" t="s">
        <v>6244</v>
      </c>
      <c r="U268" t="s">
        <v>6245</v>
      </c>
      <c r="V268" t="s">
        <v>6246</v>
      </c>
      <c r="W268" t="s">
        <v>6247</v>
      </c>
      <c r="X268" t="s">
        <v>6248</v>
      </c>
      <c r="Y268" t="s">
        <v>6249</v>
      </c>
    </row>
    <row r="269" spans="1:25" x14ac:dyDescent="0.3">
      <c r="A269">
        <v>13400</v>
      </c>
      <c r="B269" t="s">
        <v>6250</v>
      </c>
      <c r="C269" t="s">
        <v>6251</v>
      </c>
      <c r="D269" t="s">
        <v>6252</v>
      </c>
      <c r="E269" t="s">
        <v>6253</v>
      </c>
      <c r="F269" t="s">
        <v>6254</v>
      </c>
      <c r="G269" t="s">
        <v>6255</v>
      </c>
      <c r="H269" t="s">
        <v>6256</v>
      </c>
      <c r="I269" t="s">
        <v>6257</v>
      </c>
      <c r="J269" t="s">
        <v>6258</v>
      </c>
      <c r="K269" t="s">
        <v>6259</v>
      </c>
      <c r="L269" t="s">
        <v>6260</v>
      </c>
      <c r="M269" t="s">
        <v>6261</v>
      </c>
      <c r="N269" t="s">
        <v>6262</v>
      </c>
      <c r="O269" t="s">
        <v>6263</v>
      </c>
      <c r="P269" t="s">
        <v>6264</v>
      </c>
      <c r="Q269" t="s">
        <v>6265</v>
      </c>
      <c r="R269" t="s">
        <v>6266</v>
      </c>
      <c r="S269" t="s">
        <v>6267</v>
      </c>
      <c r="T269" t="s">
        <v>6268</v>
      </c>
      <c r="U269" t="s">
        <v>6269</v>
      </c>
      <c r="V269" t="s">
        <v>6270</v>
      </c>
      <c r="W269" t="s">
        <v>6271</v>
      </c>
      <c r="X269" t="s">
        <v>6272</v>
      </c>
      <c r="Y269" t="s">
        <v>6273</v>
      </c>
    </row>
    <row r="270" spans="1:25" x14ac:dyDescent="0.3">
      <c r="A270">
        <v>13450</v>
      </c>
      <c r="B270" t="s">
        <v>6274</v>
      </c>
      <c r="C270" t="s">
        <v>6275</v>
      </c>
      <c r="D270" t="s">
        <v>6276</v>
      </c>
      <c r="E270" t="s">
        <v>6277</v>
      </c>
      <c r="F270" t="s">
        <v>6278</v>
      </c>
      <c r="G270" t="s">
        <v>6279</v>
      </c>
      <c r="H270" t="s">
        <v>6280</v>
      </c>
      <c r="I270" t="s">
        <v>6281</v>
      </c>
      <c r="J270" t="s">
        <v>6282</v>
      </c>
      <c r="K270" t="s">
        <v>6283</v>
      </c>
      <c r="L270" t="s">
        <v>6284</v>
      </c>
      <c r="M270" t="s">
        <v>6285</v>
      </c>
      <c r="N270" t="s">
        <v>6286</v>
      </c>
      <c r="O270" t="s">
        <v>6287</v>
      </c>
      <c r="P270" t="s">
        <v>6288</v>
      </c>
      <c r="Q270" t="s">
        <v>6289</v>
      </c>
      <c r="R270" t="s">
        <v>6290</v>
      </c>
      <c r="S270" t="s">
        <v>6291</v>
      </c>
      <c r="T270" t="s">
        <v>6292</v>
      </c>
      <c r="U270" t="s">
        <v>6293</v>
      </c>
      <c r="V270" t="s">
        <v>6294</v>
      </c>
      <c r="W270" t="s">
        <v>6295</v>
      </c>
      <c r="X270" t="s">
        <v>6296</v>
      </c>
      <c r="Y270" t="s">
        <v>6297</v>
      </c>
    </row>
    <row r="271" spans="1:25" x14ac:dyDescent="0.3">
      <c r="A271">
        <v>13500</v>
      </c>
      <c r="B271" t="s">
        <v>6298</v>
      </c>
      <c r="C271" t="s">
        <v>6299</v>
      </c>
      <c r="D271" t="s">
        <v>6300</v>
      </c>
      <c r="E271" t="s">
        <v>6301</v>
      </c>
      <c r="F271" t="s">
        <v>6302</v>
      </c>
      <c r="G271" t="s">
        <v>6303</v>
      </c>
      <c r="H271" t="s">
        <v>6304</v>
      </c>
      <c r="I271" t="s">
        <v>6305</v>
      </c>
      <c r="J271" t="s">
        <v>6306</v>
      </c>
      <c r="K271" t="s">
        <v>6307</v>
      </c>
      <c r="L271" t="s">
        <v>6308</v>
      </c>
      <c r="M271" t="s">
        <v>6309</v>
      </c>
      <c r="N271" t="s">
        <v>6310</v>
      </c>
      <c r="O271" t="s">
        <v>6311</v>
      </c>
      <c r="P271" t="s">
        <v>6312</v>
      </c>
      <c r="Q271" t="s">
        <v>6313</v>
      </c>
      <c r="R271" t="s">
        <v>6314</v>
      </c>
      <c r="S271" t="s">
        <v>6315</v>
      </c>
      <c r="T271" t="s">
        <v>6316</v>
      </c>
      <c r="U271" t="s">
        <v>6317</v>
      </c>
      <c r="V271" t="s">
        <v>6318</v>
      </c>
      <c r="W271" t="s">
        <v>6319</v>
      </c>
      <c r="X271" t="s">
        <v>6320</v>
      </c>
      <c r="Y271" t="s">
        <v>6321</v>
      </c>
    </row>
    <row r="272" spans="1:25" x14ac:dyDescent="0.3">
      <c r="A272">
        <v>13550</v>
      </c>
      <c r="B272" t="s">
        <v>6322</v>
      </c>
      <c r="C272" t="s">
        <v>6323</v>
      </c>
      <c r="D272" t="s">
        <v>6324</v>
      </c>
      <c r="E272" t="s">
        <v>6325</v>
      </c>
      <c r="F272" t="s">
        <v>6326</v>
      </c>
      <c r="G272" t="s">
        <v>6327</v>
      </c>
      <c r="H272" t="s">
        <v>6328</v>
      </c>
      <c r="I272" t="s">
        <v>6329</v>
      </c>
      <c r="J272" t="s">
        <v>6330</v>
      </c>
      <c r="K272" t="s">
        <v>6331</v>
      </c>
      <c r="L272" t="s">
        <v>6332</v>
      </c>
      <c r="M272" t="s">
        <v>6333</v>
      </c>
      <c r="N272" t="s">
        <v>6334</v>
      </c>
      <c r="O272" t="s">
        <v>6335</v>
      </c>
      <c r="P272" t="s">
        <v>6336</v>
      </c>
      <c r="Q272" t="s">
        <v>6337</v>
      </c>
      <c r="R272" t="s">
        <v>6338</v>
      </c>
      <c r="S272" t="s">
        <v>6339</v>
      </c>
      <c r="T272" t="s">
        <v>6340</v>
      </c>
      <c r="U272" t="s">
        <v>6341</v>
      </c>
      <c r="V272" t="s">
        <v>6342</v>
      </c>
      <c r="W272" t="s">
        <v>6343</v>
      </c>
      <c r="X272" t="s">
        <v>6344</v>
      </c>
      <c r="Y272" t="s">
        <v>6345</v>
      </c>
    </row>
    <row r="273" spans="1:25" x14ac:dyDescent="0.3">
      <c r="A273">
        <v>13600</v>
      </c>
      <c r="B273" t="s">
        <v>6346</v>
      </c>
      <c r="C273" t="s">
        <v>6347</v>
      </c>
      <c r="D273" t="s">
        <v>6348</v>
      </c>
      <c r="E273" t="s">
        <v>6349</v>
      </c>
      <c r="F273" t="s">
        <v>6350</v>
      </c>
      <c r="G273" t="s">
        <v>6351</v>
      </c>
      <c r="H273" t="s">
        <v>6352</v>
      </c>
      <c r="I273" t="s">
        <v>6353</v>
      </c>
      <c r="J273" t="s">
        <v>6354</v>
      </c>
      <c r="K273" t="s">
        <v>6355</v>
      </c>
      <c r="L273" t="s">
        <v>6356</v>
      </c>
      <c r="M273" t="s">
        <v>6357</v>
      </c>
      <c r="N273" t="s">
        <v>6358</v>
      </c>
      <c r="O273" t="s">
        <v>6359</v>
      </c>
      <c r="P273" t="s">
        <v>6360</v>
      </c>
      <c r="Q273" t="s">
        <v>6361</v>
      </c>
      <c r="R273" t="s">
        <v>6362</v>
      </c>
      <c r="S273" t="s">
        <v>6363</v>
      </c>
      <c r="T273" t="s">
        <v>6364</v>
      </c>
      <c r="U273" t="s">
        <v>6365</v>
      </c>
      <c r="V273" t="s">
        <v>6366</v>
      </c>
      <c r="W273" t="s">
        <v>6367</v>
      </c>
      <c r="X273" t="s">
        <v>6368</v>
      </c>
      <c r="Y273" t="s">
        <v>6369</v>
      </c>
    </row>
    <row r="274" spans="1:25" x14ac:dyDescent="0.3">
      <c r="A274">
        <v>13650</v>
      </c>
      <c r="B274" t="s">
        <v>6370</v>
      </c>
      <c r="C274" t="s">
        <v>6371</v>
      </c>
      <c r="D274" t="s">
        <v>6372</v>
      </c>
      <c r="E274" t="s">
        <v>6373</v>
      </c>
      <c r="F274" t="s">
        <v>6374</v>
      </c>
      <c r="G274" t="s">
        <v>6375</v>
      </c>
      <c r="H274" t="s">
        <v>6376</v>
      </c>
      <c r="I274" t="s">
        <v>6377</v>
      </c>
      <c r="J274" t="s">
        <v>6378</v>
      </c>
      <c r="K274" t="s">
        <v>6379</v>
      </c>
      <c r="L274" t="s">
        <v>6380</v>
      </c>
      <c r="M274" t="s">
        <v>6381</v>
      </c>
      <c r="N274" t="s">
        <v>6382</v>
      </c>
      <c r="O274" t="s">
        <v>6383</v>
      </c>
      <c r="P274" t="s">
        <v>6384</v>
      </c>
      <c r="Q274" t="s">
        <v>6385</v>
      </c>
      <c r="R274" t="s">
        <v>6386</v>
      </c>
      <c r="S274" t="s">
        <v>6387</v>
      </c>
      <c r="T274" t="s">
        <v>6388</v>
      </c>
      <c r="U274" t="s">
        <v>6389</v>
      </c>
      <c r="V274" t="s">
        <v>6390</v>
      </c>
      <c r="W274" t="s">
        <v>6391</v>
      </c>
      <c r="X274" t="s">
        <v>6392</v>
      </c>
      <c r="Y274" t="s">
        <v>6393</v>
      </c>
    </row>
    <row r="275" spans="1:25" x14ac:dyDescent="0.3">
      <c r="A275">
        <v>13700</v>
      </c>
      <c r="B275" t="s">
        <v>6394</v>
      </c>
      <c r="C275" t="s">
        <v>6395</v>
      </c>
      <c r="D275" t="s">
        <v>6396</v>
      </c>
      <c r="E275" t="s">
        <v>6397</v>
      </c>
      <c r="F275" t="s">
        <v>6398</v>
      </c>
      <c r="G275" t="s">
        <v>6399</v>
      </c>
      <c r="H275" t="s">
        <v>6400</v>
      </c>
      <c r="I275" t="s">
        <v>6401</v>
      </c>
      <c r="J275" t="s">
        <v>6402</v>
      </c>
      <c r="K275" t="s">
        <v>6403</v>
      </c>
      <c r="L275" t="s">
        <v>6404</v>
      </c>
      <c r="M275" t="s">
        <v>6405</v>
      </c>
      <c r="N275" t="s">
        <v>6406</v>
      </c>
      <c r="O275" t="s">
        <v>6407</v>
      </c>
      <c r="P275" t="s">
        <v>6408</v>
      </c>
      <c r="Q275" t="s">
        <v>6409</v>
      </c>
      <c r="R275" t="s">
        <v>6410</v>
      </c>
      <c r="S275" t="s">
        <v>6411</v>
      </c>
      <c r="T275" t="s">
        <v>6412</v>
      </c>
      <c r="U275" t="s">
        <v>6413</v>
      </c>
      <c r="V275" t="s">
        <v>6414</v>
      </c>
      <c r="W275" t="s">
        <v>6415</v>
      </c>
      <c r="X275" t="s">
        <v>6416</v>
      </c>
      <c r="Y275" t="s">
        <v>6417</v>
      </c>
    </row>
    <row r="276" spans="1:25" x14ac:dyDescent="0.3">
      <c r="A276">
        <v>13750</v>
      </c>
      <c r="B276" t="s">
        <v>6418</v>
      </c>
      <c r="C276" t="s">
        <v>6419</v>
      </c>
      <c r="D276" t="s">
        <v>6420</v>
      </c>
      <c r="E276" t="s">
        <v>6421</v>
      </c>
      <c r="F276" t="s">
        <v>6422</v>
      </c>
      <c r="G276" t="s">
        <v>6423</v>
      </c>
      <c r="H276" t="s">
        <v>6424</v>
      </c>
      <c r="I276" t="s">
        <v>6425</v>
      </c>
      <c r="J276" t="s">
        <v>6426</v>
      </c>
      <c r="K276" t="s">
        <v>6427</v>
      </c>
      <c r="L276" t="s">
        <v>6428</v>
      </c>
      <c r="M276" t="s">
        <v>6429</v>
      </c>
      <c r="N276" t="s">
        <v>6430</v>
      </c>
      <c r="O276" t="s">
        <v>6431</v>
      </c>
      <c r="P276" t="s">
        <v>6432</v>
      </c>
      <c r="Q276" t="s">
        <v>6433</v>
      </c>
      <c r="R276" t="s">
        <v>6434</v>
      </c>
      <c r="S276" t="s">
        <v>6435</v>
      </c>
      <c r="T276" t="s">
        <v>6436</v>
      </c>
      <c r="U276" t="s">
        <v>6437</v>
      </c>
      <c r="V276" t="s">
        <v>6438</v>
      </c>
      <c r="W276" t="s">
        <v>6439</v>
      </c>
      <c r="X276" t="s">
        <v>6440</v>
      </c>
      <c r="Y276" t="s">
        <v>6441</v>
      </c>
    </row>
    <row r="277" spans="1:25" x14ac:dyDescent="0.3">
      <c r="A277">
        <v>13800</v>
      </c>
      <c r="B277" t="s">
        <v>6442</v>
      </c>
      <c r="C277" t="s">
        <v>6443</v>
      </c>
      <c r="D277" t="s">
        <v>6444</v>
      </c>
      <c r="E277" t="s">
        <v>6445</v>
      </c>
      <c r="F277" t="s">
        <v>6446</v>
      </c>
      <c r="G277" t="s">
        <v>6447</v>
      </c>
      <c r="H277" t="s">
        <v>6448</v>
      </c>
      <c r="I277" t="s">
        <v>6449</v>
      </c>
      <c r="J277" t="s">
        <v>6450</v>
      </c>
      <c r="K277" t="s">
        <v>6451</v>
      </c>
      <c r="L277" t="s">
        <v>6452</v>
      </c>
      <c r="M277" t="s">
        <v>6453</v>
      </c>
      <c r="N277" t="s">
        <v>6454</v>
      </c>
      <c r="O277" t="s">
        <v>6455</v>
      </c>
      <c r="P277" t="s">
        <v>6456</v>
      </c>
      <c r="Q277" t="s">
        <v>6457</v>
      </c>
      <c r="R277" t="s">
        <v>6458</v>
      </c>
      <c r="S277" t="s">
        <v>6459</v>
      </c>
      <c r="T277" t="s">
        <v>6460</v>
      </c>
      <c r="U277" t="s">
        <v>6461</v>
      </c>
      <c r="V277" t="s">
        <v>6462</v>
      </c>
      <c r="W277" t="s">
        <v>6463</v>
      </c>
      <c r="X277" t="s">
        <v>6464</v>
      </c>
      <c r="Y277" t="s">
        <v>6465</v>
      </c>
    </row>
    <row r="278" spans="1:25" x14ac:dyDescent="0.3">
      <c r="A278">
        <v>13850</v>
      </c>
      <c r="B278" t="s">
        <v>6466</v>
      </c>
      <c r="C278" t="s">
        <v>6467</v>
      </c>
      <c r="D278" t="s">
        <v>6468</v>
      </c>
      <c r="E278" t="s">
        <v>6469</v>
      </c>
      <c r="F278" t="s">
        <v>6470</v>
      </c>
      <c r="G278" t="s">
        <v>6471</v>
      </c>
      <c r="H278" t="s">
        <v>6472</v>
      </c>
      <c r="I278" t="s">
        <v>6473</v>
      </c>
      <c r="J278" t="s">
        <v>6474</v>
      </c>
      <c r="K278" t="s">
        <v>6475</v>
      </c>
      <c r="L278" t="s">
        <v>6476</v>
      </c>
      <c r="M278" t="s">
        <v>6477</v>
      </c>
      <c r="N278" t="s">
        <v>6478</v>
      </c>
      <c r="O278" t="s">
        <v>6479</v>
      </c>
      <c r="P278" t="s">
        <v>6480</v>
      </c>
      <c r="Q278" t="s">
        <v>6481</v>
      </c>
      <c r="R278" t="s">
        <v>6482</v>
      </c>
      <c r="S278" t="s">
        <v>6483</v>
      </c>
      <c r="T278" t="s">
        <v>6484</v>
      </c>
      <c r="U278" t="s">
        <v>6485</v>
      </c>
      <c r="V278" t="s">
        <v>6486</v>
      </c>
      <c r="W278" t="s">
        <v>6487</v>
      </c>
      <c r="X278" t="s">
        <v>6488</v>
      </c>
      <c r="Y278" t="s">
        <v>6489</v>
      </c>
    </row>
    <row r="279" spans="1:25" x14ac:dyDescent="0.3">
      <c r="A279">
        <v>13900</v>
      </c>
      <c r="B279" t="s">
        <v>6490</v>
      </c>
      <c r="C279" t="s">
        <v>6491</v>
      </c>
      <c r="D279" t="s">
        <v>6492</v>
      </c>
      <c r="E279" t="s">
        <v>6493</v>
      </c>
      <c r="F279" t="s">
        <v>6494</v>
      </c>
      <c r="G279" t="s">
        <v>6495</v>
      </c>
      <c r="H279" t="s">
        <v>6496</v>
      </c>
      <c r="I279" t="s">
        <v>6497</v>
      </c>
      <c r="J279" t="s">
        <v>6498</v>
      </c>
      <c r="K279" t="s">
        <v>6499</v>
      </c>
      <c r="L279" t="s">
        <v>6500</v>
      </c>
      <c r="M279" t="s">
        <v>6501</v>
      </c>
      <c r="N279" t="s">
        <v>6502</v>
      </c>
      <c r="O279" t="s">
        <v>6503</v>
      </c>
      <c r="P279" t="s">
        <v>6504</v>
      </c>
      <c r="Q279" t="s">
        <v>6505</v>
      </c>
      <c r="R279" t="s">
        <v>6506</v>
      </c>
      <c r="S279" t="s">
        <v>6507</v>
      </c>
      <c r="T279" t="s">
        <v>6508</v>
      </c>
      <c r="U279" t="s">
        <v>6509</v>
      </c>
      <c r="V279" t="s">
        <v>6510</v>
      </c>
      <c r="W279" t="s">
        <v>6511</v>
      </c>
      <c r="X279" t="s">
        <v>6512</v>
      </c>
      <c r="Y279" t="s">
        <v>6513</v>
      </c>
    </row>
    <row r="280" spans="1:25" x14ac:dyDescent="0.3">
      <c r="A280">
        <v>13950</v>
      </c>
      <c r="B280" t="s">
        <v>6514</v>
      </c>
      <c r="C280" t="s">
        <v>6515</v>
      </c>
      <c r="D280" t="s">
        <v>6516</v>
      </c>
      <c r="E280" t="s">
        <v>6517</v>
      </c>
      <c r="F280" t="s">
        <v>6518</v>
      </c>
      <c r="G280" t="s">
        <v>6519</v>
      </c>
      <c r="H280" t="s">
        <v>6520</v>
      </c>
      <c r="I280" t="s">
        <v>6521</v>
      </c>
      <c r="J280" t="s">
        <v>6522</v>
      </c>
      <c r="K280" t="s">
        <v>6523</v>
      </c>
      <c r="L280" t="s">
        <v>6524</v>
      </c>
      <c r="M280" t="s">
        <v>6525</v>
      </c>
      <c r="N280" t="s">
        <v>6526</v>
      </c>
      <c r="O280" t="s">
        <v>6527</v>
      </c>
      <c r="P280" t="s">
        <v>6528</v>
      </c>
      <c r="Q280" t="s">
        <v>6529</v>
      </c>
      <c r="R280" t="s">
        <v>6530</v>
      </c>
      <c r="S280" t="s">
        <v>6531</v>
      </c>
      <c r="T280" t="s">
        <v>6532</v>
      </c>
      <c r="U280" t="s">
        <v>6533</v>
      </c>
      <c r="V280" t="s">
        <v>6534</v>
      </c>
      <c r="W280" t="s">
        <v>6535</v>
      </c>
      <c r="X280" t="s">
        <v>6536</v>
      </c>
      <c r="Y280" t="s">
        <v>6537</v>
      </c>
    </row>
    <row r="281" spans="1:25" x14ac:dyDescent="0.3">
      <c r="A281">
        <v>14000</v>
      </c>
      <c r="B281" t="s">
        <v>6538</v>
      </c>
      <c r="C281" t="s">
        <v>6539</v>
      </c>
      <c r="D281" t="s">
        <v>6540</v>
      </c>
      <c r="E281" t="s">
        <v>6541</v>
      </c>
      <c r="F281" t="s">
        <v>6542</v>
      </c>
      <c r="G281" t="s">
        <v>6543</v>
      </c>
      <c r="H281" t="s">
        <v>6544</v>
      </c>
      <c r="I281" t="s">
        <v>6545</v>
      </c>
      <c r="J281" t="s">
        <v>6546</v>
      </c>
      <c r="K281" t="s">
        <v>6547</v>
      </c>
      <c r="L281" t="s">
        <v>6548</v>
      </c>
      <c r="M281" t="s">
        <v>6549</v>
      </c>
      <c r="N281" t="s">
        <v>6550</v>
      </c>
      <c r="O281" t="s">
        <v>6551</v>
      </c>
      <c r="P281" t="s">
        <v>6552</v>
      </c>
      <c r="Q281" t="s">
        <v>6553</v>
      </c>
      <c r="R281" t="s">
        <v>6554</v>
      </c>
      <c r="S281" t="s">
        <v>6555</v>
      </c>
      <c r="T281" t="s">
        <v>6556</v>
      </c>
      <c r="U281" t="s">
        <v>6557</v>
      </c>
      <c r="V281" t="s">
        <v>6558</v>
      </c>
      <c r="W281" t="s">
        <v>6559</v>
      </c>
      <c r="X281" t="s">
        <v>6560</v>
      </c>
      <c r="Y281" t="s">
        <v>6561</v>
      </c>
    </row>
    <row r="282" spans="1:25" x14ac:dyDescent="0.3">
      <c r="A282">
        <v>14050</v>
      </c>
      <c r="B282" t="s">
        <v>6562</v>
      </c>
      <c r="C282" t="s">
        <v>6563</v>
      </c>
      <c r="D282" t="s">
        <v>6564</v>
      </c>
      <c r="E282" t="s">
        <v>6565</v>
      </c>
      <c r="F282" t="s">
        <v>6566</v>
      </c>
      <c r="G282" t="s">
        <v>6567</v>
      </c>
      <c r="H282" t="s">
        <v>6568</v>
      </c>
      <c r="I282" t="s">
        <v>6569</v>
      </c>
      <c r="J282" t="s">
        <v>6570</v>
      </c>
      <c r="K282" t="s">
        <v>6571</v>
      </c>
      <c r="L282" t="s">
        <v>6572</v>
      </c>
      <c r="M282" t="s">
        <v>6573</v>
      </c>
      <c r="N282" t="s">
        <v>6574</v>
      </c>
      <c r="O282" t="s">
        <v>6575</v>
      </c>
      <c r="P282" t="s">
        <v>6576</v>
      </c>
      <c r="Q282" t="s">
        <v>6577</v>
      </c>
      <c r="R282" t="s">
        <v>6578</v>
      </c>
      <c r="S282" t="s">
        <v>6579</v>
      </c>
      <c r="T282" t="s">
        <v>6580</v>
      </c>
      <c r="U282" t="s">
        <v>6581</v>
      </c>
      <c r="V282" t="s">
        <v>6582</v>
      </c>
      <c r="W282" t="s">
        <v>6583</v>
      </c>
      <c r="X282" t="s">
        <v>6584</v>
      </c>
      <c r="Y282" t="s">
        <v>6585</v>
      </c>
    </row>
    <row r="283" spans="1:25" x14ac:dyDescent="0.3">
      <c r="A283">
        <v>14100</v>
      </c>
      <c r="B283" t="s">
        <v>6586</v>
      </c>
      <c r="C283" t="s">
        <v>6587</v>
      </c>
      <c r="D283" t="s">
        <v>6588</v>
      </c>
      <c r="E283" t="s">
        <v>6589</v>
      </c>
      <c r="F283" t="s">
        <v>6590</v>
      </c>
      <c r="G283" t="s">
        <v>6591</v>
      </c>
      <c r="H283" t="s">
        <v>6592</v>
      </c>
      <c r="I283" t="s">
        <v>6593</v>
      </c>
      <c r="J283" t="s">
        <v>6594</v>
      </c>
      <c r="K283" t="s">
        <v>6595</v>
      </c>
      <c r="L283" t="s">
        <v>6596</v>
      </c>
      <c r="M283" t="s">
        <v>6597</v>
      </c>
      <c r="N283" t="s">
        <v>6598</v>
      </c>
      <c r="O283" t="s">
        <v>6599</v>
      </c>
      <c r="P283" t="s">
        <v>6600</v>
      </c>
      <c r="Q283" t="s">
        <v>6601</v>
      </c>
      <c r="R283" t="s">
        <v>6602</v>
      </c>
      <c r="S283" t="s">
        <v>6603</v>
      </c>
      <c r="T283" t="s">
        <v>6604</v>
      </c>
      <c r="U283" t="s">
        <v>6605</v>
      </c>
      <c r="V283" t="s">
        <v>6606</v>
      </c>
      <c r="W283" t="s">
        <v>6607</v>
      </c>
      <c r="X283" t="s">
        <v>6608</v>
      </c>
      <c r="Y283" t="s">
        <v>6609</v>
      </c>
    </row>
    <row r="284" spans="1:25" x14ac:dyDescent="0.3">
      <c r="A284">
        <v>14150</v>
      </c>
      <c r="B284" t="s">
        <v>6610</v>
      </c>
      <c r="C284" t="s">
        <v>6611</v>
      </c>
      <c r="D284" t="s">
        <v>6612</v>
      </c>
      <c r="E284" t="s">
        <v>6613</v>
      </c>
      <c r="F284" t="s">
        <v>6614</v>
      </c>
      <c r="G284" t="s">
        <v>6615</v>
      </c>
      <c r="H284" t="s">
        <v>6616</v>
      </c>
      <c r="I284" t="s">
        <v>6617</v>
      </c>
      <c r="J284" t="s">
        <v>6618</v>
      </c>
      <c r="K284" t="s">
        <v>6619</v>
      </c>
      <c r="L284" t="s">
        <v>6620</v>
      </c>
      <c r="M284" t="s">
        <v>6621</v>
      </c>
      <c r="N284" t="s">
        <v>6622</v>
      </c>
      <c r="O284" t="s">
        <v>6623</v>
      </c>
      <c r="P284" t="s">
        <v>6624</v>
      </c>
      <c r="Q284" t="s">
        <v>6625</v>
      </c>
      <c r="R284" t="s">
        <v>6626</v>
      </c>
      <c r="S284" t="s">
        <v>6627</v>
      </c>
      <c r="T284" t="s">
        <v>6628</v>
      </c>
      <c r="U284" t="s">
        <v>6629</v>
      </c>
      <c r="V284" t="s">
        <v>6630</v>
      </c>
      <c r="W284" t="s">
        <v>6631</v>
      </c>
      <c r="X284" t="s">
        <v>6632</v>
      </c>
      <c r="Y284" t="s">
        <v>6633</v>
      </c>
    </row>
    <row r="285" spans="1:25" x14ac:dyDescent="0.3">
      <c r="A285">
        <v>14200</v>
      </c>
      <c r="B285" t="s">
        <v>6634</v>
      </c>
      <c r="C285" t="s">
        <v>6635</v>
      </c>
      <c r="D285" t="s">
        <v>6636</v>
      </c>
      <c r="E285" t="s">
        <v>6637</v>
      </c>
      <c r="F285" t="s">
        <v>6638</v>
      </c>
      <c r="G285" t="s">
        <v>6639</v>
      </c>
      <c r="H285" t="s">
        <v>6640</v>
      </c>
      <c r="I285" t="s">
        <v>6641</v>
      </c>
      <c r="J285" t="s">
        <v>6642</v>
      </c>
      <c r="K285" t="s">
        <v>6643</v>
      </c>
      <c r="L285" t="s">
        <v>6644</v>
      </c>
      <c r="M285" t="s">
        <v>6645</v>
      </c>
      <c r="N285" t="s">
        <v>6646</v>
      </c>
      <c r="O285" t="s">
        <v>6647</v>
      </c>
      <c r="P285" t="s">
        <v>6648</v>
      </c>
      <c r="Q285" t="s">
        <v>6649</v>
      </c>
      <c r="R285" t="s">
        <v>6650</v>
      </c>
      <c r="S285" t="s">
        <v>6651</v>
      </c>
      <c r="T285" t="s">
        <v>6652</v>
      </c>
      <c r="U285" t="s">
        <v>6653</v>
      </c>
      <c r="V285" t="s">
        <v>6654</v>
      </c>
      <c r="W285" t="s">
        <v>6655</v>
      </c>
      <c r="X285" t="s">
        <v>6656</v>
      </c>
      <c r="Y285" t="s">
        <v>6657</v>
      </c>
    </row>
    <row r="286" spans="1:25" x14ac:dyDescent="0.3">
      <c r="A286">
        <v>14250</v>
      </c>
      <c r="B286" t="s">
        <v>6658</v>
      </c>
      <c r="C286" t="s">
        <v>6659</v>
      </c>
      <c r="D286" t="s">
        <v>6660</v>
      </c>
      <c r="E286" t="s">
        <v>6661</v>
      </c>
      <c r="F286" t="s">
        <v>6662</v>
      </c>
      <c r="G286" t="s">
        <v>6663</v>
      </c>
      <c r="H286" t="s">
        <v>6664</v>
      </c>
      <c r="I286" t="s">
        <v>6665</v>
      </c>
      <c r="J286" t="s">
        <v>6666</v>
      </c>
      <c r="K286" t="s">
        <v>6667</v>
      </c>
      <c r="L286" t="s">
        <v>6668</v>
      </c>
      <c r="M286" t="s">
        <v>6669</v>
      </c>
      <c r="N286" t="s">
        <v>6670</v>
      </c>
      <c r="O286" t="s">
        <v>6671</v>
      </c>
      <c r="P286" t="s">
        <v>6672</v>
      </c>
      <c r="Q286" t="s">
        <v>6673</v>
      </c>
      <c r="R286" t="s">
        <v>6674</v>
      </c>
      <c r="S286" t="s">
        <v>6675</v>
      </c>
      <c r="T286" t="s">
        <v>6676</v>
      </c>
      <c r="U286" t="s">
        <v>6677</v>
      </c>
      <c r="V286" t="s">
        <v>6678</v>
      </c>
      <c r="W286" t="s">
        <v>6679</v>
      </c>
      <c r="X286" t="s">
        <v>6680</v>
      </c>
      <c r="Y286" t="s">
        <v>6681</v>
      </c>
    </row>
    <row r="287" spans="1:25" x14ac:dyDescent="0.3">
      <c r="A287">
        <v>14300</v>
      </c>
      <c r="B287" t="s">
        <v>6682</v>
      </c>
      <c r="C287" t="s">
        <v>6683</v>
      </c>
      <c r="D287" t="s">
        <v>6684</v>
      </c>
      <c r="E287" t="s">
        <v>6685</v>
      </c>
      <c r="F287" t="s">
        <v>6686</v>
      </c>
      <c r="G287" t="s">
        <v>6687</v>
      </c>
      <c r="H287" t="s">
        <v>6688</v>
      </c>
      <c r="I287" t="s">
        <v>6689</v>
      </c>
      <c r="J287" t="s">
        <v>6690</v>
      </c>
      <c r="K287" t="s">
        <v>6691</v>
      </c>
      <c r="L287" t="s">
        <v>6692</v>
      </c>
      <c r="M287" t="s">
        <v>6693</v>
      </c>
      <c r="N287" t="s">
        <v>6694</v>
      </c>
      <c r="O287" t="s">
        <v>6695</v>
      </c>
      <c r="P287" t="s">
        <v>6696</v>
      </c>
      <c r="Q287" t="s">
        <v>6697</v>
      </c>
      <c r="R287" t="s">
        <v>6698</v>
      </c>
      <c r="S287" t="s">
        <v>6699</v>
      </c>
      <c r="T287" t="s">
        <v>6700</v>
      </c>
      <c r="U287" t="s">
        <v>6701</v>
      </c>
      <c r="V287" t="s">
        <v>6702</v>
      </c>
      <c r="W287" t="s">
        <v>6703</v>
      </c>
      <c r="X287" t="s">
        <v>6704</v>
      </c>
      <c r="Y287" t="s">
        <v>6705</v>
      </c>
    </row>
    <row r="288" spans="1:25" x14ac:dyDescent="0.3">
      <c r="A288">
        <v>14350</v>
      </c>
      <c r="B288" t="s">
        <v>6706</v>
      </c>
      <c r="C288" t="s">
        <v>6707</v>
      </c>
      <c r="D288" t="s">
        <v>6708</v>
      </c>
      <c r="E288" t="s">
        <v>6709</v>
      </c>
      <c r="F288" t="s">
        <v>6710</v>
      </c>
      <c r="G288" t="s">
        <v>6711</v>
      </c>
      <c r="H288" t="s">
        <v>6712</v>
      </c>
      <c r="I288" t="s">
        <v>6713</v>
      </c>
      <c r="J288" t="s">
        <v>6714</v>
      </c>
      <c r="K288" t="s">
        <v>6715</v>
      </c>
      <c r="L288" t="s">
        <v>6716</v>
      </c>
      <c r="M288" t="s">
        <v>6717</v>
      </c>
      <c r="N288" t="s">
        <v>6718</v>
      </c>
      <c r="O288" t="s">
        <v>6719</v>
      </c>
      <c r="P288" t="s">
        <v>6720</v>
      </c>
      <c r="Q288" t="s">
        <v>6721</v>
      </c>
      <c r="R288" t="s">
        <v>6722</v>
      </c>
      <c r="S288" t="s">
        <v>6723</v>
      </c>
      <c r="T288" t="s">
        <v>6724</v>
      </c>
      <c r="U288" t="s">
        <v>6725</v>
      </c>
      <c r="V288" t="s">
        <v>6726</v>
      </c>
      <c r="W288" t="s">
        <v>6727</v>
      </c>
      <c r="X288" t="s">
        <v>6728</v>
      </c>
      <c r="Y288" t="s">
        <v>6729</v>
      </c>
    </row>
    <row r="289" spans="1:25" x14ac:dyDescent="0.3">
      <c r="A289">
        <v>14400</v>
      </c>
      <c r="B289" t="s">
        <v>6730</v>
      </c>
      <c r="C289" t="s">
        <v>6731</v>
      </c>
      <c r="D289" t="s">
        <v>6732</v>
      </c>
      <c r="E289" t="s">
        <v>6733</v>
      </c>
      <c r="F289" t="s">
        <v>6734</v>
      </c>
      <c r="G289" t="s">
        <v>6735</v>
      </c>
      <c r="H289" t="s">
        <v>6736</v>
      </c>
      <c r="I289" t="s">
        <v>6737</v>
      </c>
      <c r="J289" t="s">
        <v>6738</v>
      </c>
      <c r="K289" t="s">
        <v>6739</v>
      </c>
      <c r="L289" t="s">
        <v>6740</v>
      </c>
      <c r="M289" t="s">
        <v>6741</v>
      </c>
      <c r="N289" t="s">
        <v>6742</v>
      </c>
      <c r="O289" t="s">
        <v>6743</v>
      </c>
      <c r="P289" t="s">
        <v>6744</v>
      </c>
      <c r="Q289" t="s">
        <v>6745</v>
      </c>
      <c r="R289" t="s">
        <v>6746</v>
      </c>
      <c r="S289" t="s">
        <v>6747</v>
      </c>
      <c r="T289" t="s">
        <v>6748</v>
      </c>
      <c r="U289" t="s">
        <v>6749</v>
      </c>
      <c r="V289" t="s">
        <v>6750</v>
      </c>
      <c r="W289" t="s">
        <v>6751</v>
      </c>
      <c r="X289" t="s">
        <v>6752</v>
      </c>
      <c r="Y289" t="s">
        <v>6753</v>
      </c>
    </row>
    <row r="290" spans="1:25" x14ac:dyDescent="0.3">
      <c r="A290">
        <v>14450</v>
      </c>
      <c r="B290" t="s">
        <v>6754</v>
      </c>
      <c r="C290" t="s">
        <v>6755</v>
      </c>
      <c r="D290" t="s">
        <v>6756</v>
      </c>
      <c r="E290" t="s">
        <v>6757</v>
      </c>
      <c r="F290" t="s">
        <v>6758</v>
      </c>
      <c r="G290" t="s">
        <v>6759</v>
      </c>
      <c r="H290" t="s">
        <v>6760</v>
      </c>
      <c r="I290" t="s">
        <v>6761</v>
      </c>
      <c r="J290" t="s">
        <v>6762</v>
      </c>
      <c r="K290" t="s">
        <v>6763</v>
      </c>
      <c r="L290" t="s">
        <v>6764</v>
      </c>
      <c r="M290" t="s">
        <v>6765</v>
      </c>
      <c r="N290" t="s">
        <v>6766</v>
      </c>
      <c r="O290" t="s">
        <v>6767</v>
      </c>
      <c r="P290" t="s">
        <v>6768</v>
      </c>
      <c r="Q290" t="s">
        <v>6769</v>
      </c>
      <c r="R290" t="s">
        <v>6770</v>
      </c>
      <c r="S290" t="s">
        <v>6771</v>
      </c>
      <c r="T290" t="s">
        <v>6772</v>
      </c>
      <c r="U290" t="s">
        <v>6773</v>
      </c>
      <c r="V290" t="s">
        <v>6774</v>
      </c>
      <c r="W290" t="s">
        <v>6775</v>
      </c>
      <c r="X290" t="s">
        <v>6776</v>
      </c>
      <c r="Y290" t="s">
        <v>6777</v>
      </c>
    </row>
    <row r="291" spans="1:25" x14ac:dyDescent="0.3">
      <c r="A291">
        <v>14500</v>
      </c>
      <c r="B291" t="s">
        <v>6778</v>
      </c>
      <c r="C291" t="s">
        <v>6779</v>
      </c>
      <c r="D291" t="s">
        <v>6780</v>
      </c>
      <c r="E291" t="s">
        <v>6781</v>
      </c>
      <c r="F291" t="s">
        <v>6782</v>
      </c>
      <c r="G291" t="s">
        <v>6783</v>
      </c>
      <c r="H291" t="s">
        <v>6784</v>
      </c>
      <c r="I291" t="s">
        <v>6785</v>
      </c>
      <c r="J291" t="s">
        <v>6786</v>
      </c>
      <c r="K291" t="s">
        <v>6787</v>
      </c>
      <c r="L291" t="s">
        <v>6788</v>
      </c>
      <c r="M291" t="s">
        <v>6789</v>
      </c>
      <c r="N291" t="s">
        <v>6790</v>
      </c>
      <c r="O291" t="s">
        <v>6791</v>
      </c>
      <c r="P291" t="s">
        <v>6792</v>
      </c>
      <c r="Q291" t="s">
        <v>6793</v>
      </c>
      <c r="R291" t="s">
        <v>6794</v>
      </c>
      <c r="S291" t="s">
        <v>6795</v>
      </c>
      <c r="T291" t="s">
        <v>6796</v>
      </c>
      <c r="U291" t="s">
        <v>6797</v>
      </c>
      <c r="V291" t="s">
        <v>6798</v>
      </c>
      <c r="W291" t="s">
        <v>6799</v>
      </c>
      <c r="X291" t="s">
        <v>6800</v>
      </c>
      <c r="Y291" t="s">
        <v>6801</v>
      </c>
    </row>
    <row r="292" spans="1:25" x14ac:dyDescent="0.3">
      <c r="A292">
        <v>14550</v>
      </c>
      <c r="B292" t="s">
        <v>6802</v>
      </c>
      <c r="C292" t="s">
        <v>6803</v>
      </c>
      <c r="D292" t="s">
        <v>6804</v>
      </c>
      <c r="E292" t="s">
        <v>6805</v>
      </c>
      <c r="F292" t="s">
        <v>6806</v>
      </c>
      <c r="G292" t="s">
        <v>6807</v>
      </c>
      <c r="H292" t="s">
        <v>6808</v>
      </c>
      <c r="I292" t="s">
        <v>6809</v>
      </c>
      <c r="J292" t="s">
        <v>6810</v>
      </c>
      <c r="K292" t="s">
        <v>6811</v>
      </c>
      <c r="L292" t="s">
        <v>6812</v>
      </c>
      <c r="M292" t="s">
        <v>6813</v>
      </c>
      <c r="N292" t="s">
        <v>6814</v>
      </c>
      <c r="O292" t="s">
        <v>6815</v>
      </c>
      <c r="P292" t="s">
        <v>6816</v>
      </c>
      <c r="Q292" t="s">
        <v>6817</v>
      </c>
      <c r="R292" t="s">
        <v>6818</v>
      </c>
      <c r="S292" t="s">
        <v>6819</v>
      </c>
      <c r="T292" t="s">
        <v>6820</v>
      </c>
      <c r="U292" t="s">
        <v>6821</v>
      </c>
      <c r="V292" t="s">
        <v>6822</v>
      </c>
      <c r="W292" t="s">
        <v>6823</v>
      </c>
      <c r="X292" t="s">
        <v>6824</v>
      </c>
      <c r="Y292" t="s">
        <v>6825</v>
      </c>
    </row>
    <row r="293" spans="1:25" x14ac:dyDescent="0.3">
      <c r="A293">
        <v>14600</v>
      </c>
      <c r="B293" t="s">
        <v>6826</v>
      </c>
      <c r="C293" t="s">
        <v>6827</v>
      </c>
      <c r="D293" t="s">
        <v>6828</v>
      </c>
      <c r="E293" t="s">
        <v>6829</v>
      </c>
      <c r="F293" t="s">
        <v>6830</v>
      </c>
      <c r="G293" t="s">
        <v>6831</v>
      </c>
      <c r="H293" t="s">
        <v>6832</v>
      </c>
      <c r="I293" t="s">
        <v>6833</v>
      </c>
      <c r="J293" t="s">
        <v>6834</v>
      </c>
      <c r="K293" t="s">
        <v>6835</v>
      </c>
      <c r="L293" t="s">
        <v>6836</v>
      </c>
      <c r="M293" t="s">
        <v>6837</v>
      </c>
      <c r="N293" t="s">
        <v>6838</v>
      </c>
      <c r="O293" t="s">
        <v>6839</v>
      </c>
      <c r="P293" t="s">
        <v>6840</v>
      </c>
      <c r="Q293" t="s">
        <v>6841</v>
      </c>
      <c r="R293" t="s">
        <v>6842</v>
      </c>
      <c r="S293" t="s">
        <v>6843</v>
      </c>
      <c r="T293" t="s">
        <v>6844</v>
      </c>
      <c r="U293" t="s">
        <v>6845</v>
      </c>
      <c r="V293" t="s">
        <v>6846</v>
      </c>
      <c r="W293" t="s">
        <v>6847</v>
      </c>
      <c r="X293" t="s">
        <v>6848</v>
      </c>
      <c r="Y293" t="s">
        <v>6849</v>
      </c>
    </row>
    <row r="294" spans="1:25" x14ac:dyDescent="0.3">
      <c r="A294">
        <v>14650</v>
      </c>
      <c r="B294" t="s">
        <v>6850</v>
      </c>
      <c r="C294" t="s">
        <v>6851</v>
      </c>
      <c r="D294" t="s">
        <v>6852</v>
      </c>
      <c r="E294" t="s">
        <v>6853</v>
      </c>
      <c r="F294" t="s">
        <v>6854</v>
      </c>
      <c r="G294" t="s">
        <v>6855</v>
      </c>
      <c r="H294" t="s">
        <v>6856</v>
      </c>
      <c r="I294" t="s">
        <v>6857</v>
      </c>
      <c r="J294" t="s">
        <v>6858</v>
      </c>
      <c r="K294" t="s">
        <v>6859</v>
      </c>
      <c r="L294" t="s">
        <v>6860</v>
      </c>
      <c r="M294" t="s">
        <v>6861</v>
      </c>
      <c r="N294" t="s">
        <v>6862</v>
      </c>
      <c r="O294" t="s">
        <v>6863</v>
      </c>
      <c r="P294" t="s">
        <v>6864</v>
      </c>
      <c r="Q294" t="s">
        <v>6865</v>
      </c>
      <c r="R294" t="s">
        <v>6866</v>
      </c>
      <c r="S294" t="s">
        <v>6867</v>
      </c>
      <c r="T294" t="s">
        <v>6868</v>
      </c>
      <c r="U294" t="s">
        <v>6869</v>
      </c>
      <c r="V294" t="s">
        <v>6870</v>
      </c>
      <c r="W294" t="s">
        <v>6871</v>
      </c>
      <c r="X294" t="s">
        <v>6872</v>
      </c>
      <c r="Y294" t="s">
        <v>6873</v>
      </c>
    </row>
    <row r="295" spans="1:25" x14ac:dyDescent="0.3">
      <c r="A295">
        <v>14700</v>
      </c>
      <c r="B295" t="s">
        <v>6874</v>
      </c>
      <c r="C295" t="s">
        <v>6875</v>
      </c>
      <c r="D295" t="s">
        <v>6876</v>
      </c>
      <c r="E295" t="s">
        <v>6877</v>
      </c>
      <c r="F295" t="s">
        <v>6878</v>
      </c>
      <c r="G295" t="s">
        <v>6879</v>
      </c>
      <c r="H295" t="s">
        <v>6880</v>
      </c>
      <c r="I295" t="s">
        <v>6881</v>
      </c>
      <c r="J295" t="s">
        <v>6882</v>
      </c>
      <c r="K295" t="s">
        <v>6883</v>
      </c>
      <c r="L295" t="s">
        <v>6884</v>
      </c>
      <c r="M295" t="s">
        <v>6885</v>
      </c>
      <c r="N295" t="s">
        <v>6886</v>
      </c>
      <c r="O295" t="s">
        <v>6887</v>
      </c>
      <c r="P295" t="s">
        <v>6888</v>
      </c>
      <c r="Q295" t="s">
        <v>6889</v>
      </c>
      <c r="R295" t="s">
        <v>6890</v>
      </c>
      <c r="S295" t="s">
        <v>6891</v>
      </c>
      <c r="T295" t="s">
        <v>6892</v>
      </c>
      <c r="U295" t="s">
        <v>6893</v>
      </c>
      <c r="V295" t="s">
        <v>6894</v>
      </c>
      <c r="W295" t="s">
        <v>6895</v>
      </c>
      <c r="X295" t="s">
        <v>6896</v>
      </c>
      <c r="Y295" t="s">
        <v>6897</v>
      </c>
    </row>
    <row r="296" spans="1:25" x14ac:dyDescent="0.3">
      <c r="A296">
        <v>14750</v>
      </c>
      <c r="B296" t="s">
        <v>6898</v>
      </c>
      <c r="C296" t="s">
        <v>6899</v>
      </c>
      <c r="D296" t="s">
        <v>6900</v>
      </c>
      <c r="E296" t="s">
        <v>6901</v>
      </c>
      <c r="F296" t="s">
        <v>6902</v>
      </c>
      <c r="G296" t="s">
        <v>6903</v>
      </c>
      <c r="H296" t="s">
        <v>6904</v>
      </c>
      <c r="I296" t="s">
        <v>6905</v>
      </c>
      <c r="J296" t="s">
        <v>6906</v>
      </c>
      <c r="K296" t="s">
        <v>6907</v>
      </c>
      <c r="L296" t="s">
        <v>6908</v>
      </c>
      <c r="M296" t="s">
        <v>6909</v>
      </c>
      <c r="N296" t="s">
        <v>6910</v>
      </c>
      <c r="O296" t="s">
        <v>6911</v>
      </c>
      <c r="P296" t="s">
        <v>6912</v>
      </c>
      <c r="Q296" t="s">
        <v>6913</v>
      </c>
      <c r="R296" t="s">
        <v>6914</v>
      </c>
      <c r="S296" t="s">
        <v>6915</v>
      </c>
      <c r="T296" t="s">
        <v>6916</v>
      </c>
      <c r="U296" t="s">
        <v>6917</v>
      </c>
      <c r="V296" t="s">
        <v>6918</v>
      </c>
      <c r="W296" t="s">
        <v>6919</v>
      </c>
      <c r="X296" t="s">
        <v>6920</v>
      </c>
      <c r="Y296" t="s">
        <v>6921</v>
      </c>
    </row>
    <row r="297" spans="1:25" x14ac:dyDescent="0.3">
      <c r="A297">
        <v>14800</v>
      </c>
      <c r="B297" t="s">
        <v>6922</v>
      </c>
      <c r="C297" t="s">
        <v>6923</v>
      </c>
      <c r="D297" t="s">
        <v>6924</v>
      </c>
      <c r="E297" t="s">
        <v>6925</v>
      </c>
      <c r="F297" t="s">
        <v>6926</v>
      </c>
      <c r="G297" t="s">
        <v>6927</v>
      </c>
      <c r="H297" t="s">
        <v>6928</v>
      </c>
      <c r="I297" t="s">
        <v>6929</v>
      </c>
      <c r="J297" t="s">
        <v>6930</v>
      </c>
      <c r="K297" t="s">
        <v>6931</v>
      </c>
      <c r="L297" t="s">
        <v>6932</v>
      </c>
      <c r="M297" t="s">
        <v>6933</v>
      </c>
      <c r="N297" t="s">
        <v>6934</v>
      </c>
      <c r="O297" t="s">
        <v>6935</v>
      </c>
      <c r="P297" t="s">
        <v>6936</v>
      </c>
      <c r="Q297" t="s">
        <v>6937</v>
      </c>
      <c r="R297" t="s">
        <v>6938</v>
      </c>
      <c r="S297" t="s">
        <v>6939</v>
      </c>
      <c r="T297" t="s">
        <v>6940</v>
      </c>
      <c r="U297" t="s">
        <v>6941</v>
      </c>
      <c r="V297" t="s">
        <v>6942</v>
      </c>
      <c r="W297" t="s">
        <v>6943</v>
      </c>
      <c r="X297" t="s">
        <v>6944</v>
      </c>
      <c r="Y297" t="s">
        <v>6945</v>
      </c>
    </row>
    <row r="298" spans="1:25" x14ac:dyDescent="0.3">
      <c r="A298">
        <v>14850</v>
      </c>
      <c r="B298" t="s">
        <v>6946</v>
      </c>
      <c r="C298" t="s">
        <v>6947</v>
      </c>
      <c r="D298" t="s">
        <v>6948</v>
      </c>
      <c r="E298" t="s">
        <v>6949</v>
      </c>
      <c r="F298" t="s">
        <v>6950</v>
      </c>
      <c r="G298" t="s">
        <v>6951</v>
      </c>
      <c r="H298" t="s">
        <v>6952</v>
      </c>
      <c r="I298" t="s">
        <v>6953</v>
      </c>
      <c r="J298" t="s">
        <v>6954</v>
      </c>
      <c r="K298" t="s">
        <v>6955</v>
      </c>
      <c r="L298" t="s">
        <v>6956</v>
      </c>
      <c r="M298" t="s">
        <v>6957</v>
      </c>
      <c r="N298" t="s">
        <v>6958</v>
      </c>
      <c r="O298" t="s">
        <v>6959</v>
      </c>
      <c r="P298" t="s">
        <v>6960</v>
      </c>
      <c r="Q298" t="s">
        <v>6961</v>
      </c>
      <c r="R298" t="s">
        <v>6962</v>
      </c>
      <c r="S298" t="s">
        <v>6963</v>
      </c>
      <c r="T298" t="s">
        <v>6964</v>
      </c>
      <c r="U298" t="s">
        <v>6965</v>
      </c>
      <c r="V298" t="s">
        <v>6966</v>
      </c>
      <c r="W298" t="s">
        <v>6967</v>
      </c>
      <c r="X298" t="s">
        <v>6968</v>
      </c>
      <c r="Y298" t="s">
        <v>6969</v>
      </c>
    </row>
    <row r="299" spans="1:25" x14ac:dyDescent="0.3">
      <c r="A299">
        <v>14900</v>
      </c>
      <c r="B299" t="s">
        <v>6970</v>
      </c>
      <c r="C299" t="s">
        <v>6971</v>
      </c>
      <c r="D299" t="s">
        <v>6972</v>
      </c>
      <c r="E299" t="s">
        <v>6973</v>
      </c>
      <c r="F299" t="s">
        <v>6974</v>
      </c>
      <c r="G299" t="s">
        <v>6975</v>
      </c>
      <c r="H299" t="s">
        <v>6976</v>
      </c>
      <c r="I299" t="s">
        <v>6977</v>
      </c>
      <c r="J299" t="s">
        <v>6978</v>
      </c>
      <c r="K299" t="s">
        <v>6979</v>
      </c>
      <c r="L299" t="s">
        <v>6980</v>
      </c>
      <c r="M299" t="s">
        <v>6981</v>
      </c>
      <c r="N299" t="s">
        <v>6982</v>
      </c>
      <c r="O299" t="s">
        <v>6983</v>
      </c>
      <c r="P299" t="s">
        <v>6984</v>
      </c>
      <c r="Q299" t="s">
        <v>6985</v>
      </c>
      <c r="R299" t="s">
        <v>6986</v>
      </c>
      <c r="S299" t="s">
        <v>6987</v>
      </c>
      <c r="T299" t="s">
        <v>6988</v>
      </c>
      <c r="U299" t="s">
        <v>6989</v>
      </c>
      <c r="V299" t="s">
        <v>6990</v>
      </c>
      <c r="W299" t="s">
        <v>6991</v>
      </c>
      <c r="X299" t="s">
        <v>6992</v>
      </c>
      <c r="Y299" t="s">
        <v>6993</v>
      </c>
    </row>
    <row r="300" spans="1:25" x14ac:dyDescent="0.3">
      <c r="A300">
        <v>14950</v>
      </c>
      <c r="B300" t="s">
        <v>6994</v>
      </c>
      <c r="C300" t="s">
        <v>6995</v>
      </c>
      <c r="D300" t="s">
        <v>6996</v>
      </c>
      <c r="E300" t="s">
        <v>6997</v>
      </c>
      <c r="F300" t="s">
        <v>6998</v>
      </c>
      <c r="G300" t="s">
        <v>6999</v>
      </c>
      <c r="H300" t="s">
        <v>7000</v>
      </c>
      <c r="I300" t="s">
        <v>7001</v>
      </c>
      <c r="J300" t="s">
        <v>7002</v>
      </c>
      <c r="K300" t="s">
        <v>7003</v>
      </c>
      <c r="L300" t="s">
        <v>7004</v>
      </c>
      <c r="M300" t="s">
        <v>7005</v>
      </c>
      <c r="N300" t="s">
        <v>7006</v>
      </c>
      <c r="O300" t="s">
        <v>7007</v>
      </c>
      <c r="P300" t="s">
        <v>7008</v>
      </c>
      <c r="Q300" t="s">
        <v>7009</v>
      </c>
      <c r="R300" t="s">
        <v>7010</v>
      </c>
      <c r="S300" t="s">
        <v>7011</v>
      </c>
      <c r="T300" t="s">
        <v>7012</v>
      </c>
      <c r="U300" t="s">
        <v>7013</v>
      </c>
      <c r="V300" t="s">
        <v>7014</v>
      </c>
      <c r="W300" t="s">
        <v>7015</v>
      </c>
      <c r="X300" t="s">
        <v>7016</v>
      </c>
      <c r="Y300" t="s">
        <v>7017</v>
      </c>
    </row>
    <row r="301" spans="1:25" x14ac:dyDescent="0.3">
      <c r="A301">
        <v>15000</v>
      </c>
      <c r="B301" t="s">
        <v>7018</v>
      </c>
      <c r="C301" t="s">
        <v>7019</v>
      </c>
      <c r="D301" t="s">
        <v>7020</v>
      </c>
      <c r="E301" t="s">
        <v>7021</v>
      </c>
      <c r="F301" t="s">
        <v>7022</v>
      </c>
      <c r="G301" t="s">
        <v>7023</v>
      </c>
      <c r="H301" t="s">
        <v>7024</v>
      </c>
      <c r="I301" t="s">
        <v>7025</v>
      </c>
      <c r="J301" t="s">
        <v>7026</v>
      </c>
      <c r="K301" t="s">
        <v>7027</v>
      </c>
      <c r="L301" t="s">
        <v>7028</v>
      </c>
      <c r="M301" t="s">
        <v>7029</v>
      </c>
      <c r="N301" t="s">
        <v>7030</v>
      </c>
      <c r="O301" t="s">
        <v>7031</v>
      </c>
      <c r="P301" t="s">
        <v>7032</v>
      </c>
      <c r="Q301" t="s">
        <v>7033</v>
      </c>
      <c r="R301" t="s">
        <v>7034</v>
      </c>
      <c r="S301" t="s">
        <v>7035</v>
      </c>
      <c r="T301" t="s">
        <v>7036</v>
      </c>
      <c r="U301" t="s">
        <v>7037</v>
      </c>
      <c r="V301" t="s">
        <v>7038</v>
      </c>
      <c r="W301" t="s">
        <v>7039</v>
      </c>
      <c r="X301" t="s">
        <v>7040</v>
      </c>
      <c r="Y301" t="s">
        <v>7041</v>
      </c>
    </row>
    <row r="302" spans="1:25" x14ac:dyDescent="0.3">
      <c r="A302">
        <v>15050</v>
      </c>
      <c r="B302" t="s">
        <v>7042</v>
      </c>
      <c r="C302" t="s">
        <v>7043</v>
      </c>
      <c r="D302" t="s">
        <v>7044</v>
      </c>
      <c r="E302" t="s">
        <v>7045</v>
      </c>
      <c r="F302" t="s">
        <v>7046</v>
      </c>
      <c r="G302" t="s">
        <v>7047</v>
      </c>
      <c r="H302" t="s">
        <v>7048</v>
      </c>
      <c r="I302" t="s">
        <v>7049</v>
      </c>
      <c r="J302" t="s">
        <v>7050</v>
      </c>
      <c r="K302" t="s">
        <v>7051</v>
      </c>
      <c r="L302" t="s">
        <v>7052</v>
      </c>
      <c r="M302" t="s">
        <v>7053</v>
      </c>
      <c r="N302" t="s">
        <v>7054</v>
      </c>
      <c r="O302" t="s">
        <v>7055</v>
      </c>
      <c r="P302" t="s">
        <v>7056</v>
      </c>
      <c r="Q302" t="s">
        <v>7057</v>
      </c>
      <c r="R302" t="s">
        <v>7058</v>
      </c>
      <c r="S302" t="s">
        <v>7059</v>
      </c>
      <c r="T302" t="s">
        <v>7060</v>
      </c>
      <c r="U302" t="s">
        <v>7061</v>
      </c>
      <c r="V302" t="s">
        <v>7062</v>
      </c>
      <c r="W302" t="s">
        <v>7063</v>
      </c>
      <c r="X302" t="s">
        <v>7064</v>
      </c>
      <c r="Y302" t="s">
        <v>7065</v>
      </c>
    </row>
    <row r="303" spans="1:25" x14ac:dyDescent="0.3">
      <c r="A303">
        <v>15100</v>
      </c>
      <c r="B303" t="s">
        <v>7066</v>
      </c>
      <c r="C303" t="s">
        <v>7067</v>
      </c>
      <c r="D303" t="s">
        <v>7068</v>
      </c>
      <c r="E303" t="s">
        <v>7069</v>
      </c>
      <c r="F303" t="s">
        <v>7070</v>
      </c>
      <c r="G303" t="s">
        <v>7071</v>
      </c>
      <c r="H303" t="s">
        <v>7072</v>
      </c>
      <c r="I303" t="s">
        <v>7073</v>
      </c>
      <c r="J303" t="s">
        <v>7074</v>
      </c>
      <c r="K303" t="s">
        <v>7075</v>
      </c>
      <c r="L303" t="s">
        <v>7076</v>
      </c>
      <c r="M303" t="s">
        <v>7077</v>
      </c>
      <c r="N303" t="s">
        <v>7078</v>
      </c>
      <c r="O303" t="s">
        <v>7079</v>
      </c>
      <c r="P303" t="s">
        <v>7080</v>
      </c>
      <c r="Q303" t="s">
        <v>7081</v>
      </c>
      <c r="R303" t="s">
        <v>7082</v>
      </c>
      <c r="S303" t="s">
        <v>7083</v>
      </c>
      <c r="T303" t="s">
        <v>7084</v>
      </c>
      <c r="U303" t="s">
        <v>7085</v>
      </c>
      <c r="V303" t="s">
        <v>7086</v>
      </c>
      <c r="W303" t="s">
        <v>7087</v>
      </c>
      <c r="X303" t="s">
        <v>7088</v>
      </c>
      <c r="Y303" t="s">
        <v>7089</v>
      </c>
    </row>
    <row r="304" spans="1:25" x14ac:dyDescent="0.3">
      <c r="A304">
        <v>15150</v>
      </c>
      <c r="B304" t="s">
        <v>7090</v>
      </c>
      <c r="C304" t="s">
        <v>7091</v>
      </c>
      <c r="D304" t="s">
        <v>7092</v>
      </c>
      <c r="E304" t="s">
        <v>7093</v>
      </c>
      <c r="F304" t="s">
        <v>7094</v>
      </c>
      <c r="G304" t="s">
        <v>7095</v>
      </c>
      <c r="H304" t="s">
        <v>7096</v>
      </c>
      <c r="I304" t="s">
        <v>7097</v>
      </c>
      <c r="J304" t="s">
        <v>7098</v>
      </c>
      <c r="K304" t="s">
        <v>7099</v>
      </c>
      <c r="L304" t="s">
        <v>7100</v>
      </c>
      <c r="M304" t="s">
        <v>7101</v>
      </c>
      <c r="N304" t="s">
        <v>7102</v>
      </c>
      <c r="O304" t="s">
        <v>7103</v>
      </c>
      <c r="P304" t="s">
        <v>7104</v>
      </c>
      <c r="Q304" t="s">
        <v>7105</v>
      </c>
      <c r="R304" t="s">
        <v>7106</v>
      </c>
      <c r="S304" t="s">
        <v>7107</v>
      </c>
      <c r="T304" t="s">
        <v>7108</v>
      </c>
      <c r="U304" t="s">
        <v>7109</v>
      </c>
      <c r="V304" t="s">
        <v>7110</v>
      </c>
      <c r="W304" t="s">
        <v>7111</v>
      </c>
      <c r="X304" t="s">
        <v>7112</v>
      </c>
      <c r="Y304" t="s">
        <v>7113</v>
      </c>
    </row>
    <row r="305" spans="1:25" x14ac:dyDescent="0.3">
      <c r="A305">
        <v>15200</v>
      </c>
      <c r="B305" t="s">
        <v>7114</v>
      </c>
      <c r="C305" t="s">
        <v>7115</v>
      </c>
      <c r="D305" t="s">
        <v>7116</v>
      </c>
      <c r="E305" t="s">
        <v>7117</v>
      </c>
      <c r="F305" t="s">
        <v>7118</v>
      </c>
      <c r="G305" t="s">
        <v>7119</v>
      </c>
      <c r="H305" t="s">
        <v>7120</v>
      </c>
      <c r="I305" t="s">
        <v>7121</v>
      </c>
      <c r="J305" t="s">
        <v>7122</v>
      </c>
      <c r="K305" t="s">
        <v>7123</v>
      </c>
      <c r="L305" t="s">
        <v>7124</v>
      </c>
      <c r="M305" t="s">
        <v>7125</v>
      </c>
      <c r="N305" t="s">
        <v>7126</v>
      </c>
      <c r="O305" t="s">
        <v>7127</v>
      </c>
      <c r="P305" t="s">
        <v>7128</v>
      </c>
      <c r="Q305" t="s">
        <v>7129</v>
      </c>
      <c r="R305" t="s">
        <v>7130</v>
      </c>
      <c r="S305" t="s">
        <v>7131</v>
      </c>
      <c r="T305" t="s">
        <v>7132</v>
      </c>
      <c r="U305" t="s">
        <v>7133</v>
      </c>
      <c r="V305" t="s">
        <v>7134</v>
      </c>
      <c r="W305" t="s">
        <v>7135</v>
      </c>
      <c r="X305" t="s">
        <v>7136</v>
      </c>
      <c r="Y305" t="s">
        <v>7137</v>
      </c>
    </row>
    <row r="306" spans="1:25" x14ac:dyDescent="0.3">
      <c r="A306">
        <v>15250</v>
      </c>
      <c r="B306" t="s">
        <v>7138</v>
      </c>
      <c r="C306" t="s">
        <v>7139</v>
      </c>
      <c r="D306" t="s">
        <v>7140</v>
      </c>
      <c r="E306" t="s">
        <v>7141</v>
      </c>
      <c r="F306" t="s">
        <v>7142</v>
      </c>
      <c r="G306" t="s">
        <v>7143</v>
      </c>
      <c r="H306" t="s">
        <v>7144</v>
      </c>
      <c r="I306" t="s">
        <v>7145</v>
      </c>
      <c r="J306" t="s">
        <v>7146</v>
      </c>
      <c r="K306" t="s">
        <v>7147</v>
      </c>
      <c r="L306" t="s">
        <v>7148</v>
      </c>
      <c r="M306" t="s">
        <v>7149</v>
      </c>
      <c r="N306" t="s">
        <v>7150</v>
      </c>
      <c r="O306" t="s">
        <v>7151</v>
      </c>
      <c r="P306" t="s">
        <v>7152</v>
      </c>
      <c r="Q306" t="s">
        <v>7153</v>
      </c>
      <c r="R306" t="s">
        <v>7154</v>
      </c>
      <c r="S306" t="s">
        <v>7155</v>
      </c>
      <c r="T306" t="s">
        <v>7156</v>
      </c>
      <c r="U306" t="s">
        <v>7157</v>
      </c>
      <c r="V306" t="s">
        <v>7158</v>
      </c>
      <c r="W306" t="s">
        <v>7159</v>
      </c>
      <c r="X306" t="s">
        <v>7160</v>
      </c>
      <c r="Y306" t="s">
        <v>7161</v>
      </c>
    </row>
    <row r="307" spans="1:25" x14ac:dyDescent="0.3">
      <c r="A307">
        <v>15300</v>
      </c>
      <c r="B307" t="s">
        <v>7162</v>
      </c>
      <c r="C307" t="s">
        <v>7163</v>
      </c>
      <c r="D307" t="s">
        <v>7164</v>
      </c>
      <c r="E307" t="s">
        <v>7165</v>
      </c>
      <c r="F307" t="s">
        <v>7166</v>
      </c>
      <c r="G307" t="s">
        <v>7167</v>
      </c>
      <c r="H307" t="s">
        <v>7168</v>
      </c>
      <c r="I307" t="s">
        <v>7169</v>
      </c>
      <c r="J307" t="s">
        <v>7170</v>
      </c>
      <c r="K307" t="s">
        <v>7171</v>
      </c>
      <c r="L307" t="s">
        <v>7172</v>
      </c>
      <c r="M307" t="s">
        <v>7173</v>
      </c>
      <c r="N307" t="s">
        <v>7174</v>
      </c>
      <c r="O307" t="s">
        <v>7175</v>
      </c>
      <c r="P307" t="s">
        <v>7176</v>
      </c>
      <c r="Q307" t="s">
        <v>7177</v>
      </c>
      <c r="R307" t="s">
        <v>7178</v>
      </c>
      <c r="S307" t="s">
        <v>7179</v>
      </c>
      <c r="T307" t="s">
        <v>7180</v>
      </c>
      <c r="U307" t="s">
        <v>7181</v>
      </c>
      <c r="V307" t="s">
        <v>7182</v>
      </c>
      <c r="W307" t="s">
        <v>7183</v>
      </c>
      <c r="X307" t="s">
        <v>7184</v>
      </c>
      <c r="Y307" t="s">
        <v>7185</v>
      </c>
    </row>
    <row r="308" spans="1:25" x14ac:dyDescent="0.3">
      <c r="A308">
        <v>15350</v>
      </c>
      <c r="B308" t="s">
        <v>7186</v>
      </c>
      <c r="C308" t="s">
        <v>7187</v>
      </c>
      <c r="D308" t="s">
        <v>7188</v>
      </c>
      <c r="E308" t="s">
        <v>7189</v>
      </c>
      <c r="F308" t="s">
        <v>7190</v>
      </c>
      <c r="G308" t="s">
        <v>7191</v>
      </c>
      <c r="H308" t="s">
        <v>7192</v>
      </c>
      <c r="I308" t="s">
        <v>7193</v>
      </c>
      <c r="J308" t="s">
        <v>7194</v>
      </c>
      <c r="K308" t="s">
        <v>7195</v>
      </c>
      <c r="L308" t="s">
        <v>7196</v>
      </c>
      <c r="M308" t="s">
        <v>7197</v>
      </c>
      <c r="N308" t="s">
        <v>7198</v>
      </c>
      <c r="O308" t="s">
        <v>7199</v>
      </c>
      <c r="P308" t="s">
        <v>7200</v>
      </c>
      <c r="Q308" t="s">
        <v>7201</v>
      </c>
      <c r="R308" t="s">
        <v>7202</v>
      </c>
      <c r="S308" t="s">
        <v>7203</v>
      </c>
      <c r="T308" t="s">
        <v>7204</v>
      </c>
      <c r="U308" t="s">
        <v>7205</v>
      </c>
      <c r="V308" t="s">
        <v>7206</v>
      </c>
      <c r="W308" t="s">
        <v>7207</v>
      </c>
      <c r="X308" t="s">
        <v>7208</v>
      </c>
      <c r="Y308" t="s">
        <v>7209</v>
      </c>
    </row>
    <row r="309" spans="1:25" x14ac:dyDescent="0.3">
      <c r="A309">
        <v>15400</v>
      </c>
      <c r="B309" t="s">
        <v>7210</v>
      </c>
      <c r="C309" t="s">
        <v>7211</v>
      </c>
      <c r="D309" t="s">
        <v>7212</v>
      </c>
      <c r="E309" t="s">
        <v>7213</v>
      </c>
      <c r="F309" t="s">
        <v>7214</v>
      </c>
      <c r="G309" t="s">
        <v>7215</v>
      </c>
      <c r="H309" t="s">
        <v>7216</v>
      </c>
      <c r="I309" t="s">
        <v>7217</v>
      </c>
      <c r="J309" t="s">
        <v>7218</v>
      </c>
      <c r="K309" t="s">
        <v>7219</v>
      </c>
      <c r="L309" t="s">
        <v>7220</v>
      </c>
      <c r="M309" t="s">
        <v>7221</v>
      </c>
      <c r="N309" t="s">
        <v>7222</v>
      </c>
      <c r="O309" t="s">
        <v>7223</v>
      </c>
      <c r="P309" t="s">
        <v>7224</v>
      </c>
      <c r="Q309" t="s">
        <v>7225</v>
      </c>
      <c r="R309" t="s">
        <v>7226</v>
      </c>
      <c r="S309" t="s">
        <v>7227</v>
      </c>
      <c r="T309" t="s">
        <v>7228</v>
      </c>
      <c r="U309" t="s">
        <v>7229</v>
      </c>
      <c r="V309" t="s">
        <v>7230</v>
      </c>
      <c r="W309" t="s">
        <v>7231</v>
      </c>
      <c r="X309" t="s">
        <v>7232</v>
      </c>
      <c r="Y309" t="s">
        <v>7233</v>
      </c>
    </row>
    <row r="310" spans="1:25" x14ac:dyDescent="0.3">
      <c r="A310">
        <v>15450</v>
      </c>
      <c r="B310" t="s">
        <v>7234</v>
      </c>
      <c r="C310" t="s">
        <v>7235</v>
      </c>
      <c r="D310" t="s">
        <v>7236</v>
      </c>
      <c r="E310" t="s">
        <v>7237</v>
      </c>
      <c r="F310" t="s">
        <v>7238</v>
      </c>
      <c r="G310" t="s">
        <v>7239</v>
      </c>
      <c r="H310" t="s">
        <v>7240</v>
      </c>
      <c r="I310" t="s">
        <v>7241</v>
      </c>
      <c r="J310" t="s">
        <v>7242</v>
      </c>
      <c r="K310" t="s">
        <v>7243</v>
      </c>
      <c r="L310" t="s">
        <v>7244</v>
      </c>
      <c r="M310" t="s">
        <v>7245</v>
      </c>
      <c r="N310" t="s">
        <v>7246</v>
      </c>
      <c r="O310" t="s">
        <v>7247</v>
      </c>
      <c r="P310" t="s">
        <v>7248</v>
      </c>
      <c r="Q310" t="s">
        <v>7249</v>
      </c>
      <c r="R310" t="s">
        <v>7250</v>
      </c>
      <c r="S310" t="s">
        <v>7251</v>
      </c>
      <c r="T310" t="s">
        <v>7252</v>
      </c>
      <c r="U310" t="s">
        <v>7253</v>
      </c>
      <c r="V310" t="s">
        <v>7254</v>
      </c>
      <c r="W310" t="s">
        <v>7255</v>
      </c>
      <c r="X310" t="s">
        <v>7256</v>
      </c>
      <c r="Y310" t="s">
        <v>7257</v>
      </c>
    </row>
    <row r="311" spans="1:25" x14ac:dyDescent="0.3">
      <c r="A311">
        <v>15500</v>
      </c>
      <c r="B311" t="s">
        <v>7258</v>
      </c>
      <c r="C311" t="s">
        <v>7259</v>
      </c>
      <c r="D311" t="s">
        <v>7260</v>
      </c>
      <c r="E311" t="s">
        <v>7261</v>
      </c>
      <c r="F311" t="s">
        <v>7262</v>
      </c>
      <c r="G311" t="s">
        <v>7263</v>
      </c>
      <c r="H311" t="s">
        <v>7264</v>
      </c>
      <c r="I311" t="s">
        <v>7265</v>
      </c>
      <c r="J311" t="s">
        <v>7266</v>
      </c>
      <c r="K311" t="s">
        <v>7267</v>
      </c>
      <c r="L311" t="s">
        <v>7268</v>
      </c>
      <c r="M311" t="s">
        <v>7269</v>
      </c>
      <c r="N311" t="s">
        <v>7270</v>
      </c>
      <c r="O311" t="s">
        <v>7271</v>
      </c>
      <c r="P311" t="s">
        <v>7272</v>
      </c>
      <c r="Q311" t="s">
        <v>7273</v>
      </c>
      <c r="R311" t="s">
        <v>7274</v>
      </c>
      <c r="S311" t="s">
        <v>7275</v>
      </c>
      <c r="T311" t="s">
        <v>7276</v>
      </c>
      <c r="U311" t="s">
        <v>7277</v>
      </c>
      <c r="V311" t="s">
        <v>7278</v>
      </c>
      <c r="W311" t="s">
        <v>7279</v>
      </c>
      <c r="X311" t="s">
        <v>7280</v>
      </c>
      <c r="Y311" t="s">
        <v>7281</v>
      </c>
    </row>
    <row r="312" spans="1:25" x14ac:dyDescent="0.3">
      <c r="A312">
        <v>15550</v>
      </c>
      <c r="B312" t="s">
        <v>7282</v>
      </c>
      <c r="C312" t="s">
        <v>7283</v>
      </c>
      <c r="D312" t="s">
        <v>7284</v>
      </c>
      <c r="E312" t="s">
        <v>7285</v>
      </c>
      <c r="F312" t="s">
        <v>7286</v>
      </c>
      <c r="G312" t="s">
        <v>7287</v>
      </c>
      <c r="H312" t="s">
        <v>7288</v>
      </c>
      <c r="I312" t="s">
        <v>7289</v>
      </c>
      <c r="J312" t="s">
        <v>7290</v>
      </c>
      <c r="K312" t="s">
        <v>7291</v>
      </c>
      <c r="L312" t="s">
        <v>7292</v>
      </c>
      <c r="M312" t="s">
        <v>7293</v>
      </c>
      <c r="N312" t="s">
        <v>7294</v>
      </c>
      <c r="O312" t="s">
        <v>7295</v>
      </c>
      <c r="P312" t="s">
        <v>7296</v>
      </c>
      <c r="Q312" t="s">
        <v>7297</v>
      </c>
      <c r="R312" t="s">
        <v>7298</v>
      </c>
      <c r="S312" t="s">
        <v>7299</v>
      </c>
      <c r="T312" t="s">
        <v>7300</v>
      </c>
      <c r="U312" t="s">
        <v>7301</v>
      </c>
      <c r="V312" t="s">
        <v>7302</v>
      </c>
      <c r="W312" t="s">
        <v>7303</v>
      </c>
      <c r="X312" t="s">
        <v>7304</v>
      </c>
      <c r="Y312" t="s">
        <v>7305</v>
      </c>
    </row>
    <row r="313" spans="1:25" x14ac:dyDescent="0.3">
      <c r="A313">
        <v>15600</v>
      </c>
      <c r="B313" t="s">
        <v>7306</v>
      </c>
      <c r="C313" t="s">
        <v>7307</v>
      </c>
      <c r="D313" t="s">
        <v>7308</v>
      </c>
      <c r="E313" t="s">
        <v>7309</v>
      </c>
      <c r="F313" t="s">
        <v>7310</v>
      </c>
      <c r="G313" t="s">
        <v>7311</v>
      </c>
      <c r="H313" t="s">
        <v>7312</v>
      </c>
      <c r="I313" t="s">
        <v>7313</v>
      </c>
      <c r="J313" t="s">
        <v>7314</v>
      </c>
      <c r="K313" t="s">
        <v>7315</v>
      </c>
      <c r="L313" t="s">
        <v>7316</v>
      </c>
      <c r="M313" t="s">
        <v>7317</v>
      </c>
      <c r="N313" t="s">
        <v>7318</v>
      </c>
      <c r="O313" t="s">
        <v>7319</v>
      </c>
      <c r="P313" t="s">
        <v>7320</v>
      </c>
      <c r="Q313" t="s">
        <v>7321</v>
      </c>
      <c r="R313" t="s">
        <v>7322</v>
      </c>
      <c r="S313" t="s">
        <v>7323</v>
      </c>
      <c r="T313" t="s">
        <v>7324</v>
      </c>
      <c r="U313" t="s">
        <v>7325</v>
      </c>
      <c r="V313" t="s">
        <v>7326</v>
      </c>
      <c r="W313" t="s">
        <v>7327</v>
      </c>
      <c r="X313" t="s">
        <v>7328</v>
      </c>
      <c r="Y313" t="s">
        <v>7329</v>
      </c>
    </row>
    <row r="314" spans="1:25" x14ac:dyDescent="0.3">
      <c r="A314">
        <v>15650</v>
      </c>
      <c r="B314" t="s">
        <v>7330</v>
      </c>
      <c r="C314" t="s">
        <v>7331</v>
      </c>
      <c r="D314" t="s">
        <v>7332</v>
      </c>
      <c r="E314" t="s">
        <v>7333</v>
      </c>
      <c r="F314" t="s">
        <v>7334</v>
      </c>
      <c r="G314" t="s">
        <v>7335</v>
      </c>
      <c r="H314" t="s">
        <v>7336</v>
      </c>
      <c r="I314" t="s">
        <v>7337</v>
      </c>
      <c r="J314" t="s">
        <v>7338</v>
      </c>
      <c r="K314" t="s">
        <v>7339</v>
      </c>
      <c r="L314" t="s">
        <v>7340</v>
      </c>
      <c r="M314" t="s">
        <v>7341</v>
      </c>
      <c r="N314" t="s">
        <v>7342</v>
      </c>
      <c r="O314" t="s">
        <v>7343</v>
      </c>
      <c r="P314" t="s">
        <v>7344</v>
      </c>
      <c r="Q314" t="s">
        <v>7345</v>
      </c>
      <c r="R314" t="s">
        <v>7346</v>
      </c>
      <c r="S314" t="s">
        <v>7347</v>
      </c>
      <c r="T314" t="s">
        <v>7348</v>
      </c>
      <c r="U314" t="s">
        <v>7349</v>
      </c>
      <c r="V314" t="s">
        <v>7350</v>
      </c>
      <c r="W314" t="s">
        <v>7351</v>
      </c>
      <c r="X314" t="s">
        <v>7352</v>
      </c>
      <c r="Y314" t="s">
        <v>7353</v>
      </c>
    </row>
    <row r="315" spans="1:25" x14ac:dyDescent="0.3">
      <c r="A315">
        <v>15700</v>
      </c>
      <c r="B315" t="s">
        <v>7354</v>
      </c>
      <c r="C315" t="s">
        <v>7355</v>
      </c>
      <c r="D315" t="s">
        <v>7356</v>
      </c>
      <c r="E315" t="s">
        <v>7357</v>
      </c>
      <c r="F315" t="s">
        <v>7358</v>
      </c>
      <c r="G315" t="s">
        <v>7359</v>
      </c>
      <c r="H315" t="s">
        <v>7360</v>
      </c>
      <c r="I315" t="s">
        <v>7361</v>
      </c>
      <c r="J315" t="s">
        <v>7362</v>
      </c>
      <c r="K315" t="s">
        <v>7363</v>
      </c>
      <c r="L315" t="s">
        <v>7364</v>
      </c>
      <c r="M315" t="s">
        <v>7365</v>
      </c>
      <c r="N315" t="s">
        <v>7366</v>
      </c>
      <c r="O315" t="s">
        <v>7367</v>
      </c>
      <c r="P315" t="s">
        <v>7368</v>
      </c>
      <c r="Q315" t="s">
        <v>7369</v>
      </c>
      <c r="R315" t="s">
        <v>7370</v>
      </c>
      <c r="S315" t="s">
        <v>7371</v>
      </c>
      <c r="T315" t="s">
        <v>7372</v>
      </c>
      <c r="U315" t="s">
        <v>7373</v>
      </c>
      <c r="V315" t="s">
        <v>7374</v>
      </c>
      <c r="W315" t="s">
        <v>7375</v>
      </c>
      <c r="X315" t="s">
        <v>7376</v>
      </c>
      <c r="Y315" t="s">
        <v>7377</v>
      </c>
    </row>
    <row r="316" spans="1:25" x14ac:dyDescent="0.3">
      <c r="A316">
        <v>15750</v>
      </c>
      <c r="B316" t="s">
        <v>7378</v>
      </c>
      <c r="C316" t="s">
        <v>7379</v>
      </c>
      <c r="D316" t="s">
        <v>7380</v>
      </c>
      <c r="E316" t="s">
        <v>7381</v>
      </c>
      <c r="F316" t="s">
        <v>7382</v>
      </c>
      <c r="G316" t="s">
        <v>7383</v>
      </c>
      <c r="H316" t="s">
        <v>7384</v>
      </c>
      <c r="I316" t="s">
        <v>7385</v>
      </c>
      <c r="J316" t="s">
        <v>7386</v>
      </c>
      <c r="K316" t="s">
        <v>7387</v>
      </c>
      <c r="L316" t="s">
        <v>7388</v>
      </c>
      <c r="M316" t="s">
        <v>7389</v>
      </c>
      <c r="N316" t="s">
        <v>7390</v>
      </c>
      <c r="O316" t="s">
        <v>7391</v>
      </c>
      <c r="P316" t="s">
        <v>7392</v>
      </c>
      <c r="Q316" t="s">
        <v>7393</v>
      </c>
      <c r="R316" t="s">
        <v>7394</v>
      </c>
      <c r="S316" t="s">
        <v>7395</v>
      </c>
      <c r="T316" t="s">
        <v>7396</v>
      </c>
      <c r="U316" t="s">
        <v>7397</v>
      </c>
      <c r="V316" t="s">
        <v>7398</v>
      </c>
      <c r="W316" t="s">
        <v>7399</v>
      </c>
      <c r="X316" t="s">
        <v>7400</v>
      </c>
      <c r="Y316" t="s">
        <v>7401</v>
      </c>
    </row>
    <row r="317" spans="1:25" x14ac:dyDescent="0.3">
      <c r="A317">
        <v>15800</v>
      </c>
      <c r="B317" t="s">
        <v>7402</v>
      </c>
      <c r="C317" t="s">
        <v>7403</v>
      </c>
      <c r="D317" t="s">
        <v>7404</v>
      </c>
      <c r="E317" t="s">
        <v>7405</v>
      </c>
      <c r="F317" t="s">
        <v>7406</v>
      </c>
      <c r="G317" t="s">
        <v>7407</v>
      </c>
      <c r="H317" t="s">
        <v>7408</v>
      </c>
      <c r="I317" t="s">
        <v>7409</v>
      </c>
      <c r="J317" t="s">
        <v>7410</v>
      </c>
      <c r="K317" t="s">
        <v>7411</v>
      </c>
      <c r="L317" t="s">
        <v>7412</v>
      </c>
      <c r="M317" t="s">
        <v>7413</v>
      </c>
      <c r="N317" t="s">
        <v>7414</v>
      </c>
      <c r="O317" t="s">
        <v>7415</v>
      </c>
      <c r="P317" t="s">
        <v>7416</v>
      </c>
      <c r="Q317" t="s">
        <v>7417</v>
      </c>
      <c r="R317" t="s">
        <v>7418</v>
      </c>
      <c r="S317" t="s">
        <v>7419</v>
      </c>
      <c r="T317" t="s">
        <v>7420</v>
      </c>
      <c r="U317" t="s">
        <v>7421</v>
      </c>
      <c r="V317" t="s">
        <v>7422</v>
      </c>
      <c r="W317" t="s">
        <v>7423</v>
      </c>
      <c r="X317" t="s">
        <v>7424</v>
      </c>
      <c r="Y317" t="s">
        <v>7425</v>
      </c>
    </row>
    <row r="318" spans="1:25" x14ac:dyDescent="0.3">
      <c r="A318">
        <v>15850</v>
      </c>
      <c r="B318" t="s">
        <v>7426</v>
      </c>
      <c r="C318" t="s">
        <v>7427</v>
      </c>
      <c r="D318" t="s">
        <v>7428</v>
      </c>
      <c r="E318" t="s">
        <v>7429</v>
      </c>
      <c r="F318" t="s">
        <v>7430</v>
      </c>
      <c r="G318" t="s">
        <v>7431</v>
      </c>
      <c r="H318" t="s">
        <v>7432</v>
      </c>
      <c r="I318" t="s">
        <v>7433</v>
      </c>
      <c r="J318" t="s">
        <v>7434</v>
      </c>
      <c r="K318" t="s">
        <v>7435</v>
      </c>
      <c r="L318" t="s">
        <v>7436</v>
      </c>
      <c r="M318" t="s">
        <v>7437</v>
      </c>
      <c r="N318" t="s">
        <v>7438</v>
      </c>
      <c r="O318" t="s">
        <v>7439</v>
      </c>
      <c r="P318" t="s">
        <v>7440</v>
      </c>
      <c r="Q318" t="s">
        <v>7441</v>
      </c>
      <c r="R318" t="s">
        <v>7442</v>
      </c>
      <c r="S318" t="s">
        <v>7443</v>
      </c>
      <c r="T318" t="s">
        <v>7444</v>
      </c>
      <c r="U318" t="s">
        <v>7445</v>
      </c>
      <c r="V318" t="s">
        <v>7446</v>
      </c>
      <c r="W318" t="s">
        <v>7447</v>
      </c>
      <c r="X318" t="s">
        <v>7448</v>
      </c>
      <c r="Y318" t="s">
        <v>7449</v>
      </c>
    </row>
    <row r="319" spans="1:25" x14ac:dyDescent="0.3">
      <c r="A319">
        <v>15900</v>
      </c>
      <c r="B319" t="s">
        <v>7450</v>
      </c>
      <c r="C319" t="s">
        <v>7451</v>
      </c>
      <c r="D319" t="s">
        <v>7452</v>
      </c>
      <c r="E319" t="s">
        <v>7453</v>
      </c>
      <c r="F319" t="s">
        <v>7454</v>
      </c>
      <c r="G319" t="s">
        <v>7455</v>
      </c>
      <c r="H319" t="s">
        <v>7456</v>
      </c>
      <c r="I319" t="s">
        <v>7457</v>
      </c>
      <c r="J319" t="s">
        <v>7458</v>
      </c>
      <c r="K319" t="s">
        <v>7459</v>
      </c>
      <c r="L319" t="s">
        <v>7460</v>
      </c>
      <c r="M319" t="s">
        <v>7461</v>
      </c>
      <c r="N319" t="s">
        <v>7462</v>
      </c>
      <c r="O319" t="s">
        <v>7463</v>
      </c>
      <c r="P319" t="s">
        <v>7464</v>
      </c>
      <c r="Q319" t="s">
        <v>7465</v>
      </c>
      <c r="R319" t="s">
        <v>7466</v>
      </c>
      <c r="S319" t="s">
        <v>7467</v>
      </c>
      <c r="T319" t="s">
        <v>7468</v>
      </c>
      <c r="U319" t="s">
        <v>7469</v>
      </c>
      <c r="V319" t="s">
        <v>7470</v>
      </c>
      <c r="W319" t="s">
        <v>7471</v>
      </c>
      <c r="X319" t="s">
        <v>7472</v>
      </c>
      <c r="Y319" t="s">
        <v>7473</v>
      </c>
    </row>
    <row r="320" spans="1:25" x14ac:dyDescent="0.3">
      <c r="A320">
        <v>15950</v>
      </c>
      <c r="B320" t="s">
        <v>7474</v>
      </c>
      <c r="C320" t="s">
        <v>7475</v>
      </c>
      <c r="D320" t="s">
        <v>7476</v>
      </c>
      <c r="E320" t="s">
        <v>7477</v>
      </c>
      <c r="F320" t="s">
        <v>7478</v>
      </c>
      <c r="G320" t="s">
        <v>7479</v>
      </c>
      <c r="H320" t="s">
        <v>7480</v>
      </c>
      <c r="I320" t="s">
        <v>7481</v>
      </c>
      <c r="J320" t="s">
        <v>7482</v>
      </c>
      <c r="K320" t="s">
        <v>7483</v>
      </c>
      <c r="L320" t="s">
        <v>7484</v>
      </c>
      <c r="M320" t="s">
        <v>7485</v>
      </c>
      <c r="N320" t="s">
        <v>7486</v>
      </c>
      <c r="O320" t="s">
        <v>7487</v>
      </c>
      <c r="P320" t="s">
        <v>7488</v>
      </c>
      <c r="Q320" t="s">
        <v>7489</v>
      </c>
      <c r="R320" t="s">
        <v>7490</v>
      </c>
      <c r="S320" t="s">
        <v>7491</v>
      </c>
      <c r="T320" t="s">
        <v>7492</v>
      </c>
      <c r="U320" t="s">
        <v>7493</v>
      </c>
      <c r="V320" t="s">
        <v>7494</v>
      </c>
      <c r="W320" t="s">
        <v>7495</v>
      </c>
      <c r="X320" t="s">
        <v>7496</v>
      </c>
      <c r="Y320" t="s">
        <v>7497</v>
      </c>
    </row>
    <row r="321" spans="1:25" x14ac:dyDescent="0.3">
      <c r="A321">
        <v>16000</v>
      </c>
      <c r="B321" t="s">
        <v>7498</v>
      </c>
      <c r="C321" t="s">
        <v>7499</v>
      </c>
      <c r="D321" t="s">
        <v>7500</v>
      </c>
      <c r="E321" t="s">
        <v>7501</v>
      </c>
      <c r="F321" t="s">
        <v>7502</v>
      </c>
      <c r="G321" t="s">
        <v>7503</v>
      </c>
      <c r="H321" t="s">
        <v>7504</v>
      </c>
      <c r="I321" t="s">
        <v>7505</v>
      </c>
      <c r="J321" t="s">
        <v>7506</v>
      </c>
      <c r="K321" t="s">
        <v>7507</v>
      </c>
      <c r="L321" t="s">
        <v>7508</v>
      </c>
      <c r="M321" t="s">
        <v>7509</v>
      </c>
      <c r="N321" t="s">
        <v>7510</v>
      </c>
      <c r="O321" t="s">
        <v>7511</v>
      </c>
      <c r="P321" t="s">
        <v>7512</v>
      </c>
      <c r="Q321" t="s">
        <v>7513</v>
      </c>
      <c r="R321" t="s">
        <v>7514</v>
      </c>
      <c r="S321" t="s">
        <v>7515</v>
      </c>
      <c r="T321" t="s">
        <v>7516</v>
      </c>
      <c r="U321" t="s">
        <v>7517</v>
      </c>
      <c r="V321" t="s">
        <v>7518</v>
      </c>
      <c r="W321" t="s">
        <v>7519</v>
      </c>
      <c r="X321" t="s">
        <v>7520</v>
      </c>
      <c r="Y321" t="s">
        <v>7521</v>
      </c>
    </row>
    <row r="322" spans="1:25" x14ac:dyDescent="0.3">
      <c r="A322">
        <v>16050</v>
      </c>
      <c r="B322" t="s">
        <v>7522</v>
      </c>
      <c r="C322" t="s">
        <v>7523</v>
      </c>
      <c r="D322" t="s">
        <v>7524</v>
      </c>
      <c r="E322" t="s">
        <v>7525</v>
      </c>
      <c r="F322" t="s">
        <v>7526</v>
      </c>
      <c r="G322" t="s">
        <v>7527</v>
      </c>
      <c r="H322" t="s">
        <v>7528</v>
      </c>
      <c r="I322" t="s">
        <v>7529</v>
      </c>
      <c r="J322" t="s">
        <v>7530</v>
      </c>
      <c r="K322" t="s">
        <v>7531</v>
      </c>
      <c r="L322" t="s">
        <v>7532</v>
      </c>
      <c r="M322" t="s">
        <v>7533</v>
      </c>
      <c r="N322" t="s">
        <v>7534</v>
      </c>
      <c r="O322" t="s">
        <v>7535</v>
      </c>
      <c r="P322" t="s">
        <v>7536</v>
      </c>
      <c r="Q322" t="s">
        <v>7537</v>
      </c>
      <c r="R322" t="s">
        <v>7538</v>
      </c>
      <c r="S322" t="s">
        <v>7539</v>
      </c>
      <c r="T322" t="s">
        <v>7540</v>
      </c>
      <c r="U322" t="s">
        <v>7541</v>
      </c>
      <c r="V322" t="s">
        <v>7542</v>
      </c>
      <c r="W322" t="s">
        <v>7543</v>
      </c>
      <c r="X322" t="s">
        <v>7544</v>
      </c>
      <c r="Y322" t="s">
        <v>7545</v>
      </c>
    </row>
    <row r="323" spans="1:25" x14ac:dyDescent="0.3">
      <c r="A323">
        <v>16100</v>
      </c>
      <c r="B323" t="s">
        <v>7546</v>
      </c>
      <c r="C323" t="s">
        <v>7547</v>
      </c>
      <c r="D323" t="s">
        <v>7548</v>
      </c>
      <c r="E323" t="s">
        <v>7549</v>
      </c>
      <c r="F323" t="s">
        <v>7550</v>
      </c>
      <c r="G323" t="s">
        <v>7551</v>
      </c>
      <c r="H323" t="s">
        <v>7552</v>
      </c>
      <c r="I323" t="s">
        <v>7553</v>
      </c>
      <c r="J323" t="s">
        <v>7554</v>
      </c>
      <c r="K323" t="s">
        <v>7555</v>
      </c>
      <c r="L323" t="s">
        <v>7556</v>
      </c>
      <c r="M323" t="s">
        <v>7557</v>
      </c>
      <c r="N323" t="s">
        <v>7558</v>
      </c>
      <c r="O323" t="s">
        <v>7559</v>
      </c>
      <c r="P323" t="s">
        <v>7560</v>
      </c>
      <c r="Q323" t="s">
        <v>7561</v>
      </c>
      <c r="R323" t="s">
        <v>7562</v>
      </c>
      <c r="S323" t="s">
        <v>7563</v>
      </c>
      <c r="T323" t="s">
        <v>7564</v>
      </c>
      <c r="U323" t="s">
        <v>7565</v>
      </c>
      <c r="V323" t="s">
        <v>7566</v>
      </c>
      <c r="W323" t="s">
        <v>7567</v>
      </c>
      <c r="X323" t="s">
        <v>7568</v>
      </c>
      <c r="Y323" t="s">
        <v>7569</v>
      </c>
    </row>
    <row r="324" spans="1:25" x14ac:dyDescent="0.3">
      <c r="A324">
        <v>16150</v>
      </c>
      <c r="B324" t="s">
        <v>7570</v>
      </c>
      <c r="C324" t="s">
        <v>7571</v>
      </c>
      <c r="D324" t="s">
        <v>7572</v>
      </c>
      <c r="E324" t="s">
        <v>7573</v>
      </c>
      <c r="F324" t="s">
        <v>7574</v>
      </c>
      <c r="G324" t="s">
        <v>7575</v>
      </c>
      <c r="H324" t="s">
        <v>7576</v>
      </c>
      <c r="I324" t="s">
        <v>7577</v>
      </c>
      <c r="J324" t="s">
        <v>7578</v>
      </c>
      <c r="K324" t="s">
        <v>7579</v>
      </c>
      <c r="L324" t="s">
        <v>7580</v>
      </c>
      <c r="M324" t="s">
        <v>7581</v>
      </c>
      <c r="N324" t="s">
        <v>7582</v>
      </c>
      <c r="O324" t="s">
        <v>7583</v>
      </c>
      <c r="P324" t="s">
        <v>7584</v>
      </c>
      <c r="Q324" t="s">
        <v>7585</v>
      </c>
      <c r="R324" t="s">
        <v>7586</v>
      </c>
      <c r="S324" t="s">
        <v>7587</v>
      </c>
      <c r="T324" t="s">
        <v>7588</v>
      </c>
      <c r="U324" t="s">
        <v>7589</v>
      </c>
      <c r="V324" t="s">
        <v>7590</v>
      </c>
      <c r="W324" t="s">
        <v>7591</v>
      </c>
      <c r="X324" t="s">
        <v>7592</v>
      </c>
      <c r="Y324" t="s">
        <v>7593</v>
      </c>
    </row>
    <row r="325" spans="1:25" x14ac:dyDescent="0.3">
      <c r="A325">
        <v>16200</v>
      </c>
      <c r="B325" t="s">
        <v>7594</v>
      </c>
      <c r="C325" t="s">
        <v>7595</v>
      </c>
      <c r="D325" t="s">
        <v>7596</v>
      </c>
      <c r="E325" t="s">
        <v>7597</v>
      </c>
      <c r="F325" t="s">
        <v>7598</v>
      </c>
      <c r="G325" t="s">
        <v>7599</v>
      </c>
      <c r="H325" t="s">
        <v>7600</v>
      </c>
      <c r="I325" t="s">
        <v>7601</v>
      </c>
      <c r="J325" t="s">
        <v>7602</v>
      </c>
      <c r="K325" t="s">
        <v>7603</v>
      </c>
      <c r="L325" t="s">
        <v>7604</v>
      </c>
      <c r="M325" t="s">
        <v>7605</v>
      </c>
      <c r="N325" t="s">
        <v>7606</v>
      </c>
      <c r="O325" t="s">
        <v>7607</v>
      </c>
      <c r="P325" t="s">
        <v>7608</v>
      </c>
      <c r="Q325" t="s">
        <v>7609</v>
      </c>
      <c r="R325" t="s">
        <v>7610</v>
      </c>
      <c r="S325" t="s">
        <v>7611</v>
      </c>
      <c r="T325" t="s">
        <v>7612</v>
      </c>
      <c r="U325" t="s">
        <v>7613</v>
      </c>
      <c r="V325" t="s">
        <v>7614</v>
      </c>
      <c r="W325" t="s">
        <v>7615</v>
      </c>
      <c r="X325" t="s">
        <v>7616</v>
      </c>
      <c r="Y325" t="s">
        <v>7617</v>
      </c>
    </row>
    <row r="326" spans="1:25" x14ac:dyDescent="0.3">
      <c r="A326">
        <v>16250</v>
      </c>
      <c r="B326" t="s">
        <v>7618</v>
      </c>
      <c r="C326" t="s">
        <v>7619</v>
      </c>
      <c r="D326" t="s">
        <v>7620</v>
      </c>
      <c r="E326" t="s">
        <v>7621</v>
      </c>
      <c r="F326" t="s">
        <v>7622</v>
      </c>
      <c r="G326" t="s">
        <v>7623</v>
      </c>
      <c r="H326" t="s">
        <v>7624</v>
      </c>
      <c r="I326" t="s">
        <v>7625</v>
      </c>
      <c r="J326" t="s">
        <v>7626</v>
      </c>
      <c r="K326" t="s">
        <v>7627</v>
      </c>
      <c r="L326" t="s">
        <v>7628</v>
      </c>
      <c r="M326" t="s">
        <v>7629</v>
      </c>
      <c r="N326" t="s">
        <v>7630</v>
      </c>
      <c r="O326" t="s">
        <v>7631</v>
      </c>
      <c r="P326" t="s">
        <v>7632</v>
      </c>
      <c r="Q326" t="s">
        <v>7633</v>
      </c>
      <c r="R326" t="s">
        <v>7634</v>
      </c>
      <c r="S326" t="s">
        <v>7635</v>
      </c>
      <c r="T326" t="s">
        <v>7636</v>
      </c>
      <c r="U326" t="s">
        <v>7637</v>
      </c>
      <c r="V326" t="s">
        <v>7638</v>
      </c>
      <c r="W326" t="s">
        <v>7639</v>
      </c>
      <c r="X326" t="s">
        <v>7640</v>
      </c>
      <c r="Y326" t="s">
        <v>7641</v>
      </c>
    </row>
    <row r="327" spans="1:25" x14ac:dyDescent="0.3">
      <c r="A327">
        <v>16300</v>
      </c>
      <c r="B327" t="s">
        <v>7642</v>
      </c>
      <c r="C327" t="s">
        <v>7643</v>
      </c>
      <c r="D327" t="s">
        <v>7644</v>
      </c>
      <c r="E327" t="s">
        <v>7645</v>
      </c>
      <c r="F327" t="s">
        <v>7646</v>
      </c>
      <c r="G327" t="s">
        <v>7647</v>
      </c>
      <c r="H327" t="s">
        <v>7648</v>
      </c>
      <c r="I327" t="s">
        <v>7649</v>
      </c>
      <c r="J327" t="s">
        <v>7650</v>
      </c>
      <c r="K327" t="s">
        <v>7651</v>
      </c>
      <c r="L327" t="s">
        <v>7652</v>
      </c>
      <c r="M327" t="s">
        <v>7653</v>
      </c>
      <c r="N327" t="s">
        <v>7654</v>
      </c>
      <c r="O327" t="s">
        <v>7655</v>
      </c>
      <c r="P327" t="s">
        <v>7656</v>
      </c>
      <c r="Q327" t="s">
        <v>7657</v>
      </c>
      <c r="R327" t="s">
        <v>7658</v>
      </c>
      <c r="S327" t="s">
        <v>7659</v>
      </c>
      <c r="T327" t="s">
        <v>7660</v>
      </c>
      <c r="U327" t="s">
        <v>7661</v>
      </c>
      <c r="V327" t="s">
        <v>7662</v>
      </c>
      <c r="W327" t="s">
        <v>7663</v>
      </c>
      <c r="X327" t="s">
        <v>7664</v>
      </c>
      <c r="Y327" t="s">
        <v>7665</v>
      </c>
    </row>
    <row r="328" spans="1:25" x14ac:dyDescent="0.3">
      <c r="A328">
        <v>16350</v>
      </c>
      <c r="B328" t="s">
        <v>7666</v>
      </c>
      <c r="C328" t="s">
        <v>7667</v>
      </c>
      <c r="D328" t="s">
        <v>7668</v>
      </c>
      <c r="E328" t="s">
        <v>7669</v>
      </c>
      <c r="F328" t="s">
        <v>7670</v>
      </c>
      <c r="G328" t="s">
        <v>7671</v>
      </c>
      <c r="H328" t="s">
        <v>7672</v>
      </c>
      <c r="I328" t="s">
        <v>7673</v>
      </c>
      <c r="J328" t="s">
        <v>7674</v>
      </c>
      <c r="K328" t="s">
        <v>7675</v>
      </c>
      <c r="L328" t="s">
        <v>7676</v>
      </c>
      <c r="M328" t="s">
        <v>7677</v>
      </c>
      <c r="N328" t="s">
        <v>7678</v>
      </c>
      <c r="O328" t="s">
        <v>7679</v>
      </c>
      <c r="P328" t="s">
        <v>7680</v>
      </c>
      <c r="Q328" t="s">
        <v>7681</v>
      </c>
      <c r="R328" t="s">
        <v>7682</v>
      </c>
      <c r="S328" t="s">
        <v>7683</v>
      </c>
      <c r="T328" t="s">
        <v>7684</v>
      </c>
      <c r="U328" t="s">
        <v>7685</v>
      </c>
      <c r="V328" t="s">
        <v>7686</v>
      </c>
      <c r="W328" t="s">
        <v>7687</v>
      </c>
      <c r="X328" t="s">
        <v>7688</v>
      </c>
      <c r="Y328" t="s">
        <v>7689</v>
      </c>
    </row>
    <row r="329" spans="1:25" x14ac:dyDescent="0.3">
      <c r="A329">
        <v>16400</v>
      </c>
      <c r="B329" t="s">
        <v>7690</v>
      </c>
      <c r="C329" t="s">
        <v>7691</v>
      </c>
      <c r="D329" t="s">
        <v>7692</v>
      </c>
      <c r="E329" t="s">
        <v>7693</v>
      </c>
      <c r="F329" t="s">
        <v>7694</v>
      </c>
      <c r="G329" t="s">
        <v>7695</v>
      </c>
      <c r="H329" t="s">
        <v>7696</v>
      </c>
      <c r="I329" t="s">
        <v>7697</v>
      </c>
      <c r="J329" t="s">
        <v>7698</v>
      </c>
      <c r="K329" t="s">
        <v>7699</v>
      </c>
      <c r="L329" t="s">
        <v>7700</v>
      </c>
      <c r="M329" t="s">
        <v>7701</v>
      </c>
      <c r="N329" t="s">
        <v>7702</v>
      </c>
      <c r="O329" t="s">
        <v>7703</v>
      </c>
      <c r="P329" t="s">
        <v>7704</v>
      </c>
      <c r="Q329" t="s">
        <v>7705</v>
      </c>
      <c r="R329" t="s">
        <v>7706</v>
      </c>
      <c r="S329" t="s">
        <v>7707</v>
      </c>
      <c r="T329" t="s">
        <v>7708</v>
      </c>
      <c r="U329" t="s">
        <v>7709</v>
      </c>
      <c r="V329" t="s">
        <v>7710</v>
      </c>
      <c r="W329" t="s">
        <v>7711</v>
      </c>
      <c r="X329" t="s">
        <v>7712</v>
      </c>
      <c r="Y329" t="s">
        <v>7713</v>
      </c>
    </row>
    <row r="330" spans="1:25" x14ac:dyDescent="0.3">
      <c r="A330">
        <v>16450</v>
      </c>
      <c r="B330" t="s">
        <v>7714</v>
      </c>
      <c r="C330" t="s">
        <v>7715</v>
      </c>
      <c r="D330" t="s">
        <v>7716</v>
      </c>
      <c r="E330" t="s">
        <v>7717</v>
      </c>
      <c r="F330" t="s">
        <v>7718</v>
      </c>
      <c r="G330" t="s">
        <v>7719</v>
      </c>
      <c r="H330" t="s">
        <v>7720</v>
      </c>
      <c r="I330" t="s">
        <v>7721</v>
      </c>
      <c r="J330" t="s">
        <v>7722</v>
      </c>
      <c r="K330" t="s">
        <v>7723</v>
      </c>
      <c r="L330" t="s">
        <v>7724</v>
      </c>
      <c r="M330" t="s">
        <v>7725</v>
      </c>
      <c r="N330" t="s">
        <v>7726</v>
      </c>
      <c r="O330" t="s">
        <v>7727</v>
      </c>
      <c r="P330" t="s">
        <v>7728</v>
      </c>
      <c r="Q330" t="s">
        <v>7729</v>
      </c>
      <c r="R330" t="s">
        <v>7730</v>
      </c>
      <c r="S330" t="s">
        <v>7731</v>
      </c>
      <c r="T330" t="s">
        <v>7732</v>
      </c>
      <c r="U330" t="s">
        <v>7733</v>
      </c>
      <c r="V330" t="s">
        <v>7734</v>
      </c>
      <c r="W330" t="s">
        <v>7735</v>
      </c>
      <c r="X330" t="s">
        <v>7736</v>
      </c>
      <c r="Y330" t="s">
        <v>7737</v>
      </c>
    </row>
    <row r="331" spans="1:25" x14ac:dyDescent="0.3">
      <c r="A331">
        <v>16500</v>
      </c>
      <c r="B331" t="s">
        <v>7738</v>
      </c>
      <c r="C331" t="s">
        <v>7739</v>
      </c>
      <c r="D331" t="s">
        <v>7740</v>
      </c>
      <c r="E331" t="s">
        <v>7741</v>
      </c>
      <c r="F331" t="s">
        <v>7742</v>
      </c>
      <c r="G331" t="s">
        <v>7743</v>
      </c>
      <c r="H331" t="s">
        <v>7744</v>
      </c>
      <c r="I331" t="s">
        <v>7745</v>
      </c>
      <c r="J331" t="s">
        <v>7746</v>
      </c>
      <c r="K331" t="s">
        <v>7747</v>
      </c>
      <c r="L331" t="s">
        <v>7748</v>
      </c>
      <c r="M331" t="s">
        <v>7749</v>
      </c>
      <c r="N331" t="s">
        <v>7750</v>
      </c>
      <c r="O331" t="s">
        <v>7751</v>
      </c>
      <c r="P331" t="s">
        <v>7752</v>
      </c>
      <c r="Q331" t="s">
        <v>7753</v>
      </c>
      <c r="R331" t="s">
        <v>7754</v>
      </c>
      <c r="S331" t="s">
        <v>7755</v>
      </c>
      <c r="T331" t="s">
        <v>7756</v>
      </c>
      <c r="U331" t="s">
        <v>7757</v>
      </c>
      <c r="V331" t="s">
        <v>7758</v>
      </c>
      <c r="W331" t="s">
        <v>7759</v>
      </c>
      <c r="X331" t="s">
        <v>7760</v>
      </c>
      <c r="Y331" t="s">
        <v>7761</v>
      </c>
    </row>
    <row r="332" spans="1:25" x14ac:dyDescent="0.3">
      <c r="A332">
        <v>16550</v>
      </c>
      <c r="B332" t="s">
        <v>7762</v>
      </c>
      <c r="C332" t="s">
        <v>7763</v>
      </c>
      <c r="D332" t="s">
        <v>7764</v>
      </c>
      <c r="E332" t="s">
        <v>7765</v>
      </c>
      <c r="F332" t="s">
        <v>7766</v>
      </c>
      <c r="G332" t="s">
        <v>7767</v>
      </c>
      <c r="H332" t="s">
        <v>7768</v>
      </c>
      <c r="I332" t="s">
        <v>7769</v>
      </c>
      <c r="J332" t="s">
        <v>7770</v>
      </c>
      <c r="K332" t="s">
        <v>7771</v>
      </c>
      <c r="L332" t="s">
        <v>7772</v>
      </c>
      <c r="M332" t="s">
        <v>7773</v>
      </c>
      <c r="N332" t="s">
        <v>7774</v>
      </c>
      <c r="O332" t="s">
        <v>7775</v>
      </c>
      <c r="P332" t="s">
        <v>7776</v>
      </c>
      <c r="Q332" t="s">
        <v>7777</v>
      </c>
      <c r="R332" t="s">
        <v>7778</v>
      </c>
      <c r="S332" t="s">
        <v>7779</v>
      </c>
      <c r="T332" t="s">
        <v>7780</v>
      </c>
      <c r="U332" t="s">
        <v>7781</v>
      </c>
      <c r="V332" t="s">
        <v>7782</v>
      </c>
      <c r="W332" t="s">
        <v>7783</v>
      </c>
      <c r="X332" t="s">
        <v>7784</v>
      </c>
      <c r="Y332" t="s">
        <v>7785</v>
      </c>
    </row>
    <row r="333" spans="1:25" x14ac:dyDescent="0.3">
      <c r="A333">
        <v>16600</v>
      </c>
      <c r="B333" t="s">
        <v>7786</v>
      </c>
      <c r="C333" t="s">
        <v>7787</v>
      </c>
      <c r="D333" t="s">
        <v>7788</v>
      </c>
      <c r="E333" t="s">
        <v>7789</v>
      </c>
      <c r="F333" t="s">
        <v>7790</v>
      </c>
      <c r="G333" t="s">
        <v>7791</v>
      </c>
      <c r="H333" t="s">
        <v>7792</v>
      </c>
      <c r="I333" t="s">
        <v>7793</v>
      </c>
      <c r="J333" t="s">
        <v>7794</v>
      </c>
      <c r="K333" t="s">
        <v>7795</v>
      </c>
      <c r="L333" t="s">
        <v>7796</v>
      </c>
      <c r="M333" t="s">
        <v>7797</v>
      </c>
      <c r="N333" t="s">
        <v>7798</v>
      </c>
      <c r="O333" t="s">
        <v>7799</v>
      </c>
      <c r="P333" t="s">
        <v>7800</v>
      </c>
      <c r="Q333" t="s">
        <v>7801</v>
      </c>
      <c r="R333" t="s">
        <v>7802</v>
      </c>
      <c r="S333" t="s">
        <v>7803</v>
      </c>
      <c r="T333" t="s">
        <v>7804</v>
      </c>
      <c r="U333" t="s">
        <v>7805</v>
      </c>
      <c r="V333" t="s">
        <v>7806</v>
      </c>
      <c r="W333" t="s">
        <v>7807</v>
      </c>
      <c r="X333" t="s">
        <v>7808</v>
      </c>
      <c r="Y333" t="s">
        <v>7809</v>
      </c>
    </row>
    <row r="334" spans="1:25" x14ac:dyDescent="0.3">
      <c r="A334">
        <v>16650</v>
      </c>
      <c r="B334" t="s">
        <v>7810</v>
      </c>
      <c r="C334" t="s">
        <v>7811</v>
      </c>
      <c r="D334" t="s">
        <v>7812</v>
      </c>
      <c r="E334" t="s">
        <v>7813</v>
      </c>
      <c r="F334" t="s">
        <v>7814</v>
      </c>
      <c r="G334" t="s">
        <v>7815</v>
      </c>
      <c r="H334" t="s">
        <v>7816</v>
      </c>
      <c r="I334" t="s">
        <v>7817</v>
      </c>
      <c r="J334" t="s">
        <v>7818</v>
      </c>
      <c r="K334" t="s">
        <v>7819</v>
      </c>
      <c r="L334" t="s">
        <v>7820</v>
      </c>
      <c r="M334" t="s">
        <v>7821</v>
      </c>
      <c r="N334" t="s">
        <v>7822</v>
      </c>
      <c r="O334" t="s">
        <v>7823</v>
      </c>
      <c r="P334" t="s">
        <v>7824</v>
      </c>
      <c r="Q334" t="s">
        <v>7825</v>
      </c>
      <c r="R334" t="s">
        <v>7826</v>
      </c>
      <c r="S334" t="s">
        <v>7827</v>
      </c>
      <c r="T334" t="s">
        <v>7828</v>
      </c>
      <c r="U334" t="s">
        <v>7829</v>
      </c>
      <c r="V334" t="s">
        <v>7830</v>
      </c>
      <c r="W334" t="s">
        <v>7831</v>
      </c>
      <c r="X334" t="s">
        <v>7832</v>
      </c>
      <c r="Y334" t="s">
        <v>7833</v>
      </c>
    </row>
    <row r="335" spans="1:25" x14ac:dyDescent="0.3">
      <c r="A335">
        <v>16700</v>
      </c>
      <c r="B335" t="s">
        <v>7834</v>
      </c>
      <c r="C335" t="s">
        <v>7835</v>
      </c>
      <c r="D335" t="s">
        <v>7836</v>
      </c>
      <c r="E335" t="s">
        <v>7837</v>
      </c>
      <c r="F335" t="s">
        <v>7838</v>
      </c>
      <c r="G335" t="s">
        <v>7839</v>
      </c>
      <c r="H335" t="s">
        <v>7840</v>
      </c>
      <c r="I335" t="s">
        <v>7841</v>
      </c>
      <c r="J335" t="s">
        <v>7842</v>
      </c>
      <c r="K335" t="s">
        <v>7843</v>
      </c>
      <c r="L335" t="s">
        <v>7844</v>
      </c>
      <c r="M335" t="s">
        <v>7845</v>
      </c>
      <c r="N335" t="s">
        <v>7846</v>
      </c>
      <c r="O335" t="s">
        <v>7847</v>
      </c>
      <c r="P335" t="s">
        <v>7848</v>
      </c>
      <c r="Q335" t="s">
        <v>7849</v>
      </c>
      <c r="R335" t="s">
        <v>7850</v>
      </c>
      <c r="S335" t="s">
        <v>7851</v>
      </c>
      <c r="T335" t="s">
        <v>7852</v>
      </c>
      <c r="U335" t="s">
        <v>7853</v>
      </c>
      <c r="V335" t="s">
        <v>7854</v>
      </c>
      <c r="W335" t="s">
        <v>7855</v>
      </c>
      <c r="X335" t="s">
        <v>7856</v>
      </c>
      <c r="Y335" t="s">
        <v>7857</v>
      </c>
    </row>
    <row r="336" spans="1:25" x14ac:dyDescent="0.3">
      <c r="A336">
        <v>16750</v>
      </c>
      <c r="B336" t="s">
        <v>7858</v>
      </c>
      <c r="C336" t="s">
        <v>7859</v>
      </c>
      <c r="D336" t="s">
        <v>7860</v>
      </c>
      <c r="E336" t="s">
        <v>7861</v>
      </c>
      <c r="F336" t="s">
        <v>7862</v>
      </c>
      <c r="G336" t="s">
        <v>7863</v>
      </c>
      <c r="H336" t="s">
        <v>7864</v>
      </c>
      <c r="I336" t="s">
        <v>7865</v>
      </c>
      <c r="J336" t="s">
        <v>7866</v>
      </c>
      <c r="K336" t="s">
        <v>7867</v>
      </c>
      <c r="L336" t="s">
        <v>7868</v>
      </c>
      <c r="M336" t="s">
        <v>7869</v>
      </c>
      <c r="N336" t="s">
        <v>7870</v>
      </c>
      <c r="O336" t="s">
        <v>7871</v>
      </c>
      <c r="P336" t="s">
        <v>7872</v>
      </c>
      <c r="Q336" t="s">
        <v>7873</v>
      </c>
      <c r="R336" t="s">
        <v>7874</v>
      </c>
      <c r="S336" t="s">
        <v>7875</v>
      </c>
      <c r="T336" t="s">
        <v>7876</v>
      </c>
      <c r="U336" t="s">
        <v>7877</v>
      </c>
      <c r="V336" t="s">
        <v>7878</v>
      </c>
      <c r="W336" t="s">
        <v>7879</v>
      </c>
      <c r="X336" t="s">
        <v>7880</v>
      </c>
      <c r="Y336" t="s">
        <v>7881</v>
      </c>
    </row>
    <row r="337" spans="1:25" x14ac:dyDescent="0.3">
      <c r="A337">
        <v>16800</v>
      </c>
      <c r="B337" t="s">
        <v>7882</v>
      </c>
      <c r="C337" t="s">
        <v>7883</v>
      </c>
      <c r="D337" t="s">
        <v>7884</v>
      </c>
      <c r="E337" t="s">
        <v>7885</v>
      </c>
      <c r="F337" t="s">
        <v>7886</v>
      </c>
      <c r="G337" t="s">
        <v>7887</v>
      </c>
      <c r="H337" t="s">
        <v>7888</v>
      </c>
      <c r="I337" t="s">
        <v>7889</v>
      </c>
      <c r="J337" t="s">
        <v>7890</v>
      </c>
      <c r="K337" t="s">
        <v>7891</v>
      </c>
      <c r="L337" t="s">
        <v>7892</v>
      </c>
      <c r="M337" t="s">
        <v>7893</v>
      </c>
      <c r="N337" t="s">
        <v>7894</v>
      </c>
      <c r="O337" t="s">
        <v>7895</v>
      </c>
      <c r="P337" t="s">
        <v>7896</v>
      </c>
      <c r="Q337" t="s">
        <v>7897</v>
      </c>
      <c r="R337" t="s">
        <v>7898</v>
      </c>
      <c r="S337" t="s">
        <v>7899</v>
      </c>
      <c r="T337" t="s">
        <v>7900</v>
      </c>
      <c r="U337" t="s">
        <v>7901</v>
      </c>
      <c r="V337" t="s">
        <v>7902</v>
      </c>
      <c r="W337" t="s">
        <v>7903</v>
      </c>
      <c r="X337" t="s">
        <v>7904</v>
      </c>
      <c r="Y337" t="s">
        <v>7905</v>
      </c>
    </row>
    <row r="338" spans="1:25" x14ac:dyDescent="0.3">
      <c r="A338">
        <v>16850</v>
      </c>
      <c r="B338" t="s">
        <v>7906</v>
      </c>
      <c r="C338" t="s">
        <v>7907</v>
      </c>
      <c r="D338" t="s">
        <v>7908</v>
      </c>
      <c r="E338" t="s">
        <v>7909</v>
      </c>
      <c r="F338" t="s">
        <v>7910</v>
      </c>
      <c r="G338" t="s">
        <v>7911</v>
      </c>
      <c r="H338" t="s">
        <v>7912</v>
      </c>
      <c r="I338" t="s">
        <v>7913</v>
      </c>
      <c r="J338" t="s">
        <v>7914</v>
      </c>
      <c r="K338" t="s">
        <v>7915</v>
      </c>
      <c r="L338" t="s">
        <v>7916</v>
      </c>
      <c r="M338" t="s">
        <v>7917</v>
      </c>
      <c r="N338" t="s">
        <v>7918</v>
      </c>
      <c r="O338" t="s">
        <v>7919</v>
      </c>
      <c r="P338" t="s">
        <v>7920</v>
      </c>
      <c r="Q338" t="s">
        <v>7921</v>
      </c>
      <c r="R338" t="s">
        <v>7922</v>
      </c>
      <c r="S338" t="s">
        <v>7923</v>
      </c>
      <c r="T338" t="s">
        <v>7924</v>
      </c>
      <c r="U338" t="s">
        <v>7925</v>
      </c>
      <c r="V338" t="s">
        <v>7926</v>
      </c>
      <c r="W338" t="s">
        <v>7927</v>
      </c>
      <c r="X338" t="s">
        <v>7928</v>
      </c>
      <c r="Y338" t="s">
        <v>7929</v>
      </c>
    </row>
    <row r="339" spans="1:25" x14ac:dyDescent="0.3">
      <c r="A339">
        <v>16900</v>
      </c>
      <c r="B339" t="s">
        <v>7930</v>
      </c>
      <c r="C339" t="s">
        <v>7931</v>
      </c>
      <c r="D339" t="s">
        <v>7932</v>
      </c>
      <c r="E339" t="s">
        <v>7933</v>
      </c>
      <c r="F339" t="s">
        <v>7934</v>
      </c>
      <c r="G339" t="s">
        <v>7935</v>
      </c>
      <c r="H339" t="s">
        <v>7936</v>
      </c>
      <c r="I339" t="s">
        <v>7937</v>
      </c>
      <c r="J339" t="s">
        <v>7938</v>
      </c>
      <c r="K339" t="s">
        <v>7939</v>
      </c>
      <c r="L339" t="s">
        <v>7940</v>
      </c>
      <c r="M339" t="s">
        <v>7941</v>
      </c>
      <c r="N339" t="s">
        <v>7942</v>
      </c>
      <c r="O339" t="s">
        <v>7943</v>
      </c>
      <c r="P339" t="s">
        <v>7944</v>
      </c>
      <c r="Q339" t="s">
        <v>7945</v>
      </c>
      <c r="R339" t="s">
        <v>7946</v>
      </c>
      <c r="S339" t="s">
        <v>7947</v>
      </c>
      <c r="T339" t="s">
        <v>7948</v>
      </c>
      <c r="U339" t="s">
        <v>7949</v>
      </c>
      <c r="V339" t="s">
        <v>7950</v>
      </c>
      <c r="W339" t="s">
        <v>7951</v>
      </c>
      <c r="X339" t="s">
        <v>7952</v>
      </c>
      <c r="Y339" t="s">
        <v>7953</v>
      </c>
    </row>
    <row r="340" spans="1:25" x14ac:dyDescent="0.3">
      <c r="A340">
        <v>16950</v>
      </c>
      <c r="B340" t="s">
        <v>7954</v>
      </c>
      <c r="C340" t="s">
        <v>7955</v>
      </c>
      <c r="D340" t="s">
        <v>7956</v>
      </c>
      <c r="E340" t="s">
        <v>7957</v>
      </c>
      <c r="F340" t="s">
        <v>7958</v>
      </c>
      <c r="G340" t="s">
        <v>7959</v>
      </c>
      <c r="H340" t="s">
        <v>7960</v>
      </c>
      <c r="I340" t="s">
        <v>7961</v>
      </c>
      <c r="J340" t="s">
        <v>7962</v>
      </c>
      <c r="K340" t="s">
        <v>7963</v>
      </c>
      <c r="L340" t="s">
        <v>7964</v>
      </c>
      <c r="M340" t="s">
        <v>7965</v>
      </c>
      <c r="N340" t="s">
        <v>7966</v>
      </c>
      <c r="O340" t="s">
        <v>7967</v>
      </c>
      <c r="P340" t="s">
        <v>7968</v>
      </c>
      <c r="Q340" t="s">
        <v>7969</v>
      </c>
      <c r="R340" t="s">
        <v>7970</v>
      </c>
      <c r="S340" t="s">
        <v>7971</v>
      </c>
      <c r="T340" t="s">
        <v>7972</v>
      </c>
      <c r="U340" t="s">
        <v>7973</v>
      </c>
      <c r="V340" t="s">
        <v>7974</v>
      </c>
      <c r="W340" t="s">
        <v>7975</v>
      </c>
      <c r="X340" t="s">
        <v>7976</v>
      </c>
      <c r="Y340" t="s">
        <v>7977</v>
      </c>
    </row>
    <row r="341" spans="1:25" x14ac:dyDescent="0.3">
      <c r="A341">
        <v>17000</v>
      </c>
      <c r="B341" t="s">
        <v>7978</v>
      </c>
      <c r="C341" t="s">
        <v>7979</v>
      </c>
      <c r="D341" t="s">
        <v>7980</v>
      </c>
      <c r="E341" t="s">
        <v>7981</v>
      </c>
      <c r="F341" t="s">
        <v>7982</v>
      </c>
      <c r="G341" t="s">
        <v>7983</v>
      </c>
      <c r="H341" t="s">
        <v>7984</v>
      </c>
      <c r="I341" t="s">
        <v>7985</v>
      </c>
      <c r="J341" t="s">
        <v>7986</v>
      </c>
      <c r="K341" t="s">
        <v>7987</v>
      </c>
      <c r="L341" t="s">
        <v>7988</v>
      </c>
      <c r="M341" t="s">
        <v>7989</v>
      </c>
      <c r="N341" t="s">
        <v>7990</v>
      </c>
      <c r="O341" t="s">
        <v>7991</v>
      </c>
      <c r="P341" t="s">
        <v>7992</v>
      </c>
      <c r="Q341" t="s">
        <v>7993</v>
      </c>
      <c r="R341" t="s">
        <v>7994</v>
      </c>
      <c r="S341" t="s">
        <v>7995</v>
      </c>
      <c r="T341" t="s">
        <v>7996</v>
      </c>
      <c r="U341" t="s">
        <v>7997</v>
      </c>
      <c r="V341" t="s">
        <v>7998</v>
      </c>
      <c r="W341" t="s">
        <v>7999</v>
      </c>
      <c r="X341" t="s">
        <v>8000</v>
      </c>
      <c r="Y341" t="s">
        <v>8001</v>
      </c>
    </row>
    <row r="342" spans="1:25" x14ac:dyDescent="0.3">
      <c r="A342">
        <v>17050</v>
      </c>
      <c r="B342" t="s">
        <v>8002</v>
      </c>
      <c r="C342" t="s">
        <v>8003</v>
      </c>
      <c r="D342" t="s">
        <v>8004</v>
      </c>
      <c r="E342" t="s">
        <v>8005</v>
      </c>
      <c r="F342" t="s">
        <v>8006</v>
      </c>
      <c r="G342" t="s">
        <v>8007</v>
      </c>
      <c r="H342" t="s">
        <v>8008</v>
      </c>
      <c r="I342" t="s">
        <v>8009</v>
      </c>
      <c r="J342" t="s">
        <v>8010</v>
      </c>
      <c r="K342" t="s">
        <v>8011</v>
      </c>
      <c r="L342" t="s">
        <v>8012</v>
      </c>
      <c r="M342" t="s">
        <v>8013</v>
      </c>
      <c r="N342" t="s">
        <v>8014</v>
      </c>
      <c r="O342" t="s">
        <v>8015</v>
      </c>
      <c r="P342" t="s">
        <v>8016</v>
      </c>
      <c r="Q342" t="s">
        <v>8017</v>
      </c>
      <c r="R342" t="s">
        <v>8018</v>
      </c>
      <c r="S342" t="s">
        <v>8019</v>
      </c>
      <c r="T342" t="s">
        <v>8020</v>
      </c>
      <c r="U342" t="s">
        <v>8021</v>
      </c>
      <c r="V342" t="s">
        <v>8022</v>
      </c>
      <c r="W342" t="s">
        <v>8023</v>
      </c>
      <c r="X342" t="s">
        <v>8024</v>
      </c>
      <c r="Y342" t="s">
        <v>8025</v>
      </c>
    </row>
    <row r="343" spans="1:25" x14ac:dyDescent="0.3">
      <c r="A343">
        <v>17100</v>
      </c>
      <c r="B343" t="s">
        <v>8026</v>
      </c>
      <c r="C343" t="s">
        <v>8027</v>
      </c>
      <c r="D343" t="s">
        <v>8028</v>
      </c>
      <c r="E343" t="s">
        <v>8029</v>
      </c>
      <c r="F343" t="s">
        <v>8030</v>
      </c>
      <c r="G343" t="s">
        <v>8031</v>
      </c>
      <c r="H343" t="s">
        <v>8032</v>
      </c>
      <c r="I343" t="s">
        <v>8033</v>
      </c>
      <c r="J343" t="s">
        <v>8034</v>
      </c>
      <c r="K343" t="s">
        <v>8035</v>
      </c>
      <c r="L343" t="s">
        <v>8036</v>
      </c>
      <c r="M343" t="s">
        <v>8037</v>
      </c>
      <c r="N343" t="s">
        <v>8038</v>
      </c>
      <c r="O343" t="s">
        <v>8039</v>
      </c>
      <c r="P343" t="s">
        <v>8040</v>
      </c>
      <c r="Q343" t="s">
        <v>8041</v>
      </c>
      <c r="R343" t="s">
        <v>8042</v>
      </c>
      <c r="S343" t="s">
        <v>8043</v>
      </c>
      <c r="T343" t="s">
        <v>8044</v>
      </c>
      <c r="U343" t="s">
        <v>8045</v>
      </c>
      <c r="V343" t="s">
        <v>8046</v>
      </c>
      <c r="W343" t="s">
        <v>8047</v>
      </c>
      <c r="X343" t="s">
        <v>8048</v>
      </c>
      <c r="Y343" t="s">
        <v>8049</v>
      </c>
    </row>
    <row r="344" spans="1:25" x14ac:dyDescent="0.3">
      <c r="A344">
        <v>17150</v>
      </c>
      <c r="B344" t="s">
        <v>8050</v>
      </c>
      <c r="C344" t="s">
        <v>8051</v>
      </c>
      <c r="D344" t="s">
        <v>8052</v>
      </c>
      <c r="E344" t="s">
        <v>8053</v>
      </c>
      <c r="F344" t="s">
        <v>8054</v>
      </c>
      <c r="G344" t="s">
        <v>8055</v>
      </c>
      <c r="H344" t="s">
        <v>8056</v>
      </c>
      <c r="I344" t="s">
        <v>8057</v>
      </c>
      <c r="J344" t="s">
        <v>8058</v>
      </c>
      <c r="K344" t="s">
        <v>8059</v>
      </c>
      <c r="L344" t="s">
        <v>8060</v>
      </c>
      <c r="M344" t="s">
        <v>8061</v>
      </c>
      <c r="N344" t="s">
        <v>8062</v>
      </c>
      <c r="O344" t="s">
        <v>8063</v>
      </c>
      <c r="P344" t="s">
        <v>8064</v>
      </c>
      <c r="Q344" t="s">
        <v>8065</v>
      </c>
      <c r="R344" t="s">
        <v>8066</v>
      </c>
      <c r="S344" t="s">
        <v>8067</v>
      </c>
      <c r="T344" t="s">
        <v>8068</v>
      </c>
      <c r="U344" t="s">
        <v>8069</v>
      </c>
      <c r="V344" t="s">
        <v>8070</v>
      </c>
      <c r="W344" t="s">
        <v>8071</v>
      </c>
      <c r="X344" t="s">
        <v>8072</v>
      </c>
      <c r="Y344" t="s">
        <v>8073</v>
      </c>
    </row>
    <row r="345" spans="1:25" x14ac:dyDescent="0.3">
      <c r="A345">
        <v>17200</v>
      </c>
      <c r="B345" t="s">
        <v>8074</v>
      </c>
      <c r="C345" t="s">
        <v>8075</v>
      </c>
      <c r="D345" t="s">
        <v>8076</v>
      </c>
      <c r="E345" t="s">
        <v>8077</v>
      </c>
      <c r="F345" t="s">
        <v>8078</v>
      </c>
      <c r="G345" t="s">
        <v>8079</v>
      </c>
      <c r="H345" t="s">
        <v>8080</v>
      </c>
      <c r="I345" t="s">
        <v>8081</v>
      </c>
      <c r="J345" t="s">
        <v>8082</v>
      </c>
      <c r="K345" t="s">
        <v>8083</v>
      </c>
      <c r="L345" t="s">
        <v>8084</v>
      </c>
      <c r="M345" t="s">
        <v>8085</v>
      </c>
      <c r="N345" t="s">
        <v>8086</v>
      </c>
      <c r="O345" t="s">
        <v>8087</v>
      </c>
      <c r="P345" t="s">
        <v>8088</v>
      </c>
      <c r="Q345" t="s">
        <v>8089</v>
      </c>
      <c r="R345" t="s">
        <v>8090</v>
      </c>
      <c r="S345" t="s">
        <v>8091</v>
      </c>
      <c r="T345" t="s">
        <v>8092</v>
      </c>
      <c r="U345" t="s">
        <v>8093</v>
      </c>
      <c r="V345" t="s">
        <v>8094</v>
      </c>
      <c r="W345" t="s">
        <v>8095</v>
      </c>
      <c r="X345" t="s">
        <v>8096</v>
      </c>
      <c r="Y345" t="s">
        <v>8097</v>
      </c>
    </row>
    <row r="346" spans="1:25" x14ac:dyDescent="0.3">
      <c r="A346">
        <v>17250</v>
      </c>
      <c r="B346" t="s">
        <v>8098</v>
      </c>
      <c r="C346" t="s">
        <v>8099</v>
      </c>
      <c r="D346" t="s">
        <v>8100</v>
      </c>
      <c r="E346" t="s">
        <v>8101</v>
      </c>
      <c r="F346" t="s">
        <v>8102</v>
      </c>
      <c r="G346" t="s">
        <v>8103</v>
      </c>
      <c r="H346" t="s">
        <v>8104</v>
      </c>
      <c r="I346" t="s">
        <v>8105</v>
      </c>
      <c r="J346" t="s">
        <v>8106</v>
      </c>
      <c r="K346" t="s">
        <v>8107</v>
      </c>
      <c r="L346" t="s">
        <v>8108</v>
      </c>
      <c r="M346" t="s">
        <v>8109</v>
      </c>
      <c r="N346" t="s">
        <v>8110</v>
      </c>
      <c r="O346" t="s">
        <v>8111</v>
      </c>
      <c r="P346" t="s">
        <v>8112</v>
      </c>
      <c r="Q346" t="s">
        <v>8113</v>
      </c>
      <c r="R346" t="s">
        <v>8114</v>
      </c>
      <c r="S346" t="s">
        <v>8115</v>
      </c>
      <c r="T346" t="s">
        <v>8116</v>
      </c>
      <c r="U346" t="s">
        <v>8117</v>
      </c>
      <c r="V346" t="s">
        <v>8118</v>
      </c>
      <c r="W346" t="s">
        <v>8119</v>
      </c>
      <c r="X346" t="s">
        <v>8120</v>
      </c>
      <c r="Y346" t="s">
        <v>8121</v>
      </c>
    </row>
    <row r="347" spans="1:25" x14ac:dyDescent="0.3">
      <c r="A347">
        <v>17300</v>
      </c>
      <c r="B347" t="s">
        <v>8122</v>
      </c>
      <c r="C347" t="s">
        <v>8123</v>
      </c>
      <c r="D347" t="s">
        <v>8124</v>
      </c>
      <c r="E347" t="s">
        <v>8125</v>
      </c>
      <c r="F347" t="s">
        <v>8126</v>
      </c>
      <c r="G347" t="s">
        <v>8127</v>
      </c>
      <c r="H347" t="s">
        <v>8128</v>
      </c>
      <c r="I347" t="s">
        <v>8129</v>
      </c>
      <c r="J347" t="s">
        <v>8130</v>
      </c>
      <c r="K347" t="s">
        <v>8131</v>
      </c>
      <c r="L347" t="s">
        <v>8132</v>
      </c>
      <c r="M347" t="s">
        <v>8133</v>
      </c>
      <c r="N347" t="s">
        <v>8134</v>
      </c>
      <c r="O347" t="s">
        <v>8135</v>
      </c>
      <c r="P347" t="s">
        <v>8136</v>
      </c>
      <c r="Q347" t="s">
        <v>8137</v>
      </c>
      <c r="R347" t="s">
        <v>8138</v>
      </c>
      <c r="S347" t="s">
        <v>8139</v>
      </c>
      <c r="T347" t="s">
        <v>8140</v>
      </c>
      <c r="U347" t="s">
        <v>8141</v>
      </c>
      <c r="V347" t="s">
        <v>8142</v>
      </c>
      <c r="W347" t="s">
        <v>8143</v>
      </c>
      <c r="X347" t="s">
        <v>8144</v>
      </c>
      <c r="Y347" t="s">
        <v>8145</v>
      </c>
    </row>
    <row r="348" spans="1:25" x14ac:dyDescent="0.3">
      <c r="A348">
        <v>17350</v>
      </c>
      <c r="B348" t="s">
        <v>8146</v>
      </c>
      <c r="C348" t="s">
        <v>8147</v>
      </c>
      <c r="D348" t="s">
        <v>8148</v>
      </c>
      <c r="E348" t="s">
        <v>8149</v>
      </c>
      <c r="F348" t="s">
        <v>8150</v>
      </c>
      <c r="G348" t="s">
        <v>8151</v>
      </c>
      <c r="H348" t="s">
        <v>8152</v>
      </c>
      <c r="I348" t="s">
        <v>8153</v>
      </c>
      <c r="J348" t="s">
        <v>8154</v>
      </c>
      <c r="K348" t="s">
        <v>8155</v>
      </c>
      <c r="L348" t="s">
        <v>8156</v>
      </c>
      <c r="M348" t="s">
        <v>8157</v>
      </c>
      <c r="N348" t="s">
        <v>8158</v>
      </c>
      <c r="O348" t="s">
        <v>8159</v>
      </c>
      <c r="P348" t="s">
        <v>8160</v>
      </c>
      <c r="Q348" t="s">
        <v>8161</v>
      </c>
      <c r="R348" t="s">
        <v>8162</v>
      </c>
      <c r="S348" t="s">
        <v>8163</v>
      </c>
      <c r="T348" t="s">
        <v>8164</v>
      </c>
      <c r="U348" t="s">
        <v>8165</v>
      </c>
      <c r="V348" t="s">
        <v>8166</v>
      </c>
      <c r="W348" t="s">
        <v>8167</v>
      </c>
      <c r="X348" t="s">
        <v>8168</v>
      </c>
      <c r="Y348" t="s">
        <v>8169</v>
      </c>
    </row>
    <row r="349" spans="1:25" x14ac:dyDescent="0.3">
      <c r="A349">
        <v>17400</v>
      </c>
      <c r="B349" t="s">
        <v>8170</v>
      </c>
      <c r="C349" t="s">
        <v>8171</v>
      </c>
      <c r="D349" t="s">
        <v>8172</v>
      </c>
      <c r="E349" t="s">
        <v>8173</v>
      </c>
      <c r="F349" t="s">
        <v>8174</v>
      </c>
      <c r="G349" t="s">
        <v>8175</v>
      </c>
      <c r="H349" t="s">
        <v>8176</v>
      </c>
      <c r="I349" t="s">
        <v>8177</v>
      </c>
      <c r="J349" t="s">
        <v>8178</v>
      </c>
      <c r="K349" t="s">
        <v>8179</v>
      </c>
      <c r="L349" t="s">
        <v>8180</v>
      </c>
      <c r="M349" t="s">
        <v>8181</v>
      </c>
      <c r="N349" t="s">
        <v>8182</v>
      </c>
      <c r="O349" t="s">
        <v>8183</v>
      </c>
      <c r="P349" t="s">
        <v>8184</v>
      </c>
      <c r="Q349" t="s">
        <v>8185</v>
      </c>
      <c r="R349" t="s">
        <v>8186</v>
      </c>
      <c r="S349" t="s">
        <v>8187</v>
      </c>
      <c r="T349" t="s">
        <v>8188</v>
      </c>
      <c r="U349" t="s">
        <v>8189</v>
      </c>
      <c r="V349" t="s">
        <v>8190</v>
      </c>
      <c r="W349" t="s">
        <v>8191</v>
      </c>
      <c r="X349" t="s">
        <v>8192</v>
      </c>
      <c r="Y349" t="s">
        <v>8193</v>
      </c>
    </row>
    <row r="350" spans="1:25" x14ac:dyDescent="0.3">
      <c r="A350">
        <v>17450</v>
      </c>
      <c r="B350" t="s">
        <v>8194</v>
      </c>
      <c r="C350" t="s">
        <v>8195</v>
      </c>
      <c r="D350" t="s">
        <v>8196</v>
      </c>
      <c r="E350" t="s">
        <v>8197</v>
      </c>
      <c r="F350" t="s">
        <v>8198</v>
      </c>
      <c r="G350" t="s">
        <v>8199</v>
      </c>
      <c r="H350" t="s">
        <v>8200</v>
      </c>
      <c r="I350" t="s">
        <v>8201</v>
      </c>
      <c r="J350" t="s">
        <v>8202</v>
      </c>
      <c r="K350" t="s">
        <v>8203</v>
      </c>
      <c r="L350" t="s">
        <v>8204</v>
      </c>
      <c r="M350" t="s">
        <v>8205</v>
      </c>
      <c r="N350" t="s">
        <v>8206</v>
      </c>
      <c r="O350" t="s">
        <v>8207</v>
      </c>
      <c r="P350" t="s">
        <v>8208</v>
      </c>
      <c r="Q350" t="s">
        <v>8209</v>
      </c>
      <c r="R350" t="s">
        <v>8210</v>
      </c>
      <c r="S350" t="s">
        <v>8211</v>
      </c>
      <c r="T350" t="s">
        <v>8212</v>
      </c>
      <c r="U350" t="s">
        <v>8213</v>
      </c>
      <c r="V350" t="s">
        <v>8214</v>
      </c>
      <c r="W350" t="s">
        <v>8215</v>
      </c>
      <c r="X350" t="s">
        <v>8216</v>
      </c>
      <c r="Y350" t="s">
        <v>8217</v>
      </c>
    </row>
    <row r="351" spans="1:25" x14ac:dyDescent="0.3">
      <c r="A351">
        <v>17500</v>
      </c>
      <c r="B351" t="s">
        <v>8218</v>
      </c>
      <c r="C351" t="s">
        <v>8219</v>
      </c>
      <c r="D351" t="s">
        <v>8220</v>
      </c>
      <c r="E351" t="s">
        <v>8221</v>
      </c>
      <c r="F351" t="s">
        <v>8222</v>
      </c>
      <c r="G351" t="s">
        <v>8223</v>
      </c>
      <c r="H351" t="s">
        <v>8224</v>
      </c>
      <c r="I351" t="s">
        <v>8225</v>
      </c>
      <c r="J351" t="s">
        <v>8226</v>
      </c>
      <c r="K351" t="s">
        <v>8227</v>
      </c>
      <c r="L351" t="s">
        <v>8228</v>
      </c>
      <c r="M351" t="s">
        <v>8229</v>
      </c>
      <c r="N351" t="s">
        <v>8230</v>
      </c>
      <c r="O351" t="s">
        <v>8231</v>
      </c>
      <c r="P351" t="s">
        <v>8232</v>
      </c>
      <c r="Q351" t="s">
        <v>8233</v>
      </c>
      <c r="R351" t="s">
        <v>8234</v>
      </c>
      <c r="S351" t="s">
        <v>8235</v>
      </c>
      <c r="T351" t="s">
        <v>8236</v>
      </c>
      <c r="U351" t="s">
        <v>8237</v>
      </c>
      <c r="V351" t="s">
        <v>8238</v>
      </c>
      <c r="W351" t="s">
        <v>8239</v>
      </c>
      <c r="X351" t="s">
        <v>8240</v>
      </c>
      <c r="Y351" t="s">
        <v>8241</v>
      </c>
    </row>
    <row r="352" spans="1:25" x14ac:dyDescent="0.3">
      <c r="A352">
        <v>17550</v>
      </c>
      <c r="B352" t="s">
        <v>8242</v>
      </c>
      <c r="C352" t="s">
        <v>8243</v>
      </c>
      <c r="D352" t="s">
        <v>8244</v>
      </c>
      <c r="E352" t="s">
        <v>8245</v>
      </c>
      <c r="F352" t="s">
        <v>8246</v>
      </c>
      <c r="G352" t="s">
        <v>8247</v>
      </c>
      <c r="H352" t="s">
        <v>8248</v>
      </c>
      <c r="I352" t="s">
        <v>8249</v>
      </c>
      <c r="J352" t="s">
        <v>8250</v>
      </c>
      <c r="K352" t="s">
        <v>8251</v>
      </c>
      <c r="L352" t="s">
        <v>8252</v>
      </c>
      <c r="M352" t="s">
        <v>8253</v>
      </c>
      <c r="N352" t="s">
        <v>8254</v>
      </c>
      <c r="O352" t="s">
        <v>8255</v>
      </c>
      <c r="P352" t="s">
        <v>8256</v>
      </c>
      <c r="Q352" t="s">
        <v>8257</v>
      </c>
      <c r="R352" t="s">
        <v>8258</v>
      </c>
      <c r="S352" t="s">
        <v>8259</v>
      </c>
      <c r="T352" t="s">
        <v>8260</v>
      </c>
      <c r="U352" t="s">
        <v>8261</v>
      </c>
      <c r="V352" t="s">
        <v>8262</v>
      </c>
      <c r="W352" t="s">
        <v>8263</v>
      </c>
      <c r="X352" t="s">
        <v>8264</v>
      </c>
      <c r="Y352" t="s">
        <v>8265</v>
      </c>
    </row>
    <row r="353" spans="1:25" x14ac:dyDescent="0.3">
      <c r="A353">
        <v>17600</v>
      </c>
      <c r="B353" t="s">
        <v>8266</v>
      </c>
      <c r="C353" t="s">
        <v>8267</v>
      </c>
      <c r="D353" t="s">
        <v>8268</v>
      </c>
      <c r="E353" t="s">
        <v>8269</v>
      </c>
      <c r="F353" t="s">
        <v>8270</v>
      </c>
      <c r="G353" t="s">
        <v>8271</v>
      </c>
      <c r="H353" t="s">
        <v>8272</v>
      </c>
      <c r="I353" t="s">
        <v>8273</v>
      </c>
      <c r="J353" t="s">
        <v>8274</v>
      </c>
      <c r="K353" t="s">
        <v>8275</v>
      </c>
      <c r="L353" t="s">
        <v>8276</v>
      </c>
      <c r="M353" t="s">
        <v>8277</v>
      </c>
      <c r="N353" t="s">
        <v>8278</v>
      </c>
      <c r="O353" t="s">
        <v>8279</v>
      </c>
      <c r="P353" t="s">
        <v>8280</v>
      </c>
      <c r="Q353" t="s">
        <v>8281</v>
      </c>
      <c r="R353" t="s">
        <v>8282</v>
      </c>
      <c r="S353" t="s">
        <v>8283</v>
      </c>
      <c r="T353" t="s">
        <v>8284</v>
      </c>
      <c r="U353" t="s">
        <v>8285</v>
      </c>
      <c r="V353" t="s">
        <v>8286</v>
      </c>
      <c r="W353" t="s">
        <v>8287</v>
      </c>
      <c r="X353" t="s">
        <v>8288</v>
      </c>
      <c r="Y353" t="s">
        <v>8289</v>
      </c>
    </row>
    <row r="354" spans="1:25" x14ac:dyDescent="0.3">
      <c r="A354">
        <v>17650</v>
      </c>
      <c r="B354" t="s">
        <v>8290</v>
      </c>
      <c r="C354" t="s">
        <v>8291</v>
      </c>
      <c r="D354" t="s">
        <v>8292</v>
      </c>
      <c r="E354" t="s">
        <v>8293</v>
      </c>
      <c r="F354" t="s">
        <v>8294</v>
      </c>
      <c r="G354" t="s">
        <v>8295</v>
      </c>
      <c r="H354" t="s">
        <v>8296</v>
      </c>
      <c r="I354" t="s">
        <v>8297</v>
      </c>
      <c r="J354" t="s">
        <v>8298</v>
      </c>
      <c r="K354" t="s">
        <v>8299</v>
      </c>
      <c r="L354" t="s">
        <v>8300</v>
      </c>
      <c r="M354" t="s">
        <v>8301</v>
      </c>
      <c r="N354" t="s">
        <v>8302</v>
      </c>
      <c r="O354" t="s">
        <v>8303</v>
      </c>
      <c r="P354" t="s">
        <v>8304</v>
      </c>
      <c r="Q354" t="s">
        <v>8305</v>
      </c>
      <c r="R354" t="s">
        <v>8306</v>
      </c>
      <c r="S354" t="s">
        <v>8307</v>
      </c>
      <c r="T354" t="s">
        <v>8308</v>
      </c>
      <c r="U354" t="s">
        <v>8309</v>
      </c>
      <c r="V354" t="s">
        <v>8310</v>
      </c>
      <c r="W354" t="s">
        <v>8311</v>
      </c>
      <c r="X354" t="s">
        <v>8312</v>
      </c>
      <c r="Y354" t="s">
        <v>8313</v>
      </c>
    </row>
    <row r="355" spans="1:25" x14ac:dyDescent="0.3">
      <c r="A355">
        <v>17700</v>
      </c>
      <c r="B355" t="s">
        <v>8314</v>
      </c>
      <c r="C355" t="s">
        <v>8315</v>
      </c>
      <c r="D355" t="s">
        <v>8316</v>
      </c>
      <c r="E355" t="s">
        <v>8317</v>
      </c>
      <c r="F355" t="s">
        <v>8318</v>
      </c>
      <c r="G355" t="s">
        <v>8319</v>
      </c>
      <c r="H355" t="s">
        <v>8320</v>
      </c>
      <c r="I355" t="s">
        <v>8321</v>
      </c>
      <c r="J355" t="s">
        <v>8322</v>
      </c>
      <c r="K355" t="s">
        <v>8323</v>
      </c>
      <c r="L355" t="s">
        <v>8324</v>
      </c>
      <c r="M355" t="s">
        <v>8325</v>
      </c>
      <c r="N355" t="s">
        <v>8326</v>
      </c>
      <c r="O355" t="s">
        <v>8327</v>
      </c>
      <c r="P355" t="s">
        <v>8328</v>
      </c>
      <c r="Q355" t="s">
        <v>8329</v>
      </c>
      <c r="R355" t="s">
        <v>8330</v>
      </c>
      <c r="S355" t="s">
        <v>8331</v>
      </c>
      <c r="T355" t="s">
        <v>8332</v>
      </c>
      <c r="U355" t="s">
        <v>8333</v>
      </c>
      <c r="V355" t="s">
        <v>8334</v>
      </c>
      <c r="W355" t="s">
        <v>8335</v>
      </c>
      <c r="X355" t="s">
        <v>8336</v>
      </c>
      <c r="Y355" t="s">
        <v>8337</v>
      </c>
    </row>
    <row r="356" spans="1:25" x14ac:dyDescent="0.3">
      <c r="A356">
        <v>17750</v>
      </c>
      <c r="B356" t="s">
        <v>8338</v>
      </c>
      <c r="C356" t="s">
        <v>8339</v>
      </c>
      <c r="D356" t="s">
        <v>8340</v>
      </c>
      <c r="E356" t="s">
        <v>8341</v>
      </c>
      <c r="F356" t="s">
        <v>8342</v>
      </c>
      <c r="G356" t="s">
        <v>8343</v>
      </c>
      <c r="H356" t="s">
        <v>8344</v>
      </c>
      <c r="I356" t="s">
        <v>8345</v>
      </c>
      <c r="J356" t="s">
        <v>8346</v>
      </c>
      <c r="K356" t="s">
        <v>8347</v>
      </c>
      <c r="L356" t="s">
        <v>8348</v>
      </c>
      <c r="M356" t="s">
        <v>8349</v>
      </c>
      <c r="N356" t="s">
        <v>8350</v>
      </c>
      <c r="O356" t="s">
        <v>8351</v>
      </c>
      <c r="P356" t="s">
        <v>8352</v>
      </c>
      <c r="Q356" t="s">
        <v>8353</v>
      </c>
      <c r="R356" t="s">
        <v>8354</v>
      </c>
      <c r="S356" t="s">
        <v>8355</v>
      </c>
      <c r="T356" t="s">
        <v>8356</v>
      </c>
      <c r="U356" t="s">
        <v>8357</v>
      </c>
      <c r="V356" t="s">
        <v>8358</v>
      </c>
      <c r="W356" t="s">
        <v>8359</v>
      </c>
      <c r="X356" t="s">
        <v>8360</v>
      </c>
      <c r="Y356" t="s">
        <v>8361</v>
      </c>
    </row>
    <row r="357" spans="1:25" x14ac:dyDescent="0.3">
      <c r="A357">
        <v>17800</v>
      </c>
      <c r="B357" t="s">
        <v>8362</v>
      </c>
      <c r="C357" t="s">
        <v>8363</v>
      </c>
      <c r="D357" t="s">
        <v>8364</v>
      </c>
      <c r="E357" t="s">
        <v>8365</v>
      </c>
      <c r="F357" t="s">
        <v>8366</v>
      </c>
      <c r="G357" t="s">
        <v>8367</v>
      </c>
      <c r="H357" t="s">
        <v>8368</v>
      </c>
      <c r="I357" t="s">
        <v>8369</v>
      </c>
      <c r="J357" t="s">
        <v>8370</v>
      </c>
      <c r="K357" t="s">
        <v>8371</v>
      </c>
      <c r="L357" t="s">
        <v>8372</v>
      </c>
      <c r="M357" t="s">
        <v>8373</v>
      </c>
      <c r="N357" t="s">
        <v>8374</v>
      </c>
      <c r="O357" t="s">
        <v>8375</v>
      </c>
      <c r="P357" t="s">
        <v>8376</v>
      </c>
      <c r="Q357" t="s">
        <v>8377</v>
      </c>
      <c r="R357" t="s">
        <v>8378</v>
      </c>
      <c r="S357" t="s">
        <v>8379</v>
      </c>
      <c r="T357" t="s">
        <v>8380</v>
      </c>
      <c r="U357" t="s">
        <v>8381</v>
      </c>
      <c r="V357" t="s">
        <v>8382</v>
      </c>
      <c r="W357" t="s">
        <v>8383</v>
      </c>
      <c r="X357" t="s">
        <v>8384</v>
      </c>
      <c r="Y357" t="s">
        <v>8385</v>
      </c>
    </row>
    <row r="358" spans="1:25" x14ac:dyDescent="0.3">
      <c r="A358">
        <v>17850</v>
      </c>
      <c r="B358" t="s">
        <v>8386</v>
      </c>
      <c r="C358" t="s">
        <v>8387</v>
      </c>
      <c r="D358" t="s">
        <v>8388</v>
      </c>
      <c r="E358" t="s">
        <v>8389</v>
      </c>
      <c r="F358" t="s">
        <v>8390</v>
      </c>
      <c r="G358" t="s">
        <v>8391</v>
      </c>
      <c r="H358" t="s">
        <v>8392</v>
      </c>
      <c r="I358" t="s">
        <v>8393</v>
      </c>
      <c r="J358" t="s">
        <v>8394</v>
      </c>
      <c r="K358" t="s">
        <v>8395</v>
      </c>
      <c r="L358" t="s">
        <v>8396</v>
      </c>
      <c r="M358" t="s">
        <v>8397</v>
      </c>
      <c r="N358" t="s">
        <v>8398</v>
      </c>
      <c r="O358" t="s">
        <v>8399</v>
      </c>
      <c r="P358" t="s">
        <v>8400</v>
      </c>
      <c r="Q358" t="s">
        <v>8401</v>
      </c>
      <c r="R358" t="s">
        <v>8402</v>
      </c>
      <c r="S358" t="s">
        <v>8403</v>
      </c>
      <c r="T358" t="s">
        <v>8404</v>
      </c>
      <c r="U358" t="s">
        <v>8405</v>
      </c>
      <c r="V358" t="s">
        <v>8406</v>
      </c>
      <c r="W358" t="s">
        <v>8407</v>
      </c>
      <c r="X358" t="s">
        <v>8408</v>
      </c>
      <c r="Y358" t="s">
        <v>8409</v>
      </c>
    </row>
    <row r="359" spans="1:25" x14ac:dyDescent="0.3">
      <c r="A359">
        <v>17900</v>
      </c>
      <c r="B359" t="s">
        <v>8410</v>
      </c>
      <c r="C359" t="s">
        <v>8411</v>
      </c>
      <c r="D359" t="s">
        <v>8412</v>
      </c>
      <c r="E359" t="s">
        <v>8413</v>
      </c>
      <c r="F359" t="s">
        <v>8414</v>
      </c>
      <c r="G359" t="s">
        <v>8415</v>
      </c>
      <c r="H359" t="s">
        <v>8416</v>
      </c>
      <c r="I359" t="s">
        <v>8417</v>
      </c>
      <c r="J359" t="s">
        <v>8418</v>
      </c>
      <c r="K359" t="s">
        <v>8419</v>
      </c>
      <c r="L359" t="s">
        <v>8420</v>
      </c>
      <c r="M359" t="s">
        <v>8421</v>
      </c>
      <c r="N359" t="s">
        <v>8422</v>
      </c>
      <c r="O359" t="s">
        <v>8423</v>
      </c>
      <c r="P359" t="s">
        <v>8424</v>
      </c>
      <c r="Q359" t="s">
        <v>8425</v>
      </c>
      <c r="R359" t="s">
        <v>8426</v>
      </c>
      <c r="S359" t="s">
        <v>8427</v>
      </c>
      <c r="T359" t="s">
        <v>8428</v>
      </c>
      <c r="U359" t="s">
        <v>8429</v>
      </c>
      <c r="V359" t="s">
        <v>8430</v>
      </c>
      <c r="W359" t="s">
        <v>8431</v>
      </c>
      <c r="X359" t="s">
        <v>8432</v>
      </c>
      <c r="Y359" t="s">
        <v>8433</v>
      </c>
    </row>
    <row r="360" spans="1:25" x14ac:dyDescent="0.3">
      <c r="A360">
        <v>17950</v>
      </c>
      <c r="B360" t="s">
        <v>8434</v>
      </c>
      <c r="C360" t="s">
        <v>8435</v>
      </c>
      <c r="D360" t="s">
        <v>8436</v>
      </c>
      <c r="E360" t="s">
        <v>8437</v>
      </c>
      <c r="F360" t="s">
        <v>8438</v>
      </c>
      <c r="G360" t="s">
        <v>8439</v>
      </c>
      <c r="H360" t="s">
        <v>8440</v>
      </c>
      <c r="I360" t="s">
        <v>8441</v>
      </c>
      <c r="J360" t="s">
        <v>8442</v>
      </c>
      <c r="K360" t="s">
        <v>8443</v>
      </c>
      <c r="L360" t="s">
        <v>8444</v>
      </c>
      <c r="M360" t="s">
        <v>8445</v>
      </c>
      <c r="N360" t="s">
        <v>8446</v>
      </c>
      <c r="O360" t="s">
        <v>8447</v>
      </c>
      <c r="P360" t="s">
        <v>8448</v>
      </c>
      <c r="Q360" t="s">
        <v>8449</v>
      </c>
      <c r="R360" t="s">
        <v>8450</v>
      </c>
      <c r="S360" t="s">
        <v>8451</v>
      </c>
      <c r="T360" t="s">
        <v>8452</v>
      </c>
      <c r="U360" t="s">
        <v>8453</v>
      </c>
      <c r="V360" t="s">
        <v>8454</v>
      </c>
      <c r="W360" t="s">
        <v>8455</v>
      </c>
      <c r="X360" t="s">
        <v>8456</v>
      </c>
      <c r="Y360" t="s">
        <v>8457</v>
      </c>
    </row>
    <row r="361" spans="1:25" x14ac:dyDescent="0.3">
      <c r="A361">
        <v>18000</v>
      </c>
      <c r="B361" t="s">
        <v>8458</v>
      </c>
      <c r="C361" t="s">
        <v>8459</v>
      </c>
      <c r="D361" t="s">
        <v>8460</v>
      </c>
      <c r="E361" t="s">
        <v>8461</v>
      </c>
      <c r="F361" t="s">
        <v>8462</v>
      </c>
      <c r="G361" t="s">
        <v>8463</v>
      </c>
      <c r="H361" t="s">
        <v>8464</v>
      </c>
      <c r="I361" t="s">
        <v>8465</v>
      </c>
      <c r="J361" t="s">
        <v>8466</v>
      </c>
      <c r="K361" t="s">
        <v>8467</v>
      </c>
      <c r="L361" t="s">
        <v>8468</v>
      </c>
      <c r="M361" t="s">
        <v>8469</v>
      </c>
      <c r="N361" t="s">
        <v>8470</v>
      </c>
      <c r="O361" t="s">
        <v>8471</v>
      </c>
      <c r="P361" t="s">
        <v>8472</v>
      </c>
      <c r="Q361" t="s">
        <v>8473</v>
      </c>
      <c r="R361" t="s">
        <v>8474</v>
      </c>
      <c r="S361" t="s">
        <v>8475</v>
      </c>
      <c r="T361" t="s">
        <v>8476</v>
      </c>
      <c r="U361" t="s">
        <v>8477</v>
      </c>
      <c r="V361" t="s">
        <v>8478</v>
      </c>
      <c r="W361" t="s">
        <v>8479</v>
      </c>
      <c r="X361" t="s">
        <v>8480</v>
      </c>
      <c r="Y361" t="s">
        <v>8481</v>
      </c>
    </row>
    <row r="362" spans="1:25" x14ac:dyDescent="0.3">
      <c r="A362">
        <v>18050</v>
      </c>
      <c r="B362" t="s">
        <v>8482</v>
      </c>
      <c r="C362" t="s">
        <v>8483</v>
      </c>
      <c r="D362" t="s">
        <v>8484</v>
      </c>
      <c r="E362" t="s">
        <v>8485</v>
      </c>
      <c r="F362" t="s">
        <v>8486</v>
      </c>
      <c r="G362" t="s">
        <v>8487</v>
      </c>
      <c r="H362" t="s">
        <v>8488</v>
      </c>
      <c r="I362" t="s">
        <v>8489</v>
      </c>
      <c r="J362" t="s">
        <v>8490</v>
      </c>
      <c r="K362" t="s">
        <v>8491</v>
      </c>
      <c r="L362" t="s">
        <v>8492</v>
      </c>
      <c r="M362" t="s">
        <v>8493</v>
      </c>
      <c r="N362" t="s">
        <v>8494</v>
      </c>
      <c r="O362" t="s">
        <v>8495</v>
      </c>
      <c r="P362" t="s">
        <v>8496</v>
      </c>
      <c r="Q362" t="s">
        <v>8497</v>
      </c>
      <c r="R362" t="s">
        <v>8498</v>
      </c>
      <c r="S362" t="s">
        <v>8499</v>
      </c>
      <c r="T362" t="s">
        <v>8500</v>
      </c>
      <c r="U362" t="s">
        <v>8501</v>
      </c>
      <c r="V362" t="s">
        <v>8502</v>
      </c>
      <c r="W362" t="s">
        <v>8503</v>
      </c>
      <c r="X362" t="s">
        <v>8504</v>
      </c>
      <c r="Y362" t="s">
        <v>8505</v>
      </c>
    </row>
    <row r="363" spans="1:25" x14ac:dyDescent="0.3">
      <c r="A363">
        <v>18100</v>
      </c>
      <c r="B363" t="s">
        <v>8506</v>
      </c>
      <c r="C363" t="s">
        <v>8507</v>
      </c>
      <c r="D363" t="s">
        <v>8508</v>
      </c>
      <c r="E363" t="s">
        <v>8509</v>
      </c>
      <c r="F363" t="s">
        <v>8510</v>
      </c>
      <c r="G363" t="s">
        <v>8511</v>
      </c>
      <c r="H363" t="s">
        <v>8512</v>
      </c>
      <c r="I363" t="s">
        <v>8513</v>
      </c>
      <c r="J363" t="s">
        <v>8514</v>
      </c>
      <c r="K363" t="s">
        <v>8515</v>
      </c>
      <c r="L363" t="s">
        <v>8516</v>
      </c>
      <c r="M363" t="s">
        <v>8517</v>
      </c>
      <c r="N363" t="s">
        <v>8518</v>
      </c>
      <c r="O363" t="s">
        <v>8519</v>
      </c>
      <c r="P363" t="s">
        <v>8520</v>
      </c>
      <c r="Q363" t="s">
        <v>8521</v>
      </c>
      <c r="R363" t="s">
        <v>8522</v>
      </c>
      <c r="S363" t="s">
        <v>8523</v>
      </c>
      <c r="T363" t="s">
        <v>8524</v>
      </c>
      <c r="U363" t="s">
        <v>8525</v>
      </c>
      <c r="V363" t="s">
        <v>8526</v>
      </c>
      <c r="W363" t="s">
        <v>8527</v>
      </c>
      <c r="X363" t="s">
        <v>8528</v>
      </c>
      <c r="Y363" t="s">
        <v>8529</v>
      </c>
    </row>
    <row r="364" spans="1:25" x14ac:dyDescent="0.3">
      <c r="A364">
        <v>18150</v>
      </c>
      <c r="B364" t="s">
        <v>8530</v>
      </c>
      <c r="C364" t="s">
        <v>8531</v>
      </c>
      <c r="D364" t="s">
        <v>8532</v>
      </c>
      <c r="E364" t="s">
        <v>8533</v>
      </c>
      <c r="F364" t="s">
        <v>8534</v>
      </c>
      <c r="G364" t="s">
        <v>8535</v>
      </c>
      <c r="H364" t="s">
        <v>8536</v>
      </c>
      <c r="I364" t="s">
        <v>8537</v>
      </c>
      <c r="J364" t="s">
        <v>8538</v>
      </c>
      <c r="K364" t="s">
        <v>8539</v>
      </c>
      <c r="L364" t="s">
        <v>8540</v>
      </c>
      <c r="M364" t="s">
        <v>8541</v>
      </c>
      <c r="N364" t="s">
        <v>8542</v>
      </c>
      <c r="O364" t="s">
        <v>8543</v>
      </c>
      <c r="P364" t="s">
        <v>8544</v>
      </c>
      <c r="Q364" t="s">
        <v>8545</v>
      </c>
      <c r="R364" t="s">
        <v>8546</v>
      </c>
      <c r="S364" t="s">
        <v>8547</v>
      </c>
      <c r="T364" t="s">
        <v>8548</v>
      </c>
      <c r="U364" t="s">
        <v>8549</v>
      </c>
      <c r="V364" t="s">
        <v>8550</v>
      </c>
      <c r="W364" t="s">
        <v>8551</v>
      </c>
      <c r="X364" t="s">
        <v>8552</v>
      </c>
      <c r="Y364" t="s">
        <v>8553</v>
      </c>
    </row>
    <row r="365" spans="1:25" x14ac:dyDescent="0.3">
      <c r="A365">
        <v>18200</v>
      </c>
      <c r="B365" t="s">
        <v>8554</v>
      </c>
      <c r="C365" t="s">
        <v>8555</v>
      </c>
      <c r="D365" t="s">
        <v>8556</v>
      </c>
      <c r="E365" t="s">
        <v>8557</v>
      </c>
      <c r="F365" t="s">
        <v>8558</v>
      </c>
      <c r="G365" t="s">
        <v>8559</v>
      </c>
      <c r="H365" t="s">
        <v>8560</v>
      </c>
      <c r="I365" t="s">
        <v>8561</v>
      </c>
      <c r="J365" t="s">
        <v>8562</v>
      </c>
      <c r="K365" t="s">
        <v>8563</v>
      </c>
      <c r="L365" t="s">
        <v>8564</v>
      </c>
      <c r="M365" t="s">
        <v>8565</v>
      </c>
      <c r="N365" t="s">
        <v>8566</v>
      </c>
      <c r="O365" t="s">
        <v>8567</v>
      </c>
      <c r="P365" t="s">
        <v>8568</v>
      </c>
      <c r="Q365" t="s">
        <v>8569</v>
      </c>
      <c r="R365" t="s">
        <v>8570</v>
      </c>
      <c r="S365" t="s">
        <v>8571</v>
      </c>
      <c r="T365" t="s">
        <v>8572</v>
      </c>
      <c r="U365" t="s">
        <v>8573</v>
      </c>
      <c r="V365" t="s">
        <v>8574</v>
      </c>
      <c r="W365" t="s">
        <v>8575</v>
      </c>
      <c r="X365" t="s">
        <v>8576</v>
      </c>
      <c r="Y365" t="s">
        <v>8577</v>
      </c>
    </row>
    <row r="366" spans="1:25" x14ac:dyDescent="0.3">
      <c r="A366">
        <v>18250</v>
      </c>
      <c r="B366" t="s">
        <v>8578</v>
      </c>
      <c r="C366" t="s">
        <v>8579</v>
      </c>
      <c r="D366" t="s">
        <v>8580</v>
      </c>
      <c r="E366" t="s">
        <v>8581</v>
      </c>
      <c r="F366" t="s">
        <v>8582</v>
      </c>
      <c r="G366" t="s">
        <v>8583</v>
      </c>
      <c r="H366" t="s">
        <v>8584</v>
      </c>
      <c r="I366" t="s">
        <v>8585</v>
      </c>
      <c r="J366" t="s">
        <v>8586</v>
      </c>
      <c r="K366" t="s">
        <v>8587</v>
      </c>
      <c r="L366" t="s">
        <v>8588</v>
      </c>
      <c r="M366" t="s">
        <v>8589</v>
      </c>
      <c r="N366" t="s">
        <v>8590</v>
      </c>
      <c r="O366" t="s">
        <v>8591</v>
      </c>
      <c r="P366" t="s">
        <v>8592</v>
      </c>
      <c r="Q366" t="s">
        <v>8593</v>
      </c>
      <c r="R366" t="s">
        <v>8594</v>
      </c>
      <c r="S366" t="s">
        <v>8595</v>
      </c>
      <c r="T366" t="s">
        <v>8596</v>
      </c>
      <c r="U366" t="s">
        <v>8597</v>
      </c>
      <c r="V366" t="s">
        <v>8598</v>
      </c>
      <c r="W366" t="s">
        <v>8599</v>
      </c>
      <c r="X366" t="s">
        <v>8600</v>
      </c>
      <c r="Y366" t="s">
        <v>8601</v>
      </c>
    </row>
    <row r="367" spans="1:25" x14ac:dyDescent="0.3">
      <c r="A367">
        <v>18300</v>
      </c>
      <c r="B367" t="s">
        <v>8602</v>
      </c>
      <c r="C367" t="s">
        <v>8603</v>
      </c>
      <c r="D367" t="s">
        <v>8604</v>
      </c>
      <c r="E367" t="s">
        <v>8605</v>
      </c>
      <c r="F367" t="s">
        <v>8606</v>
      </c>
      <c r="G367" t="s">
        <v>8607</v>
      </c>
      <c r="H367" t="s">
        <v>8608</v>
      </c>
      <c r="I367" t="s">
        <v>8609</v>
      </c>
      <c r="J367" t="s">
        <v>8610</v>
      </c>
      <c r="K367" t="s">
        <v>8611</v>
      </c>
      <c r="L367" t="s">
        <v>8612</v>
      </c>
      <c r="M367" t="s">
        <v>8613</v>
      </c>
      <c r="N367" t="s">
        <v>8614</v>
      </c>
      <c r="O367" t="s">
        <v>8615</v>
      </c>
      <c r="P367" t="s">
        <v>8616</v>
      </c>
      <c r="Q367" t="s">
        <v>8617</v>
      </c>
      <c r="R367" t="s">
        <v>8618</v>
      </c>
      <c r="S367" t="s">
        <v>8619</v>
      </c>
      <c r="T367" t="s">
        <v>8620</v>
      </c>
      <c r="U367" t="s">
        <v>8621</v>
      </c>
      <c r="V367" t="s">
        <v>8622</v>
      </c>
      <c r="W367" t="s">
        <v>8623</v>
      </c>
      <c r="X367" t="s">
        <v>8624</v>
      </c>
      <c r="Y367" t="s">
        <v>8625</v>
      </c>
    </row>
    <row r="368" spans="1:25" x14ac:dyDescent="0.3">
      <c r="A368">
        <v>18350</v>
      </c>
      <c r="B368" t="s">
        <v>8626</v>
      </c>
      <c r="C368" t="s">
        <v>8627</v>
      </c>
      <c r="D368" t="s">
        <v>8628</v>
      </c>
      <c r="E368" t="s">
        <v>8629</v>
      </c>
      <c r="F368" t="s">
        <v>8630</v>
      </c>
      <c r="G368" t="s">
        <v>8631</v>
      </c>
      <c r="H368" t="s">
        <v>8632</v>
      </c>
      <c r="I368" t="s">
        <v>8633</v>
      </c>
      <c r="J368" t="s">
        <v>8634</v>
      </c>
      <c r="K368" t="s">
        <v>8635</v>
      </c>
      <c r="L368" t="s">
        <v>8636</v>
      </c>
      <c r="M368" t="s">
        <v>8637</v>
      </c>
      <c r="N368" t="s">
        <v>8638</v>
      </c>
      <c r="O368" t="s">
        <v>8639</v>
      </c>
      <c r="P368" t="s">
        <v>8640</v>
      </c>
      <c r="Q368" t="s">
        <v>8641</v>
      </c>
      <c r="R368" t="s">
        <v>8642</v>
      </c>
      <c r="S368" t="s">
        <v>8643</v>
      </c>
      <c r="T368" t="s">
        <v>8644</v>
      </c>
      <c r="U368" t="s">
        <v>8645</v>
      </c>
      <c r="V368" t="s">
        <v>8646</v>
      </c>
      <c r="W368" t="s">
        <v>8647</v>
      </c>
      <c r="X368" t="s">
        <v>8648</v>
      </c>
      <c r="Y368" t="s">
        <v>8649</v>
      </c>
    </row>
    <row r="369" spans="1:25" x14ac:dyDescent="0.3">
      <c r="A369">
        <v>18400</v>
      </c>
      <c r="B369" t="s">
        <v>8650</v>
      </c>
      <c r="C369" t="s">
        <v>8651</v>
      </c>
      <c r="D369" t="s">
        <v>8652</v>
      </c>
      <c r="E369" t="s">
        <v>8653</v>
      </c>
      <c r="F369" t="s">
        <v>8654</v>
      </c>
      <c r="G369" t="s">
        <v>8655</v>
      </c>
      <c r="H369" t="s">
        <v>8656</v>
      </c>
      <c r="I369" t="s">
        <v>8657</v>
      </c>
      <c r="J369" t="s">
        <v>8658</v>
      </c>
      <c r="K369" t="s">
        <v>8659</v>
      </c>
      <c r="L369" t="s">
        <v>8660</v>
      </c>
      <c r="M369" t="s">
        <v>8661</v>
      </c>
      <c r="N369" t="s">
        <v>8662</v>
      </c>
      <c r="O369" t="s">
        <v>8663</v>
      </c>
      <c r="P369" t="s">
        <v>8664</v>
      </c>
      <c r="Q369" t="s">
        <v>8665</v>
      </c>
      <c r="R369" t="s">
        <v>8666</v>
      </c>
      <c r="S369" t="s">
        <v>8667</v>
      </c>
      <c r="T369" t="s">
        <v>8668</v>
      </c>
      <c r="U369" t="s">
        <v>8669</v>
      </c>
      <c r="V369" t="s">
        <v>8670</v>
      </c>
      <c r="W369" t="s">
        <v>8671</v>
      </c>
      <c r="X369" t="s">
        <v>8672</v>
      </c>
      <c r="Y369" t="s">
        <v>8673</v>
      </c>
    </row>
    <row r="370" spans="1:25" x14ac:dyDescent="0.3">
      <c r="A370">
        <v>18450</v>
      </c>
      <c r="B370" t="s">
        <v>8674</v>
      </c>
      <c r="C370" t="s">
        <v>8675</v>
      </c>
      <c r="D370" t="s">
        <v>8676</v>
      </c>
      <c r="E370" t="s">
        <v>8677</v>
      </c>
      <c r="F370" t="s">
        <v>8678</v>
      </c>
      <c r="G370" t="s">
        <v>8679</v>
      </c>
      <c r="H370" t="s">
        <v>8680</v>
      </c>
      <c r="I370" t="s">
        <v>8681</v>
      </c>
      <c r="J370" t="s">
        <v>8682</v>
      </c>
      <c r="K370" t="s">
        <v>8683</v>
      </c>
      <c r="L370" t="s">
        <v>8684</v>
      </c>
      <c r="M370" t="s">
        <v>8685</v>
      </c>
      <c r="N370" t="s">
        <v>8686</v>
      </c>
      <c r="O370" t="s">
        <v>8687</v>
      </c>
      <c r="P370" t="s">
        <v>8688</v>
      </c>
      <c r="Q370" t="s">
        <v>8689</v>
      </c>
      <c r="R370" t="s">
        <v>8690</v>
      </c>
      <c r="S370" t="s">
        <v>8691</v>
      </c>
      <c r="T370" t="s">
        <v>8692</v>
      </c>
      <c r="U370" t="s">
        <v>8693</v>
      </c>
      <c r="V370" t="s">
        <v>8694</v>
      </c>
      <c r="W370" t="s">
        <v>8695</v>
      </c>
      <c r="X370" t="s">
        <v>8696</v>
      </c>
      <c r="Y370" t="s">
        <v>8697</v>
      </c>
    </row>
    <row r="371" spans="1:25" x14ac:dyDescent="0.3">
      <c r="A371">
        <v>18500</v>
      </c>
      <c r="B371" t="s">
        <v>8698</v>
      </c>
      <c r="C371" t="s">
        <v>8699</v>
      </c>
      <c r="D371" t="s">
        <v>8700</v>
      </c>
      <c r="E371" t="s">
        <v>8701</v>
      </c>
      <c r="F371" t="s">
        <v>8702</v>
      </c>
      <c r="G371" t="s">
        <v>8703</v>
      </c>
      <c r="H371" t="s">
        <v>8704</v>
      </c>
      <c r="I371" t="s">
        <v>8705</v>
      </c>
      <c r="J371" t="s">
        <v>8706</v>
      </c>
      <c r="K371" t="s">
        <v>8707</v>
      </c>
      <c r="L371" t="s">
        <v>8708</v>
      </c>
      <c r="M371" t="s">
        <v>8709</v>
      </c>
      <c r="N371" t="s">
        <v>8710</v>
      </c>
      <c r="O371" t="s">
        <v>8711</v>
      </c>
      <c r="P371" t="s">
        <v>8712</v>
      </c>
      <c r="Q371" t="s">
        <v>8713</v>
      </c>
      <c r="R371" t="s">
        <v>8714</v>
      </c>
      <c r="S371" t="s">
        <v>8715</v>
      </c>
      <c r="T371" t="s">
        <v>8716</v>
      </c>
      <c r="U371" t="s">
        <v>8717</v>
      </c>
      <c r="V371" t="s">
        <v>8718</v>
      </c>
      <c r="W371" t="s">
        <v>8719</v>
      </c>
      <c r="X371" t="s">
        <v>8720</v>
      </c>
      <c r="Y371" t="s">
        <v>8721</v>
      </c>
    </row>
    <row r="372" spans="1:25" x14ac:dyDescent="0.3">
      <c r="A372">
        <v>18550</v>
      </c>
      <c r="B372" t="s">
        <v>8722</v>
      </c>
      <c r="C372" t="s">
        <v>8723</v>
      </c>
      <c r="D372" t="s">
        <v>8724</v>
      </c>
      <c r="E372" t="s">
        <v>8725</v>
      </c>
      <c r="F372" t="s">
        <v>8726</v>
      </c>
      <c r="G372" t="s">
        <v>8727</v>
      </c>
      <c r="H372" t="s">
        <v>8728</v>
      </c>
      <c r="I372" t="s">
        <v>8729</v>
      </c>
      <c r="J372" t="s">
        <v>8730</v>
      </c>
      <c r="K372" t="s">
        <v>8731</v>
      </c>
      <c r="L372" t="s">
        <v>8732</v>
      </c>
      <c r="M372" t="s">
        <v>8733</v>
      </c>
      <c r="N372" t="s">
        <v>8734</v>
      </c>
      <c r="O372" t="s">
        <v>8735</v>
      </c>
      <c r="P372" t="s">
        <v>8736</v>
      </c>
      <c r="Q372" t="s">
        <v>8737</v>
      </c>
      <c r="R372" t="s">
        <v>8738</v>
      </c>
      <c r="S372" t="s">
        <v>8739</v>
      </c>
      <c r="T372" t="s">
        <v>8740</v>
      </c>
      <c r="U372" t="s">
        <v>8741</v>
      </c>
      <c r="V372" t="s">
        <v>8742</v>
      </c>
      <c r="W372" t="s">
        <v>8743</v>
      </c>
      <c r="X372" t="s">
        <v>8744</v>
      </c>
      <c r="Y372" t="s">
        <v>8745</v>
      </c>
    </row>
    <row r="373" spans="1:25" x14ac:dyDescent="0.3">
      <c r="A373">
        <v>18600</v>
      </c>
      <c r="B373" t="s">
        <v>8746</v>
      </c>
      <c r="C373" t="s">
        <v>8747</v>
      </c>
      <c r="D373" t="s">
        <v>8748</v>
      </c>
      <c r="E373" t="s">
        <v>8749</v>
      </c>
      <c r="F373" t="s">
        <v>8750</v>
      </c>
      <c r="G373" t="s">
        <v>8751</v>
      </c>
      <c r="H373" t="s">
        <v>8752</v>
      </c>
      <c r="I373" t="s">
        <v>8753</v>
      </c>
      <c r="J373" t="s">
        <v>8754</v>
      </c>
      <c r="K373" t="s">
        <v>8755</v>
      </c>
      <c r="L373" t="s">
        <v>8756</v>
      </c>
      <c r="M373" t="s">
        <v>8757</v>
      </c>
      <c r="N373" t="s">
        <v>8758</v>
      </c>
      <c r="O373" t="s">
        <v>8759</v>
      </c>
      <c r="P373" t="s">
        <v>8760</v>
      </c>
      <c r="Q373" t="s">
        <v>8761</v>
      </c>
      <c r="R373" t="s">
        <v>8762</v>
      </c>
      <c r="S373" t="s">
        <v>8763</v>
      </c>
      <c r="T373" t="s">
        <v>8764</v>
      </c>
      <c r="U373" t="s">
        <v>8765</v>
      </c>
      <c r="V373" t="s">
        <v>8766</v>
      </c>
      <c r="W373" t="s">
        <v>8767</v>
      </c>
      <c r="X373" t="s">
        <v>8768</v>
      </c>
      <c r="Y373" t="s">
        <v>8769</v>
      </c>
    </row>
    <row r="374" spans="1:25" x14ac:dyDescent="0.3">
      <c r="A374">
        <v>18650</v>
      </c>
      <c r="B374" t="s">
        <v>8770</v>
      </c>
      <c r="C374" t="s">
        <v>8771</v>
      </c>
      <c r="D374" t="s">
        <v>8772</v>
      </c>
      <c r="E374" t="s">
        <v>8773</v>
      </c>
      <c r="F374" t="s">
        <v>8774</v>
      </c>
      <c r="G374" t="s">
        <v>8775</v>
      </c>
      <c r="H374" t="s">
        <v>8776</v>
      </c>
      <c r="I374" t="s">
        <v>8777</v>
      </c>
      <c r="J374" t="s">
        <v>8778</v>
      </c>
      <c r="K374" t="s">
        <v>8779</v>
      </c>
      <c r="L374" t="s">
        <v>8780</v>
      </c>
      <c r="M374" t="s">
        <v>8781</v>
      </c>
      <c r="N374" t="s">
        <v>8782</v>
      </c>
      <c r="O374" t="s">
        <v>8783</v>
      </c>
      <c r="P374" t="s">
        <v>8784</v>
      </c>
      <c r="Q374" t="s">
        <v>8785</v>
      </c>
      <c r="R374" t="s">
        <v>8786</v>
      </c>
      <c r="S374" t="s">
        <v>8787</v>
      </c>
      <c r="T374" t="s">
        <v>8788</v>
      </c>
      <c r="U374" t="s">
        <v>8789</v>
      </c>
      <c r="V374" t="s">
        <v>8790</v>
      </c>
      <c r="W374" t="s">
        <v>8791</v>
      </c>
      <c r="X374" t="s">
        <v>8792</v>
      </c>
      <c r="Y374" t="s">
        <v>8793</v>
      </c>
    </row>
    <row r="375" spans="1:25" x14ac:dyDescent="0.3">
      <c r="A375">
        <v>18700</v>
      </c>
      <c r="B375" t="s">
        <v>8794</v>
      </c>
      <c r="C375" t="s">
        <v>8795</v>
      </c>
      <c r="D375" t="s">
        <v>8796</v>
      </c>
      <c r="E375" t="s">
        <v>8797</v>
      </c>
      <c r="F375" t="s">
        <v>8798</v>
      </c>
      <c r="G375" t="s">
        <v>8799</v>
      </c>
      <c r="H375" t="s">
        <v>8800</v>
      </c>
      <c r="I375" t="s">
        <v>8801</v>
      </c>
      <c r="J375" t="s">
        <v>8802</v>
      </c>
      <c r="K375" t="s">
        <v>8803</v>
      </c>
      <c r="L375" t="s">
        <v>8804</v>
      </c>
      <c r="M375" t="s">
        <v>8805</v>
      </c>
      <c r="N375" t="s">
        <v>8806</v>
      </c>
      <c r="O375" t="s">
        <v>8807</v>
      </c>
      <c r="P375" t="s">
        <v>8808</v>
      </c>
      <c r="Q375" t="s">
        <v>8809</v>
      </c>
      <c r="R375" t="s">
        <v>8810</v>
      </c>
      <c r="S375" t="s">
        <v>8811</v>
      </c>
      <c r="T375" t="s">
        <v>8812</v>
      </c>
      <c r="U375" t="s">
        <v>8813</v>
      </c>
      <c r="V375" t="s">
        <v>8814</v>
      </c>
      <c r="W375" t="s">
        <v>8815</v>
      </c>
      <c r="X375" t="s">
        <v>8816</v>
      </c>
      <c r="Y375" t="s">
        <v>8817</v>
      </c>
    </row>
    <row r="376" spans="1:25" x14ac:dyDescent="0.3">
      <c r="A376">
        <v>18750</v>
      </c>
      <c r="B376" t="s">
        <v>8818</v>
      </c>
      <c r="C376" t="s">
        <v>8819</v>
      </c>
      <c r="D376" t="s">
        <v>8820</v>
      </c>
      <c r="E376" t="s">
        <v>8821</v>
      </c>
      <c r="F376" t="s">
        <v>8822</v>
      </c>
      <c r="G376" t="s">
        <v>8823</v>
      </c>
      <c r="H376" t="s">
        <v>8824</v>
      </c>
      <c r="I376" t="s">
        <v>8825</v>
      </c>
      <c r="J376" t="s">
        <v>8826</v>
      </c>
      <c r="K376" t="s">
        <v>8827</v>
      </c>
      <c r="L376" t="s">
        <v>8828</v>
      </c>
      <c r="M376" t="s">
        <v>8829</v>
      </c>
      <c r="N376" t="s">
        <v>8830</v>
      </c>
      <c r="O376" t="s">
        <v>8831</v>
      </c>
      <c r="P376" t="s">
        <v>8832</v>
      </c>
      <c r="Q376" t="s">
        <v>8833</v>
      </c>
      <c r="R376" t="s">
        <v>8834</v>
      </c>
      <c r="S376" t="s">
        <v>8835</v>
      </c>
      <c r="T376" t="s">
        <v>8836</v>
      </c>
      <c r="U376" t="s">
        <v>8837</v>
      </c>
      <c r="V376" t="s">
        <v>8838</v>
      </c>
      <c r="W376" t="s">
        <v>8839</v>
      </c>
      <c r="X376" t="s">
        <v>8840</v>
      </c>
      <c r="Y376" t="s">
        <v>8841</v>
      </c>
    </row>
    <row r="377" spans="1:25" x14ac:dyDescent="0.3">
      <c r="A377">
        <v>18800</v>
      </c>
      <c r="B377" t="s">
        <v>8818</v>
      </c>
      <c r="C377" t="s">
        <v>8819</v>
      </c>
      <c r="D377" t="s">
        <v>8820</v>
      </c>
      <c r="E377" t="s">
        <v>8821</v>
      </c>
      <c r="F377" t="s">
        <v>8822</v>
      </c>
      <c r="G377" t="s">
        <v>8823</v>
      </c>
      <c r="H377" t="s">
        <v>8824</v>
      </c>
      <c r="I377" t="s">
        <v>8825</v>
      </c>
      <c r="J377" t="s">
        <v>8826</v>
      </c>
      <c r="K377" t="s">
        <v>8827</v>
      </c>
      <c r="L377" t="s">
        <v>8828</v>
      </c>
      <c r="M377" t="s">
        <v>8829</v>
      </c>
      <c r="N377" t="s">
        <v>8830</v>
      </c>
      <c r="O377" t="s">
        <v>8831</v>
      </c>
      <c r="P377" t="s">
        <v>8832</v>
      </c>
      <c r="Q377" t="s">
        <v>8833</v>
      </c>
      <c r="R377" t="s">
        <v>8834</v>
      </c>
      <c r="S377" t="s">
        <v>8835</v>
      </c>
      <c r="T377" t="s">
        <v>8836</v>
      </c>
      <c r="U377" t="s">
        <v>8837</v>
      </c>
      <c r="V377" t="s">
        <v>8838</v>
      </c>
      <c r="W377" t="s">
        <v>8839</v>
      </c>
      <c r="X377" t="s">
        <v>8840</v>
      </c>
      <c r="Y377" t="s">
        <v>8841</v>
      </c>
    </row>
    <row r="378" spans="1:25" x14ac:dyDescent="0.3">
      <c r="A378">
        <v>18850</v>
      </c>
      <c r="B378" t="s">
        <v>8842</v>
      </c>
      <c r="C378" t="s">
        <v>8843</v>
      </c>
      <c r="D378" t="s">
        <v>8844</v>
      </c>
      <c r="E378" t="s">
        <v>8845</v>
      </c>
      <c r="F378" t="s">
        <v>8846</v>
      </c>
      <c r="G378" t="s">
        <v>8847</v>
      </c>
      <c r="H378" t="s">
        <v>8848</v>
      </c>
      <c r="I378" t="s">
        <v>8849</v>
      </c>
      <c r="J378" t="s">
        <v>8850</v>
      </c>
      <c r="K378" t="s">
        <v>8851</v>
      </c>
      <c r="L378" t="s">
        <v>8852</v>
      </c>
      <c r="M378" t="s">
        <v>8853</v>
      </c>
      <c r="N378" t="s">
        <v>8854</v>
      </c>
      <c r="O378" t="s">
        <v>8855</v>
      </c>
      <c r="P378" t="s">
        <v>8856</v>
      </c>
      <c r="Q378" t="s">
        <v>8857</v>
      </c>
      <c r="R378" t="s">
        <v>8858</v>
      </c>
      <c r="S378" t="s">
        <v>8859</v>
      </c>
      <c r="T378" t="s">
        <v>8860</v>
      </c>
      <c r="U378" t="s">
        <v>8861</v>
      </c>
      <c r="V378" t="s">
        <v>8862</v>
      </c>
      <c r="W378" t="s">
        <v>8863</v>
      </c>
      <c r="X378" t="s">
        <v>8864</v>
      </c>
      <c r="Y378" t="s">
        <v>8865</v>
      </c>
    </row>
    <row r="379" spans="1:25" x14ac:dyDescent="0.3">
      <c r="A379">
        <v>18900</v>
      </c>
      <c r="B379" t="s">
        <v>8866</v>
      </c>
      <c r="C379" t="s">
        <v>8867</v>
      </c>
      <c r="D379" t="s">
        <v>8868</v>
      </c>
      <c r="E379" t="s">
        <v>8869</v>
      </c>
      <c r="F379" t="s">
        <v>8870</v>
      </c>
      <c r="G379" t="s">
        <v>8871</v>
      </c>
      <c r="H379" t="s">
        <v>8872</v>
      </c>
      <c r="I379" t="s">
        <v>8873</v>
      </c>
      <c r="J379" t="s">
        <v>8874</v>
      </c>
      <c r="K379" t="s">
        <v>8875</v>
      </c>
      <c r="L379" t="s">
        <v>8876</v>
      </c>
      <c r="M379" t="s">
        <v>8877</v>
      </c>
      <c r="N379" t="s">
        <v>8878</v>
      </c>
      <c r="O379" t="s">
        <v>8879</v>
      </c>
      <c r="P379" t="s">
        <v>8880</v>
      </c>
      <c r="Q379" t="s">
        <v>8881</v>
      </c>
      <c r="R379" t="s">
        <v>8882</v>
      </c>
      <c r="S379" t="s">
        <v>8883</v>
      </c>
      <c r="T379" t="s">
        <v>8884</v>
      </c>
      <c r="U379" t="s">
        <v>8885</v>
      </c>
      <c r="V379" t="s">
        <v>8886</v>
      </c>
      <c r="W379" t="s">
        <v>8887</v>
      </c>
      <c r="X379" t="s">
        <v>8888</v>
      </c>
      <c r="Y379" t="s">
        <v>8889</v>
      </c>
    </row>
    <row r="380" spans="1:25" x14ac:dyDescent="0.3">
      <c r="A380">
        <v>18950</v>
      </c>
      <c r="B380" t="s">
        <v>8890</v>
      </c>
      <c r="C380" t="s">
        <v>8891</v>
      </c>
      <c r="D380" t="s">
        <v>8892</v>
      </c>
      <c r="E380" t="s">
        <v>8893</v>
      </c>
      <c r="F380" t="s">
        <v>8894</v>
      </c>
      <c r="G380" t="s">
        <v>8895</v>
      </c>
      <c r="H380" t="s">
        <v>8896</v>
      </c>
      <c r="I380" t="s">
        <v>8897</v>
      </c>
      <c r="J380" t="s">
        <v>8898</v>
      </c>
      <c r="K380" t="s">
        <v>8899</v>
      </c>
      <c r="L380" t="s">
        <v>8900</v>
      </c>
      <c r="M380" t="s">
        <v>8901</v>
      </c>
      <c r="N380" t="s">
        <v>8902</v>
      </c>
      <c r="O380" t="s">
        <v>8903</v>
      </c>
      <c r="P380" t="s">
        <v>8904</v>
      </c>
      <c r="Q380" t="s">
        <v>8905</v>
      </c>
      <c r="R380" t="s">
        <v>8906</v>
      </c>
      <c r="S380" t="s">
        <v>8907</v>
      </c>
      <c r="T380" t="s">
        <v>8908</v>
      </c>
      <c r="U380" t="s">
        <v>8909</v>
      </c>
      <c r="V380" t="s">
        <v>8910</v>
      </c>
      <c r="W380" t="s">
        <v>8911</v>
      </c>
      <c r="X380" t="s">
        <v>8912</v>
      </c>
      <c r="Y380" t="s">
        <v>8913</v>
      </c>
    </row>
    <row r="381" spans="1:25" x14ac:dyDescent="0.3">
      <c r="A381">
        <v>19000</v>
      </c>
      <c r="B381" t="s">
        <v>8914</v>
      </c>
      <c r="C381" t="s">
        <v>8915</v>
      </c>
      <c r="D381" t="s">
        <v>8916</v>
      </c>
      <c r="E381" t="s">
        <v>8917</v>
      </c>
      <c r="F381" t="s">
        <v>8918</v>
      </c>
      <c r="G381" t="s">
        <v>8919</v>
      </c>
      <c r="H381" t="s">
        <v>8920</v>
      </c>
      <c r="I381" t="s">
        <v>8921</v>
      </c>
      <c r="J381" t="s">
        <v>8922</v>
      </c>
      <c r="K381" t="s">
        <v>8923</v>
      </c>
      <c r="L381" t="s">
        <v>8924</v>
      </c>
      <c r="M381" t="s">
        <v>8925</v>
      </c>
      <c r="N381" t="s">
        <v>8926</v>
      </c>
      <c r="O381" t="s">
        <v>8927</v>
      </c>
      <c r="P381" t="s">
        <v>8928</v>
      </c>
      <c r="Q381" t="s">
        <v>8929</v>
      </c>
      <c r="R381" t="s">
        <v>8930</v>
      </c>
      <c r="S381" t="s">
        <v>8931</v>
      </c>
      <c r="T381" t="s">
        <v>8932</v>
      </c>
      <c r="U381" t="s">
        <v>8933</v>
      </c>
      <c r="V381" t="s">
        <v>8934</v>
      </c>
      <c r="W381" t="s">
        <v>8935</v>
      </c>
      <c r="X381" t="s">
        <v>8936</v>
      </c>
      <c r="Y381" t="s">
        <v>8937</v>
      </c>
    </row>
    <row r="382" spans="1:25" x14ac:dyDescent="0.3">
      <c r="A382">
        <v>19050</v>
      </c>
      <c r="B382" t="s">
        <v>8938</v>
      </c>
      <c r="C382" t="s">
        <v>8939</v>
      </c>
      <c r="D382" t="s">
        <v>8940</v>
      </c>
      <c r="E382" t="s">
        <v>8941</v>
      </c>
      <c r="F382" t="s">
        <v>8942</v>
      </c>
      <c r="G382" t="s">
        <v>8943</v>
      </c>
      <c r="H382" t="s">
        <v>8944</v>
      </c>
      <c r="I382" t="s">
        <v>8945</v>
      </c>
      <c r="J382" t="s">
        <v>8946</v>
      </c>
      <c r="K382" t="s">
        <v>8947</v>
      </c>
      <c r="L382" t="s">
        <v>8948</v>
      </c>
      <c r="M382" t="s">
        <v>8949</v>
      </c>
      <c r="N382" t="s">
        <v>8950</v>
      </c>
      <c r="O382">
        <f>-652.47934912165 -8.34827408532765 -754.475987013976</f>
        <v>-1415.3036102209535</v>
      </c>
      <c r="P382" t="s">
        <v>8951</v>
      </c>
      <c r="Q382" t="s">
        <v>8952</v>
      </c>
      <c r="R382" t="s">
        <v>8953</v>
      </c>
      <c r="S382" t="s">
        <v>8954</v>
      </c>
      <c r="T382" t="s">
        <v>8955</v>
      </c>
      <c r="U382" t="s">
        <v>8956</v>
      </c>
      <c r="V382" t="s">
        <v>8957</v>
      </c>
      <c r="W382" t="s">
        <v>8958</v>
      </c>
      <c r="X382" t="s">
        <v>8959</v>
      </c>
      <c r="Y382" t="s">
        <v>8960</v>
      </c>
    </row>
    <row r="383" spans="1:25" x14ac:dyDescent="0.3">
      <c r="A383">
        <v>19100</v>
      </c>
      <c r="B383" t="s">
        <v>8961</v>
      </c>
      <c r="C383" t="s">
        <v>8962</v>
      </c>
      <c r="D383" t="s">
        <v>8963</v>
      </c>
      <c r="E383" t="s">
        <v>8964</v>
      </c>
      <c r="F383" t="s">
        <v>8965</v>
      </c>
      <c r="G383" t="s">
        <v>8966</v>
      </c>
      <c r="H383" t="s">
        <v>8967</v>
      </c>
      <c r="I383" t="s">
        <v>8968</v>
      </c>
      <c r="J383" t="s">
        <v>8969</v>
      </c>
      <c r="K383" t="s">
        <v>8970</v>
      </c>
      <c r="L383" t="s">
        <v>8971</v>
      </c>
      <c r="M383" t="s">
        <v>8972</v>
      </c>
      <c r="N383" t="s">
        <v>8973</v>
      </c>
      <c r="O383">
        <f>-650.852712646893 -18.4038881356308 -753.086671752733</f>
        <v>-1422.3432725352568</v>
      </c>
      <c r="P383">
        <f>-661.27085580779 -3.48387962668324 -437.088146615647</f>
        <v>-1101.8428820501204</v>
      </c>
      <c r="Q383" t="s">
        <v>8974</v>
      </c>
      <c r="R383" t="s">
        <v>8975</v>
      </c>
      <c r="S383" t="s">
        <v>8976</v>
      </c>
      <c r="T383" t="s">
        <v>8977</v>
      </c>
      <c r="U383" t="s">
        <v>8978</v>
      </c>
      <c r="V383" t="s">
        <v>8979</v>
      </c>
      <c r="W383" t="s">
        <v>8980</v>
      </c>
      <c r="X383" t="s">
        <v>8981</v>
      </c>
      <c r="Y383" t="s">
        <v>8982</v>
      </c>
    </row>
    <row r="384" spans="1:25" x14ac:dyDescent="0.3">
      <c r="A384">
        <v>19150</v>
      </c>
      <c r="B384" t="s">
        <v>8983</v>
      </c>
      <c r="C384" t="s">
        <v>8984</v>
      </c>
      <c r="D384" t="s">
        <v>8985</v>
      </c>
      <c r="E384" t="s">
        <v>8986</v>
      </c>
      <c r="F384" t="s">
        <v>8987</v>
      </c>
      <c r="G384" t="s">
        <v>8988</v>
      </c>
      <c r="H384" t="s">
        <v>8989</v>
      </c>
      <c r="I384" t="s">
        <v>8990</v>
      </c>
      <c r="J384" t="s">
        <v>8991</v>
      </c>
      <c r="K384" t="s">
        <v>8992</v>
      </c>
      <c r="L384" t="s">
        <v>8993</v>
      </c>
      <c r="M384" t="s">
        <v>8994</v>
      </c>
      <c r="N384" t="s">
        <v>8995</v>
      </c>
      <c r="O384">
        <f>-641.487541707195 -39.0836412478465 -751.028585424738</f>
        <v>-1431.5997683797796</v>
      </c>
      <c r="P384">
        <f>-653.149623358166 -18.4058821810553 -435.398151197401</f>
        <v>-1106.9536567366222</v>
      </c>
      <c r="Q384" t="s">
        <v>8996</v>
      </c>
      <c r="R384" t="s">
        <v>8997</v>
      </c>
      <c r="S384" t="s">
        <v>8998</v>
      </c>
      <c r="T384" t="s">
        <v>8999</v>
      </c>
      <c r="U384" t="s">
        <v>9000</v>
      </c>
      <c r="V384" t="s">
        <v>9001</v>
      </c>
      <c r="W384" t="s">
        <v>9002</v>
      </c>
      <c r="X384" t="s">
        <v>9003</v>
      </c>
      <c r="Y384" t="s">
        <v>9004</v>
      </c>
    </row>
    <row r="385" spans="1:25" x14ac:dyDescent="0.3">
      <c r="A385">
        <v>19200</v>
      </c>
      <c r="B385" t="s">
        <v>9005</v>
      </c>
      <c r="C385" t="s">
        <v>9006</v>
      </c>
      <c r="D385" t="s">
        <v>9007</v>
      </c>
      <c r="E385" t="s">
        <v>9008</v>
      </c>
      <c r="F385" t="s">
        <v>9009</v>
      </c>
      <c r="G385" t="s">
        <v>9010</v>
      </c>
      <c r="H385" t="s">
        <v>9011</v>
      </c>
      <c r="I385" t="s">
        <v>9012</v>
      </c>
      <c r="J385" t="s">
        <v>9013</v>
      </c>
      <c r="K385" t="s">
        <v>9014</v>
      </c>
      <c r="L385" t="s">
        <v>9015</v>
      </c>
      <c r="M385" t="s">
        <v>9016</v>
      </c>
      <c r="N385" t="s">
        <v>9017</v>
      </c>
      <c r="O385">
        <f>-636.733685171788 -50.8142544048601 -749.687981393065</f>
        <v>-1437.2359209697131</v>
      </c>
      <c r="P385">
        <f>-650.415587158073 -26.9254699988893 -434.365434775839</f>
        <v>-1111.7064919328013</v>
      </c>
      <c r="Q385" t="s">
        <v>9018</v>
      </c>
      <c r="R385" t="s">
        <v>9019</v>
      </c>
      <c r="S385" t="s">
        <v>9020</v>
      </c>
      <c r="T385" t="s">
        <v>9021</v>
      </c>
      <c r="U385" t="s">
        <v>9022</v>
      </c>
      <c r="V385" t="s">
        <v>9023</v>
      </c>
      <c r="W385" t="s">
        <v>9024</v>
      </c>
      <c r="X385" t="s">
        <v>9025</v>
      </c>
      <c r="Y385" t="s">
        <v>9026</v>
      </c>
    </row>
    <row r="386" spans="1:25" x14ac:dyDescent="0.3">
      <c r="A386">
        <v>19250</v>
      </c>
      <c r="B386" t="s">
        <v>9027</v>
      </c>
      <c r="C386" t="s">
        <v>9028</v>
      </c>
      <c r="D386" t="s">
        <v>9029</v>
      </c>
      <c r="E386" t="s">
        <v>9030</v>
      </c>
      <c r="F386" t="s">
        <v>9031</v>
      </c>
      <c r="G386" t="s">
        <v>9032</v>
      </c>
      <c r="H386" t="s">
        <v>9033</v>
      </c>
      <c r="I386" t="s">
        <v>9034</v>
      </c>
      <c r="J386" t="s">
        <v>9035</v>
      </c>
      <c r="K386" t="s">
        <v>9036</v>
      </c>
      <c r="L386" t="s">
        <v>9037</v>
      </c>
      <c r="M386" t="s">
        <v>9038</v>
      </c>
      <c r="N386" t="s">
        <v>9039</v>
      </c>
      <c r="O386">
        <f>-626.081785643631 -74.9989381046712 -740.822289975488</f>
        <v>-1441.9030137237901</v>
      </c>
      <c r="P386">
        <f>-642.375173433025 -44.723567993578 -426.172986570867</f>
        <v>-1113.27172799747</v>
      </c>
      <c r="Q386">
        <f>-385.477187794432 -6.71280954987544 -412.00836577377</f>
        <v>-804.1983631180774</v>
      </c>
      <c r="R386" t="s">
        <v>9040</v>
      </c>
      <c r="S386" t="s">
        <v>9041</v>
      </c>
      <c r="T386" t="s">
        <v>9042</v>
      </c>
      <c r="U386" t="s">
        <v>9043</v>
      </c>
      <c r="V386" t="s">
        <v>9044</v>
      </c>
      <c r="W386" t="s">
        <v>9045</v>
      </c>
      <c r="X386" t="s">
        <v>9046</v>
      </c>
      <c r="Y386" t="s">
        <v>9047</v>
      </c>
    </row>
    <row r="387" spans="1:25" x14ac:dyDescent="0.3">
      <c r="A387">
        <v>19300</v>
      </c>
      <c r="B387" t="s">
        <v>9048</v>
      </c>
      <c r="C387" t="s">
        <v>9049</v>
      </c>
      <c r="D387" t="s">
        <v>9050</v>
      </c>
      <c r="E387" t="s">
        <v>9051</v>
      </c>
      <c r="F387" t="s">
        <v>9052</v>
      </c>
      <c r="G387" t="s">
        <v>9053</v>
      </c>
      <c r="H387" t="s">
        <v>9054</v>
      </c>
      <c r="I387" t="s">
        <v>9055</v>
      </c>
      <c r="J387" t="s">
        <v>9056</v>
      </c>
      <c r="K387" t="s">
        <v>9057</v>
      </c>
      <c r="L387" t="s">
        <v>9058</v>
      </c>
      <c r="M387" t="s">
        <v>9059</v>
      </c>
      <c r="N387" t="s">
        <v>9060</v>
      </c>
      <c r="O387">
        <f>-622.189734535696 -87.0256934861004 -739.403900877642</f>
        <v>-1448.6193288994382</v>
      </c>
      <c r="P387">
        <f>-638.939488336019 -54.4546871095892 -425.008020762592</f>
        <v>-1118.4021962082002</v>
      </c>
      <c r="Q387">
        <f>-382.952771422883 -10.8235690079622 -410.544710263224</f>
        <v>-804.32105069406919</v>
      </c>
      <c r="R387" t="s">
        <v>9061</v>
      </c>
      <c r="S387" t="s">
        <v>9062</v>
      </c>
      <c r="T387" t="s">
        <v>9063</v>
      </c>
      <c r="U387" t="s">
        <v>9064</v>
      </c>
      <c r="V387" t="s">
        <v>9065</v>
      </c>
      <c r="W387" t="s">
        <v>9066</v>
      </c>
      <c r="X387" t="s">
        <v>9067</v>
      </c>
      <c r="Y387" t="s">
        <v>9068</v>
      </c>
    </row>
    <row r="388" spans="1:25" x14ac:dyDescent="0.3">
      <c r="A388">
        <v>19350</v>
      </c>
      <c r="B388" t="s">
        <v>9069</v>
      </c>
      <c r="C388" t="s">
        <v>9070</v>
      </c>
      <c r="D388" t="s">
        <v>9071</v>
      </c>
      <c r="E388" t="s">
        <v>9072</v>
      </c>
      <c r="F388" t="s">
        <v>9073</v>
      </c>
      <c r="G388" t="s">
        <v>9074</v>
      </c>
      <c r="H388" t="s">
        <v>9075</v>
      </c>
      <c r="I388" t="s">
        <v>9076</v>
      </c>
      <c r="J388" t="s">
        <v>9077</v>
      </c>
      <c r="K388" t="s">
        <v>9078</v>
      </c>
      <c r="L388" t="s">
        <v>9079</v>
      </c>
      <c r="M388" t="s">
        <v>9080</v>
      </c>
      <c r="N388" t="s">
        <v>9081</v>
      </c>
      <c r="O388">
        <f>-616.934968898012 -109.057681713706 -731.786851345229</f>
        <v>-1457.7795019569471</v>
      </c>
      <c r="P388">
        <f>-635.339667139983 -73.9154547356787 -417.760623296316</f>
        <v>-1127.0157451719779</v>
      </c>
      <c r="Q388">
        <f>-381.892900093315 -17.0854460715868 -404.450676635393</f>
        <v>-803.42902280029489</v>
      </c>
      <c r="R388" t="s">
        <v>9082</v>
      </c>
      <c r="S388" t="s">
        <v>9083</v>
      </c>
      <c r="T388" t="s">
        <v>9084</v>
      </c>
      <c r="U388" t="s">
        <v>9085</v>
      </c>
      <c r="V388">
        <f>-629.742328817914 -0.617889326699519 -234.145968502801</f>
        <v>-864.50618664741444</v>
      </c>
      <c r="W388" t="s">
        <v>9086</v>
      </c>
      <c r="X388" t="s">
        <v>9087</v>
      </c>
      <c r="Y388" t="s">
        <v>9088</v>
      </c>
    </row>
    <row r="389" spans="1:25" x14ac:dyDescent="0.3">
      <c r="A389">
        <v>19400</v>
      </c>
      <c r="B389" t="s">
        <v>9089</v>
      </c>
      <c r="C389" t="s">
        <v>9090</v>
      </c>
      <c r="D389" t="s">
        <v>9091</v>
      </c>
      <c r="E389" t="s">
        <v>9092</v>
      </c>
      <c r="F389" t="s">
        <v>9093</v>
      </c>
      <c r="G389" t="s">
        <v>9094</v>
      </c>
      <c r="H389" t="s">
        <v>9095</v>
      </c>
      <c r="I389" t="s">
        <v>9096</v>
      </c>
      <c r="J389" t="s">
        <v>9097</v>
      </c>
      <c r="K389" t="s">
        <v>9098</v>
      </c>
      <c r="L389" t="s">
        <v>9099</v>
      </c>
      <c r="M389" t="s">
        <v>9100</v>
      </c>
      <c r="N389" t="s">
        <v>9101</v>
      </c>
      <c r="O389">
        <f>-614.555122590967 -117.812008752187 -728.456738628755</f>
        <v>-1460.8238699719091</v>
      </c>
      <c r="P389">
        <f>-633.751587220603 -81.7219104249587 -414.585430343033</f>
        <v>-1130.0589279885946</v>
      </c>
      <c r="Q389">
        <f>-381.845548182749 -18.1419853909246 -402.626565939453</f>
        <v>-802.61409951312658</v>
      </c>
      <c r="R389" t="s">
        <v>9102</v>
      </c>
      <c r="S389" t="s">
        <v>9103</v>
      </c>
      <c r="T389" t="s">
        <v>9104</v>
      </c>
      <c r="U389" t="s">
        <v>9105</v>
      </c>
      <c r="V389">
        <f>-630.068638274223 -5.59276493567369 -232.498133472905</f>
        <v>-868.15953668280167</v>
      </c>
      <c r="W389" t="s">
        <v>9106</v>
      </c>
      <c r="X389" t="s">
        <v>9107</v>
      </c>
      <c r="Y389" t="s">
        <v>9108</v>
      </c>
    </row>
    <row r="390" spans="1:25" x14ac:dyDescent="0.3">
      <c r="A390">
        <v>19450</v>
      </c>
      <c r="B390" t="s">
        <v>9109</v>
      </c>
      <c r="C390" t="s">
        <v>9110</v>
      </c>
      <c r="D390" t="s">
        <v>9111</v>
      </c>
      <c r="E390" t="s">
        <v>9112</v>
      </c>
      <c r="F390" t="s">
        <v>9113</v>
      </c>
      <c r="G390" t="s">
        <v>9114</v>
      </c>
      <c r="H390" t="s">
        <v>9115</v>
      </c>
      <c r="I390" t="s">
        <v>9116</v>
      </c>
      <c r="J390" t="s">
        <v>9117</v>
      </c>
      <c r="K390" t="s">
        <v>9118</v>
      </c>
      <c r="L390" t="s">
        <v>9119</v>
      </c>
      <c r="M390" t="s">
        <v>9120</v>
      </c>
      <c r="N390" t="s">
        <v>9121</v>
      </c>
      <c r="O390">
        <f>-611.842711217653 -129.869266570718 -723.571769659274</f>
        <v>-1465.2837474476451</v>
      </c>
      <c r="P390">
        <f>-630.292215667458 -93.6078394323917 -409.675518643923</f>
        <v>-1133.5755737437726</v>
      </c>
      <c r="Q390">
        <f>-381.284980553995 -18.9691164504895 -401.521688153379</f>
        <v>-801.77578515786354</v>
      </c>
      <c r="R390" t="s">
        <v>9122</v>
      </c>
      <c r="S390" t="s">
        <v>9123</v>
      </c>
      <c r="T390" t="s">
        <v>9124</v>
      </c>
      <c r="U390" t="s">
        <v>9125</v>
      </c>
      <c r="V390">
        <f>-630.151651277967 -13.1106239679062 -231.317456088105</f>
        <v>-874.5797313339782</v>
      </c>
      <c r="W390" t="s">
        <v>9126</v>
      </c>
      <c r="X390" t="s">
        <v>9127</v>
      </c>
      <c r="Y390" t="s">
        <v>9128</v>
      </c>
    </row>
    <row r="391" spans="1:25" x14ac:dyDescent="0.3">
      <c r="A391">
        <v>19500</v>
      </c>
      <c r="B391" t="s">
        <v>9129</v>
      </c>
      <c r="C391" t="s">
        <v>9130</v>
      </c>
      <c r="D391" t="s">
        <v>9131</v>
      </c>
      <c r="E391" t="s">
        <v>9132</v>
      </c>
      <c r="F391" t="s">
        <v>9133</v>
      </c>
      <c r="G391" t="s">
        <v>9134</v>
      </c>
      <c r="H391" t="s">
        <v>9135</v>
      </c>
      <c r="I391" t="s">
        <v>9136</v>
      </c>
      <c r="J391" t="s">
        <v>9137</v>
      </c>
      <c r="K391" t="s">
        <v>9138</v>
      </c>
      <c r="L391" t="s">
        <v>9139</v>
      </c>
      <c r="M391" t="s">
        <v>9140</v>
      </c>
      <c r="N391" t="s">
        <v>9141</v>
      </c>
      <c r="O391">
        <f>-613.576848506429 -134.651077224579 -721.54339549952</f>
        <v>-1469.771321230528</v>
      </c>
      <c r="P391">
        <f>-629.813646113464 -98.8820910685059 -407.468444600158</f>
        <v>-1136.1641817821278</v>
      </c>
      <c r="Q391">
        <f>-381.852572152115 -20.648018793247 -401.405399140096</f>
        <v>-803.90599008545792</v>
      </c>
      <c r="R391" t="s">
        <v>9142</v>
      </c>
      <c r="S391" t="s">
        <v>9143</v>
      </c>
      <c r="T391" t="s">
        <v>9144</v>
      </c>
      <c r="U391" t="s">
        <v>9145</v>
      </c>
      <c r="V391">
        <f>-629.922316574055 -16.8880541860501 -231.478655063902</f>
        <v>-878.28902582400713</v>
      </c>
      <c r="W391" t="s">
        <v>9146</v>
      </c>
      <c r="X391" t="s">
        <v>9147</v>
      </c>
      <c r="Y391" t="s">
        <v>9148</v>
      </c>
    </row>
    <row r="392" spans="1:25" x14ac:dyDescent="0.3">
      <c r="A392">
        <v>19550</v>
      </c>
      <c r="B392" t="s">
        <v>9149</v>
      </c>
      <c r="C392" t="s">
        <v>9150</v>
      </c>
      <c r="D392" t="s">
        <v>9151</v>
      </c>
      <c r="E392" t="s">
        <v>9152</v>
      </c>
      <c r="F392" t="s">
        <v>9153</v>
      </c>
      <c r="G392" t="s">
        <v>9154</v>
      </c>
      <c r="H392" t="s">
        <v>9155</v>
      </c>
      <c r="I392" t="s">
        <v>9156</v>
      </c>
      <c r="J392" t="s">
        <v>9157</v>
      </c>
      <c r="K392" t="s">
        <v>9158</v>
      </c>
      <c r="L392" t="s">
        <v>9159</v>
      </c>
      <c r="M392" t="s">
        <v>9160</v>
      </c>
      <c r="N392">
        <f>-624.689371462747 -2.67972190928187 -761.605163092353</f>
        <v>-1388.9742564643818</v>
      </c>
      <c r="O392">
        <f>-617.727754142651 -143.461147583604 -719.691080821724</f>
        <v>-1480.8799825479789</v>
      </c>
      <c r="P392">
        <f>-627.947367002599 -108.360743087031 -405.287372719405</f>
        <v>-1141.595482809035</v>
      </c>
      <c r="Q392">
        <f>-380.901021103383 -27.0897847431923 -403.006344576196</f>
        <v>-810.99715042277126</v>
      </c>
      <c r="R392" t="s">
        <v>9161</v>
      </c>
      <c r="S392" t="s">
        <v>9162</v>
      </c>
      <c r="T392" t="s">
        <v>9163</v>
      </c>
      <c r="U392" t="s">
        <v>9164</v>
      </c>
      <c r="V392">
        <f>-628.121698028283 -24.1965214779661 -232.322951423096</f>
        <v>-884.64117092934521</v>
      </c>
      <c r="W392" t="s">
        <v>9165</v>
      </c>
      <c r="X392" t="s">
        <v>9166</v>
      </c>
      <c r="Y392" t="s">
        <v>9167</v>
      </c>
    </row>
    <row r="393" spans="1:25" x14ac:dyDescent="0.3">
      <c r="A393">
        <v>19600</v>
      </c>
      <c r="B393" t="s">
        <v>9168</v>
      </c>
      <c r="C393" t="s">
        <v>9169</v>
      </c>
      <c r="D393" t="s">
        <v>9170</v>
      </c>
      <c r="E393" t="s">
        <v>9171</v>
      </c>
      <c r="F393" t="s">
        <v>9172</v>
      </c>
      <c r="G393" t="s">
        <v>9173</v>
      </c>
      <c r="H393" t="s">
        <v>9174</v>
      </c>
      <c r="I393" t="s">
        <v>9175</v>
      </c>
      <c r="J393" t="s">
        <v>9176</v>
      </c>
      <c r="K393" t="s">
        <v>9177</v>
      </c>
      <c r="L393" t="s">
        <v>9178</v>
      </c>
      <c r="M393" t="s">
        <v>9179</v>
      </c>
      <c r="N393">
        <f>-626.364135212908 -6.07004244931956 -761.744161071102</f>
        <v>-1394.1783387333294</v>
      </c>
      <c r="O393">
        <f>-619.948607412093 -146.544246882548 -718.67720282183</f>
        <v>-1485.1700571164711</v>
      </c>
      <c r="P393">
        <f>-626.08622115883 -113.060556783892 -403.99105858283</f>
        <v>-1143.1378365255521</v>
      </c>
      <c r="Q393">
        <f>-379.243244279058 -31.1520114314914 -402.728438587265</f>
        <v>-813.12369429781438</v>
      </c>
      <c r="R393" t="s">
        <v>9180</v>
      </c>
      <c r="S393" t="s">
        <v>9181</v>
      </c>
      <c r="T393" t="s">
        <v>9182</v>
      </c>
      <c r="U393" t="s">
        <v>9183</v>
      </c>
      <c r="V393">
        <f>-627.628491445316 -26.8747596478249 -232.39356366788</f>
        <v>-886.89681476102089</v>
      </c>
      <c r="W393" t="s">
        <v>9184</v>
      </c>
      <c r="X393" t="s">
        <v>9185</v>
      </c>
      <c r="Y393" t="s">
        <v>9186</v>
      </c>
    </row>
    <row r="394" spans="1:25" x14ac:dyDescent="0.3">
      <c r="A394">
        <v>19650</v>
      </c>
      <c r="B394" t="s">
        <v>9187</v>
      </c>
      <c r="C394" t="s">
        <v>9188</v>
      </c>
      <c r="D394" t="s">
        <v>9189</v>
      </c>
      <c r="E394" t="s">
        <v>9190</v>
      </c>
      <c r="F394" t="s">
        <v>9191</v>
      </c>
      <c r="G394" t="s">
        <v>9192</v>
      </c>
      <c r="H394" t="s">
        <v>9193</v>
      </c>
      <c r="I394">
        <f>-565.451101285685 -0.757422133700345 -917.741392344831</f>
        <v>-1483.9499157642163</v>
      </c>
      <c r="J394" t="s">
        <v>9194</v>
      </c>
      <c r="K394" t="s">
        <v>9195</v>
      </c>
      <c r="L394" t="s">
        <v>9196</v>
      </c>
      <c r="M394" t="s">
        <v>9197</v>
      </c>
      <c r="N394">
        <f>-630.819315684794 -8.98020882915177 -760.910812988101</f>
        <v>-1400.710337502047</v>
      </c>
      <c r="O394">
        <f>-627.802623372607 -148.740093052213 -715.362073615663</f>
        <v>-1491.904790040483</v>
      </c>
      <c r="P394">
        <f>-624.503251141185 -122.806344093688 -399.921506101171</f>
        <v>-1147.231101336044</v>
      </c>
      <c r="Q394">
        <f>-377.742722598829 -40.6400985255464 -399.93298024008</f>
        <v>-818.31580136445541</v>
      </c>
      <c r="R394" t="s">
        <v>9198</v>
      </c>
      <c r="S394" t="s">
        <v>9199</v>
      </c>
      <c r="T394" t="s">
        <v>9200</v>
      </c>
      <c r="U394" t="s">
        <v>9201</v>
      </c>
      <c r="V394">
        <f>-628.488576227633 -28.1586625822315 -232.103993956611</f>
        <v>-888.75123276647548</v>
      </c>
      <c r="W394" t="s">
        <v>9202</v>
      </c>
      <c r="X394" t="s">
        <v>9203</v>
      </c>
      <c r="Y394" t="s">
        <v>9204</v>
      </c>
    </row>
    <row r="395" spans="1:25" x14ac:dyDescent="0.3">
      <c r="A395">
        <v>19700</v>
      </c>
      <c r="B395" t="s">
        <v>9205</v>
      </c>
      <c r="C395" t="s">
        <v>9206</v>
      </c>
      <c r="D395" t="s">
        <v>9207</v>
      </c>
      <c r="E395" t="s">
        <v>9208</v>
      </c>
      <c r="F395" t="s">
        <v>9209</v>
      </c>
      <c r="G395" t="s">
        <v>9210</v>
      </c>
      <c r="H395" t="s">
        <v>9211</v>
      </c>
      <c r="I395">
        <f>-569.235688446161 -0.122433899888762 -917.646277018361</f>
        <v>-1487.0043993644108</v>
      </c>
      <c r="J395" t="s">
        <v>9212</v>
      </c>
      <c r="K395" t="s">
        <v>9213</v>
      </c>
      <c r="L395" t="s">
        <v>9214</v>
      </c>
      <c r="M395" t="s">
        <v>9215</v>
      </c>
      <c r="N395">
        <f>-633.677945941467 -6.53117520698633 -760.207023620112</f>
        <v>-1400.4161447685651</v>
      </c>
      <c r="O395">
        <f>-633.239880169714 -145.994801140985 -713.585989938732</f>
        <v>-1492.8206712494311</v>
      </c>
      <c r="P395">
        <f>-624.714290975909 -124.303362445573 -397.923176507439</f>
        <v>-1146.9408299289209</v>
      </c>
      <c r="Q395">
        <f>-377.282130193839 -44.1821968702552 -397.963786654512</f>
        <v>-819.42811371860626</v>
      </c>
      <c r="R395" t="s">
        <v>9216</v>
      </c>
      <c r="S395" t="s">
        <v>9217</v>
      </c>
      <c r="T395" t="s">
        <v>9218</v>
      </c>
      <c r="U395" t="s">
        <v>9219</v>
      </c>
      <c r="V395">
        <f>-630.045182739579 -25.1198377778868 -232.041619855075</f>
        <v>-887.20664037254073</v>
      </c>
      <c r="W395" t="s">
        <v>9220</v>
      </c>
      <c r="X395" t="s">
        <v>9221</v>
      </c>
      <c r="Y395" t="s">
        <v>9222</v>
      </c>
    </row>
    <row r="396" spans="1:25" x14ac:dyDescent="0.3">
      <c r="A396">
        <v>19750</v>
      </c>
      <c r="B396" t="s">
        <v>9223</v>
      </c>
      <c r="C396" t="s">
        <v>9224</v>
      </c>
      <c r="D396" t="s">
        <v>9225</v>
      </c>
      <c r="E396" t="s">
        <v>9226</v>
      </c>
      <c r="F396" t="s">
        <v>9227</v>
      </c>
      <c r="G396" t="s">
        <v>9228</v>
      </c>
      <c r="H396" t="s">
        <v>9229</v>
      </c>
      <c r="I396" t="s">
        <v>9230</v>
      </c>
      <c r="J396" t="s">
        <v>9231</v>
      </c>
      <c r="K396" t="s">
        <v>9232</v>
      </c>
      <c r="L396" t="s">
        <v>9233</v>
      </c>
      <c r="M396" t="s">
        <v>9234</v>
      </c>
      <c r="N396" t="s">
        <v>9235</v>
      </c>
      <c r="O396">
        <f>-641.65137797039 -135.134236880676 -711.359651366311</f>
        <v>-1488.145266217377</v>
      </c>
      <c r="P396">
        <f>-624.882579408705 -118.730258256551 -395.708080514564</f>
        <v>-1139.3209181798202</v>
      </c>
      <c r="Q396">
        <f>-374.377348377216 -48.807842606873 -395.536232295578</f>
        <v>-818.72142327966696</v>
      </c>
      <c r="R396" t="s">
        <v>9236</v>
      </c>
      <c r="S396" t="s">
        <v>9237</v>
      </c>
      <c r="T396" t="s">
        <v>9238</v>
      </c>
      <c r="U396" t="s">
        <v>9239</v>
      </c>
      <c r="V396">
        <f>-634.565396650792 -13.866513998695 -231.435628191289</f>
        <v>-879.86753884077598</v>
      </c>
      <c r="W396" t="s">
        <v>9240</v>
      </c>
      <c r="X396" t="s">
        <v>9241</v>
      </c>
      <c r="Y396" t="s">
        <v>9242</v>
      </c>
    </row>
    <row r="397" spans="1:25" x14ac:dyDescent="0.3">
      <c r="A397">
        <v>19800</v>
      </c>
      <c r="B397" t="s">
        <v>9243</v>
      </c>
      <c r="C397" t="s">
        <v>9244</v>
      </c>
      <c r="D397" t="s">
        <v>9245</v>
      </c>
      <c r="E397" t="s">
        <v>9246</v>
      </c>
      <c r="F397" t="s">
        <v>9247</v>
      </c>
      <c r="G397" t="s">
        <v>9248</v>
      </c>
      <c r="H397" t="s">
        <v>9249</v>
      </c>
      <c r="I397" t="s">
        <v>9250</v>
      </c>
      <c r="J397" t="s">
        <v>9251</v>
      </c>
      <c r="K397" t="s">
        <v>9252</v>
      </c>
      <c r="L397" t="s">
        <v>9253</v>
      </c>
      <c r="M397" t="s">
        <v>9254</v>
      </c>
      <c r="N397" t="s">
        <v>9255</v>
      </c>
      <c r="O397">
        <f>-643.612133470204 -127.202567582047 -711.103439857855</f>
        <v>-1481.9181409101061</v>
      </c>
      <c r="P397">
        <f>-626.058109159116 -111.538499375893 -395.457089734921</f>
        <v>-1133.05369826993</v>
      </c>
      <c r="Q397">
        <f>-373.598869875899 -49.0460964034294 -394.406793627002</f>
        <v>-817.0517599063304</v>
      </c>
      <c r="R397" t="s">
        <v>9256</v>
      </c>
      <c r="S397" t="s">
        <v>9257</v>
      </c>
      <c r="T397" t="s">
        <v>9258</v>
      </c>
      <c r="U397" t="s">
        <v>9259</v>
      </c>
      <c r="V397">
        <f>-637.223463522009 -5.99556106111214 -230.754219556973</f>
        <v>-873.97324414009404</v>
      </c>
      <c r="W397" t="s">
        <v>9260</v>
      </c>
      <c r="X397" t="s">
        <v>9261</v>
      </c>
      <c r="Y397" t="s">
        <v>9262</v>
      </c>
    </row>
    <row r="398" spans="1:25" x14ac:dyDescent="0.3">
      <c r="A398">
        <v>19850</v>
      </c>
      <c r="B398" t="s">
        <v>9263</v>
      </c>
      <c r="C398" t="s">
        <v>9264</v>
      </c>
      <c r="D398" t="s">
        <v>9265</v>
      </c>
      <c r="E398" t="s">
        <v>9266</v>
      </c>
      <c r="F398" t="s">
        <v>9267</v>
      </c>
      <c r="G398" t="s">
        <v>9268</v>
      </c>
      <c r="H398" t="s">
        <v>9269</v>
      </c>
      <c r="I398" t="s">
        <v>9270</v>
      </c>
      <c r="J398" t="s">
        <v>9271</v>
      </c>
      <c r="K398" t="s">
        <v>9272</v>
      </c>
      <c r="L398" t="s">
        <v>9273</v>
      </c>
      <c r="M398" t="s">
        <v>9274</v>
      </c>
      <c r="N398" t="s">
        <v>9275</v>
      </c>
      <c r="O398">
        <f>-647.71044104057 -109.847782572505 -715.500797572241</f>
        <v>-1473.0590211853159</v>
      </c>
      <c r="P398">
        <f>-632.077253465322 -94.4300838382628 -399.741238810654</f>
        <v>-1126.2485761142389</v>
      </c>
      <c r="Q398">
        <f>-376.477836107433 -46.455933318291 -396.663989171392</f>
        <v>-819.59775859711601</v>
      </c>
      <c r="R398" t="s">
        <v>9276</v>
      </c>
      <c r="S398" t="s">
        <v>9277</v>
      </c>
      <c r="T398" t="s">
        <v>9278</v>
      </c>
      <c r="U398" t="s">
        <v>9279</v>
      </c>
      <c r="V398" t="s">
        <v>9280</v>
      </c>
      <c r="W398" t="s">
        <v>9281</v>
      </c>
      <c r="X398" t="s">
        <v>9282</v>
      </c>
      <c r="Y398" t="s">
        <v>9283</v>
      </c>
    </row>
    <row r="399" spans="1:25" x14ac:dyDescent="0.3">
      <c r="A399">
        <v>19900</v>
      </c>
      <c r="B399" t="s">
        <v>9284</v>
      </c>
      <c r="C399" t="s">
        <v>9285</v>
      </c>
      <c r="D399" t="s">
        <v>9286</v>
      </c>
      <c r="E399" t="s">
        <v>9287</v>
      </c>
      <c r="F399" t="s">
        <v>9288</v>
      </c>
      <c r="G399" t="s">
        <v>9289</v>
      </c>
      <c r="H399" t="s">
        <v>9290</v>
      </c>
      <c r="I399" t="s">
        <v>9291</v>
      </c>
      <c r="J399" t="s">
        <v>9292</v>
      </c>
      <c r="K399" t="s">
        <v>9293</v>
      </c>
      <c r="L399" t="s">
        <v>9294</v>
      </c>
      <c r="M399" t="s">
        <v>9295</v>
      </c>
      <c r="N399" t="s">
        <v>9296</v>
      </c>
      <c r="O399">
        <f>-649.636535564518 -100.136070260929 -717.502930218659</f>
        <v>-1467.275536044106</v>
      </c>
      <c r="P399">
        <f>-635.307238077425 -86.596847542018 -401.595504866794</f>
        <v>-1123.4995904862371</v>
      </c>
      <c r="Q399">
        <f>-378.767732587528 -44.0668297496212 -397.042196734863</f>
        <v>-819.87675907201219</v>
      </c>
      <c r="R399" t="s">
        <v>9297</v>
      </c>
      <c r="S399" t="s">
        <v>9298</v>
      </c>
      <c r="T399" t="s">
        <v>9299</v>
      </c>
      <c r="U399" t="s">
        <v>9300</v>
      </c>
      <c r="V399" t="s">
        <v>9301</v>
      </c>
      <c r="W399" t="s">
        <v>9302</v>
      </c>
      <c r="X399" t="s">
        <v>9303</v>
      </c>
      <c r="Y399" t="s">
        <v>9304</v>
      </c>
    </row>
    <row r="400" spans="1:25" x14ac:dyDescent="0.3">
      <c r="A400">
        <v>19950</v>
      </c>
      <c r="B400" t="s">
        <v>9305</v>
      </c>
      <c r="C400" t="s">
        <v>9306</v>
      </c>
      <c r="D400" t="s">
        <v>9307</v>
      </c>
      <c r="E400" t="s">
        <v>9308</v>
      </c>
      <c r="F400" t="s">
        <v>9309</v>
      </c>
      <c r="G400" t="s">
        <v>9310</v>
      </c>
      <c r="H400" t="s">
        <v>9311</v>
      </c>
      <c r="I400" t="s">
        <v>9312</v>
      </c>
      <c r="J400" t="s">
        <v>9313</v>
      </c>
      <c r="K400" t="s">
        <v>9314</v>
      </c>
      <c r="L400" t="s">
        <v>9315</v>
      </c>
      <c r="M400" t="s">
        <v>9316</v>
      </c>
      <c r="N400" t="s">
        <v>9317</v>
      </c>
      <c r="O400">
        <f>-654.927186810906 -76.8618880650886 -722.748068559794</f>
        <v>-1454.5371434357885</v>
      </c>
      <c r="P400">
        <f>-645.355394871245 -69.0112827138321 -406.468210655</f>
        <v>-1120.8348882400771</v>
      </c>
      <c r="Q400">
        <f>-387.76960868548 -34.002382904406 -398.345194276355</f>
        <v>-820.11718586624102</v>
      </c>
      <c r="R400" t="s">
        <v>9318</v>
      </c>
      <c r="S400" t="s">
        <v>9319</v>
      </c>
      <c r="T400" t="s">
        <v>9320</v>
      </c>
      <c r="U400" t="s">
        <v>9321</v>
      </c>
      <c r="V400" t="s">
        <v>9322</v>
      </c>
      <c r="W400" t="s">
        <v>9323</v>
      </c>
      <c r="X400" t="s">
        <v>9324</v>
      </c>
      <c r="Y400" t="s">
        <v>9325</v>
      </c>
    </row>
    <row r="401" spans="1:25" x14ac:dyDescent="0.3">
      <c r="A401">
        <v>20000</v>
      </c>
      <c r="B401" t="s">
        <v>9326</v>
      </c>
      <c r="C401" t="s">
        <v>9327</v>
      </c>
      <c r="D401" t="s">
        <v>9328</v>
      </c>
      <c r="E401" t="s">
        <v>9329</v>
      </c>
      <c r="F401" t="s">
        <v>9330</v>
      </c>
      <c r="G401" t="s">
        <v>9331</v>
      </c>
      <c r="H401" t="s">
        <v>9332</v>
      </c>
      <c r="I401" t="s">
        <v>9333</v>
      </c>
      <c r="J401" t="s">
        <v>9334</v>
      </c>
      <c r="K401" t="s">
        <v>9335</v>
      </c>
      <c r="L401" t="s">
        <v>9336</v>
      </c>
      <c r="M401" t="s">
        <v>9337</v>
      </c>
      <c r="N401" t="s">
        <v>9338</v>
      </c>
      <c r="O401">
        <f>-656.16590347944 -65.0862485057042 -725.726057500015</f>
        <v>-1446.9782094851594</v>
      </c>
      <c r="P401">
        <f>-649.389151743526 -59.5585121144038 -409.32493870156</f>
        <v>-1118.2726025594898</v>
      </c>
      <c r="Q401">
        <f>-391.364384374579 -28.7891651651147 -398.438119375816</f>
        <v>-818.59166891550967</v>
      </c>
      <c r="R401" t="s">
        <v>9339</v>
      </c>
      <c r="S401" t="s">
        <v>9340</v>
      </c>
      <c r="T401" t="s">
        <v>9341</v>
      </c>
      <c r="U401" t="s">
        <v>9342</v>
      </c>
      <c r="V401" t="s">
        <v>9343</v>
      </c>
      <c r="W401" t="s">
        <v>9344</v>
      </c>
      <c r="X401" t="s">
        <v>9345</v>
      </c>
      <c r="Y401" t="s">
        <v>9346</v>
      </c>
    </row>
    <row r="402" spans="1:25" x14ac:dyDescent="0.3">
      <c r="A402">
        <v>20050</v>
      </c>
      <c r="B402" t="s">
        <v>9347</v>
      </c>
      <c r="C402" t="s">
        <v>9348</v>
      </c>
      <c r="D402" t="s">
        <v>9349</v>
      </c>
      <c r="E402" t="s">
        <v>9350</v>
      </c>
      <c r="F402" t="s">
        <v>9351</v>
      </c>
      <c r="G402" t="s">
        <v>9352</v>
      </c>
      <c r="H402" t="s">
        <v>9353</v>
      </c>
      <c r="I402" t="s">
        <v>9354</v>
      </c>
      <c r="J402" t="s">
        <v>9355</v>
      </c>
      <c r="K402" t="s">
        <v>9356</v>
      </c>
      <c r="L402" t="s">
        <v>9357</v>
      </c>
      <c r="M402" t="s">
        <v>9358</v>
      </c>
      <c r="N402" t="s">
        <v>9359</v>
      </c>
      <c r="O402">
        <f>-659.533401132264 -45.2589739575067 -730.034591391005</f>
        <v>-1434.8269664807758</v>
      </c>
      <c r="P402">
        <f>-656.528162901656 -42.9242775001299 -413.535410993685</f>
        <v>-1112.9878513954709</v>
      </c>
      <c r="Q402">
        <f>-397.874655277123 -21.1570950343556 -397.207516461704</f>
        <v>-816.23926677318264</v>
      </c>
      <c r="R402" t="s">
        <v>9360</v>
      </c>
      <c r="S402" t="s">
        <v>9361</v>
      </c>
      <c r="T402" t="s">
        <v>9362</v>
      </c>
      <c r="U402" t="s">
        <v>9363</v>
      </c>
      <c r="V402" t="s">
        <v>9364</v>
      </c>
      <c r="W402" t="s">
        <v>9365</v>
      </c>
      <c r="X402" t="s">
        <v>9366</v>
      </c>
      <c r="Y402" t="s">
        <v>9367</v>
      </c>
    </row>
    <row r="403" spans="1:25" x14ac:dyDescent="0.3">
      <c r="A403">
        <v>20100</v>
      </c>
      <c r="B403" t="s">
        <v>9368</v>
      </c>
      <c r="C403" t="s">
        <v>9369</v>
      </c>
      <c r="D403" t="s">
        <v>9370</v>
      </c>
      <c r="E403" t="s">
        <v>9371</v>
      </c>
      <c r="F403" t="s">
        <v>9372</v>
      </c>
      <c r="G403" t="s">
        <v>9373</v>
      </c>
      <c r="H403" t="s">
        <v>9374</v>
      </c>
      <c r="I403" t="s">
        <v>9375</v>
      </c>
      <c r="J403" t="s">
        <v>9376</v>
      </c>
      <c r="K403" t="s">
        <v>9377</v>
      </c>
      <c r="L403" t="s">
        <v>9378</v>
      </c>
      <c r="M403" t="s">
        <v>9379</v>
      </c>
      <c r="N403" t="s">
        <v>9380</v>
      </c>
      <c r="O403">
        <f>-662.030756201113 -36.8126747536823 -732.306841157145</f>
        <v>-1431.1502721119405</v>
      </c>
      <c r="P403">
        <f>-661.966797409306 -35.1084068035716 -415.789439203869</f>
        <v>-1112.8646434167465</v>
      </c>
      <c r="Q403">
        <f>-403.346040132446 -16.1641420001647 -395.827217877356</f>
        <v>-815.3374000099667</v>
      </c>
      <c r="R403" t="s">
        <v>9381</v>
      </c>
      <c r="S403" t="s">
        <v>9382</v>
      </c>
      <c r="T403" t="s">
        <v>9383</v>
      </c>
      <c r="U403" t="s">
        <v>9384</v>
      </c>
      <c r="V403" t="s">
        <v>9385</v>
      </c>
      <c r="W403" t="s">
        <v>9386</v>
      </c>
      <c r="X403" t="s">
        <v>9387</v>
      </c>
      <c r="Y403" t="s">
        <v>9388</v>
      </c>
    </row>
    <row r="404" spans="1:25" x14ac:dyDescent="0.3">
      <c r="A404">
        <v>20150</v>
      </c>
      <c r="B404" t="s">
        <v>9389</v>
      </c>
      <c r="C404" t="s">
        <v>9390</v>
      </c>
      <c r="D404" t="s">
        <v>9391</v>
      </c>
      <c r="E404" t="s">
        <v>9392</v>
      </c>
      <c r="F404" t="s">
        <v>9393</v>
      </c>
      <c r="G404" t="s">
        <v>9394</v>
      </c>
      <c r="H404" t="s">
        <v>9395</v>
      </c>
      <c r="I404" t="s">
        <v>9396</v>
      </c>
      <c r="J404" t="s">
        <v>9397</v>
      </c>
      <c r="K404" t="s">
        <v>9398</v>
      </c>
      <c r="L404" t="s">
        <v>9399</v>
      </c>
      <c r="M404" t="s">
        <v>9400</v>
      </c>
      <c r="N404" t="s">
        <v>9401</v>
      </c>
      <c r="O404">
        <f>-666.424747096136 -21.0364882089621 -733.348496825665</f>
        <v>-1420.8097321307632</v>
      </c>
      <c r="P404">
        <f>-673.240082231414 -18.1000504815116 -416.913419150909</f>
        <v>-1108.2535518638347</v>
      </c>
      <c r="Q404" t="s">
        <v>9402</v>
      </c>
      <c r="R404" t="s">
        <v>9403</v>
      </c>
      <c r="S404" t="s">
        <v>9404</v>
      </c>
      <c r="T404" t="s">
        <v>9405</v>
      </c>
      <c r="U404" t="s">
        <v>9406</v>
      </c>
      <c r="V404" t="s">
        <v>9407</v>
      </c>
      <c r="W404" t="s">
        <v>9408</v>
      </c>
      <c r="X404" t="s">
        <v>9409</v>
      </c>
      <c r="Y404" t="s">
        <v>9410</v>
      </c>
    </row>
    <row r="405" spans="1:25" x14ac:dyDescent="0.3">
      <c r="A405">
        <v>20200</v>
      </c>
      <c r="B405" t="s">
        <v>9411</v>
      </c>
      <c r="C405" t="s">
        <v>9412</v>
      </c>
      <c r="D405" t="s">
        <v>9413</v>
      </c>
      <c r="E405" t="s">
        <v>9414</v>
      </c>
      <c r="F405" t="s">
        <v>9415</v>
      </c>
      <c r="G405" t="s">
        <v>9416</v>
      </c>
      <c r="H405" t="s">
        <v>9417</v>
      </c>
      <c r="I405" t="s">
        <v>9418</v>
      </c>
      <c r="J405" t="s">
        <v>9419</v>
      </c>
      <c r="K405" t="s">
        <v>9420</v>
      </c>
      <c r="L405" t="s">
        <v>9421</v>
      </c>
      <c r="M405" t="s">
        <v>9422</v>
      </c>
      <c r="N405" t="s">
        <v>9423</v>
      </c>
      <c r="O405">
        <f>-668.747431710737 -12.2300134935292 -734.535767896433</f>
        <v>-1415.5132131006992</v>
      </c>
      <c r="P405">
        <f>-679.277823963307 -7.85908883423744 -418.219102031419</f>
        <v>-1105.3560148289635</v>
      </c>
      <c r="Q405" t="s">
        <v>9424</v>
      </c>
      <c r="R405" t="s">
        <v>9425</v>
      </c>
      <c r="S405" t="s">
        <v>9426</v>
      </c>
      <c r="T405" t="s">
        <v>9427</v>
      </c>
      <c r="U405" t="s">
        <v>9428</v>
      </c>
      <c r="V405" t="s">
        <v>9429</v>
      </c>
      <c r="W405" t="s">
        <v>9430</v>
      </c>
      <c r="X405" t="s">
        <v>9431</v>
      </c>
      <c r="Y405" t="s">
        <v>9432</v>
      </c>
    </row>
    <row r="406" spans="1:25" x14ac:dyDescent="0.3">
      <c r="A406">
        <v>20250</v>
      </c>
      <c r="B406" t="s">
        <v>9433</v>
      </c>
      <c r="C406" t="s">
        <v>9434</v>
      </c>
      <c r="D406" t="s">
        <v>9435</v>
      </c>
      <c r="E406" t="s">
        <v>9436</v>
      </c>
      <c r="F406" t="s">
        <v>9437</v>
      </c>
      <c r="G406" t="s">
        <v>9438</v>
      </c>
      <c r="H406" t="s">
        <v>9439</v>
      </c>
      <c r="I406" t="s">
        <v>9440</v>
      </c>
      <c r="J406" t="s">
        <v>9441</v>
      </c>
      <c r="K406" t="s">
        <v>9442</v>
      </c>
      <c r="L406" t="s">
        <v>9443</v>
      </c>
      <c r="M406" t="s">
        <v>9444</v>
      </c>
      <c r="N406" t="s">
        <v>9445</v>
      </c>
      <c r="O406" t="s">
        <v>9446</v>
      </c>
      <c r="P406" t="s">
        <v>9447</v>
      </c>
      <c r="Q406" t="s">
        <v>9448</v>
      </c>
      <c r="R406" t="s">
        <v>9449</v>
      </c>
      <c r="S406" t="s">
        <v>9450</v>
      </c>
      <c r="T406" t="s">
        <v>9451</v>
      </c>
      <c r="U406" t="s">
        <v>9452</v>
      </c>
      <c r="V406" t="s">
        <v>9453</v>
      </c>
      <c r="W406" t="s">
        <v>9454</v>
      </c>
      <c r="X406" t="s">
        <v>9455</v>
      </c>
      <c r="Y406" t="s">
        <v>9456</v>
      </c>
    </row>
    <row r="407" spans="1:25" x14ac:dyDescent="0.3">
      <c r="A407">
        <v>20300</v>
      </c>
      <c r="B407" t="s">
        <v>9457</v>
      </c>
      <c r="C407" t="s">
        <v>9458</v>
      </c>
      <c r="D407" t="s">
        <v>9459</v>
      </c>
      <c r="E407" t="s">
        <v>9460</v>
      </c>
      <c r="F407" t="s">
        <v>9461</v>
      </c>
      <c r="G407" t="s">
        <v>9462</v>
      </c>
      <c r="H407" t="s">
        <v>9463</v>
      </c>
      <c r="I407" t="s">
        <v>9464</v>
      </c>
      <c r="J407" t="s">
        <v>9465</v>
      </c>
      <c r="K407" t="s">
        <v>9466</v>
      </c>
      <c r="L407" t="s">
        <v>9467</v>
      </c>
      <c r="M407" t="s">
        <v>9468</v>
      </c>
      <c r="N407" t="s">
        <v>9469</v>
      </c>
      <c r="O407" t="s">
        <v>9470</v>
      </c>
      <c r="P407" t="s">
        <v>9471</v>
      </c>
      <c r="Q407" t="s">
        <v>9472</v>
      </c>
      <c r="R407" t="s">
        <v>9473</v>
      </c>
      <c r="S407" t="s">
        <v>9474</v>
      </c>
      <c r="T407" t="s">
        <v>9475</v>
      </c>
      <c r="U407" t="s">
        <v>9476</v>
      </c>
      <c r="V407" t="s">
        <v>9477</v>
      </c>
      <c r="W407" t="s">
        <v>9478</v>
      </c>
      <c r="X407" t="s">
        <v>9479</v>
      </c>
      <c r="Y407" t="s">
        <v>9480</v>
      </c>
    </row>
    <row r="408" spans="1:25" x14ac:dyDescent="0.3">
      <c r="A408">
        <v>20350</v>
      </c>
      <c r="B408" t="s">
        <v>9481</v>
      </c>
      <c r="C408" t="s">
        <v>9482</v>
      </c>
      <c r="D408" t="s">
        <v>9483</v>
      </c>
      <c r="E408" t="s">
        <v>9484</v>
      </c>
      <c r="F408" t="s">
        <v>9485</v>
      </c>
      <c r="G408" t="s">
        <v>9486</v>
      </c>
      <c r="H408" t="s">
        <v>9487</v>
      </c>
      <c r="I408" t="s">
        <v>9488</v>
      </c>
      <c r="J408" t="s">
        <v>9489</v>
      </c>
      <c r="K408" t="s">
        <v>9490</v>
      </c>
      <c r="L408" t="s">
        <v>9491</v>
      </c>
      <c r="M408" t="s">
        <v>9492</v>
      </c>
      <c r="N408" t="s">
        <v>9493</v>
      </c>
      <c r="O408" t="s">
        <v>9494</v>
      </c>
      <c r="P408" t="s">
        <v>9495</v>
      </c>
      <c r="Q408" t="s">
        <v>9496</v>
      </c>
      <c r="R408" t="s">
        <v>9497</v>
      </c>
      <c r="S408" t="s">
        <v>9498</v>
      </c>
      <c r="T408" t="s">
        <v>9499</v>
      </c>
      <c r="U408" t="s">
        <v>9500</v>
      </c>
      <c r="V408" t="s">
        <v>9501</v>
      </c>
      <c r="W408" t="s">
        <v>9502</v>
      </c>
      <c r="X408" t="s">
        <v>9503</v>
      </c>
      <c r="Y408" t="s">
        <v>9504</v>
      </c>
    </row>
    <row r="409" spans="1:25" x14ac:dyDescent="0.3">
      <c r="A409">
        <v>20400</v>
      </c>
      <c r="B409" t="s">
        <v>9505</v>
      </c>
      <c r="C409" t="s">
        <v>9506</v>
      </c>
      <c r="D409" t="s">
        <v>9507</v>
      </c>
      <c r="E409" t="s">
        <v>9508</v>
      </c>
      <c r="F409" t="s">
        <v>9509</v>
      </c>
      <c r="G409" t="s">
        <v>9510</v>
      </c>
      <c r="H409" t="s">
        <v>9511</v>
      </c>
      <c r="I409" t="s">
        <v>9512</v>
      </c>
      <c r="J409" t="s">
        <v>9513</v>
      </c>
      <c r="K409" t="s">
        <v>9514</v>
      </c>
      <c r="L409" t="s">
        <v>9515</v>
      </c>
      <c r="M409" t="s">
        <v>9516</v>
      </c>
      <c r="N409" t="s">
        <v>9517</v>
      </c>
      <c r="O409" t="s">
        <v>9518</v>
      </c>
      <c r="P409" t="s">
        <v>9519</v>
      </c>
      <c r="Q409" t="s">
        <v>9520</v>
      </c>
      <c r="R409" t="s">
        <v>9521</v>
      </c>
      <c r="S409" t="s">
        <v>9522</v>
      </c>
      <c r="T409" t="s">
        <v>9523</v>
      </c>
      <c r="U409" t="s">
        <v>9524</v>
      </c>
      <c r="V409" t="s">
        <v>9525</v>
      </c>
      <c r="W409" t="s">
        <v>9526</v>
      </c>
      <c r="X409" t="s">
        <v>9527</v>
      </c>
      <c r="Y409" t="s">
        <v>9528</v>
      </c>
    </row>
    <row r="410" spans="1:25" x14ac:dyDescent="0.3">
      <c r="A410">
        <v>20450</v>
      </c>
      <c r="B410" t="s">
        <v>9529</v>
      </c>
      <c r="C410" t="s">
        <v>9530</v>
      </c>
      <c r="D410" t="s">
        <v>9531</v>
      </c>
      <c r="E410" t="s">
        <v>9532</v>
      </c>
      <c r="F410" t="s">
        <v>9533</v>
      </c>
      <c r="G410" t="s">
        <v>9534</v>
      </c>
      <c r="H410" t="s">
        <v>9535</v>
      </c>
      <c r="I410" t="s">
        <v>9536</v>
      </c>
      <c r="J410" t="s">
        <v>9537</v>
      </c>
      <c r="K410" t="s">
        <v>9538</v>
      </c>
      <c r="L410" t="s">
        <v>9539</v>
      </c>
      <c r="M410" t="s">
        <v>9540</v>
      </c>
      <c r="N410" t="s">
        <v>9541</v>
      </c>
      <c r="O410" t="s">
        <v>9542</v>
      </c>
      <c r="P410" t="s">
        <v>9543</v>
      </c>
      <c r="Q410" t="s">
        <v>9544</v>
      </c>
      <c r="R410" t="s">
        <v>9545</v>
      </c>
      <c r="S410" t="s">
        <v>9546</v>
      </c>
      <c r="T410" t="s">
        <v>9547</v>
      </c>
      <c r="U410" t="s">
        <v>9548</v>
      </c>
      <c r="V410" t="s">
        <v>9549</v>
      </c>
      <c r="W410" t="s">
        <v>9550</v>
      </c>
      <c r="X410" t="s">
        <v>9551</v>
      </c>
      <c r="Y410" t="s">
        <v>9552</v>
      </c>
    </row>
    <row r="411" spans="1:25" x14ac:dyDescent="0.3">
      <c r="A411">
        <v>20500</v>
      </c>
      <c r="B411" t="s">
        <v>9553</v>
      </c>
      <c r="C411" t="s">
        <v>9554</v>
      </c>
      <c r="D411" t="s">
        <v>9555</v>
      </c>
      <c r="E411" t="s">
        <v>9556</v>
      </c>
      <c r="F411" t="s">
        <v>9557</v>
      </c>
      <c r="G411" t="s">
        <v>9558</v>
      </c>
      <c r="H411" t="s">
        <v>9559</v>
      </c>
      <c r="I411" t="s">
        <v>9560</v>
      </c>
      <c r="J411" t="s">
        <v>9561</v>
      </c>
      <c r="K411" t="s">
        <v>9562</v>
      </c>
      <c r="L411" t="s">
        <v>9563</v>
      </c>
      <c r="M411" t="s">
        <v>9564</v>
      </c>
      <c r="N411" t="s">
        <v>9565</v>
      </c>
      <c r="O411" t="s">
        <v>9566</v>
      </c>
      <c r="P411" t="s">
        <v>9567</v>
      </c>
      <c r="Q411" t="s">
        <v>9568</v>
      </c>
      <c r="R411" t="s">
        <v>9569</v>
      </c>
      <c r="S411" t="s">
        <v>9570</v>
      </c>
      <c r="T411" t="s">
        <v>9571</v>
      </c>
      <c r="U411" t="s">
        <v>9572</v>
      </c>
      <c r="V411" t="s">
        <v>9573</v>
      </c>
      <c r="W411" t="s">
        <v>9574</v>
      </c>
      <c r="X411" t="s">
        <v>9575</v>
      </c>
      <c r="Y411" t="s">
        <v>9576</v>
      </c>
    </row>
    <row r="412" spans="1:25" x14ac:dyDescent="0.3">
      <c r="A412">
        <v>20550</v>
      </c>
      <c r="B412" t="s">
        <v>9577</v>
      </c>
      <c r="C412" t="s">
        <v>9578</v>
      </c>
      <c r="D412" t="s">
        <v>9579</v>
      </c>
      <c r="E412" t="s">
        <v>9580</v>
      </c>
      <c r="F412" t="s">
        <v>9581</v>
      </c>
      <c r="G412" t="s">
        <v>9582</v>
      </c>
      <c r="H412" t="s">
        <v>9583</v>
      </c>
      <c r="I412" t="s">
        <v>9584</v>
      </c>
      <c r="J412" t="s">
        <v>9585</v>
      </c>
      <c r="K412" t="s">
        <v>9586</v>
      </c>
      <c r="L412" t="s">
        <v>9587</v>
      </c>
      <c r="M412" t="s">
        <v>9588</v>
      </c>
      <c r="N412" t="s">
        <v>9589</v>
      </c>
      <c r="O412" t="s">
        <v>9590</v>
      </c>
      <c r="P412" t="s">
        <v>9591</v>
      </c>
      <c r="Q412" t="s">
        <v>9592</v>
      </c>
      <c r="R412" t="s">
        <v>9593</v>
      </c>
      <c r="S412" t="s">
        <v>9594</v>
      </c>
      <c r="T412" t="s">
        <v>9595</v>
      </c>
      <c r="U412" t="s">
        <v>9596</v>
      </c>
      <c r="V412" t="s">
        <v>9597</v>
      </c>
      <c r="W412" t="s">
        <v>9598</v>
      </c>
      <c r="X412" t="s">
        <v>9599</v>
      </c>
      <c r="Y412" t="s">
        <v>9600</v>
      </c>
    </row>
    <row r="413" spans="1:25" x14ac:dyDescent="0.3">
      <c r="A413">
        <v>20600</v>
      </c>
      <c r="B413" t="s">
        <v>9601</v>
      </c>
      <c r="C413" t="s">
        <v>9602</v>
      </c>
      <c r="D413" t="s">
        <v>9603</v>
      </c>
      <c r="E413" t="s">
        <v>9604</v>
      </c>
      <c r="F413" t="s">
        <v>9605</v>
      </c>
      <c r="G413" t="s">
        <v>9606</v>
      </c>
      <c r="H413" t="s">
        <v>9607</v>
      </c>
      <c r="I413" t="s">
        <v>9608</v>
      </c>
      <c r="J413" t="s">
        <v>9609</v>
      </c>
      <c r="K413" t="s">
        <v>9610</v>
      </c>
      <c r="L413" t="s">
        <v>9611</v>
      </c>
      <c r="M413" t="s">
        <v>9612</v>
      </c>
      <c r="N413" t="s">
        <v>9613</v>
      </c>
      <c r="O413" t="s">
        <v>9614</v>
      </c>
      <c r="P413" t="s">
        <v>9615</v>
      </c>
      <c r="Q413" t="s">
        <v>9616</v>
      </c>
      <c r="R413" t="s">
        <v>9617</v>
      </c>
      <c r="S413" t="s">
        <v>9618</v>
      </c>
      <c r="T413" t="s">
        <v>9619</v>
      </c>
      <c r="U413" t="s">
        <v>9620</v>
      </c>
      <c r="V413" t="s">
        <v>9621</v>
      </c>
      <c r="W413" t="s">
        <v>9622</v>
      </c>
      <c r="X413" t="s">
        <v>9623</v>
      </c>
      <c r="Y413" t="s">
        <v>9624</v>
      </c>
    </row>
    <row r="414" spans="1:25" x14ac:dyDescent="0.3">
      <c r="A414">
        <v>20650</v>
      </c>
      <c r="B414" t="s">
        <v>9625</v>
      </c>
      <c r="C414" t="s">
        <v>9626</v>
      </c>
      <c r="D414" t="s">
        <v>9627</v>
      </c>
      <c r="E414" t="s">
        <v>9628</v>
      </c>
      <c r="F414" t="s">
        <v>9629</v>
      </c>
      <c r="G414" t="s">
        <v>9630</v>
      </c>
      <c r="H414" t="s">
        <v>9631</v>
      </c>
      <c r="I414" t="s">
        <v>9632</v>
      </c>
      <c r="J414" t="s">
        <v>9633</v>
      </c>
      <c r="K414" t="s">
        <v>9634</v>
      </c>
      <c r="L414" t="s">
        <v>9635</v>
      </c>
      <c r="M414" t="s">
        <v>9636</v>
      </c>
      <c r="N414" t="s">
        <v>9637</v>
      </c>
      <c r="O414" t="s">
        <v>9638</v>
      </c>
      <c r="P414" t="s">
        <v>9639</v>
      </c>
      <c r="Q414" t="s">
        <v>9640</v>
      </c>
      <c r="R414" t="s">
        <v>9641</v>
      </c>
      <c r="S414" t="s">
        <v>9642</v>
      </c>
      <c r="T414" t="s">
        <v>9643</v>
      </c>
      <c r="U414" t="s">
        <v>9644</v>
      </c>
      <c r="V414" t="s">
        <v>9645</v>
      </c>
      <c r="W414" t="s">
        <v>9646</v>
      </c>
      <c r="X414" t="s">
        <v>9647</v>
      </c>
      <c r="Y414" t="s">
        <v>9648</v>
      </c>
    </row>
    <row r="415" spans="1:25" x14ac:dyDescent="0.3">
      <c r="A415">
        <v>20700</v>
      </c>
      <c r="B415" t="s">
        <v>9649</v>
      </c>
      <c r="C415" t="s">
        <v>9650</v>
      </c>
      <c r="D415" t="s">
        <v>9651</v>
      </c>
      <c r="E415" t="s">
        <v>9652</v>
      </c>
      <c r="F415" t="s">
        <v>9653</v>
      </c>
      <c r="G415" t="s">
        <v>9654</v>
      </c>
      <c r="H415" t="s">
        <v>9655</v>
      </c>
      <c r="I415" t="s">
        <v>9656</v>
      </c>
      <c r="J415" t="s">
        <v>9657</v>
      </c>
      <c r="K415" t="s">
        <v>9658</v>
      </c>
      <c r="L415" t="s">
        <v>9659</v>
      </c>
      <c r="M415" t="s">
        <v>9660</v>
      </c>
      <c r="N415" t="s">
        <v>9661</v>
      </c>
      <c r="O415" t="s">
        <v>9662</v>
      </c>
      <c r="P415" t="s">
        <v>9663</v>
      </c>
      <c r="Q415" t="s">
        <v>9664</v>
      </c>
      <c r="R415" t="s">
        <v>9665</v>
      </c>
      <c r="S415" t="s">
        <v>9666</v>
      </c>
      <c r="T415" t="s">
        <v>9667</v>
      </c>
      <c r="U415" t="s">
        <v>9668</v>
      </c>
      <c r="V415" t="s">
        <v>9669</v>
      </c>
      <c r="W415" t="s">
        <v>9670</v>
      </c>
      <c r="X415" t="s">
        <v>9671</v>
      </c>
      <c r="Y415" t="s">
        <v>9672</v>
      </c>
    </row>
    <row r="416" spans="1:25" x14ac:dyDescent="0.3">
      <c r="A416">
        <v>20750</v>
      </c>
      <c r="B416" t="s">
        <v>9673</v>
      </c>
      <c r="C416" t="s">
        <v>9674</v>
      </c>
      <c r="D416" t="s">
        <v>9675</v>
      </c>
      <c r="E416" t="s">
        <v>9676</v>
      </c>
      <c r="F416" t="s">
        <v>9677</v>
      </c>
      <c r="G416" t="s">
        <v>9678</v>
      </c>
      <c r="H416" t="s">
        <v>9679</v>
      </c>
      <c r="I416" t="s">
        <v>9680</v>
      </c>
      <c r="J416" t="s">
        <v>9681</v>
      </c>
      <c r="K416" t="s">
        <v>9682</v>
      </c>
      <c r="L416" t="s">
        <v>9683</v>
      </c>
      <c r="M416" t="s">
        <v>9684</v>
      </c>
      <c r="N416" t="s">
        <v>9685</v>
      </c>
      <c r="O416" t="s">
        <v>9686</v>
      </c>
      <c r="P416" t="s">
        <v>9687</v>
      </c>
      <c r="Q416" t="s">
        <v>9688</v>
      </c>
      <c r="R416" t="s">
        <v>9689</v>
      </c>
      <c r="S416" t="s">
        <v>9690</v>
      </c>
      <c r="T416" t="s">
        <v>9691</v>
      </c>
      <c r="U416" t="s">
        <v>9692</v>
      </c>
      <c r="V416" t="s">
        <v>9693</v>
      </c>
      <c r="W416" t="s">
        <v>9694</v>
      </c>
      <c r="X416" t="s">
        <v>9695</v>
      </c>
      <c r="Y416" t="s">
        <v>9696</v>
      </c>
    </row>
    <row r="417" spans="1:25" x14ac:dyDescent="0.3">
      <c r="A417">
        <v>20800</v>
      </c>
      <c r="B417" t="s">
        <v>9697</v>
      </c>
      <c r="C417" t="s">
        <v>9698</v>
      </c>
      <c r="D417" t="s">
        <v>9699</v>
      </c>
      <c r="E417" t="s">
        <v>9700</v>
      </c>
      <c r="F417" t="s">
        <v>9701</v>
      </c>
      <c r="G417" t="s">
        <v>9702</v>
      </c>
      <c r="H417" t="s">
        <v>9703</v>
      </c>
      <c r="I417" t="s">
        <v>9704</v>
      </c>
      <c r="J417" t="s">
        <v>9705</v>
      </c>
      <c r="K417" t="s">
        <v>9706</v>
      </c>
      <c r="L417" t="s">
        <v>9707</v>
      </c>
      <c r="M417" t="s">
        <v>9708</v>
      </c>
      <c r="N417" t="s">
        <v>9709</v>
      </c>
      <c r="O417" t="s">
        <v>9710</v>
      </c>
      <c r="P417" t="s">
        <v>9711</v>
      </c>
      <c r="Q417" t="s">
        <v>9712</v>
      </c>
      <c r="R417" t="s">
        <v>9713</v>
      </c>
      <c r="S417" t="s">
        <v>9714</v>
      </c>
      <c r="T417" t="s">
        <v>9715</v>
      </c>
      <c r="U417" t="s">
        <v>9716</v>
      </c>
      <c r="V417" t="s">
        <v>9717</v>
      </c>
      <c r="W417" t="s">
        <v>9718</v>
      </c>
      <c r="X417" t="s">
        <v>9719</v>
      </c>
      <c r="Y417" t="s">
        <v>9720</v>
      </c>
    </row>
    <row r="418" spans="1:25" x14ac:dyDescent="0.3">
      <c r="A418">
        <v>20850</v>
      </c>
      <c r="B418" t="s">
        <v>9721</v>
      </c>
      <c r="C418" t="s">
        <v>9722</v>
      </c>
      <c r="D418" t="s">
        <v>9723</v>
      </c>
      <c r="E418" t="s">
        <v>9724</v>
      </c>
      <c r="F418" t="s">
        <v>9725</v>
      </c>
      <c r="G418" t="s">
        <v>9726</v>
      </c>
      <c r="H418" t="s">
        <v>9727</v>
      </c>
      <c r="I418" t="s">
        <v>9728</v>
      </c>
      <c r="J418" t="s">
        <v>9729</v>
      </c>
      <c r="K418" t="s">
        <v>9730</v>
      </c>
      <c r="L418" t="s">
        <v>9731</v>
      </c>
      <c r="M418" t="s">
        <v>9732</v>
      </c>
      <c r="N418" t="s">
        <v>9733</v>
      </c>
      <c r="O418" t="s">
        <v>9734</v>
      </c>
      <c r="P418" t="s">
        <v>9735</v>
      </c>
      <c r="Q418" t="s">
        <v>9736</v>
      </c>
      <c r="R418" t="s">
        <v>9737</v>
      </c>
      <c r="S418" t="s">
        <v>9738</v>
      </c>
      <c r="T418" t="s">
        <v>9739</v>
      </c>
      <c r="U418" t="s">
        <v>9740</v>
      </c>
      <c r="V418" t="s">
        <v>9741</v>
      </c>
      <c r="W418" t="s">
        <v>9742</v>
      </c>
      <c r="X418" t="s">
        <v>9743</v>
      </c>
      <c r="Y418" t="s">
        <v>9744</v>
      </c>
    </row>
    <row r="419" spans="1:25" x14ac:dyDescent="0.3">
      <c r="A419">
        <v>20900</v>
      </c>
      <c r="B419" t="s">
        <v>9745</v>
      </c>
      <c r="C419" t="s">
        <v>9746</v>
      </c>
      <c r="D419" t="s">
        <v>9747</v>
      </c>
      <c r="E419" t="s">
        <v>9748</v>
      </c>
      <c r="F419" t="s">
        <v>9749</v>
      </c>
      <c r="G419" t="s">
        <v>9750</v>
      </c>
      <c r="H419" t="s">
        <v>9751</v>
      </c>
      <c r="I419" t="s">
        <v>9752</v>
      </c>
      <c r="J419" t="s">
        <v>9753</v>
      </c>
      <c r="K419" t="s">
        <v>9754</v>
      </c>
      <c r="L419" t="s">
        <v>9755</v>
      </c>
      <c r="M419" t="s">
        <v>9756</v>
      </c>
      <c r="N419" t="s">
        <v>9757</v>
      </c>
      <c r="O419" t="s">
        <v>9758</v>
      </c>
      <c r="P419" t="s">
        <v>9759</v>
      </c>
      <c r="Q419" t="s">
        <v>9760</v>
      </c>
      <c r="R419" t="s">
        <v>9761</v>
      </c>
      <c r="S419" t="s">
        <v>9762</v>
      </c>
      <c r="T419" t="s">
        <v>9763</v>
      </c>
      <c r="U419" t="s">
        <v>9764</v>
      </c>
      <c r="V419" t="s">
        <v>9765</v>
      </c>
      <c r="W419" t="s">
        <v>9766</v>
      </c>
      <c r="X419" t="s">
        <v>9767</v>
      </c>
      <c r="Y419" t="s">
        <v>9768</v>
      </c>
    </row>
    <row r="420" spans="1:25" x14ac:dyDescent="0.3">
      <c r="A420">
        <v>20950</v>
      </c>
      <c r="B420" t="s">
        <v>9769</v>
      </c>
      <c r="C420" t="s">
        <v>9770</v>
      </c>
      <c r="D420" t="s">
        <v>9771</v>
      </c>
      <c r="E420" t="s">
        <v>9772</v>
      </c>
      <c r="F420" t="s">
        <v>9773</v>
      </c>
      <c r="G420" t="s">
        <v>9774</v>
      </c>
      <c r="H420" t="s">
        <v>9775</v>
      </c>
      <c r="I420" t="s">
        <v>9776</v>
      </c>
      <c r="J420" t="s">
        <v>9777</v>
      </c>
      <c r="K420" t="s">
        <v>9778</v>
      </c>
      <c r="L420" t="s">
        <v>9779</v>
      </c>
      <c r="M420" t="s">
        <v>9780</v>
      </c>
      <c r="N420" t="s">
        <v>9781</v>
      </c>
      <c r="O420" t="s">
        <v>9782</v>
      </c>
      <c r="P420" t="s">
        <v>9783</v>
      </c>
      <c r="Q420" t="s">
        <v>9784</v>
      </c>
      <c r="R420" t="s">
        <v>9785</v>
      </c>
      <c r="S420" t="s">
        <v>9786</v>
      </c>
      <c r="T420" t="s">
        <v>9787</v>
      </c>
      <c r="U420" t="s">
        <v>9788</v>
      </c>
      <c r="V420" t="s">
        <v>9789</v>
      </c>
      <c r="W420" t="s">
        <v>9790</v>
      </c>
      <c r="X420" t="s">
        <v>9791</v>
      </c>
      <c r="Y420" t="s">
        <v>9792</v>
      </c>
    </row>
    <row r="421" spans="1:25" x14ac:dyDescent="0.3">
      <c r="A421">
        <v>21000</v>
      </c>
      <c r="B421" t="s">
        <v>9793</v>
      </c>
      <c r="C421" t="s">
        <v>9794</v>
      </c>
      <c r="D421" t="s">
        <v>9795</v>
      </c>
      <c r="E421" t="s">
        <v>9796</v>
      </c>
      <c r="F421" t="s">
        <v>9797</v>
      </c>
      <c r="G421" t="s">
        <v>9798</v>
      </c>
      <c r="H421" t="s">
        <v>9799</v>
      </c>
      <c r="I421" t="s">
        <v>9800</v>
      </c>
      <c r="J421" t="s">
        <v>9801</v>
      </c>
      <c r="K421" t="s">
        <v>9802</v>
      </c>
      <c r="L421" t="s">
        <v>9803</v>
      </c>
      <c r="M421" t="s">
        <v>9804</v>
      </c>
      <c r="N421" t="s">
        <v>9805</v>
      </c>
      <c r="O421" t="s">
        <v>9806</v>
      </c>
      <c r="P421" t="s">
        <v>9807</v>
      </c>
      <c r="Q421" t="s">
        <v>9808</v>
      </c>
      <c r="R421" t="s">
        <v>9809</v>
      </c>
      <c r="S421" t="s">
        <v>9810</v>
      </c>
      <c r="T421" t="s">
        <v>9811</v>
      </c>
      <c r="U421" t="s">
        <v>9812</v>
      </c>
      <c r="V421" t="s">
        <v>9813</v>
      </c>
      <c r="W421" t="s">
        <v>9814</v>
      </c>
      <c r="X421" t="s">
        <v>9815</v>
      </c>
      <c r="Y421" t="s">
        <v>9816</v>
      </c>
    </row>
    <row r="422" spans="1:25" x14ac:dyDescent="0.3">
      <c r="A422">
        <v>21050</v>
      </c>
      <c r="B422" t="s">
        <v>9817</v>
      </c>
      <c r="C422" t="s">
        <v>9818</v>
      </c>
      <c r="D422" t="s">
        <v>9819</v>
      </c>
      <c r="E422" t="s">
        <v>9820</v>
      </c>
      <c r="F422" t="s">
        <v>9821</v>
      </c>
      <c r="G422" t="s">
        <v>9822</v>
      </c>
      <c r="H422" t="s">
        <v>9823</v>
      </c>
      <c r="I422" t="s">
        <v>9824</v>
      </c>
      <c r="J422" t="s">
        <v>9825</v>
      </c>
      <c r="K422" t="s">
        <v>9826</v>
      </c>
      <c r="L422" t="s">
        <v>9827</v>
      </c>
      <c r="M422" t="s">
        <v>9828</v>
      </c>
      <c r="N422" t="s">
        <v>9829</v>
      </c>
      <c r="O422" t="s">
        <v>9830</v>
      </c>
      <c r="P422" t="s">
        <v>9831</v>
      </c>
      <c r="Q422" t="s">
        <v>9832</v>
      </c>
      <c r="R422" t="s">
        <v>9833</v>
      </c>
      <c r="S422" t="s">
        <v>9834</v>
      </c>
      <c r="T422" t="s">
        <v>9835</v>
      </c>
      <c r="U422" t="s">
        <v>9836</v>
      </c>
      <c r="V422" t="s">
        <v>9837</v>
      </c>
      <c r="W422" t="s">
        <v>9838</v>
      </c>
      <c r="X422" t="s">
        <v>9839</v>
      </c>
      <c r="Y422" t="s">
        <v>9840</v>
      </c>
    </row>
    <row r="423" spans="1:25" x14ac:dyDescent="0.3">
      <c r="A423">
        <v>21100</v>
      </c>
      <c r="B423" t="s">
        <v>9841</v>
      </c>
      <c r="C423" t="s">
        <v>9842</v>
      </c>
      <c r="D423" t="s">
        <v>9843</v>
      </c>
      <c r="E423" t="s">
        <v>9844</v>
      </c>
      <c r="F423" t="s">
        <v>9845</v>
      </c>
      <c r="G423" t="s">
        <v>9846</v>
      </c>
      <c r="H423" t="s">
        <v>9847</v>
      </c>
      <c r="I423" t="s">
        <v>9848</v>
      </c>
      <c r="J423" t="s">
        <v>9849</v>
      </c>
      <c r="K423" t="s">
        <v>9850</v>
      </c>
      <c r="L423" t="s">
        <v>9851</v>
      </c>
      <c r="M423" t="s">
        <v>9852</v>
      </c>
      <c r="N423" t="s">
        <v>9853</v>
      </c>
      <c r="O423" t="s">
        <v>9854</v>
      </c>
      <c r="P423" t="s">
        <v>9855</v>
      </c>
      <c r="Q423" t="s">
        <v>9856</v>
      </c>
      <c r="R423" t="s">
        <v>9857</v>
      </c>
      <c r="S423" t="s">
        <v>9858</v>
      </c>
      <c r="T423" t="s">
        <v>9859</v>
      </c>
      <c r="U423" t="s">
        <v>9860</v>
      </c>
      <c r="V423" t="s">
        <v>9861</v>
      </c>
      <c r="W423" t="s">
        <v>9862</v>
      </c>
      <c r="X423" t="s">
        <v>9863</v>
      </c>
      <c r="Y423" t="s">
        <v>9864</v>
      </c>
    </row>
    <row r="424" spans="1:25" x14ac:dyDescent="0.3">
      <c r="A424">
        <v>21150</v>
      </c>
      <c r="B424" t="s">
        <v>9865</v>
      </c>
      <c r="C424" t="s">
        <v>9866</v>
      </c>
      <c r="D424" t="s">
        <v>9867</v>
      </c>
      <c r="E424" t="s">
        <v>9868</v>
      </c>
      <c r="F424" t="s">
        <v>9869</v>
      </c>
      <c r="G424" t="s">
        <v>9870</v>
      </c>
      <c r="H424" t="s">
        <v>9871</v>
      </c>
      <c r="I424" t="s">
        <v>9872</v>
      </c>
      <c r="J424" t="s">
        <v>9873</v>
      </c>
      <c r="K424" t="s">
        <v>9874</v>
      </c>
      <c r="L424" t="s">
        <v>9875</v>
      </c>
      <c r="M424" t="s">
        <v>9876</v>
      </c>
      <c r="N424" t="s">
        <v>9877</v>
      </c>
      <c r="O424" t="s">
        <v>9878</v>
      </c>
      <c r="P424" t="s">
        <v>9879</v>
      </c>
      <c r="Q424" t="s">
        <v>9880</v>
      </c>
      <c r="R424" t="s">
        <v>9881</v>
      </c>
      <c r="S424" t="s">
        <v>9882</v>
      </c>
      <c r="T424" t="s">
        <v>9883</v>
      </c>
      <c r="U424" t="s">
        <v>9884</v>
      </c>
      <c r="V424" t="s">
        <v>9885</v>
      </c>
      <c r="W424" t="s">
        <v>9886</v>
      </c>
      <c r="X424" t="s">
        <v>9887</v>
      </c>
      <c r="Y424" t="s">
        <v>9888</v>
      </c>
    </row>
    <row r="425" spans="1:25" x14ac:dyDescent="0.3">
      <c r="A425">
        <v>21200</v>
      </c>
      <c r="B425" t="s">
        <v>9889</v>
      </c>
      <c r="C425" t="s">
        <v>9890</v>
      </c>
      <c r="D425" t="s">
        <v>9891</v>
      </c>
      <c r="E425" t="s">
        <v>9892</v>
      </c>
      <c r="F425" t="s">
        <v>9893</v>
      </c>
      <c r="G425" t="s">
        <v>9894</v>
      </c>
      <c r="H425" t="s">
        <v>9895</v>
      </c>
      <c r="I425" t="s">
        <v>9896</v>
      </c>
      <c r="J425" t="s">
        <v>9897</v>
      </c>
      <c r="K425" t="s">
        <v>9898</v>
      </c>
      <c r="L425" t="s">
        <v>9899</v>
      </c>
      <c r="M425" t="s">
        <v>9900</v>
      </c>
      <c r="N425" t="s">
        <v>9901</v>
      </c>
      <c r="O425" t="s">
        <v>9902</v>
      </c>
      <c r="P425" t="s">
        <v>9903</v>
      </c>
      <c r="Q425" t="s">
        <v>9904</v>
      </c>
      <c r="R425" t="s">
        <v>9905</v>
      </c>
      <c r="S425" t="s">
        <v>9906</v>
      </c>
      <c r="T425" t="s">
        <v>9907</v>
      </c>
      <c r="U425" t="s">
        <v>9908</v>
      </c>
      <c r="V425" t="s">
        <v>9909</v>
      </c>
      <c r="W425" t="s">
        <v>9910</v>
      </c>
      <c r="X425" t="s">
        <v>9911</v>
      </c>
      <c r="Y425" t="s">
        <v>9912</v>
      </c>
    </row>
    <row r="426" spans="1:25" x14ac:dyDescent="0.3">
      <c r="A426">
        <v>21250</v>
      </c>
      <c r="B426" t="s">
        <v>9913</v>
      </c>
      <c r="C426" t="s">
        <v>9914</v>
      </c>
      <c r="D426" t="s">
        <v>9915</v>
      </c>
      <c r="E426" t="s">
        <v>9916</v>
      </c>
      <c r="F426" t="s">
        <v>9917</v>
      </c>
      <c r="G426" t="s">
        <v>9918</v>
      </c>
      <c r="H426" t="s">
        <v>9919</v>
      </c>
      <c r="I426" t="s">
        <v>9920</v>
      </c>
      <c r="J426" t="s">
        <v>9921</v>
      </c>
      <c r="K426" t="s">
        <v>9922</v>
      </c>
      <c r="L426" t="s">
        <v>9923</v>
      </c>
      <c r="M426" t="s">
        <v>9924</v>
      </c>
      <c r="N426" t="s">
        <v>9925</v>
      </c>
      <c r="O426" t="s">
        <v>9926</v>
      </c>
      <c r="P426" t="s">
        <v>9927</v>
      </c>
      <c r="Q426" t="s">
        <v>9928</v>
      </c>
      <c r="R426" t="s">
        <v>9929</v>
      </c>
      <c r="S426" t="s">
        <v>9930</v>
      </c>
      <c r="T426" t="s">
        <v>9931</v>
      </c>
      <c r="U426" t="s">
        <v>9932</v>
      </c>
      <c r="V426" t="s">
        <v>9933</v>
      </c>
      <c r="W426" t="s">
        <v>9934</v>
      </c>
      <c r="X426" t="s">
        <v>9935</v>
      </c>
      <c r="Y426" t="s">
        <v>9936</v>
      </c>
    </row>
    <row r="427" spans="1:25" x14ac:dyDescent="0.3">
      <c r="A427">
        <v>21300</v>
      </c>
      <c r="B427" t="s">
        <v>9937</v>
      </c>
      <c r="C427" t="s">
        <v>9938</v>
      </c>
      <c r="D427" t="s">
        <v>9939</v>
      </c>
      <c r="E427" t="s">
        <v>9940</v>
      </c>
      <c r="F427" t="s">
        <v>9941</v>
      </c>
      <c r="G427" t="s">
        <v>9942</v>
      </c>
      <c r="H427" t="s">
        <v>9943</v>
      </c>
      <c r="I427" t="s">
        <v>9944</v>
      </c>
      <c r="J427" t="s">
        <v>9945</v>
      </c>
      <c r="K427" t="s">
        <v>9946</v>
      </c>
      <c r="L427" t="s">
        <v>9947</v>
      </c>
      <c r="M427" t="s">
        <v>9948</v>
      </c>
      <c r="N427" t="s">
        <v>9949</v>
      </c>
      <c r="O427" t="s">
        <v>9950</v>
      </c>
      <c r="P427" t="s">
        <v>9951</v>
      </c>
      <c r="Q427" t="s">
        <v>9952</v>
      </c>
      <c r="R427" t="s">
        <v>9953</v>
      </c>
      <c r="S427" t="s">
        <v>9954</v>
      </c>
      <c r="T427" t="s">
        <v>9955</v>
      </c>
      <c r="U427" t="s">
        <v>9956</v>
      </c>
      <c r="V427" t="s">
        <v>9957</v>
      </c>
      <c r="W427" t="s">
        <v>9958</v>
      </c>
      <c r="X427" t="s">
        <v>9959</v>
      </c>
      <c r="Y427" t="s">
        <v>9960</v>
      </c>
    </row>
    <row r="428" spans="1:25" x14ac:dyDescent="0.3">
      <c r="A428">
        <v>21350</v>
      </c>
      <c r="B428" t="s">
        <v>9961</v>
      </c>
      <c r="C428" t="s">
        <v>9962</v>
      </c>
      <c r="D428" t="s">
        <v>9963</v>
      </c>
      <c r="E428" t="s">
        <v>9964</v>
      </c>
      <c r="F428" t="s">
        <v>9965</v>
      </c>
      <c r="G428" t="s">
        <v>9966</v>
      </c>
      <c r="H428" t="s">
        <v>9967</v>
      </c>
      <c r="I428" t="s">
        <v>9968</v>
      </c>
      <c r="J428" t="s">
        <v>9969</v>
      </c>
      <c r="K428" t="s">
        <v>9970</v>
      </c>
      <c r="L428" t="s">
        <v>9971</v>
      </c>
      <c r="M428" t="s">
        <v>9972</v>
      </c>
      <c r="N428" t="s">
        <v>9973</v>
      </c>
      <c r="O428" t="s">
        <v>9974</v>
      </c>
      <c r="P428" t="s">
        <v>9975</v>
      </c>
      <c r="Q428" t="s">
        <v>9976</v>
      </c>
      <c r="R428" t="s">
        <v>9977</v>
      </c>
      <c r="S428" t="s">
        <v>9978</v>
      </c>
      <c r="T428" t="s">
        <v>9979</v>
      </c>
      <c r="U428" t="s">
        <v>9980</v>
      </c>
      <c r="V428" t="s">
        <v>9981</v>
      </c>
      <c r="W428" t="s">
        <v>9982</v>
      </c>
      <c r="X428" t="s">
        <v>9983</v>
      </c>
      <c r="Y428" t="s">
        <v>9984</v>
      </c>
    </row>
    <row r="429" spans="1:25" x14ac:dyDescent="0.3">
      <c r="A429">
        <v>21400</v>
      </c>
      <c r="B429" t="s">
        <v>9985</v>
      </c>
      <c r="C429" t="s">
        <v>9986</v>
      </c>
      <c r="D429" t="s">
        <v>9987</v>
      </c>
      <c r="E429" t="s">
        <v>9988</v>
      </c>
      <c r="F429" t="s">
        <v>9989</v>
      </c>
      <c r="G429" t="s">
        <v>9990</v>
      </c>
      <c r="H429" t="s">
        <v>9991</v>
      </c>
      <c r="I429" t="s">
        <v>9992</v>
      </c>
      <c r="J429" t="s">
        <v>9993</v>
      </c>
      <c r="K429" t="s">
        <v>9994</v>
      </c>
      <c r="L429" t="s">
        <v>9995</v>
      </c>
      <c r="M429" t="s">
        <v>9996</v>
      </c>
      <c r="N429" t="s">
        <v>9997</v>
      </c>
      <c r="O429" t="s">
        <v>9998</v>
      </c>
      <c r="P429" t="s">
        <v>9999</v>
      </c>
      <c r="Q429" t="s">
        <v>10000</v>
      </c>
      <c r="R429" t="s">
        <v>10001</v>
      </c>
      <c r="S429" t="s">
        <v>10002</v>
      </c>
      <c r="T429" t="s">
        <v>10003</v>
      </c>
      <c r="U429" t="s">
        <v>10004</v>
      </c>
      <c r="V429" t="s">
        <v>10005</v>
      </c>
      <c r="W429" t="s">
        <v>10006</v>
      </c>
      <c r="X429" t="s">
        <v>10007</v>
      </c>
      <c r="Y429" t="s">
        <v>10008</v>
      </c>
    </row>
    <row r="430" spans="1:25" x14ac:dyDescent="0.3">
      <c r="A430">
        <v>21450</v>
      </c>
      <c r="B430" t="s">
        <v>10009</v>
      </c>
      <c r="C430" t="s">
        <v>10010</v>
      </c>
      <c r="D430" t="s">
        <v>10011</v>
      </c>
      <c r="E430" t="s">
        <v>10012</v>
      </c>
      <c r="F430" t="s">
        <v>10013</v>
      </c>
      <c r="G430" t="s">
        <v>10014</v>
      </c>
      <c r="H430" t="s">
        <v>10015</v>
      </c>
      <c r="I430" t="s">
        <v>10016</v>
      </c>
      <c r="J430" t="s">
        <v>10017</v>
      </c>
      <c r="K430" t="s">
        <v>10018</v>
      </c>
      <c r="L430" t="s">
        <v>10019</v>
      </c>
      <c r="M430" t="s">
        <v>10020</v>
      </c>
      <c r="N430" t="s">
        <v>10021</v>
      </c>
      <c r="O430" t="s">
        <v>10022</v>
      </c>
      <c r="P430" t="s">
        <v>10023</v>
      </c>
      <c r="Q430" t="s">
        <v>10024</v>
      </c>
      <c r="R430" t="s">
        <v>10025</v>
      </c>
      <c r="S430" t="s">
        <v>10026</v>
      </c>
      <c r="T430" t="s">
        <v>10027</v>
      </c>
      <c r="U430" t="s">
        <v>10028</v>
      </c>
      <c r="V430" t="s">
        <v>10029</v>
      </c>
      <c r="W430" t="s">
        <v>10030</v>
      </c>
      <c r="X430" t="s">
        <v>10031</v>
      </c>
      <c r="Y430" t="s">
        <v>10032</v>
      </c>
    </row>
    <row r="431" spans="1:25" x14ac:dyDescent="0.3">
      <c r="A431">
        <v>21500</v>
      </c>
      <c r="B431" t="s">
        <v>10033</v>
      </c>
      <c r="C431" t="s">
        <v>10034</v>
      </c>
      <c r="D431" t="s">
        <v>10035</v>
      </c>
      <c r="E431" t="s">
        <v>10036</v>
      </c>
      <c r="F431" t="s">
        <v>10037</v>
      </c>
      <c r="G431" t="s">
        <v>10038</v>
      </c>
      <c r="H431" t="s">
        <v>10039</v>
      </c>
      <c r="I431" t="s">
        <v>10040</v>
      </c>
      <c r="J431" t="s">
        <v>10041</v>
      </c>
      <c r="K431" t="s">
        <v>10042</v>
      </c>
      <c r="L431" t="s">
        <v>10043</v>
      </c>
      <c r="M431" t="s">
        <v>10044</v>
      </c>
      <c r="N431" t="s">
        <v>10045</v>
      </c>
      <c r="O431" t="s">
        <v>10046</v>
      </c>
      <c r="P431" t="s">
        <v>10047</v>
      </c>
      <c r="Q431" t="s">
        <v>10048</v>
      </c>
      <c r="R431" t="s">
        <v>10049</v>
      </c>
      <c r="S431" t="s">
        <v>10050</v>
      </c>
      <c r="T431" t="s">
        <v>10051</v>
      </c>
      <c r="U431" t="s">
        <v>10052</v>
      </c>
      <c r="V431" t="s">
        <v>10053</v>
      </c>
      <c r="W431" t="s">
        <v>10054</v>
      </c>
      <c r="X431" t="s">
        <v>10055</v>
      </c>
      <c r="Y431" t="s">
        <v>10056</v>
      </c>
    </row>
    <row r="432" spans="1:25" x14ac:dyDescent="0.3">
      <c r="A432">
        <v>21550</v>
      </c>
      <c r="B432" t="s">
        <v>10057</v>
      </c>
      <c r="C432" t="s">
        <v>10058</v>
      </c>
      <c r="D432" t="s">
        <v>10059</v>
      </c>
      <c r="E432" t="s">
        <v>10060</v>
      </c>
      <c r="F432" t="s">
        <v>10061</v>
      </c>
      <c r="G432" t="s">
        <v>10062</v>
      </c>
      <c r="H432" t="s">
        <v>10063</v>
      </c>
      <c r="I432" t="s">
        <v>10064</v>
      </c>
      <c r="J432" t="s">
        <v>10065</v>
      </c>
      <c r="K432" t="s">
        <v>10066</v>
      </c>
      <c r="L432" t="s">
        <v>10067</v>
      </c>
      <c r="M432" t="s">
        <v>10068</v>
      </c>
      <c r="N432" t="s">
        <v>10069</v>
      </c>
      <c r="O432" t="s">
        <v>10070</v>
      </c>
      <c r="P432" t="s">
        <v>10071</v>
      </c>
      <c r="Q432" t="s">
        <v>10072</v>
      </c>
      <c r="R432" t="s">
        <v>10073</v>
      </c>
      <c r="S432" t="s">
        <v>10074</v>
      </c>
      <c r="T432" t="s">
        <v>10075</v>
      </c>
      <c r="U432" t="s">
        <v>10076</v>
      </c>
      <c r="V432" t="s">
        <v>10077</v>
      </c>
      <c r="W432" t="s">
        <v>10078</v>
      </c>
      <c r="X432" t="s">
        <v>10079</v>
      </c>
      <c r="Y432" t="s">
        <v>10080</v>
      </c>
    </row>
    <row r="433" spans="1:25" x14ac:dyDescent="0.3">
      <c r="A433">
        <v>21600</v>
      </c>
      <c r="B433" t="s">
        <v>10081</v>
      </c>
      <c r="C433" t="s">
        <v>10082</v>
      </c>
      <c r="D433" t="s">
        <v>10083</v>
      </c>
      <c r="E433" t="s">
        <v>10084</v>
      </c>
      <c r="F433" t="s">
        <v>10085</v>
      </c>
      <c r="G433" t="s">
        <v>10086</v>
      </c>
      <c r="H433" t="s">
        <v>10087</v>
      </c>
      <c r="I433" t="s">
        <v>10088</v>
      </c>
      <c r="J433" t="s">
        <v>10089</v>
      </c>
      <c r="K433" t="s">
        <v>10090</v>
      </c>
      <c r="L433" t="s">
        <v>10091</v>
      </c>
      <c r="M433" t="s">
        <v>10092</v>
      </c>
      <c r="N433" t="s">
        <v>10093</v>
      </c>
      <c r="O433">
        <f>-636.993826050012 -1.73739173894348 -756.847470423044</f>
        <v>-1395.5786882119996</v>
      </c>
      <c r="P433" t="s">
        <v>10094</v>
      </c>
      <c r="Q433" t="s">
        <v>10095</v>
      </c>
      <c r="R433" t="s">
        <v>10096</v>
      </c>
      <c r="S433" t="s">
        <v>10097</v>
      </c>
      <c r="T433" t="s">
        <v>10098</v>
      </c>
      <c r="U433" t="s">
        <v>10099</v>
      </c>
      <c r="V433" t="s">
        <v>10100</v>
      </c>
      <c r="W433" t="s">
        <v>10101</v>
      </c>
      <c r="X433" t="s">
        <v>10102</v>
      </c>
      <c r="Y433" t="s">
        <v>10103</v>
      </c>
    </row>
    <row r="434" spans="1:25" x14ac:dyDescent="0.3">
      <c r="A434">
        <v>21650</v>
      </c>
      <c r="B434" t="s">
        <v>10104</v>
      </c>
      <c r="C434" t="s">
        <v>10105</v>
      </c>
      <c r="D434" t="s">
        <v>10106</v>
      </c>
      <c r="E434" t="s">
        <v>10107</v>
      </c>
      <c r="F434" t="s">
        <v>10108</v>
      </c>
      <c r="G434" t="s">
        <v>10109</v>
      </c>
      <c r="H434" t="s">
        <v>10110</v>
      </c>
      <c r="I434" t="s">
        <v>10111</v>
      </c>
      <c r="J434" t="s">
        <v>10112</v>
      </c>
      <c r="K434" t="s">
        <v>10113</v>
      </c>
      <c r="L434" t="s">
        <v>10114</v>
      </c>
      <c r="M434" t="s">
        <v>10115</v>
      </c>
      <c r="N434" t="s">
        <v>10116</v>
      </c>
      <c r="O434">
        <f>-636.130166381726 -12.1806328071677 -756.21156667962</f>
        <v>-1404.5223658685136</v>
      </c>
      <c r="P434" t="s">
        <v>10117</v>
      </c>
      <c r="Q434" t="s">
        <v>10118</v>
      </c>
      <c r="R434" t="s">
        <v>10119</v>
      </c>
      <c r="S434" t="s">
        <v>10120</v>
      </c>
      <c r="T434" t="s">
        <v>10121</v>
      </c>
      <c r="U434" t="s">
        <v>10122</v>
      </c>
      <c r="V434" t="s">
        <v>10123</v>
      </c>
      <c r="W434" t="s">
        <v>10124</v>
      </c>
      <c r="X434" t="s">
        <v>10125</v>
      </c>
      <c r="Y434" t="s">
        <v>10126</v>
      </c>
    </row>
    <row r="435" spans="1:25" x14ac:dyDescent="0.3">
      <c r="A435">
        <v>21700</v>
      </c>
      <c r="B435" t="s">
        <v>10127</v>
      </c>
      <c r="C435" t="s">
        <v>10128</v>
      </c>
      <c r="D435" t="s">
        <v>10129</v>
      </c>
      <c r="E435" t="s">
        <v>10130</v>
      </c>
      <c r="F435" t="s">
        <v>10131</v>
      </c>
      <c r="G435" t="s">
        <v>10132</v>
      </c>
      <c r="H435" t="s">
        <v>10133</v>
      </c>
      <c r="I435" t="s">
        <v>10134</v>
      </c>
      <c r="J435" t="s">
        <v>10135</v>
      </c>
      <c r="K435" t="s">
        <v>10136</v>
      </c>
      <c r="L435" t="s">
        <v>10137</v>
      </c>
      <c r="M435" t="s">
        <v>10138</v>
      </c>
      <c r="N435" t="s">
        <v>10139</v>
      </c>
      <c r="O435">
        <f>-635.188078490374 -16.8832238759475 -755.809448125662</f>
        <v>-1407.8807504919835</v>
      </c>
      <c r="P435" t="s">
        <v>10140</v>
      </c>
      <c r="Q435" t="s">
        <v>10141</v>
      </c>
      <c r="R435" t="s">
        <v>10142</v>
      </c>
      <c r="S435" t="s">
        <v>10143</v>
      </c>
      <c r="T435" t="s">
        <v>10144</v>
      </c>
      <c r="U435" t="s">
        <v>10145</v>
      </c>
      <c r="V435" t="s">
        <v>10146</v>
      </c>
      <c r="W435" t="s">
        <v>10147</v>
      </c>
      <c r="X435" t="s">
        <v>10148</v>
      </c>
      <c r="Y435" t="s">
        <v>10149</v>
      </c>
    </row>
    <row r="436" spans="1:25" x14ac:dyDescent="0.3">
      <c r="A436">
        <v>21750</v>
      </c>
      <c r="B436" t="s">
        <v>10150</v>
      </c>
      <c r="C436" t="s">
        <v>10151</v>
      </c>
      <c r="D436" t="s">
        <v>10152</v>
      </c>
      <c r="E436" t="s">
        <v>10153</v>
      </c>
      <c r="F436" t="s">
        <v>10154</v>
      </c>
      <c r="G436" t="s">
        <v>10155</v>
      </c>
      <c r="H436" t="s">
        <v>10156</v>
      </c>
      <c r="I436" t="s">
        <v>10157</v>
      </c>
      <c r="J436" t="s">
        <v>10158</v>
      </c>
      <c r="K436" t="s">
        <v>10159</v>
      </c>
      <c r="L436" t="s">
        <v>10160</v>
      </c>
      <c r="M436" t="s">
        <v>10161</v>
      </c>
      <c r="N436" t="s">
        <v>10162</v>
      </c>
      <c r="O436">
        <f>-631.221275588591 -25.8309252256308 -754.941434265035</f>
        <v>-1411.9936350792568</v>
      </c>
      <c r="P436">
        <f>-658.697490115974 -3.91316860946921 -440.376796820379</f>
        <v>-1102.9874555458223</v>
      </c>
      <c r="Q436" t="s">
        <v>10163</v>
      </c>
      <c r="R436" t="s">
        <v>10164</v>
      </c>
      <c r="S436" t="s">
        <v>10165</v>
      </c>
      <c r="T436" t="s">
        <v>10166</v>
      </c>
      <c r="U436" t="s">
        <v>10167</v>
      </c>
      <c r="V436" t="s">
        <v>10168</v>
      </c>
      <c r="W436" t="s">
        <v>10169</v>
      </c>
      <c r="X436" t="s">
        <v>10170</v>
      </c>
      <c r="Y436" t="s">
        <v>10171</v>
      </c>
    </row>
    <row r="437" spans="1:25" x14ac:dyDescent="0.3">
      <c r="A437">
        <v>21800</v>
      </c>
      <c r="B437" t="s">
        <v>10172</v>
      </c>
      <c r="C437" t="s">
        <v>10173</v>
      </c>
      <c r="D437" t="s">
        <v>10174</v>
      </c>
      <c r="E437" t="s">
        <v>10175</v>
      </c>
      <c r="F437" t="s">
        <v>10176</v>
      </c>
      <c r="G437" t="s">
        <v>10177</v>
      </c>
      <c r="H437" t="s">
        <v>10178</v>
      </c>
      <c r="I437" t="s">
        <v>10179</v>
      </c>
      <c r="J437" t="s">
        <v>10180</v>
      </c>
      <c r="K437" t="s">
        <v>10181</v>
      </c>
      <c r="L437" t="s">
        <v>10182</v>
      </c>
      <c r="M437" t="s">
        <v>10183</v>
      </c>
      <c r="N437" t="s">
        <v>10184</v>
      </c>
      <c r="O437">
        <f>-628.855043080025 -30.2155589971405 -754.267807031682</f>
        <v>-1413.3384091088474</v>
      </c>
      <c r="P437">
        <f>-657.719491367485 -7.5503069243554 -439.880617242125</f>
        <v>-1105.1504155339653</v>
      </c>
      <c r="Q437" t="s">
        <v>10185</v>
      </c>
      <c r="R437" t="s">
        <v>10186</v>
      </c>
      <c r="S437" t="s">
        <v>10187</v>
      </c>
      <c r="T437" t="s">
        <v>10188</v>
      </c>
      <c r="U437" t="s">
        <v>10189</v>
      </c>
      <c r="V437" t="s">
        <v>10190</v>
      </c>
      <c r="W437" t="s">
        <v>10191</v>
      </c>
      <c r="X437" t="s">
        <v>10192</v>
      </c>
      <c r="Y437" t="s">
        <v>10193</v>
      </c>
    </row>
    <row r="438" spans="1:25" x14ac:dyDescent="0.3">
      <c r="A438">
        <v>21850</v>
      </c>
      <c r="B438" t="s">
        <v>10194</v>
      </c>
      <c r="C438" t="s">
        <v>10195</v>
      </c>
      <c r="D438" t="s">
        <v>10196</v>
      </c>
      <c r="E438" t="s">
        <v>10197</v>
      </c>
      <c r="F438" t="s">
        <v>10198</v>
      </c>
      <c r="G438" t="s">
        <v>10199</v>
      </c>
      <c r="H438" t="s">
        <v>10200</v>
      </c>
      <c r="I438" t="s">
        <v>10201</v>
      </c>
      <c r="J438" t="s">
        <v>10202</v>
      </c>
      <c r="K438" t="s">
        <v>10203</v>
      </c>
      <c r="L438" t="s">
        <v>10204</v>
      </c>
      <c r="M438" t="s">
        <v>10205</v>
      </c>
      <c r="N438" t="s">
        <v>10206</v>
      </c>
      <c r="O438">
        <f>-624.792387030619 -38.8720435147499 -752.604222657396</f>
        <v>-1416.2686532027649</v>
      </c>
      <c r="P438">
        <f>-657.206244490442 -13.7885500831166 -438.747064564794</f>
        <v>-1109.7418591383525</v>
      </c>
      <c r="Q438" t="s">
        <v>10207</v>
      </c>
      <c r="R438" t="s">
        <v>10208</v>
      </c>
      <c r="S438" t="s">
        <v>10209</v>
      </c>
      <c r="T438" t="s">
        <v>10210</v>
      </c>
      <c r="U438" t="s">
        <v>10211</v>
      </c>
      <c r="V438" t="s">
        <v>10212</v>
      </c>
      <c r="W438" t="s">
        <v>10213</v>
      </c>
      <c r="X438" t="s">
        <v>10214</v>
      </c>
      <c r="Y438" t="s">
        <v>10215</v>
      </c>
    </row>
    <row r="439" spans="1:25" x14ac:dyDescent="0.3">
      <c r="A439">
        <v>21900</v>
      </c>
      <c r="B439" t="s">
        <v>10216</v>
      </c>
      <c r="C439" t="s">
        <v>10217</v>
      </c>
      <c r="D439" t="s">
        <v>10218</v>
      </c>
      <c r="E439" t="s">
        <v>10219</v>
      </c>
      <c r="F439" t="s">
        <v>10220</v>
      </c>
      <c r="G439" t="s">
        <v>10221</v>
      </c>
      <c r="H439" t="s">
        <v>10222</v>
      </c>
      <c r="I439" t="s">
        <v>10223</v>
      </c>
      <c r="J439" t="s">
        <v>10224</v>
      </c>
      <c r="K439" t="s">
        <v>10225</v>
      </c>
      <c r="L439" t="s">
        <v>10226</v>
      </c>
      <c r="M439" t="s">
        <v>10227</v>
      </c>
      <c r="N439" t="s">
        <v>10228</v>
      </c>
      <c r="O439">
        <f>-622.984210298656 -42.7683844257017 -751.843720305889</f>
        <v>-1417.5963150302466</v>
      </c>
      <c r="P439">
        <f>-656.066083946812 -16.496970691676 -438.153376775884</f>
        <v>-1110.716431414372</v>
      </c>
      <c r="Q439" t="s">
        <v>10229</v>
      </c>
      <c r="R439" t="s">
        <v>10230</v>
      </c>
      <c r="S439" t="s">
        <v>10231</v>
      </c>
      <c r="T439" t="s">
        <v>10232</v>
      </c>
      <c r="U439" t="s">
        <v>10233</v>
      </c>
      <c r="V439" t="s">
        <v>10234</v>
      </c>
      <c r="W439" t="s">
        <v>10235</v>
      </c>
      <c r="X439" t="s">
        <v>10236</v>
      </c>
      <c r="Y439" t="s">
        <v>10237</v>
      </c>
    </row>
    <row r="440" spans="1:25" x14ac:dyDescent="0.3">
      <c r="A440">
        <v>21950</v>
      </c>
      <c r="B440" t="s">
        <v>10238</v>
      </c>
      <c r="C440" t="s">
        <v>10239</v>
      </c>
      <c r="D440" t="s">
        <v>10240</v>
      </c>
      <c r="E440" t="s">
        <v>10241</v>
      </c>
      <c r="F440" t="s">
        <v>10242</v>
      </c>
      <c r="G440" t="s">
        <v>10243</v>
      </c>
      <c r="H440" t="s">
        <v>10244</v>
      </c>
      <c r="I440" t="s">
        <v>10245</v>
      </c>
      <c r="J440" t="s">
        <v>10246</v>
      </c>
      <c r="K440" t="s">
        <v>10247</v>
      </c>
      <c r="L440" t="s">
        <v>10248</v>
      </c>
      <c r="M440" t="s">
        <v>10249</v>
      </c>
      <c r="N440" t="s">
        <v>10250</v>
      </c>
      <c r="O440">
        <f>-619.969999622293 -49.9985744685411 -750.086317233718</f>
        <v>-1420.054891324552</v>
      </c>
      <c r="P440">
        <f>-653.824232530106 -21.2532951786263 -436.695488636835</f>
        <v>-1111.7730163455674</v>
      </c>
      <c r="Q440" t="s">
        <v>10251</v>
      </c>
      <c r="R440" t="s">
        <v>10252</v>
      </c>
      <c r="S440" t="s">
        <v>10253</v>
      </c>
      <c r="T440" t="s">
        <v>10254</v>
      </c>
      <c r="U440" t="s">
        <v>10255</v>
      </c>
      <c r="V440" t="s">
        <v>10256</v>
      </c>
      <c r="W440" t="s">
        <v>10257</v>
      </c>
      <c r="X440" t="s">
        <v>10258</v>
      </c>
      <c r="Y440" t="s">
        <v>10259</v>
      </c>
    </row>
    <row r="441" spans="1:25" x14ac:dyDescent="0.3">
      <c r="A441">
        <v>22000</v>
      </c>
      <c r="B441" t="s">
        <v>10260</v>
      </c>
      <c r="C441" t="s">
        <v>10261</v>
      </c>
      <c r="D441" t="s">
        <v>10262</v>
      </c>
      <c r="E441" t="s">
        <v>10263</v>
      </c>
      <c r="F441" t="s">
        <v>10264</v>
      </c>
      <c r="G441" t="s">
        <v>10265</v>
      </c>
      <c r="H441" t="s">
        <v>10266</v>
      </c>
      <c r="I441" t="s">
        <v>10267</v>
      </c>
      <c r="J441" t="s">
        <v>10268</v>
      </c>
      <c r="K441" t="s">
        <v>10269</v>
      </c>
      <c r="L441" t="s">
        <v>10270</v>
      </c>
      <c r="M441" t="s">
        <v>10271</v>
      </c>
      <c r="N441" t="s">
        <v>10272</v>
      </c>
      <c r="O441">
        <f>-618.645458170302 -53.0941080981143 -749.316857729143</f>
        <v>-1421.0564239975592</v>
      </c>
      <c r="P441">
        <f>-652.393500678768 -23.7425330162185 -435.970931836138</f>
        <v>-1112.1069655311244</v>
      </c>
      <c r="Q441" t="s">
        <v>10273</v>
      </c>
      <c r="R441" t="s">
        <v>10274</v>
      </c>
      <c r="S441" t="s">
        <v>10275</v>
      </c>
      <c r="T441" t="s">
        <v>10276</v>
      </c>
      <c r="U441" t="s">
        <v>10277</v>
      </c>
      <c r="V441" t="s">
        <v>10278</v>
      </c>
      <c r="W441" t="s">
        <v>10279</v>
      </c>
      <c r="X441" t="s">
        <v>10280</v>
      </c>
      <c r="Y441" t="s">
        <v>10281</v>
      </c>
    </row>
    <row r="442" spans="1:25" x14ac:dyDescent="0.3">
      <c r="A442">
        <v>22050</v>
      </c>
      <c r="B442" t="s">
        <v>10282</v>
      </c>
      <c r="C442" t="s">
        <v>10283</v>
      </c>
      <c r="D442" t="s">
        <v>10284</v>
      </c>
      <c r="E442" t="s">
        <v>10285</v>
      </c>
      <c r="F442" t="s">
        <v>10286</v>
      </c>
      <c r="G442" t="s">
        <v>10287</v>
      </c>
      <c r="H442" t="s">
        <v>10288</v>
      </c>
      <c r="I442" t="s">
        <v>10289</v>
      </c>
      <c r="J442" t="s">
        <v>10290</v>
      </c>
      <c r="K442" t="s">
        <v>10291</v>
      </c>
      <c r="L442" t="s">
        <v>10292</v>
      </c>
      <c r="M442" t="s">
        <v>10293</v>
      </c>
      <c r="N442" t="s">
        <v>10294</v>
      </c>
      <c r="O442">
        <f>-615.606344370753 -58.6608054415857 -747.7112639469</f>
        <v>-1421.9784137592387</v>
      </c>
      <c r="P442">
        <f>-649.29654256322 -27.3262648251475 -434.551144565007</f>
        <v>-1111.1739519533744</v>
      </c>
      <c r="Q442" t="s">
        <v>10295</v>
      </c>
      <c r="R442" t="s">
        <v>10296</v>
      </c>
      <c r="S442" t="s">
        <v>10297</v>
      </c>
      <c r="T442" t="s">
        <v>10298</v>
      </c>
      <c r="U442" t="s">
        <v>10299</v>
      </c>
      <c r="V442" t="s">
        <v>10300</v>
      </c>
      <c r="W442" t="s">
        <v>10301</v>
      </c>
      <c r="X442" t="s">
        <v>10302</v>
      </c>
      <c r="Y442" t="s">
        <v>10303</v>
      </c>
    </row>
    <row r="443" spans="1:25" x14ac:dyDescent="0.3">
      <c r="A443">
        <v>22100</v>
      </c>
      <c r="B443" t="s">
        <v>10304</v>
      </c>
      <c r="C443" t="s">
        <v>10305</v>
      </c>
      <c r="D443" t="s">
        <v>10306</v>
      </c>
      <c r="E443" t="s">
        <v>10307</v>
      </c>
      <c r="F443" t="s">
        <v>10308</v>
      </c>
      <c r="G443" t="s">
        <v>10309</v>
      </c>
      <c r="H443" t="s">
        <v>10310</v>
      </c>
      <c r="I443" t="s">
        <v>10311</v>
      </c>
      <c r="J443" t="s">
        <v>10312</v>
      </c>
      <c r="K443" t="s">
        <v>10313</v>
      </c>
      <c r="L443" t="s">
        <v>10314</v>
      </c>
      <c r="M443" t="s">
        <v>10315</v>
      </c>
      <c r="N443" t="s">
        <v>10316</v>
      </c>
      <c r="O443">
        <f>-614.063166914363 -60.8847867748284 -746.996012140345</f>
        <v>-1421.9439658295364</v>
      </c>
      <c r="P443">
        <f>-647.781407589538 -29.4721311188852 -433.846594337762</f>
        <v>-1111.1001330461852</v>
      </c>
      <c r="Q443" t="s">
        <v>10317</v>
      </c>
      <c r="R443" t="s">
        <v>10318</v>
      </c>
      <c r="S443" t="s">
        <v>10319</v>
      </c>
      <c r="T443" t="s">
        <v>10320</v>
      </c>
      <c r="U443" t="s">
        <v>10321</v>
      </c>
      <c r="V443" t="s">
        <v>10322</v>
      </c>
      <c r="W443" t="s">
        <v>10323</v>
      </c>
      <c r="X443" t="s">
        <v>10324</v>
      </c>
      <c r="Y443" t="s">
        <v>10325</v>
      </c>
    </row>
    <row r="444" spans="1:25" x14ac:dyDescent="0.3">
      <c r="A444">
        <v>22150</v>
      </c>
      <c r="B444" t="s">
        <v>10326</v>
      </c>
      <c r="C444" t="s">
        <v>10327</v>
      </c>
      <c r="D444" t="s">
        <v>10328</v>
      </c>
      <c r="E444" t="s">
        <v>10329</v>
      </c>
      <c r="F444" t="s">
        <v>10330</v>
      </c>
      <c r="G444" t="s">
        <v>10331</v>
      </c>
      <c r="H444" t="s">
        <v>10332</v>
      </c>
      <c r="I444" t="s">
        <v>10333</v>
      </c>
      <c r="J444" t="s">
        <v>10334</v>
      </c>
      <c r="K444" t="s">
        <v>10335</v>
      </c>
      <c r="L444" t="s">
        <v>10336</v>
      </c>
      <c r="M444" t="s">
        <v>10337</v>
      </c>
      <c r="N444" t="s">
        <v>10338</v>
      </c>
      <c r="O444">
        <f>-611.48113743761 -65.2953419502719 -745.770680330579</f>
        <v>-1422.547159718461</v>
      </c>
      <c r="P444">
        <f>-644.601557891887 -34.5937418398456 -432.487095247545</f>
        <v>-1111.6823949792777</v>
      </c>
      <c r="Q444" t="s">
        <v>10339</v>
      </c>
      <c r="R444" t="s">
        <v>10340</v>
      </c>
      <c r="S444" t="s">
        <v>10341</v>
      </c>
      <c r="T444" t="s">
        <v>10342</v>
      </c>
      <c r="U444" t="s">
        <v>10343</v>
      </c>
      <c r="V444" t="s">
        <v>10344</v>
      </c>
      <c r="W444" t="s">
        <v>10345</v>
      </c>
      <c r="X444" t="s">
        <v>10346</v>
      </c>
      <c r="Y444" t="s">
        <v>10347</v>
      </c>
    </row>
    <row r="445" spans="1:25" x14ac:dyDescent="0.3">
      <c r="A445">
        <v>22200</v>
      </c>
      <c r="B445" t="s">
        <v>10348</v>
      </c>
      <c r="C445" t="s">
        <v>10349</v>
      </c>
      <c r="D445" t="s">
        <v>10350</v>
      </c>
      <c r="E445" t="s">
        <v>10351</v>
      </c>
      <c r="F445" t="s">
        <v>10352</v>
      </c>
      <c r="G445" t="s">
        <v>10353</v>
      </c>
      <c r="H445" t="s">
        <v>10354</v>
      </c>
      <c r="I445" t="s">
        <v>10355</v>
      </c>
      <c r="J445" t="s">
        <v>10356</v>
      </c>
      <c r="K445" t="s">
        <v>10357</v>
      </c>
      <c r="L445" t="s">
        <v>10358</v>
      </c>
      <c r="M445" t="s">
        <v>10359</v>
      </c>
      <c r="N445" t="s">
        <v>10360</v>
      </c>
      <c r="O445">
        <f>-610.04760727627 -67.5328716150298 -745.214744821781</f>
        <v>-1422.7952237130808</v>
      </c>
      <c r="P445">
        <f>-643.782541965745 -37.9304798359321 -431.890794763381</f>
        <v>-1113.6038165650582</v>
      </c>
      <c r="Q445" t="s">
        <v>10361</v>
      </c>
      <c r="R445" t="s">
        <v>10362</v>
      </c>
      <c r="S445" t="s">
        <v>10363</v>
      </c>
      <c r="T445" t="s">
        <v>10364</v>
      </c>
      <c r="U445" t="s">
        <v>10365</v>
      </c>
      <c r="V445" t="s">
        <v>10366</v>
      </c>
      <c r="W445" t="s">
        <v>10367</v>
      </c>
      <c r="X445" t="s">
        <v>10368</v>
      </c>
      <c r="Y445" t="s">
        <v>10369</v>
      </c>
    </row>
    <row r="446" spans="1:25" x14ac:dyDescent="0.3">
      <c r="A446">
        <v>22250</v>
      </c>
      <c r="B446" t="s">
        <v>10370</v>
      </c>
      <c r="C446" t="s">
        <v>10371</v>
      </c>
      <c r="D446" t="s">
        <v>10372</v>
      </c>
      <c r="E446" t="s">
        <v>10373</v>
      </c>
      <c r="F446" t="s">
        <v>10374</v>
      </c>
      <c r="G446" t="s">
        <v>10375</v>
      </c>
      <c r="H446" t="s">
        <v>10376</v>
      </c>
      <c r="I446" t="s">
        <v>10377</v>
      </c>
      <c r="J446" t="s">
        <v>10378</v>
      </c>
      <c r="K446" t="s">
        <v>10379</v>
      </c>
      <c r="L446" t="s">
        <v>10380</v>
      </c>
      <c r="M446" t="s">
        <v>10381</v>
      </c>
      <c r="N446" t="s">
        <v>10382</v>
      </c>
      <c r="O446">
        <f>-607.782234239166 -69.5466085709151 -745.171311932215</f>
        <v>-1422.500154742296</v>
      </c>
      <c r="P446">
        <f>-641.784970911623 -44.3148705119368 -431.494153280056</f>
        <v>-1117.5939947036159</v>
      </c>
      <c r="Q446" t="s">
        <v>10383</v>
      </c>
      <c r="R446" t="s">
        <v>10384</v>
      </c>
      <c r="S446" t="s">
        <v>10385</v>
      </c>
      <c r="T446" t="s">
        <v>10386</v>
      </c>
      <c r="U446" t="s">
        <v>10387</v>
      </c>
      <c r="V446" t="s">
        <v>10388</v>
      </c>
      <c r="W446" t="s">
        <v>10389</v>
      </c>
      <c r="X446" t="s">
        <v>10390</v>
      </c>
      <c r="Y446" t="s">
        <v>10391</v>
      </c>
    </row>
    <row r="447" spans="1:25" x14ac:dyDescent="0.3">
      <c r="A447">
        <v>22300</v>
      </c>
      <c r="B447" t="s">
        <v>10392</v>
      </c>
      <c r="C447" t="s">
        <v>10393</v>
      </c>
      <c r="D447" t="s">
        <v>10394</v>
      </c>
      <c r="E447" t="s">
        <v>10395</v>
      </c>
      <c r="F447" t="s">
        <v>10396</v>
      </c>
      <c r="G447" t="s">
        <v>10397</v>
      </c>
      <c r="H447" t="s">
        <v>10398</v>
      </c>
      <c r="I447" t="s">
        <v>10399</v>
      </c>
      <c r="J447" t="s">
        <v>10400</v>
      </c>
      <c r="K447" t="s">
        <v>10401</v>
      </c>
      <c r="L447" t="s">
        <v>10402</v>
      </c>
      <c r="M447" t="s">
        <v>10403</v>
      </c>
      <c r="N447" t="s">
        <v>10404</v>
      </c>
      <c r="O447">
        <f>-607.272997063426 -69.5855854525365 -745.876645260193</f>
        <v>-1422.7352277761556</v>
      </c>
      <c r="P447">
        <f>-640.856155301448 -46.6372349134133 -431.97904325045</f>
        <v>-1119.4724334653113</v>
      </c>
      <c r="Q447" t="s">
        <v>10405</v>
      </c>
      <c r="R447" t="s">
        <v>10406</v>
      </c>
      <c r="S447" t="s">
        <v>10407</v>
      </c>
      <c r="T447" t="s">
        <v>10408</v>
      </c>
      <c r="U447" t="s">
        <v>10409</v>
      </c>
      <c r="V447" t="s">
        <v>10410</v>
      </c>
      <c r="W447" t="s">
        <v>10411</v>
      </c>
      <c r="X447" t="s">
        <v>10412</v>
      </c>
      <c r="Y447" t="s">
        <v>10413</v>
      </c>
    </row>
    <row r="448" spans="1:25" x14ac:dyDescent="0.3">
      <c r="A448">
        <v>22350</v>
      </c>
      <c r="B448" t="s">
        <v>10414</v>
      </c>
      <c r="C448" t="s">
        <v>10415</v>
      </c>
      <c r="D448" t="s">
        <v>10416</v>
      </c>
      <c r="E448" t="s">
        <v>10417</v>
      </c>
      <c r="F448" t="s">
        <v>10418</v>
      </c>
      <c r="G448" t="s">
        <v>10419</v>
      </c>
      <c r="H448" t="s">
        <v>10420</v>
      </c>
      <c r="I448" t="s">
        <v>10421</v>
      </c>
      <c r="J448" t="s">
        <v>10422</v>
      </c>
      <c r="K448" t="s">
        <v>10423</v>
      </c>
      <c r="L448" t="s">
        <v>10424</v>
      </c>
      <c r="M448" t="s">
        <v>10425</v>
      </c>
      <c r="N448" t="s">
        <v>10426</v>
      </c>
      <c r="O448">
        <f>-605.832117590627 -70.4265120068833 -746.691478233937</f>
        <v>-1422.9501078314474</v>
      </c>
      <c r="P448">
        <f>-639.207764027378 -52.2257676177002 -432.460658691066</f>
        <v>-1123.8941903361442</v>
      </c>
      <c r="Q448" t="s">
        <v>10427</v>
      </c>
      <c r="R448" t="s">
        <v>10428</v>
      </c>
      <c r="S448" t="s">
        <v>10429</v>
      </c>
      <c r="T448" t="s">
        <v>10430</v>
      </c>
      <c r="U448" t="s">
        <v>10431</v>
      </c>
      <c r="V448" t="s">
        <v>10432</v>
      </c>
      <c r="W448" t="s">
        <v>10433</v>
      </c>
      <c r="X448" t="s">
        <v>10434</v>
      </c>
      <c r="Y448" t="s">
        <v>10435</v>
      </c>
    </row>
    <row r="449" spans="1:25" x14ac:dyDescent="0.3">
      <c r="A449">
        <v>22400</v>
      </c>
      <c r="B449" t="s">
        <v>10436</v>
      </c>
      <c r="C449" t="s">
        <v>10437</v>
      </c>
      <c r="D449" t="s">
        <v>10438</v>
      </c>
      <c r="E449" t="s">
        <v>10439</v>
      </c>
      <c r="F449" t="s">
        <v>10440</v>
      </c>
      <c r="G449" t="s">
        <v>10441</v>
      </c>
      <c r="H449" t="s">
        <v>10442</v>
      </c>
      <c r="I449" t="s">
        <v>10443</v>
      </c>
      <c r="J449" t="s">
        <v>10444</v>
      </c>
      <c r="K449" t="s">
        <v>10445</v>
      </c>
      <c r="L449" t="s">
        <v>10446</v>
      </c>
      <c r="M449" t="s">
        <v>10447</v>
      </c>
      <c r="N449" t="s">
        <v>10448</v>
      </c>
      <c r="O449">
        <f>-605.144247634104 -71.5211395144454 -746.612550799599</f>
        <v>-1423.2779379481485</v>
      </c>
      <c r="P449">
        <f>-638.770006613123 -52.8368789870372 -432.436844573924</f>
        <v>-1124.0437301740842</v>
      </c>
      <c r="Q449" t="s">
        <v>10449</v>
      </c>
      <c r="R449" t="s">
        <v>10450</v>
      </c>
      <c r="S449" t="s">
        <v>10451</v>
      </c>
      <c r="T449" t="s">
        <v>10452</v>
      </c>
      <c r="U449" t="s">
        <v>10453</v>
      </c>
      <c r="V449" t="s">
        <v>10454</v>
      </c>
      <c r="W449" t="s">
        <v>10455</v>
      </c>
      <c r="X449" t="s">
        <v>10456</v>
      </c>
      <c r="Y449" t="s">
        <v>10457</v>
      </c>
    </row>
    <row r="450" spans="1:25" x14ac:dyDescent="0.3">
      <c r="A450">
        <v>22450</v>
      </c>
      <c r="B450" t="s">
        <v>10458</v>
      </c>
      <c r="C450" t="s">
        <v>10459</v>
      </c>
      <c r="D450" t="s">
        <v>10460</v>
      </c>
      <c r="E450" t="s">
        <v>10461</v>
      </c>
      <c r="F450" t="s">
        <v>10462</v>
      </c>
      <c r="G450" t="s">
        <v>10463</v>
      </c>
      <c r="H450" t="s">
        <v>10464</v>
      </c>
      <c r="I450" t="s">
        <v>10465</v>
      </c>
      <c r="J450" t="s">
        <v>10466</v>
      </c>
      <c r="K450" t="s">
        <v>10467</v>
      </c>
      <c r="L450" t="s">
        <v>10468</v>
      </c>
      <c r="M450" t="s">
        <v>10469</v>
      </c>
      <c r="N450" t="s">
        <v>10470</v>
      </c>
      <c r="O450">
        <f>-605.39649707085 -74.3994692682978 -743.698745131506</f>
        <v>-1423.4947114706538</v>
      </c>
      <c r="P450">
        <f>-636.506718606587 -50.1547203733366 -429.643683089533</f>
        <v>-1116.3051220694565</v>
      </c>
      <c r="Q450" t="s">
        <v>10471</v>
      </c>
      <c r="R450" t="s">
        <v>10472</v>
      </c>
      <c r="S450" t="s">
        <v>10473</v>
      </c>
      <c r="T450" t="s">
        <v>10474</v>
      </c>
      <c r="U450" t="s">
        <v>10475</v>
      </c>
      <c r="V450" t="s">
        <v>10476</v>
      </c>
      <c r="W450" t="s">
        <v>10477</v>
      </c>
      <c r="X450" t="s">
        <v>10478</v>
      </c>
      <c r="Y450" t="s">
        <v>10479</v>
      </c>
    </row>
    <row r="451" spans="1:25" x14ac:dyDescent="0.3">
      <c r="A451">
        <v>22500</v>
      </c>
      <c r="B451" t="s">
        <v>10480</v>
      </c>
      <c r="C451" t="s">
        <v>10481</v>
      </c>
      <c r="D451" t="s">
        <v>10482</v>
      </c>
      <c r="E451" t="s">
        <v>10483</v>
      </c>
      <c r="F451" t="s">
        <v>10484</v>
      </c>
      <c r="G451" t="s">
        <v>10485</v>
      </c>
      <c r="H451" t="s">
        <v>10486</v>
      </c>
      <c r="I451" t="s">
        <v>10487</v>
      </c>
      <c r="J451" t="s">
        <v>10488</v>
      </c>
      <c r="K451" t="s">
        <v>10489</v>
      </c>
      <c r="L451" t="s">
        <v>10490</v>
      </c>
      <c r="M451" t="s">
        <v>10491</v>
      </c>
      <c r="N451" t="s">
        <v>10492</v>
      </c>
      <c r="O451">
        <f>-605.554478240737 -74.8605229701382 -740.176958633453</f>
        <v>-1420.5919598443281</v>
      </c>
      <c r="P451">
        <f>-634.704791922684 -48.7852157543396 -426.080631611423</f>
        <v>-1109.5706392884465</v>
      </c>
      <c r="Q451" t="s">
        <v>10493</v>
      </c>
      <c r="R451" t="s">
        <v>10494</v>
      </c>
      <c r="S451" t="s">
        <v>10495</v>
      </c>
      <c r="T451" t="s">
        <v>10496</v>
      </c>
      <c r="U451" t="s">
        <v>10497</v>
      </c>
      <c r="V451" t="s">
        <v>10498</v>
      </c>
      <c r="W451" t="s">
        <v>10499</v>
      </c>
      <c r="X451" t="s">
        <v>10500</v>
      </c>
      <c r="Y451" t="s">
        <v>10501</v>
      </c>
    </row>
    <row r="452" spans="1:25" x14ac:dyDescent="0.3">
      <c r="A452">
        <v>22550</v>
      </c>
      <c r="B452" t="s">
        <v>10502</v>
      </c>
      <c r="C452" t="s">
        <v>10503</v>
      </c>
      <c r="D452" t="s">
        <v>10504</v>
      </c>
      <c r="E452" t="s">
        <v>10505</v>
      </c>
      <c r="F452" t="s">
        <v>10506</v>
      </c>
      <c r="G452" t="s">
        <v>10507</v>
      </c>
      <c r="H452" t="s">
        <v>10508</v>
      </c>
      <c r="I452" t="s">
        <v>10509</v>
      </c>
      <c r="J452" t="s">
        <v>10510</v>
      </c>
      <c r="K452" t="s">
        <v>10511</v>
      </c>
      <c r="L452" t="s">
        <v>10512</v>
      </c>
      <c r="M452" t="s">
        <v>10513</v>
      </c>
      <c r="N452" t="s">
        <v>10514</v>
      </c>
      <c r="O452">
        <f>-604.621203316014 -73.3019525357649 -735.61719615355</f>
        <v>-1413.5403520053289</v>
      </c>
      <c r="P452">
        <f>-631.837083613516 -46.0938603183172 -421.443352650473</f>
        <v>-1099.3742965823062</v>
      </c>
      <c r="Q452" t="s">
        <v>10515</v>
      </c>
      <c r="R452" t="s">
        <v>10516</v>
      </c>
      <c r="S452" t="s">
        <v>10517</v>
      </c>
      <c r="T452" t="s">
        <v>10518</v>
      </c>
      <c r="U452" t="s">
        <v>10519</v>
      </c>
      <c r="V452" t="s">
        <v>10520</v>
      </c>
      <c r="W452" t="s">
        <v>10521</v>
      </c>
      <c r="X452" t="s">
        <v>10522</v>
      </c>
      <c r="Y452" t="s">
        <v>10523</v>
      </c>
    </row>
    <row r="453" spans="1:25" x14ac:dyDescent="0.3">
      <c r="A453">
        <v>22600</v>
      </c>
      <c r="B453" t="s">
        <v>10524</v>
      </c>
      <c r="C453" t="s">
        <v>10525</v>
      </c>
      <c r="D453" t="s">
        <v>10526</v>
      </c>
      <c r="E453" t="s">
        <v>10527</v>
      </c>
      <c r="F453" t="s">
        <v>10528</v>
      </c>
      <c r="G453" t="s">
        <v>10529</v>
      </c>
      <c r="H453" t="s">
        <v>10530</v>
      </c>
      <c r="I453" t="s">
        <v>10531</v>
      </c>
      <c r="J453" t="s">
        <v>10532</v>
      </c>
      <c r="K453" t="s">
        <v>10533</v>
      </c>
      <c r="L453" t="s">
        <v>10534</v>
      </c>
      <c r="M453" t="s">
        <v>10535</v>
      </c>
      <c r="N453" t="s">
        <v>10536</v>
      </c>
      <c r="O453">
        <f>-604.53364458214 -73.0781378169422 -736.709588544696</f>
        <v>-1414.3213709437782</v>
      </c>
      <c r="P453">
        <f>-633.159489352826 -46.1301162853628 -422.638597452399</f>
        <v>-1101.9282030905877</v>
      </c>
      <c r="Q453" t="s">
        <v>10537</v>
      </c>
      <c r="R453" t="s">
        <v>10538</v>
      </c>
      <c r="S453" t="s">
        <v>10539</v>
      </c>
      <c r="T453" t="s">
        <v>10540</v>
      </c>
      <c r="U453" t="s">
        <v>10541</v>
      </c>
      <c r="V453" t="s">
        <v>10542</v>
      </c>
      <c r="W453" t="s">
        <v>10543</v>
      </c>
      <c r="X453" t="s">
        <v>10544</v>
      </c>
      <c r="Y453" t="s">
        <v>10545</v>
      </c>
    </row>
    <row r="454" spans="1:25" x14ac:dyDescent="0.3">
      <c r="A454">
        <v>22650</v>
      </c>
      <c r="B454" t="s">
        <v>10546</v>
      </c>
      <c r="C454" t="s">
        <v>10547</v>
      </c>
      <c r="D454" t="s">
        <v>10548</v>
      </c>
      <c r="E454" t="s">
        <v>10549</v>
      </c>
      <c r="F454" t="s">
        <v>10550</v>
      </c>
      <c r="G454" t="s">
        <v>10551</v>
      </c>
      <c r="H454" t="s">
        <v>10552</v>
      </c>
      <c r="I454" t="s">
        <v>10553</v>
      </c>
      <c r="J454" t="s">
        <v>10554</v>
      </c>
      <c r="K454" t="s">
        <v>10555</v>
      </c>
      <c r="L454" t="s">
        <v>10556</v>
      </c>
      <c r="M454" t="s">
        <v>10557</v>
      </c>
      <c r="N454" t="s">
        <v>10558</v>
      </c>
      <c r="O454">
        <f>-606.564272120572 -74.5467220317819 -738.952447872803</f>
        <v>-1420.0634420251567</v>
      </c>
      <c r="P454">
        <f>-637.250213526271 -48.9433636935682 -424.963582876491</f>
        <v>-1111.1571600963302</v>
      </c>
      <c r="Q454" t="s">
        <v>10559</v>
      </c>
      <c r="R454" t="s">
        <v>10560</v>
      </c>
      <c r="S454" t="s">
        <v>10561</v>
      </c>
      <c r="T454" t="s">
        <v>10562</v>
      </c>
      <c r="U454" t="s">
        <v>10563</v>
      </c>
      <c r="V454" t="s">
        <v>10564</v>
      </c>
      <c r="W454" t="s">
        <v>10565</v>
      </c>
      <c r="X454" t="s">
        <v>10566</v>
      </c>
      <c r="Y454" t="s">
        <v>10567</v>
      </c>
    </row>
    <row r="455" spans="1:25" x14ac:dyDescent="0.3">
      <c r="A455">
        <v>22700</v>
      </c>
      <c r="B455" t="s">
        <v>10568</v>
      </c>
      <c r="C455" t="s">
        <v>10569</v>
      </c>
      <c r="D455" t="s">
        <v>10570</v>
      </c>
      <c r="E455" t="s">
        <v>10571</v>
      </c>
      <c r="F455" t="s">
        <v>10572</v>
      </c>
      <c r="G455" t="s">
        <v>10573</v>
      </c>
      <c r="H455" t="s">
        <v>10574</v>
      </c>
      <c r="I455" t="s">
        <v>10575</v>
      </c>
      <c r="J455" t="s">
        <v>10576</v>
      </c>
      <c r="K455" t="s">
        <v>10577</v>
      </c>
      <c r="L455" t="s">
        <v>10578</v>
      </c>
      <c r="M455" t="s">
        <v>10579</v>
      </c>
      <c r="N455" t="s">
        <v>10580</v>
      </c>
      <c r="O455">
        <f>-607.695423809352 -75.3335003377896 -739.755337168018</f>
        <v>-1422.7842613151595</v>
      </c>
      <c r="P455">
        <f>-637.959072301051 -50.3800780273369 -425.673237166667</f>
        <v>-1114.012387495055</v>
      </c>
      <c r="Q455" t="s">
        <v>10581</v>
      </c>
      <c r="R455" t="s">
        <v>10582</v>
      </c>
      <c r="S455" t="s">
        <v>10583</v>
      </c>
      <c r="T455" t="s">
        <v>10584</v>
      </c>
      <c r="U455" t="s">
        <v>10585</v>
      </c>
      <c r="V455" t="s">
        <v>10586</v>
      </c>
      <c r="W455" t="s">
        <v>10587</v>
      </c>
      <c r="X455" t="s">
        <v>10588</v>
      </c>
      <c r="Y455" t="s">
        <v>10589</v>
      </c>
    </row>
    <row r="456" spans="1:25" x14ac:dyDescent="0.3">
      <c r="A456">
        <v>22750</v>
      </c>
      <c r="B456" t="s">
        <v>10590</v>
      </c>
      <c r="C456" t="s">
        <v>10591</v>
      </c>
      <c r="D456" t="s">
        <v>10592</v>
      </c>
      <c r="E456" t="s">
        <v>10593</v>
      </c>
      <c r="F456" t="s">
        <v>10594</v>
      </c>
      <c r="G456" t="s">
        <v>10595</v>
      </c>
      <c r="H456" t="s">
        <v>10596</v>
      </c>
      <c r="I456" t="s">
        <v>10597</v>
      </c>
      <c r="J456" t="s">
        <v>10598</v>
      </c>
      <c r="K456" t="s">
        <v>10599</v>
      </c>
      <c r="L456" t="s">
        <v>10600</v>
      </c>
      <c r="M456" t="s">
        <v>10601</v>
      </c>
      <c r="N456" t="s">
        <v>10602</v>
      </c>
      <c r="O456">
        <f>-608.717887738927 -76.1674756508548 -740.227806260588</f>
        <v>-1425.1131696503699</v>
      </c>
      <c r="P456">
        <f>-639.050652366993 -52.9455427371108 -426.019526861173</f>
        <v>-1118.0157219652767</v>
      </c>
      <c r="Q456" t="s">
        <v>10603</v>
      </c>
      <c r="R456" t="s">
        <v>10604</v>
      </c>
      <c r="S456" t="s">
        <v>10605</v>
      </c>
      <c r="T456" t="s">
        <v>10606</v>
      </c>
      <c r="U456" t="s">
        <v>10607</v>
      </c>
      <c r="V456" t="s">
        <v>10608</v>
      </c>
      <c r="W456" t="s">
        <v>10609</v>
      </c>
      <c r="X456" t="s">
        <v>10610</v>
      </c>
      <c r="Y456" t="s">
        <v>10611</v>
      </c>
    </row>
    <row r="457" spans="1:25" x14ac:dyDescent="0.3">
      <c r="A457">
        <v>22800</v>
      </c>
      <c r="B457" t="s">
        <v>10612</v>
      </c>
      <c r="C457" t="s">
        <v>10613</v>
      </c>
      <c r="D457" t="s">
        <v>10614</v>
      </c>
      <c r="E457" t="s">
        <v>10615</v>
      </c>
      <c r="F457" t="s">
        <v>10616</v>
      </c>
      <c r="G457" t="s">
        <v>10617</v>
      </c>
      <c r="H457" t="s">
        <v>10618</v>
      </c>
      <c r="I457" t="s">
        <v>10619</v>
      </c>
      <c r="J457" t="s">
        <v>10620</v>
      </c>
      <c r="K457" t="s">
        <v>10621</v>
      </c>
      <c r="L457" t="s">
        <v>10622</v>
      </c>
      <c r="M457" t="s">
        <v>10623</v>
      </c>
      <c r="N457" t="s">
        <v>10624</v>
      </c>
      <c r="O457">
        <f>-611.607731603732 -77.5328319191528 -740.574768180168</f>
        <v>-1429.7153317030529</v>
      </c>
      <c r="P457">
        <f>-637.792445667981 -58.0978895024964 -425.736967926529</f>
        <v>-1121.6273030970065</v>
      </c>
      <c r="Q457" t="s">
        <v>10625</v>
      </c>
      <c r="R457" t="s">
        <v>10626</v>
      </c>
      <c r="S457" t="s">
        <v>10627</v>
      </c>
      <c r="T457" t="s">
        <v>10628</v>
      </c>
      <c r="U457" t="s">
        <v>10629</v>
      </c>
      <c r="V457" t="s">
        <v>10630</v>
      </c>
      <c r="W457" t="s">
        <v>10631</v>
      </c>
      <c r="X457" t="s">
        <v>10632</v>
      </c>
      <c r="Y457" t="s">
        <v>10633</v>
      </c>
    </row>
    <row r="458" spans="1:25" x14ac:dyDescent="0.3">
      <c r="A458">
        <v>22850</v>
      </c>
      <c r="B458" t="s">
        <v>10634</v>
      </c>
      <c r="C458" t="s">
        <v>10635</v>
      </c>
      <c r="D458" t="s">
        <v>10636</v>
      </c>
      <c r="E458" t="s">
        <v>10637</v>
      </c>
      <c r="F458" t="s">
        <v>10638</v>
      </c>
      <c r="G458" t="s">
        <v>10639</v>
      </c>
      <c r="H458" t="s">
        <v>10640</v>
      </c>
      <c r="I458" t="s">
        <v>10641</v>
      </c>
      <c r="J458" t="s">
        <v>10642</v>
      </c>
      <c r="K458" t="s">
        <v>10643</v>
      </c>
      <c r="L458" t="s">
        <v>10644</v>
      </c>
      <c r="M458" t="s">
        <v>10645</v>
      </c>
      <c r="N458" t="s">
        <v>10646</v>
      </c>
      <c r="O458">
        <f>-615.226719835981 -78.1607371944571 -741.13405869895</f>
        <v>-1434.5215157293881</v>
      </c>
      <c r="P458">
        <f>-637.689310928098 -63.2040802286143 -425.764490619018</f>
        <v>-1126.6578817757304</v>
      </c>
      <c r="Q458" t="s">
        <v>10647</v>
      </c>
      <c r="R458" t="s">
        <v>10648</v>
      </c>
      <c r="S458" t="s">
        <v>10649</v>
      </c>
      <c r="T458" t="s">
        <v>10650</v>
      </c>
      <c r="U458" t="s">
        <v>10651</v>
      </c>
      <c r="V458" t="s">
        <v>10652</v>
      </c>
      <c r="W458" t="s">
        <v>10653</v>
      </c>
      <c r="X458" t="s">
        <v>10654</v>
      </c>
      <c r="Y458" t="s">
        <v>10655</v>
      </c>
    </row>
    <row r="459" spans="1:25" x14ac:dyDescent="0.3">
      <c r="A459">
        <v>22900</v>
      </c>
      <c r="B459" t="s">
        <v>10656</v>
      </c>
      <c r="C459" t="s">
        <v>10657</v>
      </c>
      <c r="D459" t="s">
        <v>10658</v>
      </c>
      <c r="E459" t="s">
        <v>10659</v>
      </c>
      <c r="F459" t="s">
        <v>10660</v>
      </c>
      <c r="G459" t="s">
        <v>10661</v>
      </c>
      <c r="H459" t="s">
        <v>10662</v>
      </c>
      <c r="I459" t="s">
        <v>10663</v>
      </c>
      <c r="J459" t="s">
        <v>10664</v>
      </c>
      <c r="K459" t="s">
        <v>10665</v>
      </c>
      <c r="L459" t="s">
        <v>10666</v>
      </c>
      <c r="M459" t="s">
        <v>10667</v>
      </c>
      <c r="N459" t="s">
        <v>10668</v>
      </c>
      <c r="O459">
        <f>-616.46487368409 -77.7474606809407 -741.687108726816</f>
        <v>-1435.8994430918465</v>
      </c>
      <c r="P459">
        <f>-638.512683408009 -64.3003863913984 -426.220284842102</f>
        <v>-1129.0333546415095</v>
      </c>
      <c r="Q459" t="s">
        <v>10669</v>
      </c>
      <c r="R459" t="s">
        <v>10670</v>
      </c>
      <c r="S459" t="s">
        <v>10671</v>
      </c>
      <c r="T459" t="s">
        <v>10672</v>
      </c>
      <c r="U459" t="s">
        <v>10673</v>
      </c>
      <c r="V459" t="s">
        <v>10674</v>
      </c>
      <c r="W459" t="s">
        <v>10675</v>
      </c>
      <c r="X459" t="s">
        <v>10676</v>
      </c>
      <c r="Y459" t="s">
        <v>10677</v>
      </c>
    </row>
    <row r="460" spans="1:25" x14ac:dyDescent="0.3">
      <c r="A460">
        <v>22950</v>
      </c>
      <c r="B460" t="s">
        <v>10678</v>
      </c>
      <c r="C460" t="s">
        <v>10679</v>
      </c>
      <c r="D460" t="s">
        <v>10680</v>
      </c>
      <c r="E460" t="s">
        <v>10681</v>
      </c>
      <c r="F460" t="s">
        <v>10682</v>
      </c>
      <c r="G460" t="s">
        <v>10683</v>
      </c>
      <c r="H460" t="s">
        <v>10684</v>
      </c>
      <c r="I460" t="s">
        <v>10685</v>
      </c>
      <c r="J460" t="s">
        <v>10686</v>
      </c>
      <c r="K460" t="s">
        <v>10687</v>
      </c>
      <c r="L460" t="s">
        <v>10688</v>
      </c>
      <c r="M460" t="s">
        <v>10689</v>
      </c>
      <c r="N460" t="s">
        <v>10690</v>
      </c>
      <c r="O460">
        <f>-617.757475087833 -75.3445385741073 -743.079905763028</f>
        <v>-1436.1819194249683</v>
      </c>
      <c r="P460">
        <f>-641.474295903893 -64.2357760177364 -427.643196906656</f>
        <v>-1133.3532688282853</v>
      </c>
      <c r="Q460" t="s">
        <v>10691</v>
      </c>
      <c r="R460" t="s">
        <v>10692</v>
      </c>
      <c r="S460" t="s">
        <v>10693</v>
      </c>
      <c r="T460" t="s">
        <v>10694</v>
      </c>
      <c r="U460" t="s">
        <v>10695</v>
      </c>
      <c r="V460" t="s">
        <v>10696</v>
      </c>
      <c r="W460" t="s">
        <v>10697</v>
      </c>
      <c r="X460" t="s">
        <v>10698</v>
      </c>
      <c r="Y460" t="s">
        <v>10699</v>
      </c>
    </row>
    <row r="461" spans="1:25" x14ac:dyDescent="0.3">
      <c r="A461">
        <v>23000</v>
      </c>
      <c r="B461" t="s">
        <v>10700</v>
      </c>
      <c r="C461" t="s">
        <v>10701</v>
      </c>
      <c r="D461" t="s">
        <v>10702</v>
      </c>
      <c r="E461" t="s">
        <v>10703</v>
      </c>
      <c r="F461" t="s">
        <v>10704</v>
      </c>
      <c r="G461" t="s">
        <v>10705</v>
      </c>
      <c r="H461" t="s">
        <v>10706</v>
      </c>
      <c r="I461" t="s">
        <v>10707</v>
      </c>
      <c r="J461" t="s">
        <v>10708</v>
      </c>
      <c r="K461" t="s">
        <v>10709</v>
      </c>
      <c r="L461" t="s">
        <v>10710</v>
      </c>
      <c r="M461" t="s">
        <v>10711</v>
      </c>
      <c r="N461" t="s">
        <v>10712</v>
      </c>
      <c r="O461">
        <f>-617.820579605976 -73.7639223445547 -744.096057777391</f>
        <v>-1435.6805597279217</v>
      </c>
      <c r="P461">
        <f>-642.912530101664 -63.7311215025135 -428.72969437495</f>
        <v>-1135.3733459791274</v>
      </c>
      <c r="Q461" t="s">
        <v>10713</v>
      </c>
      <c r="R461" t="s">
        <v>10714</v>
      </c>
      <c r="S461" t="s">
        <v>10715</v>
      </c>
      <c r="T461" t="s">
        <v>10716</v>
      </c>
      <c r="U461" t="s">
        <v>10717</v>
      </c>
      <c r="V461" t="s">
        <v>10718</v>
      </c>
      <c r="W461" t="s">
        <v>10719</v>
      </c>
      <c r="X461" t="s">
        <v>10720</v>
      </c>
      <c r="Y461" t="s">
        <v>10721</v>
      </c>
    </row>
    <row r="462" spans="1:25" x14ac:dyDescent="0.3">
      <c r="A462">
        <v>23050</v>
      </c>
      <c r="B462" t="s">
        <v>10722</v>
      </c>
      <c r="C462" t="s">
        <v>10723</v>
      </c>
      <c r="D462" t="s">
        <v>10724</v>
      </c>
      <c r="E462" t="s">
        <v>10725</v>
      </c>
      <c r="F462" t="s">
        <v>10726</v>
      </c>
      <c r="G462" t="s">
        <v>10727</v>
      </c>
      <c r="H462" t="s">
        <v>10728</v>
      </c>
      <c r="I462" t="s">
        <v>10729</v>
      </c>
      <c r="J462" t="s">
        <v>10730</v>
      </c>
      <c r="K462" t="s">
        <v>10731</v>
      </c>
      <c r="L462" t="s">
        <v>10732</v>
      </c>
      <c r="M462" t="s">
        <v>10733</v>
      </c>
      <c r="N462" t="s">
        <v>10734</v>
      </c>
      <c r="O462">
        <f>-616.826724682725 -70.5965624385155 -746.37804515705</f>
        <v>-1433.8013322782904</v>
      </c>
      <c r="P462">
        <f>-644.532325753404 -62.0069647227779 -431.188009646671</f>
        <v>-1137.727300122853</v>
      </c>
      <c r="Q462" t="s">
        <v>10735</v>
      </c>
      <c r="R462" t="s">
        <v>10736</v>
      </c>
      <c r="S462" t="s">
        <v>10737</v>
      </c>
      <c r="T462" t="s">
        <v>10738</v>
      </c>
      <c r="U462" t="s">
        <v>10739</v>
      </c>
      <c r="V462" t="s">
        <v>10740</v>
      </c>
      <c r="W462" t="s">
        <v>10741</v>
      </c>
      <c r="X462" t="s">
        <v>10742</v>
      </c>
      <c r="Y462" t="s">
        <v>10743</v>
      </c>
    </row>
    <row r="463" spans="1:25" x14ac:dyDescent="0.3">
      <c r="A463">
        <v>23100</v>
      </c>
      <c r="B463" t="s">
        <v>10744</v>
      </c>
      <c r="C463" t="s">
        <v>10745</v>
      </c>
      <c r="D463" t="s">
        <v>10746</v>
      </c>
      <c r="E463" t="s">
        <v>10747</v>
      </c>
      <c r="F463" t="s">
        <v>10748</v>
      </c>
      <c r="G463" t="s">
        <v>10749</v>
      </c>
      <c r="H463" t="s">
        <v>10750</v>
      </c>
      <c r="I463" t="s">
        <v>10751</v>
      </c>
      <c r="J463" t="s">
        <v>10752</v>
      </c>
      <c r="K463" t="s">
        <v>10753</v>
      </c>
      <c r="L463" t="s">
        <v>10754</v>
      </c>
      <c r="M463" t="s">
        <v>10755</v>
      </c>
      <c r="N463" t="s">
        <v>10756</v>
      </c>
      <c r="O463">
        <f>-616.470966220285 -68.9778209582563 -747.575075111596</f>
        <v>-1433.0238622901375</v>
      </c>
      <c r="P463">
        <f>-645.029381355648 -60.6157989418453 -432.455004698297</f>
        <v>-1138.1001849957902</v>
      </c>
      <c r="Q463" t="s">
        <v>10757</v>
      </c>
      <c r="R463" t="s">
        <v>10758</v>
      </c>
      <c r="S463" t="s">
        <v>10759</v>
      </c>
      <c r="T463" t="s">
        <v>10760</v>
      </c>
      <c r="U463" t="s">
        <v>10761</v>
      </c>
      <c r="V463" t="s">
        <v>10762</v>
      </c>
      <c r="W463" t="s">
        <v>10763</v>
      </c>
      <c r="X463" t="s">
        <v>10764</v>
      </c>
      <c r="Y463" t="s">
        <v>10765</v>
      </c>
    </row>
    <row r="464" spans="1:25" x14ac:dyDescent="0.3">
      <c r="A464">
        <v>23150</v>
      </c>
      <c r="B464" t="s">
        <v>10766</v>
      </c>
      <c r="C464" t="s">
        <v>10767</v>
      </c>
      <c r="D464" t="s">
        <v>10768</v>
      </c>
      <c r="E464" t="s">
        <v>10769</v>
      </c>
      <c r="F464" t="s">
        <v>10770</v>
      </c>
      <c r="G464" t="s">
        <v>10771</v>
      </c>
      <c r="H464" t="s">
        <v>10772</v>
      </c>
      <c r="I464" t="s">
        <v>10773</v>
      </c>
      <c r="J464" t="s">
        <v>10774</v>
      </c>
      <c r="K464" t="s">
        <v>10775</v>
      </c>
      <c r="L464" t="s">
        <v>10776</v>
      </c>
      <c r="M464" t="s">
        <v>10777</v>
      </c>
      <c r="N464" t="s">
        <v>10778</v>
      </c>
      <c r="O464">
        <f>-615.410460787025 -66.3402334199352 -749.85293411448</f>
        <v>-1431.6036283214403</v>
      </c>
      <c r="P464">
        <f>-646.028836255304 -58.6980037434335 -434.90807843418</f>
        <v>-1139.6349184329174</v>
      </c>
      <c r="Q464" t="s">
        <v>10779</v>
      </c>
      <c r="R464" t="s">
        <v>10780</v>
      </c>
      <c r="S464" t="s">
        <v>10781</v>
      </c>
      <c r="T464" t="s">
        <v>10782</v>
      </c>
      <c r="U464" t="s">
        <v>10783</v>
      </c>
      <c r="V464" t="s">
        <v>10784</v>
      </c>
      <c r="W464" t="s">
        <v>10785</v>
      </c>
      <c r="X464" t="s">
        <v>10786</v>
      </c>
      <c r="Y464" t="s">
        <v>10787</v>
      </c>
    </row>
    <row r="465" spans="1:25" x14ac:dyDescent="0.3">
      <c r="A465">
        <v>23200</v>
      </c>
      <c r="B465" t="s">
        <v>10788</v>
      </c>
      <c r="C465" t="s">
        <v>10789</v>
      </c>
      <c r="D465" t="s">
        <v>10790</v>
      </c>
      <c r="E465" t="s">
        <v>10791</v>
      </c>
      <c r="F465" t="s">
        <v>10792</v>
      </c>
      <c r="G465" t="s">
        <v>10793</v>
      </c>
      <c r="H465" t="s">
        <v>10794</v>
      </c>
      <c r="I465" t="s">
        <v>10795</v>
      </c>
      <c r="J465" t="s">
        <v>10796</v>
      </c>
      <c r="K465" t="s">
        <v>10797</v>
      </c>
      <c r="L465" t="s">
        <v>10798</v>
      </c>
      <c r="M465" t="s">
        <v>10799</v>
      </c>
      <c r="N465" t="s">
        <v>10800</v>
      </c>
      <c r="O465">
        <f>-615.542995320592 -65.3930515769047 -750.858893954268</f>
        <v>-1431.7949408517647</v>
      </c>
      <c r="P465">
        <f>-647.022822623871 -58.475747525061 -435.98218989791</f>
        <v>-1141.4807600468421</v>
      </c>
      <c r="Q465" t="s">
        <v>10801</v>
      </c>
      <c r="R465" t="s">
        <v>10802</v>
      </c>
      <c r="S465" t="s">
        <v>10803</v>
      </c>
      <c r="T465" t="s">
        <v>10804</v>
      </c>
      <c r="U465" t="s">
        <v>10805</v>
      </c>
      <c r="V465" t="s">
        <v>10806</v>
      </c>
      <c r="W465" t="s">
        <v>10807</v>
      </c>
      <c r="X465" t="s">
        <v>10808</v>
      </c>
      <c r="Y465" t="s">
        <v>10809</v>
      </c>
    </row>
    <row r="466" spans="1:25" x14ac:dyDescent="0.3">
      <c r="A466">
        <v>23250</v>
      </c>
      <c r="B466" t="s">
        <v>10810</v>
      </c>
      <c r="C466" t="s">
        <v>10811</v>
      </c>
      <c r="D466" t="s">
        <v>10812</v>
      </c>
      <c r="E466" t="s">
        <v>10813</v>
      </c>
      <c r="F466" t="s">
        <v>10814</v>
      </c>
      <c r="G466" t="s">
        <v>10815</v>
      </c>
      <c r="H466" t="s">
        <v>10816</v>
      </c>
      <c r="I466" t="s">
        <v>10817</v>
      </c>
      <c r="J466" t="s">
        <v>10818</v>
      </c>
      <c r="K466" t="s">
        <v>10819</v>
      </c>
      <c r="L466" t="s">
        <v>10820</v>
      </c>
      <c r="M466" t="s">
        <v>10821</v>
      </c>
      <c r="N466" t="s">
        <v>10822</v>
      </c>
      <c r="O466">
        <f>-615.866188164325 -64.4396183655088 -751.800430460523</f>
        <v>-1432.1062369903566</v>
      </c>
      <c r="P466">
        <f>-648.354641102642 -58.3002851286401 -437.010121054762</f>
        <v>-1143.665047286044</v>
      </c>
      <c r="Q466" t="s">
        <v>10823</v>
      </c>
      <c r="R466" t="s">
        <v>10824</v>
      </c>
      <c r="S466" t="s">
        <v>10825</v>
      </c>
      <c r="T466" t="s">
        <v>10826</v>
      </c>
      <c r="U466" t="s">
        <v>10827</v>
      </c>
      <c r="V466" t="s">
        <v>10828</v>
      </c>
      <c r="W466" t="s">
        <v>10829</v>
      </c>
      <c r="X466" t="s">
        <v>10830</v>
      </c>
      <c r="Y466" t="s">
        <v>10831</v>
      </c>
    </row>
    <row r="467" spans="1:25" x14ac:dyDescent="0.3">
      <c r="A467">
        <v>23300</v>
      </c>
      <c r="B467" t="s">
        <v>10832</v>
      </c>
      <c r="C467" t="s">
        <v>10833</v>
      </c>
      <c r="D467" t="s">
        <v>10834</v>
      </c>
      <c r="E467" t="s">
        <v>10835</v>
      </c>
      <c r="F467" t="s">
        <v>10836</v>
      </c>
      <c r="G467" t="s">
        <v>10837</v>
      </c>
      <c r="H467" t="s">
        <v>10838</v>
      </c>
      <c r="I467" t="s">
        <v>10839</v>
      </c>
      <c r="J467" t="s">
        <v>10840</v>
      </c>
      <c r="K467" t="s">
        <v>10841</v>
      </c>
      <c r="L467" t="s">
        <v>10842</v>
      </c>
      <c r="M467" t="s">
        <v>10843</v>
      </c>
      <c r="N467" t="s">
        <v>10844</v>
      </c>
      <c r="O467">
        <f>-614.98917537092 -62.5016093985789 -753.683979702178</f>
        <v>-1431.174764471677</v>
      </c>
      <c r="P467">
        <f>-650.278317221286 -57.6822314532184 -439.172280240602</f>
        <v>-1147.1328289151063</v>
      </c>
      <c r="Q467" t="s">
        <v>10845</v>
      </c>
      <c r="R467" t="s">
        <v>10846</v>
      </c>
      <c r="S467" t="s">
        <v>10847</v>
      </c>
      <c r="T467" t="s">
        <v>10848</v>
      </c>
      <c r="U467" t="s">
        <v>10849</v>
      </c>
      <c r="V467" t="s">
        <v>10850</v>
      </c>
      <c r="W467" t="s">
        <v>10851</v>
      </c>
      <c r="X467" t="s">
        <v>10852</v>
      </c>
      <c r="Y467" t="s">
        <v>10853</v>
      </c>
    </row>
    <row r="468" spans="1:25" x14ac:dyDescent="0.3">
      <c r="A468">
        <v>23350</v>
      </c>
      <c r="B468" t="s">
        <v>10854</v>
      </c>
      <c r="C468" t="s">
        <v>10855</v>
      </c>
      <c r="D468" t="s">
        <v>10856</v>
      </c>
      <c r="E468" t="s">
        <v>10857</v>
      </c>
      <c r="F468" t="s">
        <v>10858</v>
      </c>
      <c r="G468" t="s">
        <v>10859</v>
      </c>
      <c r="H468" t="s">
        <v>10860</v>
      </c>
      <c r="I468" t="s">
        <v>10861</v>
      </c>
      <c r="J468" t="s">
        <v>10862</v>
      </c>
      <c r="K468" t="s">
        <v>10863</v>
      </c>
      <c r="L468" t="s">
        <v>10864</v>
      </c>
      <c r="M468" t="s">
        <v>10865</v>
      </c>
      <c r="N468" t="s">
        <v>10866</v>
      </c>
      <c r="O468">
        <f>-612.025839365724 -61.7593776918975 -755.662676954683</f>
        <v>-1429.4478940123045</v>
      </c>
      <c r="P468">
        <f>-650.445760199137 -58.8746736687633 -441.49431595995</f>
        <v>-1150.8147498278504</v>
      </c>
      <c r="Q468" t="s">
        <v>10867</v>
      </c>
      <c r="R468" t="s">
        <v>10868</v>
      </c>
      <c r="S468" t="s">
        <v>10869</v>
      </c>
      <c r="T468" t="s">
        <v>10870</v>
      </c>
      <c r="U468" t="s">
        <v>10871</v>
      </c>
      <c r="V468" t="s">
        <v>10872</v>
      </c>
      <c r="W468" t="s">
        <v>10873</v>
      </c>
      <c r="X468" t="s">
        <v>10874</v>
      </c>
      <c r="Y468" t="s">
        <v>10875</v>
      </c>
    </row>
    <row r="469" spans="1:25" x14ac:dyDescent="0.3">
      <c r="A469">
        <v>23400</v>
      </c>
      <c r="B469" t="s">
        <v>10876</v>
      </c>
      <c r="C469" t="s">
        <v>10877</v>
      </c>
      <c r="D469" t="s">
        <v>10878</v>
      </c>
      <c r="E469" t="s">
        <v>10879</v>
      </c>
      <c r="F469" t="s">
        <v>10880</v>
      </c>
      <c r="G469" t="s">
        <v>10881</v>
      </c>
      <c r="H469" t="s">
        <v>10882</v>
      </c>
      <c r="I469" t="s">
        <v>10883</v>
      </c>
      <c r="J469" t="s">
        <v>10884</v>
      </c>
      <c r="K469" t="s">
        <v>10885</v>
      </c>
      <c r="L469" t="s">
        <v>10886</v>
      </c>
      <c r="M469" t="s">
        <v>10887</v>
      </c>
      <c r="N469" t="s">
        <v>10888</v>
      </c>
      <c r="O469">
        <f>-610.107575267573 -61.4782879491802 -756.610774069475</f>
        <v>-1428.1966372862282</v>
      </c>
      <c r="P469">
        <f>-650.60407267631 -59.4496564404384 -442.696681302266</f>
        <v>-1152.7504104190143</v>
      </c>
      <c r="Q469" t="s">
        <v>10889</v>
      </c>
      <c r="R469" t="s">
        <v>10890</v>
      </c>
      <c r="S469" t="s">
        <v>10891</v>
      </c>
      <c r="T469" t="s">
        <v>10892</v>
      </c>
      <c r="U469" t="s">
        <v>10893</v>
      </c>
      <c r="V469" t="s">
        <v>10894</v>
      </c>
      <c r="W469" t="s">
        <v>10895</v>
      </c>
      <c r="X469" t="s">
        <v>10896</v>
      </c>
      <c r="Y469" t="s">
        <v>10897</v>
      </c>
    </row>
    <row r="470" spans="1:25" x14ac:dyDescent="0.3">
      <c r="A470">
        <v>23450</v>
      </c>
      <c r="B470" t="s">
        <v>10898</v>
      </c>
      <c r="C470" t="s">
        <v>10899</v>
      </c>
      <c r="D470" t="s">
        <v>10900</v>
      </c>
      <c r="E470" t="s">
        <v>10901</v>
      </c>
      <c r="F470" t="s">
        <v>10902</v>
      </c>
      <c r="G470" t="s">
        <v>10903</v>
      </c>
      <c r="H470" t="s">
        <v>10904</v>
      </c>
      <c r="I470" t="s">
        <v>10905</v>
      </c>
      <c r="J470" t="s">
        <v>10906</v>
      </c>
      <c r="K470" t="s">
        <v>10907</v>
      </c>
      <c r="L470" t="s">
        <v>10908</v>
      </c>
      <c r="M470" t="s">
        <v>10909</v>
      </c>
      <c r="N470" t="s">
        <v>10910</v>
      </c>
      <c r="O470">
        <f>-604.749224128309 -58.9321526426562 -759.656280740633</f>
        <v>-1423.3376575115981</v>
      </c>
      <c r="P470">
        <f>-647.986186271493 -61.430595970453 -446.111142356066</f>
        <v>-1155.5279245980121</v>
      </c>
      <c r="Q470" t="s">
        <v>10911</v>
      </c>
      <c r="R470" t="s">
        <v>10912</v>
      </c>
      <c r="S470" t="s">
        <v>10913</v>
      </c>
      <c r="T470" t="s">
        <v>10914</v>
      </c>
      <c r="U470" t="s">
        <v>10915</v>
      </c>
      <c r="V470" t="s">
        <v>10916</v>
      </c>
      <c r="W470" t="s">
        <v>10917</v>
      </c>
      <c r="X470" t="s">
        <v>10918</v>
      </c>
      <c r="Y470" t="s">
        <v>10919</v>
      </c>
    </row>
    <row r="471" spans="1:25" x14ac:dyDescent="0.3">
      <c r="A471">
        <v>23500</v>
      </c>
      <c r="B471" t="s">
        <v>10920</v>
      </c>
      <c r="C471" t="s">
        <v>10921</v>
      </c>
      <c r="D471" t="s">
        <v>10922</v>
      </c>
      <c r="E471" t="s">
        <v>10923</v>
      </c>
      <c r="F471" t="s">
        <v>10924</v>
      </c>
      <c r="G471" t="s">
        <v>10925</v>
      </c>
      <c r="H471" t="s">
        <v>10926</v>
      </c>
      <c r="I471" t="s">
        <v>10927</v>
      </c>
      <c r="J471" t="s">
        <v>10928</v>
      </c>
      <c r="K471" t="s">
        <v>10929</v>
      </c>
      <c r="L471" t="s">
        <v>10930</v>
      </c>
      <c r="M471" t="s">
        <v>10931</v>
      </c>
      <c r="N471" t="s">
        <v>10932</v>
      </c>
      <c r="O471">
        <f>-601.242495484064 -56.7330149970256 -761.60705948442</f>
        <v>-1419.5825699655097</v>
      </c>
      <c r="P471">
        <f>-645.948353002792 -62.4994678052577 -448.311164881802</f>
        <v>-1156.7589856898517</v>
      </c>
      <c r="Q471" t="s">
        <v>10933</v>
      </c>
      <c r="R471" t="s">
        <v>10934</v>
      </c>
      <c r="S471" t="s">
        <v>10935</v>
      </c>
      <c r="T471" t="s">
        <v>10936</v>
      </c>
      <c r="U471" t="s">
        <v>10937</v>
      </c>
      <c r="V471" t="s">
        <v>10938</v>
      </c>
      <c r="W471" t="s">
        <v>10939</v>
      </c>
      <c r="X471" t="s">
        <v>10940</v>
      </c>
      <c r="Y471" t="s">
        <v>10941</v>
      </c>
    </row>
    <row r="472" spans="1:25" x14ac:dyDescent="0.3">
      <c r="A472">
        <v>23550</v>
      </c>
      <c r="B472" t="s">
        <v>10942</v>
      </c>
      <c r="C472" t="s">
        <v>10943</v>
      </c>
      <c r="D472" t="s">
        <v>10944</v>
      </c>
      <c r="E472" t="s">
        <v>10945</v>
      </c>
      <c r="F472" t="s">
        <v>10946</v>
      </c>
      <c r="G472" t="s">
        <v>10947</v>
      </c>
      <c r="H472" t="s">
        <v>10948</v>
      </c>
      <c r="I472" t="s">
        <v>10949</v>
      </c>
      <c r="J472" t="s">
        <v>10950</v>
      </c>
      <c r="K472" t="s">
        <v>10951</v>
      </c>
      <c r="L472" t="s">
        <v>10952</v>
      </c>
      <c r="M472" t="s">
        <v>10953</v>
      </c>
      <c r="N472" t="s">
        <v>10954</v>
      </c>
      <c r="O472">
        <f>-593.650383618937 -52.2267761802799 -765.403792913796</f>
        <v>-1411.280952713013</v>
      </c>
      <c r="P472">
        <f>-642.494526797218 -66.5217110008863 -453.000001121918</f>
        <v>-1162.0162389200223</v>
      </c>
      <c r="Q472" t="s">
        <v>10955</v>
      </c>
      <c r="R472" t="s">
        <v>10956</v>
      </c>
      <c r="S472" t="s">
        <v>10957</v>
      </c>
      <c r="T472" t="s">
        <v>10958</v>
      </c>
      <c r="U472" t="s">
        <v>10959</v>
      </c>
      <c r="V472">
        <f>-615.788988718035 -1.41963708860418 -244.75420237099</f>
        <v>-861.96282817762915</v>
      </c>
      <c r="W472" t="s">
        <v>10960</v>
      </c>
      <c r="X472" t="s">
        <v>10961</v>
      </c>
      <c r="Y472" t="s">
        <v>10962</v>
      </c>
    </row>
    <row r="473" spans="1:25" x14ac:dyDescent="0.3">
      <c r="A473">
        <v>23600</v>
      </c>
      <c r="B473" t="s">
        <v>10963</v>
      </c>
      <c r="C473" t="s">
        <v>10964</v>
      </c>
      <c r="D473" t="s">
        <v>10965</v>
      </c>
      <c r="E473" t="s">
        <v>10966</v>
      </c>
      <c r="F473" t="s">
        <v>10967</v>
      </c>
      <c r="G473" t="s">
        <v>10968</v>
      </c>
      <c r="H473" t="s">
        <v>10969</v>
      </c>
      <c r="I473" t="s">
        <v>10970</v>
      </c>
      <c r="J473" t="s">
        <v>10971</v>
      </c>
      <c r="K473" t="s">
        <v>10972</v>
      </c>
      <c r="L473" t="s">
        <v>10973</v>
      </c>
      <c r="M473" t="s">
        <v>10974</v>
      </c>
      <c r="N473" t="s">
        <v>10975</v>
      </c>
      <c r="O473">
        <f>-590.398645071212 -50.3501314160189 -767.052129359365</f>
        <v>-1407.8009058465959</v>
      </c>
      <c r="P473">
        <f>-640.858633167704 -69.5065386765653 -455.165963845494</f>
        <v>-1165.5311356897632</v>
      </c>
      <c r="Q473" t="s">
        <v>10976</v>
      </c>
      <c r="R473" t="s">
        <v>10977</v>
      </c>
      <c r="S473" t="s">
        <v>10978</v>
      </c>
      <c r="T473" t="s">
        <v>10979</v>
      </c>
      <c r="U473" t="s">
        <v>10980</v>
      </c>
      <c r="V473">
        <f>-615.180989073032 -5.21554968364013 -244.270297192426</f>
        <v>-864.66683594909819</v>
      </c>
      <c r="W473" t="s">
        <v>10981</v>
      </c>
      <c r="X473" t="s">
        <v>10982</v>
      </c>
      <c r="Y473" t="s">
        <v>10983</v>
      </c>
    </row>
    <row r="474" spans="1:25" x14ac:dyDescent="0.3">
      <c r="A474">
        <v>23650</v>
      </c>
      <c r="B474" t="s">
        <v>10984</v>
      </c>
      <c r="C474" t="s">
        <v>10985</v>
      </c>
      <c r="D474" t="s">
        <v>10986</v>
      </c>
      <c r="E474" t="s">
        <v>10987</v>
      </c>
      <c r="F474" t="s">
        <v>10988</v>
      </c>
      <c r="G474" t="s">
        <v>10989</v>
      </c>
      <c r="H474" t="s">
        <v>10990</v>
      </c>
      <c r="I474" t="s">
        <v>10991</v>
      </c>
      <c r="J474" t="s">
        <v>10992</v>
      </c>
      <c r="K474" t="s">
        <v>10993</v>
      </c>
      <c r="L474" t="s">
        <v>10994</v>
      </c>
      <c r="M474" t="s">
        <v>10995</v>
      </c>
      <c r="N474" t="s">
        <v>10996</v>
      </c>
      <c r="O474">
        <f>-585.587042386951 -48.379028507611 -769.033040131277</f>
        <v>-1402.9991110258388</v>
      </c>
      <c r="P474">
        <f>-636.685775671734 -76.8415984582354 -457.9623022975</f>
        <v>-1171.4896764274692</v>
      </c>
      <c r="Q474" t="s">
        <v>10997</v>
      </c>
      <c r="R474" t="s">
        <v>10998</v>
      </c>
      <c r="S474" t="s">
        <v>10999</v>
      </c>
      <c r="T474" t="s">
        <v>11000</v>
      </c>
      <c r="U474" t="s">
        <v>11001</v>
      </c>
      <c r="V474">
        <f>-613.980601199842 -12.9167748937303 -243.400558818632</f>
        <v>-870.29793491220437</v>
      </c>
      <c r="W474" t="s">
        <v>11002</v>
      </c>
      <c r="X474" t="s">
        <v>11003</v>
      </c>
      <c r="Y474" t="s">
        <v>11004</v>
      </c>
    </row>
    <row r="475" spans="1:25" x14ac:dyDescent="0.3">
      <c r="A475">
        <v>23700</v>
      </c>
      <c r="B475" t="s">
        <v>11005</v>
      </c>
      <c r="C475" t="s">
        <v>11006</v>
      </c>
      <c r="D475" t="s">
        <v>11007</v>
      </c>
      <c r="E475" t="s">
        <v>11008</v>
      </c>
      <c r="F475" t="s">
        <v>11009</v>
      </c>
      <c r="G475" t="s">
        <v>11010</v>
      </c>
      <c r="H475" t="s">
        <v>11011</v>
      </c>
      <c r="I475" t="s">
        <v>11012</v>
      </c>
      <c r="J475" t="s">
        <v>11013</v>
      </c>
      <c r="K475" t="s">
        <v>11014</v>
      </c>
      <c r="L475" t="s">
        <v>11015</v>
      </c>
      <c r="M475" t="s">
        <v>11016</v>
      </c>
      <c r="N475" t="s">
        <v>11017</v>
      </c>
      <c r="O475">
        <f>-584.504296296655 -48.3702816136156 -769.455713782496</f>
        <v>-1402.3302916927664</v>
      </c>
      <c r="P475">
        <f>-634.785799507949 -80.4169721034387 -458.600576767908</f>
        <v>-1173.8033483792958</v>
      </c>
      <c r="Q475" t="s">
        <v>11018</v>
      </c>
      <c r="R475" t="s">
        <v>11019</v>
      </c>
      <c r="S475" t="s">
        <v>11020</v>
      </c>
      <c r="T475" t="s">
        <v>11021</v>
      </c>
      <c r="U475" t="s">
        <v>11022</v>
      </c>
      <c r="V475">
        <f>-613.405289967268 -16.4017897578526 -243.077904653769</f>
        <v>-872.88498437888961</v>
      </c>
      <c r="W475" t="s">
        <v>11023</v>
      </c>
      <c r="X475" t="s">
        <v>11024</v>
      </c>
      <c r="Y475" t="s">
        <v>11025</v>
      </c>
    </row>
    <row r="476" spans="1:25" x14ac:dyDescent="0.3">
      <c r="A476">
        <v>23750</v>
      </c>
      <c r="B476" t="s">
        <v>11026</v>
      </c>
      <c r="C476" t="s">
        <v>11027</v>
      </c>
      <c r="D476" t="s">
        <v>11028</v>
      </c>
      <c r="E476" t="s">
        <v>11029</v>
      </c>
      <c r="F476" t="s">
        <v>11030</v>
      </c>
      <c r="G476" t="s">
        <v>11031</v>
      </c>
      <c r="H476" t="s">
        <v>11032</v>
      </c>
      <c r="I476" t="s">
        <v>11033</v>
      </c>
      <c r="J476" t="s">
        <v>11034</v>
      </c>
      <c r="K476" t="s">
        <v>11035</v>
      </c>
      <c r="L476" t="s">
        <v>11036</v>
      </c>
      <c r="M476" t="s">
        <v>11037</v>
      </c>
      <c r="N476" t="s">
        <v>11038</v>
      </c>
      <c r="O476">
        <f>-582.733767343603 -49.5890089430631 -769.57787614368</f>
        <v>-1401.9006524303459</v>
      </c>
      <c r="P476">
        <f>-630.034438726926 -86.2911152824521 -458.769573324178</f>
        <v>-1175.0951273335561</v>
      </c>
      <c r="Q476" t="s">
        <v>11039</v>
      </c>
      <c r="R476" t="s">
        <v>11040</v>
      </c>
      <c r="S476" t="s">
        <v>11041</v>
      </c>
      <c r="T476" t="s">
        <v>11042</v>
      </c>
      <c r="U476" t="s">
        <v>11043</v>
      </c>
      <c r="V476">
        <f>-612.768775205577 -21.3485289333085 -242.592926235285</f>
        <v>-876.71023037417035</v>
      </c>
      <c r="W476" t="s">
        <v>11044</v>
      </c>
      <c r="X476" t="s">
        <v>11045</v>
      </c>
      <c r="Y476" t="s">
        <v>11046</v>
      </c>
    </row>
    <row r="477" spans="1:25" x14ac:dyDescent="0.3">
      <c r="A477">
        <v>23800</v>
      </c>
      <c r="B477" t="s">
        <v>11047</v>
      </c>
      <c r="C477" t="s">
        <v>11048</v>
      </c>
      <c r="D477" t="s">
        <v>11049</v>
      </c>
      <c r="E477" t="s">
        <v>11050</v>
      </c>
      <c r="F477" t="s">
        <v>11051</v>
      </c>
      <c r="G477" t="s">
        <v>11052</v>
      </c>
      <c r="H477" t="s">
        <v>11053</v>
      </c>
      <c r="I477" t="s">
        <v>11054</v>
      </c>
      <c r="J477" t="s">
        <v>11055</v>
      </c>
      <c r="K477" t="s">
        <v>11056</v>
      </c>
      <c r="L477" t="s">
        <v>11057</v>
      </c>
      <c r="M477" t="s">
        <v>11058</v>
      </c>
      <c r="N477" t="s">
        <v>11059</v>
      </c>
      <c r="O477">
        <f>-581.885660409925 -50.8288876514527 -769.168058226108</f>
        <v>-1401.8826062874855</v>
      </c>
      <c r="P477">
        <f>-627.984230739433 -88.9068098809921 -458.344592132057</f>
        <v>-1175.2356327524822</v>
      </c>
      <c r="Q477" t="s">
        <v>11060</v>
      </c>
      <c r="R477" t="s">
        <v>11061</v>
      </c>
      <c r="S477" t="s">
        <v>11062</v>
      </c>
      <c r="T477" t="s">
        <v>11063</v>
      </c>
      <c r="U477" t="s">
        <v>11064</v>
      </c>
      <c r="V477">
        <f>-612.681209976098 -22.7144389989356 -242.337949952154</f>
        <v>-877.73359892718759</v>
      </c>
      <c r="W477" t="s">
        <v>11065</v>
      </c>
      <c r="X477" t="s">
        <v>11066</v>
      </c>
      <c r="Y477" t="s">
        <v>11067</v>
      </c>
    </row>
    <row r="478" spans="1:25" x14ac:dyDescent="0.3">
      <c r="A478">
        <v>23850</v>
      </c>
      <c r="B478" t="s">
        <v>11068</v>
      </c>
      <c r="C478" t="s">
        <v>11069</v>
      </c>
      <c r="D478" t="s">
        <v>11070</v>
      </c>
      <c r="E478" t="s">
        <v>11071</v>
      </c>
      <c r="F478" t="s">
        <v>11072</v>
      </c>
      <c r="G478" t="s">
        <v>11073</v>
      </c>
      <c r="H478" t="s">
        <v>11074</v>
      </c>
      <c r="I478" t="s">
        <v>11075</v>
      </c>
      <c r="J478" t="s">
        <v>11076</v>
      </c>
      <c r="K478" t="s">
        <v>11077</v>
      </c>
      <c r="L478" t="s">
        <v>11078</v>
      </c>
      <c r="M478" t="s">
        <v>11079</v>
      </c>
      <c r="N478" t="s">
        <v>11080</v>
      </c>
      <c r="O478">
        <f>-581.130508010878 -53.4374689143252 -767.492558920158</f>
        <v>-1402.0605358453613</v>
      </c>
      <c r="P478">
        <f>-625.764902314975 -93.0043986216842 -456.641385764601</f>
        <v>-1175.4106867012601</v>
      </c>
      <c r="Q478" t="s">
        <v>11081</v>
      </c>
      <c r="R478" t="s">
        <v>11082</v>
      </c>
      <c r="S478" t="s">
        <v>11083</v>
      </c>
      <c r="T478" t="s">
        <v>11084</v>
      </c>
      <c r="U478" t="s">
        <v>11085</v>
      </c>
      <c r="V478">
        <f>-614.258305926742 -23.4411413773357 -241.918718317123</f>
        <v>-879.61816562120066</v>
      </c>
      <c r="W478" t="s">
        <v>11086</v>
      </c>
      <c r="X478" t="s">
        <v>11087</v>
      </c>
      <c r="Y478" t="s">
        <v>11088</v>
      </c>
    </row>
    <row r="479" spans="1:25" x14ac:dyDescent="0.3">
      <c r="A479">
        <v>23900</v>
      </c>
      <c r="B479" t="s">
        <v>11089</v>
      </c>
      <c r="C479" t="s">
        <v>11090</v>
      </c>
      <c r="D479" t="s">
        <v>11091</v>
      </c>
      <c r="E479" t="s">
        <v>11092</v>
      </c>
      <c r="F479" t="s">
        <v>11093</v>
      </c>
      <c r="G479" t="s">
        <v>11094</v>
      </c>
      <c r="H479" t="s">
        <v>11095</v>
      </c>
      <c r="I479" t="s">
        <v>11096</v>
      </c>
      <c r="J479" t="s">
        <v>11097</v>
      </c>
      <c r="K479" t="s">
        <v>11098</v>
      </c>
      <c r="L479" t="s">
        <v>11099</v>
      </c>
      <c r="M479" t="s">
        <v>11100</v>
      </c>
      <c r="N479" t="s">
        <v>11101</v>
      </c>
      <c r="O479">
        <f>-581.931769130085 -54.5136075760903 -766.496639760086</f>
        <v>-1402.9420164662613</v>
      </c>
      <c r="P479">
        <f>-626.553668001858 -93.2278892598813 -455.536473129726</f>
        <v>-1175.3180303914653</v>
      </c>
      <c r="Q479" t="s">
        <v>11102</v>
      </c>
      <c r="R479" t="s">
        <v>11103</v>
      </c>
      <c r="S479" t="s">
        <v>11104</v>
      </c>
      <c r="T479" t="s">
        <v>11105</v>
      </c>
      <c r="U479" t="s">
        <v>11106</v>
      </c>
      <c r="V479">
        <f>-615.593530953807 -22.5692981418555 -241.794867848034</f>
        <v>-879.95769694369642</v>
      </c>
      <c r="W479" t="s">
        <v>11107</v>
      </c>
      <c r="X479" t="s">
        <v>11108</v>
      </c>
      <c r="Y479" t="s">
        <v>11109</v>
      </c>
    </row>
    <row r="480" spans="1:25" x14ac:dyDescent="0.3">
      <c r="A480">
        <v>23950</v>
      </c>
      <c r="B480" t="s">
        <v>11110</v>
      </c>
      <c r="C480" t="s">
        <v>11111</v>
      </c>
      <c r="D480" t="s">
        <v>11112</v>
      </c>
      <c r="E480" t="s">
        <v>11113</v>
      </c>
      <c r="F480" t="s">
        <v>11114</v>
      </c>
      <c r="G480" t="s">
        <v>11115</v>
      </c>
      <c r="H480" t="s">
        <v>11116</v>
      </c>
      <c r="I480" t="s">
        <v>11117</v>
      </c>
      <c r="J480" t="s">
        <v>11118</v>
      </c>
      <c r="K480" t="s">
        <v>11119</v>
      </c>
      <c r="L480" t="s">
        <v>11120</v>
      </c>
      <c r="M480" t="s">
        <v>11121</v>
      </c>
      <c r="N480" t="s">
        <v>11122</v>
      </c>
      <c r="O480">
        <f>-582.893531850821 -56.4788172740927 -764.246464892867</f>
        <v>-1403.6188140177806</v>
      </c>
      <c r="P480">
        <f>-629.968625413894 -90.1338802495197 -453.059317678135</f>
        <v>-1173.1618233415488</v>
      </c>
      <c r="Q480" t="s">
        <v>11123</v>
      </c>
      <c r="R480" t="s">
        <v>11124</v>
      </c>
      <c r="S480" t="s">
        <v>11125</v>
      </c>
      <c r="T480" t="s">
        <v>11126</v>
      </c>
      <c r="U480" t="s">
        <v>11127</v>
      </c>
      <c r="V480">
        <f>-619.485877704874 -18.9326674873665 -241.571086007898</f>
        <v>-879.98963120013855</v>
      </c>
      <c r="W480" t="s">
        <v>11128</v>
      </c>
      <c r="X480" t="s">
        <v>11129</v>
      </c>
      <c r="Y480" t="s">
        <v>11130</v>
      </c>
    </row>
    <row r="481" spans="1:25" x14ac:dyDescent="0.3">
      <c r="A481">
        <v>24000</v>
      </c>
      <c r="B481" t="s">
        <v>11131</v>
      </c>
      <c r="C481" t="s">
        <v>11132</v>
      </c>
      <c r="D481" t="s">
        <v>11133</v>
      </c>
      <c r="E481" t="s">
        <v>11134</v>
      </c>
      <c r="F481" t="s">
        <v>11135</v>
      </c>
      <c r="G481" t="s">
        <v>11136</v>
      </c>
      <c r="H481" t="s">
        <v>11137</v>
      </c>
      <c r="I481" t="s">
        <v>11138</v>
      </c>
      <c r="J481" t="s">
        <v>11139</v>
      </c>
      <c r="K481" t="s">
        <v>11140</v>
      </c>
      <c r="L481" t="s">
        <v>11141</v>
      </c>
      <c r="M481" t="s">
        <v>11142</v>
      </c>
      <c r="N481" t="s">
        <v>11143</v>
      </c>
      <c r="O481">
        <f>-584.133278022315 -57.348462184556 -763.149117801754</f>
        <v>-1404.630858008625</v>
      </c>
      <c r="P481">
        <f>-633.971792995155 -87.5264643163215 -452.035697149932</f>
        <v>-1173.5339544614085</v>
      </c>
      <c r="Q481" t="s">
        <v>11144</v>
      </c>
      <c r="R481" t="s">
        <v>11145</v>
      </c>
      <c r="S481" t="s">
        <v>11146</v>
      </c>
      <c r="T481" t="s">
        <v>11147</v>
      </c>
      <c r="U481" t="s">
        <v>11148</v>
      </c>
      <c r="V481">
        <f>-622.125473634656 -16.1954722077874 -241.373397525161</f>
        <v>-879.69434336760446</v>
      </c>
      <c r="W481" t="s">
        <v>11149</v>
      </c>
      <c r="X481" t="s">
        <v>11150</v>
      </c>
      <c r="Y481" t="s">
        <v>11151</v>
      </c>
    </row>
    <row r="482" spans="1:25" x14ac:dyDescent="0.3">
      <c r="A482">
        <v>24050</v>
      </c>
      <c r="B482" t="s">
        <v>11152</v>
      </c>
      <c r="C482" t="s">
        <v>11153</v>
      </c>
      <c r="D482" t="s">
        <v>11154</v>
      </c>
      <c r="E482" t="s">
        <v>11155</v>
      </c>
      <c r="F482" t="s">
        <v>11156</v>
      </c>
      <c r="G482" t="s">
        <v>11157</v>
      </c>
      <c r="H482" t="s">
        <v>11158</v>
      </c>
      <c r="I482" t="s">
        <v>11159</v>
      </c>
      <c r="J482" t="s">
        <v>11160</v>
      </c>
      <c r="K482" t="s">
        <v>11161</v>
      </c>
      <c r="L482" t="s">
        <v>11162</v>
      </c>
      <c r="M482" t="s">
        <v>11163</v>
      </c>
      <c r="N482" t="s">
        <v>11164</v>
      </c>
      <c r="O482">
        <f>-585.716545004007 -56.872611776233 -762.482653720516</f>
        <v>-1405.0718105007561</v>
      </c>
      <c r="P482">
        <f>-638.533248475367 -84.5022099525913 -451.623913616566</f>
        <v>-1174.6593720445244</v>
      </c>
      <c r="Q482" t="s">
        <v>11165</v>
      </c>
      <c r="R482" t="s">
        <v>11166</v>
      </c>
      <c r="S482" t="s">
        <v>11167</v>
      </c>
      <c r="T482" t="s">
        <v>11168</v>
      </c>
      <c r="U482" t="s">
        <v>11169</v>
      </c>
      <c r="V482">
        <f>-625.180898981298 -13.1061011861053 -241.182483159312</f>
        <v>-879.46948332671536</v>
      </c>
      <c r="W482" t="s">
        <v>11170</v>
      </c>
      <c r="X482" t="s">
        <v>11171</v>
      </c>
      <c r="Y482" t="s">
        <v>11172</v>
      </c>
    </row>
    <row r="483" spans="1:25" x14ac:dyDescent="0.3">
      <c r="A483">
        <v>24100</v>
      </c>
      <c r="B483" t="s">
        <v>11173</v>
      </c>
      <c r="C483" t="s">
        <v>11174</v>
      </c>
      <c r="D483" t="s">
        <v>11175</v>
      </c>
      <c r="E483" t="s">
        <v>11176</v>
      </c>
      <c r="F483" t="s">
        <v>11177</v>
      </c>
      <c r="G483" t="s">
        <v>11178</v>
      </c>
      <c r="H483" t="s">
        <v>11179</v>
      </c>
      <c r="I483" t="s">
        <v>11180</v>
      </c>
      <c r="J483" t="s">
        <v>11181</v>
      </c>
      <c r="K483" t="s">
        <v>11182</v>
      </c>
      <c r="L483" t="s">
        <v>11183</v>
      </c>
      <c r="M483" t="s">
        <v>11184</v>
      </c>
      <c r="N483" t="s">
        <v>11185</v>
      </c>
      <c r="O483">
        <f>-590.031172510617 -51.4870874994105 -762.777001505341</f>
        <v>-1404.2952615153686</v>
      </c>
      <c r="P483">
        <f>-648.612942444128 -77.7722141509306 -452.83594989093</f>
        <v>-1179.2211064859885</v>
      </c>
      <c r="Q483" t="s">
        <v>11186</v>
      </c>
      <c r="R483" t="s">
        <v>11187</v>
      </c>
      <c r="S483" t="s">
        <v>11188</v>
      </c>
      <c r="T483" t="s">
        <v>11189</v>
      </c>
      <c r="U483" t="s">
        <v>11190</v>
      </c>
      <c r="V483">
        <f>-631.65111781301 -5.98177040185416 -241.242724974753</f>
        <v>-878.8756131896173</v>
      </c>
      <c r="W483" t="s">
        <v>11191</v>
      </c>
      <c r="X483" t="s">
        <v>11192</v>
      </c>
      <c r="Y483" t="s">
        <v>11193</v>
      </c>
    </row>
    <row r="484" spans="1:25" x14ac:dyDescent="0.3">
      <c r="A484">
        <v>24150</v>
      </c>
      <c r="B484" t="s">
        <v>11194</v>
      </c>
      <c r="C484" t="s">
        <v>11195</v>
      </c>
      <c r="D484" t="s">
        <v>11196</v>
      </c>
      <c r="E484" t="s">
        <v>11197</v>
      </c>
      <c r="F484" t="s">
        <v>11198</v>
      </c>
      <c r="G484" t="s">
        <v>11199</v>
      </c>
      <c r="H484" t="s">
        <v>11200</v>
      </c>
      <c r="I484" t="s">
        <v>11201</v>
      </c>
      <c r="J484" t="s">
        <v>11202</v>
      </c>
      <c r="K484" t="s">
        <v>11203</v>
      </c>
      <c r="L484" t="s">
        <v>11204</v>
      </c>
      <c r="M484" t="s">
        <v>11205</v>
      </c>
      <c r="N484" t="s">
        <v>11206</v>
      </c>
      <c r="O484">
        <f>-593.058690812182 -45.8130220673553 -763.88797769457</f>
        <v>-1402.7596905741075</v>
      </c>
      <c r="P484">
        <f>-657.083746980857 -72.6595715671229 -455.073815781205</f>
        <v>-1184.8171343291849</v>
      </c>
      <c r="Q484" t="s">
        <v>11207</v>
      </c>
      <c r="R484" t="s">
        <v>11208</v>
      </c>
      <c r="S484" t="s">
        <v>11209</v>
      </c>
      <c r="T484" t="s">
        <v>11210</v>
      </c>
      <c r="U484" t="s">
        <v>11211</v>
      </c>
      <c r="V484" t="s">
        <v>11212</v>
      </c>
      <c r="W484" t="s">
        <v>11213</v>
      </c>
      <c r="X484" t="s">
        <v>11214</v>
      </c>
      <c r="Y484" t="s">
        <v>11215</v>
      </c>
    </row>
    <row r="485" spans="1:25" x14ac:dyDescent="0.3">
      <c r="A485">
        <v>24200</v>
      </c>
      <c r="B485" t="s">
        <v>11216</v>
      </c>
      <c r="C485" t="s">
        <v>11217</v>
      </c>
      <c r="D485" t="s">
        <v>11218</v>
      </c>
      <c r="E485" t="s">
        <v>11219</v>
      </c>
      <c r="F485" t="s">
        <v>11220</v>
      </c>
      <c r="G485" t="s">
        <v>11221</v>
      </c>
      <c r="H485" t="s">
        <v>11222</v>
      </c>
      <c r="I485" t="s">
        <v>11223</v>
      </c>
      <c r="J485" t="s">
        <v>11224</v>
      </c>
      <c r="K485" t="s">
        <v>11225</v>
      </c>
      <c r="L485" t="s">
        <v>11226</v>
      </c>
      <c r="M485" t="s">
        <v>11227</v>
      </c>
      <c r="N485" t="s">
        <v>11228</v>
      </c>
      <c r="O485">
        <f>-594.130881208527 -44.1899061508665 -764.326078920085</f>
        <v>-1402.6468662794784</v>
      </c>
      <c r="P485">
        <f>-661.146714935687 -69.2358076143546 -455.99544231806</f>
        <v>-1186.3779648681016</v>
      </c>
      <c r="Q485" t="s">
        <v>11229</v>
      </c>
      <c r="R485" t="s">
        <v>11230</v>
      </c>
      <c r="S485" t="s">
        <v>11231</v>
      </c>
      <c r="T485" t="s">
        <v>11232</v>
      </c>
      <c r="U485" t="s">
        <v>11233</v>
      </c>
      <c r="V485" t="s">
        <v>11234</v>
      </c>
      <c r="W485" t="s">
        <v>11235</v>
      </c>
      <c r="X485" t="s">
        <v>11236</v>
      </c>
      <c r="Y485" t="s">
        <v>11237</v>
      </c>
    </row>
    <row r="486" spans="1:25" x14ac:dyDescent="0.3">
      <c r="A486">
        <v>24250</v>
      </c>
      <c r="B486" t="s">
        <v>11238</v>
      </c>
      <c r="C486" t="s">
        <v>11239</v>
      </c>
      <c r="D486" t="s">
        <v>11240</v>
      </c>
      <c r="E486" t="s">
        <v>11241</v>
      </c>
      <c r="F486" t="s">
        <v>11242</v>
      </c>
      <c r="G486" t="s">
        <v>11243</v>
      </c>
      <c r="H486" t="s">
        <v>11244</v>
      </c>
      <c r="I486" t="s">
        <v>11245</v>
      </c>
      <c r="J486" t="s">
        <v>11246</v>
      </c>
      <c r="K486" t="s">
        <v>11247</v>
      </c>
      <c r="L486" t="s">
        <v>11248</v>
      </c>
      <c r="M486" t="s">
        <v>11249</v>
      </c>
      <c r="N486" t="s">
        <v>11250</v>
      </c>
      <c r="O486">
        <f>-595.098582152904 -40.4801131024935 -764.48521709425</f>
        <v>-1400.0639123496476</v>
      </c>
      <c r="P486">
        <f>-667.103885342455 -59.6097450582011 -456.856408214399</f>
        <v>-1183.570038615055</v>
      </c>
      <c r="Q486" t="s">
        <v>11251</v>
      </c>
      <c r="R486" t="s">
        <v>11252</v>
      </c>
      <c r="S486" t="s">
        <v>11253</v>
      </c>
      <c r="T486" t="s">
        <v>11254</v>
      </c>
      <c r="U486" t="s">
        <v>11255</v>
      </c>
      <c r="V486" t="s">
        <v>11256</v>
      </c>
      <c r="W486" t="s">
        <v>11257</v>
      </c>
      <c r="X486" t="s">
        <v>11258</v>
      </c>
      <c r="Y486" t="s">
        <v>11259</v>
      </c>
    </row>
    <row r="487" spans="1:25" x14ac:dyDescent="0.3">
      <c r="A487">
        <v>24300</v>
      </c>
      <c r="B487" t="s">
        <v>11260</v>
      </c>
      <c r="C487" t="s">
        <v>11261</v>
      </c>
      <c r="D487" t="s">
        <v>11262</v>
      </c>
      <c r="E487" t="s">
        <v>11263</v>
      </c>
      <c r="F487" t="s">
        <v>11264</v>
      </c>
      <c r="G487" t="s">
        <v>11265</v>
      </c>
      <c r="H487" t="s">
        <v>11266</v>
      </c>
      <c r="I487" t="s">
        <v>11267</v>
      </c>
      <c r="J487" t="s">
        <v>11268</v>
      </c>
      <c r="K487" t="s">
        <v>11269</v>
      </c>
      <c r="L487" t="s">
        <v>11270</v>
      </c>
      <c r="M487" t="s">
        <v>11271</v>
      </c>
      <c r="N487" t="s">
        <v>11272</v>
      </c>
      <c r="O487">
        <f>-595.033009579355 -39.2675817638071 -764.371835529408</f>
        <v>-1398.6724268725702</v>
      </c>
      <c r="P487">
        <f>-669.692581491902 -55.0312796524796 -457.185253173026</f>
        <v>-1181.9091143174078</v>
      </c>
      <c r="Q487" t="s">
        <v>11273</v>
      </c>
      <c r="R487" t="s">
        <v>11274</v>
      </c>
      <c r="S487" t="s">
        <v>11275</v>
      </c>
      <c r="T487" t="s">
        <v>11276</v>
      </c>
      <c r="U487" t="s">
        <v>11277</v>
      </c>
      <c r="V487" t="s">
        <v>11278</v>
      </c>
      <c r="W487" t="s">
        <v>11279</v>
      </c>
      <c r="X487" t="s">
        <v>11280</v>
      </c>
      <c r="Y487" t="s">
        <v>11281</v>
      </c>
    </row>
    <row r="488" spans="1:25" x14ac:dyDescent="0.3">
      <c r="A488">
        <v>24350</v>
      </c>
      <c r="B488" t="s">
        <v>11282</v>
      </c>
      <c r="C488" t="s">
        <v>11283</v>
      </c>
      <c r="D488" t="s">
        <v>11284</v>
      </c>
      <c r="E488" t="s">
        <v>11285</v>
      </c>
      <c r="F488" t="s">
        <v>11286</v>
      </c>
      <c r="G488" t="s">
        <v>11287</v>
      </c>
      <c r="H488" t="s">
        <v>11288</v>
      </c>
      <c r="I488" t="s">
        <v>11289</v>
      </c>
      <c r="J488" t="s">
        <v>11290</v>
      </c>
      <c r="K488" t="s">
        <v>11291</v>
      </c>
      <c r="L488" t="s">
        <v>11292</v>
      </c>
      <c r="M488" t="s">
        <v>11293</v>
      </c>
      <c r="N488" t="s">
        <v>11294</v>
      </c>
      <c r="O488">
        <f>-595.458554432513 -37.672512888379 -764.058318545482</f>
        <v>-1397.1893858663741</v>
      </c>
      <c r="P488">
        <f>-674.893001066257 -49.0653714986649 -457.877744854186</f>
        <v>-1181.8361174191079</v>
      </c>
      <c r="Q488" t="s">
        <v>11295</v>
      </c>
      <c r="R488" t="s">
        <v>11296</v>
      </c>
      <c r="S488" t="s">
        <v>11297</v>
      </c>
      <c r="T488" t="s">
        <v>11298</v>
      </c>
      <c r="U488" t="s">
        <v>11299</v>
      </c>
      <c r="V488" t="s">
        <v>11300</v>
      </c>
      <c r="W488" t="s">
        <v>11301</v>
      </c>
      <c r="X488" t="s">
        <v>11302</v>
      </c>
      <c r="Y488" t="s">
        <v>11303</v>
      </c>
    </row>
    <row r="489" spans="1:25" x14ac:dyDescent="0.3">
      <c r="A489">
        <v>24400</v>
      </c>
      <c r="B489" t="s">
        <v>11304</v>
      </c>
      <c r="C489" t="s">
        <v>11305</v>
      </c>
      <c r="D489" t="s">
        <v>11306</v>
      </c>
      <c r="E489" t="s">
        <v>11307</v>
      </c>
      <c r="F489" t="s">
        <v>11308</v>
      </c>
      <c r="G489" t="s">
        <v>11309</v>
      </c>
      <c r="H489" t="s">
        <v>11310</v>
      </c>
      <c r="I489" t="s">
        <v>11311</v>
      </c>
      <c r="J489" t="s">
        <v>11312</v>
      </c>
      <c r="K489" t="s">
        <v>11313</v>
      </c>
      <c r="L489" t="s">
        <v>11314</v>
      </c>
      <c r="M489" t="s">
        <v>11315</v>
      </c>
      <c r="N489" t="s">
        <v>11316</v>
      </c>
      <c r="O489">
        <f>-596.07285323565 -37.0400647128205 -763.965544255145</f>
        <v>-1397.0784622036153</v>
      </c>
      <c r="P489">
        <f>-677.63407116108 -46.5747711562239 -458.281029937421</f>
        <v>-1182.4898722547248</v>
      </c>
      <c r="Q489" t="s">
        <v>11317</v>
      </c>
      <c r="R489" t="s">
        <v>11318</v>
      </c>
      <c r="S489" t="s">
        <v>11319</v>
      </c>
      <c r="T489" t="s">
        <v>11320</v>
      </c>
      <c r="U489" t="s">
        <v>11321</v>
      </c>
      <c r="V489" t="s">
        <v>11322</v>
      </c>
      <c r="W489" t="s">
        <v>11323</v>
      </c>
      <c r="X489" t="s">
        <v>11324</v>
      </c>
      <c r="Y489" t="s">
        <v>11325</v>
      </c>
    </row>
    <row r="490" spans="1:25" x14ac:dyDescent="0.3">
      <c r="A490">
        <v>24450</v>
      </c>
      <c r="B490" t="s">
        <v>11326</v>
      </c>
      <c r="C490" t="s">
        <v>11327</v>
      </c>
      <c r="D490" t="s">
        <v>11328</v>
      </c>
      <c r="E490" t="s">
        <v>11329</v>
      </c>
      <c r="F490" t="s">
        <v>11330</v>
      </c>
      <c r="G490" t="s">
        <v>11331</v>
      </c>
      <c r="H490" t="s">
        <v>11332</v>
      </c>
      <c r="I490" t="s">
        <v>11333</v>
      </c>
      <c r="J490" t="s">
        <v>11334</v>
      </c>
      <c r="K490" t="s">
        <v>11335</v>
      </c>
      <c r="L490" t="s">
        <v>11336</v>
      </c>
      <c r="M490" t="s">
        <v>11337</v>
      </c>
      <c r="N490" t="s">
        <v>11338</v>
      </c>
      <c r="O490">
        <f>-596.654176852688 -35.5680699768897 -763.774679847409</f>
        <v>-1395.9969266769867</v>
      </c>
      <c r="P490">
        <f>-679.688906996266 -43.2943508054592 -458.435928568879</f>
        <v>-1181.4191863706042</v>
      </c>
      <c r="Q490" t="s">
        <v>11339</v>
      </c>
      <c r="R490" t="s">
        <v>11340</v>
      </c>
      <c r="S490" t="s">
        <v>11341</v>
      </c>
      <c r="T490" t="s">
        <v>11342</v>
      </c>
      <c r="U490" t="s">
        <v>11343</v>
      </c>
      <c r="V490" t="s">
        <v>11344</v>
      </c>
      <c r="W490" t="s">
        <v>11345</v>
      </c>
      <c r="X490" t="s">
        <v>11346</v>
      </c>
      <c r="Y490" t="s">
        <v>11347</v>
      </c>
    </row>
    <row r="491" spans="1:25" x14ac:dyDescent="0.3">
      <c r="A491">
        <v>24500</v>
      </c>
      <c r="B491" t="s">
        <v>11348</v>
      </c>
      <c r="C491" t="s">
        <v>11349</v>
      </c>
      <c r="D491" t="s">
        <v>11350</v>
      </c>
      <c r="E491" t="s">
        <v>11351</v>
      </c>
      <c r="F491" t="s">
        <v>11352</v>
      </c>
      <c r="G491" t="s">
        <v>11353</v>
      </c>
      <c r="H491" t="s">
        <v>11354</v>
      </c>
      <c r="I491" t="s">
        <v>11355</v>
      </c>
      <c r="J491" t="s">
        <v>11356</v>
      </c>
      <c r="K491" t="s">
        <v>11357</v>
      </c>
      <c r="L491" t="s">
        <v>11358</v>
      </c>
      <c r="M491" t="s">
        <v>11359</v>
      </c>
      <c r="N491" t="s">
        <v>11360</v>
      </c>
      <c r="O491">
        <f>-598.638263954776 -33.0836489819955 -763.016541894995</f>
        <v>-1394.7384548317664</v>
      </c>
      <c r="P491">
        <f>-682.455217320772 -37.2707609130091 -457.822505711225</f>
        <v>-1177.5484839450062</v>
      </c>
      <c r="Q491" t="s">
        <v>11361</v>
      </c>
      <c r="R491" t="s">
        <v>11362</v>
      </c>
      <c r="S491" t="s">
        <v>11363</v>
      </c>
      <c r="T491" t="s">
        <v>11364</v>
      </c>
      <c r="U491" t="s">
        <v>11365</v>
      </c>
      <c r="V491" t="s">
        <v>11366</v>
      </c>
      <c r="W491" t="s">
        <v>11367</v>
      </c>
      <c r="X491" t="s">
        <v>11368</v>
      </c>
      <c r="Y491" t="s">
        <v>11369</v>
      </c>
    </row>
    <row r="492" spans="1:25" x14ac:dyDescent="0.3">
      <c r="A492">
        <v>24550</v>
      </c>
      <c r="B492" t="s">
        <v>11370</v>
      </c>
      <c r="C492" t="s">
        <v>11371</v>
      </c>
      <c r="D492" t="s">
        <v>11372</v>
      </c>
      <c r="E492" t="s">
        <v>11373</v>
      </c>
      <c r="F492" t="s">
        <v>11374</v>
      </c>
      <c r="G492" t="s">
        <v>11375</v>
      </c>
      <c r="H492" t="s">
        <v>11376</v>
      </c>
      <c r="I492" t="s">
        <v>11377</v>
      </c>
      <c r="J492" t="s">
        <v>11378</v>
      </c>
      <c r="K492" t="s">
        <v>11379</v>
      </c>
      <c r="L492" t="s">
        <v>11380</v>
      </c>
      <c r="M492" t="s">
        <v>11381</v>
      </c>
      <c r="N492" t="s">
        <v>11382</v>
      </c>
      <c r="O492">
        <f>-602.418587392384 -32.0800912153926 -762.315879738335</f>
        <v>-1396.8145583461114</v>
      </c>
      <c r="P492">
        <f>-685.69232503972 -33.4614277244905 -456.947607983418</f>
        <v>-1176.1013607476284</v>
      </c>
      <c r="Q492" t="s">
        <v>11383</v>
      </c>
      <c r="R492" t="s">
        <v>11384</v>
      </c>
      <c r="S492" t="s">
        <v>11385</v>
      </c>
      <c r="T492" t="s">
        <v>11386</v>
      </c>
      <c r="U492" t="s">
        <v>11387</v>
      </c>
      <c r="V492" t="s">
        <v>11388</v>
      </c>
      <c r="W492" t="s">
        <v>11389</v>
      </c>
      <c r="X492" t="s">
        <v>11390</v>
      </c>
      <c r="Y492" t="s">
        <v>11391</v>
      </c>
    </row>
    <row r="493" spans="1:25" x14ac:dyDescent="0.3">
      <c r="A493">
        <v>24600</v>
      </c>
      <c r="B493" t="s">
        <v>11392</v>
      </c>
      <c r="C493" t="s">
        <v>11393</v>
      </c>
      <c r="D493" t="s">
        <v>11394</v>
      </c>
      <c r="E493" t="s">
        <v>11395</v>
      </c>
      <c r="F493" t="s">
        <v>11396</v>
      </c>
      <c r="G493" t="s">
        <v>11397</v>
      </c>
      <c r="H493" t="s">
        <v>11398</v>
      </c>
      <c r="I493" t="s">
        <v>11399</v>
      </c>
      <c r="J493" t="s">
        <v>11400</v>
      </c>
      <c r="K493" t="s">
        <v>11401</v>
      </c>
      <c r="L493" t="s">
        <v>11402</v>
      </c>
      <c r="M493" t="s">
        <v>11403</v>
      </c>
      <c r="N493" t="s">
        <v>11404</v>
      </c>
      <c r="O493">
        <f>-603.433859350146 -31.3124222589537 -762.178551308734</f>
        <v>-1396.9248329178336</v>
      </c>
      <c r="P493">
        <f>-686.80982101967 -31.7821495404885 -456.835437586862</f>
        <v>-1175.4274081470205</v>
      </c>
      <c r="Q493" t="s">
        <v>11405</v>
      </c>
      <c r="R493" t="s">
        <v>11406</v>
      </c>
      <c r="S493" t="s">
        <v>11407</v>
      </c>
      <c r="T493" t="s">
        <v>11408</v>
      </c>
      <c r="U493" t="s">
        <v>11409</v>
      </c>
      <c r="V493" t="s">
        <v>11410</v>
      </c>
      <c r="W493" t="s">
        <v>11411</v>
      </c>
      <c r="X493" t="s">
        <v>11412</v>
      </c>
      <c r="Y493" t="s">
        <v>11413</v>
      </c>
    </row>
    <row r="494" spans="1:25" x14ac:dyDescent="0.3">
      <c r="A494">
        <v>24650</v>
      </c>
      <c r="B494" t="s">
        <v>11414</v>
      </c>
      <c r="C494" t="s">
        <v>11415</v>
      </c>
      <c r="D494" t="s">
        <v>11416</v>
      </c>
      <c r="E494" t="s">
        <v>11417</v>
      </c>
      <c r="F494" t="s">
        <v>11418</v>
      </c>
      <c r="G494" t="s">
        <v>11419</v>
      </c>
      <c r="H494" t="s">
        <v>11420</v>
      </c>
      <c r="I494" t="s">
        <v>11421</v>
      </c>
      <c r="J494" t="s">
        <v>11422</v>
      </c>
      <c r="K494" t="s">
        <v>11423</v>
      </c>
      <c r="L494" t="s">
        <v>11424</v>
      </c>
      <c r="M494" t="s">
        <v>11425</v>
      </c>
      <c r="N494" t="s">
        <v>11426</v>
      </c>
      <c r="O494">
        <f>-603.51184281464 -28.2915423978016 -762.553681619468</f>
        <v>-1394.3570668319094</v>
      </c>
      <c r="P494">
        <f>-688.580952722824 -28.4572677516008 -457.677607660346</f>
        <v>-1174.7158281347708</v>
      </c>
      <c r="Q494" t="s">
        <v>11427</v>
      </c>
      <c r="R494" t="s">
        <v>11428</v>
      </c>
      <c r="S494" t="s">
        <v>11429</v>
      </c>
      <c r="T494" t="s">
        <v>11430</v>
      </c>
      <c r="U494" t="s">
        <v>11431</v>
      </c>
      <c r="V494" t="s">
        <v>11432</v>
      </c>
      <c r="W494" t="s">
        <v>11433</v>
      </c>
      <c r="X494" t="s">
        <v>11434</v>
      </c>
      <c r="Y494" t="s">
        <v>11435</v>
      </c>
    </row>
    <row r="495" spans="1:25" x14ac:dyDescent="0.3">
      <c r="A495">
        <v>24700</v>
      </c>
      <c r="B495" t="s">
        <v>11436</v>
      </c>
      <c r="C495" t="s">
        <v>11437</v>
      </c>
      <c r="D495" t="s">
        <v>11438</v>
      </c>
      <c r="E495" t="s">
        <v>11439</v>
      </c>
      <c r="F495" t="s">
        <v>11440</v>
      </c>
      <c r="G495" t="s">
        <v>11441</v>
      </c>
      <c r="H495" t="s">
        <v>11442</v>
      </c>
      <c r="I495" t="s">
        <v>11443</v>
      </c>
      <c r="J495" t="s">
        <v>11444</v>
      </c>
      <c r="K495" t="s">
        <v>11445</v>
      </c>
      <c r="L495" t="s">
        <v>11446</v>
      </c>
      <c r="M495" t="s">
        <v>11447</v>
      </c>
      <c r="N495" t="s">
        <v>11448</v>
      </c>
      <c r="O495">
        <f>-603.100699988797 -26.1472328433138 -763.132945257243</f>
        <v>-1392.3808780893537</v>
      </c>
      <c r="P495">
        <f>-689.761849221651 -27.6184320784787 -458.709046179991</f>
        <v>-1176.0893274801206</v>
      </c>
      <c r="Q495" t="s">
        <v>11449</v>
      </c>
      <c r="R495" t="s">
        <v>11450</v>
      </c>
      <c r="S495" t="s">
        <v>11451</v>
      </c>
      <c r="T495" t="s">
        <v>11452</v>
      </c>
      <c r="U495" t="s">
        <v>11453</v>
      </c>
      <c r="V495" t="s">
        <v>11454</v>
      </c>
      <c r="W495" t="s">
        <v>11455</v>
      </c>
      <c r="X495" t="s">
        <v>11456</v>
      </c>
      <c r="Y495" t="s">
        <v>11457</v>
      </c>
    </row>
    <row r="496" spans="1:25" x14ac:dyDescent="0.3">
      <c r="A496">
        <v>24750</v>
      </c>
      <c r="B496" t="s">
        <v>11458</v>
      </c>
      <c r="C496" t="s">
        <v>11459</v>
      </c>
      <c r="D496" t="s">
        <v>11460</v>
      </c>
      <c r="E496" t="s">
        <v>11461</v>
      </c>
      <c r="F496" t="s">
        <v>11462</v>
      </c>
      <c r="G496" t="s">
        <v>11463</v>
      </c>
      <c r="H496" t="s">
        <v>11464</v>
      </c>
      <c r="I496" t="s">
        <v>11465</v>
      </c>
      <c r="J496" t="s">
        <v>11466</v>
      </c>
      <c r="K496" t="s">
        <v>11467</v>
      </c>
      <c r="L496" t="s">
        <v>11468</v>
      </c>
      <c r="M496" t="s">
        <v>11469</v>
      </c>
      <c r="N496" t="s">
        <v>11470</v>
      </c>
      <c r="O496">
        <f>-600.982704052033 -20.0948351592455 -765.602105901521</f>
        <v>-1386.6796451127993</v>
      </c>
      <c r="P496">
        <f>-691.706168636974 -26.1595980898722 -462.421206174681</f>
        <v>-1180.2869729015272</v>
      </c>
      <c r="Q496" t="s">
        <v>11471</v>
      </c>
      <c r="R496" t="s">
        <v>11472</v>
      </c>
      <c r="S496" t="s">
        <v>11473</v>
      </c>
      <c r="T496" t="s">
        <v>11474</v>
      </c>
      <c r="U496" t="s">
        <v>11475</v>
      </c>
      <c r="V496" t="s">
        <v>11476</v>
      </c>
      <c r="W496" t="s">
        <v>11477</v>
      </c>
      <c r="X496" t="s">
        <v>11478</v>
      </c>
      <c r="Y496" t="s">
        <v>11479</v>
      </c>
    </row>
    <row r="497" spans="1:25" x14ac:dyDescent="0.3">
      <c r="A497">
        <v>24800</v>
      </c>
      <c r="B497" t="s">
        <v>11480</v>
      </c>
      <c r="C497" t="s">
        <v>11481</v>
      </c>
      <c r="D497" t="s">
        <v>11482</v>
      </c>
      <c r="E497" t="s">
        <v>11483</v>
      </c>
      <c r="F497" t="s">
        <v>11484</v>
      </c>
      <c r="G497" t="s">
        <v>11485</v>
      </c>
      <c r="H497" t="s">
        <v>11486</v>
      </c>
      <c r="I497" t="s">
        <v>11487</v>
      </c>
      <c r="J497" t="s">
        <v>11488</v>
      </c>
      <c r="K497" t="s">
        <v>11489</v>
      </c>
      <c r="L497" t="s">
        <v>11490</v>
      </c>
      <c r="M497" t="s">
        <v>11491</v>
      </c>
      <c r="N497" t="s">
        <v>11492</v>
      </c>
      <c r="O497">
        <f>-599.899339690299 -16.513301065719 -767.499265652593</f>
        <v>-1383.911906408611</v>
      </c>
      <c r="P497">
        <f>-693.442378250589 -25.9188525460132 -465.261864942051</f>
        <v>-1184.6230957386531</v>
      </c>
      <c r="Q497" t="s">
        <v>11493</v>
      </c>
      <c r="R497" t="s">
        <v>11494</v>
      </c>
      <c r="S497" t="s">
        <v>11495</v>
      </c>
      <c r="T497" t="s">
        <v>11496</v>
      </c>
      <c r="U497" t="s">
        <v>11497</v>
      </c>
      <c r="V497" t="s">
        <v>11498</v>
      </c>
      <c r="W497" t="s">
        <v>11499</v>
      </c>
      <c r="X497" t="s">
        <v>11500</v>
      </c>
      <c r="Y497" t="s">
        <v>11501</v>
      </c>
    </row>
    <row r="498" spans="1:25" x14ac:dyDescent="0.3">
      <c r="A498">
        <v>24850</v>
      </c>
      <c r="B498" t="s">
        <v>11502</v>
      </c>
      <c r="C498" t="s">
        <v>11503</v>
      </c>
      <c r="D498" t="s">
        <v>11504</v>
      </c>
      <c r="E498" t="s">
        <v>11505</v>
      </c>
      <c r="F498" t="s">
        <v>11506</v>
      </c>
      <c r="G498" t="s">
        <v>11507</v>
      </c>
      <c r="H498" t="s">
        <v>11508</v>
      </c>
      <c r="I498" t="s">
        <v>11509</v>
      </c>
      <c r="J498" t="s">
        <v>11510</v>
      </c>
      <c r="K498" t="s">
        <v>11511</v>
      </c>
      <c r="L498" t="s">
        <v>11512</v>
      </c>
      <c r="M498" t="s">
        <v>11513</v>
      </c>
      <c r="N498" t="s">
        <v>11514</v>
      </c>
      <c r="O498">
        <f>-599.987304334079 -7.28454367390049 -772.216531114414</f>
        <v>-1379.4883791223936</v>
      </c>
      <c r="P498">
        <f>-699.477547453367 -24.3700240768266 -472.223193724834</f>
        <v>-1196.0707652550277</v>
      </c>
      <c r="Q498" t="s">
        <v>11515</v>
      </c>
      <c r="R498" t="s">
        <v>11516</v>
      </c>
      <c r="S498" t="s">
        <v>11517</v>
      </c>
      <c r="T498" t="s">
        <v>11518</v>
      </c>
      <c r="U498" t="s">
        <v>11519</v>
      </c>
      <c r="V498" t="s">
        <v>11520</v>
      </c>
      <c r="W498" t="s">
        <v>11521</v>
      </c>
      <c r="X498" t="s">
        <v>11522</v>
      </c>
      <c r="Y498" t="s">
        <v>11523</v>
      </c>
    </row>
    <row r="499" spans="1:25" x14ac:dyDescent="0.3">
      <c r="A499">
        <v>24900</v>
      </c>
      <c r="B499" t="s">
        <v>11524</v>
      </c>
      <c r="C499" t="s">
        <v>11525</v>
      </c>
      <c r="D499" t="s">
        <v>11526</v>
      </c>
      <c r="E499" t="s">
        <v>11527</v>
      </c>
      <c r="F499" t="s">
        <v>11528</v>
      </c>
      <c r="G499" t="s">
        <v>11529</v>
      </c>
      <c r="H499" t="s">
        <v>11530</v>
      </c>
      <c r="I499" t="s">
        <v>11531</v>
      </c>
      <c r="J499" t="s">
        <v>11532</v>
      </c>
      <c r="K499" t="s">
        <v>11533</v>
      </c>
      <c r="L499" t="s">
        <v>11534</v>
      </c>
      <c r="M499" t="s">
        <v>11535</v>
      </c>
      <c r="N499" t="s">
        <v>11536</v>
      </c>
      <c r="O499">
        <f>-599.70218914372 -3.14268905754736 -774.508661422384</f>
        <v>-1377.3535396236514</v>
      </c>
      <c r="P499">
        <f>-702.584576062692 -23.698165132597 -475.880401228002</f>
        <v>-1202.163142423291</v>
      </c>
      <c r="Q499" t="s">
        <v>11537</v>
      </c>
      <c r="R499" t="s">
        <v>11538</v>
      </c>
      <c r="S499" t="s">
        <v>11539</v>
      </c>
      <c r="T499" t="s">
        <v>11540</v>
      </c>
      <c r="U499" t="s">
        <v>11541</v>
      </c>
      <c r="V499" t="s">
        <v>11542</v>
      </c>
      <c r="W499" t="s">
        <v>11543</v>
      </c>
      <c r="X499" t="s">
        <v>11544</v>
      </c>
      <c r="Y499" t="s">
        <v>11545</v>
      </c>
    </row>
    <row r="500" spans="1:25" x14ac:dyDescent="0.3">
      <c r="A500">
        <v>24950</v>
      </c>
      <c r="B500" t="s">
        <v>11546</v>
      </c>
      <c r="C500" t="s">
        <v>11547</v>
      </c>
      <c r="D500" t="s">
        <v>11548</v>
      </c>
      <c r="E500" t="s">
        <v>11549</v>
      </c>
      <c r="F500" t="s">
        <v>11550</v>
      </c>
      <c r="G500" t="s">
        <v>11551</v>
      </c>
      <c r="H500" t="s">
        <v>11552</v>
      </c>
      <c r="I500" t="s">
        <v>11553</v>
      </c>
      <c r="J500" t="s">
        <v>11554</v>
      </c>
      <c r="K500" t="s">
        <v>11555</v>
      </c>
      <c r="L500" t="s">
        <v>11556</v>
      </c>
      <c r="M500" t="s">
        <v>11557</v>
      </c>
      <c r="N500" t="s">
        <v>11558</v>
      </c>
      <c r="O500" t="s">
        <v>11559</v>
      </c>
      <c r="P500">
        <f>-709.84170652394 -22.2806613350155 -483.4570701631</f>
        <v>-1215.5794380220555</v>
      </c>
      <c r="Q500" t="s">
        <v>11560</v>
      </c>
      <c r="R500" t="s">
        <v>11561</v>
      </c>
      <c r="S500" t="s">
        <v>11562</v>
      </c>
      <c r="T500" t="s">
        <v>11563</v>
      </c>
      <c r="U500" t="s">
        <v>11564</v>
      </c>
      <c r="V500" t="s">
        <v>11565</v>
      </c>
      <c r="W500" t="s">
        <v>11566</v>
      </c>
      <c r="X500" t="s">
        <v>11567</v>
      </c>
      <c r="Y500" t="s">
        <v>11568</v>
      </c>
    </row>
    <row r="501" spans="1:25" x14ac:dyDescent="0.3">
      <c r="A501">
        <v>25000</v>
      </c>
      <c r="B501" t="s">
        <v>11569</v>
      </c>
      <c r="C501" t="s">
        <v>11570</v>
      </c>
      <c r="D501" t="s">
        <v>11571</v>
      </c>
      <c r="E501" t="s">
        <v>11572</v>
      </c>
      <c r="F501" t="s">
        <v>11573</v>
      </c>
      <c r="G501" t="s">
        <v>11574</v>
      </c>
      <c r="H501" t="s">
        <v>11575</v>
      </c>
      <c r="I501" t="s">
        <v>11576</v>
      </c>
      <c r="J501" t="s">
        <v>11577</v>
      </c>
      <c r="K501" t="s">
        <v>11578</v>
      </c>
      <c r="L501" t="s">
        <v>11579</v>
      </c>
      <c r="M501" t="s">
        <v>11580</v>
      </c>
      <c r="N501" t="s">
        <v>11581</v>
      </c>
      <c r="O501" t="s">
        <v>11582</v>
      </c>
      <c r="P501">
        <f>-713.993665931982 -21.5456745977426 -487.287625159057</f>
        <v>-1222.8269656887817</v>
      </c>
      <c r="Q501" t="s">
        <v>11583</v>
      </c>
      <c r="R501" t="s">
        <v>11584</v>
      </c>
      <c r="S501" t="s">
        <v>11585</v>
      </c>
      <c r="T501" t="s">
        <v>11586</v>
      </c>
      <c r="U501" t="s">
        <v>11587</v>
      </c>
      <c r="V501" t="s">
        <v>11588</v>
      </c>
      <c r="W501" t="s">
        <v>11589</v>
      </c>
      <c r="X501" t="s">
        <v>11590</v>
      </c>
      <c r="Y501" t="s">
        <v>11591</v>
      </c>
    </row>
    <row r="502" spans="1:25" x14ac:dyDescent="0.3">
      <c r="A502">
        <v>25050</v>
      </c>
      <c r="B502" t="s">
        <v>11592</v>
      </c>
      <c r="C502" t="s">
        <v>11593</v>
      </c>
      <c r="D502" t="s">
        <v>11594</v>
      </c>
      <c r="E502" t="s">
        <v>11595</v>
      </c>
      <c r="F502" t="s">
        <v>11596</v>
      </c>
      <c r="G502" t="s">
        <v>11597</v>
      </c>
      <c r="H502" t="s">
        <v>11598</v>
      </c>
      <c r="I502" t="s">
        <v>11599</v>
      </c>
      <c r="J502" t="s">
        <v>11600</v>
      </c>
      <c r="K502" t="s">
        <v>11601</v>
      </c>
      <c r="L502" t="s">
        <v>11602</v>
      </c>
      <c r="M502" t="s">
        <v>11603</v>
      </c>
      <c r="N502" t="s">
        <v>11604</v>
      </c>
      <c r="O502" t="s">
        <v>11605</v>
      </c>
      <c r="P502">
        <f>-720.052792947679 -18.822596917456 -493.811394775794</f>
        <v>-1232.6867846409291</v>
      </c>
      <c r="Q502" t="s">
        <v>11606</v>
      </c>
      <c r="R502" t="s">
        <v>11607</v>
      </c>
      <c r="S502" t="s">
        <v>11608</v>
      </c>
      <c r="T502" t="s">
        <v>11609</v>
      </c>
      <c r="U502" t="s">
        <v>11610</v>
      </c>
      <c r="V502" t="s">
        <v>11611</v>
      </c>
      <c r="W502" t="s">
        <v>11612</v>
      </c>
      <c r="X502" t="s">
        <v>11613</v>
      </c>
      <c r="Y502" t="s">
        <v>11614</v>
      </c>
    </row>
    <row r="503" spans="1:25" x14ac:dyDescent="0.3">
      <c r="A503">
        <v>25100</v>
      </c>
      <c r="B503" t="s">
        <v>11615</v>
      </c>
      <c r="C503" t="s">
        <v>11616</v>
      </c>
      <c r="D503" t="s">
        <v>11617</v>
      </c>
      <c r="E503" t="s">
        <v>11618</v>
      </c>
      <c r="F503" t="s">
        <v>11619</v>
      </c>
      <c r="G503" t="s">
        <v>11620</v>
      </c>
      <c r="H503" t="s">
        <v>11621</v>
      </c>
      <c r="I503" t="s">
        <v>11622</v>
      </c>
      <c r="J503" t="s">
        <v>11623</v>
      </c>
      <c r="K503" t="s">
        <v>11624</v>
      </c>
      <c r="L503" t="s">
        <v>11625</v>
      </c>
      <c r="M503" t="s">
        <v>11626</v>
      </c>
      <c r="N503" t="s">
        <v>11627</v>
      </c>
      <c r="O503" t="s">
        <v>11628</v>
      </c>
      <c r="P503">
        <f>-722.124036228566 -17.5285304949023 -495.54126077363</f>
        <v>-1235.1938274970983</v>
      </c>
      <c r="Q503" t="s">
        <v>11629</v>
      </c>
      <c r="R503" t="s">
        <v>11630</v>
      </c>
      <c r="S503" t="s">
        <v>11631</v>
      </c>
      <c r="T503" t="s">
        <v>11632</v>
      </c>
      <c r="U503" t="s">
        <v>11633</v>
      </c>
      <c r="V503" t="s">
        <v>11634</v>
      </c>
      <c r="W503" t="s">
        <v>11635</v>
      </c>
      <c r="X503" t="s">
        <v>11636</v>
      </c>
      <c r="Y503" t="s">
        <v>11637</v>
      </c>
    </row>
    <row r="504" spans="1:25" x14ac:dyDescent="0.3">
      <c r="A504">
        <v>25150</v>
      </c>
      <c r="B504" t="s">
        <v>11638</v>
      </c>
      <c r="C504" t="s">
        <v>11639</v>
      </c>
      <c r="D504" t="s">
        <v>11640</v>
      </c>
      <c r="E504" t="s">
        <v>11641</v>
      </c>
      <c r="F504" t="s">
        <v>11642</v>
      </c>
      <c r="G504" t="s">
        <v>11643</v>
      </c>
      <c r="H504" t="s">
        <v>11644</v>
      </c>
      <c r="I504" t="s">
        <v>11645</v>
      </c>
      <c r="J504" t="s">
        <v>11646</v>
      </c>
      <c r="K504" t="s">
        <v>11647</v>
      </c>
      <c r="L504" t="s">
        <v>11648</v>
      </c>
      <c r="M504" t="s">
        <v>11649</v>
      </c>
      <c r="N504" t="s">
        <v>11650</v>
      </c>
      <c r="O504" t="s">
        <v>11651</v>
      </c>
      <c r="P504">
        <f>-725.554989064067 -14.0367220085557 -498.062891733794</f>
        <v>-1237.6546028064167</v>
      </c>
      <c r="Q504" t="s">
        <v>11652</v>
      </c>
      <c r="R504" t="s">
        <v>11653</v>
      </c>
      <c r="S504" t="s">
        <v>11654</v>
      </c>
      <c r="T504" t="s">
        <v>11655</v>
      </c>
      <c r="U504" t="s">
        <v>11656</v>
      </c>
      <c r="V504" t="s">
        <v>11657</v>
      </c>
      <c r="W504" t="s">
        <v>11658</v>
      </c>
      <c r="X504" t="s">
        <v>11659</v>
      </c>
      <c r="Y504" t="s">
        <v>11660</v>
      </c>
    </row>
    <row r="505" spans="1:25" x14ac:dyDescent="0.3">
      <c r="A505">
        <v>25200</v>
      </c>
      <c r="B505" t="s">
        <v>11661</v>
      </c>
      <c r="C505" t="s">
        <v>11662</v>
      </c>
      <c r="D505" t="s">
        <v>11663</v>
      </c>
      <c r="E505" t="s">
        <v>11664</v>
      </c>
      <c r="F505" t="s">
        <v>11665</v>
      </c>
      <c r="G505" t="s">
        <v>11666</v>
      </c>
      <c r="H505" t="s">
        <v>11667</v>
      </c>
      <c r="I505" t="s">
        <v>11668</v>
      </c>
      <c r="J505" t="s">
        <v>11669</v>
      </c>
      <c r="K505" t="s">
        <v>11670</v>
      </c>
      <c r="L505" t="s">
        <v>11671</v>
      </c>
      <c r="M505" t="s">
        <v>11672</v>
      </c>
      <c r="N505" t="s">
        <v>11673</v>
      </c>
      <c r="O505" t="s">
        <v>11674</v>
      </c>
      <c r="P505">
        <f>-726.481718834237 -11.5391875474135 -498.801718901613</f>
        <v>-1236.8226252832635</v>
      </c>
      <c r="Q505" t="s">
        <v>11675</v>
      </c>
      <c r="R505" t="s">
        <v>11676</v>
      </c>
      <c r="S505" t="s">
        <v>11677</v>
      </c>
      <c r="T505" t="s">
        <v>11678</v>
      </c>
      <c r="U505" t="s">
        <v>11679</v>
      </c>
      <c r="V505" t="s">
        <v>11680</v>
      </c>
      <c r="W505" t="s">
        <v>11681</v>
      </c>
      <c r="X505" t="s">
        <v>11682</v>
      </c>
      <c r="Y505" t="s">
        <v>11683</v>
      </c>
    </row>
    <row r="506" spans="1:25" x14ac:dyDescent="0.3">
      <c r="A506">
        <v>25250</v>
      </c>
      <c r="B506" t="s">
        <v>11684</v>
      </c>
      <c r="C506" t="s">
        <v>11685</v>
      </c>
      <c r="D506" t="s">
        <v>11686</v>
      </c>
      <c r="E506" t="s">
        <v>11687</v>
      </c>
      <c r="F506" t="s">
        <v>11688</v>
      </c>
      <c r="G506" t="s">
        <v>11689</v>
      </c>
      <c r="H506" t="s">
        <v>11690</v>
      </c>
      <c r="I506" t="s">
        <v>11691</v>
      </c>
      <c r="J506" t="s">
        <v>11692</v>
      </c>
      <c r="K506" t="s">
        <v>11693</v>
      </c>
      <c r="L506" t="s">
        <v>11694</v>
      </c>
      <c r="M506" t="s">
        <v>11695</v>
      </c>
      <c r="N506" t="s">
        <v>11696</v>
      </c>
      <c r="O506" t="s">
        <v>11697</v>
      </c>
      <c r="P506">
        <f>-727.598036963521 -6.22890261840938 -500.244770997689</f>
        <v>-1234.0717105796193</v>
      </c>
      <c r="Q506" t="s">
        <v>11698</v>
      </c>
      <c r="R506" t="s">
        <v>11699</v>
      </c>
      <c r="S506" t="s">
        <v>11700</v>
      </c>
      <c r="T506" t="s">
        <v>11701</v>
      </c>
      <c r="U506" t="s">
        <v>11702</v>
      </c>
      <c r="V506" t="s">
        <v>11703</v>
      </c>
      <c r="W506" t="s">
        <v>11704</v>
      </c>
      <c r="X506" t="s">
        <v>11705</v>
      </c>
      <c r="Y506" t="s">
        <v>11706</v>
      </c>
    </row>
    <row r="507" spans="1:25" x14ac:dyDescent="0.3">
      <c r="A507">
        <v>25300</v>
      </c>
      <c r="B507" t="s">
        <v>11707</v>
      </c>
      <c r="C507" t="s">
        <v>11708</v>
      </c>
      <c r="D507" t="s">
        <v>11709</v>
      </c>
      <c r="E507" t="s">
        <v>11710</v>
      </c>
      <c r="F507" t="s">
        <v>11711</v>
      </c>
      <c r="G507" t="s">
        <v>11712</v>
      </c>
      <c r="H507" t="s">
        <v>11713</v>
      </c>
      <c r="I507" t="s">
        <v>11714</v>
      </c>
      <c r="J507" t="s">
        <v>11715</v>
      </c>
      <c r="K507" t="s">
        <v>11716</v>
      </c>
      <c r="L507" t="s">
        <v>11717</v>
      </c>
      <c r="M507" t="s">
        <v>11718</v>
      </c>
      <c r="N507" t="s">
        <v>11719</v>
      </c>
      <c r="O507" t="s">
        <v>11720</v>
      </c>
      <c r="P507">
        <f>-726.647929658783 -3.71419768955799 -500.604859254973</f>
        <v>-1230.9669866033141</v>
      </c>
      <c r="Q507" t="s">
        <v>11721</v>
      </c>
      <c r="R507" t="s">
        <v>11722</v>
      </c>
      <c r="S507" t="s">
        <v>11723</v>
      </c>
      <c r="T507" t="s">
        <v>11724</v>
      </c>
      <c r="U507" t="s">
        <v>11725</v>
      </c>
      <c r="V507" t="s">
        <v>11726</v>
      </c>
      <c r="W507" t="s">
        <v>11727</v>
      </c>
      <c r="X507" t="s">
        <v>11728</v>
      </c>
      <c r="Y507" t="s">
        <v>11729</v>
      </c>
    </row>
    <row r="508" spans="1:25" x14ac:dyDescent="0.3">
      <c r="A508">
        <v>25350</v>
      </c>
      <c r="B508" t="s">
        <v>11730</v>
      </c>
      <c r="C508" t="s">
        <v>11731</v>
      </c>
      <c r="D508" t="s">
        <v>11732</v>
      </c>
      <c r="E508" t="s">
        <v>11733</v>
      </c>
      <c r="F508" t="s">
        <v>11734</v>
      </c>
      <c r="G508" t="s">
        <v>11735</v>
      </c>
      <c r="H508" t="s">
        <v>11736</v>
      </c>
      <c r="I508" t="s">
        <v>11737</v>
      </c>
      <c r="J508" t="s">
        <v>11738</v>
      </c>
      <c r="K508" t="s">
        <v>11739</v>
      </c>
      <c r="L508" t="s">
        <v>11740</v>
      </c>
      <c r="M508" t="s">
        <v>11741</v>
      </c>
      <c r="N508" t="s">
        <v>11742</v>
      </c>
      <c r="O508" t="s">
        <v>11743</v>
      </c>
      <c r="P508">
        <f>-723.451064766844 -1.63624943292285 -499.239295364846</f>
        <v>-1224.3266095646127</v>
      </c>
      <c r="Q508" t="s">
        <v>11744</v>
      </c>
      <c r="R508" t="s">
        <v>11745</v>
      </c>
      <c r="S508" t="s">
        <v>11746</v>
      </c>
      <c r="T508" t="s">
        <v>11747</v>
      </c>
      <c r="U508" t="s">
        <v>11748</v>
      </c>
      <c r="V508" t="s">
        <v>11749</v>
      </c>
      <c r="W508" t="s">
        <v>11750</v>
      </c>
      <c r="X508" t="s">
        <v>11751</v>
      </c>
      <c r="Y508" t="s">
        <v>11752</v>
      </c>
    </row>
    <row r="509" spans="1:25" x14ac:dyDescent="0.3">
      <c r="A509">
        <v>25400</v>
      </c>
      <c r="B509" t="s">
        <v>11753</v>
      </c>
      <c r="C509" t="s">
        <v>11754</v>
      </c>
      <c r="D509" t="s">
        <v>11755</v>
      </c>
      <c r="E509" t="s">
        <v>11756</v>
      </c>
      <c r="F509" t="s">
        <v>11757</v>
      </c>
      <c r="G509" t="s">
        <v>11758</v>
      </c>
      <c r="H509" t="s">
        <v>11759</v>
      </c>
      <c r="I509" t="s">
        <v>11760</v>
      </c>
      <c r="J509" t="s">
        <v>11761</v>
      </c>
      <c r="K509" t="s">
        <v>11762</v>
      </c>
      <c r="L509" t="s">
        <v>11763</v>
      </c>
      <c r="M509" t="s">
        <v>11764</v>
      </c>
      <c r="N509" t="s">
        <v>11765</v>
      </c>
      <c r="O509" t="s">
        <v>11766</v>
      </c>
      <c r="P509">
        <f>-720.107160409618 -2.00468324652544 -497.115873064008</f>
        <v>-1219.2277167201514</v>
      </c>
      <c r="Q509" t="s">
        <v>11767</v>
      </c>
      <c r="R509" t="s">
        <v>11768</v>
      </c>
      <c r="S509" t="s">
        <v>11769</v>
      </c>
      <c r="T509" t="s">
        <v>11770</v>
      </c>
      <c r="U509" t="s">
        <v>11771</v>
      </c>
      <c r="V509" t="s">
        <v>11772</v>
      </c>
      <c r="W509" t="s">
        <v>11773</v>
      </c>
      <c r="X509" t="s">
        <v>11774</v>
      </c>
      <c r="Y509" t="s">
        <v>11775</v>
      </c>
    </row>
    <row r="510" spans="1:25" x14ac:dyDescent="0.3">
      <c r="A510">
        <v>25450</v>
      </c>
      <c r="B510" t="s">
        <v>11776</v>
      </c>
      <c r="C510" t="s">
        <v>11777</v>
      </c>
      <c r="D510" t="s">
        <v>11778</v>
      </c>
      <c r="E510" t="s">
        <v>11779</v>
      </c>
      <c r="F510" t="s">
        <v>11780</v>
      </c>
      <c r="G510" t="s">
        <v>11781</v>
      </c>
      <c r="H510" t="s">
        <v>11782</v>
      </c>
      <c r="I510" t="s">
        <v>11783</v>
      </c>
      <c r="J510" t="s">
        <v>11784</v>
      </c>
      <c r="K510" t="s">
        <v>11785</v>
      </c>
      <c r="L510" t="s">
        <v>11786</v>
      </c>
      <c r="M510" t="s">
        <v>11787</v>
      </c>
      <c r="N510" t="s">
        <v>11788</v>
      </c>
      <c r="O510" t="s">
        <v>11789</v>
      </c>
      <c r="P510">
        <f>-710.051913494524 -2.55223285622877 -490.19752238919</f>
        <v>-1202.8016687399427</v>
      </c>
      <c r="Q510" t="s">
        <v>11790</v>
      </c>
      <c r="R510" t="s">
        <v>11791</v>
      </c>
      <c r="S510" t="s">
        <v>11792</v>
      </c>
      <c r="T510" t="s">
        <v>11793</v>
      </c>
      <c r="U510" t="s">
        <v>11794</v>
      </c>
      <c r="V510" t="s">
        <v>11795</v>
      </c>
      <c r="W510" t="s">
        <v>11796</v>
      </c>
      <c r="X510" t="s">
        <v>11797</v>
      </c>
      <c r="Y510" t="s">
        <v>11798</v>
      </c>
    </row>
    <row r="511" spans="1:25" x14ac:dyDescent="0.3">
      <c r="A511">
        <v>25500</v>
      </c>
      <c r="B511" t="s">
        <v>11799</v>
      </c>
      <c r="C511" t="s">
        <v>11800</v>
      </c>
      <c r="D511" t="s">
        <v>11801</v>
      </c>
      <c r="E511" t="s">
        <v>11802</v>
      </c>
      <c r="F511" t="s">
        <v>11803</v>
      </c>
      <c r="G511" t="s">
        <v>11804</v>
      </c>
      <c r="H511" t="s">
        <v>11805</v>
      </c>
      <c r="I511" t="s">
        <v>11806</v>
      </c>
      <c r="J511" t="s">
        <v>11807</v>
      </c>
      <c r="K511" t="s">
        <v>11808</v>
      </c>
      <c r="L511" t="s">
        <v>11809</v>
      </c>
      <c r="M511" t="s">
        <v>11810</v>
      </c>
      <c r="N511" t="s">
        <v>11811</v>
      </c>
      <c r="O511" t="s">
        <v>11812</v>
      </c>
      <c r="P511">
        <f>-703.48973246064 -2.78467691989043 -485.72169286979</f>
        <v>-1191.9961022503203</v>
      </c>
      <c r="Q511" t="s">
        <v>11813</v>
      </c>
      <c r="R511" t="s">
        <v>11814</v>
      </c>
      <c r="S511" t="s">
        <v>11815</v>
      </c>
      <c r="T511" t="s">
        <v>11816</v>
      </c>
      <c r="U511" t="s">
        <v>11817</v>
      </c>
      <c r="V511" t="s">
        <v>11818</v>
      </c>
      <c r="W511" t="s">
        <v>11819</v>
      </c>
      <c r="X511" t="s">
        <v>11820</v>
      </c>
      <c r="Y511" t="s">
        <v>11821</v>
      </c>
    </row>
    <row r="512" spans="1:25" x14ac:dyDescent="0.3">
      <c r="A512">
        <v>25550</v>
      </c>
      <c r="B512" t="s">
        <v>11822</v>
      </c>
      <c r="C512" t="s">
        <v>11823</v>
      </c>
      <c r="D512" t="s">
        <v>11824</v>
      </c>
      <c r="E512" t="s">
        <v>11825</v>
      </c>
      <c r="F512" t="s">
        <v>11826</v>
      </c>
      <c r="G512" t="s">
        <v>11827</v>
      </c>
      <c r="H512" t="s">
        <v>11828</v>
      </c>
      <c r="I512" t="s">
        <v>11829</v>
      </c>
      <c r="J512" t="s">
        <v>11830</v>
      </c>
      <c r="K512" t="s">
        <v>11831</v>
      </c>
      <c r="L512" t="s">
        <v>11832</v>
      </c>
      <c r="M512" t="s">
        <v>11833</v>
      </c>
      <c r="N512" t="s">
        <v>11834</v>
      </c>
      <c r="O512" t="s">
        <v>11835</v>
      </c>
      <c r="P512">
        <f>-688.506872291304 -3.61442230591315 -475.050286426224</f>
        <v>-1167.1715810234411</v>
      </c>
      <c r="Q512" t="s">
        <v>11836</v>
      </c>
      <c r="R512" t="s">
        <v>11837</v>
      </c>
      <c r="S512" t="s">
        <v>11838</v>
      </c>
      <c r="T512" t="s">
        <v>11839</v>
      </c>
      <c r="U512" t="s">
        <v>11840</v>
      </c>
      <c r="V512" t="s">
        <v>11841</v>
      </c>
      <c r="W512" t="s">
        <v>11842</v>
      </c>
      <c r="X512" t="s">
        <v>11843</v>
      </c>
      <c r="Y512" t="s">
        <v>11844</v>
      </c>
    </row>
    <row r="513" spans="1:25" x14ac:dyDescent="0.3">
      <c r="A513">
        <v>25600</v>
      </c>
      <c r="B513" t="s">
        <v>11845</v>
      </c>
      <c r="C513" t="s">
        <v>11846</v>
      </c>
      <c r="D513" t="s">
        <v>11847</v>
      </c>
      <c r="E513" t="s">
        <v>11848</v>
      </c>
      <c r="F513" t="s">
        <v>11849</v>
      </c>
      <c r="G513" t="s">
        <v>11850</v>
      </c>
      <c r="H513" t="s">
        <v>11851</v>
      </c>
      <c r="I513" t="s">
        <v>11852</v>
      </c>
      <c r="J513" t="s">
        <v>11853</v>
      </c>
      <c r="K513" t="s">
        <v>11854</v>
      </c>
      <c r="L513" t="s">
        <v>11855</v>
      </c>
      <c r="M513" t="s">
        <v>11856</v>
      </c>
      <c r="N513" t="s">
        <v>11857</v>
      </c>
      <c r="O513" t="s">
        <v>11858</v>
      </c>
      <c r="P513">
        <f>-679.773181097755 -3.78472031653011 -468.752423679136</f>
        <v>-1152.3103250934209</v>
      </c>
      <c r="Q513" t="s">
        <v>11859</v>
      </c>
      <c r="R513" t="s">
        <v>11860</v>
      </c>
      <c r="S513" t="s">
        <v>11861</v>
      </c>
      <c r="T513" t="s">
        <v>11862</v>
      </c>
      <c r="U513" t="s">
        <v>11863</v>
      </c>
      <c r="V513" t="s">
        <v>11864</v>
      </c>
      <c r="W513" t="s">
        <v>11865</v>
      </c>
      <c r="X513" t="s">
        <v>11866</v>
      </c>
      <c r="Y513" t="s">
        <v>11867</v>
      </c>
    </row>
    <row r="514" spans="1:25" x14ac:dyDescent="0.3">
      <c r="A514">
        <v>25650</v>
      </c>
      <c r="B514" t="s">
        <v>11868</v>
      </c>
      <c r="C514" t="s">
        <v>11869</v>
      </c>
      <c r="D514" t="s">
        <v>11870</v>
      </c>
      <c r="E514" t="s">
        <v>11871</v>
      </c>
      <c r="F514" t="s">
        <v>11872</v>
      </c>
      <c r="G514" t="s">
        <v>11873</v>
      </c>
      <c r="H514" t="s">
        <v>11874</v>
      </c>
      <c r="I514" t="s">
        <v>11875</v>
      </c>
      <c r="J514" t="s">
        <v>11876</v>
      </c>
      <c r="K514" t="s">
        <v>11877</v>
      </c>
      <c r="L514" t="s">
        <v>11878</v>
      </c>
      <c r="M514" t="s">
        <v>11879</v>
      </c>
      <c r="N514" t="s">
        <v>11880</v>
      </c>
      <c r="O514" t="s">
        <v>11881</v>
      </c>
      <c r="P514">
        <f>-662.075544506449 -2.79888649656739 -455.145756043472</f>
        <v>-1120.0201870464884</v>
      </c>
      <c r="Q514" t="s">
        <v>11882</v>
      </c>
      <c r="R514" t="s">
        <v>11883</v>
      </c>
      <c r="S514" t="s">
        <v>11884</v>
      </c>
      <c r="T514" t="s">
        <v>11885</v>
      </c>
      <c r="U514" t="s">
        <v>11886</v>
      </c>
      <c r="V514" t="s">
        <v>11887</v>
      </c>
      <c r="W514" t="s">
        <v>11888</v>
      </c>
      <c r="X514" t="s">
        <v>11889</v>
      </c>
      <c r="Y514" t="s">
        <v>11890</v>
      </c>
    </row>
    <row r="515" spans="1:25" x14ac:dyDescent="0.3">
      <c r="A515">
        <v>25700</v>
      </c>
      <c r="B515" t="s">
        <v>11891</v>
      </c>
      <c r="C515" t="s">
        <v>11892</v>
      </c>
      <c r="D515" t="s">
        <v>11893</v>
      </c>
      <c r="E515" t="s">
        <v>11894</v>
      </c>
      <c r="F515" t="s">
        <v>11895</v>
      </c>
      <c r="G515" t="s">
        <v>11896</v>
      </c>
      <c r="H515" t="s">
        <v>11897</v>
      </c>
      <c r="I515" t="s">
        <v>11898</v>
      </c>
      <c r="J515" t="s">
        <v>11899</v>
      </c>
      <c r="K515" t="s">
        <v>11900</v>
      </c>
      <c r="L515" t="s">
        <v>11901</v>
      </c>
      <c r="M515" t="s">
        <v>11902</v>
      </c>
      <c r="N515" t="s">
        <v>11903</v>
      </c>
      <c r="O515" t="s">
        <v>11904</v>
      </c>
      <c r="P515">
        <f>-653.080811154029 -1.74108018348275 -447.861284662922</f>
        <v>-1102.6831760004338</v>
      </c>
      <c r="Q515" t="s">
        <v>11905</v>
      </c>
      <c r="R515" t="s">
        <v>11906</v>
      </c>
      <c r="S515" t="s">
        <v>11907</v>
      </c>
      <c r="T515" t="s">
        <v>11908</v>
      </c>
      <c r="U515" t="s">
        <v>11909</v>
      </c>
      <c r="V515" t="s">
        <v>11910</v>
      </c>
      <c r="W515" t="s">
        <v>11911</v>
      </c>
      <c r="X515" t="s">
        <v>11912</v>
      </c>
      <c r="Y515" t="s">
        <v>11913</v>
      </c>
    </row>
    <row r="516" spans="1:25" x14ac:dyDescent="0.3">
      <c r="A516">
        <v>25750</v>
      </c>
      <c r="B516" t="s">
        <v>11914</v>
      </c>
      <c r="C516" t="s">
        <v>11915</v>
      </c>
      <c r="D516" t="s">
        <v>11916</v>
      </c>
      <c r="E516" t="s">
        <v>11917</v>
      </c>
      <c r="F516" t="s">
        <v>11918</v>
      </c>
      <c r="G516" t="s">
        <v>11919</v>
      </c>
      <c r="H516" t="s">
        <v>11920</v>
      </c>
      <c r="I516" t="s">
        <v>11921</v>
      </c>
      <c r="J516" t="s">
        <v>11922</v>
      </c>
      <c r="K516" t="s">
        <v>11923</v>
      </c>
      <c r="L516" t="s">
        <v>11924</v>
      </c>
      <c r="M516" t="s">
        <v>11925</v>
      </c>
      <c r="N516" t="s">
        <v>11926</v>
      </c>
      <c r="O516">
        <f>-552.385898417373 -3.35673450303563 -737.741317662495</f>
        <v>-1293.4839505829036</v>
      </c>
      <c r="P516" t="s">
        <v>11927</v>
      </c>
      <c r="Q516" t="s">
        <v>11928</v>
      </c>
      <c r="R516" t="s">
        <v>11929</v>
      </c>
      <c r="S516" t="s">
        <v>11930</v>
      </c>
      <c r="T516" t="s">
        <v>11931</v>
      </c>
      <c r="U516" t="s">
        <v>11932</v>
      </c>
      <c r="V516" t="s">
        <v>11933</v>
      </c>
      <c r="W516" t="s">
        <v>11934</v>
      </c>
      <c r="X516" t="s">
        <v>11935</v>
      </c>
      <c r="Y516" t="s">
        <v>11936</v>
      </c>
    </row>
    <row r="517" spans="1:25" x14ac:dyDescent="0.3">
      <c r="A517">
        <v>25800</v>
      </c>
      <c r="B517" t="s">
        <v>11937</v>
      </c>
      <c r="C517" t="s">
        <v>11938</v>
      </c>
      <c r="D517" t="s">
        <v>11939</v>
      </c>
      <c r="E517" t="s">
        <v>11940</v>
      </c>
      <c r="F517" t="s">
        <v>11941</v>
      </c>
      <c r="G517" t="s">
        <v>11942</v>
      </c>
      <c r="H517" t="s">
        <v>11943</v>
      </c>
      <c r="I517" t="s">
        <v>11944</v>
      </c>
      <c r="J517" t="s">
        <v>11945</v>
      </c>
      <c r="K517" t="s">
        <v>11946</v>
      </c>
      <c r="L517" t="s">
        <v>11947</v>
      </c>
      <c r="M517" t="s">
        <v>11948</v>
      </c>
      <c r="N517" t="s">
        <v>11949</v>
      </c>
      <c r="O517">
        <f>-548.724886045307 -4.31085137258005 -730.662553533256</f>
        <v>-1283.698290951143</v>
      </c>
      <c r="P517" t="s">
        <v>11950</v>
      </c>
      <c r="Q517" t="s">
        <v>11951</v>
      </c>
      <c r="R517" t="s">
        <v>11952</v>
      </c>
      <c r="S517" t="s">
        <v>11953</v>
      </c>
      <c r="T517" t="s">
        <v>11954</v>
      </c>
      <c r="U517" t="s">
        <v>11955</v>
      </c>
      <c r="V517" t="s">
        <v>11956</v>
      </c>
      <c r="W517" t="s">
        <v>11957</v>
      </c>
      <c r="X517" t="s">
        <v>11958</v>
      </c>
      <c r="Y517" t="s">
        <v>11959</v>
      </c>
    </row>
    <row r="518" spans="1:25" x14ac:dyDescent="0.3">
      <c r="A518">
        <v>25850</v>
      </c>
      <c r="B518" t="s">
        <v>11960</v>
      </c>
      <c r="C518" t="s">
        <v>11961</v>
      </c>
      <c r="D518" t="s">
        <v>11962</v>
      </c>
      <c r="E518" t="s">
        <v>11963</v>
      </c>
      <c r="F518" t="s">
        <v>11964</v>
      </c>
      <c r="G518" t="s">
        <v>11965</v>
      </c>
      <c r="H518" t="s">
        <v>11966</v>
      </c>
      <c r="I518" t="s">
        <v>11967</v>
      </c>
      <c r="J518" t="s">
        <v>11968</v>
      </c>
      <c r="K518" t="s">
        <v>11969</v>
      </c>
      <c r="L518" t="s">
        <v>11970</v>
      </c>
      <c r="M518" t="s">
        <v>11971</v>
      </c>
      <c r="N518" t="s">
        <v>11972</v>
      </c>
      <c r="O518">
        <f>-540.980013897589 -2.96136754535321 -718.547751625165</f>
        <v>-1262.4891330681071</v>
      </c>
      <c r="P518" t="s">
        <v>11973</v>
      </c>
      <c r="Q518" t="s">
        <v>11974</v>
      </c>
      <c r="R518" t="s">
        <v>11975</v>
      </c>
      <c r="S518" t="s">
        <v>11976</v>
      </c>
      <c r="T518" t="s">
        <v>11977</v>
      </c>
      <c r="U518" t="s">
        <v>11978</v>
      </c>
      <c r="V518" t="s">
        <v>11979</v>
      </c>
      <c r="W518" t="s">
        <v>11980</v>
      </c>
      <c r="X518" t="s">
        <v>11981</v>
      </c>
      <c r="Y518" t="s">
        <v>11982</v>
      </c>
    </row>
    <row r="519" spans="1:25" x14ac:dyDescent="0.3">
      <c r="A519">
        <v>25900</v>
      </c>
      <c r="B519" t="s">
        <v>11983</v>
      </c>
      <c r="C519" t="s">
        <v>11984</v>
      </c>
      <c r="D519" t="s">
        <v>11985</v>
      </c>
      <c r="E519" t="s">
        <v>11986</v>
      </c>
      <c r="F519" t="s">
        <v>11987</v>
      </c>
      <c r="G519" t="s">
        <v>11988</v>
      </c>
      <c r="H519" t="s">
        <v>11989</v>
      </c>
      <c r="I519" t="s">
        <v>11990</v>
      </c>
      <c r="J519" t="s">
        <v>11991</v>
      </c>
      <c r="K519" t="s">
        <v>11992</v>
      </c>
      <c r="L519" t="s">
        <v>11993</v>
      </c>
      <c r="M519" t="s">
        <v>11994</v>
      </c>
      <c r="N519" t="s">
        <v>11995</v>
      </c>
      <c r="O519">
        <f>-539.503701877645 -1.0275019049558 -714.83095214011</f>
        <v>-1255.3621559227108</v>
      </c>
      <c r="P519" t="s">
        <v>11996</v>
      </c>
      <c r="Q519" t="s">
        <v>11997</v>
      </c>
      <c r="R519" t="s">
        <v>11998</v>
      </c>
      <c r="S519" t="s">
        <v>11999</v>
      </c>
      <c r="T519" t="s">
        <v>12000</v>
      </c>
      <c r="U519" t="s">
        <v>12001</v>
      </c>
      <c r="V519" t="s">
        <v>12002</v>
      </c>
      <c r="W519" t="s">
        <v>12003</v>
      </c>
      <c r="X519" t="s">
        <v>12004</v>
      </c>
      <c r="Y519" t="s">
        <v>12005</v>
      </c>
    </row>
    <row r="520" spans="1:25" x14ac:dyDescent="0.3">
      <c r="A520">
        <v>25950</v>
      </c>
      <c r="B520" t="s">
        <v>12006</v>
      </c>
      <c r="C520" t="s">
        <v>12007</v>
      </c>
      <c r="D520" t="s">
        <v>12008</v>
      </c>
      <c r="E520" t="s">
        <v>12009</v>
      </c>
      <c r="F520" t="s">
        <v>12010</v>
      </c>
      <c r="G520" t="s">
        <v>12011</v>
      </c>
      <c r="H520" t="s">
        <v>12012</v>
      </c>
      <c r="I520" t="s">
        <v>12013</v>
      </c>
      <c r="J520" t="s">
        <v>12014</v>
      </c>
      <c r="K520" t="s">
        <v>12015</v>
      </c>
      <c r="L520" t="s">
        <v>12016</v>
      </c>
      <c r="M520" t="s">
        <v>12017</v>
      </c>
      <c r="N520" t="s">
        <v>12018</v>
      </c>
      <c r="O520" t="s">
        <v>12019</v>
      </c>
      <c r="P520" t="s">
        <v>12020</v>
      </c>
      <c r="Q520" t="s">
        <v>12021</v>
      </c>
      <c r="R520" t="s">
        <v>12022</v>
      </c>
      <c r="S520" t="s">
        <v>12023</v>
      </c>
      <c r="T520" t="s">
        <v>12024</v>
      </c>
      <c r="U520" t="s">
        <v>12025</v>
      </c>
      <c r="V520" t="s">
        <v>12026</v>
      </c>
      <c r="W520" t="s">
        <v>12027</v>
      </c>
      <c r="X520" t="s">
        <v>12028</v>
      </c>
      <c r="Y520" t="s">
        <v>12029</v>
      </c>
    </row>
    <row r="521" spans="1:25" x14ac:dyDescent="0.3">
      <c r="A521">
        <v>26000</v>
      </c>
      <c r="B521" t="s">
        <v>12030</v>
      </c>
      <c r="C521" t="s">
        <v>12031</v>
      </c>
      <c r="D521" t="s">
        <v>12032</v>
      </c>
      <c r="E521" t="s">
        <v>12033</v>
      </c>
      <c r="F521" t="s">
        <v>12034</v>
      </c>
      <c r="G521" t="s">
        <v>12035</v>
      </c>
      <c r="H521" t="s">
        <v>12036</v>
      </c>
      <c r="I521" t="s">
        <v>12037</v>
      </c>
      <c r="J521" t="s">
        <v>12038</v>
      </c>
      <c r="K521" t="s">
        <v>12039</v>
      </c>
      <c r="L521" t="s">
        <v>12040</v>
      </c>
      <c r="M521" t="s">
        <v>12041</v>
      </c>
      <c r="N521" t="s">
        <v>12042</v>
      </c>
      <c r="O521" t="s">
        <v>12043</v>
      </c>
      <c r="P521" t="s">
        <v>12044</v>
      </c>
      <c r="Q521" t="s">
        <v>12045</v>
      </c>
      <c r="R521" t="s">
        <v>12046</v>
      </c>
      <c r="S521" t="s">
        <v>12047</v>
      </c>
      <c r="T521" t="s">
        <v>12048</v>
      </c>
      <c r="U521" t="s">
        <v>12049</v>
      </c>
      <c r="V521" t="s">
        <v>12050</v>
      </c>
      <c r="W521" t="s">
        <v>12051</v>
      </c>
      <c r="X521" t="s">
        <v>12052</v>
      </c>
      <c r="Y521" t="s">
        <v>12053</v>
      </c>
    </row>
    <row r="522" spans="1:25" x14ac:dyDescent="0.3">
      <c r="A522">
        <v>26050</v>
      </c>
      <c r="B522" t="s">
        <v>12054</v>
      </c>
      <c r="C522" t="s">
        <v>12055</v>
      </c>
      <c r="D522" t="s">
        <v>12056</v>
      </c>
      <c r="E522" t="s">
        <v>12057</v>
      </c>
      <c r="F522" t="s">
        <v>12058</v>
      </c>
      <c r="G522" t="s">
        <v>12059</v>
      </c>
      <c r="H522" t="s">
        <v>12060</v>
      </c>
      <c r="I522" t="s">
        <v>12061</v>
      </c>
      <c r="J522" t="s">
        <v>12062</v>
      </c>
      <c r="K522" t="s">
        <v>12063</v>
      </c>
      <c r="L522" t="s">
        <v>12064</v>
      </c>
      <c r="M522" t="s">
        <v>12065</v>
      </c>
      <c r="N522" t="s">
        <v>12066</v>
      </c>
      <c r="O522" t="s">
        <v>12067</v>
      </c>
      <c r="P522" t="s">
        <v>12068</v>
      </c>
      <c r="Q522" t="s">
        <v>12069</v>
      </c>
      <c r="R522" t="s">
        <v>12070</v>
      </c>
      <c r="S522" t="s">
        <v>12071</v>
      </c>
      <c r="T522" t="s">
        <v>12072</v>
      </c>
      <c r="U522" t="s">
        <v>12073</v>
      </c>
      <c r="V522" t="s">
        <v>12074</v>
      </c>
      <c r="W522" t="s">
        <v>12075</v>
      </c>
      <c r="X522" t="s">
        <v>12076</v>
      </c>
      <c r="Y522" t="s">
        <v>12077</v>
      </c>
    </row>
    <row r="523" spans="1:25" x14ac:dyDescent="0.3">
      <c r="A523">
        <v>26100</v>
      </c>
      <c r="B523" t="s">
        <v>12078</v>
      </c>
      <c r="C523" t="s">
        <v>12079</v>
      </c>
      <c r="D523" t="s">
        <v>12080</v>
      </c>
      <c r="E523" t="s">
        <v>12081</v>
      </c>
      <c r="F523" t="s">
        <v>12082</v>
      </c>
      <c r="G523" t="s">
        <v>12083</v>
      </c>
      <c r="H523" t="s">
        <v>12084</v>
      </c>
      <c r="I523" t="s">
        <v>12085</v>
      </c>
      <c r="J523" t="s">
        <v>12086</v>
      </c>
      <c r="K523" t="s">
        <v>12087</v>
      </c>
      <c r="L523" t="s">
        <v>12088</v>
      </c>
      <c r="M523" t="s">
        <v>12089</v>
      </c>
      <c r="N523" t="s">
        <v>12090</v>
      </c>
      <c r="O523" t="s">
        <v>12091</v>
      </c>
      <c r="P523" t="s">
        <v>12092</v>
      </c>
      <c r="Q523" t="s">
        <v>12093</v>
      </c>
      <c r="R523" t="s">
        <v>12094</v>
      </c>
      <c r="S523" t="s">
        <v>12095</v>
      </c>
      <c r="T523" t="s">
        <v>12096</v>
      </c>
      <c r="U523" t="s">
        <v>12097</v>
      </c>
      <c r="V523" t="s">
        <v>12098</v>
      </c>
      <c r="W523" t="s">
        <v>12099</v>
      </c>
      <c r="X523" t="s">
        <v>12100</v>
      </c>
      <c r="Y523" t="s">
        <v>12101</v>
      </c>
    </row>
    <row r="524" spans="1:25" x14ac:dyDescent="0.3">
      <c r="A524">
        <v>26150</v>
      </c>
      <c r="B524" t="s">
        <v>12102</v>
      </c>
      <c r="C524" t="s">
        <v>12103</v>
      </c>
      <c r="D524" t="s">
        <v>12104</v>
      </c>
      <c r="E524" t="s">
        <v>12105</v>
      </c>
      <c r="F524" t="s">
        <v>12106</v>
      </c>
      <c r="G524" t="s">
        <v>12107</v>
      </c>
      <c r="H524" t="s">
        <v>12108</v>
      </c>
      <c r="I524" t="s">
        <v>12109</v>
      </c>
      <c r="J524" t="s">
        <v>12110</v>
      </c>
      <c r="K524" t="s">
        <v>12111</v>
      </c>
      <c r="L524" t="s">
        <v>12112</v>
      </c>
      <c r="M524" t="s">
        <v>12113</v>
      </c>
      <c r="N524" t="s">
        <v>12114</v>
      </c>
      <c r="O524" t="s">
        <v>12115</v>
      </c>
      <c r="P524" t="s">
        <v>12116</v>
      </c>
      <c r="Q524" t="s">
        <v>12117</v>
      </c>
      <c r="R524" t="s">
        <v>12118</v>
      </c>
      <c r="S524" t="s">
        <v>12119</v>
      </c>
      <c r="T524" t="s">
        <v>12120</v>
      </c>
      <c r="U524" t="s">
        <v>12121</v>
      </c>
      <c r="V524" t="s">
        <v>12122</v>
      </c>
      <c r="W524" t="s">
        <v>12123</v>
      </c>
      <c r="X524" t="s">
        <v>12124</v>
      </c>
      <c r="Y524" t="s">
        <v>12125</v>
      </c>
    </row>
    <row r="525" spans="1:25" x14ac:dyDescent="0.3">
      <c r="A525">
        <v>26200</v>
      </c>
      <c r="B525" t="s">
        <v>12126</v>
      </c>
      <c r="C525" t="s">
        <v>12127</v>
      </c>
      <c r="D525" t="s">
        <v>12128</v>
      </c>
      <c r="E525" t="s">
        <v>12129</v>
      </c>
      <c r="F525" t="s">
        <v>12130</v>
      </c>
      <c r="G525" t="s">
        <v>12131</v>
      </c>
      <c r="H525" t="s">
        <v>12132</v>
      </c>
      <c r="I525" t="s">
        <v>12133</v>
      </c>
      <c r="J525" t="s">
        <v>12134</v>
      </c>
      <c r="K525" t="s">
        <v>12135</v>
      </c>
      <c r="L525" t="s">
        <v>12136</v>
      </c>
      <c r="M525" t="s">
        <v>12137</v>
      </c>
      <c r="N525" t="s">
        <v>12138</v>
      </c>
      <c r="O525" t="s">
        <v>12139</v>
      </c>
      <c r="P525" t="s">
        <v>12140</v>
      </c>
      <c r="Q525" t="s">
        <v>12141</v>
      </c>
      <c r="R525" t="s">
        <v>12142</v>
      </c>
      <c r="S525" t="s">
        <v>12143</v>
      </c>
      <c r="T525" t="s">
        <v>12144</v>
      </c>
      <c r="U525" t="s">
        <v>12145</v>
      </c>
      <c r="V525" t="s">
        <v>12146</v>
      </c>
      <c r="W525" t="s">
        <v>12147</v>
      </c>
      <c r="X525" t="s">
        <v>12148</v>
      </c>
      <c r="Y525" t="s">
        <v>12149</v>
      </c>
    </row>
    <row r="526" spans="1:25" x14ac:dyDescent="0.3">
      <c r="A526">
        <v>26250</v>
      </c>
      <c r="B526" t="s">
        <v>12150</v>
      </c>
      <c r="C526" t="s">
        <v>12151</v>
      </c>
      <c r="D526" t="s">
        <v>12152</v>
      </c>
      <c r="E526" t="s">
        <v>12153</v>
      </c>
      <c r="F526" t="s">
        <v>12154</v>
      </c>
      <c r="G526" t="s">
        <v>12155</v>
      </c>
      <c r="H526" t="s">
        <v>12156</v>
      </c>
      <c r="I526" t="s">
        <v>12157</v>
      </c>
      <c r="J526" t="s">
        <v>12158</v>
      </c>
      <c r="K526" t="s">
        <v>12159</v>
      </c>
      <c r="L526" t="s">
        <v>12160</v>
      </c>
      <c r="M526" t="s">
        <v>12161</v>
      </c>
      <c r="N526" t="s">
        <v>12162</v>
      </c>
      <c r="O526" t="s">
        <v>12163</v>
      </c>
      <c r="P526" t="s">
        <v>12164</v>
      </c>
      <c r="Q526" t="s">
        <v>12165</v>
      </c>
      <c r="R526" t="s">
        <v>12166</v>
      </c>
      <c r="S526" t="s">
        <v>12167</v>
      </c>
      <c r="T526" t="s">
        <v>12168</v>
      </c>
      <c r="U526" t="s">
        <v>12169</v>
      </c>
      <c r="V526" t="s">
        <v>12170</v>
      </c>
      <c r="W526" t="s">
        <v>12171</v>
      </c>
      <c r="X526" t="s">
        <v>12172</v>
      </c>
      <c r="Y526" t="s">
        <v>12173</v>
      </c>
    </row>
    <row r="527" spans="1:25" x14ac:dyDescent="0.3">
      <c r="A527">
        <v>26300</v>
      </c>
      <c r="B527" t="s">
        <v>12174</v>
      </c>
      <c r="C527" t="s">
        <v>12175</v>
      </c>
      <c r="D527" t="s">
        <v>12176</v>
      </c>
      <c r="E527" t="s">
        <v>12177</v>
      </c>
      <c r="F527" t="s">
        <v>12178</v>
      </c>
      <c r="G527" t="s">
        <v>12179</v>
      </c>
      <c r="H527" t="s">
        <v>12180</v>
      </c>
      <c r="I527" t="s">
        <v>12181</v>
      </c>
      <c r="J527" t="s">
        <v>12182</v>
      </c>
      <c r="K527" t="s">
        <v>12183</v>
      </c>
      <c r="L527" t="s">
        <v>12184</v>
      </c>
      <c r="M527" t="s">
        <v>12185</v>
      </c>
      <c r="N527" t="s">
        <v>12186</v>
      </c>
      <c r="O527" t="s">
        <v>12187</v>
      </c>
      <c r="P527" t="s">
        <v>12188</v>
      </c>
      <c r="Q527" t="s">
        <v>12189</v>
      </c>
      <c r="R527" t="s">
        <v>12190</v>
      </c>
      <c r="S527" t="s">
        <v>12191</v>
      </c>
      <c r="T527" t="s">
        <v>12192</v>
      </c>
      <c r="U527" t="s">
        <v>12193</v>
      </c>
      <c r="V527" t="s">
        <v>12194</v>
      </c>
      <c r="W527" t="s">
        <v>12195</v>
      </c>
      <c r="X527" t="s">
        <v>12196</v>
      </c>
      <c r="Y527" t="s">
        <v>12197</v>
      </c>
    </row>
    <row r="528" spans="1:25" x14ac:dyDescent="0.3">
      <c r="A528">
        <v>26350</v>
      </c>
      <c r="B528" t="s">
        <v>12198</v>
      </c>
      <c r="C528" t="s">
        <v>12199</v>
      </c>
      <c r="D528" t="s">
        <v>12200</v>
      </c>
      <c r="E528" t="s">
        <v>12201</v>
      </c>
      <c r="F528" t="s">
        <v>12202</v>
      </c>
      <c r="G528" t="s">
        <v>12203</v>
      </c>
      <c r="H528" t="s">
        <v>12204</v>
      </c>
      <c r="I528" t="s">
        <v>12205</v>
      </c>
      <c r="J528" t="s">
        <v>12206</v>
      </c>
      <c r="K528" t="s">
        <v>12207</v>
      </c>
      <c r="L528" t="s">
        <v>12208</v>
      </c>
      <c r="M528" t="s">
        <v>12209</v>
      </c>
      <c r="N528" t="s">
        <v>12210</v>
      </c>
      <c r="O528" t="s">
        <v>12211</v>
      </c>
      <c r="P528" t="s">
        <v>12212</v>
      </c>
      <c r="Q528" t="s">
        <v>12213</v>
      </c>
      <c r="R528" t="s">
        <v>12214</v>
      </c>
      <c r="S528" t="s">
        <v>12215</v>
      </c>
      <c r="T528" t="s">
        <v>12216</v>
      </c>
      <c r="U528" t="s">
        <v>12217</v>
      </c>
      <c r="V528" t="s">
        <v>12218</v>
      </c>
      <c r="W528" t="s">
        <v>12219</v>
      </c>
      <c r="X528" t="s">
        <v>12220</v>
      </c>
      <c r="Y528" t="s">
        <v>12221</v>
      </c>
    </row>
    <row r="529" spans="1:25" x14ac:dyDescent="0.3">
      <c r="A529">
        <v>26400</v>
      </c>
      <c r="B529" t="s">
        <v>12222</v>
      </c>
      <c r="C529" t="s">
        <v>12223</v>
      </c>
      <c r="D529" t="s">
        <v>12224</v>
      </c>
      <c r="E529" t="s">
        <v>12225</v>
      </c>
      <c r="F529" t="s">
        <v>12226</v>
      </c>
      <c r="G529" t="s">
        <v>12227</v>
      </c>
      <c r="H529" t="s">
        <v>12228</v>
      </c>
      <c r="I529" t="s">
        <v>12229</v>
      </c>
      <c r="J529" t="s">
        <v>12230</v>
      </c>
      <c r="K529" t="s">
        <v>12231</v>
      </c>
      <c r="L529" t="s">
        <v>12232</v>
      </c>
      <c r="M529" t="s">
        <v>12233</v>
      </c>
      <c r="N529" t="s">
        <v>12234</v>
      </c>
      <c r="O529" t="s">
        <v>12235</v>
      </c>
      <c r="P529" t="s">
        <v>12236</v>
      </c>
      <c r="Q529" t="s">
        <v>12237</v>
      </c>
      <c r="R529" t="s">
        <v>12238</v>
      </c>
      <c r="S529" t="s">
        <v>12239</v>
      </c>
      <c r="T529" t="s">
        <v>12240</v>
      </c>
      <c r="U529" t="s">
        <v>12241</v>
      </c>
      <c r="V529" t="s">
        <v>12242</v>
      </c>
      <c r="W529" t="s">
        <v>12243</v>
      </c>
      <c r="X529" t="s">
        <v>12244</v>
      </c>
      <c r="Y529" t="s">
        <v>12245</v>
      </c>
    </row>
    <row r="530" spans="1:25" x14ac:dyDescent="0.3">
      <c r="A530">
        <v>26450</v>
      </c>
      <c r="B530" t="s">
        <v>12246</v>
      </c>
      <c r="C530" t="s">
        <v>12247</v>
      </c>
      <c r="D530" t="s">
        <v>12248</v>
      </c>
      <c r="E530" t="s">
        <v>12249</v>
      </c>
      <c r="F530" t="s">
        <v>12250</v>
      </c>
      <c r="G530" t="s">
        <v>12251</v>
      </c>
      <c r="H530" t="s">
        <v>12252</v>
      </c>
      <c r="I530" t="s">
        <v>12253</v>
      </c>
      <c r="J530" t="s">
        <v>12254</v>
      </c>
      <c r="K530" t="s">
        <v>12255</v>
      </c>
      <c r="L530" t="s">
        <v>12256</v>
      </c>
      <c r="M530" t="s">
        <v>12257</v>
      </c>
      <c r="N530" t="s">
        <v>12258</v>
      </c>
      <c r="O530" t="s">
        <v>12259</v>
      </c>
      <c r="P530" t="s">
        <v>12260</v>
      </c>
      <c r="Q530" t="s">
        <v>12261</v>
      </c>
      <c r="R530" t="s">
        <v>12262</v>
      </c>
      <c r="S530" t="s">
        <v>12263</v>
      </c>
      <c r="T530" t="s">
        <v>12264</v>
      </c>
      <c r="U530" t="s">
        <v>12265</v>
      </c>
      <c r="V530" t="s">
        <v>12266</v>
      </c>
      <c r="W530" t="s">
        <v>12267</v>
      </c>
      <c r="X530" t="s">
        <v>12268</v>
      </c>
      <c r="Y530" t="s">
        <v>12269</v>
      </c>
    </row>
    <row r="531" spans="1:25" x14ac:dyDescent="0.3">
      <c r="A531">
        <v>26500</v>
      </c>
      <c r="B531" t="s">
        <v>12270</v>
      </c>
      <c r="C531" t="s">
        <v>12271</v>
      </c>
      <c r="D531" t="s">
        <v>12272</v>
      </c>
      <c r="E531" t="s">
        <v>12273</v>
      </c>
      <c r="F531" t="s">
        <v>12274</v>
      </c>
      <c r="G531" t="s">
        <v>12275</v>
      </c>
      <c r="H531" t="s">
        <v>12276</v>
      </c>
      <c r="I531" t="s">
        <v>12277</v>
      </c>
      <c r="J531" t="s">
        <v>12278</v>
      </c>
      <c r="K531" t="s">
        <v>12279</v>
      </c>
      <c r="L531" t="s">
        <v>12280</v>
      </c>
      <c r="M531" t="s">
        <v>12281</v>
      </c>
      <c r="N531" t="s">
        <v>12282</v>
      </c>
      <c r="O531" t="s">
        <v>12283</v>
      </c>
      <c r="P531" t="s">
        <v>12284</v>
      </c>
      <c r="Q531" t="s">
        <v>12285</v>
      </c>
      <c r="R531" t="s">
        <v>12286</v>
      </c>
      <c r="S531" t="s">
        <v>12287</v>
      </c>
      <c r="T531" t="s">
        <v>12288</v>
      </c>
      <c r="U531" t="s">
        <v>12289</v>
      </c>
      <c r="V531" t="s">
        <v>12290</v>
      </c>
      <c r="W531" t="s">
        <v>12291</v>
      </c>
      <c r="X531" t="s">
        <v>12292</v>
      </c>
      <c r="Y531" t="s">
        <v>12293</v>
      </c>
    </row>
    <row r="532" spans="1:25" x14ac:dyDescent="0.3">
      <c r="A532">
        <v>26550</v>
      </c>
      <c r="B532" t="s">
        <v>12294</v>
      </c>
      <c r="C532" t="s">
        <v>12295</v>
      </c>
      <c r="D532" t="s">
        <v>12296</v>
      </c>
      <c r="E532" t="s">
        <v>12297</v>
      </c>
      <c r="F532" t="s">
        <v>12298</v>
      </c>
      <c r="G532" t="s">
        <v>12299</v>
      </c>
      <c r="H532" t="s">
        <v>12300</v>
      </c>
      <c r="I532" t="s">
        <v>12301</v>
      </c>
      <c r="J532" t="s">
        <v>12302</v>
      </c>
      <c r="K532" t="s">
        <v>12303</v>
      </c>
      <c r="L532" t="s">
        <v>12304</v>
      </c>
      <c r="M532" t="s">
        <v>12305</v>
      </c>
      <c r="N532" t="s">
        <v>12306</v>
      </c>
      <c r="O532" t="s">
        <v>12307</v>
      </c>
      <c r="P532" t="s">
        <v>12308</v>
      </c>
      <c r="Q532" t="s">
        <v>12309</v>
      </c>
      <c r="R532" t="s">
        <v>12310</v>
      </c>
      <c r="S532" t="s">
        <v>12311</v>
      </c>
      <c r="T532" t="s">
        <v>12312</v>
      </c>
      <c r="U532" t="s">
        <v>12313</v>
      </c>
      <c r="V532" t="s">
        <v>12314</v>
      </c>
      <c r="W532" t="s">
        <v>12315</v>
      </c>
      <c r="X532" t="s">
        <v>12316</v>
      </c>
      <c r="Y532" t="s">
        <v>12317</v>
      </c>
    </row>
    <row r="533" spans="1:25" x14ac:dyDescent="0.3">
      <c r="A533">
        <v>26600</v>
      </c>
      <c r="B533" t="s">
        <v>12318</v>
      </c>
      <c r="C533" t="s">
        <v>12319</v>
      </c>
      <c r="D533" t="s">
        <v>12320</v>
      </c>
      <c r="E533" t="s">
        <v>12321</v>
      </c>
      <c r="F533" t="s">
        <v>12322</v>
      </c>
      <c r="G533" t="s">
        <v>12323</v>
      </c>
      <c r="H533" t="s">
        <v>12324</v>
      </c>
      <c r="I533" t="s">
        <v>12325</v>
      </c>
      <c r="J533" t="s">
        <v>12326</v>
      </c>
      <c r="K533" t="s">
        <v>12327</v>
      </c>
      <c r="L533" t="s">
        <v>12328</v>
      </c>
      <c r="M533" t="s">
        <v>12329</v>
      </c>
      <c r="N533" t="s">
        <v>12330</v>
      </c>
      <c r="O533" t="s">
        <v>12331</v>
      </c>
      <c r="P533" t="s">
        <v>12332</v>
      </c>
      <c r="Q533" t="s">
        <v>12333</v>
      </c>
      <c r="R533" t="s">
        <v>12334</v>
      </c>
      <c r="S533" t="s">
        <v>12335</v>
      </c>
      <c r="T533" t="s">
        <v>12336</v>
      </c>
      <c r="U533" t="s">
        <v>12337</v>
      </c>
      <c r="V533" t="s">
        <v>12338</v>
      </c>
      <c r="W533" t="s">
        <v>12339</v>
      </c>
      <c r="X533" t="s">
        <v>12340</v>
      </c>
      <c r="Y533" t="s">
        <v>12341</v>
      </c>
    </row>
    <row r="534" spans="1:25" x14ac:dyDescent="0.3">
      <c r="A534">
        <v>26650</v>
      </c>
      <c r="B534" t="s">
        <v>12342</v>
      </c>
      <c r="C534" t="s">
        <v>12343</v>
      </c>
      <c r="D534" t="s">
        <v>12344</v>
      </c>
      <c r="E534" t="s">
        <v>12345</v>
      </c>
      <c r="F534" t="s">
        <v>12346</v>
      </c>
      <c r="G534" t="s">
        <v>12347</v>
      </c>
      <c r="H534" t="s">
        <v>12348</v>
      </c>
      <c r="I534" t="s">
        <v>12349</v>
      </c>
      <c r="J534" t="s">
        <v>12350</v>
      </c>
      <c r="K534" t="s">
        <v>12351</v>
      </c>
      <c r="L534" t="s">
        <v>12352</v>
      </c>
      <c r="M534" t="s">
        <v>12353</v>
      </c>
      <c r="N534" t="s">
        <v>12354</v>
      </c>
      <c r="O534" t="s">
        <v>12355</v>
      </c>
      <c r="P534" t="s">
        <v>12356</v>
      </c>
      <c r="Q534" t="s">
        <v>12357</v>
      </c>
      <c r="R534" t="s">
        <v>12358</v>
      </c>
      <c r="S534" t="s">
        <v>12359</v>
      </c>
      <c r="T534" t="s">
        <v>12360</v>
      </c>
      <c r="U534" t="s">
        <v>12361</v>
      </c>
      <c r="V534" t="s">
        <v>12362</v>
      </c>
      <c r="W534" t="s">
        <v>12363</v>
      </c>
      <c r="X534" t="s">
        <v>12364</v>
      </c>
      <c r="Y534" t="s">
        <v>12365</v>
      </c>
    </row>
    <row r="535" spans="1:25" x14ac:dyDescent="0.3">
      <c r="A535">
        <v>26700</v>
      </c>
      <c r="B535" t="s">
        <v>12366</v>
      </c>
      <c r="C535" t="s">
        <v>12367</v>
      </c>
      <c r="D535" t="s">
        <v>12368</v>
      </c>
      <c r="E535" t="s">
        <v>12369</v>
      </c>
      <c r="F535" t="s">
        <v>12370</v>
      </c>
      <c r="G535" t="s">
        <v>12371</v>
      </c>
      <c r="H535" t="s">
        <v>12372</v>
      </c>
      <c r="I535" t="s">
        <v>12373</v>
      </c>
      <c r="J535" t="s">
        <v>12374</v>
      </c>
      <c r="K535" t="s">
        <v>12375</v>
      </c>
      <c r="L535" t="s">
        <v>12376</v>
      </c>
      <c r="M535" t="s">
        <v>12377</v>
      </c>
      <c r="N535" t="s">
        <v>12378</v>
      </c>
      <c r="O535" t="s">
        <v>12379</v>
      </c>
      <c r="P535" t="s">
        <v>12380</v>
      </c>
      <c r="Q535" t="s">
        <v>12381</v>
      </c>
      <c r="R535" t="s">
        <v>12382</v>
      </c>
      <c r="S535" t="s">
        <v>12383</v>
      </c>
      <c r="T535" t="s">
        <v>12384</v>
      </c>
      <c r="U535" t="s">
        <v>12385</v>
      </c>
      <c r="V535" t="s">
        <v>12386</v>
      </c>
      <c r="W535" t="s">
        <v>12387</v>
      </c>
      <c r="X535" t="s">
        <v>12388</v>
      </c>
      <c r="Y535" t="s">
        <v>12389</v>
      </c>
    </row>
    <row r="536" spans="1:25" x14ac:dyDescent="0.3">
      <c r="A536">
        <v>26750</v>
      </c>
      <c r="B536" t="s">
        <v>12390</v>
      </c>
      <c r="C536" t="s">
        <v>12391</v>
      </c>
      <c r="D536" t="s">
        <v>12392</v>
      </c>
      <c r="E536" t="s">
        <v>12393</v>
      </c>
      <c r="F536" t="s">
        <v>12394</v>
      </c>
      <c r="G536" t="s">
        <v>12395</v>
      </c>
      <c r="H536" t="s">
        <v>12396</v>
      </c>
      <c r="I536" t="s">
        <v>12397</v>
      </c>
      <c r="J536" t="s">
        <v>12398</v>
      </c>
      <c r="K536" t="s">
        <v>12399</v>
      </c>
      <c r="L536" t="s">
        <v>12400</v>
      </c>
      <c r="M536" t="s">
        <v>12401</v>
      </c>
      <c r="N536" t="s">
        <v>12402</v>
      </c>
      <c r="O536" t="s">
        <v>12403</v>
      </c>
      <c r="P536" t="s">
        <v>12404</v>
      </c>
      <c r="Q536" t="s">
        <v>12405</v>
      </c>
      <c r="R536" t="s">
        <v>12406</v>
      </c>
      <c r="S536" t="s">
        <v>12407</v>
      </c>
      <c r="T536" t="s">
        <v>12408</v>
      </c>
      <c r="U536" t="s">
        <v>12409</v>
      </c>
      <c r="V536" t="s">
        <v>12410</v>
      </c>
      <c r="W536" t="s">
        <v>12411</v>
      </c>
      <c r="X536" t="s">
        <v>12412</v>
      </c>
      <c r="Y536" t="s">
        <v>12413</v>
      </c>
    </row>
    <row r="537" spans="1:25" x14ac:dyDescent="0.3">
      <c r="A537">
        <v>26800</v>
      </c>
      <c r="B537" t="s">
        <v>12414</v>
      </c>
      <c r="C537" t="s">
        <v>12415</v>
      </c>
      <c r="D537" t="s">
        <v>12416</v>
      </c>
      <c r="E537" t="s">
        <v>12417</v>
      </c>
      <c r="F537" t="s">
        <v>12418</v>
      </c>
      <c r="G537" t="s">
        <v>12419</v>
      </c>
      <c r="H537" t="s">
        <v>12420</v>
      </c>
      <c r="I537" t="s">
        <v>12421</v>
      </c>
      <c r="J537" t="s">
        <v>12422</v>
      </c>
      <c r="K537" t="s">
        <v>12423</v>
      </c>
      <c r="L537" t="s">
        <v>12424</v>
      </c>
      <c r="M537" t="s">
        <v>12425</v>
      </c>
      <c r="N537" t="s">
        <v>12426</v>
      </c>
      <c r="O537" t="s">
        <v>12427</v>
      </c>
      <c r="P537" t="s">
        <v>12428</v>
      </c>
      <c r="Q537" t="s">
        <v>12429</v>
      </c>
      <c r="R537" t="s">
        <v>12430</v>
      </c>
      <c r="S537" t="s">
        <v>12431</v>
      </c>
      <c r="T537" t="s">
        <v>12432</v>
      </c>
      <c r="U537" t="s">
        <v>12433</v>
      </c>
      <c r="V537" t="s">
        <v>12434</v>
      </c>
      <c r="W537" t="s">
        <v>12435</v>
      </c>
      <c r="X537" t="s">
        <v>12436</v>
      </c>
      <c r="Y537" t="s">
        <v>12437</v>
      </c>
    </row>
    <row r="538" spans="1:25" x14ac:dyDescent="0.3">
      <c r="A538">
        <v>26850</v>
      </c>
      <c r="B538" t="s">
        <v>12438</v>
      </c>
      <c r="C538" t="s">
        <v>12439</v>
      </c>
      <c r="D538" t="s">
        <v>12440</v>
      </c>
      <c r="E538" t="s">
        <v>12441</v>
      </c>
      <c r="F538" t="s">
        <v>12442</v>
      </c>
      <c r="G538" t="s">
        <v>12443</v>
      </c>
      <c r="H538" t="s">
        <v>12444</v>
      </c>
      <c r="I538" t="s">
        <v>12445</v>
      </c>
      <c r="J538" t="s">
        <v>12446</v>
      </c>
      <c r="K538" t="s">
        <v>12447</v>
      </c>
      <c r="L538" t="s">
        <v>12448</v>
      </c>
      <c r="M538" t="s">
        <v>12449</v>
      </c>
      <c r="N538" t="s">
        <v>12450</v>
      </c>
      <c r="O538" t="s">
        <v>12451</v>
      </c>
      <c r="P538" t="s">
        <v>12452</v>
      </c>
      <c r="Q538" t="s">
        <v>12453</v>
      </c>
      <c r="R538" t="s">
        <v>12454</v>
      </c>
      <c r="S538" t="s">
        <v>12455</v>
      </c>
      <c r="T538" t="s">
        <v>12456</v>
      </c>
      <c r="U538" t="s">
        <v>12457</v>
      </c>
      <c r="V538" t="s">
        <v>12458</v>
      </c>
      <c r="W538" t="s">
        <v>12459</v>
      </c>
      <c r="X538" t="s">
        <v>12460</v>
      </c>
      <c r="Y538" t="s">
        <v>12461</v>
      </c>
    </row>
    <row r="539" spans="1:25" x14ac:dyDescent="0.3">
      <c r="A539">
        <v>26900</v>
      </c>
      <c r="B539" t="s">
        <v>12462</v>
      </c>
      <c r="C539" t="s">
        <v>12463</v>
      </c>
      <c r="D539" t="s">
        <v>12464</v>
      </c>
      <c r="E539" t="s">
        <v>12465</v>
      </c>
      <c r="F539" t="s">
        <v>12466</v>
      </c>
      <c r="G539" t="s">
        <v>12467</v>
      </c>
      <c r="H539" t="s">
        <v>12468</v>
      </c>
      <c r="I539" t="s">
        <v>12469</v>
      </c>
      <c r="J539" t="s">
        <v>12470</v>
      </c>
      <c r="K539" t="s">
        <v>12471</v>
      </c>
      <c r="L539" t="s">
        <v>12472</v>
      </c>
      <c r="M539" t="s">
        <v>12473</v>
      </c>
      <c r="N539" t="s">
        <v>12474</v>
      </c>
      <c r="O539" t="s">
        <v>12475</v>
      </c>
      <c r="P539" t="s">
        <v>12476</v>
      </c>
      <c r="Q539" t="s">
        <v>12477</v>
      </c>
      <c r="R539" t="s">
        <v>12478</v>
      </c>
      <c r="S539" t="s">
        <v>12479</v>
      </c>
      <c r="T539" t="s">
        <v>12480</v>
      </c>
      <c r="U539" t="s">
        <v>12481</v>
      </c>
      <c r="V539" t="s">
        <v>12482</v>
      </c>
      <c r="W539" t="s">
        <v>12483</v>
      </c>
      <c r="X539" t="s">
        <v>12484</v>
      </c>
      <c r="Y539" t="s">
        <v>12485</v>
      </c>
    </row>
    <row r="540" spans="1:25" x14ac:dyDescent="0.3">
      <c r="A540">
        <v>26950</v>
      </c>
      <c r="B540" t="s">
        <v>12486</v>
      </c>
      <c r="C540" t="s">
        <v>12487</v>
      </c>
      <c r="D540" t="s">
        <v>12488</v>
      </c>
      <c r="E540" t="s">
        <v>12489</v>
      </c>
      <c r="F540" t="s">
        <v>12490</v>
      </c>
      <c r="G540" t="s">
        <v>12491</v>
      </c>
      <c r="H540" t="s">
        <v>12492</v>
      </c>
      <c r="I540" t="s">
        <v>12493</v>
      </c>
      <c r="J540" t="s">
        <v>12494</v>
      </c>
      <c r="K540" t="s">
        <v>12495</v>
      </c>
      <c r="L540" t="s">
        <v>12496</v>
      </c>
      <c r="M540" t="s">
        <v>12497</v>
      </c>
      <c r="N540" t="s">
        <v>12498</v>
      </c>
      <c r="O540" t="s">
        <v>12499</v>
      </c>
      <c r="P540" t="s">
        <v>12500</v>
      </c>
      <c r="Q540" t="s">
        <v>12501</v>
      </c>
      <c r="R540" t="s">
        <v>12502</v>
      </c>
      <c r="S540" t="s">
        <v>12503</v>
      </c>
      <c r="T540" t="s">
        <v>12504</v>
      </c>
      <c r="U540" t="s">
        <v>12505</v>
      </c>
      <c r="V540" t="s">
        <v>12506</v>
      </c>
      <c r="W540" t="s">
        <v>12507</v>
      </c>
      <c r="X540" t="s">
        <v>12508</v>
      </c>
      <c r="Y540" t="s">
        <v>12509</v>
      </c>
    </row>
    <row r="541" spans="1:25" x14ac:dyDescent="0.3">
      <c r="A541">
        <v>27000</v>
      </c>
      <c r="B541" t="s">
        <v>12510</v>
      </c>
      <c r="C541" t="s">
        <v>12511</v>
      </c>
      <c r="D541" t="s">
        <v>12512</v>
      </c>
      <c r="E541" t="s">
        <v>12513</v>
      </c>
      <c r="F541" t="s">
        <v>12514</v>
      </c>
      <c r="G541" t="s">
        <v>12515</v>
      </c>
      <c r="H541" t="s">
        <v>12516</v>
      </c>
      <c r="I541" t="s">
        <v>12517</v>
      </c>
      <c r="J541" t="s">
        <v>12518</v>
      </c>
      <c r="K541" t="s">
        <v>12519</v>
      </c>
      <c r="L541" t="s">
        <v>12520</v>
      </c>
      <c r="M541" t="s">
        <v>12521</v>
      </c>
      <c r="N541" t="s">
        <v>12522</v>
      </c>
      <c r="O541" t="s">
        <v>12523</v>
      </c>
      <c r="P541" t="s">
        <v>12524</v>
      </c>
      <c r="Q541" t="s">
        <v>12525</v>
      </c>
      <c r="R541" t="s">
        <v>12526</v>
      </c>
      <c r="S541" t="s">
        <v>12527</v>
      </c>
      <c r="T541" t="s">
        <v>12528</v>
      </c>
      <c r="U541" t="s">
        <v>12529</v>
      </c>
      <c r="V541" t="s">
        <v>12530</v>
      </c>
      <c r="W541" t="s">
        <v>12531</v>
      </c>
      <c r="X541" t="s">
        <v>12532</v>
      </c>
      <c r="Y541" t="s">
        <v>12533</v>
      </c>
    </row>
    <row r="542" spans="1:25" x14ac:dyDescent="0.3">
      <c r="A542">
        <v>27050</v>
      </c>
      <c r="B542" t="s">
        <v>12534</v>
      </c>
      <c r="C542" t="s">
        <v>12535</v>
      </c>
      <c r="D542" t="s">
        <v>12536</v>
      </c>
      <c r="E542" t="s">
        <v>12537</v>
      </c>
      <c r="F542" t="s">
        <v>12538</v>
      </c>
      <c r="G542" t="s">
        <v>12539</v>
      </c>
      <c r="H542" t="s">
        <v>12540</v>
      </c>
      <c r="I542" t="s">
        <v>12541</v>
      </c>
      <c r="J542" t="s">
        <v>12542</v>
      </c>
      <c r="K542" t="s">
        <v>12543</v>
      </c>
      <c r="L542" t="s">
        <v>12544</v>
      </c>
      <c r="M542" t="s">
        <v>12545</v>
      </c>
      <c r="N542" t="s">
        <v>12546</v>
      </c>
      <c r="O542" t="s">
        <v>12547</v>
      </c>
      <c r="P542" t="s">
        <v>12548</v>
      </c>
      <c r="Q542" t="s">
        <v>12549</v>
      </c>
      <c r="R542" t="s">
        <v>12550</v>
      </c>
      <c r="S542" t="s">
        <v>12551</v>
      </c>
      <c r="T542" t="s">
        <v>12552</v>
      </c>
      <c r="U542" t="s">
        <v>12553</v>
      </c>
      <c r="V542" t="s">
        <v>12554</v>
      </c>
      <c r="W542" t="s">
        <v>12555</v>
      </c>
      <c r="X542" t="s">
        <v>12556</v>
      </c>
      <c r="Y542" t="s">
        <v>12557</v>
      </c>
    </row>
    <row r="543" spans="1:25" x14ac:dyDescent="0.3">
      <c r="A543">
        <v>27100</v>
      </c>
      <c r="B543" t="s">
        <v>12558</v>
      </c>
      <c r="C543" t="s">
        <v>12559</v>
      </c>
      <c r="D543" t="s">
        <v>12560</v>
      </c>
      <c r="E543" t="s">
        <v>12561</v>
      </c>
      <c r="F543" t="s">
        <v>12562</v>
      </c>
      <c r="G543" t="s">
        <v>12563</v>
      </c>
      <c r="H543" t="s">
        <v>12564</v>
      </c>
      <c r="I543" t="s">
        <v>12565</v>
      </c>
      <c r="J543" t="s">
        <v>12566</v>
      </c>
      <c r="K543" t="s">
        <v>12567</v>
      </c>
      <c r="L543" t="s">
        <v>12568</v>
      </c>
      <c r="M543" t="s">
        <v>12569</v>
      </c>
      <c r="N543" t="s">
        <v>12570</v>
      </c>
      <c r="O543" t="s">
        <v>12571</v>
      </c>
      <c r="P543" t="s">
        <v>12572</v>
      </c>
      <c r="Q543" t="s">
        <v>12573</v>
      </c>
      <c r="R543" t="s">
        <v>12574</v>
      </c>
      <c r="S543" t="s">
        <v>12575</v>
      </c>
      <c r="T543" t="s">
        <v>12576</v>
      </c>
      <c r="U543" t="s">
        <v>12577</v>
      </c>
      <c r="V543" t="s">
        <v>12578</v>
      </c>
      <c r="W543" t="s">
        <v>12579</v>
      </c>
      <c r="X543" t="s">
        <v>12580</v>
      </c>
      <c r="Y543" t="s">
        <v>12581</v>
      </c>
    </row>
    <row r="544" spans="1:25" x14ac:dyDescent="0.3">
      <c r="A544">
        <v>27150</v>
      </c>
      <c r="B544" t="s">
        <v>12582</v>
      </c>
      <c r="C544" t="s">
        <v>12583</v>
      </c>
      <c r="D544" t="s">
        <v>12584</v>
      </c>
      <c r="E544" t="s">
        <v>12585</v>
      </c>
      <c r="F544" t="s">
        <v>12586</v>
      </c>
      <c r="G544" t="s">
        <v>12587</v>
      </c>
      <c r="H544" t="s">
        <v>12588</v>
      </c>
      <c r="I544" t="s">
        <v>12589</v>
      </c>
      <c r="J544" t="s">
        <v>12590</v>
      </c>
      <c r="K544" t="s">
        <v>12591</v>
      </c>
      <c r="L544" t="s">
        <v>12592</v>
      </c>
      <c r="M544" t="s">
        <v>12593</v>
      </c>
      <c r="N544" t="s">
        <v>12594</v>
      </c>
      <c r="O544" t="s">
        <v>12595</v>
      </c>
      <c r="P544" t="s">
        <v>12596</v>
      </c>
      <c r="Q544" t="s">
        <v>12597</v>
      </c>
      <c r="R544" t="s">
        <v>12598</v>
      </c>
      <c r="S544" t="s">
        <v>12599</v>
      </c>
      <c r="T544" t="s">
        <v>12600</v>
      </c>
      <c r="U544" t="s">
        <v>12601</v>
      </c>
      <c r="V544" t="s">
        <v>12602</v>
      </c>
      <c r="W544" t="s">
        <v>12603</v>
      </c>
      <c r="X544" t="s">
        <v>12604</v>
      </c>
      <c r="Y544" t="s">
        <v>12605</v>
      </c>
    </row>
    <row r="545" spans="1:25" x14ac:dyDescent="0.3">
      <c r="A545">
        <v>27200</v>
      </c>
      <c r="B545" t="s">
        <v>12606</v>
      </c>
      <c r="C545" t="s">
        <v>12607</v>
      </c>
      <c r="D545" t="s">
        <v>12608</v>
      </c>
      <c r="E545" t="s">
        <v>12609</v>
      </c>
      <c r="F545" t="s">
        <v>12610</v>
      </c>
      <c r="G545" t="s">
        <v>12611</v>
      </c>
      <c r="H545" t="s">
        <v>12612</v>
      </c>
      <c r="I545" t="s">
        <v>12613</v>
      </c>
      <c r="J545" t="s">
        <v>12614</v>
      </c>
      <c r="K545" t="s">
        <v>12615</v>
      </c>
      <c r="L545" t="s">
        <v>12616</v>
      </c>
      <c r="M545" t="s">
        <v>12617</v>
      </c>
      <c r="N545" t="s">
        <v>12618</v>
      </c>
      <c r="O545" t="s">
        <v>12619</v>
      </c>
      <c r="P545" t="s">
        <v>12620</v>
      </c>
      <c r="Q545" t="s">
        <v>12621</v>
      </c>
      <c r="R545" t="s">
        <v>12622</v>
      </c>
      <c r="S545" t="s">
        <v>12623</v>
      </c>
      <c r="T545" t="s">
        <v>12624</v>
      </c>
      <c r="U545" t="s">
        <v>12625</v>
      </c>
      <c r="V545" t="s">
        <v>12626</v>
      </c>
      <c r="W545" t="s">
        <v>12627</v>
      </c>
      <c r="X545" t="s">
        <v>12628</v>
      </c>
      <c r="Y545" t="s">
        <v>12629</v>
      </c>
    </row>
    <row r="546" spans="1:25" x14ac:dyDescent="0.3">
      <c r="A546">
        <v>27250</v>
      </c>
      <c r="B546" t="s">
        <v>12606</v>
      </c>
      <c r="C546" t="s">
        <v>12607</v>
      </c>
      <c r="D546" t="s">
        <v>12608</v>
      </c>
      <c r="E546" t="s">
        <v>12609</v>
      </c>
      <c r="F546" t="s">
        <v>12610</v>
      </c>
      <c r="G546" t="s">
        <v>12611</v>
      </c>
      <c r="H546" t="s">
        <v>12612</v>
      </c>
      <c r="I546" t="s">
        <v>12613</v>
      </c>
      <c r="J546" t="s">
        <v>12614</v>
      </c>
      <c r="K546" t="s">
        <v>12615</v>
      </c>
      <c r="L546" t="s">
        <v>12616</v>
      </c>
      <c r="M546" t="s">
        <v>12617</v>
      </c>
      <c r="N546" t="s">
        <v>12618</v>
      </c>
      <c r="O546" t="s">
        <v>12619</v>
      </c>
      <c r="P546" t="s">
        <v>12620</v>
      </c>
      <c r="Q546" t="s">
        <v>12621</v>
      </c>
      <c r="R546" t="s">
        <v>12622</v>
      </c>
      <c r="S546" t="s">
        <v>12623</v>
      </c>
      <c r="T546" t="s">
        <v>12624</v>
      </c>
      <c r="U546" t="s">
        <v>12625</v>
      </c>
      <c r="V546" t="s">
        <v>12626</v>
      </c>
      <c r="W546" t="s">
        <v>12627</v>
      </c>
      <c r="X546" t="s">
        <v>12628</v>
      </c>
      <c r="Y546" t="s">
        <v>12629</v>
      </c>
    </row>
    <row r="547" spans="1:25" x14ac:dyDescent="0.3">
      <c r="A547">
        <v>27300</v>
      </c>
      <c r="B547" t="s">
        <v>12630</v>
      </c>
      <c r="C547" t="s">
        <v>12631</v>
      </c>
      <c r="D547" t="s">
        <v>12632</v>
      </c>
      <c r="E547" t="s">
        <v>12633</v>
      </c>
      <c r="F547" t="s">
        <v>12634</v>
      </c>
      <c r="G547" t="s">
        <v>12635</v>
      </c>
      <c r="H547" t="s">
        <v>12636</v>
      </c>
      <c r="I547" t="s">
        <v>12637</v>
      </c>
      <c r="J547" t="s">
        <v>12638</v>
      </c>
      <c r="K547" t="s">
        <v>12639</v>
      </c>
      <c r="L547" t="s">
        <v>12640</v>
      </c>
      <c r="M547" t="s">
        <v>12641</v>
      </c>
      <c r="N547" t="s">
        <v>12642</v>
      </c>
      <c r="O547" t="s">
        <v>12643</v>
      </c>
      <c r="P547" t="s">
        <v>12644</v>
      </c>
      <c r="Q547" t="s">
        <v>12645</v>
      </c>
      <c r="R547" t="s">
        <v>12646</v>
      </c>
      <c r="S547" t="s">
        <v>12647</v>
      </c>
      <c r="T547" t="s">
        <v>12648</v>
      </c>
      <c r="U547" t="s">
        <v>12649</v>
      </c>
      <c r="V547" t="s">
        <v>12650</v>
      </c>
      <c r="W547" t="s">
        <v>12651</v>
      </c>
      <c r="X547" t="s">
        <v>12652</v>
      </c>
      <c r="Y547" t="s">
        <v>12653</v>
      </c>
    </row>
    <row r="548" spans="1:25" x14ac:dyDescent="0.3">
      <c r="A548">
        <v>27350</v>
      </c>
      <c r="B548" t="s">
        <v>12654</v>
      </c>
      <c r="C548" t="s">
        <v>12655</v>
      </c>
      <c r="D548" t="s">
        <v>12656</v>
      </c>
      <c r="E548" t="s">
        <v>12657</v>
      </c>
      <c r="F548" t="s">
        <v>12658</v>
      </c>
      <c r="G548" t="s">
        <v>12659</v>
      </c>
      <c r="H548" t="s">
        <v>12660</v>
      </c>
      <c r="I548" t="s">
        <v>12661</v>
      </c>
      <c r="J548" t="s">
        <v>12662</v>
      </c>
      <c r="K548" t="s">
        <v>12663</v>
      </c>
      <c r="L548" t="s">
        <v>12664</v>
      </c>
      <c r="M548" t="s">
        <v>12665</v>
      </c>
      <c r="N548" t="s">
        <v>12666</v>
      </c>
      <c r="O548" t="s">
        <v>12667</v>
      </c>
      <c r="P548" t="s">
        <v>12668</v>
      </c>
      <c r="Q548" t="s">
        <v>12669</v>
      </c>
      <c r="R548" t="s">
        <v>12670</v>
      </c>
      <c r="S548" t="s">
        <v>12671</v>
      </c>
      <c r="T548" t="s">
        <v>12672</v>
      </c>
      <c r="U548" t="s">
        <v>12673</v>
      </c>
      <c r="V548" t="s">
        <v>12674</v>
      </c>
      <c r="W548" t="s">
        <v>12675</v>
      </c>
      <c r="X548" t="s">
        <v>12676</v>
      </c>
      <c r="Y548" t="s">
        <v>12677</v>
      </c>
    </row>
    <row r="549" spans="1:25" x14ac:dyDescent="0.3">
      <c r="A549">
        <v>27400</v>
      </c>
      <c r="B549" t="s">
        <v>12678</v>
      </c>
      <c r="C549" t="s">
        <v>12679</v>
      </c>
      <c r="D549" t="s">
        <v>12680</v>
      </c>
      <c r="E549" t="s">
        <v>12681</v>
      </c>
      <c r="F549" t="s">
        <v>12682</v>
      </c>
      <c r="G549" t="s">
        <v>12683</v>
      </c>
      <c r="H549" t="s">
        <v>12684</v>
      </c>
      <c r="I549" t="s">
        <v>12685</v>
      </c>
      <c r="J549" t="s">
        <v>12686</v>
      </c>
      <c r="K549" t="s">
        <v>12687</v>
      </c>
      <c r="L549" t="s">
        <v>12688</v>
      </c>
      <c r="M549" t="s">
        <v>12689</v>
      </c>
      <c r="N549" t="s">
        <v>12690</v>
      </c>
      <c r="O549" t="s">
        <v>12691</v>
      </c>
      <c r="P549" t="s">
        <v>12692</v>
      </c>
      <c r="Q549" t="s">
        <v>12693</v>
      </c>
      <c r="R549" t="s">
        <v>12694</v>
      </c>
      <c r="S549" t="s">
        <v>12695</v>
      </c>
      <c r="T549" t="s">
        <v>12696</v>
      </c>
      <c r="U549" t="s">
        <v>12697</v>
      </c>
      <c r="V549" t="s">
        <v>12698</v>
      </c>
      <c r="W549" t="s">
        <v>12699</v>
      </c>
      <c r="X549" t="s">
        <v>12700</v>
      </c>
      <c r="Y549" t="s">
        <v>12701</v>
      </c>
    </row>
    <row r="550" spans="1:25" x14ac:dyDescent="0.3">
      <c r="A550">
        <v>27450</v>
      </c>
      <c r="B550" t="s">
        <v>12702</v>
      </c>
      <c r="C550" t="s">
        <v>12703</v>
      </c>
      <c r="D550" t="s">
        <v>12704</v>
      </c>
      <c r="E550" t="s">
        <v>12705</v>
      </c>
      <c r="F550" t="s">
        <v>12706</v>
      </c>
      <c r="G550" t="s">
        <v>12707</v>
      </c>
      <c r="H550" t="s">
        <v>12708</v>
      </c>
      <c r="I550" t="s">
        <v>12709</v>
      </c>
      <c r="J550" t="s">
        <v>12710</v>
      </c>
      <c r="K550" t="s">
        <v>12711</v>
      </c>
      <c r="L550" t="s">
        <v>12712</v>
      </c>
      <c r="M550" t="s">
        <v>12713</v>
      </c>
      <c r="N550" t="s">
        <v>12714</v>
      </c>
      <c r="O550" t="s">
        <v>12715</v>
      </c>
      <c r="P550" t="s">
        <v>12716</v>
      </c>
      <c r="Q550" t="s">
        <v>12717</v>
      </c>
      <c r="R550" t="s">
        <v>12718</v>
      </c>
      <c r="S550" t="s">
        <v>12719</v>
      </c>
      <c r="T550" t="s">
        <v>12720</v>
      </c>
      <c r="U550" t="s">
        <v>12721</v>
      </c>
      <c r="V550" t="s">
        <v>12722</v>
      </c>
      <c r="W550" t="s">
        <v>12723</v>
      </c>
      <c r="X550" t="s">
        <v>12724</v>
      </c>
      <c r="Y550" t="s">
        <v>12725</v>
      </c>
    </row>
    <row r="551" spans="1:25" x14ac:dyDescent="0.3">
      <c r="A551">
        <v>27500</v>
      </c>
      <c r="B551" t="s">
        <v>12726</v>
      </c>
      <c r="C551" t="s">
        <v>12727</v>
      </c>
      <c r="D551" t="s">
        <v>12728</v>
      </c>
      <c r="E551" t="s">
        <v>12729</v>
      </c>
      <c r="F551" t="s">
        <v>12730</v>
      </c>
      <c r="G551" t="s">
        <v>12731</v>
      </c>
      <c r="H551" t="s">
        <v>12732</v>
      </c>
      <c r="I551" t="s">
        <v>12733</v>
      </c>
      <c r="J551" t="s">
        <v>12734</v>
      </c>
      <c r="K551" t="s">
        <v>12735</v>
      </c>
      <c r="L551" t="s">
        <v>12736</v>
      </c>
      <c r="M551" t="s">
        <v>12737</v>
      </c>
      <c r="N551" t="s">
        <v>12738</v>
      </c>
      <c r="O551" t="s">
        <v>12739</v>
      </c>
      <c r="P551" t="s">
        <v>12740</v>
      </c>
      <c r="Q551" t="s">
        <v>12741</v>
      </c>
      <c r="R551" t="s">
        <v>12742</v>
      </c>
      <c r="S551" t="s">
        <v>12743</v>
      </c>
      <c r="T551" t="s">
        <v>12744</v>
      </c>
      <c r="U551" t="s">
        <v>12745</v>
      </c>
      <c r="V551" t="s">
        <v>12746</v>
      </c>
      <c r="W551" t="s">
        <v>12747</v>
      </c>
      <c r="X551" t="s">
        <v>12748</v>
      </c>
      <c r="Y551" t="s">
        <v>12749</v>
      </c>
    </row>
    <row r="552" spans="1:25" x14ac:dyDescent="0.3">
      <c r="A552">
        <v>27550</v>
      </c>
      <c r="B552" t="s">
        <v>12750</v>
      </c>
      <c r="C552" t="s">
        <v>12751</v>
      </c>
      <c r="D552" t="s">
        <v>12752</v>
      </c>
      <c r="E552" t="s">
        <v>12753</v>
      </c>
      <c r="F552" t="s">
        <v>12754</v>
      </c>
      <c r="G552" t="s">
        <v>12755</v>
      </c>
      <c r="H552" t="s">
        <v>12756</v>
      </c>
      <c r="I552" t="s">
        <v>12757</v>
      </c>
      <c r="J552" t="s">
        <v>12758</v>
      </c>
      <c r="K552" t="s">
        <v>12759</v>
      </c>
      <c r="L552" t="s">
        <v>12760</v>
      </c>
      <c r="M552" t="s">
        <v>12761</v>
      </c>
      <c r="N552" t="s">
        <v>12762</v>
      </c>
      <c r="O552" t="s">
        <v>12763</v>
      </c>
      <c r="P552" t="s">
        <v>12764</v>
      </c>
      <c r="Q552" t="s">
        <v>12765</v>
      </c>
      <c r="R552" t="s">
        <v>12766</v>
      </c>
      <c r="S552" t="s">
        <v>12767</v>
      </c>
      <c r="T552" t="s">
        <v>12768</v>
      </c>
      <c r="U552" t="s">
        <v>12769</v>
      </c>
      <c r="V552" t="s">
        <v>12770</v>
      </c>
      <c r="W552" t="s">
        <v>12771</v>
      </c>
      <c r="X552" t="s">
        <v>12772</v>
      </c>
      <c r="Y552" t="s">
        <v>12773</v>
      </c>
    </row>
    <row r="553" spans="1:25" x14ac:dyDescent="0.3">
      <c r="A553">
        <v>27600</v>
      </c>
      <c r="B553" t="s">
        <v>12774</v>
      </c>
      <c r="C553" t="s">
        <v>12775</v>
      </c>
      <c r="D553" t="s">
        <v>12776</v>
      </c>
      <c r="E553" t="s">
        <v>12777</v>
      </c>
      <c r="F553" t="s">
        <v>12778</v>
      </c>
      <c r="G553" t="s">
        <v>12779</v>
      </c>
      <c r="H553" t="s">
        <v>12780</v>
      </c>
      <c r="I553" t="s">
        <v>12781</v>
      </c>
      <c r="J553" t="s">
        <v>12782</v>
      </c>
      <c r="K553" t="s">
        <v>12783</v>
      </c>
      <c r="L553" t="s">
        <v>12784</v>
      </c>
      <c r="M553" t="s">
        <v>12785</v>
      </c>
      <c r="N553" t="s">
        <v>12786</v>
      </c>
      <c r="O553" t="s">
        <v>12787</v>
      </c>
      <c r="P553" t="s">
        <v>12788</v>
      </c>
      <c r="Q553" t="s">
        <v>12789</v>
      </c>
      <c r="R553" t="s">
        <v>12790</v>
      </c>
      <c r="S553" t="s">
        <v>12791</v>
      </c>
      <c r="T553" t="s">
        <v>12792</v>
      </c>
      <c r="U553" t="s">
        <v>12793</v>
      </c>
      <c r="V553" t="s">
        <v>12794</v>
      </c>
      <c r="W553" t="s">
        <v>12795</v>
      </c>
      <c r="X553" t="s">
        <v>12796</v>
      </c>
      <c r="Y553" t="s">
        <v>12797</v>
      </c>
    </row>
    <row r="554" spans="1:25" x14ac:dyDescent="0.3">
      <c r="A554">
        <v>27650</v>
      </c>
      <c r="B554" t="s">
        <v>12798</v>
      </c>
      <c r="C554" t="s">
        <v>12799</v>
      </c>
      <c r="D554" t="s">
        <v>12800</v>
      </c>
      <c r="E554" t="s">
        <v>12801</v>
      </c>
      <c r="F554" t="s">
        <v>12802</v>
      </c>
      <c r="G554" t="s">
        <v>12803</v>
      </c>
      <c r="H554" t="s">
        <v>12804</v>
      </c>
      <c r="I554" t="s">
        <v>12805</v>
      </c>
      <c r="J554" t="s">
        <v>12806</v>
      </c>
      <c r="K554" t="s">
        <v>12807</v>
      </c>
      <c r="L554" t="s">
        <v>12808</v>
      </c>
      <c r="M554" t="s">
        <v>12809</v>
      </c>
      <c r="N554" t="s">
        <v>12810</v>
      </c>
      <c r="O554" t="s">
        <v>12811</v>
      </c>
      <c r="P554" t="s">
        <v>12812</v>
      </c>
      <c r="Q554" t="s">
        <v>12813</v>
      </c>
      <c r="R554" t="s">
        <v>12814</v>
      </c>
      <c r="S554" t="s">
        <v>12815</v>
      </c>
      <c r="T554" t="s">
        <v>12816</v>
      </c>
      <c r="U554" t="s">
        <v>12817</v>
      </c>
      <c r="V554" t="s">
        <v>12818</v>
      </c>
      <c r="W554" t="s">
        <v>12819</v>
      </c>
      <c r="X554" t="s">
        <v>12820</v>
      </c>
      <c r="Y554" t="s">
        <v>12821</v>
      </c>
    </row>
    <row r="555" spans="1:25" x14ac:dyDescent="0.3">
      <c r="A555">
        <v>27700</v>
      </c>
      <c r="B555" t="s">
        <v>12822</v>
      </c>
      <c r="C555" t="s">
        <v>12823</v>
      </c>
      <c r="D555" t="s">
        <v>12824</v>
      </c>
      <c r="E555" t="s">
        <v>12825</v>
      </c>
      <c r="F555" t="s">
        <v>12826</v>
      </c>
      <c r="G555" t="s">
        <v>12827</v>
      </c>
      <c r="H555" t="s">
        <v>12828</v>
      </c>
      <c r="I555" t="s">
        <v>12829</v>
      </c>
      <c r="J555" t="s">
        <v>12830</v>
      </c>
      <c r="K555" t="s">
        <v>12831</v>
      </c>
      <c r="L555" t="s">
        <v>12832</v>
      </c>
      <c r="M555" t="s">
        <v>12833</v>
      </c>
      <c r="N555" t="s">
        <v>12834</v>
      </c>
      <c r="O555" t="s">
        <v>12835</v>
      </c>
      <c r="P555" t="s">
        <v>12836</v>
      </c>
      <c r="Q555" t="s">
        <v>12837</v>
      </c>
      <c r="R555" t="s">
        <v>12838</v>
      </c>
      <c r="S555" t="s">
        <v>12839</v>
      </c>
      <c r="T555" t="s">
        <v>12840</v>
      </c>
      <c r="U555" t="s">
        <v>12841</v>
      </c>
      <c r="V555" t="s">
        <v>12842</v>
      </c>
      <c r="W555" t="s">
        <v>12843</v>
      </c>
      <c r="X555" t="s">
        <v>12844</v>
      </c>
      <c r="Y555" t="s">
        <v>12845</v>
      </c>
    </row>
    <row r="556" spans="1:25" x14ac:dyDescent="0.3">
      <c r="A556">
        <v>27750</v>
      </c>
      <c r="B556" t="s">
        <v>12846</v>
      </c>
      <c r="C556" t="s">
        <v>12847</v>
      </c>
      <c r="D556" t="s">
        <v>12848</v>
      </c>
      <c r="E556" t="s">
        <v>12849</v>
      </c>
      <c r="F556" t="s">
        <v>12850</v>
      </c>
      <c r="G556" t="s">
        <v>12851</v>
      </c>
      <c r="H556" t="s">
        <v>12852</v>
      </c>
      <c r="I556" t="s">
        <v>12853</v>
      </c>
      <c r="J556" t="s">
        <v>12854</v>
      </c>
      <c r="K556" t="s">
        <v>12855</v>
      </c>
      <c r="L556" t="s">
        <v>12856</v>
      </c>
      <c r="M556" t="s">
        <v>12857</v>
      </c>
      <c r="N556" t="s">
        <v>12858</v>
      </c>
      <c r="O556" t="s">
        <v>12859</v>
      </c>
      <c r="P556" t="s">
        <v>12860</v>
      </c>
      <c r="Q556" t="s">
        <v>12861</v>
      </c>
      <c r="R556" t="s">
        <v>12862</v>
      </c>
      <c r="S556" t="s">
        <v>12863</v>
      </c>
      <c r="T556" t="s">
        <v>12864</v>
      </c>
      <c r="U556" t="s">
        <v>12865</v>
      </c>
      <c r="V556" t="s">
        <v>12866</v>
      </c>
      <c r="W556" t="s">
        <v>12867</v>
      </c>
      <c r="X556" t="s">
        <v>12868</v>
      </c>
      <c r="Y556" t="s">
        <v>12869</v>
      </c>
    </row>
    <row r="557" spans="1:25" x14ac:dyDescent="0.3">
      <c r="A557">
        <v>27800</v>
      </c>
      <c r="B557" t="s">
        <v>12870</v>
      </c>
      <c r="C557" t="s">
        <v>12871</v>
      </c>
      <c r="D557" t="s">
        <v>12872</v>
      </c>
      <c r="E557" t="s">
        <v>12873</v>
      </c>
      <c r="F557" t="s">
        <v>12874</v>
      </c>
      <c r="G557" t="s">
        <v>12875</v>
      </c>
      <c r="H557" t="s">
        <v>12876</v>
      </c>
      <c r="I557" t="s">
        <v>12877</v>
      </c>
      <c r="J557" t="s">
        <v>12878</v>
      </c>
      <c r="K557" t="s">
        <v>12879</v>
      </c>
      <c r="L557" t="s">
        <v>12880</v>
      </c>
      <c r="M557" t="s">
        <v>12881</v>
      </c>
      <c r="N557" t="s">
        <v>12882</v>
      </c>
      <c r="O557" t="s">
        <v>12883</v>
      </c>
      <c r="P557" t="s">
        <v>12884</v>
      </c>
      <c r="Q557" t="s">
        <v>12885</v>
      </c>
      <c r="R557" t="s">
        <v>12886</v>
      </c>
      <c r="S557" t="s">
        <v>12887</v>
      </c>
      <c r="T557" t="s">
        <v>12888</v>
      </c>
      <c r="U557" t="s">
        <v>12889</v>
      </c>
      <c r="V557" t="s">
        <v>12890</v>
      </c>
      <c r="W557" t="s">
        <v>12891</v>
      </c>
      <c r="X557" t="s">
        <v>12892</v>
      </c>
      <c r="Y557" t="s">
        <v>12893</v>
      </c>
    </row>
    <row r="558" spans="1:25" x14ac:dyDescent="0.3">
      <c r="A558">
        <v>27850</v>
      </c>
      <c r="B558" t="s">
        <v>12894</v>
      </c>
      <c r="C558" t="s">
        <v>12895</v>
      </c>
      <c r="D558" t="s">
        <v>12896</v>
      </c>
      <c r="E558" t="s">
        <v>12897</v>
      </c>
      <c r="F558" t="s">
        <v>12898</v>
      </c>
      <c r="G558" t="s">
        <v>12899</v>
      </c>
      <c r="H558" t="s">
        <v>12900</v>
      </c>
      <c r="I558" t="s">
        <v>12901</v>
      </c>
      <c r="J558" t="s">
        <v>12902</v>
      </c>
      <c r="K558" t="s">
        <v>12903</v>
      </c>
      <c r="L558" t="s">
        <v>12904</v>
      </c>
      <c r="M558" t="s">
        <v>12905</v>
      </c>
      <c r="N558" t="s">
        <v>12906</v>
      </c>
      <c r="O558" t="s">
        <v>12907</v>
      </c>
      <c r="P558" t="s">
        <v>12908</v>
      </c>
      <c r="Q558" t="s">
        <v>12909</v>
      </c>
      <c r="R558" t="s">
        <v>12910</v>
      </c>
      <c r="S558" t="s">
        <v>12911</v>
      </c>
      <c r="T558" t="s">
        <v>12912</v>
      </c>
      <c r="U558" t="s">
        <v>12913</v>
      </c>
      <c r="V558" t="s">
        <v>12914</v>
      </c>
      <c r="W558" t="s">
        <v>12915</v>
      </c>
      <c r="X558" t="s">
        <v>12916</v>
      </c>
      <c r="Y558" t="s">
        <v>12917</v>
      </c>
    </row>
    <row r="559" spans="1:25" x14ac:dyDescent="0.3">
      <c r="A559">
        <v>27900</v>
      </c>
      <c r="B559" t="s">
        <v>12918</v>
      </c>
      <c r="C559" t="s">
        <v>12919</v>
      </c>
      <c r="D559" t="s">
        <v>12920</v>
      </c>
      <c r="E559" t="s">
        <v>12921</v>
      </c>
      <c r="F559" t="s">
        <v>12922</v>
      </c>
      <c r="G559" t="s">
        <v>12923</v>
      </c>
      <c r="H559" t="s">
        <v>12924</v>
      </c>
      <c r="I559" t="s">
        <v>12925</v>
      </c>
      <c r="J559" t="s">
        <v>12926</v>
      </c>
      <c r="K559" t="s">
        <v>12927</v>
      </c>
      <c r="L559" t="s">
        <v>12928</v>
      </c>
      <c r="M559" t="s">
        <v>12929</v>
      </c>
      <c r="N559" t="s">
        <v>12930</v>
      </c>
      <c r="O559" t="s">
        <v>12931</v>
      </c>
      <c r="P559" t="s">
        <v>12932</v>
      </c>
      <c r="Q559" t="s">
        <v>12933</v>
      </c>
      <c r="R559" t="s">
        <v>12934</v>
      </c>
      <c r="S559" t="s">
        <v>12935</v>
      </c>
      <c r="T559" t="s">
        <v>12936</v>
      </c>
      <c r="U559" t="s">
        <v>12937</v>
      </c>
      <c r="V559" t="s">
        <v>12938</v>
      </c>
      <c r="W559" t="s">
        <v>12939</v>
      </c>
      <c r="X559" t="s">
        <v>12940</v>
      </c>
      <c r="Y559" t="s">
        <v>12941</v>
      </c>
    </row>
    <row r="560" spans="1:25" x14ac:dyDescent="0.3">
      <c r="A560">
        <v>27950</v>
      </c>
      <c r="B560" t="s">
        <v>12942</v>
      </c>
      <c r="C560" t="s">
        <v>12943</v>
      </c>
      <c r="D560" t="s">
        <v>12944</v>
      </c>
      <c r="E560" t="s">
        <v>12945</v>
      </c>
      <c r="F560" t="s">
        <v>12946</v>
      </c>
      <c r="G560" t="s">
        <v>12947</v>
      </c>
      <c r="H560" t="s">
        <v>12948</v>
      </c>
      <c r="I560" t="s">
        <v>12949</v>
      </c>
      <c r="J560" t="s">
        <v>12950</v>
      </c>
      <c r="K560" t="s">
        <v>12951</v>
      </c>
      <c r="L560" t="s">
        <v>12952</v>
      </c>
      <c r="M560" t="s">
        <v>12953</v>
      </c>
      <c r="N560" t="s">
        <v>12954</v>
      </c>
      <c r="O560" t="s">
        <v>12955</v>
      </c>
      <c r="P560" t="s">
        <v>12956</v>
      </c>
      <c r="Q560" t="s">
        <v>12957</v>
      </c>
      <c r="R560" t="s">
        <v>12958</v>
      </c>
      <c r="S560" t="s">
        <v>12959</v>
      </c>
      <c r="T560" t="s">
        <v>12960</v>
      </c>
      <c r="U560" t="s">
        <v>12961</v>
      </c>
      <c r="V560" t="s">
        <v>12962</v>
      </c>
      <c r="W560" t="s">
        <v>12963</v>
      </c>
      <c r="X560" t="s">
        <v>12964</v>
      </c>
      <c r="Y560" t="s">
        <v>12965</v>
      </c>
    </row>
    <row r="561" spans="1:25" x14ac:dyDescent="0.3">
      <c r="A561">
        <v>28000</v>
      </c>
      <c r="B561" t="s">
        <v>12966</v>
      </c>
      <c r="C561" t="s">
        <v>12967</v>
      </c>
      <c r="D561" t="s">
        <v>12968</v>
      </c>
      <c r="E561" t="s">
        <v>12969</v>
      </c>
      <c r="F561" t="s">
        <v>12970</v>
      </c>
      <c r="G561" t="s">
        <v>12971</v>
      </c>
      <c r="H561" t="s">
        <v>12972</v>
      </c>
      <c r="I561" t="s">
        <v>12973</v>
      </c>
      <c r="J561" t="s">
        <v>12974</v>
      </c>
      <c r="K561" t="s">
        <v>12975</v>
      </c>
      <c r="L561" t="s">
        <v>12976</v>
      </c>
      <c r="M561" t="s">
        <v>12977</v>
      </c>
      <c r="N561" t="s">
        <v>12978</v>
      </c>
      <c r="O561" t="s">
        <v>12979</v>
      </c>
      <c r="P561" t="s">
        <v>12980</v>
      </c>
      <c r="Q561" t="s">
        <v>12981</v>
      </c>
      <c r="R561" t="s">
        <v>12982</v>
      </c>
      <c r="S561" t="s">
        <v>12983</v>
      </c>
      <c r="T561" t="s">
        <v>12984</v>
      </c>
      <c r="U561" t="s">
        <v>12985</v>
      </c>
      <c r="V561" t="s">
        <v>12986</v>
      </c>
      <c r="W561" t="s">
        <v>12987</v>
      </c>
      <c r="X561" t="s">
        <v>12988</v>
      </c>
      <c r="Y561" t="s">
        <v>12989</v>
      </c>
    </row>
    <row r="562" spans="1:25" x14ac:dyDescent="0.3">
      <c r="A562">
        <v>28050</v>
      </c>
      <c r="B562" t="s">
        <v>12990</v>
      </c>
      <c r="C562" t="s">
        <v>12991</v>
      </c>
      <c r="D562" t="s">
        <v>12992</v>
      </c>
      <c r="E562" t="s">
        <v>12993</v>
      </c>
      <c r="F562" t="s">
        <v>12994</v>
      </c>
      <c r="G562" t="s">
        <v>12995</v>
      </c>
      <c r="H562" t="s">
        <v>12996</v>
      </c>
      <c r="I562" t="s">
        <v>12997</v>
      </c>
      <c r="J562" t="s">
        <v>12998</v>
      </c>
      <c r="K562" t="s">
        <v>12999</v>
      </c>
      <c r="L562" t="s">
        <v>13000</v>
      </c>
      <c r="M562" t="s">
        <v>13001</v>
      </c>
      <c r="N562" t="s">
        <v>13002</v>
      </c>
      <c r="O562" t="s">
        <v>13003</v>
      </c>
      <c r="P562" t="s">
        <v>13004</v>
      </c>
      <c r="Q562" t="s">
        <v>13005</v>
      </c>
      <c r="R562" t="s">
        <v>13006</v>
      </c>
      <c r="S562" t="s">
        <v>13007</v>
      </c>
      <c r="T562" t="s">
        <v>13008</v>
      </c>
      <c r="U562" t="s">
        <v>13009</v>
      </c>
      <c r="V562" t="s">
        <v>13010</v>
      </c>
      <c r="W562" t="s">
        <v>13011</v>
      </c>
      <c r="X562" t="s">
        <v>13012</v>
      </c>
      <c r="Y562" t="s">
        <v>13013</v>
      </c>
    </row>
    <row r="563" spans="1:25" x14ac:dyDescent="0.3">
      <c r="A563">
        <v>28100</v>
      </c>
      <c r="B563" t="s">
        <v>13014</v>
      </c>
      <c r="C563" t="s">
        <v>13015</v>
      </c>
      <c r="D563" t="s">
        <v>13016</v>
      </c>
      <c r="E563" t="s">
        <v>13017</v>
      </c>
      <c r="F563" t="s">
        <v>13018</v>
      </c>
      <c r="G563" t="s">
        <v>13019</v>
      </c>
      <c r="H563" t="s">
        <v>13020</v>
      </c>
      <c r="I563" t="s">
        <v>13021</v>
      </c>
      <c r="J563" t="s">
        <v>13022</v>
      </c>
      <c r="K563" t="s">
        <v>13023</v>
      </c>
      <c r="L563" t="s">
        <v>13024</v>
      </c>
      <c r="M563" t="s">
        <v>13025</v>
      </c>
      <c r="N563" t="s">
        <v>13026</v>
      </c>
      <c r="O563" t="s">
        <v>13027</v>
      </c>
      <c r="P563" t="s">
        <v>13028</v>
      </c>
      <c r="Q563" t="s">
        <v>13029</v>
      </c>
      <c r="R563" t="s">
        <v>13030</v>
      </c>
      <c r="S563" t="s">
        <v>13031</v>
      </c>
      <c r="T563" t="s">
        <v>13032</v>
      </c>
      <c r="U563" t="s">
        <v>13033</v>
      </c>
      <c r="V563" t="s">
        <v>13034</v>
      </c>
      <c r="W563" t="s">
        <v>13035</v>
      </c>
      <c r="X563" t="s">
        <v>13036</v>
      </c>
      <c r="Y563" t="s">
        <v>13037</v>
      </c>
    </row>
    <row r="564" spans="1:25" x14ac:dyDescent="0.3">
      <c r="A564">
        <v>28150</v>
      </c>
      <c r="B564" t="s">
        <v>13038</v>
      </c>
      <c r="C564" t="s">
        <v>13039</v>
      </c>
      <c r="D564" t="s">
        <v>13040</v>
      </c>
      <c r="E564" t="s">
        <v>13041</v>
      </c>
      <c r="F564" t="s">
        <v>13042</v>
      </c>
      <c r="G564" t="s">
        <v>13043</v>
      </c>
      <c r="H564" t="s">
        <v>13044</v>
      </c>
      <c r="I564" t="s">
        <v>13045</v>
      </c>
      <c r="J564" t="s">
        <v>13046</v>
      </c>
      <c r="K564" t="s">
        <v>13047</v>
      </c>
      <c r="L564" t="s">
        <v>13048</v>
      </c>
      <c r="M564" t="s">
        <v>13049</v>
      </c>
      <c r="N564" t="s">
        <v>13050</v>
      </c>
      <c r="O564" t="s">
        <v>13051</v>
      </c>
      <c r="P564" t="s">
        <v>13052</v>
      </c>
      <c r="Q564" t="s">
        <v>13053</v>
      </c>
      <c r="R564" t="s">
        <v>13054</v>
      </c>
      <c r="S564" t="s">
        <v>13055</v>
      </c>
      <c r="T564" t="s">
        <v>13056</v>
      </c>
      <c r="U564" t="s">
        <v>13057</v>
      </c>
      <c r="V564" t="s">
        <v>13058</v>
      </c>
      <c r="W564" t="s">
        <v>13059</v>
      </c>
      <c r="X564" t="s">
        <v>13060</v>
      </c>
      <c r="Y564" t="s">
        <v>13061</v>
      </c>
    </row>
    <row r="565" spans="1:25" x14ac:dyDescent="0.3">
      <c r="A565">
        <v>28200</v>
      </c>
      <c r="B565" t="s">
        <v>13062</v>
      </c>
      <c r="C565" t="s">
        <v>13063</v>
      </c>
      <c r="D565" t="s">
        <v>13064</v>
      </c>
      <c r="E565" t="s">
        <v>13065</v>
      </c>
      <c r="F565" t="s">
        <v>13066</v>
      </c>
      <c r="G565" t="s">
        <v>13067</v>
      </c>
      <c r="H565" t="s">
        <v>13068</v>
      </c>
      <c r="I565" t="s">
        <v>13069</v>
      </c>
      <c r="J565" t="s">
        <v>13070</v>
      </c>
      <c r="K565" t="s">
        <v>13071</v>
      </c>
      <c r="L565" t="s">
        <v>13072</v>
      </c>
      <c r="M565" t="s">
        <v>13073</v>
      </c>
      <c r="N565" t="s">
        <v>13074</v>
      </c>
      <c r="O565" t="s">
        <v>13075</v>
      </c>
      <c r="P565" t="s">
        <v>13076</v>
      </c>
      <c r="Q565" t="s">
        <v>13077</v>
      </c>
      <c r="R565" t="s">
        <v>13078</v>
      </c>
      <c r="S565" t="s">
        <v>13079</v>
      </c>
      <c r="T565" t="s">
        <v>13080</v>
      </c>
      <c r="U565" t="s">
        <v>13081</v>
      </c>
      <c r="V565" t="s">
        <v>13082</v>
      </c>
      <c r="W565" t="s">
        <v>13083</v>
      </c>
      <c r="X565" t="s">
        <v>13084</v>
      </c>
      <c r="Y565" t="s">
        <v>13085</v>
      </c>
    </row>
    <row r="566" spans="1:25" x14ac:dyDescent="0.3">
      <c r="A566">
        <v>28250</v>
      </c>
      <c r="B566" t="s">
        <v>13086</v>
      </c>
      <c r="C566" t="s">
        <v>13087</v>
      </c>
      <c r="D566" t="s">
        <v>13088</v>
      </c>
      <c r="E566" t="s">
        <v>13089</v>
      </c>
      <c r="F566" t="s">
        <v>13090</v>
      </c>
      <c r="G566" t="s">
        <v>13091</v>
      </c>
      <c r="H566" t="s">
        <v>13092</v>
      </c>
      <c r="I566" t="s">
        <v>13093</v>
      </c>
      <c r="J566" t="s">
        <v>13094</v>
      </c>
      <c r="K566" t="s">
        <v>13095</v>
      </c>
      <c r="L566" t="s">
        <v>13096</v>
      </c>
      <c r="M566" t="s">
        <v>13097</v>
      </c>
      <c r="N566" t="s">
        <v>13098</v>
      </c>
      <c r="O566" t="s">
        <v>13099</v>
      </c>
      <c r="P566" t="s">
        <v>13100</v>
      </c>
      <c r="Q566" t="s">
        <v>13101</v>
      </c>
      <c r="R566" t="s">
        <v>13102</v>
      </c>
      <c r="S566" t="s">
        <v>13103</v>
      </c>
      <c r="T566" t="s">
        <v>13104</v>
      </c>
      <c r="U566" t="s">
        <v>13105</v>
      </c>
      <c r="V566" t="s">
        <v>13106</v>
      </c>
      <c r="W566" t="s">
        <v>13107</v>
      </c>
      <c r="X566" t="s">
        <v>13108</v>
      </c>
      <c r="Y566" t="s">
        <v>13109</v>
      </c>
    </row>
    <row r="567" spans="1:25" x14ac:dyDescent="0.3">
      <c r="A567">
        <v>28300</v>
      </c>
      <c r="B567" t="s">
        <v>13110</v>
      </c>
      <c r="C567" t="s">
        <v>13111</v>
      </c>
      <c r="D567" t="s">
        <v>13112</v>
      </c>
      <c r="E567" t="s">
        <v>13113</v>
      </c>
      <c r="F567" t="s">
        <v>13114</v>
      </c>
      <c r="G567" t="s">
        <v>13115</v>
      </c>
      <c r="H567" t="s">
        <v>13116</v>
      </c>
      <c r="I567" t="s">
        <v>13117</v>
      </c>
      <c r="J567" t="s">
        <v>13118</v>
      </c>
      <c r="K567" t="s">
        <v>13119</v>
      </c>
      <c r="L567" t="s">
        <v>13120</v>
      </c>
      <c r="M567" t="s">
        <v>13121</v>
      </c>
      <c r="N567" t="s">
        <v>13122</v>
      </c>
      <c r="O567" t="s">
        <v>13123</v>
      </c>
      <c r="P567" t="s">
        <v>13124</v>
      </c>
      <c r="Q567" t="s">
        <v>13125</v>
      </c>
      <c r="R567" t="s">
        <v>13126</v>
      </c>
      <c r="S567" t="s">
        <v>13127</v>
      </c>
      <c r="T567" t="s">
        <v>13128</v>
      </c>
      <c r="U567" t="s">
        <v>13129</v>
      </c>
      <c r="V567" t="s">
        <v>13130</v>
      </c>
      <c r="W567" t="s">
        <v>13131</v>
      </c>
      <c r="X567" t="s">
        <v>13132</v>
      </c>
      <c r="Y567" t="s">
        <v>13133</v>
      </c>
    </row>
    <row r="568" spans="1:25" x14ac:dyDescent="0.3">
      <c r="A568">
        <v>28350</v>
      </c>
      <c r="B568" t="s">
        <v>13134</v>
      </c>
      <c r="C568" t="s">
        <v>13135</v>
      </c>
      <c r="D568" t="s">
        <v>13136</v>
      </c>
      <c r="E568" t="s">
        <v>13137</v>
      </c>
      <c r="F568" t="s">
        <v>13138</v>
      </c>
      <c r="G568" t="s">
        <v>13139</v>
      </c>
      <c r="H568" t="s">
        <v>13140</v>
      </c>
      <c r="I568" t="s">
        <v>13141</v>
      </c>
      <c r="J568" t="s">
        <v>13142</v>
      </c>
      <c r="K568" t="s">
        <v>13143</v>
      </c>
      <c r="L568" t="s">
        <v>13144</v>
      </c>
      <c r="M568" t="s">
        <v>13145</v>
      </c>
      <c r="N568" t="s">
        <v>13146</v>
      </c>
      <c r="O568" t="s">
        <v>13147</v>
      </c>
      <c r="P568" t="s">
        <v>13148</v>
      </c>
      <c r="Q568" t="s">
        <v>13149</v>
      </c>
      <c r="R568" t="s">
        <v>13150</v>
      </c>
      <c r="S568" t="s">
        <v>13151</v>
      </c>
      <c r="T568" t="s">
        <v>13152</v>
      </c>
      <c r="U568" t="s">
        <v>13153</v>
      </c>
      <c r="V568" t="s">
        <v>13154</v>
      </c>
      <c r="W568" t="s">
        <v>13155</v>
      </c>
      <c r="X568" t="s">
        <v>13156</v>
      </c>
      <c r="Y568" t="s">
        <v>13157</v>
      </c>
    </row>
    <row r="569" spans="1:25" x14ac:dyDescent="0.3">
      <c r="A569">
        <v>28400</v>
      </c>
      <c r="B569" t="s">
        <v>13158</v>
      </c>
      <c r="C569" t="s">
        <v>13159</v>
      </c>
      <c r="D569" t="s">
        <v>13160</v>
      </c>
      <c r="E569" t="s">
        <v>13161</v>
      </c>
      <c r="F569" t="s">
        <v>13162</v>
      </c>
      <c r="G569" t="s">
        <v>13163</v>
      </c>
      <c r="H569" t="s">
        <v>13164</v>
      </c>
      <c r="I569" t="s">
        <v>13165</v>
      </c>
      <c r="J569" t="s">
        <v>13166</v>
      </c>
      <c r="K569" t="s">
        <v>13167</v>
      </c>
      <c r="L569" t="s">
        <v>13168</v>
      </c>
      <c r="M569" t="s">
        <v>13169</v>
      </c>
      <c r="N569" t="s">
        <v>13170</v>
      </c>
      <c r="O569" t="s">
        <v>13171</v>
      </c>
      <c r="P569" t="s">
        <v>13172</v>
      </c>
      <c r="Q569" t="s">
        <v>13173</v>
      </c>
      <c r="R569" t="s">
        <v>13174</v>
      </c>
      <c r="S569" t="s">
        <v>13175</v>
      </c>
      <c r="T569" t="s">
        <v>13176</v>
      </c>
      <c r="U569" t="s">
        <v>13177</v>
      </c>
      <c r="V569" t="s">
        <v>13178</v>
      </c>
      <c r="W569" t="s">
        <v>13179</v>
      </c>
      <c r="X569" t="s">
        <v>13180</v>
      </c>
      <c r="Y569" t="s">
        <v>13181</v>
      </c>
    </row>
    <row r="570" spans="1:25" x14ac:dyDescent="0.3">
      <c r="A570">
        <v>28450</v>
      </c>
      <c r="B570" t="s">
        <v>13182</v>
      </c>
      <c r="C570" t="s">
        <v>13183</v>
      </c>
      <c r="D570" t="s">
        <v>13184</v>
      </c>
      <c r="E570" t="s">
        <v>13185</v>
      </c>
      <c r="F570" t="s">
        <v>13186</v>
      </c>
      <c r="G570" t="s">
        <v>13187</v>
      </c>
      <c r="H570" t="s">
        <v>13188</v>
      </c>
      <c r="I570" t="s">
        <v>13189</v>
      </c>
      <c r="J570" t="s">
        <v>13190</v>
      </c>
      <c r="K570" t="s">
        <v>13191</v>
      </c>
      <c r="L570" t="s">
        <v>13192</v>
      </c>
      <c r="M570" t="s">
        <v>13193</v>
      </c>
      <c r="N570" t="s">
        <v>13194</v>
      </c>
      <c r="O570" t="s">
        <v>13195</v>
      </c>
      <c r="P570" t="s">
        <v>13196</v>
      </c>
      <c r="Q570" t="s">
        <v>13197</v>
      </c>
      <c r="R570" t="s">
        <v>13198</v>
      </c>
      <c r="S570" t="s">
        <v>13199</v>
      </c>
      <c r="T570" t="s">
        <v>13200</v>
      </c>
      <c r="U570" t="s">
        <v>13201</v>
      </c>
      <c r="V570" t="s">
        <v>13202</v>
      </c>
      <c r="W570" t="s">
        <v>13203</v>
      </c>
      <c r="X570" t="s">
        <v>13204</v>
      </c>
      <c r="Y570" t="s">
        <v>13205</v>
      </c>
    </row>
    <row r="571" spans="1:25" x14ac:dyDescent="0.3">
      <c r="A571">
        <v>28500</v>
      </c>
      <c r="B571" t="s">
        <v>13206</v>
      </c>
      <c r="C571" t="s">
        <v>13207</v>
      </c>
      <c r="D571" t="s">
        <v>13208</v>
      </c>
      <c r="E571" t="s">
        <v>13209</v>
      </c>
      <c r="F571" t="s">
        <v>13210</v>
      </c>
      <c r="G571" t="s">
        <v>13211</v>
      </c>
      <c r="H571" t="s">
        <v>13212</v>
      </c>
      <c r="I571" t="s">
        <v>13213</v>
      </c>
      <c r="J571" t="s">
        <v>13214</v>
      </c>
      <c r="K571" t="s">
        <v>13215</v>
      </c>
      <c r="L571" t="s">
        <v>13216</v>
      </c>
      <c r="M571" t="s">
        <v>13217</v>
      </c>
      <c r="N571" t="s">
        <v>13218</v>
      </c>
      <c r="O571" t="s">
        <v>13219</v>
      </c>
      <c r="P571">
        <f>-581.19098919387 -0.325696279050717 -476.844549762385</f>
        <v>-1058.3612352353057</v>
      </c>
      <c r="Q571" t="s">
        <v>13220</v>
      </c>
      <c r="R571" t="s">
        <v>13221</v>
      </c>
      <c r="S571" t="s">
        <v>13222</v>
      </c>
      <c r="T571" t="s">
        <v>13223</v>
      </c>
      <c r="U571" t="s">
        <v>13224</v>
      </c>
      <c r="V571" t="s">
        <v>13225</v>
      </c>
      <c r="W571" t="s">
        <v>13226</v>
      </c>
      <c r="X571" t="s">
        <v>13227</v>
      </c>
      <c r="Y571" t="s">
        <v>13228</v>
      </c>
    </row>
    <row r="572" spans="1:25" x14ac:dyDescent="0.3">
      <c r="A572">
        <v>28550</v>
      </c>
      <c r="B572" t="s">
        <v>13229</v>
      </c>
      <c r="C572" t="s">
        <v>13230</v>
      </c>
      <c r="D572" t="s">
        <v>13231</v>
      </c>
      <c r="E572" t="s">
        <v>13232</v>
      </c>
      <c r="F572" t="s">
        <v>13233</v>
      </c>
      <c r="G572" t="s">
        <v>13234</v>
      </c>
      <c r="H572" t="s">
        <v>13235</v>
      </c>
      <c r="I572" t="s">
        <v>13236</v>
      </c>
      <c r="J572" t="s">
        <v>13237</v>
      </c>
      <c r="K572" t="s">
        <v>13238</v>
      </c>
      <c r="L572" t="s">
        <v>13239</v>
      </c>
      <c r="M572" t="s">
        <v>13240</v>
      </c>
      <c r="N572" t="s">
        <v>13241</v>
      </c>
      <c r="O572" t="s">
        <v>13242</v>
      </c>
      <c r="P572">
        <f>-578.709079667523 -0.41422374107033 -477.868319250581</f>
        <v>-1056.9916226591745</v>
      </c>
      <c r="Q572" t="s">
        <v>13243</v>
      </c>
      <c r="R572" t="s">
        <v>13244</v>
      </c>
      <c r="S572" t="s">
        <v>13245</v>
      </c>
      <c r="T572" t="s">
        <v>13246</v>
      </c>
      <c r="U572" t="s">
        <v>13247</v>
      </c>
      <c r="V572" t="s">
        <v>13248</v>
      </c>
      <c r="W572" t="s">
        <v>13249</v>
      </c>
      <c r="X572" t="s">
        <v>13250</v>
      </c>
      <c r="Y572" t="s">
        <v>13251</v>
      </c>
    </row>
    <row r="573" spans="1:25" x14ac:dyDescent="0.3">
      <c r="A573">
        <v>28600</v>
      </c>
      <c r="B573" t="s">
        <v>13252</v>
      </c>
      <c r="C573" t="s">
        <v>13253</v>
      </c>
      <c r="D573" t="s">
        <v>13254</v>
      </c>
      <c r="E573" t="s">
        <v>13255</v>
      </c>
      <c r="F573" t="s">
        <v>13256</v>
      </c>
      <c r="G573" t="s">
        <v>13257</v>
      </c>
      <c r="H573" t="s">
        <v>13258</v>
      </c>
      <c r="I573" t="s">
        <v>13259</v>
      </c>
      <c r="J573" t="s">
        <v>13260</v>
      </c>
      <c r="K573" t="s">
        <v>13261</v>
      </c>
      <c r="L573" t="s">
        <v>13262</v>
      </c>
      <c r="M573" t="s">
        <v>13263</v>
      </c>
      <c r="N573" t="s">
        <v>13264</v>
      </c>
      <c r="O573" t="s">
        <v>13265</v>
      </c>
      <c r="P573">
        <f>-577.585370052243 -0.698690015524086 -478.290397897274</f>
        <v>-1056.5744579650411</v>
      </c>
      <c r="Q573" t="s">
        <v>13266</v>
      </c>
      <c r="R573" t="s">
        <v>13267</v>
      </c>
      <c r="S573" t="s">
        <v>13268</v>
      </c>
      <c r="T573" t="s">
        <v>13269</v>
      </c>
      <c r="U573" t="s">
        <v>13270</v>
      </c>
      <c r="V573" t="s">
        <v>13271</v>
      </c>
      <c r="W573" t="s">
        <v>13272</v>
      </c>
      <c r="X573" t="s">
        <v>13273</v>
      </c>
      <c r="Y573" t="s">
        <v>13274</v>
      </c>
    </row>
    <row r="574" spans="1:25" x14ac:dyDescent="0.3">
      <c r="A574">
        <v>28650</v>
      </c>
      <c r="B574" t="s">
        <v>13275</v>
      </c>
      <c r="C574" t="s">
        <v>13276</v>
      </c>
      <c r="D574" t="s">
        <v>13277</v>
      </c>
      <c r="E574" t="s">
        <v>13278</v>
      </c>
      <c r="F574" t="s">
        <v>13279</v>
      </c>
      <c r="G574" t="s">
        <v>13280</v>
      </c>
      <c r="H574" t="s">
        <v>13281</v>
      </c>
      <c r="I574" t="s">
        <v>13282</v>
      </c>
      <c r="J574" t="s">
        <v>13283</v>
      </c>
      <c r="K574" t="s">
        <v>13284</v>
      </c>
      <c r="L574" t="s">
        <v>13285</v>
      </c>
      <c r="M574" t="s">
        <v>13286</v>
      </c>
      <c r="N574" t="s">
        <v>13287</v>
      </c>
      <c r="O574" t="s">
        <v>13288</v>
      </c>
      <c r="P574">
        <f>-574.080532740658 -1.62193246063283 -478.828713212881</f>
        <v>-1054.5311784141718</v>
      </c>
      <c r="Q574" t="s">
        <v>13289</v>
      </c>
      <c r="R574" t="s">
        <v>13290</v>
      </c>
      <c r="S574" t="s">
        <v>13291</v>
      </c>
      <c r="T574" t="s">
        <v>13292</v>
      </c>
      <c r="U574" t="s">
        <v>13293</v>
      </c>
      <c r="V574" t="s">
        <v>13294</v>
      </c>
      <c r="W574" t="s">
        <v>13295</v>
      </c>
      <c r="X574" t="s">
        <v>13296</v>
      </c>
      <c r="Y574" t="s">
        <v>13297</v>
      </c>
    </row>
    <row r="575" spans="1:25" x14ac:dyDescent="0.3">
      <c r="A575">
        <v>28700</v>
      </c>
      <c r="B575" t="s">
        <v>13298</v>
      </c>
      <c r="C575" t="s">
        <v>13299</v>
      </c>
      <c r="D575" t="s">
        <v>13300</v>
      </c>
      <c r="E575" t="s">
        <v>13301</v>
      </c>
      <c r="F575" t="s">
        <v>13302</v>
      </c>
      <c r="G575" t="s">
        <v>13303</v>
      </c>
      <c r="H575" t="s">
        <v>13304</v>
      </c>
      <c r="I575" t="s">
        <v>13305</v>
      </c>
      <c r="J575" t="s">
        <v>13306</v>
      </c>
      <c r="K575" t="s">
        <v>13307</v>
      </c>
      <c r="L575" t="s">
        <v>13308</v>
      </c>
      <c r="M575" t="s">
        <v>13309</v>
      </c>
      <c r="N575" t="s">
        <v>13310</v>
      </c>
      <c r="O575" t="s">
        <v>13311</v>
      </c>
      <c r="P575">
        <f>-572.767462817626 -1.67264785940571 -478.99822620001</f>
        <v>-1053.4383368770418</v>
      </c>
      <c r="Q575" t="s">
        <v>13312</v>
      </c>
      <c r="R575" t="s">
        <v>13313</v>
      </c>
      <c r="S575" t="s">
        <v>13314</v>
      </c>
      <c r="T575" t="s">
        <v>13315</v>
      </c>
      <c r="U575" t="s">
        <v>13316</v>
      </c>
      <c r="V575" t="s">
        <v>13317</v>
      </c>
      <c r="W575" t="s">
        <v>13318</v>
      </c>
      <c r="X575" t="s">
        <v>13319</v>
      </c>
      <c r="Y575" t="s">
        <v>13320</v>
      </c>
    </row>
    <row r="576" spans="1:25" x14ac:dyDescent="0.3">
      <c r="A576">
        <v>28750</v>
      </c>
      <c r="B576" t="s">
        <v>13321</v>
      </c>
      <c r="C576" t="s">
        <v>13322</v>
      </c>
      <c r="D576" t="s">
        <v>13323</v>
      </c>
      <c r="E576" t="s">
        <v>13324</v>
      </c>
      <c r="F576" t="s">
        <v>13325</v>
      </c>
      <c r="G576" t="s">
        <v>13326</v>
      </c>
      <c r="H576" t="s">
        <v>13327</v>
      </c>
      <c r="I576" t="s">
        <v>13328</v>
      </c>
      <c r="J576" t="s">
        <v>13329</v>
      </c>
      <c r="K576" t="s">
        <v>13330</v>
      </c>
      <c r="L576" t="s">
        <v>13331</v>
      </c>
      <c r="M576" t="s">
        <v>13332</v>
      </c>
      <c r="N576" t="s">
        <v>13333</v>
      </c>
      <c r="O576" t="s">
        <v>13334</v>
      </c>
      <c r="P576">
        <f>-571.268103602187 -3.01593564929652 -479.781212789767</f>
        <v>-1054.0652520412505</v>
      </c>
      <c r="Q576" t="s">
        <v>13335</v>
      </c>
      <c r="R576" t="s">
        <v>13336</v>
      </c>
      <c r="S576" t="s">
        <v>13337</v>
      </c>
      <c r="T576" t="s">
        <v>13338</v>
      </c>
      <c r="U576" t="s">
        <v>13339</v>
      </c>
      <c r="V576" t="s">
        <v>13340</v>
      </c>
      <c r="W576" t="s">
        <v>13341</v>
      </c>
      <c r="X576" t="s">
        <v>13342</v>
      </c>
      <c r="Y576" t="s">
        <v>13343</v>
      </c>
    </row>
    <row r="577" spans="1:25" x14ac:dyDescent="0.3">
      <c r="A577">
        <v>28800</v>
      </c>
      <c r="B577" t="s">
        <v>13344</v>
      </c>
      <c r="C577" t="s">
        <v>13345</v>
      </c>
      <c r="D577" t="s">
        <v>13346</v>
      </c>
      <c r="E577" t="s">
        <v>13347</v>
      </c>
      <c r="F577" t="s">
        <v>13348</v>
      </c>
      <c r="G577" t="s">
        <v>13349</v>
      </c>
      <c r="H577" t="s">
        <v>13350</v>
      </c>
      <c r="I577" t="s">
        <v>13351</v>
      </c>
      <c r="J577" t="s">
        <v>13352</v>
      </c>
      <c r="K577" t="s">
        <v>13353</v>
      </c>
      <c r="L577" t="s">
        <v>13354</v>
      </c>
      <c r="M577" t="s">
        <v>13355</v>
      </c>
      <c r="N577" t="s">
        <v>13356</v>
      </c>
      <c r="O577" t="s">
        <v>13357</v>
      </c>
      <c r="P577">
        <f>-571.249742753584 -3.20500797020162 -480.158932631387</f>
        <v>-1054.6136833551725</v>
      </c>
      <c r="Q577" t="s">
        <v>13358</v>
      </c>
      <c r="R577" t="s">
        <v>13359</v>
      </c>
      <c r="S577" t="s">
        <v>13360</v>
      </c>
      <c r="T577" t="s">
        <v>13361</v>
      </c>
      <c r="U577" t="s">
        <v>13362</v>
      </c>
      <c r="V577" t="s">
        <v>13363</v>
      </c>
      <c r="W577" t="s">
        <v>13364</v>
      </c>
      <c r="X577" t="s">
        <v>13365</v>
      </c>
      <c r="Y577" t="s">
        <v>13366</v>
      </c>
    </row>
    <row r="578" spans="1:25" x14ac:dyDescent="0.3">
      <c r="A578">
        <v>28850</v>
      </c>
      <c r="B578" t="s">
        <v>13367</v>
      </c>
      <c r="C578" t="s">
        <v>13368</v>
      </c>
      <c r="D578" t="s">
        <v>13369</v>
      </c>
      <c r="E578" t="s">
        <v>13370</v>
      </c>
      <c r="F578" t="s">
        <v>13371</v>
      </c>
      <c r="G578" t="s">
        <v>13372</v>
      </c>
      <c r="H578" t="s">
        <v>13373</v>
      </c>
      <c r="I578" t="s">
        <v>13374</v>
      </c>
      <c r="J578" t="s">
        <v>13375</v>
      </c>
      <c r="K578" t="s">
        <v>13376</v>
      </c>
      <c r="L578" t="s">
        <v>13377</v>
      </c>
      <c r="M578" t="s">
        <v>13378</v>
      </c>
      <c r="N578" t="s">
        <v>13379</v>
      </c>
      <c r="O578" t="s">
        <v>13380</v>
      </c>
      <c r="P578">
        <f>-571.711244266102 -3.89244552219958 -480.87572834881</f>
        <v>-1056.4794181371117</v>
      </c>
      <c r="Q578" t="s">
        <v>13381</v>
      </c>
      <c r="R578" t="s">
        <v>13382</v>
      </c>
      <c r="S578" t="s">
        <v>13383</v>
      </c>
      <c r="T578" t="s">
        <v>13384</v>
      </c>
      <c r="U578" t="s">
        <v>13385</v>
      </c>
      <c r="V578" t="s">
        <v>13386</v>
      </c>
      <c r="W578" t="s">
        <v>13387</v>
      </c>
      <c r="X578" t="s">
        <v>13388</v>
      </c>
      <c r="Y578" t="s">
        <v>13389</v>
      </c>
    </row>
    <row r="579" spans="1:25" x14ac:dyDescent="0.3">
      <c r="A579">
        <v>28900</v>
      </c>
      <c r="B579" t="s">
        <v>13390</v>
      </c>
      <c r="C579" t="s">
        <v>13391</v>
      </c>
      <c r="D579" t="s">
        <v>13392</v>
      </c>
      <c r="E579" t="s">
        <v>13393</v>
      </c>
      <c r="F579" t="s">
        <v>13394</v>
      </c>
      <c r="G579" t="s">
        <v>13395</v>
      </c>
      <c r="H579" t="s">
        <v>13396</v>
      </c>
      <c r="I579" t="s">
        <v>13397</v>
      </c>
      <c r="J579" t="s">
        <v>13398</v>
      </c>
      <c r="K579" t="s">
        <v>13399</v>
      </c>
      <c r="L579" t="s">
        <v>13400</v>
      </c>
      <c r="M579" t="s">
        <v>13401</v>
      </c>
      <c r="N579" t="s">
        <v>13402</v>
      </c>
      <c r="O579" t="s">
        <v>13403</v>
      </c>
      <c r="P579">
        <f>-572.273366840329 -4.09111191861427 -481.066886253405</f>
        <v>-1057.4313650123484</v>
      </c>
      <c r="Q579" t="s">
        <v>13404</v>
      </c>
      <c r="R579" t="s">
        <v>13405</v>
      </c>
      <c r="S579" t="s">
        <v>13406</v>
      </c>
      <c r="T579" t="s">
        <v>13407</v>
      </c>
      <c r="U579" t="s">
        <v>13408</v>
      </c>
      <c r="V579" t="s">
        <v>13409</v>
      </c>
      <c r="W579" t="s">
        <v>13410</v>
      </c>
      <c r="X579" t="s">
        <v>13411</v>
      </c>
      <c r="Y579" t="s">
        <v>13412</v>
      </c>
    </row>
    <row r="580" spans="1:25" x14ac:dyDescent="0.3">
      <c r="A580">
        <v>28950</v>
      </c>
      <c r="B580" t="s">
        <v>13413</v>
      </c>
      <c r="C580" t="s">
        <v>13414</v>
      </c>
      <c r="D580" t="s">
        <v>13415</v>
      </c>
      <c r="E580" t="s">
        <v>13416</v>
      </c>
      <c r="F580" t="s">
        <v>13417</v>
      </c>
      <c r="G580" t="s">
        <v>13418</v>
      </c>
      <c r="H580" t="s">
        <v>13419</v>
      </c>
      <c r="I580" t="s">
        <v>13420</v>
      </c>
      <c r="J580" t="s">
        <v>13421</v>
      </c>
      <c r="K580" t="s">
        <v>13422</v>
      </c>
      <c r="L580" t="s">
        <v>13423</v>
      </c>
      <c r="M580" t="s">
        <v>13424</v>
      </c>
      <c r="N580" t="s">
        <v>13425</v>
      </c>
      <c r="O580" t="s">
        <v>13426</v>
      </c>
      <c r="P580">
        <f>-573.542418888352 -5.19170437223407 -481.148400988497</f>
        <v>-1059.882524249083</v>
      </c>
      <c r="Q580" t="s">
        <v>13427</v>
      </c>
      <c r="R580" t="s">
        <v>13428</v>
      </c>
      <c r="S580" t="s">
        <v>13429</v>
      </c>
      <c r="T580" t="s">
        <v>13430</v>
      </c>
      <c r="U580" t="s">
        <v>13431</v>
      </c>
      <c r="V580" t="s">
        <v>13432</v>
      </c>
      <c r="W580" t="s">
        <v>13433</v>
      </c>
      <c r="X580" t="s">
        <v>13434</v>
      </c>
      <c r="Y580" t="s">
        <v>13435</v>
      </c>
    </row>
    <row r="581" spans="1:25" x14ac:dyDescent="0.3">
      <c r="A581">
        <v>29000</v>
      </c>
      <c r="B581" t="s">
        <v>13436</v>
      </c>
      <c r="C581" t="s">
        <v>13437</v>
      </c>
      <c r="D581" t="s">
        <v>13438</v>
      </c>
      <c r="E581" t="s">
        <v>13439</v>
      </c>
      <c r="F581" t="s">
        <v>13440</v>
      </c>
      <c r="G581" t="s">
        <v>13441</v>
      </c>
      <c r="H581" t="s">
        <v>13442</v>
      </c>
      <c r="I581" t="s">
        <v>13443</v>
      </c>
      <c r="J581" t="s">
        <v>13444</v>
      </c>
      <c r="K581" t="s">
        <v>13445</v>
      </c>
      <c r="L581" t="s">
        <v>13446</v>
      </c>
      <c r="M581" t="s">
        <v>13447</v>
      </c>
      <c r="N581" t="s">
        <v>13448</v>
      </c>
      <c r="O581" t="s">
        <v>13449</v>
      </c>
      <c r="P581">
        <f>-573.969746936135 -5.41111898406973 -480.978807316466</f>
        <v>-1060.3596732366707</v>
      </c>
      <c r="Q581" t="s">
        <v>13450</v>
      </c>
      <c r="R581" t="s">
        <v>13451</v>
      </c>
      <c r="S581" t="s">
        <v>13452</v>
      </c>
      <c r="T581" t="s">
        <v>13453</v>
      </c>
      <c r="U581" t="s">
        <v>13454</v>
      </c>
      <c r="V581" t="s">
        <v>13455</v>
      </c>
      <c r="W581" t="s">
        <v>13456</v>
      </c>
      <c r="X581" t="s">
        <v>13457</v>
      </c>
      <c r="Y581" t="s">
        <v>13458</v>
      </c>
    </row>
    <row r="582" spans="1:25" x14ac:dyDescent="0.3">
      <c r="A582">
        <v>29050</v>
      </c>
      <c r="B582" t="s">
        <v>13459</v>
      </c>
      <c r="C582" t="s">
        <v>13460</v>
      </c>
      <c r="D582" t="s">
        <v>13461</v>
      </c>
      <c r="E582" t="s">
        <v>13462</v>
      </c>
      <c r="F582" t="s">
        <v>13463</v>
      </c>
      <c r="G582" t="s">
        <v>13464</v>
      </c>
      <c r="H582" t="s">
        <v>13465</v>
      </c>
      <c r="I582" t="s">
        <v>13466</v>
      </c>
      <c r="J582" t="s">
        <v>13467</v>
      </c>
      <c r="K582" t="s">
        <v>13468</v>
      </c>
      <c r="L582" t="s">
        <v>13469</v>
      </c>
      <c r="M582" t="s">
        <v>13470</v>
      </c>
      <c r="N582" t="s">
        <v>13471</v>
      </c>
      <c r="O582" t="s">
        <v>13472</v>
      </c>
      <c r="P582">
        <f>-575.682418560739 -6.35888545707161 -480.481142401295</f>
        <v>-1062.5224464191058</v>
      </c>
      <c r="Q582" t="s">
        <v>13473</v>
      </c>
      <c r="R582" t="s">
        <v>13474</v>
      </c>
      <c r="S582" t="s">
        <v>13475</v>
      </c>
      <c r="T582" t="s">
        <v>13476</v>
      </c>
      <c r="U582" t="s">
        <v>13477</v>
      </c>
      <c r="V582" t="s">
        <v>13478</v>
      </c>
      <c r="W582" t="s">
        <v>13479</v>
      </c>
      <c r="X582" t="s">
        <v>13480</v>
      </c>
      <c r="Y582" t="s">
        <v>13481</v>
      </c>
    </row>
    <row r="583" spans="1:25" x14ac:dyDescent="0.3">
      <c r="A583">
        <v>29100</v>
      </c>
      <c r="B583" t="s">
        <v>13482</v>
      </c>
      <c r="C583" t="s">
        <v>13483</v>
      </c>
      <c r="D583" t="s">
        <v>13484</v>
      </c>
      <c r="E583" t="s">
        <v>13485</v>
      </c>
      <c r="F583" t="s">
        <v>13486</v>
      </c>
      <c r="G583" t="s">
        <v>13487</v>
      </c>
      <c r="H583" t="s">
        <v>13488</v>
      </c>
      <c r="I583" t="s">
        <v>13489</v>
      </c>
      <c r="J583" t="s">
        <v>13490</v>
      </c>
      <c r="K583" t="s">
        <v>13491</v>
      </c>
      <c r="L583" t="s">
        <v>13492</v>
      </c>
      <c r="M583" t="s">
        <v>13493</v>
      </c>
      <c r="N583" t="s">
        <v>13494</v>
      </c>
      <c r="O583" t="s">
        <v>13495</v>
      </c>
      <c r="P583">
        <f>-576.758177118095 -6.78289871532119 -480.113575720295</f>
        <v>-1063.6546515537111</v>
      </c>
      <c r="Q583" t="s">
        <v>13496</v>
      </c>
      <c r="R583" t="s">
        <v>13497</v>
      </c>
      <c r="S583" t="s">
        <v>13498</v>
      </c>
      <c r="T583" t="s">
        <v>13499</v>
      </c>
      <c r="U583" t="s">
        <v>13500</v>
      </c>
      <c r="V583" t="s">
        <v>13501</v>
      </c>
      <c r="W583" t="s">
        <v>13502</v>
      </c>
      <c r="X583" t="s">
        <v>13503</v>
      </c>
      <c r="Y583" t="s">
        <v>13504</v>
      </c>
    </row>
    <row r="584" spans="1:25" x14ac:dyDescent="0.3">
      <c r="A584">
        <v>29150</v>
      </c>
      <c r="B584" t="s">
        <v>13505</v>
      </c>
      <c r="C584" t="s">
        <v>13506</v>
      </c>
      <c r="D584" t="s">
        <v>13507</v>
      </c>
      <c r="E584" t="s">
        <v>13508</v>
      </c>
      <c r="F584" t="s">
        <v>13509</v>
      </c>
      <c r="G584" t="s">
        <v>13510</v>
      </c>
      <c r="H584" t="s">
        <v>13511</v>
      </c>
      <c r="I584" t="s">
        <v>13512</v>
      </c>
      <c r="J584" t="s">
        <v>13513</v>
      </c>
      <c r="K584" t="s">
        <v>13514</v>
      </c>
      <c r="L584" t="s">
        <v>13515</v>
      </c>
      <c r="M584" t="s">
        <v>13516</v>
      </c>
      <c r="N584" t="s">
        <v>13517</v>
      </c>
      <c r="O584" t="s">
        <v>13518</v>
      </c>
      <c r="P584">
        <f>-580.177558722072 -8.74411132462512 -478.684818241132</f>
        <v>-1067.6064882878291</v>
      </c>
      <c r="Q584" t="s">
        <v>13519</v>
      </c>
      <c r="R584" t="s">
        <v>13520</v>
      </c>
      <c r="S584" t="s">
        <v>13521</v>
      </c>
      <c r="T584" t="s">
        <v>13522</v>
      </c>
      <c r="U584" t="s">
        <v>13523</v>
      </c>
      <c r="V584" t="s">
        <v>13524</v>
      </c>
      <c r="W584" t="s">
        <v>13525</v>
      </c>
      <c r="X584" t="s">
        <v>13526</v>
      </c>
      <c r="Y584" t="s">
        <v>13527</v>
      </c>
    </row>
    <row r="585" spans="1:25" x14ac:dyDescent="0.3">
      <c r="A585">
        <v>29200</v>
      </c>
      <c r="B585" t="s">
        <v>13528</v>
      </c>
      <c r="C585" t="s">
        <v>13529</v>
      </c>
      <c r="D585" t="s">
        <v>13530</v>
      </c>
      <c r="E585" t="s">
        <v>13531</v>
      </c>
      <c r="F585" t="s">
        <v>13532</v>
      </c>
      <c r="G585" t="s">
        <v>13533</v>
      </c>
      <c r="H585" t="s">
        <v>13534</v>
      </c>
      <c r="I585" t="s">
        <v>13535</v>
      </c>
      <c r="J585" t="s">
        <v>13536</v>
      </c>
      <c r="K585" t="s">
        <v>13537</v>
      </c>
      <c r="L585" t="s">
        <v>13538</v>
      </c>
      <c r="M585" t="s">
        <v>13539</v>
      </c>
      <c r="N585" t="s">
        <v>13540</v>
      </c>
      <c r="O585" t="s">
        <v>13541</v>
      </c>
      <c r="P585">
        <f>-580.785515175146 -10.9026710478604 -477.596165006142</f>
        <v>-1069.2843512291483</v>
      </c>
      <c r="Q585" t="s">
        <v>13542</v>
      </c>
      <c r="R585" t="s">
        <v>13543</v>
      </c>
      <c r="S585" t="s">
        <v>13544</v>
      </c>
      <c r="T585" t="s">
        <v>13545</v>
      </c>
      <c r="U585" t="s">
        <v>13546</v>
      </c>
      <c r="V585" t="s">
        <v>13547</v>
      </c>
      <c r="W585" t="s">
        <v>13548</v>
      </c>
      <c r="X585" t="s">
        <v>13549</v>
      </c>
      <c r="Y585" t="s">
        <v>13550</v>
      </c>
    </row>
    <row r="586" spans="1:25" x14ac:dyDescent="0.3">
      <c r="A586">
        <v>29250</v>
      </c>
      <c r="B586" t="s">
        <v>13551</v>
      </c>
      <c r="C586" t="s">
        <v>13552</v>
      </c>
      <c r="D586" t="s">
        <v>13553</v>
      </c>
      <c r="E586" t="s">
        <v>13554</v>
      </c>
      <c r="F586" t="s">
        <v>13555</v>
      </c>
      <c r="G586" t="s">
        <v>13556</v>
      </c>
      <c r="H586" t="s">
        <v>13557</v>
      </c>
      <c r="I586" t="s">
        <v>13558</v>
      </c>
      <c r="J586" t="s">
        <v>13559</v>
      </c>
      <c r="K586" t="s">
        <v>13560</v>
      </c>
      <c r="L586" t="s">
        <v>13561</v>
      </c>
      <c r="M586" t="s">
        <v>13562</v>
      </c>
      <c r="N586" t="s">
        <v>13563</v>
      </c>
      <c r="O586" t="s">
        <v>13564</v>
      </c>
      <c r="P586">
        <f>-584.26844047896 -20.6162738371371 -474.750090638437</f>
        <v>-1079.634804954534</v>
      </c>
      <c r="Q586" t="s">
        <v>13565</v>
      </c>
      <c r="R586" t="s">
        <v>13566</v>
      </c>
      <c r="S586" t="s">
        <v>13567</v>
      </c>
      <c r="T586" t="s">
        <v>13568</v>
      </c>
      <c r="U586" t="s">
        <v>13569</v>
      </c>
      <c r="V586" t="s">
        <v>13570</v>
      </c>
      <c r="W586" t="s">
        <v>13571</v>
      </c>
      <c r="X586" t="s">
        <v>13572</v>
      </c>
      <c r="Y586" t="s">
        <v>13573</v>
      </c>
    </row>
    <row r="587" spans="1:25" x14ac:dyDescent="0.3">
      <c r="A587">
        <v>29300</v>
      </c>
      <c r="B587" t="s">
        <v>13574</v>
      </c>
      <c r="C587" t="s">
        <v>13575</v>
      </c>
      <c r="D587" t="s">
        <v>13576</v>
      </c>
      <c r="E587" t="s">
        <v>13577</v>
      </c>
      <c r="F587" t="s">
        <v>13578</v>
      </c>
      <c r="G587" t="s">
        <v>13579</v>
      </c>
      <c r="H587" t="s">
        <v>13580</v>
      </c>
      <c r="I587" t="s">
        <v>13581</v>
      </c>
      <c r="J587" t="s">
        <v>13582</v>
      </c>
      <c r="K587" t="s">
        <v>13583</v>
      </c>
      <c r="L587" t="s">
        <v>13584</v>
      </c>
      <c r="M587" t="s">
        <v>13585</v>
      </c>
      <c r="N587" t="s">
        <v>13586</v>
      </c>
      <c r="O587" t="s">
        <v>13587</v>
      </c>
      <c r="P587">
        <f>-588.140853024699 -25.927603697178 -472.965550593868</f>
        <v>-1087.0340073157449</v>
      </c>
      <c r="Q587" t="s">
        <v>13588</v>
      </c>
      <c r="R587" t="s">
        <v>13589</v>
      </c>
      <c r="S587" t="s">
        <v>13590</v>
      </c>
      <c r="T587" t="s">
        <v>13591</v>
      </c>
      <c r="U587" t="s">
        <v>13592</v>
      </c>
      <c r="V587" t="s">
        <v>13593</v>
      </c>
      <c r="W587" t="s">
        <v>13594</v>
      </c>
      <c r="X587" t="s">
        <v>13595</v>
      </c>
      <c r="Y587" t="s">
        <v>13596</v>
      </c>
    </row>
    <row r="588" spans="1:25" x14ac:dyDescent="0.3">
      <c r="A588">
        <v>29350</v>
      </c>
      <c r="B588" t="s">
        <v>13597</v>
      </c>
      <c r="C588" t="s">
        <v>13598</v>
      </c>
      <c r="D588" t="s">
        <v>13599</v>
      </c>
      <c r="E588" t="s">
        <v>13600</v>
      </c>
      <c r="F588" t="s">
        <v>13601</v>
      </c>
      <c r="G588" t="s">
        <v>13602</v>
      </c>
      <c r="H588" t="s">
        <v>13603</v>
      </c>
      <c r="I588" t="s">
        <v>13604</v>
      </c>
      <c r="J588" t="s">
        <v>13605</v>
      </c>
      <c r="K588" t="s">
        <v>13606</v>
      </c>
      <c r="L588" t="s">
        <v>13607</v>
      </c>
      <c r="M588" t="s">
        <v>13608</v>
      </c>
      <c r="N588" t="s">
        <v>13609</v>
      </c>
      <c r="O588" t="s">
        <v>13610</v>
      </c>
      <c r="P588">
        <f>-599.56068458831 -33.9234968013255 -467.369585882242</f>
        <v>-1100.8537672718776</v>
      </c>
      <c r="Q588" t="s">
        <v>13611</v>
      </c>
      <c r="R588" t="s">
        <v>13612</v>
      </c>
      <c r="S588" t="s">
        <v>13613</v>
      </c>
      <c r="T588" t="s">
        <v>13614</v>
      </c>
      <c r="U588" t="s">
        <v>13615</v>
      </c>
      <c r="V588" t="s">
        <v>13616</v>
      </c>
      <c r="W588" t="s">
        <v>13617</v>
      </c>
      <c r="X588" t="s">
        <v>13618</v>
      </c>
      <c r="Y588" t="s">
        <v>13619</v>
      </c>
    </row>
    <row r="589" spans="1:25" x14ac:dyDescent="0.3">
      <c r="A589">
        <v>29400</v>
      </c>
      <c r="B589" t="s">
        <v>13620</v>
      </c>
      <c r="C589" t="s">
        <v>13621</v>
      </c>
      <c r="D589" t="s">
        <v>13622</v>
      </c>
      <c r="E589" t="s">
        <v>13623</v>
      </c>
      <c r="F589" t="s">
        <v>13624</v>
      </c>
      <c r="G589" t="s">
        <v>13625</v>
      </c>
      <c r="H589" t="s">
        <v>13626</v>
      </c>
      <c r="I589" t="s">
        <v>13627</v>
      </c>
      <c r="J589" t="s">
        <v>13628</v>
      </c>
      <c r="K589" t="s">
        <v>13629</v>
      </c>
      <c r="L589" t="s">
        <v>13630</v>
      </c>
      <c r="M589" t="s">
        <v>13631</v>
      </c>
      <c r="N589" t="s">
        <v>13632</v>
      </c>
      <c r="O589" t="s">
        <v>13633</v>
      </c>
      <c r="P589">
        <f>-605.152209118387 -36.8846558060651 -463.530804819719</f>
        <v>-1105.5676697441711</v>
      </c>
      <c r="Q589" t="s">
        <v>13634</v>
      </c>
      <c r="R589" t="s">
        <v>13635</v>
      </c>
      <c r="S589" t="s">
        <v>13636</v>
      </c>
      <c r="T589" t="s">
        <v>13637</v>
      </c>
      <c r="U589" t="s">
        <v>13638</v>
      </c>
      <c r="V589" t="s">
        <v>13639</v>
      </c>
      <c r="W589" t="s">
        <v>13640</v>
      </c>
      <c r="X589" t="s">
        <v>13641</v>
      </c>
      <c r="Y589" t="s">
        <v>13642</v>
      </c>
    </row>
    <row r="590" spans="1:25" x14ac:dyDescent="0.3">
      <c r="A590">
        <v>29450</v>
      </c>
      <c r="B590" t="s">
        <v>13643</v>
      </c>
      <c r="C590" t="s">
        <v>13644</v>
      </c>
      <c r="D590" t="s">
        <v>13645</v>
      </c>
      <c r="E590" t="s">
        <v>13646</v>
      </c>
      <c r="F590" t="s">
        <v>13647</v>
      </c>
      <c r="G590" t="s">
        <v>13648</v>
      </c>
      <c r="H590" t="s">
        <v>13649</v>
      </c>
      <c r="I590" t="s">
        <v>13650</v>
      </c>
      <c r="J590" t="s">
        <v>13651</v>
      </c>
      <c r="K590" t="s">
        <v>13652</v>
      </c>
      <c r="L590" t="s">
        <v>13653</v>
      </c>
      <c r="M590" t="s">
        <v>13654</v>
      </c>
      <c r="N590" t="s">
        <v>13655</v>
      </c>
      <c r="O590" t="s">
        <v>13656</v>
      </c>
      <c r="P590">
        <f>-618.559421101653 -43.4880083826466 -455.206273991649</f>
        <v>-1117.2537034759487</v>
      </c>
      <c r="Q590" t="s">
        <v>13657</v>
      </c>
      <c r="R590" t="s">
        <v>13658</v>
      </c>
      <c r="S590" t="s">
        <v>13659</v>
      </c>
      <c r="T590" t="s">
        <v>13660</v>
      </c>
      <c r="U590" t="s">
        <v>13661</v>
      </c>
      <c r="V590" t="s">
        <v>13662</v>
      </c>
      <c r="W590" t="s">
        <v>13663</v>
      </c>
      <c r="X590" t="s">
        <v>13664</v>
      </c>
      <c r="Y590" t="s">
        <v>13665</v>
      </c>
    </row>
    <row r="591" spans="1:25" x14ac:dyDescent="0.3">
      <c r="A591">
        <v>29500</v>
      </c>
      <c r="B591" t="s">
        <v>13666</v>
      </c>
      <c r="C591" t="s">
        <v>13667</v>
      </c>
      <c r="D591" t="s">
        <v>13668</v>
      </c>
      <c r="E591" t="s">
        <v>13669</v>
      </c>
      <c r="F591" t="s">
        <v>13670</v>
      </c>
      <c r="G591" t="s">
        <v>13671</v>
      </c>
      <c r="H591" t="s">
        <v>13672</v>
      </c>
      <c r="I591" t="s">
        <v>13673</v>
      </c>
      <c r="J591" t="s">
        <v>13674</v>
      </c>
      <c r="K591" t="s">
        <v>13675</v>
      </c>
      <c r="L591" t="s">
        <v>13676</v>
      </c>
      <c r="M591" t="s">
        <v>13677</v>
      </c>
      <c r="N591" t="s">
        <v>13678</v>
      </c>
      <c r="O591" t="s">
        <v>13679</v>
      </c>
      <c r="P591">
        <f>-623.596019962764 -45.946579465881 -450.616582364249</f>
        <v>-1120.1591817928938</v>
      </c>
      <c r="Q591" t="s">
        <v>13680</v>
      </c>
      <c r="R591" t="s">
        <v>13681</v>
      </c>
      <c r="S591" t="s">
        <v>13682</v>
      </c>
      <c r="T591" t="s">
        <v>13683</v>
      </c>
      <c r="U591" t="s">
        <v>13684</v>
      </c>
      <c r="V591" t="s">
        <v>13685</v>
      </c>
      <c r="W591" t="s">
        <v>13686</v>
      </c>
      <c r="X591" t="s">
        <v>13687</v>
      </c>
      <c r="Y591" t="s">
        <v>13688</v>
      </c>
    </row>
    <row r="592" spans="1:25" x14ac:dyDescent="0.3">
      <c r="A592">
        <v>29550</v>
      </c>
      <c r="B592" t="s">
        <v>13689</v>
      </c>
      <c r="C592" t="s">
        <v>13690</v>
      </c>
      <c r="D592" t="s">
        <v>13691</v>
      </c>
      <c r="E592" t="s">
        <v>13692</v>
      </c>
      <c r="F592" t="s">
        <v>13693</v>
      </c>
      <c r="G592" t="s">
        <v>13694</v>
      </c>
      <c r="H592" t="s">
        <v>13695</v>
      </c>
      <c r="I592" t="s">
        <v>13696</v>
      </c>
      <c r="J592" t="s">
        <v>13697</v>
      </c>
      <c r="K592" t="s">
        <v>13698</v>
      </c>
      <c r="L592" t="s">
        <v>13699</v>
      </c>
      <c r="M592" t="s">
        <v>13700</v>
      </c>
      <c r="N592" t="s">
        <v>13701</v>
      </c>
      <c r="O592">
        <f>-604.750086788614 -23.379477939824 -754.924729485115</f>
        <v>-1383.054294213553</v>
      </c>
      <c r="P592">
        <f>-627.310885083496 -55.263896065033 -440.821924619595</f>
        <v>-1123.3967057681241</v>
      </c>
      <c r="Q592" t="s">
        <v>13702</v>
      </c>
      <c r="R592" t="s">
        <v>13703</v>
      </c>
      <c r="S592" t="s">
        <v>13704</v>
      </c>
      <c r="T592" t="s">
        <v>13705</v>
      </c>
      <c r="U592" t="s">
        <v>13706</v>
      </c>
      <c r="V592" t="s">
        <v>13707</v>
      </c>
      <c r="W592" t="s">
        <v>13708</v>
      </c>
      <c r="X592" t="s">
        <v>13709</v>
      </c>
      <c r="Y592" t="s">
        <v>13710</v>
      </c>
    </row>
    <row r="593" spans="1:25" x14ac:dyDescent="0.3">
      <c r="A593">
        <v>29600</v>
      </c>
      <c r="B593" t="s">
        <v>13711</v>
      </c>
      <c r="C593" t="s">
        <v>13712</v>
      </c>
      <c r="D593" t="s">
        <v>13713</v>
      </c>
      <c r="E593" t="s">
        <v>13714</v>
      </c>
      <c r="F593" t="s">
        <v>13715</v>
      </c>
      <c r="G593" t="s">
        <v>13716</v>
      </c>
      <c r="H593" t="s">
        <v>13717</v>
      </c>
      <c r="I593" t="s">
        <v>13718</v>
      </c>
      <c r="J593" t="s">
        <v>13719</v>
      </c>
      <c r="K593" t="s">
        <v>13720</v>
      </c>
      <c r="L593" t="s">
        <v>13721</v>
      </c>
      <c r="M593" t="s">
        <v>13722</v>
      </c>
      <c r="N593" t="s">
        <v>13723</v>
      </c>
      <c r="O593">
        <f>-607.597976087384 -37.4234343389026 -750.39333637099</f>
        <v>-1395.4147467972766</v>
      </c>
      <c r="P593">
        <f>-626.743842889703 -60.9512381486181 -435.328148730637</f>
        <v>-1123.0232297689581</v>
      </c>
      <c r="Q593" t="s">
        <v>13724</v>
      </c>
      <c r="R593" t="s">
        <v>13725</v>
      </c>
      <c r="S593" t="s">
        <v>13726</v>
      </c>
      <c r="T593" t="s">
        <v>13727</v>
      </c>
      <c r="U593" t="s">
        <v>13728</v>
      </c>
      <c r="V593" t="s">
        <v>13729</v>
      </c>
      <c r="W593" t="s">
        <v>13730</v>
      </c>
      <c r="X593" t="s">
        <v>13731</v>
      </c>
      <c r="Y593" t="s">
        <v>13732</v>
      </c>
    </row>
    <row r="594" spans="1:25" x14ac:dyDescent="0.3">
      <c r="A594">
        <v>29650</v>
      </c>
      <c r="B594" t="s">
        <v>13733</v>
      </c>
      <c r="C594" t="s">
        <v>13734</v>
      </c>
      <c r="D594" t="s">
        <v>13735</v>
      </c>
      <c r="E594" t="s">
        <v>13736</v>
      </c>
      <c r="F594" t="s">
        <v>13737</v>
      </c>
      <c r="G594" t="s">
        <v>13738</v>
      </c>
      <c r="H594" t="s">
        <v>13739</v>
      </c>
      <c r="I594" t="s">
        <v>13740</v>
      </c>
      <c r="J594" t="s">
        <v>13741</v>
      </c>
      <c r="K594" t="s">
        <v>13742</v>
      </c>
      <c r="L594" t="s">
        <v>13743</v>
      </c>
      <c r="M594" t="s">
        <v>13744</v>
      </c>
      <c r="N594" t="s">
        <v>13745</v>
      </c>
      <c r="O594">
        <f>-610.423532632984 -65.6357133201676 -741.090342400997</f>
        <v>-1417.1495883541486</v>
      </c>
      <c r="P594">
        <f>-620.213266042291 -79.4913044636526 -425.023427196072</f>
        <v>-1124.7279977020157</v>
      </c>
      <c r="Q594" t="s">
        <v>13746</v>
      </c>
      <c r="R594" t="s">
        <v>13747</v>
      </c>
      <c r="S594" t="s">
        <v>13748</v>
      </c>
      <c r="T594" t="s">
        <v>13749</v>
      </c>
      <c r="U594" t="s">
        <v>13750</v>
      </c>
      <c r="V594" t="s">
        <v>13751</v>
      </c>
      <c r="W594" t="s">
        <v>13752</v>
      </c>
      <c r="X594" t="s">
        <v>13753</v>
      </c>
      <c r="Y594" t="s">
        <v>13754</v>
      </c>
    </row>
    <row r="595" spans="1:25" x14ac:dyDescent="0.3">
      <c r="A595">
        <v>29700</v>
      </c>
      <c r="B595" t="s">
        <v>13755</v>
      </c>
      <c r="C595" t="s">
        <v>13756</v>
      </c>
      <c r="D595" t="s">
        <v>13757</v>
      </c>
      <c r="E595" t="s">
        <v>13758</v>
      </c>
      <c r="F595" t="s">
        <v>13759</v>
      </c>
      <c r="G595" t="s">
        <v>13760</v>
      </c>
      <c r="H595" t="s">
        <v>13761</v>
      </c>
      <c r="I595" t="s">
        <v>13762</v>
      </c>
      <c r="J595" t="s">
        <v>13763</v>
      </c>
      <c r="K595" t="s">
        <v>13764</v>
      </c>
      <c r="L595" t="s">
        <v>13765</v>
      </c>
      <c r="M595" t="s">
        <v>13766</v>
      </c>
      <c r="N595" t="s">
        <v>13767</v>
      </c>
      <c r="O595">
        <f>-611.729700691563 -79.255052835045 -736.385666509949</f>
        <v>-1427.3704200365571</v>
      </c>
      <c r="P595">
        <f>-615.740454383443 -86.122865741877 -419.963559278737</f>
        <v>-1121.8268794040571</v>
      </c>
      <c r="Q595">
        <f>-371.607733086043 -3.23579073570488 -454.183864105207</f>
        <v>-829.02738792695493</v>
      </c>
      <c r="R595" t="s">
        <v>13768</v>
      </c>
      <c r="S595" t="s">
        <v>13769</v>
      </c>
      <c r="T595" t="s">
        <v>13770</v>
      </c>
      <c r="U595" t="s">
        <v>13771</v>
      </c>
      <c r="V595" t="s">
        <v>13772</v>
      </c>
      <c r="W595" t="s">
        <v>13773</v>
      </c>
      <c r="X595" t="s">
        <v>13774</v>
      </c>
      <c r="Y595" t="s">
        <v>13775</v>
      </c>
    </row>
    <row r="596" spans="1:25" x14ac:dyDescent="0.3">
      <c r="A596">
        <v>29750</v>
      </c>
      <c r="B596" t="s">
        <v>13776</v>
      </c>
      <c r="C596" t="s">
        <v>13777</v>
      </c>
      <c r="D596" t="s">
        <v>13778</v>
      </c>
      <c r="E596" t="s">
        <v>13779</v>
      </c>
      <c r="F596" t="s">
        <v>13780</v>
      </c>
      <c r="G596" t="s">
        <v>13781</v>
      </c>
      <c r="H596" t="s">
        <v>13782</v>
      </c>
      <c r="I596" t="s">
        <v>13783</v>
      </c>
      <c r="J596" t="s">
        <v>13784</v>
      </c>
      <c r="K596" t="s">
        <v>13785</v>
      </c>
      <c r="L596" t="s">
        <v>13786</v>
      </c>
      <c r="M596" t="s">
        <v>13787</v>
      </c>
      <c r="N596" t="s">
        <v>13788</v>
      </c>
      <c r="O596">
        <f>-614.985702163311 -104.654260347285 -727.176258246755</f>
        <v>-1446.8162207573509</v>
      </c>
      <c r="P596">
        <f>-607.832997057988 -92.3788146649341 -410.973284732852</f>
        <v>-1111.1850964557741</v>
      </c>
      <c r="Q596">
        <f>-363.794919953254 -17.399380175661 -460.627508626361</f>
        <v>-841.82180875527604</v>
      </c>
      <c r="R596" t="s">
        <v>13789</v>
      </c>
      <c r="S596" t="s">
        <v>13790</v>
      </c>
      <c r="T596" t="s">
        <v>13791</v>
      </c>
      <c r="U596" t="s">
        <v>13792</v>
      </c>
      <c r="V596" t="s">
        <v>13793</v>
      </c>
      <c r="W596" t="s">
        <v>13794</v>
      </c>
      <c r="X596" t="s">
        <v>13795</v>
      </c>
      <c r="Y596" t="s">
        <v>13796</v>
      </c>
    </row>
    <row r="597" spans="1:25" x14ac:dyDescent="0.3">
      <c r="A597">
        <v>29800</v>
      </c>
      <c r="B597" t="s">
        <v>13797</v>
      </c>
      <c r="C597" t="s">
        <v>13798</v>
      </c>
      <c r="D597" t="s">
        <v>13799</v>
      </c>
      <c r="E597" t="s">
        <v>13800</v>
      </c>
      <c r="F597" t="s">
        <v>13801</v>
      </c>
      <c r="G597" t="s">
        <v>13802</v>
      </c>
      <c r="H597" t="s">
        <v>13803</v>
      </c>
      <c r="I597" t="s">
        <v>13804</v>
      </c>
      <c r="J597" t="s">
        <v>13805</v>
      </c>
      <c r="K597" t="s">
        <v>13806</v>
      </c>
      <c r="L597" t="s">
        <v>13807</v>
      </c>
      <c r="M597" t="s">
        <v>13808</v>
      </c>
      <c r="N597" t="s">
        <v>13809</v>
      </c>
      <c r="O597">
        <f>-614.776047964322 -116.509118044289 -722.799401494481</f>
        <v>-1454.0845675030919</v>
      </c>
      <c r="P597">
        <f>-605.563019883188 -94.5408811545656 -407.175185730408</f>
        <v>-1107.2790867681615</v>
      </c>
      <c r="Q597">
        <f>-361.129739107937 -23.4997969342072 -460.537623476229</f>
        <v>-845.16715951837318</v>
      </c>
      <c r="R597" t="s">
        <v>13810</v>
      </c>
      <c r="S597" t="s">
        <v>13811</v>
      </c>
      <c r="T597" t="s">
        <v>13812</v>
      </c>
      <c r="U597" t="s">
        <v>13813</v>
      </c>
      <c r="V597">
        <f>-630.534933484647 -1.65197987078192 -246.470896259001</f>
        <v>-878.65780961442988</v>
      </c>
      <c r="W597" t="s">
        <v>13814</v>
      </c>
      <c r="X597" t="s">
        <v>13815</v>
      </c>
      <c r="Y597" t="s">
        <v>13816</v>
      </c>
    </row>
    <row r="598" spans="1:25" x14ac:dyDescent="0.3">
      <c r="A598">
        <v>29850</v>
      </c>
      <c r="B598" t="s">
        <v>13817</v>
      </c>
      <c r="C598" t="s">
        <v>13818</v>
      </c>
      <c r="D598" t="s">
        <v>13819</v>
      </c>
      <c r="E598" t="s">
        <v>13820</v>
      </c>
      <c r="F598" t="s">
        <v>13821</v>
      </c>
      <c r="G598" t="s">
        <v>13822</v>
      </c>
      <c r="H598" t="s">
        <v>13823</v>
      </c>
      <c r="I598" t="s">
        <v>13824</v>
      </c>
      <c r="J598" t="s">
        <v>13825</v>
      </c>
      <c r="K598" t="s">
        <v>13826</v>
      </c>
      <c r="L598" t="s">
        <v>13827</v>
      </c>
      <c r="M598" t="s">
        <v>13828</v>
      </c>
      <c r="N598" t="s">
        <v>13829</v>
      </c>
      <c r="O598">
        <f>-613.708216771008 -137.232098872562 -712.342632922665</f>
        <v>-1463.2829485662351</v>
      </c>
      <c r="P598">
        <f>-608.336187402584 -101.276773192849 -397.915448406255</f>
        <v>-1107.528409001688</v>
      </c>
      <c r="Q598">
        <f>-363.290372272167 -32.19923076883 -451.046335248924</f>
        <v>-846.53593828992098</v>
      </c>
      <c r="R598" t="s">
        <v>13830</v>
      </c>
      <c r="S598" t="s">
        <v>13831</v>
      </c>
      <c r="T598" t="s">
        <v>13832</v>
      </c>
      <c r="U598" t="s">
        <v>13833</v>
      </c>
      <c r="V598">
        <f>-631.692633102875 -14.5694200608132 -240.756234522313</f>
        <v>-887.01828768600114</v>
      </c>
      <c r="W598" t="s">
        <v>13834</v>
      </c>
      <c r="X598" t="s">
        <v>13835</v>
      </c>
      <c r="Y598" t="s">
        <v>13836</v>
      </c>
    </row>
    <row r="599" spans="1:25" x14ac:dyDescent="0.3">
      <c r="A599">
        <v>29900</v>
      </c>
      <c r="B599" t="s">
        <v>13837</v>
      </c>
      <c r="C599" t="s">
        <v>13838</v>
      </c>
      <c r="D599" t="s">
        <v>13839</v>
      </c>
      <c r="E599" t="s">
        <v>13840</v>
      </c>
      <c r="F599" t="s">
        <v>13841</v>
      </c>
      <c r="G599" t="s">
        <v>13842</v>
      </c>
      <c r="H599" t="s">
        <v>13843</v>
      </c>
      <c r="I599">
        <f>-547.623660164228 -5.92169606690503 -918.65892573244</f>
        <v>-1472.2042819635731</v>
      </c>
      <c r="J599" t="s">
        <v>13844</v>
      </c>
      <c r="K599" t="s">
        <v>13845</v>
      </c>
      <c r="L599" t="s">
        <v>13846</v>
      </c>
      <c r="M599" t="s">
        <v>13847</v>
      </c>
      <c r="N599">
        <f>-614.490093607996 -8.51609668057339 -761.716073638208</f>
        <v>-1384.7222639267773</v>
      </c>
      <c r="O599">
        <f>-611.828752304326 -145.78769387661 -709.09237824922</f>
        <v>-1466.708824430156</v>
      </c>
      <c r="P599">
        <f>-611.032195017654 -105.066457232387 -395.20177794148</f>
        <v>-1111.3004301915209</v>
      </c>
      <c r="Q599">
        <f>-364.994171003914 -36.1441982660183 -443.75132764113</f>
        <v>-844.88969691106229</v>
      </c>
      <c r="R599" t="s">
        <v>13848</v>
      </c>
      <c r="S599" t="s">
        <v>13849</v>
      </c>
      <c r="T599" t="s">
        <v>13850</v>
      </c>
      <c r="U599" t="s">
        <v>13851</v>
      </c>
      <c r="V599">
        <f>-632.196850492647 -19.1509971380331 -239.63551377088</f>
        <v>-890.98336140156005</v>
      </c>
      <c r="W599" t="s">
        <v>13852</v>
      </c>
      <c r="X599" t="s">
        <v>13853</v>
      </c>
      <c r="Y599" t="s">
        <v>13854</v>
      </c>
    </row>
    <row r="600" spans="1:25" x14ac:dyDescent="0.3">
      <c r="A600">
        <v>29950</v>
      </c>
      <c r="B600" t="s">
        <v>13855</v>
      </c>
      <c r="C600" t="s">
        <v>13856</v>
      </c>
      <c r="D600" t="s">
        <v>13857</v>
      </c>
      <c r="E600" t="s">
        <v>13858</v>
      </c>
      <c r="F600" t="s">
        <v>13859</v>
      </c>
      <c r="G600" t="s">
        <v>13860</v>
      </c>
      <c r="H600">
        <f>-598.678244780707 -9.10083137115264 -830.000335719714</f>
        <v>-1437.7794118715738</v>
      </c>
      <c r="I600">
        <f>-543.468693429626 -23.6425670435599 -914.400617348542</f>
        <v>-1481.5118778217279</v>
      </c>
      <c r="J600" t="s">
        <v>13861</v>
      </c>
      <c r="K600" t="s">
        <v>13862</v>
      </c>
      <c r="L600" t="s">
        <v>13863</v>
      </c>
      <c r="M600" t="s">
        <v>13864</v>
      </c>
      <c r="N600">
        <f>-612.251834363555 -23.5516387622371 -758.168172978489</f>
        <v>-1393.971646104281</v>
      </c>
      <c r="O600">
        <f>-609.747935251879 -159.650796945236 -702.761707676874</f>
        <v>-1472.1604398739892</v>
      </c>
      <c r="P600">
        <f>-618.597650035741 -106.170845121234 -390.916115199994</f>
        <v>-1115.6846103569692</v>
      </c>
      <c r="Q600">
        <f>-369.868925252913 -40.6743084524966 -429.468440848278</f>
        <v>-840.01167455368761</v>
      </c>
      <c r="R600" t="s">
        <v>13865</v>
      </c>
      <c r="S600" t="s">
        <v>13866</v>
      </c>
      <c r="T600" t="s">
        <v>13867</v>
      </c>
      <c r="U600" t="s">
        <v>13868</v>
      </c>
      <c r="V600">
        <f>-634.880246901758 -24.6272628834378 -236.649577496562</f>
        <v>-896.15708728175775</v>
      </c>
      <c r="W600" t="s">
        <v>13869</v>
      </c>
      <c r="X600" t="s">
        <v>13870</v>
      </c>
      <c r="Y600" t="s">
        <v>13871</v>
      </c>
    </row>
    <row r="601" spans="1:25" x14ac:dyDescent="0.3">
      <c r="A601">
        <v>30000</v>
      </c>
      <c r="B601" t="s">
        <v>13872</v>
      </c>
      <c r="C601" t="s">
        <v>13873</v>
      </c>
      <c r="D601" t="s">
        <v>13874</v>
      </c>
      <c r="E601" t="s">
        <v>13875</v>
      </c>
      <c r="F601" t="s">
        <v>13876</v>
      </c>
      <c r="G601" t="s">
        <v>13877</v>
      </c>
      <c r="H601">
        <f>-595.861694316582 -18.5358622074661 -829.128005233394</f>
        <v>-1443.5255617574421</v>
      </c>
      <c r="I601">
        <f>-540.086255946124 -33.7389811595757 -913.038302650169</f>
        <v>-1486.8635397558687</v>
      </c>
      <c r="J601" t="s">
        <v>13878</v>
      </c>
      <c r="K601" t="s">
        <v>13879</v>
      </c>
      <c r="L601" t="s">
        <v>13880</v>
      </c>
      <c r="M601" t="s">
        <v>13881</v>
      </c>
      <c r="N601">
        <f>-609.962512297435 -32.2479069138804 -757.252691246507</f>
        <v>-1399.4631104578225</v>
      </c>
      <c r="O601">
        <f>-607.665914969999 -167.839853481433 -700.531074857757</f>
        <v>-1476.036843309189</v>
      </c>
      <c r="P601">
        <f>-621.669244104589 -108.686211901413 -389.901275912696</f>
        <v>-1120.2567319186981</v>
      </c>
      <c r="Q601">
        <f>-371.254446902453 -47.282331125077 -424.019338419192</f>
        <v>-842.55611644672206</v>
      </c>
      <c r="R601" t="s">
        <v>13882</v>
      </c>
      <c r="S601" t="s">
        <v>13883</v>
      </c>
      <c r="T601" t="s">
        <v>13884</v>
      </c>
      <c r="U601" t="s">
        <v>13885</v>
      </c>
      <c r="V601">
        <f>-636.107721817686 -27.0914879727553 -236.088838688743</f>
        <v>-899.28804847918423</v>
      </c>
      <c r="W601" t="s">
        <v>13886</v>
      </c>
      <c r="X601" t="s">
        <v>13887</v>
      </c>
      <c r="Y601" t="s">
        <v>13888</v>
      </c>
    </row>
    <row r="602" spans="1:25" x14ac:dyDescent="0.3">
      <c r="A602">
        <v>30050</v>
      </c>
      <c r="B602" t="s">
        <v>13889</v>
      </c>
      <c r="C602" t="s">
        <v>13890</v>
      </c>
      <c r="D602" t="s">
        <v>13891</v>
      </c>
      <c r="E602" t="s">
        <v>13892</v>
      </c>
      <c r="F602" t="s">
        <v>13893</v>
      </c>
      <c r="G602" t="s">
        <v>13894</v>
      </c>
      <c r="H602">
        <f>-594.141987729796 -28.0274561903127 -828.335216283486</f>
        <v>-1450.5046602035948</v>
      </c>
      <c r="I602">
        <f>-537.29322409383 -44.3049246009077 -911.318561985347</f>
        <v>-1492.9167106800846</v>
      </c>
      <c r="J602" t="s">
        <v>13895</v>
      </c>
      <c r="K602" t="s">
        <v>13896</v>
      </c>
      <c r="L602" t="s">
        <v>13897</v>
      </c>
      <c r="M602" t="s">
        <v>13898</v>
      </c>
      <c r="N602">
        <f>-609.188465122659 -40.8761296997465 -756.492042806941</f>
        <v>-1406.5566376293464</v>
      </c>
      <c r="O602">
        <f>-608.705107791751 -176.005823431783 -698.472959377146</f>
        <v>-1483.1838906006801</v>
      </c>
      <c r="P602">
        <f>-628.023467209469 -109.556759117997 -389.608141718042</f>
        <v>-1127.188368045508</v>
      </c>
      <c r="Q602">
        <f>-375.233462296459 -54.4843021053374 -416.184357608512</f>
        <v>-845.9021220103084</v>
      </c>
      <c r="R602" t="s">
        <v>13899</v>
      </c>
      <c r="S602" t="s">
        <v>13900</v>
      </c>
      <c r="T602" t="s">
        <v>13901</v>
      </c>
      <c r="U602" t="s">
        <v>13902</v>
      </c>
      <c r="V602">
        <f>-640.14858172502 -29.0311415928557 -235.636989407225</f>
        <v>-904.81671272510061</v>
      </c>
      <c r="W602" t="s">
        <v>13903</v>
      </c>
      <c r="X602" t="s">
        <v>13904</v>
      </c>
      <c r="Y602" t="s">
        <v>13905</v>
      </c>
    </row>
    <row r="603" spans="1:25" x14ac:dyDescent="0.3">
      <c r="A603">
        <v>30100</v>
      </c>
      <c r="B603" t="s">
        <v>13906</v>
      </c>
      <c r="C603" t="s">
        <v>13907</v>
      </c>
      <c r="D603" t="s">
        <v>13908</v>
      </c>
      <c r="E603" t="s">
        <v>13909</v>
      </c>
      <c r="F603" t="s">
        <v>13910</v>
      </c>
      <c r="G603" t="s">
        <v>13911</v>
      </c>
      <c r="H603">
        <f>-595.363721895852 -28.1882111756655 -828.237163212003</f>
        <v>-1451.7890962835204</v>
      </c>
      <c r="I603">
        <f>-538.187594064639 -44.8240442768961 -910.924099880441</f>
        <v>-1493.935738221976</v>
      </c>
      <c r="J603" t="s">
        <v>13912</v>
      </c>
      <c r="K603" t="s">
        <v>13913</v>
      </c>
      <c r="L603" t="s">
        <v>13914</v>
      </c>
      <c r="M603" t="s">
        <v>13915</v>
      </c>
      <c r="N603">
        <f>-610.696283101581 -40.9078721431854 -756.43161668061</f>
        <v>-1408.0357719253764</v>
      </c>
      <c r="O603">
        <f>-611.383229369877 -176.061430980234 -698.446687480067</f>
        <v>-1485.8913478301779</v>
      </c>
      <c r="P603">
        <f>-633.091367258582 -108.62730932271 -389.95420067684</f>
        <v>-1131.6728772581318</v>
      </c>
      <c r="Q603">
        <f>-379.757109329289 -54.9258097597276 -414.036910305972</f>
        <v>-848.71982939498866</v>
      </c>
      <c r="R603" t="s">
        <v>13916</v>
      </c>
      <c r="S603" t="s">
        <v>13917</v>
      </c>
      <c r="T603" t="s">
        <v>13918</v>
      </c>
      <c r="U603" t="s">
        <v>13919</v>
      </c>
      <c r="V603">
        <f>-642.832168836869 -28.5311148129569 -235.487492254878</f>
        <v>-906.85077590470394</v>
      </c>
      <c r="W603" t="s">
        <v>13920</v>
      </c>
      <c r="X603" t="s">
        <v>13921</v>
      </c>
      <c r="Y603" t="s">
        <v>13922</v>
      </c>
    </row>
    <row r="604" spans="1:25" x14ac:dyDescent="0.3">
      <c r="A604">
        <v>30150</v>
      </c>
      <c r="B604" t="s">
        <v>13923</v>
      </c>
      <c r="C604" t="s">
        <v>13924</v>
      </c>
      <c r="D604" t="s">
        <v>13925</v>
      </c>
      <c r="E604" t="s">
        <v>13926</v>
      </c>
      <c r="F604" t="s">
        <v>13927</v>
      </c>
      <c r="G604" t="s">
        <v>13928</v>
      </c>
      <c r="H604">
        <f>-597.028566967946 -25.8146449974109 -828.298879233216</f>
        <v>-1451.1420911985729</v>
      </c>
      <c r="I604">
        <f>-539.762107970784 -42.6752451500119 -910.877676353256</f>
        <v>-1493.3150294740517</v>
      </c>
      <c r="J604" t="s">
        <v>13929</v>
      </c>
      <c r="K604" t="s">
        <v>13930</v>
      </c>
      <c r="L604" t="s">
        <v>13931</v>
      </c>
      <c r="M604" t="s">
        <v>13932</v>
      </c>
      <c r="N604">
        <f>-612.539660170362 -38.5977737590145 -756.542847926054</f>
        <v>-1407.6802818554306</v>
      </c>
      <c r="O604">
        <f>-614.572946913852 -173.91097640402 -699.027835275517</f>
        <v>-1487.511758593389</v>
      </c>
      <c r="P604">
        <f>-637.430246611415 -106.873426806842 -390.531941552114</f>
        <v>-1134.8356149703709</v>
      </c>
      <c r="Q604">
        <f>-383.959884454087 -53.4347757171263 -413.751613118691</f>
        <v>-851.14627328990423</v>
      </c>
      <c r="R604" t="s">
        <v>13933</v>
      </c>
      <c r="S604" t="s">
        <v>13934</v>
      </c>
      <c r="T604" t="s">
        <v>13935</v>
      </c>
      <c r="U604" t="s">
        <v>13936</v>
      </c>
      <c r="V604">
        <f>-645.573486897139 -27.0310939251174 -235.371997112436</f>
        <v>-907.97657793469239</v>
      </c>
      <c r="W604" t="s">
        <v>13937</v>
      </c>
      <c r="X604" t="s">
        <v>13938</v>
      </c>
      <c r="Y604" t="s">
        <v>13939</v>
      </c>
    </row>
    <row r="605" spans="1:25" x14ac:dyDescent="0.3">
      <c r="A605">
        <v>30200</v>
      </c>
      <c r="B605" t="s">
        <v>13940</v>
      </c>
      <c r="C605" t="s">
        <v>13941</v>
      </c>
      <c r="D605" t="s">
        <v>13942</v>
      </c>
      <c r="E605" t="s">
        <v>13943</v>
      </c>
      <c r="F605" t="s">
        <v>13944</v>
      </c>
      <c r="G605" t="s">
        <v>13945</v>
      </c>
      <c r="H605">
        <f>-602.336511174074 -17.5509929698063 -828.876807271068</f>
        <v>-1448.7643114149482</v>
      </c>
      <c r="I605">
        <f>-545.416761520598 -34.7438832081254 -911.626591087039</f>
        <v>-1491.7872358157624</v>
      </c>
      <c r="J605" t="s">
        <v>13946</v>
      </c>
      <c r="K605" t="s">
        <v>13947</v>
      </c>
      <c r="L605" t="s">
        <v>13948</v>
      </c>
      <c r="M605" t="s">
        <v>13949</v>
      </c>
      <c r="N605">
        <f>-617.969410879631 -30.7000298586234 -757.213396001837</f>
        <v>-1405.8828367400915</v>
      </c>
      <c r="O605">
        <f>-623.110270257483 -166.39476716652 -700.891242431837</f>
        <v>-1490.39627985584</v>
      </c>
      <c r="P605">
        <f>-645.924902330619 -101.912408278735 -391.84805858512</f>
        <v>-1139.6853691944741</v>
      </c>
      <c r="Q605">
        <f>-392.276201561577 -49.0997398530109 -414.546618889895</f>
        <v>-855.92256030448289</v>
      </c>
      <c r="R605" t="s">
        <v>13950</v>
      </c>
      <c r="S605" t="s">
        <v>13951</v>
      </c>
      <c r="T605" t="s">
        <v>13952</v>
      </c>
      <c r="U605" t="s">
        <v>13953</v>
      </c>
      <c r="V605">
        <f>-650.629127042696 -22.5176268563297 -235.201975671654</f>
        <v>-908.34872957067978</v>
      </c>
      <c r="W605" t="s">
        <v>13954</v>
      </c>
      <c r="X605" t="s">
        <v>13955</v>
      </c>
      <c r="Y605" t="s">
        <v>13956</v>
      </c>
    </row>
    <row r="606" spans="1:25" x14ac:dyDescent="0.3">
      <c r="A606">
        <v>30250</v>
      </c>
      <c r="B606" t="s">
        <v>13957</v>
      </c>
      <c r="C606" t="s">
        <v>13958</v>
      </c>
      <c r="D606" t="s">
        <v>13959</v>
      </c>
      <c r="E606" t="s">
        <v>13960</v>
      </c>
      <c r="F606" t="s">
        <v>13961</v>
      </c>
      <c r="G606" t="s">
        <v>13962</v>
      </c>
      <c r="H606">
        <f>-608.364248812308 -4.06821848959378 -829.530969648375</f>
        <v>-1441.9634369502769</v>
      </c>
      <c r="I606">
        <f>-552.324526641149 -21.3365256319866 -912.863710708756</f>
        <v>-1486.5247629818914</v>
      </c>
      <c r="J606" t="s">
        <v>13963</v>
      </c>
      <c r="K606" t="s">
        <v>13964</v>
      </c>
      <c r="L606" t="s">
        <v>13965</v>
      </c>
      <c r="M606" t="s">
        <v>13966</v>
      </c>
      <c r="N606">
        <f>-623.824284113476 -17.9544640194771 -757.969352459579</f>
        <v>-1399.748100592532</v>
      </c>
      <c r="O606">
        <f>-632.098486334676 -154.074903271706 -703.074377635756</f>
        <v>-1489.247767242138</v>
      </c>
      <c r="P606">
        <f>-650.58274642261 -92.7906343257459 -393.092530929722</f>
        <v>-1136.4659116780779</v>
      </c>
      <c r="Q606">
        <f>-395.972976717409 -45.5332782886115 -417.231104341249</f>
        <v>-858.73735934726949</v>
      </c>
      <c r="R606" t="s">
        <v>13967</v>
      </c>
      <c r="S606" t="s">
        <v>13968</v>
      </c>
      <c r="T606" t="s">
        <v>13969</v>
      </c>
      <c r="U606" t="s">
        <v>13970</v>
      </c>
      <c r="V606">
        <f>-655.486703968062 -15.6866029569668 -234.80576019774</f>
        <v>-905.97906712276881</v>
      </c>
      <c r="W606" t="s">
        <v>13971</v>
      </c>
      <c r="X606" t="s">
        <v>13972</v>
      </c>
      <c r="Y606" t="s">
        <v>13973</v>
      </c>
    </row>
    <row r="607" spans="1:25" x14ac:dyDescent="0.3">
      <c r="A607">
        <v>30300</v>
      </c>
      <c r="B607" t="s">
        <v>13974</v>
      </c>
      <c r="C607" t="s">
        <v>13975</v>
      </c>
      <c r="D607" t="s">
        <v>13976</v>
      </c>
      <c r="E607" t="s">
        <v>13977</v>
      </c>
      <c r="F607" t="s">
        <v>13978</v>
      </c>
      <c r="G607" t="s">
        <v>13979</v>
      </c>
      <c r="H607" t="s">
        <v>13980</v>
      </c>
      <c r="I607">
        <f>-556.41744872929 -14.3778649582051 -914.359065474554</f>
        <v>-1485.1543791620491</v>
      </c>
      <c r="J607" t="s">
        <v>13981</v>
      </c>
      <c r="K607" t="s">
        <v>13982</v>
      </c>
      <c r="L607" t="s">
        <v>13983</v>
      </c>
      <c r="M607" t="s">
        <v>13984</v>
      </c>
      <c r="N607">
        <f>-627.557891375498 -11.543137817019 -759.297245833246</f>
        <v>-1398.398275025763</v>
      </c>
      <c r="O607">
        <f>-637.689576158329 -147.964754469392 -705.530687809214</f>
        <v>-1491.185018436935</v>
      </c>
      <c r="P607">
        <f>-654.141054509535 -89.8582775307938 -394.823136320345</f>
        <v>-1138.8224683606738</v>
      </c>
      <c r="Q607">
        <f>-398.917652146105 -47.0913982933142 -420.786152994855</f>
        <v>-866.79520343427419</v>
      </c>
      <c r="R607" t="s">
        <v>13985</v>
      </c>
      <c r="S607" t="s">
        <v>13986</v>
      </c>
      <c r="T607" t="s">
        <v>13987</v>
      </c>
      <c r="U607" t="s">
        <v>13988</v>
      </c>
      <c r="V607">
        <f>-658.48651108411 -11.6603401631699 -234.741132318212</f>
        <v>-904.88798356549182</v>
      </c>
      <c r="W607" t="s">
        <v>13989</v>
      </c>
      <c r="X607" t="s">
        <v>13990</v>
      </c>
      <c r="Y607" t="s">
        <v>13991</v>
      </c>
    </row>
    <row r="608" spans="1:25" x14ac:dyDescent="0.3">
      <c r="A608">
        <v>30350</v>
      </c>
      <c r="B608" t="s">
        <v>13992</v>
      </c>
      <c r="C608" t="s">
        <v>13993</v>
      </c>
      <c r="D608" t="s">
        <v>13994</v>
      </c>
      <c r="E608" t="s">
        <v>13995</v>
      </c>
      <c r="F608" t="s">
        <v>13996</v>
      </c>
      <c r="G608" t="s">
        <v>13997</v>
      </c>
      <c r="H608" t="s">
        <v>13998</v>
      </c>
      <c r="I608" t="s">
        <v>13999</v>
      </c>
      <c r="J608" t="s">
        <v>14000</v>
      </c>
      <c r="K608" t="s">
        <v>14001</v>
      </c>
      <c r="L608" t="s">
        <v>14002</v>
      </c>
      <c r="M608" t="s">
        <v>14003</v>
      </c>
      <c r="N608" t="s">
        <v>14004</v>
      </c>
      <c r="O608">
        <f>-648.022975107931 -132.103001227058 -712.032435051725</f>
        <v>-1492.1584113867139</v>
      </c>
      <c r="P608">
        <f>-662.767394230464 -82.5692076824972 -399.758319429394</f>
        <v>-1145.0949213423553</v>
      </c>
      <c r="Q608">
        <f>-406.307085554311 -48.338678437375 -426.185520690703</f>
        <v>-880.83128468238897</v>
      </c>
      <c r="R608" t="s">
        <v>14005</v>
      </c>
      <c r="S608" t="s">
        <v>14006</v>
      </c>
      <c r="T608" t="s">
        <v>14007</v>
      </c>
      <c r="U608" t="s">
        <v>14008</v>
      </c>
      <c r="V608">
        <f>-664.225565769682 -0.915206574590655 -234.044957119534</f>
        <v>-899.18572946380664</v>
      </c>
      <c r="W608" t="s">
        <v>14009</v>
      </c>
      <c r="X608" t="s">
        <v>14010</v>
      </c>
      <c r="Y608" t="s">
        <v>14011</v>
      </c>
    </row>
    <row r="609" spans="1:25" x14ac:dyDescent="0.3">
      <c r="A609">
        <v>30400</v>
      </c>
      <c r="B609" t="s">
        <v>14012</v>
      </c>
      <c r="C609" t="s">
        <v>14013</v>
      </c>
      <c r="D609" t="s">
        <v>14014</v>
      </c>
      <c r="E609" t="s">
        <v>14015</v>
      </c>
      <c r="F609" t="s">
        <v>14016</v>
      </c>
      <c r="G609" t="s">
        <v>14017</v>
      </c>
      <c r="H609" t="s">
        <v>14018</v>
      </c>
      <c r="I609" t="s">
        <v>14019</v>
      </c>
      <c r="J609" t="s">
        <v>14020</v>
      </c>
      <c r="K609" t="s">
        <v>14021</v>
      </c>
      <c r="L609" t="s">
        <v>14022</v>
      </c>
      <c r="M609" t="s">
        <v>14023</v>
      </c>
      <c r="N609" t="s">
        <v>14024</v>
      </c>
      <c r="O609">
        <f>-651.777788211872 -123.065309475039 -716.042655959549</f>
        <v>-1490.8857536464602</v>
      </c>
      <c r="P609">
        <f>-668.367602385312 -79.9611898341321 -402.908454218437</f>
        <v>-1151.2372464378811</v>
      </c>
      <c r="Q609">
        <f>-411.772597659152 -46.6901890149468 -429.254136772216</f>
        <v>-887.71692344631469</v>
      </c>
      <c r="R609" t="s">
        <v>14025</v>
      </c>
      <c r="S609" t="s">
        <v>14026</v>
      </c>
      <c r="T609" t="s">
        <v>14027</v>
      </c>
      <c r="U609" t="s">
        <v>14028</v>
      </c>
      <c r="V609" t="s">
        <v>14029</v>
      </c>
      <c r="W609" t="s">
        <v>14030</v>
      </c>
      <c r="X609" t="s">
        <v>14031</v>
      </c>
      <c r="Y609" t="s">
        <v>14032</v>
      </c>
    </row>
    <row r="610" spans="1:25" x14ac:dyDescent="0.3">
      <c r="A610">
        <v>30450</v>
      </c>
      <c r="B610" t="s">
        <v>14033</v>
      </c>
      <c r="C610" t="s">
        <v>14034</v>
      </c>
      <c r="D610" t="s">
        <v>14035</v>
      </c>
      <c r="E610" t="s">
        <v>14036</v>
      </c>
      <c r="F610" t="s">
        <v>14037</v>
      </c>
      <c r="G610" t="s">
        <v>14038</v>
      </c>
      <c r="H610" t="s">
        <v>14039</v>
      </c>
      <c r="I610" t="s">
        <v>14040</v>
      </c>
      <c r="J610" t="s">
        <v>14041</v>
      </c>
      <c r="K610" t="s">
        <v>14042</v>
      </c>
      <c r="L610" t="s">
        <v>14043</v>
      </c>
      <c r="M610" t="s">
        <v>14044</v>
      </c>
      <c r="N610" t="s">
        <v>14045</v>
      </c>
      <c r="O610">
        <f>-661.057811417273 -104.983997281944 -724.590293634764</f>
        <v>-1490.632102333981</v>
      </c>
      <c r="P610">
        <f>-682.416903343613 -73.1933064428016 -410.394041639966</f>
        <v>-1166.0042514263805</v>
      </c>
      <c r="Q610">
        <f>-425.241750720829 -42.6748697471813 -434.302936367692</f>
        <v>-902.21955683570218</v>
      </c>
      <c r="R610" t="s">
        <v>14046</v>
      </c>
      <c r="S610" t="s">
        <v>14047</v>
      </c>
      <c r="T610" t="s">
        <v>14048</v>
      </c>
      <c r="U610" t="s">
        <v>14049</v>
      </c>
      <c r="V610" t="s">
        <v>14050</v>
      </c>
      <c r="W610" t="s">
        <v>14051</v>
      </c>
      <c r="X610" t="s">
        <v>14052</v>
      </c>
      <c r="Y610" t="s">
        <v>14053</v>
      </c>
    </row>
    <row r="611" spans="1:25" x14ac:dyDescent="0.3">
      <c r="A611">
        <v>30500</v>
      </c>
      <c r="B611" t="s">
        <v>14054</v>
      </c>
      <c r="C611" t="s">
        <v>14055</v>
      </c>
      <c r="D611" t="s">
        <v>14056</v>
      </c>
      <c r="E611" t="s">
        <v>14057</v>
      </c>
      <c r="F611" t="s">
        <v>14058</v>
      </c>
      <c r="G611" t="s">
        <v>14059</v>
      </c>
      <c r="H611" t="s">
        <v>14060</v>
      </c>
      <c r="I611" t="s">
        <v>14061</v>
      </c>
      <c r="J611" t="s">
        <v>14062</v>
      </c>
      <c r="K611" t="s">
        <v>14063</v>
      </c>
      <c r="L611" t="s">
        <v>14064</v>
      </c>
      <c r="M611" t="s">
        <v>14065</v>
      </c>
      <c r="N611" t="s">
        <v>14066</v>
      </c>
      <c r="O611">
        <f>-665.449513018875 -95.4517255427392 -728.56601981793</f>
        <v>-1489.4672583795441</v>
      </c>
      <c r="P611">
        <f>-688.200873491495 -66.7183831697531 -414.173051012204</f>
        <v>-1169.0923076734521</v>
      </c>
      <c r="Q611">
        <f>-430.560835076648 -39.8629690388822 -437.46408393348</f>
        <v>-907.88788804901014</v>
      </c>
      <c r="R611" t="s">
        <v>14067</v>
      </c>
      <c r="S611" t="s">
        <v>14068</v>
      </c>
      <c r="T611" t="s">
        <v>14069</v>
      </c>
      <c r="U611" t="s">
        <v>14070</v>
      </c>
      <c r="V611" t="s">
        <v>14071</v>
      </c>
      <c r="W611" t="s">
        <v>14072</v>
      </c>
      <c r="X611" t="s">
        <v>14073</v>
      </c>
      <c r="Y611" t="s">
        <v>14074</v>
      </c>
    </row>
    <row r="612" spans="1:25" x14ac:dyDescent="0.3">
      <c r="A612">
        <v>30550</v>
      </c>
      <c r="B612" t="s">
        <v>14075</v>
      </c>
      <c r="C612" t="s">
        <v>14076</v>
      </c>
      <c r="D612" t="s">
        <v>14077</v>
      </c>
      <c r="E612" t="s">
        <v>14078</v>
      </c>
      <c r="F612" t="s">
        <v>14079</v>
      </c>
      <c r="G612" t="s">
        <v>14080</v>
      </c>
      <c r="H612" t="s">
        <v>14081</v>
      </c>
      <c r="I612" t="s">
        <v>14082</v>
      </c>
      <c r="J612" t="s">
        <v>14083</v>
      </c>
      <c r="K612" t="s">
        <v>14084</v>
      </c>
      <c r="L612" t="s">
        <v>14085</v>
      </c>
      <c r="M612" t="s">
        <v>14086</v>
      </c>
      <c r="N612" t="s">
        <v>14087</v>
      </c>
      <c r="O612">
        <f>-675.225390328787 -74.7592621208323 -735.254537728856</f>
        <v>-1485.2391901784754</v>
      </c>
      <c r="P612">
        <f>-696.930476823523 -51.2138671037377 -420.356674054539</f>
        <v>-1168.5010179817996</v>
      </c>
      <c r="Q612">
        <f>-438.560834001303 -31.4880411318912 -442.674673726283</f>
        <v>-912.72354885947721</v>
      </c>
      <c r="R612" t="s">
        <v>14088</v>
      </c>
      <c r="S612" t="s">
        <v>14089</v>
      </c>
      <c r="T612" t="s">
        <v>14090</v>
      </c>
      <c r="U612" t="s">
        <v>14091</v>
      </c>
      <c r="V612" t="s">
        <v>14092</v>
      </c>
      <c r="W612" t="s">
        <v>14093</v>
      </c>
      <c r="X612" t="s">
        <v>14094</v>
      </c>
      <c r="Y612" t="s">
        <v>14095</v>
      </c>
    </row>
    <row r="613" spans="1:25" x14ac:dyDescent="0.3">
      <c r="A613">
        <v>30600</v>
      </c>
      <c r="B613" t="s">
        <v>14096</v>
      </c>
      <c r="C613" t="s">
        <v>14097</v>
      </c>
      <c r="D613" t="s">
        <v>14098</v>
      </c>
      <c r="E613" t="s">
        <v>14099</v>
      </c>
      <c r="F613" t="s">
        <v>14100</v>
      </c>
      <c r="G613" t="s">
        <v>14101</v>
      </c>
      <c r="H613" t="s">
        <v>14102</v>
      </c>
      <c r="I613" t="s">
        <v>14103</v>
      </c>
      <c r="J613" t="s">
        <v>14104</v>
      </c>
      <c r="K613" t="s">
        <v>14105</v>
      </c>
      <c r="L613" t="s">
        <v>14106</v>
      </c>
      <c r="M613" t="s">
        <v>14107</v>
      </c>
      <c r="N613" t="s">
        <v>14108</v>
      </c>
      <c r="O613">
        <f>-681.101750060455 -63.9224474304266 -738.628284188661</f>
        <v>-1483.6524816795427</v>
      </c>
      <c r="P613">
        <f>-701.800945378577 -42.6618512426129 -423.500128996513</f>
        <v>-1167.9629256177029</v>
      </c>
      <c r="Q613">
        <f>-443.203372686576 -25.6779884497947 -445.429144422378</f>
        <v>-914.31050555874867</v>
      </c>
      <c r="R613" t="s">
        <v>14109</v>
      </c>
      <c r="S613" t="s">
        <v>14110</v>
      </c>
      <c r="T613" t="s">
        <v>14111</v>
      </c>
      <c r="U613" t="s">
        <v>14112</v>
      </c>
      <c r="V613" t="s">
        <v>14113</v>
      </c>
      <c r="W613" t="s">
        <v>14114</v>
      </c>
      <c r="X613" t="s">
        <v>14115</v>
      </c>
      <c r="Y613" t="s">
        <v>14116</v>
      </c>
    </row>
    <row r="614" spans="1:25" x14ac:dyDescent="0.3">
      <c r="A614">
        <v>30650</v>
      </c>
      <c r="B614" t="s">
        <v>14117</v>
      </c>
      <c r="C614" t="s">
        <v>14118</v>
      </c>
      <c r="D614" t="s">
        <v>14119</v>
      </c>
      <c r="E614" t="s">
        <v>14120</v>
      </c>
      <c r="F614" t="s">
        <v>14121</v>
      </c>
      <c r="G614" t="s">
        <v>14122</v>
      </c>
      <c r="H614" t="s">
        <v>14123</v>
      </c>
      <c r="I614" t="s">
        <v>14124</v>
      </c>
      <c r="J614" t="s">
        <v>14125</v>
      </c>
      <c r="K614" t="s">
        <v>14126</v>
      </c>
      <c r="L614" t="s">
        <v>14127</v>
      </c>
      <c r="M614" t="s">
        <v>14128</v>
      </c>
      <c r="N614" t="s">
        <v>14129</v>
      </c>
      <c r="O614">
        <f>-689.048771263573 -43.4181655451405 -743.801442161803</f>
        <v>-1476.2683789705166</v>
      </c>
      <c r="P614">
        <f>-710.116591112104 -27.6895709461109 -428.373242409348</f>
        <v>-1166.1794044675628</v>
      </c>
      <c r="Q614">
        <f>-451.325698097931 -11.2263497044004 -448.330652432574</f>
        <v>-910.88270023490543</v>
      </c>
      <c r="R614" t="s">
        <v>14130</v>
      </c>
      <c r="S614" t="s">
        <v>14131</v>
      </c>
      <c r="T614" t="s">
        <v>14132</v>
      </c>
      <c r="U614" t="s">
        <v>14133</v>
      </c>
      <c r="V614" t="s">
        <v>14134</v>
      </c>
      <c r="W614" t="s">
        <v>14135</v>
      </c>
      <c r="X614" t="s">
        <v>14136</v>
      </c>
      <c r="Y614" t="s">
        <v>14137</v>
      </c>
    </row>
    <row r="615" spans="1:25" x14ac:dyDescent="0.3">
      <c r="A615">
        <v>30700</v>
      </c>
      <c r="B615" t="s">
        <v>14138</v>
      </c>
      <c r="C615" t="s">
        <v>14139</v>
      </c>
      <c r="D615" t="s">
        <v>14140</v>
      </c>
      <c r="E615" t="s">
        <v>14141</v>
      </c>
      <c r="F615" t="s">
        <v>14142</v>
      </c>
      <c r="G615" t="s">
        <v>14143</v>
      </c>
      <c r="H615" t="s">
        <v>14144</v>
      </c>
      <c r="I615" t="s">
        <v>14145</v>
      </c>
      <c r="J615" t="s">
        <v>14146</v>
      </c>
      <c r="K615" t="s">
        <v>14147</v>
      </c>
      <c r="L615" t="s">
        <v>14148</v>
      </c>
      <c r="M615" t="s">
        <v>14149</v>
      </c>
      <c r="N615" t="s">
        <v>14150</v>
      </c>
      <c r="O615">
        <f>-692.169402617348 -33.8121000873106 -745.53835212269</f>
        <v>-1471.5198548273486</v>
      </c>
      <c r="P615">
        <f>-713.750933468259 -19.8313406678131 -430.062606906055</f>
        <v>-1163.6448810421271</v>
      </c>
      <c r="Q615">
        <f>-454.819075144825 -3.43843274102606 -448.162529233958</f>
        <v>-906.42003711980908</v>
      </c>
      <c r="R615" t="s">
        <v>14151</v>
      </c>
      <c r="S615" t="s">
        <v>14152</v>
      </c>
      <c r="T615" t="s">
        <v>14153</v>
      </c>
      <c r="U615" t="s">
        <v>14154</v>
      </c>
      <c r="V615" t="s">
        <v>14155</v>
      </c>
      <c r="W615" t="s">
        <v>14156</v>
      </c>
      <c r="X615" t="s">
        <v>14157</v>
      </c>
      <c r="Y615" t="s">
        <v>14158</v>
      </c>
    </row>
    <row r="616" spans="1:25" x14ac:dyDescent="0.3">
      <c r="A616">
        <v>30750</v>
      </c>
      <c r="B616" t="s">
        <v>14159</v>
      </c>
      <c r="C616" t="s">
        <v>14160</v>
      </c>
      <c r="D616" t="s">
        <v>14161</v>
      </c>
      <c r="E616" t="s">
        <v>14162</v>
      </c>
      <c r="F616" t="s">
        <v>14163</v>
      </c>
      <c r="G616" t="s">
        <v>14164</v>
      </c>
      <c r="H616" t="s">
        <v>14165</v>
      </c>
      <c r="I616" t="s">
        <v>14166</v>
      </c>
      <c r="J616" t="s">
        <v>14167</v>
      </c>
      <c r="K616" t="s">
        <v>14168</v>
      </c>
      <c r="L616" t="s">
        <v>14169</v>
      </c>
      <c r="M616" t="s">
        <v>14170</v>
      </c>
      <c r="N616" t="s">
        <v>14171</v>
      </c>
      <c r="O616">
        <f>-697.727023908992 -18.4004604451942 -749.13437312636</f>
        <v>-1465.261857480546</v>
      </c>
      <c r="P616">
        <f>-721.084879524807 -6.31632222230204 -433.706772077071</f>
        <v>-1161.1079738241799</v>
      </c>
      <c r="Q616" t="s">
        <v>14172</v>
      </c>
      <c r="R616" t="s">
        <v>14173</v>
      </c>
      <c r="S616" t="s">
        <v>14174</v>
      </c>
      <c r="T616" t="s">
        <v>14175</v>
      </c>
      <c r="U616" t="s">
        <v>14176</v>
      </c>
      <c r="V616" t="s">
        <v>14177</v>
      </c>
      <c r="W616" t="s">
        <v>14178</v>
      </c>
      <c r="X616" t="s">
        <v>14179</v>
      </c>
      <c r="Y616" t="s">
        <v>14180</v>
      </c>
    </row>
    <row r="617" spans="1:25" x14ac:dyDescent="0.3">
      <c r="A617">
        <v>30800</v>
      </c>
      <c r="B617" t="s">
        <v>14181</v>
      </c>
      <c r="C617" t="s">
        <v>14182</v>
      </c>
      <c r="D617" t="s">
        <v>14183</v>
      </c>
      <c r="E617" t="s">
        <v>14184</v>
      </c>
      <c r="F617" t="s">
        <v>14185</v>
      </c>
      <c r="G617" t="s">
        <v>14186</v>
      </c>
      <c r="H617" t="s">
        <v>14187</v>
      </c>
      <c r="I617" t="s">
        <v>14188</v>
      </c>
      <c r="J617" t="s">
        <v>14189</v>
      </c>
      <c r="K617" t="s">
        <v>14190</v>
      </c>
      <c r="L617" t="s">
        <v>14191</v>
      </c>
      <c r="M617" t="s">
        <v>14192</v>
      </c>
      <c r="N617" t="s">
        <v>14193</v>
      </c>
      <c r="O617">
        <f>-697.052609241586 -13.8008946336094 -752.148323774666</f>
        <v>-1463.0018276498613</v>
      </c>
      <c r="P617">
        <f>-721.618085599844 -1.80897628886183 -436.808962911574</f>
        <v>-1160.2360248002797</v>
      </c>
      <c r="Q617" t="s">
        <v>14194</v>
      </c>
      <c r="R617" t="s">
        <v>14195</v>
      </c>
      <c r="S617" t="s">
        <v>14196</v>
      </c>
      <c r="T617" t="s">
        <v>14197</v>
      </c>
      <c r="U617" t="s">
        <v>14198</v>
      </c>
      <c r="V617" t="s">
        <v>14199</v>
      </c>
      <c r="W617" t="s">
        <v>14200</v>
      </c>
      <c r="X617" t="s">
        <v>14201</v>
      </c>
      <c r="Y617" t="s">
        <v>14202</v>
      </c>
    </row>
    <row r="618" spans="1:25" x14ac:dyDescent="0.3">
      <c r="A618">
        <v>30850</v>
      </c>
      <c r="B618" t="s">
        <v>14203</v>
      </c>
      <c r="C618" t="s">
        <v>14204</v>
      </c>
      <c r="D618" t="s">
        <v>14205</v>
      </c>
      <c r="E618" t="s">
        <v>14206</v>
      </c>
      <c r="F618" t="s">
        <v>14207</v>
      </c>
      <c r="G618" t="s">
        <v>14208</v>
      </c>
      <c r="H618" t="s">
        <v>14209</v>
      </c>
      <c r="I618" t="s">
        <v>14210</v>
      </c>
      <c r="J618" t="s">
        <v>14211</v>
      </c>
      <c r="K618" t="s">
        <v>14212</v>
      </c>
      <c r="L618" t="s">
        <v>14213</v>
      </c>
      <c r="M618" t="s">
        <v>14214</v>
      </c>
      <c r="N618" t="s">
        <v>14215</v>
      </c>
      <c r="O618">
        <f>-694.935032125085 -10.2393716400321 -755.230002405012</f>
        <v>-1460.4044061701291</v>
      </c>
      <c r="P618" t="s">
        <v>14216</v>
      </c>
      <c r="Q618" t="s">
        <v>14217</v>
      </c>
      <c r="R618" t="s">
        <v>14218</v>
      </c>
      <c r="S618" t="s">
        <v>14219</v>
      </c>
      <c r="T618" t="s">
        <v>14220</v>
      </c>
      <c r="U618" t="s">
        <v>14221</v>
      </c>
      <c r="V618" t="s">
        <v>14222</v>
      </c>
      <c r="W618" t="s">
        <v>14223</v>
      </c>
      <c r="X618" t="s">
        <v>14224</v>
      </c>
      <c r="Y618" t="s">
        <v>14225</v>
      </c>
    </row>
    <row r="619" spans="1:25" x14ac:dyDescent="0.3">
      <c r="A619">
        <v>30900</v>
      </c>
      <c r="B619" t="s">
        <v>14226</v>
      </c>
      <c r="C619" t="s">
        <v>14227</v>
      </c>
      <c r="D619" t="s">
        <v>14228</v>
      </c>
      <c r="E619" t="s">
        <v>14229</v>
      </c>
      <c r="F619" t="s">
        <v>14230</v>
      </c>
      <c r="G619" t="s">
        <v>14231</v>
      </c>
      <c r="H619" t="s">
        <v>14232</v>
      </c>
      <c r="I619" t="s">
        <v>14233</v>
      </c>
      <c r="J619" t="s">
        <v>14234</v>
      </c>
      <c r="K619" t="s">
        <v>14235</v>
      </c>
      <c r="L619" t="s">
        <v>14236</v>
      </c>
      <c r="M619" t="s">
        <v>14237</v>
      </c>
      <c r="N619" t="s">
        <v>14238</v>
      </c>
      <c r="O619">
        <f>-693.562735663414 -2.74851776811541 -759.837473407152</f>
        <v>-1456.1487268386813</v>
      </c>
      <c r="P619" t="s">
        <v>14239</v>
      </c>
      <c r="Q619" t="s">
        <v>14240</v>
      </c>
      <c r="R619" t="s">
        <v>14241</v>
      </c>
      <c r="S619" t="s">
        <v>14242</v>
      </c>
      <c r="T619" t="s">
        <v>14243</v>
      </c>
      <c r="U619" t="s">
        <v>14244</v>
      </c>
      <c r="V619" t="s">
        <v>14245</v>
      </c>
      <c r="W619" t="s">
        <v>14246</v>
      </c>
      <c r="X619" t="s">
        <v>14247</v>
      </c>
      <c r="Y619" t="s">
        <v>14248</v>
      </c>
    </row>
    <row r="620" spans="1:25" x14ac:dyDescent="0.3">
      <c r="A620">
        <v>30950</v>
      </c>
      <c r="B620" t="s">
        <v>14249</v>
      </c>
      <c r="C620" t="s">
        <v>14250</v>
      </c>
      <c r="D620" t="s">
        <v>14251</v>
      </c>
      <c r="E620" t="s">
        <v>14252</v>
      </c>
      <c r="F620" t="s">
        <v>14253</v>
      </c>
      <c r="G620" t="s">
        <v>14254</v>
      </c>
      <c r="H620" t="s">
        <v>14255</v>
      </c>
      <c r="I620" t="s">
        <v>14256</v>
      </c>
      <c r="J620" t="s">
        <v>14257</v>
      </c>
      <c r="K620" t="s">
        <v>14258</v>
      </c>
      <c r="L620" t="s">
        <v>14259</v>
      </c>
      <c r="M620" t="s">
        <v>14260</v>
      </c>
      <c r="N620" t="s">
        <v>14261</v>
      </c>
      <c r="O620" t="s">
        <v>14262</v>
      </c>
      <c r="P620" t="s">
        <v>14263</v>
      </c>
      <c r="Q620" t="s">
        <v>14264</v>
      </c>
      <c r="R620" t="s">
        <v>14265</v>
      </c>
      <c r="S620" t="s">
        <v>14266</v>
      </c>
      <c r="T620" t="s">
        <v>14267</v>
      </c>
      <c r="U620" t="s">
        <v>14268</v>
      </c>
      <c r="V620" t="s">
        <v>14269</v>
      </c>
      <c r="W620" t="s">
        <v>14270</v>
      </c>
      <c r="X620" t="s">
        <v>14271</v>
      </c>
      <c r="Y620" t="s">
        <v>14272</v>
      </c>
    </row>
    <row r="621" spans="1:25" x14ac:dyDescent="0.3">
      <c r="A621">
        <v>31000</v>
      </c>
      <c r="B621" t="s">
        <v>14273</v>
      </c>
      <c r="C621" t="s">
        <v>14274</v>
      </c>
      <c r="D621" t="s">
        <v>14275</v>
      </c>
      <c r="E621" t="s">
        <v>14276</v>
      </c>
      <c r="F621" t="s">
        <v>14277</v>
      </c>
      <c r="G621" t="s">
        <v>14278</v>
      </c>
      <c r="H621" t="s">
        <v>14279</v>
      </c>
      <c r="I621" t="s">
        <v>14280</v>
      </c>
      <c r="J621" t="s">
        <v>14281</v>
      </c>
      <c r="K621" t="s">
        <v>14282</v>
      </c>
      <c r="L621" t="s">
        <v>14283</v>
      </c>
      <c r="M621" t="s">
        <v>14284</v>
      </c>
      <c r="N621" t="s">
        <v>14285</v>
      </c>
      <c r="O621" t="s">
        <v>14286</v>
      </c>
      <c r="P621" t="s">
        <v>14287</v>
      </c>
      <c r="Q621" t="s">
        <v>14288</v>
      </c>
      <c r="R621" t="s">
        <v>14289</v>
      </c>
      <c r="S621" t="s">
        <v>14290</v>
      </c>
      <c r="T621" t="s">
        <v>14291</v>
      </c>
      <c r="U621" t="s">
        <v>14292</v>
      </c>
      <c r="V621" t="s">
        <v>14293</v>
      </c>
      <c r="W621" t="s">
        <v>14294</v>
      </c>
      <c r="X621" t="s">
        <v>14295</v>
      </c>
      <c r="Y621" t="s">
        <v>14296</v>
      </c>
    </row>
    <row r="622" spans="1:25" x14ac:dyDescent="0.3">
      <c r="A622">
        <v>31050</v>
      </c>
      <c r="B622" t="s">
        <v>14297</v>
      </c>
      <c r="C622" t="s">
        <v>14298</v>
      </c>
      <c r="D622" t="s">
        <v>14299</v>
      </c>
      <c r="E622" t="s">
        <v>14300</v>
      </c>
      <c r="F622" t="s">
        <v>14301</v>
      </c>
      <c r="G622" t="s">
        <v>14302</v>
      </c>
      <c r="H622" t="s">
        <v>14303</v>
      </c>
      <c r="I622" t="s">
        <v>14304</v>
      </c>
      <c r="J622" t="s">
        <v>14305</v>
      </c>
      <c r="K622" t="s">
        <v>14306</v>
      </c>
      <c r="L622" t="s">
        <v>14307</v>
      </c>
      <c r="M622" t="s">
        <v>14308</v>
      </c>
      <c r="N622" t="s">
        <v>14309</v>
      </c>
      <c r="O622" t="s">
        <v>14310</v>
      </c>
      <c r="P622" t="s">
        <v>14311</v>
      </c>
      <c r="Q622" t="s">
        <v>14312</v>
      </c>
      <c r="R622" t="s">
        <v>14313</v>
      </c>
      <c r="S622" t="s">
        <v>14314</v>
      </c>
      <c r="T622" t="s">
        <v>14315</v>
      </c>
      <c r="U622" t="s">
        <v>14316</v>
      </c>
      <c r="V622" t="s">
        <v>14317</v>
      </c>
      <c r="W622" t="s">
        <v>14318</v>
      </c>
      <c r="X622" t="s">
        <v>14319</v>
      </c>
      <c r="Y622" t="s">
        <v>14320</v>
      </c>
    </row>
    <row r="623" spans="1:25" x14ac:dyDescent="0.3">
      <c r="A623">
        <v>31100</v>
      </c>
      <c r="B623" t="s">
        <v>14321</v>
      </c>
      <c r="C623" t="s">
        <v>14322</v>
      </c>
      <c r="D623" t="s">
        <v>14323</v>
      </c>
      <c r="E623" t="s">
        <v>14324</v>
      </c>
      <c r="F623" t="s">
        <v>14325</v>
      </c>
      <c r="G623" t="s">
        <v>14326</v>
      </c>
      <c r="H623" t="s">
        <v>14327</v>
      </c>
      <c r="I623" t="s">
        <v>14328</v>
      </c>
      <c r="J623" t="s">
        <v>14329</v>
      </c>
      <c r="K623" t="s">
        <v>14330</v>
      </c>
      <c r="L623" t="s">
        <v>14331</v>
      </c>
      <c r="M623" t="s">
        <v>14332</v>
      </c>
      <c r="N623" t="s">
        <v>14333</v>
      </c>
      <c r="O623" t="s">
        <v>14334</v>
      </c>
      <c r="P623" t="s">
        <v>14335</v>
      </c>
      <c r="Q623" t="s">
        <v>14336</v>
      </c>
      <c r="R623" t="s">
        <v>14337</v>
      </c>
      <c r="S623" t="s">
        <v>14338</v>
      </c>
      <c r="T623" t="s">
        <v>14339</v>
      </c>
      <c r="U623" t="s">
        <v>14340</v>
      </c>
      <c r="V623" t="s">
        <v>14341</v>
      </c>
      <c r="W623" t="s">
        <v>14342</v>
      </c>
      <c r="X623" t="s">
        <v>14343</v>
      </c>
      <c r="Y623" t="s">
        <v>14344</v>
      </c>
    </row>
    <row r="624" spans="1:25" x14ac:dyDescent="0.3">
      <c r="A624">
        <v>31150</v>
      </c>
      <c r="B624" t="s">
        <v>14345</v>
      </c>
      <c r="C624" t="s">
        <v>14346</v>
      </c>
      <c r="D624" t="s">
        <v>14347</v>
      </c>
      <c r="E624" t="s">
        <v>14348</v>
      </c>
      <c r="F624" t="s">
        <v>14349</v>
      </c>
      <c r="G624" t="s">
        <v>14350</v>
      </c>
      <c r="H624" t="s">
        <v>14351</v>
      </c>
      <c r="I624" t="s">
        <v>14352</v>
      </c>
      <c r="J624" t="s">
        <v>14353</v>
      </c>
      <c r="K624" t="s">
        <v>14354</v>
      </c>
      <c r="L624" t="s">
        <v>14355</v>
      </c>
      <c r="M624" t="s">
        <v>14356</v>
      </c>
      <c r="N624" t="s">
        <v>14357</v>
      </c>
      <c r="O624" t="s">
        <v>14358</v>
      </c>
      <c r="P624" t="s">
        <v>14359</v>
      </c>
      <c r="Q624" t="s">
        <v>14360</v>
      </c>
      <c r="R624" t="s">
        <v>14361</v>
      </c>
      <c r="S624" t="s">
        <v>14362</v>
      </c>
      <c r="T624" t="s">
        <v>14363</v>
      </c>
      <c r="U624" t="s">
        <v>14364</v>
      </c>
      <c r="V624" t="s">
        <v>14365</v>
      </c>
      <c r="W624" t="s">
        <v>14366</v>
      </c>
      <c r="X624" t="s">
        <v>14367</v>
      </c>
      <c r="Y624" t="s">
        <v>14368</v>
      </c>
    </row>
    <row r="625" spans="1:25" x14ac:dyDescent="0.3">
      <c r="A625">
        <v>31200</v>
      </c>
      <c r="B625" t="s">
        <v>14369</v>
      </c>
      <c r="C625" t="s">
        <v>14370</v>
      </c>
      <c r="D625" t="s">
        <v>14371</v>
      </c>
      <c r="E625" t="s">
        <v>14372</v>
      </c>
      <c r="F625" t="s">
        <v>14373</v>
      </c>
      <c r="G625" t="s">
        <v>14374</v>
      </c>
      <c r="H625" t="s">
        <v>14375</v>
      </c>
      <c r="I625" t="s">
        <v>14376</v>
      </c>
      <c r="J625" t="s">
        <v>14377</v>
      </c>
      <c r="K625" t="s">
        <v>14378</v>
      </c>
      <c r="L625" t="s">
        <v>14379</v>
      </c>
      <c r="M625" t="s">
        <v>14380</v>
      </c>
      <c r="N625" t="s">
        <v>14381</v>
      </c>
      <c r="O625" t="s">
        <v>14382</v>
      </c>
      <c r="P625" t="s">
        <v>14383</v>
      </c>
      <c r="Q625" t="s">
        <v>14384</v>
      </c>
      <c r="R625" t="s">
        <v>14385</v>
      </c>
      <c r="S625" t="s">
        <v>14386</v>
      </c>
      <c r="T625" t="s">
        <v>14387</v>
      </c>
      <c r="U625" t="s">
        <v>14388</v>
      </c>
      <c r="V625" t="s">
        <v>14389</v>
      </c>
      <c r="W625" t="s">
        <v>14390</v>
      </c>
      <c r="X625" t="s">
        <v>14391</v>
      </c>
      <c r="Y625" t="s">
        <v>14392</v>
      </c>
    </row>
    <row r="626" spans="1:25" x14ac:dyDescent="0.3">
      <c r="A626">
        <v>31250</v>
      </c>
      <c r="B626" t="s">
        <v>14393</v>
      </c>
      <c r="C626" t="s">
        <v>14394</v>
      </c>
      <c r="D626" t="s">
        <v>14395</v>
      </c>
      <c r="E626" t="s">
        <v>14396</v>
      </c>
      <c r="F626" t="s">
        <v>14397</v>
      </c>
      <c r="G626" t="s">
        <v>14398</v>
      </c>
      <c r="H626" t="s">
        <v>14399</v>
      </c>
      <c r="I626" t="s">
        <v>14400</v>
      </c>
      <c r="J626" t="s">
        <v>14401</v>
      </c>
      <c r="K626" t="s">
        <v>14402</v>
      </c>
      <c r="L626" t="s">
        <v>14403</v>
      </c>
      <c r="M626" t="s">
        <v>14404</v>
      </c>
      <c r="N626" t="s">
        <v>14405</v>
      </c>
      <c r="O626" t="s">
        <v>14406</v>
      </c>
      <c r="P626" t="s">
        <v>14407</v>
      </c>
      <c r="Q626" t="s">
        <v>14408</v>
      </c>
      <c r="R626" t="s">
        <v>14409</v>
      </c>
      <c r="S626" t="s">
        <v>14410</v>
      </c>
      <c r="T626" t="s">
        <v>14411</v>
      </c>
      <c r="U626" t="s">
        <v>14412</v>
      </c>
      <c r="V626" t="s">
        <v>14413</v>
      </c>
      <c r="W626" t="s">
        <v>14414</v>
      </c>
      <c r="X626" t="s">
        <v>14415</v>
      </c>
      <c r="Y626" t="s">
        <v>14416</v>
      </c>
    </row>
    <row r="627" spans="1:25" x14ac:dyDescent="0.3">
      <c r="A627">
        <v>31300</v>
      </c>
      <c r="B627" t="s">
        <v>14417</v>
      </c>
      <c r="C627" t="s">
        <v>14418</v>
      </c>
      <c r="D627" t="s">
        <v>14419</v>
      </c>
      <c r="E627" t="s">
        <v>14420</v>
      </c>
      <c r="F627" t="s">
        <v>14421</v>
      </c>
      <c r="G627" t="s">
        <v>14422</v>
      </c>
      <c r="H627" t="s">
        <v>14423</v>
      </c>
      <c r="I627" t="s">
        <v>14424</v>
      </c>
      <c r="J627" t="s">
        <v>14425</v>
      </c>
      <c r="K627" t="s">
        <v>14426</v>
      </c>
      <c r="L627" t="s">
        <v>14427</v>
      </c>
      <c r="M627" t="s">
        <v>14428</v>
      </c>
      <c r="N627" t="s">
        <v>14429</v>
      </c>
      <c r="O627">
        <f>-690.751283671139 -0.204059554325809 -757.738454354894</f>
        <v>-1448.6937975803589</v>
      </c>
      <c r="P627" t="s">
        <v>14430</v>
      </c>
      <c r="Q627" t="s">
        <v>14431</v>
      </c>
      <c r="R627" t="s">
        <v>14432</v>
      </c>
      <c r="S627" t="s">
        <v>14433</v>
      </c>
      <c r="T627" t="s">
        <v>14434</v>
      </c>
      <c r="U627" t="s">
        <v>14435</v>
      </c>
      <c r="V627" t="s">
        <v>14436</v>
      </c>
      <c r="W627" t="s">
        <v>14437</v>
      </c>
      <c r="X627" t="s">
        <v>14438</v>
      </c>
      <c r="Y627" t="s">
        <v>14439</v>
      </c>
    </row>
    <row r="628" spans="1:25" x14ac:dyDescent="0.3">
      <c r="A628">
        <v>31350</v>
      </c>
      <c r="B628" t="s">
        <v>14440</v>
      </c>
      <c r="C628" t="s">
        <v>14441</v>
      </c>
      <c r="D628" t="s">
        <v>14442</v>
      </c>
      <c r="E628" t="s">
        <v>14443</v>
      </c>
      <c r="F628" t="s">
        <v>14444</v>
      </c>
      <c r="G628" t="s">
        <v>14445</v>
      </c>
      <c r="H628" t="s">
        <v>14446</v>
      </c>
      <c r="I628" t="s">
        <v>14447</v>
      </c>
      <c r="J628" t="s">
        <v>14448</v>
      </c>
      <c r="K628" t="s">
        <v>14449</v>
      </c>
      <c r="L628" t="s">
        <v>14450</v>
      </c>
      <c r="M628" t="s">
        <v>14451</v>
      </c>
      <c r="N628" t="s">
        <v>14452</v>
      </c>
      <c r="O628">
        <f>-686.29477787228 -9.57139836999738 -754.760885615767</f>
        <v>-1450.6270618580443</v>
      </c>
      <c r="P628" t="s">
        <v>14453</v>
      </c>
      <c r="Q628" t="s">
        <v>14454</v>
      </c>
      <c r="R628" t="s">
        <v>14455</v>
      </c>
      <c r="S628" t="s">
        <v>14456</v>
      </c>
      <c r="T628" t="s">
        <v>14457</v>
      </c>
      <c r="U628" t="s">
        <v>14458</v>
      </c>
      <c r="V628" t="s">
        <v>14459</v>
      </c>
      <c r="W628" t="s">
        <v>14460</v>
      </c>
      <c r="X628" t="s">
        <v>14461</v>
      </c>
      <c r="Y628" t="s">
        <v>14462</v>
      </c>
    </row>
    <row r="629" spans="1:25" x14ac:dyDescent="0.3">
      <c r="A629">
        <v>31400</v>
      </c>
      <c r="B629" t="s">
        <v>14463</v>
      </c>
      <c r="C629" t="s">
        <v>14464</v>
      </c>
      <c r="D629" t="s">
        <v>14465</v>
      </c>
      <c r="E629" t="s">
        <v>14466</v>
      </c>
      <c r="F629" t="s">
        <v>14467</v>
      </c>
      <c r="G629" t="s">
        <v>14468</v>
      </c>
      <c r="H629" t="s">
        <v>14469</v>
      </c>
      <c r="I629" t="s">
        <v>14470</v>
      </c>
      <c r="J629" t="s">
        <v>14471</v>
      </c>
      <c r="K629" t="s">
        <v>14472</v>
      </c>
      <c r="L629" t="s">
        <v>14473</v>
      </c>
      <c r="M629" t="s">
        <v>14474</v>
      </c>
      <c r="N629" t="s">
        <v>14475</v>
      </c>
      <c r="O629">
        <f>-683.832811471758 -14.4085807027447 -753.447268355633</f>
        <v>-1451.6886605301356</v>
      </c>
      <c r="P629" t="s">
        <v>14476</v>
      </c>
      <c r="Q629" t="s">
        <v>14477</v>
      </c>
      <c r="R629" t="s">
        <v>14478</v>
      </c>
      <c r="S629" t="s">
        <v>14479</v>
      </c>
      <c r="T629" t="s">
        <v>14480</v>
      </c>
      <c r="U629" t="s">
        <v>14481</v>
      </c>
      <c r="V629" t="s">
        <v>14482</v>
      </c>
      <c r="W629" t="s">
        <v>14483</v>
      </c>
      <c r="X629" t="s">
        <v>14484</v>
      </c>
      <c r="Y629" t="s">
        <v>14485</v>
      </c>
    </row>
    <row r="630" spans="1:25" x14ac:dyDescent="0.3">
      <c r="A630">
        <v>31450</v>
      </c>
      <c r="B630" t="s">
        <v>14486</v>
      </c>
      <c r="C630" t="s">
        <v>14487</v>
      </c>
      <c r="D630" t="s">
        <v>14488</v>
      </c>
      <c r="E630" t="s">
        <v>14489</v>
      </c>
      <c r="F630" t="s">
        <v>14490</v>
      </c>
      <c r="G630" t="s">
        <v>14491</v>
      </c>
      <c r="H630" t="s">
        <v>14492</v>
      </c>
      <c r="I630" t="s">
        <v>14493</v>
      </c>
      <c r="J630" t="s">
        <v>14494</v>
      </c>
      <c r="K630" t="s">
        <v>14495</v>
      </c>
      <c r="L630" t="s">
        <v>14496</v>
      </c>
      <c r="M630" t="s">
        <v>14497</v>
      </c>
      <c r="N630" t="s">
        <v>14498</v>
      </c>
      <c r="O630">
        <f>-679.76684972474 -23.0731214130691 -751.342040112777</f>
        <v>-1454.1820112505861</v>
      </c>
      <c r="P630">
        <f>-706.145983367146 -3.28019626861099 -436.542839853022</f>
        <v>-1145.9690194887789</v>
      </c>
      <c r="Q630" t="s">
        <v>14499</v>
      </c>
      <c r="R630" t="s">
        <v>14500</v>
      </c>
      <c r="S630" t="s">
        <v>14501</v>
      </c>
      <c r="T630" t="s">
        <v>14502</v>
      </c>
      <c r="U630" t="s">
        <v>14503</v>
      </c>
      <c r="V630" t="s">
        <v>14504</v>
      </c>
      <c r="W630" t="s">
        <v>14505</v>
      </c>
      <c r="X630" t="s">
        <v>14506</v>
      </c>
      <c r="Y630" t="s">
        <v>14507</v>
      </c>
    </row>
    <row r="631" spans="1:25" x14ac:dyDescent="0.3">
      <c r="A631">
        <v>31500</v>
      </c>
      <c r="B631" t="s">
        <v>14508</v>
      </c>
      <c r="C631" t="s">
        <v>14509</v>
      </c>
      <c r="D631" t="s">
        <v>14510</v>
      </c>
      <c r="E631" t="s">
        <v>14511</v>
      </c>
      <c r="F631" t="s">
        <v>14512</v>
      </c>
      <c r="G631" t="s">
        <v>14513</v>
      </c>
      <c r="H631" t="s">
        <v>14514</v>
      </c>
      <c r="I631" t="s">
        <v>14515</v>
      </c>
      <c r="J631" t="s">
        <v>14516</v>
      </c>
      <c r="K631" t="s">
        <v>14517</v>
      </c>
      <c r="L631" t="s">
        <v>14518</v>
      </c>
      <c r="M631" t="s">
        <v>14519</v>
      </c>
      <c r="N631" t="s">
        <v>14520</v>
      </c>
      <c r="O631">
        <f>-677.814030436928 -27.5894757658709 -750.48189724525</f>
        <v>-1455.8854034480489</v>
      </c>
      <c r="P631">
        <f>-704.171908252384 -6.83611628726692 -435.742685117215</f>
        <v>-1146.7507096568659</v>
      </c>
      <c r="Q631" t="s">
        <v>14521</v>
      </c>
      <c r="R631" t="s">
        <v>14522</v>
      </c>
      <c r="S631" t="s">
        <v>14523</v>
      </c>
      <c r="T631" t="s">
        <v>14524</v>
      </c>
      <c r="U631" t="s">
        <v>14525</v>
      </c>
      <c r="V631" t="s">
        <v>14526</v>
      </c>
      <c r="W631" t="s">
        <v>14527</v>
      </c>
      <c r="X631" t="s">
        <v>14528</v>
      </c>
      <c r="Y631" t="s">
        <v>14529</v>
      </c>
    </row>
    <row r="632" spans="1:25" x14ac:dyDescent="0.3">
      <c r="A632">
        <v>31550</v>
      </c>
      <c r="B632" t="s">
        <v>14530</v>
      </c>
      <c r="C632" t="s">
        <v>14531</v>
      </c>
      <c r="D632" t="s">
        <v>14532</v>
      </c>
      <c r="E632" t="s">
        <v>14533</v>
      </c>
      <c r="F632" t="s">
        <v>14534</v>
      </c>
      <c r="G632" t="s">
        <v>14535</v>
      </c>
      <c r="H632" t="s">
        <v>14536</v>
      </c>
      <c r="I632" t="s">
        <v>14537</v>
      </c>
      <c r="J632" t="s">
        <v>14538</v>
      </c>
      <c r="K632" t="s">
        <v>14539</v>
      </c>
      <c r="L632" t="s">
        <v>14540</v>
      </c>
      <c r="M632" t="s">
        <v>14541</v>
      </c>
      <c r="N632" t="s">
        <v>14542</v>
      </c>
      <c r="O632">
        <f>-669.334703720466 -38.7387725994106 -748.700291656416</f>
        <v>-1456.7737679762927</v>
      </c>
      <c r="P632">
        <f>-696.472409075538 -14.836146742313 -434.251041300811</f>
        <v>-1145.5595971186619</v>
      </c>
      <c r="Q632" t="s">
        <v>14543</v>
      </c>
      <c r="R632" t="s">
        <v>14544</v>
      </c>
      <c r="S632" t="s">
        <v>14545</v>
      </c>
      <c r="T632" t="s">
        <v>14546</v>
      </c>
      <c r="U632" t="s">
        <v>14547</v>
      </c>
      <c r="V632" t="s">
        <v>14548</v>
      </c>
      <c r="W632" t="s">
        <v>14549</v>
      </c>
      <c r="X632" t="s">
        <v>14550</v>
      </c>
      <c r="Y632" t="s">
        <v>14551</v>
      </c>
    </row>
    <row r="633" spans="1:25" x14ac:dyDescent="0.3">
      <c r="A633">
        <v>31600</v>
      </c>
      <c r="B633" t="s">
        <v>14552</v>
      </c>
      <c r="C633" t="s">
        <v>14553</v>
      </c>
      <c r="D633" t="s">
        <v>14554</v>
      </c>
      <c r="E633" t="s">
        <v>14555</v>
      </c>
      <c r="F633" t="s">
        <v>14556</v>
      </c>
      <c r="G633" t="s">
        <v>14557</v>
      </c>
      <c r="H633" t="s">
        <v>14558</v>
      </c>
      <c r="I633" t="s">
        <v>14559</v>
      </c>
      <c r="J633" t="s">
        <v>14560</v>
      </c>
      <c r="K633" t="s">
        <v>14561</v>
      </c>
      <c r="L633" t="s">
        <v>14562</v>
      </c>
      <c r="M633" t="s">
        <v>14563</v>
      </c>
      <c r="N633" t="s">
        <v>14564</v>
      </c>
      <c r="O633">
        <f>-663.782250677327 -45.3354077455554 -747.818865917093</f>
        <v>-1456.9365243399754</v>
      </c>
      <c r="P633">
        <f>-691.692187308568 -19.3969478684783 -433.598450701514</f>
        <v>-1144.6875858785602</v>
      </c>
      <c r="Q633" t="s">
        <v>14565</v>
      </c>
      <c r="R633" t="s">
        <v>14566</v>
      </c>
      <c r="S633" t="s">
        <v>14567</v>
      </c>
      <c r="T633" t="s">
        <v>14568</v>
      </c>
      <c r="U633" t="s">
        <v>14569</v>
      </c>
      <c r="V633" t="s">
        <v>14570</v>
      </c>
      <c r="W633" t="s">
        <v>14571</v>
      </c>
      <c r="X633" t="s">
        <v>14572</v>
      </c>
      <c r="Y633" t="s">
        <v>14573</v>
      </c>
    </row>
    <row r="634" spans="1:25" x14ac:dyDescent="0.3">
      <c r="A634">
        <v>31650</v>
      </c>
      <c r="B634" t="s">
        <v>14574</v>
      </c>
      <c r="C634" t="s">
        <v>14575</v>
      </c>
      <c r="D634" t="s">
        <v>14576</v>
      </c>
      <c r="E634" t="s">
        <v>14577</v>
      </c>
      <c r="F634" t="s">
        <v>14578</v>
      </c>
      <c r="G634" t="s">
        <v>14579</v>
      </c>
      <c r="H634" t="s">
        <v>14580</v>
      </c>
      <c r="I634" t="s">
        <v>14581</v>
      </c>
      <c r="J634" t="s">
        <v>14582</v>
      </c>
      <c r="K634" t="s">
        <v>14583</v>
      </c>
      <c r="L634" t="s">
        <v>14584</v>
      </c>
      <c r="M634" t="s">
        <v>14585</v>
      </c>
      <c r="N634" t="s">
        <v>14586</v>
      </c>
      <c r="O634">
        <f>-653.348241461532 -57.8507936428496 -745.249200244994</f>
        <v>-1456.4482353493754</v>
      </c>
      <c r="P634">
        <f>-682.409222526164 -28.2554963583408 -431.456719926328</f>
        <v>-1142.1214388108328</v>
      </c>
      <c r="Q634" t="s">
        <v>14587</v>
      </c>
      <c r="R634" t="s">
        <v>14588</v>
      </c>
      <c r="S634" t="s">
        <v>14589</v>
      </c>
      <c r="T634" t="s">
        <v>14590</v>
      </c>
      <c r="U634" t="s">
        <v>14591</v>
      </c>
      <c r="V634" t="s">
        <v>14592</v>
      </c>
      <c r="W634" t="s">
        <v>14593</v>
      </c>
      <c r="X634" t="s">
        <v>14594</v>
      </c>
      <c r="Y634" t="s">
        <v>14595</v>
      </c>
    </row>
    <row r="635" spans="1:25" x14ac:dyDescent="0.3">
      <c r="A635">
        <v>31700</v>
      </c>
      <c r="B635" t="s">
        <v>14596</v>
      </c>
      <c r="C635" t="s">
        <v>14597</v>
      </c>
      <c r="D635" t="s">
        <v>14598</v>
      </c>
      <c r="E635" t="s">
        <v>14599</v>
      </c>
      <c r="F635" t="s">
        <v>14600</v>
      </c>
      <c r="G635" t="s">
        <v>14601</v>
      </c>
      <c r="H635" t="s">
        <v>14602</v>
      </c>
      <c r="I635" t="s">
        <v>14603</v>
      </c>
      <c r="J635" t="s">
        <v>14604</v>
      </c>
      <c r="K635" t="s">
        <v>14605</v>
      </c>
      <c r="L635" t="s">
        <v>14606</v>
      </c>
      <c r="M635" t="s">
        <v>14607</v>
      </c>
      <c r="N635" t="s">
        <v>14608</v>
      </c>
      <c r="O635">
        <f>-647.866104865856 -64.0596624460547 -744.063832657093</f>
        <v>-1455.9895999690038</v>
      </c>
      <c r="P635">
        <f>-678.04256581785 -33.9609622226005 -430.424514548762</f>
        <v>-1142.4280425892125</v>
      </c>
      <c r="Q635" t="s">
        <v>14609</v>
      </c>
      <c r="R635" t="s">
        <v>14610</v>
      </c>
      <c r="S635" t="s">
        <v>14611</v>
      </c>
      <c r="T635" t="s">
        <v>14612</v>
      </c>
      <c r="U635" t="s">
        <v>14613</v>
      </c>
      <c r="V635" t="s">
        <v>14614</v>
      </c>
      <c r="W635" t="s">
        <v>14615</v>
      </c>
      <c r="X635" t="s">
        <v>14616</v>
      </c>
      <c r="Y635" t="s">
        <v>14617</v>
      </c>
    </row>
    <row r="636" spans="1:25" x14ac:dyDescent="0.3">
      <c r="A636">
        <v>31750</v>
      </c>
      <c r="B636" t="s">
        <v>14618</v>
      </c>
      <c r="C636" t="s">
        <v>14619</v>
      </c>
      <c r="D636" t="s">
        <v>14620</v>
      </c>
      <c r="E636" t="s">
        <v>14621</v>
      </c>
      <c r="F636" t="s">
        <v>14622</v>
      </c>
      <c r="G636" t="s">
        <v>14623</v>
      </c>
      <c r="H636" t="s">
        <v>14624</v>
      </c>
      <c r="I636" t="s">
        <v>14625</v>
      </c>
      <c r="J636" t="s">
        <v>14626</v>
      </c>
      <c r="K636" t="s">
        <v>14627</v>
      </c>
      <c r="L636" t="s">
        <v>14628</v>
      </c>
      <c r="M636" t="s">
        <v>14629</v>
      </c>
      <c r="N636" t="s">
        <v>14630</v>
      </c>
      <c r="O636">
        <f>-637.147175878893 -75.8396306807823 -741.926129048081</f>
        <v>-1454.9129356077563</v>
      </c>
      <c r="P636">
        <f>-669.266519609049 -43.6380444345316 -428.688850537624</f>
        <v>-1141.5934145812046</v>
      </c>
      <c r="Q636">
        <f>-412.264153905413 -5.33816454649767 -439.868709712149</f>
        <v>-857.4710281640597</v>
      </c>
      <c r="R636" t="s">
        <v>14631</v>
      </c>
      <c r="S636" t="s">
        <v>14632</v>
      </c>
      <c r="T636" t="s">
        <v>14633</v>
      </c>
      <c r="U636" t="s">
        <v>14634</v>
      </c>
      <c r="V636" t="s">
        <v>14635</v>
      </c>
      <c r="W636" t="s">
        <v>14636</v>
      </c>
      <c r="X636" t="s">
        <v>14637</v>
      </c>
      <c r="Y636" t="s">
        <v>14638</v>
      </c>
    </row>
    <row r="637" spans="1:25" x14ac:dyDescent="0.3">
      <c r="A637">
        <v>31800</v>
      </c>
      <c r="B637" t="s">
        <v>14639</v>
      </c>
      <c r="C637" t="s">
        <v>14640</v>
      </c>
      <c r="D637" t="s">
        <v>14641</v>
      </c>
      <c r="E637" t="s">
        <v>14642</v>
      </c>
      <c r="F637" t="s">
        <v>14643</v>
      </c>
      <c r="G637" t="s">
        <v>14644</v>
      </c>
      <c r="H637" t="s">
        <v>14645</v>
      </c>
      <c r="I637" t="s">
        <v>14646</v>
      </c>
      <c r="J637" t="s">
        <v>14647</v>
      </c>
      <c r="K637" t="s">
        <v>14648</v>
      </c>
      <c r="L637" t="s">
        <v>14649</v>
      </c>
      <c r="M637" t="s">
        <v>14650</v>
      </c>
      <c r="N637" t="s">
        <v>14651</v>
      </c>
      <c r="O637">
        <f>-632.402592568976 -81.8552578417125 -740.610232656786</f>
        <v>-1454.8680830674746</v>
      </c>
      <c r="P637">
        <f>-665.976239471858 -49.0380335841257 -427.589470364288</f>
        <v>-1142.6037434202717</v>
      </c>
      <c r="Q637">
        <f>-409.284453651723 -8.64546820520951 -438.537344555249</f>
        <v>-856.46726641218152</v>
      </c>
      <c r="R637" t="s">
        <v>14652</v>
      </c>
      <c r="S637" t="s">
        <v>14653</v>
      </c>
      <c r="T637" t="s">
        <v>14654</v>
      </c>
      <c r="U637" t="s">
        <v>14655</v>
      </c>
      <c r="V637" t="s">
        <v>14656</v>
      </c>
      <c r="W637" t="s">
        <v>14657</v>
      </c>
      <c r="X637" t="s">
        <v>14658</v>
      </c>
      <c r="Y637" t="s">
        <v>14659</v>
      </c>
    </row>
    <row r="638" spans="1:25" x14ac:dyDescent="0.3">
      <c r="A638">
        <v>31850</v>
      </c>
      <c r="B638" t="s">
        <v>14660</v>
      </c>
      <c r="C638" t="s">
        <v>14661</v>
      </c>
      <c r="D638" t="s">
        <v>14662</v>
      </c>
      <c r="E638" t="s">
        <v>14663</v>
      </c>
      <c r="F638" t="s">
        <v>14664</v>
      </c>
      <c r="G638" t="s">
        <v>14665</v>
      </c>
      <c r="H638" t="s">
        <v>14666</v>
      </c>
      <c r="I638" t="s">
        <v>14667</v>
      </c>
      <c r="J638" t="s">
        <v>14668</v>
      </c>
      <c r="K638" t="s">
        <v>14669</v>
      </c>
      <c r="L638" t="s">
        <v>14670</v>
      </c>
      <c r="M638" t="s">
        <v>14671</v>
      </c>
      <c r="N638" t="s">
        <v>14672</v>
      </c>
      <c r="O638">
        <f>-622.8088333728 -92.21010977233 -738.080810966836</f>
        <v>-1453.0997541119659</v>
      </c>
      <c r="P638">
        <f>-657.940265514426 -57.7874881634392 -425.403653151993</f>
        <v>-1141.1314068298582</v>
      </c>
      <c r="Q638">
        <f>-401.794716433004 -13.6857042639491 -434.706101038955</f>
        <v>-850.18652173590817</v>
      </c>
      <c r="R638" t="s">
        <v>14673</v>
      </c>
      <c r="S638" t="s">
        <v>14674</v>
      </c>
      <c r="T638" t="s">
        <v>14675</v>
      </c>
      <c r="U638" t="s">
        <v>14676</v>
      </c>
      <c r="V638" t="s">
        <v>14677</v>
      </c>
      <c r="W638" t="s">
        <v>14678</v>
      </c>
      <c r="X638" t="s">
        <v>14679</v>
      </c>
      <c r="Y638" t="s">
        <v>14680</v>
      </c>
    </row>
    <row r="639" spans="1:25" x14ac:dyDescent="0.3">
      <c r="A639">
        <v>31900</v>
      </c>
      <c r="B639" t="s">
        <v>14681</v>
      </c>
      <c r="C639" t="s">
        <v>14682</v>
      </c>
      <c r="D639" t="s">
        <v>14683</v>
      </c>
      <c r="E639" t="s">
        <v>14684</v>
      </c>
      <c r="F639" t="s">
        <v>14685</v>
      </c>
      <c r="G639" t="s">
        <v>14686</v>
      </c>
      <c r="H639" t="s">
        <v>14687</v>
      </c>
      <c r="I639" t="s">
        <v>14688</v>
      </c>
      <c r="J639" t="s">
        <v>14689</v>
      </c>
      <c r="K639" t="s">
        <v>14690</v>
      </c>
      <c r="L639" t="s">
        <v>14691</v>
      </c>
      <c r="M639" t="s">
        <v>14692</v>
      </c>
      <c r="N639" t="s">
        <v>14693</v>
      </c>
      <c r="O639">
        <f>-618.166871195506 -96.4470037495414 -736.815992206463</f>
        <v>-1451.4298671515103</v>
      </c>
      <c r="P639">
        <f>-653.407077891458 -60.5897980314423 -424.312273770995</f>
        <v>-1138.3091496938953</v>
      </c>
      <c r="Q639">
        <f>-397.475790623231 -15.0653208556002 -432.60391477426</f>
        <v>-845.14502625309115</v>
      </c>
      <c r="R639" t="s">
        <v>14694</v>
      </c>
      <c r="S639" t="s">
        <v>14695</v>
      </c>
      <c r="T639" t="s">
        <v>14696</v>
      </c>
      <c r="U639" t="s">
        <v>14697</v>
      </c>
      <c r="V639" t="s">
        <v>14698</v>
      </c>
      <c r="W639" t="s">
        <v>14699</v>
      </c>
      <c r="X639" t="s">
        <v>14700</v>
      </c>
      <c r="Y639" t="s">
        <v>14701</v>
      </c>
    </row>
    <row r="640" spans="1:25" x14ac:dyDescent="0.3">
      <c r="A640">
        <v>31950</v>
      </c>
      <c r="B640" t="s">
        <v>14702</v>
      </c>
      <c r="C640" t="s">
        <v>14703</v>
      </c>
      <c r="D640" t="s">
        <v>14704</v>
      </c>
      <c r="E640" t="s">
        <v>14705</v>
      </c>
      <c r="F640" t="s">
        <v>14706</v>
      </c>
      <c r="G640" t="s">
        <v>14707</v>
      </c>
      <c r="H640" t="s">
        <v>14708</v>
      </c>
      <c r="I640" t="s">
        <v>14709</v>
      </c>
      <c r="J640" t="s">
        <v>14710</v>
      </c>
      <c r="K640" t="s">
        <v>14711</v>
      </c>
      <c r="L640" t="s">
        <v>14712</v>
      </c>
      <c r="M640" t="s">
        <v>14713</v>
      </c>
      <c r="N640" t="s">
        <v>14714</v>
      </c>
      <c r="O640">
        <f>-613.94022496549 -100.319831722853 -735.500952808857</f>
        <v>-1449.7610094972001</v>
      </c>
      <c r="P640">
        <f>-649.403968189533 -62.9911006684545 -423.194934081421</f>
        <v>-1135.5900029394084</v>
      </c>
      <c r="Q640">
        <f>-393.678866273161 -16.1403071083431 -430.387315560648</f>
        <v>-840.20648894215219</v>
      </c>
      <c r="R640" t="s">
        <v>14715</v>
      </c>
      <c r="S640" t="s">
        <v>14716</v>
      </c>
      <c r="T640" t="s">
        <v>14717</v>
      </c>
      <c r="U640" t="s">
        <v>14718</v>
      </c>
      <c r="V640" t="s">
        <v>14719</v>
      </c>
      <c r="W640" t="s">
        <v>14720</v>
      </c>
      <c r="X640" t="s">
        <v>14721</v>
      </c>
      <c r="Y640" t="s">
        <v>14722</v>
      </c>
    </row>
    <row r="641" spans="1:25" x14ac:dyDescent="0.3">
      <c r="A641">
        <v>32000</v>
      </c>
      <c r="B641" t="s">
        <v>14723</v>
      </c>
      <c r="C641" t="s">
        <v>14724</v>
      </c>
      <c r="D641" t="s">
        <v>14725</v>
      </c>
      <c r="E641" t="s">
        <v>14726</v>
      </c>
      <c r="F641" t="s">
        <v>14727</v>
      </c>
      <c r="G641" t="s">
        <v>14728</v>
      </c>
      <c r="H641" t="s">
        <v>14729</v>
      </c>
      <c r="I641" t="s">
        <v>14730</v>
      </c>
      <c r="J641" t="s">
        <v>14731</v>
      </c>
      <c r="K641" t="s">
        <v>14732</v>
      </c>
      <c r="L641" t="s">
        <v>14733</v>
      </c>
      <c r="M641" t="s">
        <v>14734</v>
      </c>
      <c r="N641" t="s">
        <v>14735</v>
      </c>
      <c r="O641">
        <f>-605.506857630544 -106.809244211385 -733.087660446572</f>
        <v>-1445.4037622885012</v>
      </c>
      <c r="P641">
        <f>-642.084279402769 -66.2615244730875 -421.311866998694</f>
        <v>-1129.6576708745506</v>
      </c>
      <c r="Q641">
        <f>-386.693616469457 -17.3557572797474 -426.400282168779</f>
        <v>-830.44965591798336</v>
      </c>
      <c r="R641" t="s">
        <v>14736</v>
      </c>
      <c r="S641" t="s">
        <v>14737</v>
      </c>
      <c r="T641" t="s">
        <v>14738</v>
      </c>
      <c r="U641" t="s">
        <v>14739</v>
      </c>
      <c r="V641" t="s">
        <v>14740</v>
      </c>
      <c r="W641" t="s">
        <v>14741</v>
      </c>
      <c r="X641" t="s">
        <v>14742</v>
      </c>
      <c r="Y641" t="s">
        <v>14743</v>
      </c>
    </row>
    <row r="642" spans="1:25" x14ac:dyDescent="0.3">
      <c r="A642">
        <v>32050</v>
      </c>
      <c r="B642" t="s">
        <v>14744</v>
      </c>
      <c r="C642" t="s">
        <v>14745</v>
      </c>
      <c r="D642" t="s">
        <v>14746</v>
      </c>
      <c r="E642" t="s">
        <v>14747</v>
      </c>
      <c r="F642" t="s">
        <v>14748</v>
      </c>
      <c r="G642" t="s">
        <v>14749</v>
      </c>
      <c r="H642" t="s">
        <v>14750</v>
      </c>
      <c r="I642" t="s">
        <v>14751</v>
      </c>
      <c r="J642" t="s">
        <v>14752</v>
      </c>
      <c r="K642" t="s">
        <v>14753</v>
      </c>
      <c r="L642" t="s">
        <v>14754</v>
      </c>
      <c r="M642" t="s">
        <v>14755</v>
      </c>
      <c r="N642" t="s">
        <v>14756</v>
      </c>
      <c r="O642">
        <f>-597.697954522416 -112.153183522971 -731.122440535627</f>
        <v>-1440.973578581014</v>
      </c>
      <c r="P642">
        <f>-636.058778814303 -69.3817898059136 -419.858374021187</f>
        <v>-1125.2989426414035</v>
      </c>
      <c r="Q642">
        <f>-381.064186849627 -18.3529360725474 -423.84116306844</f>
        <v>-823.25828599061435</v>
      </c>
      <c r="R642" t="s">
        <v>14757</v>
      </c>
      <c r="S642" t="s">
        <v>14758</v>
      </c>
      <c r="T642" t="s">
        <v>14759</v>
      </c>
      <c r="U642" t="s">
        <v>14760</v>
      </c>
      <c r="V642" t="s">
        <v>14761</v>
      </c>
      <c r="W642" t="s">
        <v>14762</v>
      </c>
      <c r="X642" t="s">
        <v>14763</v>
      </c>
      <c r="Y642" t="s">
        <v>14764</v>
      </c>
    </row>
    <row r="643" spans="1:25" x14ac:dyDescent="0.3">
      <c r="A643">
        <v>32100</v>
      </c>
      <c r="B643" t="s">
        <v>14765</v>
      </c>
      <c r="C643" t="s">
        <v>14766</v>
      </c>
      <c r="D643" t="s">
        <v>14767</v>
      </c>
      <c r="E643" t="s">
        <v>14768</v>
      </c>
      <c r="F643" t="s">
        <v>14769</v>
      </c>
      <c r="G643" t="s">
        <v>14770</v>
      </c>
      <c r="H643" t="s">
        <v>14771</v>
      </c>
      <c r="I643" t="s">
        <v>14772</v>
      </c>
      <c r="J643" t="s">
        <v>14773</v>
      </c>
      <c r="K643" t="s">
        <v>14774</v>
      </c>
      <c r="L643" t="s">
        <v>14775</v>
      </c>
      <c r="M643" t="s">
        <v>14776</v>
      </c>
      <c r="N643" t="s">
        <v>14777</v>
      </c>
      <c r="O643">
        <f>-594.129278390555 -114.335282454913 -730.32552757903</f>
        <v>-1438.790088424498</v>
      </c>
      <c r="P643">
        <f>-633.516309055457 -71.1466595308318 -419.247406123197</f>
        <v>-1123.9103747094857</v>
      </c>
      <c r="Q643">
        <f>-378.804186749096 -18.7117365984385 -423.036190319352</f>
        <v>-820.5521136668865</v>
      </c>
      <c r="R643" t="s">
        <v>14778</v>
      </c>
      <c r="S643" t="s">
        <v>14779</v>
      </c>
      <c r="T643" t="s">
        <v>14780</v>
      </c>
      <c r="U643" t="s">
        <v>14781</v>
      </c>
      <c r="V643" t="s">
        <v>14782</v>
      </c>
      <c r="W643" t="s">
        <v>14783</v>
      </c>
      <c r="X643" t="s">
        <v>14784</v>
      </c>
      <c r="Y643" t="s">
        <v>14785</v>
      </c>
    </row>
    <row r="644" spans="1:25" x14ac:dyDescent="0.3">
      <c r="A644">
        <v>32150</v>
      </c>
      <c r="B644" t="s">
        <v>14786</v>
      </c>
      <c r="C644" t="s">
        <v>14787</v>
      </c>
      <c r="D644" t="s">
        <v>14788</v>
      </c>
      <c r="E644" t="s">
        <v>14789</v>
      </c>
      <c r="F644" t="s">
        <v>14790</v>
      </c>
      <c r="G644" t="s">
        <v>14791</v>
      </c>
      <c r="H644" t="s">
        <v>14792</v>
      </c>
      <c r="I644" t="s">
        <v>14793</v>
      </c>
      <c r="J644" t="s">
        <v>14794</v>
      </c>
      <c r="K644" t="s">
        <v>14795</v>
      </c>
      <c r="L644" t="s">
        <v>14796</v>
      </c>
      <c r="M644" t="s">
        <v>14797</v>
      </c>
      <c r="N644" t="s">
        <v>14798</v>
      </c>
      <c r="O644">
        <f>-587.794285066845 -117.824197790205 -729.15266688962</f>
        <v>-1434.7711497466698</v>
      </c>
      <c r="P644">
        <f>-629.21646259246 -74.51680103584 -418.355525641973</f>
        <v>-1122.0887892702729</v>
      </c>
      <c r="Q644">
        <f>-375.0697916599 -19.3775181215067 -421.701479779617</f>
        <v>-816.1487895610237</v>
      </c>
      <c r="R644" t="s">
        <v>14799</v>
      </c>
      <c r="S644" t="s">
        <v>14800</v>
      </c>
      <c r="T644" t="s">
        <v>14801</v>
      </c>
      <c r="U644" t="s">
        <v>14802</v>
      </c>
      <c r="V644" t="s">
        <v>14803</v>
      </c>
      <c r="W644" t="s">
        <v>14804</v>
      </c>
      <c r="X644" t="s">
        <v>14805</v>
      </c>
      <c r="Y644" t="s">
        <v>14806</v>
      </c>
    </row>
    <row r="645" spans="1:25" x14ac:dyDescent="0.3">
      <c r="A645">
        <v>32200</v>
      </c>
      <c r="B645" t="s">
        <v>14807</v>
      </c>
      <c r="C645" t="s">
        <v>14808</v>
      </c>
      <c r="D645" t="s">
        <v>14809</v>
      </c>
      <c r="E645" t="s">
        <v>14810</v>
      </c>
      <c r="F645" t="s">
        <v>14811</v>
      </c>
      <c r="G645" t="s">
        <v>14812</v>
      </c>
      <c r="H645" t="s">
        <v>14813</v>
      </c>
      <c r="I645" t="s">
        <v>14814</v>
      </c>
      <c r="J645" t="s">
        <v>14815</v>
      </c>
      <c r="K645" t="s">
        <v>14816</v>
      </c>
      <c r="L645" t="s">
        <v>14817</v>
      </c>
      <c r="M645" t="s">
        <v>14818</v>
      </c>
      <c r="N645" t="s">
        <v>14819</v>
      </c>
      <c r="O645">
        <f>-585.089921110461 -119.167932313742 -728.73150060462</f>
        <v>-1432.9893540288231</v>
      </c>
      <c r="P645">
        <f>-626.911085839923 -76.1383743527508 -417.949189814585</f>
        <v>-1120.9986500072587</v>
      </c>
      <c r="Q645">
        <f>-373.025617374909 -19.7905042475304 -420.976590635296</f>
        <v>-813.7927122577355</v>
      </c>
      <c r="R645" t="s">
        <v>14820</v>
      </c>
      <c r="S645" t="s">
        <v>14821</v>
      </c>
      <c r="T645" t="s">
        <v>14822</v>
      </c>
      <c r="U645" t="s">
        <v>14823</v>
      </c>
      <c r="V645" t="s">
        <v>14824</v>
      </c>
      <c r="W645" t="s">
        <v>14825</v>
      </c>
      <c r="X645" t="s">
        <v>14826</v>
      </c>
      <c r="Y645" t="s">
        <v>14827</v>
      </c>
    </row>
    <row r="646" spans="1:25" x14ac:dyDescent="0.3">
      <c r="A646">
        <v>32250</v>
      </c>
      <c r="B646" t="s">
        <v>14828</v>
      </c>
      <c r="C646" t="s">
        <v>14829</v>
      </c>
      <c r="D646" t="s">
        <v>14830</v>
      </c>
      <c r="E646" t="s">
        <v>14831</v>
      </c>
      <c r="F646" t="s">
        <v>14832</v>
      </c>
      <c r="G646" t="s">
        <v>14833</v>
      </c>
      <c r="H646" t="s">
        <v>14834</v>
      </c>
      <c r="I646" t="s">
        <v>14835</v>
      </c>
      <c r="J646" t="s">
        <v>14836</v>
      </c>
      <c r="K646" t="s">
        <v>14837</v>
      </c>
      <c r="L646" t="s">
        <v>14838</v>
      </c>
      <c r="M646" t="s">
        <v>14839</v>
      </c>
      <c r="N646" t="s">
        <v>14840</v>
      </c>
      <c r="O646">
        <f>-581.285049272906 -120.962612581053 -728.087553198593</f>
        <v>-1430.335215052552</v>
      </c>
      <c r="P646">
        <f>-623.179523832742 -78.4266693770877 -417.247256244804</f>
        <v>-1118.8534494546338</v>
      </c>
      <c r="Q646">
        <f>-369.730682865639 -20.1396057031055 -420.138741118045</f>
        <v>-810.00902968678952</v>
      </c>
      <c r="R646" t="s">
        <v>14841</v>
      </c>
      <c r="S646" t="s">
        <v>14842</v>
      </c>
      <c r="T646" t="s">
        <v>14843</v>
      </c>
      <c r="U646" t="s">
        <v>14844</v>
      </c>
      <c r="V646" t="s">
        <v>14845</v>
      </c>
      <c r="W646" t="s">
        <v>14846</v>
      </c>
      <c r="X646" t="s">
        <v>14847</v>
      </c>
      <c r="Y646" t="s">
        <v>14848</v>
      </c>
    </row>
    <row r="647" spans="1:25" x14ac:dyDescent="0.3">
      <c r="A647">
        <v>32300</v>
      </c>
      <c r="B647" t="s">
        <v>14849</v>
      </c>
      <c r="C647" t="s">
        <v>14850</v>
      </c>
      <c r="D647" t="s">
        <v>14851</v>
      </c>
      <c r="E647" t="s">
        <v>14852</v>
      </c>
      <c r="F647" t="s">
        <v>14853</v>
      </c>
      <c r="G647" t="s">
        <v>14854</v>
      </c>
      <c r="H647" t="s">
        <v>14855</v>
      </c>
      <c r="I647" t="s">
        <v>14856</v>
      </c>
      <c r="J647" t="s">
        <v>14857</v>
      </c>
      <c r="K647" t="s">
        <v>14858</v>
      </c>
      <c r="L647" t="s">
        <v>14859</v>
      </c>
      <c r="M647" t="s">
        <v>14860</v>
      </c>
      <c r="N647" t="s">
        <v>14861</v>
      </c>
      <c r="O647">
        <f>-579.652055583144 -121.778365413837 -727.861399321608</f>
        <v>-1429.2918203185891</v>
      </c>
      <c r="P647">
        <f>-621.761116870696 -79.4212824821942 -417.025610077189</f>
        <v>-1118.2080094300793</v>
      </c>
      <c r="Q647">
        <f>-368.495539932 -20.3506082938214 -420.067152535068</f>
        <v>-808.91330076088934</v>
      </c>
      <c r="R647" t="s">
        <v>14862</v>
      </c>
      <c r="S647" t="s">
        <v>14863</v>
      </c>
      <c r="T647" t="s">
        <v>14864</v>
      </c>
      <c r="U647" t="s">
        <v>14865</v>
      </c>
      <c r="V647" t="s">
        <v>14866</v>
      </c>
      <c r="W647" t="s">
        <v>14867</v>
      </c>
      <c r="X647" t="s">
        <v>14868</v>
      </c>
      <c r="Y647" t="s">
        <v>14869</v>
      </c>
    </row>
    <row r="648" spans="1:25" x14ac:dyDescent="0.3">
      <c r="A648">
        <v>32350</v>
      </c>
      <c r="B648" t="s">
        <v>14870</v>
      </c>
      <c r="C648" t="s">
        <v>14871</v>
      </c>
      <c r="D648" t="s">
        <v>14872</v>
      </c>
      <c r="E648" t="s">
        <v>14873</v>
      </c>
      <c r="F648" t="s">
        <v>14874</v>
      </c>
      <c r="G648" t="s">
        <v>14875</v>
      </c>
      <c r="H648" t="s">
        <v>14876</v>
      </c>
      <c r="I648" t="s">
        <v>14877</v>
      </c>
      <c r="J648" t="s">
        <v>14878</v>
      </c>
      <c r="K648" t="s">
        <v>14879</v>
      </c>
      <c r="L648" t="s">
        <v>14880</v>
      </c>
      <c r="M648" t="s">
        <v>14881</v>
      </c>
      <c r="N648" t="s">
        <v>14882</v>
      </c>
      <c r="O648">
        <f>-578.30857652456 -122.545336415513 -727.766095203807</f>
        <v>-1428.6200081438801</v>
      </c>
      <c r="P648">
        <f>-620.532718182511 -80.2514481855222 -416.937326703319</f>
        <v>-1117.7214930713521</v>
      </c>
      <c r="Q648">
        <f>-367.418897241234 -20.5341671865626 -419.981898478539</f>
        <v>-807.93496290633561</v>
      </c>
      <c r="R648" t="s">
        <v>14883</v>
      </c>
      <c r="S648" t="s">
        <v>14884</v>
      </c>
      <c r="T648" t="s">
        <v>14885</v>
      </c>
      <c r="U648" t="s">
        <v>14886</v>
      </c>
      <c r="V648" t="s">
        <v>14887</v>
      </c>
      <c r="W648" t="s">
        <v>14888</v>
      </c>
      <c r="X648" t="s">
        <v>14889</v>
      </c>
      <c r="Y648" t="s">
        <v>14890</v>
      </c>
    </row>
    <row r="649" spans="1:25" x14ac:dyDescent="0.3">
      <c r="A649">
        <v>32400</v>
      </c>
      <c r="B649" t="s">
        <v>14891</v>
      </c>
      <c r="C649" t="s">
        <v>14892</v>
      </c>
      <c r="D649" t="s">
        <v>14893</v>
      </c>
      <c r="E649" t="s">
        <v>14894</v>
      </c>
      <c r="F649" t="s">
        <v>14895</v>
      </c>
      <c r="G649" t="s">
        <v>14896</v>
      </c>
      <c r="H649" t="s">
        <v>14897</v>
      </c>
      <c r="I649" t="s">
        <v>14898</v>
      </c>
      <c r="J649" t="s">
        <v>14899</v>
      </c>
      <c r="K649" t="s">
        <v>14900</v>
      </c>
      <c r="L649" t="s">
        <v>14901</v>
      </c>
      <c r="M649" t="s">
        <v>14902</v>
      </c>
      <c r="N649" t="s">
        <v>14903</v>
      </c>
      <c r="O649">
        <f>-576.278621713607 -123.656783326925 -727.726199891096</f>
        <v>-1427.6616049316281</v>
      </c>
      <c r="P649">
        <f>-618.706909732732 -81.4583079251644 -416.912282823792</f>
        <v>-1117.0775004816883</v>
      </c>
      <c r="Q649">
        <f>-365.815007548369 -20.7903719972028 -419.58303861928</f>
        <v>-806.18841816485178</v>
      </c>
      <c r="R649" t="s">
        <v>14904</v>
      </c>
      <c r="S649" t="s">
        <v>14905</v>
      </c>
      <c r="T649" t="s">
        <v>14906</v>
      </c>
      <c r="U649" t="s">
        <v>14907</v>
      </c>
      <c r="V649" t="s">
        <v>14908</v>
      </c>
      <c r="W649" t="s">
        <v>14909</v>
      </c>
      <c r="X649" t="s">
        <v>14910</v>
      </c>
      <c r="Y649" t="s">
        <v>14911</v>
      </c>
    </row>
    <row r="650" spans="1:25" x14ac:dyDescent="0.3">
      <c r="A650">
        <v>32450</v>
      </c>
      <c r="B650" t="s">
        <v>14912</v>
      </c>
      <c r="C650" t="s">
        <v>14913</v>
      </c>
      <c r="D650" t="s">
        <v>14914</v>
      </c>
      <c r="E650" t="s">
        <v>14915</v>
      </c>
      <c r="F650" t="s">
        <v>14916</v>
      </c>
      <c r="G650" t="s">
        <v>14917</v>
      </c>
      <c r="H650" t="s">
        <v>14918</v>
      </c>
      <c r="I650" t="s">
        <v>14919</v>
      </c>
      <c r="J650" t="s">
        <v>14920</v>
      </c>
      <c r="K650" t="s">
        <v>14921</v>
      </c>
      <c r="L650" t="s">
        <v>14922</v>
      </c>
      <c r="M650" t="s">
        <v>14923</v>
      </c>
      <c r="N650" t="s">
        <v>14924</v>
      </c>
      <c r="O650">
        <f>-574.763087989269 -124.577242761021 -727.765482993631</f>
        <v>-1427.1058137439211</v>
      </c>
      <c r="P650">
        <f>-617.947082346939 -82.4343482161216 -417.048183242362</f>
        <v>-1117.4296138054226</v>
      </c>
      <c r="Q650">
        <f>-365.170449311208 -21.2671022982255 -419.191091762213</f>
        <v>-805.62864337164649</v>
      </c>
      <c r="R650" t="s">
        <v>14925</v>
      </c>
      <c r="S650" t="s">
        <v>14926</v>
      </c>
      <c r="T650" t="s">
        <v>14927</v>
      </c>
      <c r="U650" t="s">
        <v>14928</v>
      </c>
      <c r="V650" t="s">
        <v>14929</v>
      </c>
      <c r="W650" t="s">
        <v>14930</v>
      </c>
      <c r="X650" t="s">
        <v>14931</v>
      </c>
      <c r="Y650" t="s">
        <v>14932</v>
      </c>
    </row>
    <row r="651" spans="1:25" x14ac:dyDescent="0.3">
      <c r="A651">
        <v>32500</v>
      </c>
      <c r="B651" t="s">
        <v>14933</v>
      </c>
      <c r="C651" t="s">
        <v>14934</v>
      </c>
      <c r="D651" t="s">
        <v>14935</v>
      </c>
      <c r="E651" t="s">
        <v>14936</v>
      </c>
      <c r="F651" t="s">
        <v>14937</v>
      </c>
      <c r="G651" t="s">
        <v>14938</v>
      </c>
      <c r="H651" t="s">
        <v>14939</v>
      </c>
      <c r="I651" t="s">
        <v>14940</v>
      </c>
      <c r="J651" t="s">
        <v>14941</v>
      </c>
      <c r="K651" t="s">
        <v>14942</v>
      </c>
      <c r="L651" t="s">
        <v>14943</v>
      </c>
      <c r="M651" t="s">
        <v>14944</v>
      </c>
      <c r="N651" t="s">
        <v>14945</v>
      </c>
      <c r="O651">
        <f>-574.131877077791 -124.889364314222 -727.864835397077</f>
        <v>-1426.8860767890901</v>
      </c>
      <c r="P651">
        <f>-617.512900536423 -82.7537623651707 -417.173828388736</f>
        <v>-1117.4404912903296</v>
      </c>
      <c r="Q651">
        <f>-364.739911761209 -21.562364972498 -419.037159943585</f>
        <v>-805.33943667729204</v>
      </c>
      <c r="R651" t="s">
        <v>14946</v>
      </c>
      <c r="S651" t="s">
        <v>14947</v>
      </c>
      <c r="T651" t="s">
        <v>14948</v>
      </c>
      <c r="U651" t="s">
        <v>14949</v>
      </c>
      <c r="V651" t="s">
        <v>14950</v>
      </c>
      <c r="W651" t="s">
        <v>14951</v>
      </c>
      <c r="X651" t="s">
        <v>14952</v>
      </c>
      <c r="Y651" t="s">
        <v>14953</v>
      </c>
    </row>
    <row r="652" spans="1:25" x14ac:dyDescent="0.3">
      <c r="A652">
        <v>32550</v>
      </c>
      <c r="B652" t="s">
        <v>14954</v>
      </c>
      <c r="C652" t="s">
        <v>14955</v>
      </c>
      <c r="D652" t="s">
        <v>14956</v>
      </c>
      <c r="E652" t="s">
        <v>14957</v>
      </c>
      <c r="F652" t="s">
        <v>14958</v>
      </c>
      <c r="G652" t="s">
        <v>14959</v>
      </c>
      <c r="H652" t="s">
        <v>14960</v>
      </c>
      <c r="I652" t="s">
        <v>14961</v>
      </c>
      <c r="J652" t="s">
        <v>14962</v>
      </c>
      <c r="K652" t="s">
        <v>14963</v>
      </c>
      <c r="L652" t="s">
        <v>14964</v>
      </c>
      <c r="M652" t="s">
        <v>14965</v>
      </c>
      <c r="N652" t="s">
        <v>14966</v>
      </c>
      <c r="O652">
        <f>-573.229989896086 -125.541427258082 -727.955328325945</f>
        <v>-1426.7267454801129</v>
      </c>
      <c r="P652">
        <f>-616.773683981212 -83.578649570014 -417.263703949354</f>
        <v>-1117.61603750058</v>
      </c>
      <c r="Q652">
        <f>-363.857784920913 -22.9662064894513 -418.577977050442</f>
        <v>-805.4019684608063</v>
      </c>
      <c r="R652" t="s">
        <v>14967</v>
      </c>
      <c r="S652" t="s">
        <v>14968</v>
      </c>
      <c r="T652" t="s">
        <v>14969</v>
      </c>
      <c r="U652" t="s">
        <v>14970</v>
      </c>
      <c r="V652" t="s">
        <v>14971</v>
      </c>
      <c r="W652" t="s">
        <v>14972</v>
      </c>
      <c r="X652" t="s">
        <v>14973</v>
      </c>
      <c r="Y652" t="s">
        <v>14974</v>
      </c>
    </row>
    <row r="653" spans="1:25" x14ac:dyDescent="0.3">
      <c r="A653">
        <v>32600</v>
      </c>
      <c r="B653" t="s">
        <v>14975</v>
      </c>
      <c r="C653" t="s">
        <v>14976</v>
      </c>
      <c r="D653" t="s">
        <v>14977</v>
      </c>
      <c r="E653" t="s">
        <v>14978</v>
      </c>
      <c r="F653" t="s">
        <v>14979</v>
      </c>
      <c r="G653" t="s">
        <v>14980</v>
      </c>
      <c r="H653" t="s">
        <v>14981</v>
      </c>
      <c r="I653" t="s">
        <v>14982</v>
      </c>
      <c r="J653" t="s">
        <v>14983</v>
      </c>
      <c r="K653" t="s">
        <v>14984</v>
      </c>
      <c r="L653" t="s">
        <v>14985</v>
      </c>
      <c r="M653" t="s">
        <v>14986</v>
      </c>
      <c r="N653" t="s">
        <v>14987</v>
      </c>
      <c r="O653">
        <f>-572.953622830143 -125.704024942008 -727.980931436927</f>
        <v>-1426.638579209078</v>
      </c>
      <c r="P653">
        <f>-616.734283513179 -83.6803129982721 -417.330898138645</f>
        <v>-1117.7454946500961</v>
      </c>
      <c r="Q653">
        <f>-363.702033161735 -23.551469368669 -418.44695068598</f>
        <v>-805.70045321638406</v>
      </c>
      <c r="R653" t="s">
        <v>14988</v>
      </c>
      <c r="S653" t="s">
        <v>14989</v>
      </c>
      <c r="T653" t="s">
        <v>14990</v>
      </c>
      <c r="U653" t="s">
        <v>14991</v>
      </c>
      <c r="V653" t="s">
        <v>14992</v>
      </c>
      <c r="W653" t="s">
        <v>14993</v>
      </c>
      <c r="X653" t="s">
        <v>14994</v>
      </c>
      <c r="Y653" t="s">
        <v>14995</v>
      </c>
    </row>
    <row r="654" spans="1:25" x14ac:dyDescent="0.3">
      <c r="A654">
        <v>32650</v>
      </c>
      <c r="B654" t="s">
        <v>14996</v>
      </c>
      <c r="C654" t="s">
        <v>14997</v>
      </c>
      <c r="D654" t="s">
        <v>14998</v>
      </c>
      <c r="E654" t="s">
        <v>14999</v>
      </c>
      <c r="F654" t="s">
        <v>15000</v>
      </c>
      <c r="G654" t="s">
        <v>15001</v>
      </c>
      <c r="H654" t="s">
        <v>15002</v>
      </c>
      <c r="I654" t="s">
        <v>15003</v>
      </c>
      <c r="J654" t="s">
        <v>15004</v>
      </c>
      <c r="K654" t="s">
        <v>15005</v>
      </c>
      <c r="L654" t="s">
        <v>15006</v>
      </c>
      <c r="M654" t="s">
        <v>15007</v>
      </c>
      <c r="N654" t="s">
        <v>15008</v>
      </c>
      <c r="O654">
        <f>-572.564887621201 -126.103727754366 -728.129541854502</f>
        <v>-1426.7981572300691</v>
      </c>
      <c r="P654">
        <f>-616.660926071694 -84.1499726237214 -417.514675689551</f>
        <v>-1118.3255743849663</v>
      </c>
      <c r="Q654">
        <f>-363.455190075904 -24.7507172569324 -418.331487129277</f>
        <v>-806.5373944621133</v>
      </c>
      <c r="R654" t="s">
        <v>15009</v>
      </c>
      <c r="S654" t="s">
        <v>15010</v>
      </c>
      <c r="T654" t="s">
        <v>15011</v>
      </c>
      <c r="U654" t="s">
        <v>15012</v>
      </c>
      <c r="V654" t="s">
        <v>15013</v>
      </c>
      <c r="W654" t="s">
        <v>15014</v>
      </c>
      <c r="X654" t="s">
        <v>15015</v>
      </c>
      <c r="Y654" t="s">
        <v>15016</v>
      </c>
    </row>
    <row r="655" spans="1:25" x14ac:dyDescent="0.3">
      <c r="A655">
        <v>32700</v>
      </c>
      <c r="B655" t="s">
        <v>15017</v>
      </c>
      <c r="C655" t="s">
        <v>15018</v>
      </c>
      <c r="D655" t="s">
        <v>15019</v>
      </c>
      <c r="E655" t="s">
        <v>15020</v>
      </c>
      <c r="F655" t="s">
        <v>15021</v>
      </c>
      <c r="G655" t="s">
        <v>15022</v>
      </c>
      <c r="H655" t="s">
        <v>15023</v>
      </c>
      <c r="I655" t="s">
        <v>15024</v>
      </c>
      <c r="J655" t="s">
        <v>15025</v>
      </c>
      <c r="K655" t="s">
        <v>15026</v>
      </c>
      <c r="L655" t="s">
        <v>15027</v>
      </c>
      <c r="M655" t="s">
        <v>15028</v>
      </c>
      <c r="N655" t="s">
        <v>15029</v>
      </c>
      <c r="O655">
        <f>-572.781798980742 -126.203695290248 -728.184278020152</f>
        <v>-1427.169772291142</v>
      </c>
      <c r="P655">
        <f>-616.945943297377 -84.3318728505339 -417.567964257523</f>
        <v>-1118.845780405434</v>
      </c>
      <c r="Q655">
        <f>-363.706653364679 -25.0740288304335 -418.210953644881</f>
        <v>-806.99163583999348</v>
      </c>
      <c r="R655" t="s">
        <v>15030</v>
      </c>
      <c r="S655" t="s">
        <v>15031</v>
      </c>
      <c r="T655" t="s">
        <v>15032</v>
      </c>
      <c r="U655" t="s">
        <v>15033</v>
      </c>
      <c r="V655" t="s">
        <v>15034</v>
      </c>
      <c r="W655" t="s">
        <v>15035</v>
      </c>
      <c r="X655" t="s">
        <v>15036</v>
      </c>
      <c r="Y655" t="s">
        <v>15037</v>
      </c>
    </row>
    <row r="656" spans="1:25" x14ac:dyDescent="0.3">
      <c r="A656">
        <v>32750</v>
      </c>
      <c r="B656" t="s">
        <v>15038</v>
      </c>
      <c r="C656" t="s">
        <v>15039</v>
      </c>
      <c r="D656" t="s">
        <v>15040</v>
      </c>
      <c r="E656" t="s">
        <v>15041</v>
      </c>
      <c r="F656" t="s">
        <v>15042</v>
      </c>
      <c r="G656" t="s">
        <v>15043</v>
      </c>
      <c r="H656" t="s">
        <v>15044</v>
      </c>
      <c r="I656" t="s">
        <v>15045</v>
      </c>
      <c r="J656" t="s">
        <v>15046</v>
      </c>
      <c r="K656" t="s">
        <v>15047</v>
      </c>
      <c r="L656" t="s">
        <v>15048</v>
      </c>
      <c r="M656" t="s">
        <v>15049</v>
      </c>
      <c r="N656" t="s">
        <v>15050</v>
      </c>
      <c r="O656">
        <f>-572.914653330846 -126.558159182326 -728.104271601534</f>
        <v>-1427.5770841147059</v>
      </c>
      <c r="P656">
        <f>-617.231908963976 -84.550478787258 -417.528076842266</f>
        <v>-1119.3104645935</v>
      </c>
      <c r="Q656">
        <f>-363.912762318893 -25.6337847317212 -418.038459992546</f>
        <v>-807.5850070431602</v>
      </c>
      <c r="R656" t="s">
        <v>15051</v>
      </c>
      <c r="S656" t="s">
        <v>15052</v>
      </c>
      <c r="T656" t="s">
        <v>15053</v>
      </c>
      <c r="U656" t="s">
        <v>15054</v>
      </c>
      <c r="V656" t="s">
        <v>15055</v>
      </c>
      <c r="W656" t="s">
        <v>15056</v>
      </c>
      <c r="X656" t="s">
        <v>15057</v>
      </c>
      <c r="Y656" t="s">
        <v>15058</v>
      </c>
    </row>
    <row r="657" spans="1:25" x14ac:dyDescent="0.3">
      <c r="A657">
        <v>32800</v>
      </c>
      <c r="B657" t="s">
        <v>15059</v>
      </c>
      <c r="C657" t="s">
        <v>15060</v>
      </c>
      <c r="D657" t="s">
        <v>15061</v>
      </c>
      <c r="E657" t="s">
        <v>15062</v>
      </c>
      <c r="F657" t="s">
        <v>15063</v>
      </c>
      <c r="G657" t="s">
        <v>15064</v>
      </c>
      <c r="H657" t="s">
        <v>15065</v>
      </c>
      <c r="I657" t="s">
        <v>15066</v>
      </c>
      <c r="J657" t="s">
        <v>15067</v>
      </c>
      <c r="K657" t="s">
        <v>15068</v>
      </c>
      <c r="L657" t="s">
        <v>15069</v>
      </c>
      <c r="M657" t="s">
        <v>15070</v>
      </c>
      <c r="N657" t="s">
        <v>15071</v>
      </c>
      <c r="O657">
        <f>-572.918421344929 -126.6269274828 -728.015712529015</f>
        <v>-1427.5610613567439</v>
      </c>
      <c r="P657">
        <f>-617.335680353225 -84.5765793053737 -417.459668533067</f>
        <v>-1119.3719281916656</v>
      </c>
      <c r="Q657">
        <f>-363.979890354437 -25.8177608650265 -417.994846580494</f>
        <v>-807.79249779995757</v>
      </c>
      <c r="R657" t="s">
        <v>15072</v>
      </c>
      <c r="S657" t="s">
        <v>15073</v>
      </c>
      <c r="T657" t="s">
        <v>15074</v>
      </c>
      <c r="U657" t="s">
        <v>15075</v>
      </c>
      <c r="V657" t="s">
        <v>15076</v>
      </c>
      <c r="W657" t="s">
        <v>15077</v>
      </c>
      <c r="X657" t="s">
        <v>15078</v>
      </c>
      <c r="Y657" t="s">
        <v>15079</v>
      </c>
    </row>
    <row r="658" spans="1:25" x14ac:dyDescent="0.3">
      <c r="A658">
        <v>32850</v>
      </c>
      <c r="B658" t="s">
        <v>15080</v>
      </c>
      <c r="C658" t="s">
        <v>15081</v>
      </c>
      <c r="D658" t="s">
        <v>15082</v>
      </c>
      <c r="E658" t="s">
        <v>15083</v>
      </c>
      <c r="F658" t="s">
        <v>15084</v>
      </c>
      <c r="G658" t="s">
        <v>15085</v>
      </c>
      <c r="H658" t="s">
        <v>15086</v>
      </c>
      <c r="I658" t="s">
        <v>15087</v>
      </c>
      <c r="J658" t="s">
        <v>15088</v>
      </c>
      <c r="K658" t="s">
        <v>15089</v>
      </c>
      <c r="L658" t="s">
        <v>15090</v>
      </c>
      <c r="M658" t="s">
        <v>15091</v>
      </c>
      <c r="N658" t="s">
        <v>15092</v>
      </c>
      <c r="O658">
        <f>-573.016857011106 -126.78023244874 -727.976885510289</f>
        <v>-1427.773974970135</v>
      </c>
      <c r="P658">
        <f>-617.619886290048 -84.6728461001309 -417.455085001433</f>
        <v>-1119.747817391612</v>
      </c>
      <c r="Q658">
        <f>-364.234139901988 -26.0430437664045 -417.975697753354</f>
        <v>-808.25288142174645</v>
      </c>
      <c r="R658" t="s">
        <v>15093</v>
      </c>
      <c r="S658" t="s">
        <v>15094</v>
      </c>
      <c r="T658" t="s">
        <v>15095</v>
      </c>
      <c r="U658" t="s">
        <v>15096</v>
      </c>
      <c r="V658" t="s">
        <v>15097</v>
      </c>
      <c r="W658" t="s">
        <v>15098</v>
      </c>
      <c r="X658" t="s">
        <v>15099</v>
      </c>
      <c r="Y658" t="s">
        <v>15100</v>
      </c>
    </row>
    <row r="659" spans="1:25" x14ac:dyDescent="0.3">
      <c r="A659">
        <v>32900</v>
      </c>
      <c r="B659" t="s">
        <v>15101</v>
      </c>
      <c r="C659" t="s">
        <v>15102</v>
      </c>
      <c r="D659" t="s">
        <v>15103</v>
      </c>
      <c r="E659" t="s">
        <v>15104</v>
      </c>
      <c r="F659" t="s">
        <v>15105</v>
      </c>
      <c r="G659" t="s">
        <v>15106</v>
      </c>
      <c r="H659" t="s">
        <v>15107</v>
      </c>
      <c r="I659" t="s">
        <v>15108</v>
      </c>
      <c r="J659" t="s">
        <v>15109</v>
      </c>
      <c r="K659" t="s">
        <v>15110</v>
      </c>
      <c r="L659" t="s">
        <v>15111</v>
      </c>
      <c r="M659" t="s">
        <v>15112</v>
      </c>
      <c r="N659" t="s">
        <v>15113</v>
      </c>
      <c r="O659">
        <f>-573.362253122154 -126.756759880533 -728.155014689973</f>
        <v>-1428.27402769266</v>
      </c>
      <c r="P659">
        <f>-618.064126029738 -84.7459160433979 -417.63449003129</f>
        <v>-1120.4445321044259</v>
      </c>
      <c r="Q659">
        <f>-364.661870126402 -26.1857068565418 -417.831789028231</f>
        <v>-808.67936601117481</v>
      </c>
      <c r="R659" t="s">
        <v>15114</v>
      </c>
      <c r="S659" t="s">
        <v>15115</v>
      </c>
      <c r="T659" t="s">
        <v>15116</v>
      </c>
      <c r="U659" t="s">
        <v>15117</v>
      </c>
      <c r="V659" t="s">
        <v>15118</v>
      </c>
      <c r="W659" t="s">
        <v>15119</v>
      </c>
      <c r="X659" t="s">
        <v>15120</v>
      </c>
      <c r="Y659" t="s">
        <v>15121</v>
      </c>
    </row>
    <row r="660" spans="1:25" x14ac:dyDescent="0.3">
      <c r="A660">
        <v>32950</v>
      </c>
      <c r="B660" t="s">
        <v>15122</v>
      </c>
      <c r="C660" t="s">
        <v>15123</v>
      </c>
      <c r="D660" t="s">
        <v>15124</v>
      </c>
      <c r="E660" t="s">
        <v>15125</v>
      </c>
      <c r="F660" t="s">
        <v>15126</v>
      </c>
      <c r="G660" t="s">
        <v>15127</v>
      </c>
      <c r="H660" t="s">
        <v>15128</v>
      </c>
      <c r="I660" t="s">
        <v>15129</v>
      </c>
      <c r="J660" t="s">
        <v>15130</v>
      </c>
      <c r="K660" t="s">
        <v>15131</v>
      </c>
      <c r="L660" t="s">
        <v>15132</v>
      </c>
      <c r="M660" t="s">
        <v>15133</v>
      </c>
      <c r="N660" t="s">
        <v>15134</v>
      </c>
      <c r="O660">
        <f>-574.420999625464 -126.488481772994 -728.418292229652</f>
        <v>-1429.32777362811</v>
      </c>
      <c r="P660">
        <f>-619.006126383905 -84.7869409542094 -417.839314680224</f>
        <v>-1121.6323820183384</v>
      </c>
      <c r="Q660">
        <f>-365.60653563948 -26.2147607713218 -417.948842353894</f>
        <v>-809.77013876469573</v>
      </c>
      <c r="R660" t="s">
        <v>15135</v>
      </c>
      <c r="S660" t="s">
        <v>15136</v>
      </c>
      <c r="T660" t="s">
        <v>15137</v>
      </c>
      <c r="U660" t="s">
        <v>15138</v>
      </c>
      <c r="V660" t="s">
        <v>15139</v>
      </c>
      <c r="W660" t="s">
        <v>15140</v>
      </c>
      <c r="X660" t="s">
        <v>15141</v>
      </c>
      <c r="Y660" t="s">
        <v>15142</v>
      </c>
    </row>
    <row r="661" spans="1:25" x14ac:dyDescent="0.3">
      <c r="A661">
        <v>33000</v>
      </c>
      <c r="B661" t="s">
        <v>15143</v>
      </c>
      <c r="C661" t="s">
        <v>15144</v>
      </c>
      <c r="D661" t="s">
        <v>15145</v>
      </c>
      <c r="E661" t="s">
        <v>15146</v>
      </c>
      <c r="F661" t="s">
        <v>15147</v>
      </c>
      <c r="G661" t="s">
        <v>15148</v>
      </c>
      <c r="H661" t="s">
        <v>15149</v>
      </c>
      <c r="I661" t="s">
        <v>15150</v>
      </c>
      <c r="J661" t="s">
        <v>15151</v>
      </c>
      <c r="K661" t="s">
        <v>15152</v>
      </c>
      <c r="L661" t="s">
        <v>15153</v>
      </c>
      <c r="M661" t="s">
        <v>15154</v>
      </c>
      <c r="N661" t="s">
        <v>15155</v>
      </c>
      <c r="O661">
        <f>-574.797276453239 -126.413802184364 -728.546864705205</f>
        <v>-1429.7579433428082</v>
      </c>
      <c r="P661">
        <f>-619.341587311054 -84.9374547339774 -417.931926615108</f>
        <v>-1122.2109686601395</v>
      </c>
      <c r="Q661">
        <f>-365.914629994776 -26.4840113760226 -418.043910438509</f>
        <v>-810.44255180930759</v>
      </c>
      <c r="R661" t="s">
        <v>15156</v>
      </c>
      <c r="S661" t="s">
        <v>15157</v>
      </c>
      <c r="T661" t="s">
        <v>15158</v>
      </c>
      <c r="U661" t="s">
        <v>15159</v>
      </c>
      <c r="V661" t="s">
        <v>15160</v>
      </c>
      <c r="W661" t="s">
        <v>15161</v>
      </c>
      <c r="X661" t="s">
        <v>15162</v>
      </c>
      <c r="Y661" t="s">
        <v>15163</v>
      </c>
    </row>
    <row r="662" spans="1:25" x14ac:dyDescent="0.3">
      <c r="A662">
        <v>33050</v>
      </c>
      <c r="B662" t="s">
        <v>15164</v>
      </c>
      <c r="C662" t="s">
        <v>15165</v>
      </c>
      <c r="D662" t="s">
        <v>15166</v>
      </c>
      <c r="E662" t="s">
        <v>15167</v>
      </c>
      <c r="F662" t="s">
        <v>15168</v>
      </c>
      <c r="G662" t="s">
        <v>15169</v>
      </c>
      <c r="H662" t="s">
        <v>15170</v>
      </c>
      <c r="I662" t="s">
        <v>15171</v>
      </c>
      <c r="J662" t="s">
        <v>15172</v>
      </c>
      <c r="K662" t="s">
        <v>15173</v>
      </c>
      <c r="L662" t="s">
        <v>15174</v>
      </c>
      <c r="M662" t="s">
        <v>15175</v>
      </c>
      <c r="N662" t="s">
        <v>15176</v>
      </c>
      <c r="O662">
        <f>-575.139541452692 -126.12224289732 -728.794326816447</f>
        <v>-1430.056111166459</v>
      </c>
      <c r="P662">
        <f>-619.832959685062 -85.0211144615303 -418.150845606792</f>
        <v>-1123.0049197533842</v>
      </c>
      <c r="Q662">
        <f>-366.293876854769 -27.0559046857454 -418.208277493177</f>
        <v>-811.55805903369139</v>
      </c>
      <c r="R662" t="s">
        <v>15177</v>
      </c>
      <c r="S662" t="s">
        <v>15178</v>
      </c>
      <c r="T662" t="s">
        <v>15179</v>
      </c>
      <c r="U662" t="s">
        <v>15180</v>
      </c>
      <c r="V662" t="s">
        <v>15181</v>
      </c>
      <c r="W662" t="s">
        <v>15182</v>
      </c>
      <c r="X662" t="s">
        <v>15183</v>
      </c>
      <c r="Y662" t="s">
        <v>15184</v>
      </c>
    </row>
    <row r="663" spans="1:25" x14ac:dyDescent="0.3">
      <c r="A663">
        <v>33100</v>
      </c>
      <c r="B663" t="s">
        <v>15185</v>
      </c>
      <c r="C663" t="s">
        <v>15186</v>
      </c>
      <c r="D663" t="s">
        <v>15187</v>
      </c>
      <c r="E663" t="s">
        <v>15188</v>
      </c>
      <c r="F663" t="s">
        <v>15189</v>
      </c>
      <c r="G663" t="s">
        <v>15190</v>
      </c>
      <c r="H663" t="s">
        <v>15191</v>
      </c>
      <c r="I663" t="s">
        <v>15192</v>
      </c>
      <c r="J663" t="s">
        <v>15193</v>
      </c>
      <c r="K663" t="s">
        <v>15194</v>
      </c>
      <c r="L663" t="s">
        <v>15195</v>
      </c>
      <c r="M663" t="s">
        <v>15196</v>
      </c>
      <c r="N663" t="s">
        <v>15197</v>
      </c>
      <c r="O663">
        <f>-575.447424286542 -125.947419756702 -728.893400967023</f>
        <v>-1430.288245010267</v>
      </c>
      <c r="P663">
        <f>-620.513777679675 -85.0066894769535 -418.282578356249</f>
        <v>-1123.8030455128774</v>
      </c>
      <c r="Q663">
        <f>-366.944368188232 -27.1742341853591 -418.20819489188</f>
        <v>-812.3267972654711</v>
      </c>
      <c r="R663" t="s">
        <v>15198</v>
      </c>
      <c r="S663" t="s">
        <v>15199</v>
      </c>
      <c r="T663" t="s">
        <v>15200</v>
      </c>
      <c r="U663" t="s">
        <v>15201</v>
      </c>
      <c r="V663" t="s">
        <v>15202</v>
      </c>
      <c r="W663" t="s">
        <v>15203</v>
      </c>
      <c r="X663" t="s">
        <v>15204</v>
      </c>
      <c r="Y663" t="s">
        <v>15205</v>
      </c>
    </row>
    <row r="664" spans="1:25" x14ac:dyDescent="0.3">
      <c r="A664">
        <v>33150</v>
      </c>
      <c r="B664" t="s">
        <v>15206</v>
      </c>
      <c r="C664" t="s">
        <v>15207</v>
      </c>
      <c r="D664" t="s">
        <v>15208</v>
      </c>
      <c r="E664" t="s">
        <v>15209</v>
      </c>
      <c r="F664" t="s">
        <v>15210</v>
      </c>
      <c r="G664" t="s">
        <v>15211</v>
      </c>
      <c r="H664" t="s">
        <v>15212</v>
      </c>
      <c r="I664" t="s">
        <v>15213</v>
      </c>
      <c r="J664" t="s">
        <v>15214</v>
      </c>
      <c r="K664" t="s">
        <v>15215</v>
      </c>
      <c r="L664" t="s">
        <v>15216</v>
      </c>
      <c r="M664" t="s">
        <v>15217</v>
      </c>
      <c r="N664" t="s">
        <v>15218</v>
      </c>
      <c r="O664">
        <f>-576.224018176436 -125.076482155417 -729.280583148273</f>
        <v>-1430.5810834801259</v>
      </c>
      <c r="P664">
        <f>-621.884539637912 -84.6606416909342 -418.687745563329</f>
        <v>-1125.2329268921751</v>
      </c>
      <c r="Q664">
        <f>-368.3595993893 -26.6361642637168 -418.102968506328</f>
        <v>-813.09873215934476</v>
      </c>
      <c r="R664" t="s">
        <v>15219</v>
      </c>
      <c r="S664" t="s">
        <v>15220</v>
      </c>
      <c r="T664" t="s">
        <v>15221</v>
      </c>
      <c r="U664" t="s">
        <v>15222</v>
      </c>
      <c r="V664" t="s">
        <v>15223</v>
      </c>
      <c r="W664" t="s">
        <v>15224</v>
      </c>
      <c r="X664" t="s">
        <v>15225</v>
      </c>
      <c r="Y664" t="s">
        <v>15226</v>
      </c>
    </row>
    <row r="665" spans="1:25" x14ac:dyDescent="0.3">
      <c r="A665">
        <v>33200</v>
      </c>
      <c r="B665" t="s">
        <v>15227</v>
      </c>
      <c r="C665" t="s">
        <v>15228</v>
      </c>
      <c r="D665" t="s">
        <v>15229</v>
      </c>
      <c r="E665" t="s">
        <v>15230</v>
      </c>
      <c r="F665" t="s">
        <v>15231</v>
      </c>
      <c r="G665" t="s">
        <v>15232</v>
      </c>
      <c r="H665" t="s">
        <v>15233</v>
      </c>
      <c r="I665" t="s">
        <v>15234</v>
      </c>
      <c r="J665" t="s">
        <v>15235</v>
      </c>
      <c r="K665" t="s">
        <v>15236</v>
      </c>
      <c r="L665" t="s">
        <v>15237</v>
      </c>
      <c r="M665" t="s">
        <v>15238</v>
      </c>
      <c r="N665" t="s">
        <v>15239</v>
      </c>
      <c r="O665">
        <f>-576.614103319378 -124.822838679334 -729.453850537454</f>
        <v>-1430.8907925361659</v>
      </c>
      <c r="P665">
        <f>-622.363016926658 -84.5268088236722 -418.858542724201</f>
        <v>-1125.7483684745312</v>
      </c>
      <c r="Q665">
        <f>-368.821543298274 -26.5773066079461 -418.046600111278</f>
        <v>-813.44545001749816</v>
      </c>
      <c r="R665" t="s">
        <v>15240</v>
      </c>
      <c r="S665" t="s">
        <v>15241</v>
      </c>
      <c r="T665" t="s">
        <v>15242</v>
      </c>
      <c r="U665" t="s">
        <v>15243</v>
      </c>
      <c r="V665" t="s">
        <v>15244</v>
      </c>
      <c r="W665" t="s">
        <v>15245</v>
      </c>
      <c r="X665" t="s">
        <v>15246</v>
      </c>
      <c r="Y665" t="s">
        <v>15247</v>
      </c>
    </row>
    <row r="666" spans="1:25" x14ac:dyDescent="0.3">
      <c r="A666">
        <v>33250</v>
      </c>
      <c r="B666" t="s">
        <v>15248</v>
      </c>
      <c r="C666" t="s">
        <v>15249</v>
      </c>
      <c r="D666" t="s">
        <v>15250</v>
      </c>
      <c r="E666" t="s">
        <v>15251</v>
      </c>
      <c r="F666" t="s">
        <v>15252</v>
      </c>
      <c r="G666" t="s">
        <v>15253</v>
      </c>
      <c r="H666" t="s">
        <v>15254</v>
      </c>
      <c r="I666" t="s">
        <v>15255</v>
      </c>
      <c r="J666" t="s">
        <v>15256</v>
      </c>
      <c r="K666" t="s">
        <v>15257</v>
      </c>
      <c r="L666" t="s">
        <v>15258</v>
      </c>
      <c r="M666" t="s">
        <v>15259</v>
      </c>
      <c r="N666" t="s">
        <v>15260</v>
      </c>
      <c r="O666">
        <f>-577.860669787886 -124.115438469467 -729.717864048849</f>
        <v>-1431.6939723062019</v>
      </c>
      <c r="P666">
        <f>-623.56363599537 -83.9473198285831 -419.099290910398</f>
        <v>-1126.610246734351</v>
      </c>
      <c r="Q666">
        <f>-369.914283492145 -26.4756818416194 -418.065757285726</f>
        <v>-814.45572261949042</v>
      </c>
      <c r="R666" t="s">
        <v>15261</v>
      </c>
      <c r="S666" t="s">
        <v>15262</v>
      </c>
      <c r="T666" t="s">
        <v>15263</v>
      </c>
      <c r="U666" t="s">
        <v>15264</v>
      </c>
      <c r="V666" t="s">
        <v>15265</v>
      </c>
      <c r="W666" t="s">
        <v>15266</v>
      </c>
      <c r="X666" t="s">
        <v>15267</v>
      </c>
      <c r="Y666" t="s">
        <v>15268</v>
      </c>
    </row>
    <row r="667" spans="1:25" x14ac:dyDescent="0.3">
      <c r="A667">
        <v>33300</v>
      </c>
      <c r="B667" t="s">
        <v>15269</v>
      </c>
      <c r="C667" t="s">
        <v>15270</v>
      </c>
      <c r="D667" t="s">
        <v>15271</v>
      </c>
      <c r="E667" t="s">
        <v>15272</v>
      </c>
      <c r="F667" t="s">
        <v>15273</v>
      </c>
      <c r="G667" t="s">
        <v>15274</v>
      </c>
      <c r="H667" t="s">
        <v>15275</v>
      </c>
      <c r="I667" t="s">
        <v>15276</v>
      </c>
      <c r="J667" t="s">
        <v>15277</v>
      </c>
      <c r="K667" t="s">
        <v>15278</v>
      </c>
      <c r="L667" t="s">
        <v>15279</v>
      </c>
      <c r="M667" t="s">
        <v>15280</v>
      </c>
      <c r="N667" t="s">
        <v>15281</v>
      </c>
      <c r="O667">
        <f>-578.621236682792 -123.93106180259 -729.857190308673</f>
        <v>-1432.4094887940551</v>
      </c>
      <c r="P667">
        <f>-624.379862868974 -83.8233282055249 -419.238985756412</f>
        <v>-1127.442176830911</v>
      </c>
      <c r="Q667">
        <f>-370.683129854942 -26.5611037558151 -418.20688272415</f>
        <v>-815.45111633490706</v>
      </c>
      <c r="R667" t="s">
        <v>15282</v>
      </c>
      <c r="S667" t="s">
        <v>15283</v>
      </c>
      <c r="T667" t="s">
        <v>15284</v>
      </c>
      <c r="U667" t="s">
        <v>15285</v>
      </c>
      <c r="V667" t="s">
        <v>15286</v>
      </c>
      <c r="W667" t="s">
        <v>15287</v>
      </c>
      <c r="X667" t="s">
        <v>15288</v>
      </c>
      <c r="Y667" t="s">
        <v>15289</v>
      </c>
    </row>
    <row r="668" spans="1:25" x14ac:dyDescent="0.3">
      <c r="A668">
        <v>33350</v>
      </c>
      <c r="B668" t="s">
        <v>15290</v>
      </c>
      <c r="C668" t="s">
        <v>15291</v>
      </c>
      <c r="D668" t="s">
        <v>15292</v>
      </c>
      <c r="E668" t="s">
        <v>15293</v>
      </c>
      <c r="F668" t="s">
        <v>15294</v>
      </c>
      <c r="G668" t="s">
        <v>15295</v>
      </c>
      <c r="H668" t="s">
        <v>15296</v>
      </c>
      <c r="I668" t="s">
        <v>15297</v>
      </c>
      <c r="J668" t="s">
        <v>15298</v>
      </c>
      <c r="K668" t="s">
        <v>15299</v>
      </c>
      <c r="L668" t="s">
        <v>15300</v>
      </c>
      <c r="M668" t="s">
        <v>15301</v>
      </c>
      <c r="N668" t="s">
        <v>15302</v>
      </c>
      <c r="O668">
        <f>-580.507425443975 -123.32156691975 -730.351089282113</f>
        <v>-1434.1800816458381</v>
      </c>
      <c r="P668">
        <f>-626.131817349726 -83.5392167439599 -419.671107106039</f>
        <v>-1129.3421411997249</v>
      </c>
      <c r="Q668">
        <f>-372.417883138244 -26.3536490491735 -418.621972396247</f>
        <v>-817.39350458366448</v>
      </c>
      <c r="R668" t="s">
        <v>15303</v>
      </c>
      <c r="S668" t="s">
        <v>15304</v>
      </c>
      <c r="T668" t="s">
        <v>15305</v>
      </c>
      <c r="U668" t="s">
        <v>15306</v>
      </c>
      <c r="V668" t="s">
        <v>15307</v>
      </c>
      <c r="W668" t="s">
        <v>15308</v>
      </c>
      <c r="X668" t="s">
        <v>15309</v>
      </c>
      <c r="Y668" t="s">
        <v>15310</v>
      </c>
    </row>
    <row r="669" spans="1:25" x14ac:dyDescent="0.3">
      <c r="A669">
        <v>33400</v>
      </c>
      <c r="B669" t="s">
        <v>15311</v>
      </c>
      <c r="C669" t="s">
        <v>15312</v>
      </c>
      <c r="D669" t="s">
        <v>15313</v>
      </c>
      <c r="E669" t="s">
        <v>15314</v>
      </c>
      <c r="F669" t="s">
        <v>15315</v>
      </c>
      <c r="G669" t="s">
        <v>15316</v>
      </c>
      <c r="H669" t="s">
        <v>15317</v>
      </c>
      <c r="I669" t="s">
        <v>15318</v>
      </c>
      <c r="J669" t="s">
        <v>15319</v>
      </c>
      <c r="K669" t="s">
        <v>15320</v>
      </c>
      <c r="L669" t="s">
        <v>15321</v>
      </c>
      <c r="M669" t="s">
        <v>15322</v>
      </c>
      <c r="N669" t="s">
        <v>15323</v>
      </c>
      <c r="O669">
        <f>-581.461604126914 -123.033303239358 -730.648198594143</f>
        <v>-1435.1431059604151</v>
      </c>
      <c r="P669">
        <f>-626.938986771701 -83.4522793140113 -419.921154359578</f>
        <v>-1130.3124204452904</v>
      </c>
      <c r="Q669">
        <f>-373.219747425611 -26.2904614990249 -418.866493628703</f>
        <v>-818.37670255333887</v>
      </c>
      <c r="R669" t="s">
        <v>15324</v>
      </c>
      <c r="S669" t="s">
        <v>15325</v>
      </c>
      <c r="T669" t="s">
        <v>15326</v>
      </c>
      <c r="U669" t="s">
        <v>15327</v>
      </c>
      <c r="V669" t="s">
        <v>15328</v>
      </c>
      <c r="W669" t="s">
        <v>15329</v>
      </c>
      <c r="X669" t="s">
        <v>15330</v>
      </c>
      <c r="Y669" t="s">
        <v>15331</v>
      </c>
    </row>
    <row r="670" spans="1:25" x14ac:dyDescent="0.3">
      <c r="A670">
        <v>33450</v>
      </c>
      <c r="B670" t="s">
        <v>15332</v>
      </c>
      <c r="C670" t="s">
        <v>15333</v>
      </c>
      <c r="D670" t="s">
        <v>15334</v>
      </c>
      <c r="E670" t="s">
        <v>15335</v>
      </c>
      <c r="F670" t="s">
        <v>15336</v>
      </c>
      <c r="G670" t="s">
        <v>15337</v>
      </c>
      <c r="H670" t="s">
        <v>15338</v>
      </c>
      <c r="I670" t="s">
        <v>15339</v>
      </c>
      <c r="J670" t="s">
        <v>15340</v>
      </c>
      <c r="K670" t="s">
        <v>15341</v>
      </c>
      <c r="L670" t="s">
        <v>15342</v>
      </c>
      <c r="M670" t="s">
        <v>15343</v>
      </c>
      <c r="N670" t="s">
        <v>15344</v>
      </c>
      <c r="O670">
        <f>-583.796132801844 -122.438387569577 -731.351621968465</f>
        <v>-1437.586142339886</v>
      </c>
      <c r="P670">
        <f>-628.895182170153 -83.5385511183819 -420.483225818824</f>
        <v>-1132.9169591073589</v>
      </c>
      <c r="Q670">
        <f>-375.127557705531 -26.5914244327523 -419.454215996806</f>
        <v>-821.17319813508925</v>
      </c>
      <c r="R670" t="s">
        <v>15345</v>
      </c>
      <c r="S670" t="s">
        <v>15346</v>
      </c>
      <c r="T670" t="s">
        <v>15347</v>
      </c>
      <c r="U670" t="s">
        <v>15348</v>
      </c>
      <c r="V670" t="s">
        <v>15349</v>
      </c>
      <c r="W670" t="s">
        <v>15350</v>
      </c>
      <c r="X670" t="s">
        <v>15351</v>
      </c>
      <c r="Y670" t="s">
        <v>15352</v>
      </c>
    </row>
    <row r="671" spans="1:25" x14ac:dyDescent="0.3">
      <c r="A671">
        <v>33500</v>
      </c>
      <c r="B671" t="s">
        <v>15353</v>
      </c>
      <c r="C671" t="s">
        <v>15354</v>
      </c>
      <c r="D671" t="s">
        <v>15355</v>
      </c>
      <c r="E671" t="s">
        <v>15356</v>
      </c>
      <c r="F671" t="s">
        <v>15357</v>
      </c>
      <c r="G671" t="s">
        <v>15358</v>
      </c>
      <c r="H671" t="s">
        <v>15359</v>
      </c>
      <c r="I671" t="s">
        <v>15360</v>
      </c>
      <c r="J671" t="s">
        <v>15361</v>
      </c>
      <c r="K671" t="s">
        <v>15362</v>
      </c>
      <c r="L671" t="s">
        <v>15363</v>
      </c>
      <c r="M671" t="s">
        <v>15364</v>
      </c>
      <c r="N671" t="s">
        <v>15365</v>
      </c>
      <c r="O671">
        <f>-584.73348575633 -122.320788765015 -731.671421856204</f>
        <v>-1438.725696377549</v>
      </c>
      <c r="P671">
        <f>-629.74322202673 -83.8546609516105 -420.736178699679</f>
        <v>-1134.3340616780195</v>
      </c>
      <c r="Q671">
        <f>-375.946184730698 -27.0381195486261 -419.74520636135</f>
        <v>-822.72951064067411</v>
      </c>
      <c r="R671" t="s">
        <v>15366</v>
      </c>
      <c r="S671" t="s">
        <v>15367</v>
      </c>
      <c r="T671" t="s">
        <v>15368</v>
      </c>
      <c r="U671" t="s">
        <v>15369</v>
      </c>
      <c r="V671" t="s">
        <v>15370</v>
      </c>
      <c r="W671" t="s">
        <v>15371</v>
      </c>
      <c r="X671" t="s">
        <v>15372</v>
      </c>
      <c r="Y671" t="s">
        <v>15373</v>
      </c>
    </row>
    <row r="672" spans="1:25" x14ac:dyDescent="0.3">
      <c r="A672">
        <v>33550</v>
      </c>
      <c r="B672" t="s">
        <v>15374</v>
      </c>
      <c r="C672" t="s">
        <v>15375</v>
      </c>
      <c r="D672" t="s">
        <v>15376</v>
      </c>
      <c r="E672" t="s">
        <v>15377</v>
      </c>
      <c r="F672" t="s">
        <v>15378</v>
      </c>
      <c r="G672" t="s">
        <v>15379</v>
      </c>
      <c r="H672" t="s">
        <v>15380</v>
      </c>
      <c r="I672" t="s">
        <v>15381</v>
      </c>
      <c r="J672" t="s">
        <v>15382</v>
      </c>
      <c r="K672" t="s">
        <v>15383</v>
      </c>
      <c r="L672" t="s">
        <v>15384</v>
      </c>
      <c r="M672" t="s">
        <v>15385</v>
      </c>
      <c r="N672" t="s">
        <v>15386</v>
      </c>
      <c r="O672">
        <f>-586.206043701024 -121.957872086797 -732.42508124152</f>
        <v>-1440.588997029341</v>
      </c>
      <c r="P672">
        <f>-631.07024413369 -84.5110688546459 -421.344559455913</f>
        <v>-1136.9258724442489</v>
      </c>
      <c r="Q672">
        <f>-377.210027023414 -27.9804345977109 -420.183992769308</f>
        <v>-825.3744543904329</v>
      </c>
      <c r="R672" t="s">
        <v>15387</v>
      </c>
      <c r="S672" t="s">
        <v>15388</v>
      </c>
      <c r="T672" t="s">
        <v>15389</v>
      </c>
      <c r="U672" t="s">
        <v>15390</v>
      </c>
      <c r="V672" t="s">
        <v>15391</v>
      </c>
      <c r="W672" t="s">
        <v>15392</v>
      </c>
      <c r="X672" t="s">
        <v>15393</v>
      </c>
      <c r="Y672" t="s">
        <v>15394</v>
      </c>
    </row>
    <row r="673" spans="1:25" x14ac:dyDescent="0.3">
      <c r="A673">
        <v>33600</v>
      </c>
      <c r="B673" t="s">
        <v>15395</v>
      </c>
      <c r="C673" t="s">
        <v>15396</v>
      </c>
      <c r="D673" t="s">
        <v>15397</v>
      </c>
      <c r="E673" t="s">
        <v>15398</v>
      </c>
      <c r="F673" t="s">
        <v>15399</v>
      </c>
      <c r="G673" t="s">
        <v>15400</v>
      </c>
      <c r="H673" t="s">
        <v>15401</v>
      </c>
      <c r="I673" t="s">
        <v>15402</v>
      </c>
      <c r="J673" t="s">
        <v>15403</v>
      </c>
      <c r="K673" t="s">
        <v>15404</v>
      </c>
      <c r="L673" t="s">
        <v>15405</v>
      </c>
      <c r="M673" t="s">
        <v>15406</v>
      </c>
      <c r="N673" t="s">
        <v>15407</v>
      </c>
      <c r="O673">
        <f>-587.137850612813 -121.98332055855 -732.79448726397</f>
        <v>-1441.9156584353332</v>
      </c>
      <c r="P673">
        <f>-631.973366175394 -84.960976448913 -421.65903224297</f>
        <v>-1138.5933748672769</v>
      </c>
      <c r="Q673">
        <f>-378.083777451249 -28.5648791964227 -420.396018977944</f>
        <v>-827.04467562561558</v>
      </c>
      <c r="R673" t="s">
        <v>15408</v>
      </c>
      <c r="S673" t="s">
        <v>15409</v>
      </c>
      <c r="T673" t="s">
        <v>15410</v>
      </c>
      <c r="U673" t="s">
        <v>15411</v>
      </c>
      <c r="V673" t="s">
        <v>15412</v>
      </c>
      <c r="W673" t="s">
        <v>15413</v>
      </c>
      <c r="X673" t="s">
        <v>15414</v>
      </c>
      <c r="Y673" t="s">
        <v>15415</v>
      </c>
    </row>
    <row r="674" spans="1:25" x14ac:dyDescent="0.3">
      <c r="A674">
        <v>33650</v>
      </c>
      <c r="B674" t="s">
        <v>15416</v>
      </c>
      <c r="C674" t="s">
        <v>15417</v>
      </c>
      <c r="D674" t="s">
        <v>15418</v>
      </c>
      <c r="E674" t="s">
        <v>15419</v>
      </c>
      <c r="F674" t="s">
        <v>15420</v>
      </c>
      <c r="G674" t="s">
        <v>15421</v>
      </c>
      <c r="H674" t="s">
        <v>15422</v>
      </c>
      <c r="I674" t="s">
        <v>15423</v>
      </c>
      <c r="J674" t="s">
        <v>15424</v>
      </c>
      <c r="K674" t="s">
        <v>15425</v>
      </c>
      <c r="L674" t="s">
        <v>15426</v>
      </c>
      <c r="M674" t="s">
        <v>15427</v>
      </c>
      <c r="N674" t="s">
        <v>15428</v>
      </c>
      <c r="O674">
        <f>-588.442741691112 -122.022821822326 -733.581202326583</f>
        <v>-1444.0467658400212</v>
      </c>
      <c r="P674">
        <f>-633.207493123751 -86.0079502835392 -422.317327743387</f>
        <v>-1141.5327711506773</v>
      </c>
      <c r="Q674">
        <f>-379.277520849726 -29.8023508243619 -420.714221653105</f>
        <v>-829.79409332719297</v>
      </c>
      <c r="R674" t="s">
        <v>15429</v>
      </c>
      <c r="S674" t="s">
        <v>15430</v>
      </c>
      <c r="T674" t="s">
        <v>15431</v>
      </c>
      <c r="U674" t="s">
        <v>15432</v>
      </c>
      <c r="V674" t="s">
        <v>15433</v>
      </c>
      <c r="W674" t="s">
        <v>15434</v>
      </c>
      <c r="X674" t="s">
        <v>15435</v>
      </c>
      <c r="Y674" t="s">
        <v>15436</v>
      </c>
    </row>
    <row r="675" spans="1:25" x14ac:dyDescent="0.3">
      <c r="A675">
        <v>33700</v>
      </c>
      <c r="B675" t="s">
        <v>15437</v>
      </c>
      <c r="C675" t="s">
        <v>15438</v>
      </c>
      <c r="D675" t="s">
        <v>15439</v>
      </c>
      <c r="E675" t="s">
        <v>15440</v>
      </c>
      <c r="F675" t="s">
        <v>15441</v>
      </c>
      <c r="G675" t="s">
        <v>15442</v>
      </c>
      <c r="H675" t="s">
        <v>15443</v>
      </c>
      <c r="I675" t="s">
        <v>15444</v>
      </c>
      <c r="J675" t="s">
        <v>15445</v>
      </c>
      <c r="K675" t="s">
        <v>15446</v>
      </c>
      <c r="L675" t="s">
        <v>15447</v>
      </c>
      <c r="M675" t="s">
        <v>15448</v>
      </c>
      <c r="N675" t="s">
        <v>15449</v>
      </c>
      <c r="O675">
        <f>-589.265329255398 -122.146464522361 -733.954104685694</f>
        <v>-1445.365898463453</v>
      </c>
      <c r="P675">
        <f>-634.007953423607 -86.6241898872454 -422.630471986742</f>
        <v>-1143.2626152975945</v>
      </c>
      <c r="Q675">
        <f>-380.053375943731 -30.5342269179819 -420.881228953967</f>
        <v>-831.46883181568001</v>
      </c>
      <c r="R675" t="s">
        <v>15450</v>
      </c>
      <c r="S675" t="s">
        <v>15451</v>
      </c>
      <c r="T675" t="s">
        <v>15452</v>
      </c>
      <c r="U675" t="s">
        <v>15453</v>
      </c>
      <c r="V675" t="s">
        <v>15454</v>
      </c>
      <c r="W675" t="s">
        <v>15455</v>
      </c>
      <c r="X675" t="s">
        <v>15456</v>
      </c>
      <c r="Y675" t="s">
        <v>15457</v>
      </c>
    </row>
    <row r="676" spans="1:25" x14ac:dyDescent="0.3">
      <c r="A676">
        <v>33750</v>
      </c>
      <c r="B676" t="s">
        <v>15458</v>
      </c>
      <c r="C676" t="s">
        <v>15459</v>
      </c>
      <c r="D676" t="s">
        <v>15460</v>
      </c>
      <c r="E676" t="s">
        <v>15461</v>
      </c>
      <c r="F676" t="s">
        <v>15462</v>
      </c>
      <c r="G676" t="s">
        <v>15463</v>
      </c>
      <c r="H676" t="s">
        <v>15464</v>
      </c>
      <c r="I676" t="s">
        <v>15465</v>
      </c>
      <c r="J676" t="s">
        <v>15466</v>
      </c>
      <c r="K676" t="s">
        <v>15467</v>
      </c>
      <c r="L676" t="s">
        <v>15468</v>
      </c>
      <c r="M676" t="s">
        <v>15469</v>
      </c>
      <c r="N676" t="s">
        <v>15470</v>
      </c>
      <c r="O676">
        <f>-590.235106827993 -122.300469947644 -734.717600500764</f>
        <v>-1447.2531772764009</v>
      </c>
      <c r="P676">
        <f>-635.003736920842 -87.8691077284189 -423.275036004772</f>
        <v>-1146.1478806540331</v>
      </c>
      <c r="Q676">
        <f>-381.029514501487 -31.875609154686 -421.301876978061</f>
        <v>-834.20700063423396</v>
      </c>
      <c r="R676" t="s">
        <v>15471</v>
      </c>
      <c r="S676" t="s">
        <v>15472</v>
      </c>
      <c r="T676" t="s">
        <v>15473</v>
      </c>
      <c r="U676" t="s">
        <v>15474</v>
      </c>
      <c r="V676" t="s">
        <v>15475</v>
      </c>
      <c r="W676" t="s">
        <v>15476</v>
      </c>
      <c r="X676" t="s">
        <v>15477</v>
      </c>
      <c r="Y676" t="s">
        <v>15478</v>
      </c>
    </row>
    <row r="677" spans="1:25" x14ac:dyDescent="0.3">
      <c r="A677">
        <v>33800</v>
      </c>
      <c r="B677" t="s">
        <v>15479</v>
      </c>
      <c r="C677" t="s">
        <v>15480</v>
      </c>
      <c r="D677" t="s">
        <v>15481</v>
      </c>
      <c r="E677" t="s">
        <v>15482</v>
      </c>
      <c r="F677" t="s">
        <v>15483</v>
      </c>
      <c r="G677" t="s">
        <v>15484</v>
      </c>
      <c r="H677" t="s">
        <v>15485</v>
      </c>
      <c r="I677" t="s">
        <v>15486</v>
      </c>
      <c r="J677" t="s">
        <v>15487</v>
      </c>
      <c r="K677" t="s">
        <v>15488</v>
      </c>
      <c r="L677" t="s">
        <v>15489</v>
      </c>
      <c r="M677" t="s">
        <v>15490</v>
      </c>
      <c r="N677" t="s">
        <v>15491</v>
      </c>
      <c r="O677">
        <f>-590.770706799602 -122.420091639546 -735.095497470645</f>
        <v>-1448.2862959097929</v>
      </c>
      <c r="P677">
        <f>-635.645353430614 -88.5134758790583 -423.610638050838</f>
        <v>-1147.7694673605104</v>
      </c>
      <c r="Q677">
        <f>-381.699648930314 -32.3936585772099 -421.562958669522</f>
        <v>-835.65626617704595</v>
      </c>
      <c r="R677" t="s">
        <v>15492</v>
      </c>
      <c r="S677" t="s">
        <v>15493</v>
      </c>
      <c r="T677" t="s">
        <v>15494</v>
      </c>
      <c r="U677" t="s">
        <v>15495</v>
      </c>
      <c r="V677">
        <f>-612.859131495998 -0.577621922363818 -242.354826446396</f>
        <v>-855.79157986475786</v>
      </c>
      <c r="W677" t="s">
        <v>15496</v>
      </c>
      <c r="X677" t="s">
        <v>15497</v>
      </c>
      <c r="Y677" t="s">
        <v>15498</v>
      </c>
    </row>
    <row r="678" spans="1:25" x14ac:dyDescent="0.3">
      <c r="A678">
        <v>33850</v>
      </c>
      <c r="B678" t="s">
        <v>15499</v>
      </c>
      <c r="C678" t="s">
        <v>15500</v>
      </c>
      <c r="D678" t="s">
        <v>15501</v>
      </c>
      <c r="E678" t="s">
        <v>15502</v>
      </c>
      <c r="F678" t="s">
        <v>15503</v>
      </c>
      <c r="G678" t="s">
        <v>15504</v>
      </c>
      <c r="H678" t="s">
        <v>15505</v>
      </c>
      <c r="I678" t="s">
        <v>15506</v>
      </c>
      <c r="J678" t="s">
        <v>15507</v>
      </c>
      <c r="K678" t="s">
        <v>15508</v>
      </c>
      <c r="L678" t="s">
        <v>15509</v>
      </c>
      <c r="M678" t="s">
        <v>15510</v>
      </c>
      <c r="N678" t="s">
        <v>15511</v>
      </c>
      <c r="O678">
        <f>-591.77548278368 -122.529246046379 -735.841637723371</f>
        <v>-1450.1463665534302</v>
      </c>
      <c r="P678">
        <f>-636.752668151485 -89.7901891905414 -424.246618896833</f>
        <v>-1150.7894762388594</v>
      </c>
      <c r="Q678">
        <f>-382.96017913485 -32.9859219573269 -422.076750712829</f>
        <v>-838.02285180500598</v>
      </c>
      <c r="R678" t="s">
        <v>15512</v>
      </c>
      <c r="S678" t="s">
        <v>15513</v>
      </c>
      <c r="T678" t="s">
        <v>15514</v>
      </c>
      <c r="U678" t="s">
        <v>15515</v>
      </c>
      <c r="V678">
        <f>-612.93948167415 -1.72165222949326 -242.209118037869</f>
        <v>-856.87025194151227</v>
      </c>
      <c r="W678" t="s">
        <v>15516</v>
      </c>
      <c r="X678" t="s">
        <v>15517</v>
      </c>
      <c r="Y678" t="s">
        <v>15518</v>
      </c>
    </row>
    <row r="679" spans="1:25" x14ac:dyDescent="0.3">
      <c r="A679">
        <v>33900</v>
      </c>
      <c r="B679" t="s">
        <v>15519</v>
      </c>
      <c r="C679" t="s">
        <v>15520</v>
      </c>
      <c r="D679" t="s">
        <v>15521</v>
      </c>
      <c r="E679" t="s">
        <v>15522</v>
      </c>
      <c r="F679" t="s">
        <v>15523</v>
      </c>
      <c r="G679" t="s">
        <v>15524</v>
      </c>
      <c r="H679" t="s">
        <v>15525</v>
      </c>
      <c r="I679" t="s">
        <v>15526</v>
      </c>
      <c r="J679" t="s">
        <v>15527</v>
      </c>
      <c r="K679" t="s">
        <v>15528</v>
      </c>
      <c r="L679" t="s">
        <v>15529</v>
      </c>
      <c r="M679" t="s">
        <v>15530</v>
      </c>
      <c r="N679" t="s">
        <v>15531</v>
      </c>
      <c r="O679">
        <f>-592.111837662265 -122.546232107389 -736.166201257094</f>
        <v>-1450.824271026748</v>
      </c>
      <c r="P679">
        <f>-637.11739515426 -90.361743046194 -424.517677025238</f>
        <v>-1151.996815225692</v>
      </c>
      <c r="Q679">
        <f>-383.415919939192 -33.15492632594 -422.282979736486</f>
        <v>-838.85382600161802</v>
      </c>
      <c r="R679" t="s">
        <v>15532</v>
      </c>
      <c r="S679" t="s">
        <v>15533</v>
      </c>
      <c r="T679" t="s">
        <v>15534</v>
      </c>
      <c r="U679" t="s">
        <v>15535</v>
      </c>
      <c r="V679">
        <f>-612.972177797519 -2.25982099280579 -242.126782762008</f>
        <v>-857.35878155233274</v>
      </c>
      <c r="W679" t="s">
        <v>15536</v>
      </c>
      <c r="X679" t="s">
        <v>15537</v>
      </c>
      <c r="Y679" t="s">
        <v>15538</v>
      </c>
    </row>
    <row r="680" spans="1:25" x14ac:dyDescent="0.3">
      <c r="A680">
        <v>33950</v>
      </c>
      <c r="B680" t="s">
        <v>15539</v>
      </c>
      <c r="C680" t="s">
        <v>15540</v>
      </c>
      <c r="D680" t="s">
        <v>15541</v>
      </c>
      <c r="E680" t="s">
        <v>15542</v>
      </c>
      <c r="F680" t="s">
        <v>15543</v>
      </c>
      <c r="G680" t="s">
        <v>15544</v>
      </c>
      <c r="H680" t="s">
        <v>15545</v>
      </c>
      <c r="I680" t="s">
        <v>15546</v>
      </c>
      <c r="J680" t="s">
        <v>15547</v>
      </c>
      <c r="K680" t="s">
        <v>15548</v>
      </c>
      <c r="L680" t="s">
        <v>15549</v>
      </c>
      <c r="M680" t="s">
        <v>15550</v>
      </c>
      <c r="N680" t="s">
        <v>15551</v>
      </c>
      <c r="O680">
        <f>-592.670746734272 -122.454286111231 -736.818591125647</f>
        <v>-1451.9436239711499</v>
      </c>
      <c r="P680">
        <f>-637.724141651664 -91.256449535066 -425.076620609756</f>
        <v>-1154.0572117964859</v>
      </c>
      <c r="Q680">
        <f>-384.164788563378 -33.4208222823755 -422.901791243318</f>
        <v>-840.48740208907157</v>
      </c>
      <c r="R680" t="s">
        <v>15552</v>
      </c>
      <c r="S680" t="s">
        <v>15553</v>
      </c>
      <c r="T680" t="s">
        <v>15554</v>
      </c>
      <c r="U680" t="s">
        <v>15555</v>
      </c>
      <c r="V680">
        <f>-613.077396694187 -3.47018468912734 -241.977486404024</f>
        <v>-858.52506778733834</v>
      </c>
      <c r="W680" t="s">
        <v>15556</v>
      </c>
      <c r="X680" t="s">
        <v>15557</v>
      </c>
      <c r="Y680" t="s">
        <v>15558</v>
      </c>
    </row>
    <row r="681" spans="1:25" x14ac:dyDescent="0.3">
      <c r="A681">
        <v>34000</v>
      </c>
      <c r="B681" t="s">
        <v>15559</v>
      </c>
      <c r="C681" t="s">
        <v>15560</v>
      </c>
      <c r="D681" t="s">
        <v>15561</v>
      </c>
      <c r="E681" t="s">
        <v>15562</v>
      </c>
      <c r="F681" t="s">
        <v>15563</v>
      </c>
      <c r="G681" t="s">
        <v>15564</v>
      </c>
      <c r="H681" t="s">
        <v>15565</v>
      </c>
      <c r="I681" t="s">
        <v>15566</v>
      </c>
      <c r="J681" t="s">
        <v>15567</v>
      </c>
      <c r="K681" t="s">
        <v>15568</v>
      </c>
      <c r="L681" t="s">
        <v>15569</v>
      </c>
      <c r="M681" t="s">
        <v>15570</v>
      </c>
      <c r="N681" t="s">
        <v>15571</v>
      </c>
      <c r="O681">
        <f>-592.850398733943 -122.333678037491 -737.142947816945</f>
        <v>-1452.3270245883791</v>
      </c>
      <c r="P681">
        <f>-637.842243262573 -91.5844497426776 -425.347458202209</f>
        <v>-1154.7741512074597</v>
      </c>
      <c r="Q681">
        <f>-384.34673187152 -33.4643731183066 -423.310886092037</f>
        <v>-841.1219910818636</v>
      </c>
      <c r="R681" t="s">
        <v>15572</v>
      </c>
      <c r="S681" t="s">
        <v>15573</v>
      </c>
      <c r="T681" t="s">
        <v>15574</v>
      </c>
      <c r="U681" t="s">
        <v>15575</v>
      </c>
      <c r="V681">
        <f>-613.127688544656 -3.95333029574296 -241.936932395891</f>
        <v>-859.01795123628995</v>
      </c>
      <c r="W681" t="s">
        <v>15576</v>
      </c>
      <c r="X681" t="s">
        <v>15577</v>
      </c>
      <c r="Y681" t="s">
        <v>15578</v>
      </c>
    </row>
    <row r="682" spans="1:25" x14ac:dyDescent="0.3">
      <c r="A682">
        <v>34050</v>
      </c>
      <c r="B682" t="s">
        <v>15579</v>
      </c>
      <c r="C682" t="s">
        <v>15580</v>
      </c>
      <c r="D682" t="s">
        <v>15581</v>
      </c>
      <c r="E682" t="s">
        <v>15582</v>
      </c>
      <c r="F682" t="s">
        <v>15583</v>
      </c>
      <c r="G682" t="s">
        <v>15584</v>
      </c>
      <c r="H682" t="s">
        <v>15585</v>
      </c>
      <c r="I682" t="s">
        <v>15586</v>
      </c>
      <c r="J682" t="s">
        <v>15587</v>
      </c>
      <c r="K682" t="s">
        <v>15588</v>
      </c>
      <c r="L682" t="s">
        <v>15589</v>
      </c>
      <c r="M682" t="s">
        <v>15590</v>
      </c>
      <c r="N682" t="s">
        <v>15591</v>
      </c>
      <c r="O682">
        <f>-593.130873424753 -122.547700679196 -737.574739069517</f>
        <v>-1453.2533131734658</v>
      </c>
      <c r="P682">
        <f>-637.688594945448 -92.7576576456281 -425.62377466385</f>
        <v>-1156.0700272549261</v>
      </c>
      <c r="Q682">
        <f>-384.346957554818 -33.9501120294995 -424.303593736499</f>
        <v>-842.60066332081647</v>
      </c>
      <c r="R682" t="s">
        <v>15592</v>
      </c>
      <c r="S682" t="s">
        <v>15593</v>
      </c>
      <c r="T682" t="s">
        <v>15594</v>
      </c>
      <c r="U682" t="s">
        <v>15595</v>
      </c>
      <c r="V682">
        <f>-613.126661890789 -5.04155730779524 -241.811924233555</f>
        <v>-859.98014343213924</v>
      </c>
      <c r="W682" t="s">
        <v>15596</v>
      </c>
      <c r="X682" t="s">
        <v>15597</v>
      </c>
      <c r="Y682" t="s">
        <v>15598</v>
      </c>
    </row>
    <row r="683" spans="1:25" x14ac:dyDescent="0.3">
      <c r="A683">
        <v>34100</v>
      </c>
      <c r="B683" t="s">
        <v>15599</v>
      </c>
      <c r="C683" t="s">
        <v>15600</v>
      </c>
      <c r="D683" t="s">
        <v>15601</v>
      </c>
      <c r="E683" t="s">
        <v>15602</v>
      </c>
      <c r="F683" t="s">
        <v>15603</v>
      </c>
      <c r="G683" t="s">
        <v>15604</v>
      </c>
      <c r="H683" t="s">
        <v>15605</v>
      </c>
      <c r="I683" t="s">
        <v>15606</v>
      </c>
      <c r="J683" t="s">
        <v>15607</v>
      </c>
      <c r="K683" t="s">
        <v>15608</v>
      </c>
      <c r="L683" t="s">
        <v>15609</v>
      </c>
      <c r="M683" t="s">
        <v>15610</v>
      </c>
      <c r="N683" t="s">
        <v>15611</v>
      </c>
      <c r="O683">
        <f>-593.119235110436 -122.874629416505 -737.719524594556</f>
        <v>-1453.7133891214971</v>
      </c>
      <c r="P683">
        <f>-637.244470998337 -93.6083561665528 -425.65762399856</f>
        <v>-1156.5104511634497</v>
      </c>
      <c r="Q683">
        <f>-384.008519753413 -34.341091995944 -424.64602725505</f>
        <v>-842.99563900440694</v>
      </c>
      <c r="R683" t="s">
        <v>15612</v>
      </c>
      <c r="S683" t="s">
        <v>15613</v>
      </c>
      <c r="T683" t="s">
        <v>15614</v>
      </c>
      <c r="U683" t="s">
        <v>15615</v>
      </c>
      <c r="V683">
        <f>-613.024056920394 -5.8058298177783 -241.751400536393</f>
        <v>-860.58128727456528</v>
      </c>
      <c r="W683" t="s">
        <v>15616</v>
      </c>
      <c r="X683" t="s">
        <v>15617</v>
      </c>
      <c r="Y683" t="s">
        <v>15618</v>
      </c>
    </row>
    <row r="684" spans="1:25" x14ac:dyDescent="0.3">
      <c r="A684">
        <v>34150</v>
      </c>
      <c r="B684" t="s">
        <v>15619</v>
      </c>
      <c r="C684" t="s">
        <v>15620</v>
      </c>
      <c r="D684" t="s">
        <v>15621</v>
      </c>
      <c r="E684" t="s">
        <v>15622</v>
      </c>
      <c r="F684" t="s">
        <v>15623</v>
      </c>
      <c r="G684" t="s">
        <v>15624</v>
      </c>
      <c r="H684" t="s">
        <v>15625</v>
      </c>
      <c r="I684" t="s">
        <v>15626</v>
      </c>
      <c r="J684" t="s">
        <v>15627</v>
      </c>
      <c r="K684" t="s">
        <v>15628</v>
      </c>
      <c r="L684" t="s">
        <v>15629</v>
      </c>
      <c r="M684" t="s">
        <v>15630</v>
      </c>
      <c r="N684" t="s">
        <v>15631</v>
      </c>
      <c r="O684">
        <f>-592.285246441393 -123.507360938374 -737.911604345389</f>
        <v>-1453.7042117251563</v>
      </c>
      <c r="P684">
        <f>-635.751493281575 -94.7967166190293 -425.705706796402</f>
        <v>-1156.2539166970064</v>
      </c>
      <c r="Q684">
        <f>-382.756684276872 -34.5020528591921 -425.230890229445</f>
        <v>-842.48962736550902</v>
      </c>
      <c r="R684" t="s">
        <v>15632</v>
      </c>
      <c r="S684" t="s">
        <v>15633</v>
      </c>
      <c r="T684" t="s">
        <v>15634</v>
      </c>
      <c r="U684" t="s">
        <v>15635</v>
      </c>
      <c r="V684">
        <f>-612.460206985272 -6.88571402431066 -241.605209611306</f>
        <v>-860.95113062088865</v>
      </c>
      <c r="W684" t="s">
        <v>15636</v>
      </c>
      <c r="X684" t="s">
        <v>15637</v>
      </c>
      <c r="Y684" t="s">
        <v>15638</v>
      </c>
    </row>
    <row r="685" spans="1:25" x14ac:dyDescent="0.3">
      <c r="A685">
        <v>34200</v>
      </c>
      <c r="B685" t="s">
        <v>15639</v>
      </c>
      <c r="C685" t="s">
        <v>15640</v>
      </c>
      <c r="D685" t="s">
        <v>15641</v>
      </c>
      <c r="E685" t="s">
        <v>15642</v>
      </c>
      <c r="F685" t="s">
        <v>15643</v>
      </c>
      <c r="G685" t="s">
        <v>15644</v>
      </c>
      <c r="H685" t="s">
        <v>15645</v>
      </c>
      <c r="I685" t="s">
        <v>15646</v>
      </c>
      <c r="J685" t="s">
        <v>15647</v>
      </c>
      <c r="K685" t="s">
        <v>15648</v>
      </c>
      <c r="L685" t="s">
        <v>15649</v>
      </c>
      <c r="M685" t="s">
        <v>15650</v>
      </c>
      <c r="N685" t="s">
        <v>15651</v>
      </c>
      <c r="O685">
        <f>-591.826380875416 -123.725750299544 -738.003923893613</f>
        <v>-1453.556055068573</v>
      </c>
      <c r="P685">
        <f>-634.987354782013 -95.2038738271905 -425.738229453276</f>
        <v>-1155.9294580624794</v>
      </c>
      <c r="Q685">
        <f>-382.159641457465 -34.2112853053214 -425.419641067887</f>
        <v>-841.79056783067335</v>
      </c>
      <c r="R685" t="s">
        <v>15652</v>
      </c>
      <c r="S685" t="s">
        <v>15653</v>
      </c>
      <c r="T685" t="s">
        <v>15654</v>
      </c>
      <c r="U685" t="s">
        <v>15655</v>
      </c>
      <c r="V685">
        <f>-612.081141271734 -7.35763036292305 -241.540712399777</f>
        <v>-860.97948403443411</v>
      </c>
      <c r="W685" t="s">
        <v>15656</v>
      </c>
      <c r="X685" t="s">
        <v>15657</v>
      </c>
      <c r="Y685" t="s">
        <v>15658</v>
      </c>
    </row>
    <row r="686" spans="1:25" x14ac:dyDescent="0.3">
      <c r="A686">
        <v>34250</v>
      </c>
      <c r="B686" t="s">
        <v>15659</v>
      </c>
      <c r="C686" t="s">
        <v>15660</v>
      </c>
      <c r="D686" t="s">
        <v>15661</v>
      </c>
      <c r="E686" t="s">
        <v>15662</v>
      </c>
      <c r="F686" t="s">
        <v>15663</v>
      </c>
      <c r="G686" t="s">
        <v>15664</v>
      </c>
      <c r="H686" t="s">
        <v>15665</v>
      </c>
      <c r="I686" t="s">
        <v>15666</v>
      </c>
      <c r="J686" t="s">
        <v>15667</v>
      </c>
      <c r="K686" t="s">
        <v>15668</v>
      </c>
      <c r="L686" t="s">
        <v>15669</v>
      </c>
      <c r="M686" t="s">
        <v>15670</v>
      </c>
      <c r="N686" t="s">
        <v>15671</v>
      </c>
      <c r="O686">
        <f>-590.154056272728 -124.039354851033 -737.839053535507</f>
        <v>-1452.032464659268</v>
      </c>
      <c r="P686">
        <f>-632.989645188152 -95.7463492682887 -425.507909994225</f>
        <v>-1154.2439044506657</v>
      </c>
      <c r="Q686">
        <f>-380.474870294687 -33.4700414793294 -425.361962907772</f>
        <v>-839.30687468178837</v>
      </c>
      <c r="R686" t="s">
        <v>15672</v>
      </c>
      <c r="S686" t="s">
        <v>15673</v>
      </c>
      <c r="T686" t="s">
        <v>15674</v>
      </c>
      <c r="U686" t="s">
        <v>15675</v>
      </c>
      <c r="V686">
        <f>-611.246808772944 -8.00223859643385 -241.357295889042</f>
        <v>-860.60634325841977</v>
      </c>
      <c r="W686" t="s">
        <v>15676</v>
      </c>
      <c r="X686" t="s">
        <v>15677</v>
      </c>
      <c r="Y686" t="s">
        <v>15678</v>
      </c>
    </row>
    <row r="687" spans="1:25" x14ac:dyDescent="0.3">
      <c r="A687">
        <v>34300</v>
      </c>
      <c r="B687" t="s">
        <v>15679</v>
      </c>
      <c r="C687" t="s">
        <v>15680</v>
      </c>
      <c r="D687" t="s">
        <v>15681</v>
      </c>
      <c r="E687" t="s">
        <v>15682</v>
      </c>
      <c r="F687" t="s">
        <v>15683</v>
      </c>
      <c r="G687" t="s">
        <v>15684</v>
      </c>
      <c r="H687" t="s">
        <v>15685</v>
      </c>
      <c r="I687" t="s">
        <v>15686</v>
      </c>
      <c r="J687" t="s">
        <v>15687</v>
      </c>
      <c r="K687" t="s">
        <v>15688</v>
      </c>
      <c r="L687" t="s">
        <v>15689</v>
      </c>
      <c r="M687" t="s">
        <v>15690</v>
      </c>
      <c r="N687" t="s">
        <v>15691</v>
      </c>
      <c r="O687">
        <f>-589.149377167377 -124.083243365488 -737.792692895433</f>
        <v>-1451.025313428298</v>
      </c>
      <c r="P687">
        <f>-632.09358835391 -95.7745900295366 -425.477806985551</f>
        <v>-1153.3459853689976</v>
      </c>
      <c r="Q687">
        <f>-379.678564028122 -33.0952091918716 -425.347377856282</f>
        <v>-838.12115107627562</v>
      </c>
      <c r="R687" t="s">
        <v>15692</v>
      </c>
      <c r="S687" t="s">
        <v>15693</v>
      </c>
      <c r="T687" t="s">
        <v>15694</v>
      </c>
      <c r="U687" t="s">
        <v>15695</v>
      </c>
      <c r="V687">
        <f>-610.810137720719 -8.3646315581147 -241.249101519124</f>
        <v>-860.42387079795776</v>
      </c>
      <c r="W687" t="s">
        <v>15696</v>
      </c>
      <c r="X687" t="s">
        <v>15697</v>
      </c>
      <c r="Y687" t="s">
        <v>15698</v>
      </c>
    </row>
    <row r="688" spans="1:25" x14ac:dyDescent="0.3">
      <c r="A688">
        <v>34350</v>
      </c>
      <c r="B688" t="s">
        <v>15699</v>
      </c>
      <c r="C688" t="s">
        <v>15700</v>
      </c>
      <c r="D688" t="s">
        <v>15701</v>
      </c>
      <c r="E688" t="s">
        <v>15702</v>
      </c>
      <c r="F688" t="s">
        <v>15703</v>
      </c>
      <c r="G688" t="s">
        <v>15704</v>
      </c>
      <c r="H688" t="s">
        <v>15705</v>
      </c>
      <c r="I688" t="s">
        <v>15706</v>
      </c>
      <c r="J688" t="s">
        <v>15707</v>
      </c>
      <c r="K688" t="s">
        <v>15708</v>
      </c>
      <c r="L688" t="s">
        <v>15709</v>
      </c>
      <c r="M688" t="s">
        <v>15710</v>
      </c>
      <c r="N688" t="s">
        <v>15711</v>
      </c>
      <c r="O688">
        <f>-587.054844112246 -124.25682224202 -737.890356200576</f>
        <v>-1449.202022554842</v>
      </c>
      <c r="P688">
        <f>-630.589028099848 -95.925776997774 -425.659133618638</f>
        <v>-1152.17393871626</v>
      </c>
      <c r="Q688">
        <f>-378.334931247532 -32.6020936742904 -425.450595332896</f>
        <v>-836.3876202547184</v>
      </c>
      <c r="R688" t="s">
        <v>15712</v>
      </c>
      <c r="S688" t="s">
        <v>15713</v>
      </c>
      <c r="T688" t="s">
        <v>15714</v>
      </c>
      <c r="U688" t="s">
        <v>15715</v>
      </c>
      <c r="V688">
        <f>-609.827646934798 -9.00968411758046 -241.050324744462</f>
        <v>-859.88765579684059</v>
      </c>
      <c r="W688" t="s">
        <v>15716</v>
      </c>
      <c r="X688" t="s">
        <v>15717</v>
      </c>
      <c r="Y688" t="s">
        <v>15718</v>
      </c>
    </row>
    <row r="689" spans="1:25" x14ac:dyDescent="0.3">
      <c r="A689">
        <v>34400</v>
      </c>
      <c r="B689" t="s">
        <v>15719</v>
      </c>
      <c r="C689" t="s">
        <v>15720</v>
      </c>
      <c r="D689" t="s">
        <v>15721</v>
      </c>
      <c r="E689" t="s">
        <v>15722</v>
      </c>
      <c r="F689" t="s">
        <v>15723</v>
      </c>
      <c r="G689" t="s">
        <v>15724</v>
      </c>
      <c r="H689" t="s">
        <v>15725</v>
      </c>
      <c r="I689" t="s">
        <v>15726</v>
      </c>
      <c r="J689" t="s">
        <v>15727</v>
      </c>
      <c r="K689" t="s">
        <v>15728</v>
      </c>
      <c r="L689" t="s">
        <v>15729</v>
      </c>
      <c r="M689" t="s">
        <v>15730</v>
      </c>
      <c r="N689" t="s">
        <v>15731</v>
      </c>
      <c r="O689">
        <f>-586.468886099709 -124.359712580785 -737.987126093152</f>
        <v>-1448.815724773646</v>
      </c>
      <c r="P689">
        <f>-630.205534288779 -96.1939322006153 -425.769230662092</f>
        <v>-1152.1686971514864</v>
      </c>
      <c r="Q689">
        <f>-378.019398535412 -32.6002220568801 -425.528499612132</f>
        <v>-836.14812020442412</v>
      </c>
      <c r="R689" t="s">
        <v>15732</v>
      </c>
      <c r="S689" t="s">
        <v>15733</v>
      </c>
      <c r="T689" t="s">
        <v>15734</v>
      </c>
      <c r="U689" t="s">
        <v>15735</v>
      </c>
      <c r="V689">
        <f>-609.316087924126 -9.37072536912848 -240.958830976921</f>
        <v>-859.64564427017558</v>
      </c>
      <c r="W689" t="s">
        <v>15736</v>
      </c>
      <c r="X689" t="s">
        <v>15737</v>
      </c>
      <c r="Y689" t="s">
        <v>15738</v>
      </c>
    </row>
    <row r="690" spans="1:25" x14ac:dyDescent="0.3">
      <c r="A690">
        <v>34450</v>
      </c>
      <c r="B690" t="s">
        <v>15739</v>
      </c>
      <c r="C690" t="s">
        <v>15740</v>
      </c>
      <c r="D690" t="s">
        <v>15741</v>
      </c>
      <c r="E690" t="s">
        <v>15742</v>
      </c>
      <c r="F690" t="s">
        <v>15743</v>
      </c>
      <c r="G690" t="s">
        <v>15744</v>
      </c>
      <c r="H690" t="s">
        <v>15745</v>
      </c>
      <c r="I690" t="s">
        <v>15746</v>
      </c>
      <c r="J690" t="s">
        <v>15747</v>
      </c>
      <c r="K690" t="s">
        <v>15748</v>
      </c>
      <c r="L690" t="s">
        <v>15749</v>
      </c>
      <c r="M690" t="s">
        <v>15750</v>
      </c>
      <c r="N690" t="s">
        <v>15751</v>
      </c>
      <c r="O690">
        <f>-585.75006792854 -125.076560013178 -737.861932634591</f>
        <v>-1448.6885605763091</v>
      </c>
      <c r="P690">
        <f>-629.386011200917 -97.3759722819981 -425.588426870959</f>
        <v>-1152.3504103538739</v>
      </c>
      <c r="Q690">
        <f>-377.255095466866 -33.5631603975775 -425.602197335125</f>
        <v>-836.42045319956856</v>
      </c>
      <c r="R690" t="s">
        <v>15752</v>
      </c>
      <c r="S690" t="s">
        <v>15753</v>
      </c>
      <c r="T690" t="s">
        <v>15754</v>
      </c>
      <c r="U690" t="s">
        <v>15755</v>
      </c>
      <c r="V690">
        <f>-608.447795383907 -9.95098553187184 -240.796254804087</f>
        <v>-859.19503571986581</v>
      </c>
      <c r="W690" t="s">
        <v>15756</v>
      </c>
      <c r="X690" t="s">
        <v>15757</v>
      </c>
      <c r="Y690" t="s">
        <v>15758</v>
      </c>
    </row>
    <row r="691" spans="1:25" x14ac:dyDescent="0.3">
      <c r="A691">
        <v>34500</v>
      </c>
      <c r="B691" t="s">
        <v>15759</v>
      </c>
      <c r="C691" t="s">
        <v>15760</v>
      </c>
      <c r="D691" t="s">
        <v>15761</v>
      </c>
      <c r="E691" t="s">
        <v>15762</v>
      </c>
      <c r="F691" t="s">
        <v>15763</v>
      </c>
      <c r="G691" t="s">
        <v>15764</v>
      </c>
      <c r="H691" t="s">
        <v>15765</v>
      </c>
      <c r="I691" t="s">
        <v>15766</v>
      </c>
      <c r="J691" t="s">
        <v>15767</v>
      </c>
      <c r="K691" t="s">
        <v>15768</v>
      </c>
      <c r="L691" t="s">
        <v>15769</v>
      </c>
      <c r="M691" t="s">
        <v>15770</v>
      </c>
      <c r="N691" t="s">
        <v>15771</v>
      </c>
      <c r="O691">
        <f>-585.73193516402 -125.342947685332 -737.800959424897</f>
        <v>-1448.875842274249</v>
      </c>
      <c r="P691">
        <f>-628.883393515813 -97.6893355142402 -425.455998640617</f>
        <v>-1152.0287276706702</v>
      </c>
      <c r="Q691">
        <f>-376.742004027971 -33.9185892473229 -425.735829639138</f>
        <v>-836.39642291443192</v>
      </c>
      <c r="R691" t="s">
        <v>15772</v>
      </c>
      <c r="S691" t="s">
        <v>15773</v>
      </c>
      <c r="T691" t="s">
        <v>15774</v>
      </c>
      <c r="U691" t="s">
        <v>15775</v>
      </c>
      <c r="V691">
        <f>-607.980237818592 -10.2635952064865 -240.714913418295</f>
        <v>-858.95874644337346</v>
      </c>
      <c r="W691" t="s">
        <v>15776</v>
      </c>
      <c r="X691" t="s">
        <v>15777</v>
      </c>
      <c r="Y691" t="s">
        <v>15778</v>
      </c>
    </row>
    <row r="692" spans="1:25" x14ac:dyDescent="0.3">
      <c r="A692">
        <v>34550</v>
      </c>
      <c r="B692" t="s">
        <v>15779</v>
      </c>
      <c r="C692" t="s">
        <v>15780</v>
      </c>
      <c r="D692" t="s">
        <v>15781</v>
      </c>
      <c r="E692" t="s">
        <v>15782</v>
      </c>
      <c r="F692" t="s">
        <v>15783</v>
      </c>
      <c r="G692" t="s">
        <v>15784</v>
      </c>
      <c r="H692" t="s">
        <v>15785</v>
      </c>
      <c r="I692" t="s">
        <v>15786</v>
      </c>
      <c r="J692" t="s">
        <v>15787</v>
      </c>
      <c r="K692" t="s">
        <v>15788</v>
      </c>
      <c r="L692" t="s">
        <v>15789</v>
      </c>
      <c r="M692" t="s">
        <v>15790</v>
      </c>
      <c r="N692" t="s">
        <v>15791</v>
      </c>
      <c r="O692">
        <f>-585.607628557766 -125.532331890873 -737.622906133299</f>
        <v>-1448.7628665819379</v>
      </c>
      <c r="P692">
        <f>-627.529744989572 -97.7924251210198 -425.118110440526</f>
        <v>-1150.4402805511179</v>
      </c>
      <c r="Q692">
        <f>-375.373587086903 -34.0870403721604 -426.080954174111</f>
        <v>-835.54158163317447</v>
      </c>
      <c r="R692" t="s">
        <v>15792</v>
      </c>
      <c r="S692" t="s">
        <v>15793</v>
      </c>
      <c r="T692" t="s">
        <v>15794</v>
      </c>
      <c r="U692" t="s">
        <v>15795</v>
      </c>
      <c r="V692">
        <f>-607.148880947301 -10.6562151612261 -240.514330101349</f>
        <v>-858.31942620987616</v>
      </c>
      <c r="W692" t="s">
        <v>15796</v>
      </c>
      <c r="X692" t="s">
        <v>15797</v>
      </c>
      <c r="Y692" t="s">
        <v>15798</v>
      </c>
    </row>
    <row r="693" spans="1:25" x14ac:dyDescent="0.3">
      <c r="A693">
        <v>34600</v>
      </c>
      <c r="B693" t="s">
        <v>15799</v>
      </c>
      <c r="C693" t="s">
        <v>15800</v>
      </c>
      <c r="D693" t="s">
        <v>15801</v>
      </c>
      <c r="E693" t="s">
        <v>15802</v>
      </c>
      <c r="F693" t="s">
        <v>15803</v>
      </c>
      <c r="G693" t="s">
        <v>15804</v>
      </c>
      <c r="H693" t="s">
        <v>15805</v>
      </c>
      <c r="I693" t="s">
        <v>15806</v>
      </c>
      <c r="J693" t="s">
        <v>15807</v>
      </c>
      <c r="K693" t="s">
        <v>15808</v>
      </c>
      <c r="L693" t="s">
        <v>15809</v>
      </c>
      <c r="M693" t="s">
        <v>15810</v>
      </c>
      <c r="N693" t="s">
        <v>15811</v>
      </c>
      <c r="O693">
        <f>-585.683276235855 -125.67048021123 -737.544559064584</f>
        <v>-1448.8983155116689</v>
      </c>
      <c r="P693">
        <f>-627.159116291601 -97.7359153979011 -424.997674834506</f>
        <v>-1149.892706524008</v>
      </c>
      <c r="Q693">
        <f>-375.015112844774 -33.9894583367045 -426.352320597952</f>
        <v>-835.3568917794305</v>
      </c>
      <c r="R693" t="s">
        <v>15812</v>
      </c>
      <c r="S693" t="s">
        <v>15813</v>
      </c>
      <c r="T693" t="s">
        <v>15814</v>
      </c>
      <c r="U693" t="s">
        <v>15815</v>
      </c>
      <c r="V693">
        <f>-606.738062615688 -10.8013607912825 -240.449756011944</f>
        <v>-857.98917941891455</v>
      </c>
      <c r="W693" t="s">
        <v>15816</v>
      </c>
      <c r="X693" t="s">
        <v>15817</v>
      </c>
      <c r="Y693" t="s">
        <v>15818</v>
      </c>
    </row>
    <row r="694" spans="1:25" x14ac:dyDescent="0.3">
      <c r="A694">
        <v>34650</v>
      </c>
      <c r="B694" t="s">
        <v>15819</v>
      </c>
      <c r="C694" t="s">
        <v>15820</v>
      </c>
      <c r="D694" t="s">
        <v>15821</v>
      </c>
      <c r="E694" t="s">
        <v>15822</v>
      </c>
      <c r="F694" t="s">
        <v>15823</v>
      </c>
      <c r="G694" t="s">
        <v>15824</v>
      </c>
      <c r="H694" t="s">
        <v>15825</v>
      </c>
      <c r="I694" t="s">
        <v>15826</v>
      </c>
      <c r="J694" t="s">
        <v>15827</v>
      </c>
      <c r="K694" t="s">
        <v>15828</v>
      </c>
      <c r="L694" t="s">
        <v>15829</v>
      </c>
      <c r="M694" t="s">
        <v>15830</v>
      </c>
      <c r="N694" t="s">
        <v>15831</v>
      </c>
      <c r="O694">
        <f>-585.260673290603 -126.207386399627 -737.35683799802</f>
        <v>-1448.8248976882501</v>
      </c>
      <c r="P694">
        <f>-626.186154272097 -97.805839388944 -424.779371983024</f>
        <v>-1148.7713656440651</v>
      </c>
      <c r="Q694">
        <f>-373.849552244605 -34.8334046771848 -426.438423407936</f>
        <v>-835.12138032972575</v>
      </c>
      <c r="R694" t="s">
        <v>15832</v>
      </c>
      <c r="S694" t="s">
        <v>15833</v>
      </c>
      <c r="T694" t="s">
        <v>15834</v>
      </c>
      <c r="U694" t="s">
        <v>15835</v>
      </c>
      <c r="V694">
        <f>-605.694404033839 -11.1813511124225 -240.321533193236</f>
        <v>-857.19728833949739</v>
      </c>
      <c r="W694" t="s">
        <v>15836</v>
      </c>
      <c r="X694" t="s">
        <v>15837</v>
      </c>
      <c r="Y694" t="s">
        <v>15838</v>
      </c>
    </row>
    <row r="695" spans="1:25" x14ac:dyDescent="0.3">
      <c r="A695">
        <v>34700</v>
      </c>
      <c r="B695" t="s">
        <v>15839</v>
      </c>
      <c r="C695" t="s">
        <v>15840</v>
      </c>
      <c r="D695" t="s">
        <v>15841</v>
      </c>
      <c r="E695" t="s">
        <v>15842</v>
      </c>
      <c r="F695" t="s">
        <v>15843</v>
      </c>
      <c r="G695" t="s">
        <v>15844</v>
      </c>
      <c r="H695" t="s">
        <v>15845</v>
      </c>
      <c r="I695" t="s">
        <v>15846</v>
      </c>
      <c r="J695" t="s">
        <v>15847</v>
      </c>
      <c r="K695" t="s">
        <v>15848</v>
      </c>
      <c r="L695" t="s">
        <v>15849</v>
      </c>
      <c r="M695" t="s">
        <v>15850</v>
      </c>
      <c r="N695" t="s">
        <v>15851</v>
      </c>
      <c r="O695">
        <f>-584.989701648569 -126.410070624115 -737.294036631148</f>
        <v>-1448.693808903832</v>
      </c>
      <c r="P695">
        <f>-625.388822372911 -97.9963812085726 -424.649243835079</f>
        <v>-1148.0344474165627</v>
      </c>
      <c r="Q695">
        <f>-373.024904456354 -35.1502957645946 -426.854758684127</f>
        <v>-835.02995890507555</v>
      </c>
      <c r="R695" t="s">
        <v>15852</v>
      </c>
      <c r="S695" t="s">
        <v>15853</v>
      </c>
      <c r="T695" t="s">
        <v>15854</v>
      </c>
      <c r="U695" t="s">
        <v>15855</v>
      </c>
      <c r="V695">
        <f>-605.048309486251 -11.274638754694 -240.278053415915</f>
        <v>-856.60100165686003</v>
      </c>
      <c r="W695" t="s">
        <v>15856</v>
      </c>
      <c r="X695" t="s">
        <v>15857</v>
      </c>
      <c r="Y695" t="s">
        <v>15858</v>
      </c>
    </row>
    <row r="696" spans="1:25" x14ac:dyDescent="0.3">
      <c r="A696">
        <v>34750</v>
      </c>
      <c r="B696" t="s">
        <v>15859</v>
      </c>
      <c r="C696" t="s">
        <v>15860</v>
      </c>
      <c r="D696" t="s">
        <v>15861</v>
      </c>
      <c r="E696" t="s">
        <v>15862</v>
      </c>
      <c r="F696" t="s">
        <v>15863</v>
      </c>
      <c r="G696" t="s">
        <v>15864</v>
      </c>
      <c r="H696" t="s">
        <v>15865</v>
      </c>
      <c r="I696" t="s">
        <v>15866</v>
      </c>
      <c r="J696" t="s">
        <v>15867</v>
      </c>
      <c r="K696" t="s">
        <v>15868</v>
      </c>
      <c r="L696" t="s">
        <v>15869</v>
      </c>
      <c r="M696" t="s">
        <v>15870</v>
      </c>
      <c r="N696" t="s">
        <v>15871</v>
      </c>
      <c r="O696">
        <f>-584.475469788706 -126.915816858134 -737.116020503654</f>
        <v>-1448.5073071504939</v>
      </c>
      <c r="P696">
        <f>-623.703124432006 -98.5841251472836 -424.314670036686</f>
        <v>-1146.6019196159757</v>
      </c>
      <c r="Q696">
        <f>-371.490180198469 -35.203053616473 -427.989867248358</f>
        <v>-834.6831010633</v>
      </c>
      <c r="R696" t="s">
        <v>15872</v>
      </c>
      <c r="S696" t="s">
        <v>15873</v>
      </c>
      <c r="T696" t="s">
        <v>15874</v>
      </c>
      <c r="U696" t="s">
        <v>15875</v>
      </c>
      <c r="V696">
        <f>-603.855940491015 -11.5616457829802 -240.16230626244</f>
        <v>-855.57989253643518</v>
      </c>
      <c r="W696" t="s">
        <v>15876</v>
      </c>
      <c r="X696" t="s">
        <v>15877</v>
      </c>
      <c r="Y696" t="s">
        <v>15878</v>
      </c>
    </row>
    <row r="697" spans="1:25" x14ac:dyDescent="0.3">
      <c r="A697">
        <v>34800</v>
      </c>
      <c r="B697" t="s">
        <v>15879</v>
      </c>
      <c r="C697" t="s">
        <v>15880</v>
      </c>
      <c r="D697" t="s">
        <v>15881</v>
      </c>
      <c r="E697" t="s">
        <v>15882</v>
      </c>
      <c r="F697" t="s">
        <v>15883</v>
      </c>
      <c r="G697" t="s">
        <v>15884</v>
      </c>
      <c r="H697" t="s">
        <v>15885</v>
      </c>
      <c r="I697" t="s">
        <v>15886</v>
      </c>
      <c r="J697" t="s">
        <v>15887</v>
      </c>
      <c r="K697" t="s">
        <v>15888</v>
      </c>
      <c r="L697" t="s">
        <v>15889</v>
      </c>
      <c r="M697" t="s">
        <v>15890</v>
      </c>
      <c r="N697" t="s">
        <v>15891</v>
      </c>
      <c r="O697">
        <f>-584.362172921172 -126.914394872385 -737.045972308496</f>
        <v>-1448.3225401020529</v>
      </c>
      <c r="P697">
        <f>-622.671249256287 -98.6677620518839 -424.123138132005</f>
        <v>-1145.4621494401758</v>
      </c>
      <c r="Q697">
        <f>-370.545939361256 -35.0159477253968 -428.953317853444</f>
        <v>-834.51520494009674</v>
      </c>
      <c r="R697" t="s">
        <v>15892</v>
      </c>
      <c r="S697" t="s">
        <v>15893</v>
      </c>
      <c r="T697" t="s">
        <v>15894</v>
      </c>
      <c r="U697" t="s">
        <v>15895</v>
      </c>
      <c r="V697">
        <f>-603.22241663857 -11.4301852790889 -240.102614310277</f>
        <v>-854.75521622793588</v>
      </c>
      <c r="W697" t="s">
        <v>15896</v>
      </c>
      <c r="X697" t="s">
        <v>15897</v>
      </c>
      <c r="Y697" t="s">
        <v>15898</v>
      </c>
    </row>
    <row r="698" spans="1:25" x14ac:dyDescent="0.3">
      <c r="A698">
        <v>34850</v>
      </c>
      <c r="B698" t="s">
        <v>15899</v>
      </c>
      <c r="C698" t="s">
        <v>15900</v>
      </c>
      <c r="D698" t="s">
        <v>15901</v>
      </c>
      <c r="E698" t="s">
        <v>15902</v>
      </c>
      <c r="F698" t="s">
        <v>15903</v>
      </c>
      <c r="G698" t="s">
        <v>15904</v>
      </c>
      <c r="H698" t="s">
        <v>15905</v>
      </c>
      <c r="I698" t="s">
        <v>15906</v>
      </c>
      <c r="J698" t="s">
        <v>15907</v>
      </c>
      <c r="K698" t="s">
        <v>15908</v>
      </c>
      <c r="L698" t="s">
        <v>15909</v>
      </c>
      <c r="M698" t="s">
        <v>15910</v>
      </c>
      <c r="N698" t="s">
        <v>15911</v>
      </c>
      <c r="O698">
        <f>-584.182940378761 -127.012906719521 -736.945609717657</f>
        <v>-1448.1414568159389</v>
      </c>
      <c r="P698">
        <f>-620.512955330681 -99.3359580256882 -423.735914359537</f>
        <v>-1143.5848277159062</v>
      </c>
      <c r="Q698">
        <f>-368.288922397104 -36.2413213671484 -430.380961743636</f>
        <v>-834.91120550788844</v>
      </c>
      <c r="R698" t="s">
        <v>15912</v>
      </c>
      <c r="S698" t="s">
        <v>15913</v>
      </c>
      <c r="T698" t="s">
        <v>15914</v>
      </c>
      <c r="U698" t="s">
        <v>15915</v>
      </c>
      <c r="V698">
        <f>-602.102394700357 -11.3957660050241 -239.99450733847</f>
        <v>-853.49266804385115</v>
      </c>
      <c r="W698" t="s">
        <v>15916</v>
      </c>
      <c r="X698" t="s">
        <v>15917</v>
      </c>
      <c r="Y698" t="s">
        <v>15918</v>
      </c>
    </row>
    <row r="699" spans="1:25" x14ac:dyDescent="0.3">
      <c r="A699">
        <v>34900</v>
      </c>
      <c r="B699" t="s">
        <v>15919</v>
      </c>
      <c r="C699" t="s">
        <v>15920</v>
      </c>
      <c r="D699" t="s">
        <v>15921</v>
      </c>
      <c r="E699" t="s">
        <v>15922</v>
      </c>
      <c r="F699" t="s">
        <v>15923</v>
      </c>
      <c r="G699" t="s">
        <v>15924</v>
      </c>
      <c r="H699" t="s">
        <v>15925</v>
      </c>
      <c r="I699" t="s">
        <v>15926</v>
      </c>
      <c r="J699" t="s">
        <v>15927</v>
      </c>
      <c r="K699" t="s">
        <v>15928</v>
      </c>
      <c r="L699" t="s">
        <v>15929</v>
      </c>
      <c r="M699" t="s">
        <v>15930</v>
      </c>
      <c r="N699" t="s">
        <v>15931</v>
      </c>
      <c r="O699">
        <f>-584.189826167167 -126.992725740614 -736.909451787996</f>
        <v>-1448.0920036957768</v>
      </c>
      <c r="P699">
        <f>-619.674502953376 -100.325971523587 -423.515374949569</f>
        <v>-1143.515849426532</v>
      </c>
      <c r="Q699">
        <f>-367.505896945548 -37.0821036306672 -430.812254589865</f>
        <v>-835.40025516608011</v>
      </c>
      <c r="R699" t="s">
        <v>15932</v>
      </c>
      <c r="S699" t="s">
        <v>15933</v>
      </c>
      <c r="T699" t="s">
        <v>15934</v>
      </c>
      <c r="U699" t="s">
        <v>15935</v>
      </c>
      <c r="V699">
        <f>-601.642989192644 -11.3349519078705 -239.92627353821</f>
        <v>-852.90421463872451</v>
      </c>
      <c r="W699" t="s">
        <v>15936</v>
      </c>
      <c r="X699" t="s">
        <v>15937</v>
      </c>
      <c r="Y699" t="s">
        <v>15938</v>
      </c>
    </row>
    <row r="700" spans="1:25" x14ac:dyDescent="0.3">
      <c r="A700">
        <v>34950</v>
      </c>
      <c r="B700" t="s">
        <v>15939</v>
      </c>
      <c r="C700" t="s">
        <v>15940</v>
      </c>
      <c r="D700" t="s">
        <v>15941</v>
      </c>
      <c r="E700" t="s">
        <v>15942</v>
      </c>
      <c r="F700" t="s">
        <v>15943</v>
      </c>
      <c r="G700" t="s">
        <v>15944</v>
      </c>
      <c r="H700" t="s">
        <v>15945</v>
      </c>
      <c r="I700" t="s">
        <v>15946</v>
      </c>
      <c r="J700" t="s">
        <v>15947</v>
      </c>
      <c r="K700" t="s">
        <v>15948</v>
      </c>
      <c r="L700" t="s">
        <v>15949</v>
      </c>
      <c r="M700" t="s">
        <v>15950</v>
      </c>
      <c r="N700" t="s">
        <v>15951</v>
      </c>
      <c r="O700">
        <f>-584.767887016216 -126.475699444285 -737.163097979544</f>
        <v>-1448.406684440045</v>
      </c>
      <c r="P700">
        <f>-619.33879784079 -101.88303599425 -423.497280077161</f>
        <v>-1144.719113912201</v>
      </c>
      <c r="Q700">
        <f>-367.290173798991 -38.3180628917801 -432.043565233273</f>
        <v>-837.65180192404409</v>
      </c>
      <c r="R700" t="s">
        <v>15952</v>
      </c>
      <c r="S700" t="s">
        <v>15953</v>
      </c>
      <c r="T700" t="s">
        <v>15954</v>
      </c>
      <c r="U700" t="s">
        <v>15955</v>
      </c>
      <c r="V700">
        <f>-600.908026636165 -11.0265403789471 -239.862349935925</f>
        <v>-851.79691695103702</v>
      </c>
      <c r="W700" t="s">
        <v>15956</v>
      </c>
      <c r="X700" t="s">
        <v>15957</v>
      </c>
      <c r="Y700" t="s">
        <v>15958</v>
      </c>
    </row>
    <row r="701" spans="1:25" x14ac:dyDescent="0.3">
      <c r="A701">
        <v>35000</v>
      </c>
      <c r="B701" t="s">
        <v>15959</v>
      </c>
      <c r="C701" t="s">
        <v>15960</v>
      </c>
      <c r="D701" t="s">
        <v>15961</v>
      </c>
      <c r="E701" t="s">
        <v>15962</v>
      </c>
      <c r="F701" t="s">
        <v>15963</v>
      </c>
      <c r="G701" t="s">
        <v>15964</v>
      </c>
      <c r="H701" t="s">
        <v>15965</v>
      </c>
      <c r="I701" t="s">
        <v>15966</v>
      </c>
      <c r="J701" t="s">
        <v>15967</v>
      </c>
      <c r="K701" t="s">
        <v>15968</v>
      </c>
      <c r="L701" t="s">
        <v>15969</v>
      </c>
      <c r="M701" t="s">
        <v>15970</v>
      </c>
      <c r="N701" t="s">
        <v>15971</v>
      </c>
      <c r="O701">
        <f>-584.999256427742 -126.276421235729 -737.312360265919</f>
        <v>-1448.5880379293899</v>
      </c>
      <c r="P701">
        <f>-619.071425999323 -102.321660284156 -423.542710309288</f>
        <v>-1144.935796592767</v>
      </c>
      <c r="Q701">
        <f>-367.103928636188 -38.477295693221 -432.392936005962</f>
        <v>-837.97416033537093</v>
      </c>
      <c r="R701" t="s">
        <v>15972</v>
      </c>
      <c r="S701" t="s">
        <v>15973</v>
      </c>
      <c r="T701" t="s">
        <v>15974</v>
      </c>
      <c r="U701" t="s">
        <v>15975</v>
      </c>
      <c r="V701">
        <f>-600.705821370578 -11.0080073186882 -239.849952393035</f>
        <v>-851.56378108230115</v>
      </c>
      <c r="W701" t="s">
        <v>15976</v>
      </c>
      <c r="X701" t="s">
        <v>15977</v>
      </c>
      <c r="Y701" t="s">
        <v>15978</v>
      </c>
    </row>
    <row r="702" spans="1:25" x14ac:dyDescent="0.3">
      <c r="A702">
        <v>35050</v>
      </c>
      <c r="B702" t="s">
        <v>15979</v>
      </c>
      <c r="C702" t="s">
        <v>15980</v>
      </c>
      <c r="D702" t="s">
        <v>15981</v>
      </c>
      <c r="E702" t="s">
        <v>15982</v>
      </c>
      <c r="F702" t="s">
        <v>15983</v>
      </c>
      <c r="G702" t="s">
        <v>15984</v>
      </c>
      <c r="H702" t="s">
        <v>15985</v>
      </c>
      <c r="I702" t="s">
        <v>15986</v>
      </c>
      <c r="J702" t="s">
        <v>15987</v>
      </c>
      <c r="K702" t="s">
        <v>15988</v>
      </c>
      <c r="L702" t="s">
        <v>15989</v>
      </c>
      <c r="M702" t="s">
        <v>15990</v>
      </c>
      <c r="N702" t="s">
        <v>15991</v>
      </c>
      <c r="O702">
        <f>-585.935716840057 -125.643143151785 -737.517345261352</f>
        <v>-1449.0962052531941</v>
      </c>
      <c r="P702">
        <f>-619.017363079145 -102.846079494743 -423.555378135552</f>
        <v>-1145.4188207094398</v>
      </c>
      <c r="Q702">
        <f>-367.113823339657 -38.9936727022427 -434.021854772359</f>
        <v>-840.12935081425871</v>
      </c>
      <c r="R702" t="s">
        <v>15992</v>
      </c>
      <c r="S702" t="s">
        <v>15993</v>
      </c>
      <c r="T702" t="s">
        <v>15994</v>
      </c>
      <c r="U702" t="s">
        <v>15995</v>
      </c>
      <c r="V702">
        <f>-600.67839059456 -10.7930343630097 -239.848583624572</f>
        <v>-851.32000858214178</v>
      </c>
      <c r="W702" t="s">
        <v>15996</v>
      </c>
      <c r="X702" t="s">
        <v>15997</v>
      </c>
      <c r="Y702" t="s">
        <v>15998</v>
      </c>
    </row>
    <row r="703" spans="1:25" x14ac:dyDescent="0.3">
      <c r="A703">
        <v>35100</v>
      </c>
      <c r="B703" t="s">
        <v>15999</v>
      </c>
      <c r="C703" t="s">
        <v>16000</v>
      </c>
      <c r="D703" t="s">
        <v>16001</v>
      </c>
      <c r="E703" t="s">
        <v>16002</v>
      </c>
      <c r="F703" t="s">
        <v>16003</v>
      </c>
      <c r="G703" t="s">
        <v>16004</v>
      </c>
      <c r="H703" t="s">
        <v>16005</v>
      </c>
      <c r="I703" t="s">
        <v>16006</v>
      </c>
      <c r="J703" t="s">
        <v>16007</v>
      </c>
      <c r="K703" t="s">
        <v>16008</v>
      </c>
      <c r="L703" t="s">
        <v>16009</v>
      </c>
      <c r="M703" t="s">
        <v>16010</v>
      </c>
      <c r="N703" t="s">
        <v>16011</v>
      </c>
      <c r="O703">
        <f>-586.750673243756 -125.283556750758 -737.718183953998</f>
        <v>-1449.752413948512</v>
      </c>
      <c r="P703">
        <f>-618.496892167708 -103.042466921599 -423.57854492153</f>
        <v>-1145.117904010837</v>
      </c>
      <c r="Q703">
        <f>-366.820565521572 -38.1896243951716 -433.335260204285</f>
        <v>-838.34545012102865</v>
      </c>
      <c r="R703" t="s">
        <v>16012</v>
      </c>
      <c r="S703" t="s">
        <v>16013</v>
      </c>
      <c r="T703" t="s">
        <v>16014</v>
      </c>
      <c r="U703" t="s">
        <v>16015</v>
      </c>
      <c r="V703">
        <f>-600.797245111833 -10.5957611775554 -239.869039774568</f>
        <v>-851.2620460639564</v>
      </c>
      <c r="W703" t="s">
        <v>16016</v>
      </c>
      <c r="X703" t="s">
        <v>16017</v>
      </c>
      <c r="Y703" t="s">
        <v>16018</v>
      </c>
    </row>
    <row r="704" spans="1:25" x14ac:dyDescent="0.3">
      <c r="A704">
        <v>35150</v>
      </c>
      <c r="B704" t="s">
        <v>16019</v>
      </c>
      <c r="C704" t="s">
        <v>16020</v>
      </c>
      <c r="D704" t="s">
        <v>16021</v>
      </c>
      <c r="E704" t="s">
        <v>16022</v>
      </c>
      <c r="F704" t="s">
        <v>16023</v>
      </c>
      <c r="G704" t="s">
        <v>16024</v>
      </c>
      <c r="H704" t="s">
        <v>16025</v>
      </c>
      <c r="I704" t="s">
        <v>16026</v>
      </c>
      <c r="J704" t="s">
        <v>16027</v>
      </c>
      <c r="K704" t="s">
        <v>16028</v>
      </c>
      <c r="L704" t="s">
        <v>16029</v>
      </c>
      <c r="M704" t="s">
        <v>16030</v>
      </c>
      <c r="N704" t="s">
        <v>16031</v>
      </c>
      <c r="O704">
        <f>-587.530654995185 -125.149002234948 -737.749562296041</f>
        <v>-1450.4292195261739</v>
      </c>
      <c r="P704">
        <f>-618.647411687995 -102.852588751804 -423.551040886481</f>
        <v>-1145.05104132628</v>
      </c>
      <c r="Q704">
        <f>-367.24343071814 -36.9443833670463 -433.256681653312</f>
        <v>-837.44449573849829</v>
      </c>
      <c r="R704" t="s">
        <v>16032</v>
      </c>
      <c r="S704" t="s">
        <v>16033</v>
      </c>
      <c r="T704" t="s">
        <v>16034</v>
      </c>
      <c r="U704" t="s">
        <v>16035</v>
      </c>
      <c r="V704">
        <f>-601.05298653586 -10.5389087466929 -239.853060928667</f>
        <v>-851.44495621121985</v>
      </c>
      <c r="W704" t="s">
        <v>16036</v>
      </c>
      <c r="X704" t="s">
        <v>16037</v>
      </c>
      <c r="Y704" t="s">
        <v>16038</v>
      </c>
    </row>
    <row r="705" spans="1:25" x14ac:dyDescent="0.3">
      <c r="A705">
        <v>35200</v>
      </c>
      <c r="B705" t="s">
        <v>16039</v>
      </c>
      <c r="C705" t="s">
        <v>16040</v>
      </c>
      <c r="D705" t="s">
        <v>16041</v>
      </c>
      <c r="E705" t="s">
        <v>16042</v>
      </c>
      <c r="F705" t="s">
        <v>16043</v>
      </c>
      <c r="G705" t="s">
        <v>16044</v>
      </c>
      <c r="H705" t="s">
        <v>16045</v>
      </c>
      <c r="I705" t="s">
        <v>16046</v>
      </c>
      <c r="J705" t="s">
        <v>16047</v>
      </c>
      <c r="K705" t="s">
        <v>16048</v>
      </c>
      <c r="L705" t="s">
        <v>16049</v>
      </c>
      <c r="M705" t="s">
        <v>16050</v>
      </c>
      <c r="N705" t="s">
        <v>16051</v>
      </c>
      <c r="O705">
        <f>-589.288370979026 -124.895587170719 -737.483078540157</f>
        <v>-1451.667036689902</v>
      </c>
      <c r="P705">
        <f>-619.519527574945 -101.228593602262 -423.298133714229</f>
        <v>-1144.0462548914359</v>
      </c>
      <c r="Q705">
        <f>-368.16408082306 -35.0334017027254 -432.281984472291</f>
        <v>-835.47946699807642</v>
      </c>
      <c r="R705" t="s">
        <v>16052</v>
      </c>
      <c r="S705" t="s">
        <v>16053</v>
      </c>
      <c r="T705" t="s">
        <v>16054</v>
      </c>
      <c r="U705" t="s">
        <v>16055</v>
      </c>
      <c r="V705">
        <f>-601.714301240354 -10.2503640821149 -239.810728016509</f>
        <v>-851.77539333897778</v>
      </c>
      <c r="W705" t="s">
        <v>16056</v>
      </c>
      <c r="X705" t="s">
        <v>16057</v>
      </c>
      <c r="Y705" t="s">
        <v>16058</v>
      </c>
    </row>
    <row r="706" spans="1:25" x14ac:dyDescent="0.3">
      <c r="A706">
        <v>35250</v>
      </c>
      <c r="B706" t="s">
        <v>16059</v>
      </c>
      <c r="C706" t="s">
        <v>16060</v>
      </c>
      <c r="D706" t="s">
        <v>16061</v>
      </c>
      <c r="E706" t="s">
        <v>16062</v>
      </c>
      <c r="F706" t="s">
        <v>16063</v>
      </c>
      <c r="G706" t="s">
        <v>16064</v>
      </c>
      <c r="H706" t="s">
        <v>16065</v>
      </c>
      <c r="I706" t="s">
        <v>16066</v>
      </c>
      <c r="J706" t="s">
        <v>16067</v>
      </c>
      <c r="K706" t="s">
        <v>16068</v>
      </c>
      <c r="L706" t="s">
        <v>16069</v>
      </c>
      <c r="M706" t="s">
        <v>16070</v>
      </c>
      <c r="N706" t="s">
        <v>16071</v>
      </c>
      <c r="O706">
        <f>-590.722231175744 -124.555268063701 -737.484413800437</f>
        <v>-1452.7619130398821</v>
      </c>
      <c r="P706">
        <f>-620.924782317602 -100.067185490657 -423.359733265966</f>
        <v>-1144.351701074225</v>
      </c>
      <c r="Q706">
        <f>-369.67168533345 -33.3662515796388 -431.417301538323</f>
        <v>-834.45523845141179</v>
      </c>
      <c r="R706" t="s">
        <v>16072</v>
      </c>
      <c r="S706" t="s">
        <v>16073</v>
      </c>
      <c r="T706" t="s">
        <v>16074</v>
      </c>
      <c r="U706" t="s">
        <v>16075</v>
      </c>
      <c r="V706">
        <f>-602.480714631466 -10.178071555068 -239.805261438621</f>
        <v>-852.46404762515488</v>
      </c>
      <c r="W706" t="s">
        <v>16076</v>
      </c>
      <c r="X706" t="s">
        <v>16077</v>
      </c>
      <c r="Y706" t="s">
        <v>16078</v>
      </c>
    </row>
    <row r="707" spans="1:25" x14ac:dyDescent="0.3">
      <c r="A707">
        <v>35300</v>
      </c>
      <c r="B707" t="s">
        <v>16079</v>
      </c>
      <c r="C707" t="s">
        <v>16080</v>
      </c>
      <c r="D707" t="s">
        <v>16081</v>
      </c>
      <c r="E707" t="s">
        <v>16082</v>
      </c>
      <c r="F707" t="s">
        <v>16083</v>
      </c>
      <c r="G707" t="s">
        <v>16084</v>
      </c>
      <c r="H707" t="s">
        <v>16085</v>
      </c>
      <c r="I707" t="s">
        <v>16086</v>
      </c>
      <c r="J707" t="s">
        <v>16087</v>
      </c>
      <c r="K707" t="s">
        <v>16088</v>
      </c>
      <c r="L707" t="s">
        <v>16089</v>
      </c>
      <c r="M707" t="s">
        <v>16090</v>
      </c>
      <c r="N707" t="s">
        <v>16091</v>
      </c>
      <c r="O707">
        <f>-591.687781642936 -124.299583141696 -737.54085536326</f>
        <v>-1453.5282201478919</v>
      </c>
      <c r="P707">
        <f>-622.172410225791 -99.5554136862848 -423.463519532912</f>
        <v>-1145.1913434449878</v>
      </c>
      <c r="Q707">
        <f>-370.954082529183 -32.6548559625352 -430.929357350335</f>
        <v>-834.53829584205323</v>
      </c>
      <c r="R707" t="s">
        <v>16092</v>
      </c>
      <c r="S707" t="s">
        <v>16093</v>
      </c>
      <c r="T707" t="s">
        <v>16094</v>
      </c>
      <c r="U707" t="s">
        <v>16095</v>
      </c>
      <c r="V707">
        <f>-603.069810463468 -10.1947916998583 -239.778648461288</f>
        <v>-853.0432506246143</v>
      </c>
      <c r="W707" t="s">
        <v>16096</v>
      </c>
      <c r="X707" t="s">
        <v>16097</v>
      </c>
      <c r="Y707" t="s">
        <v>16098</v>
      </c>
    </row>
    <row r="708" spans="1:25" x14ac:dyDescent="0.3">
      <c r="A708">
        <v>35350</v>
      </c>
      <c r="B708" t="s">
        <v>16099</v>
      </c>
      <c r="C708" t="s">
        <v>16100</v>
      </c>
      <c r="D708" t="s">
        <v>16101</v>
      </c>
      <c r="E708" t="s">
        <v>16102</v>
      </c>
      <c r="F708" t="s">
        <v>16103</v>
      </c>
      <c r="G708" t="s">
        <v>16104</v>
      </c>
      <c r="H708" t="s">
        <v>16105</v>
      </c>
      <c r="I708" t="s">
        <v>16106</v>
      </c>
      <c r="J708" t="s">
        <v>16107</v>
      </c>
      <c r="K708" t="s">
        <v>16108</v>
      </c>
      <c r="L708" t="s">
        <v>16109</v>
      </c>
      <c r="M708" t="s">
        <v>16110</v>
      </c>
      <c r="N708" t="s">
        <v>16111</v>
      </c>
      <c r="O708">
        <f>-593.874399201843 -123.636694500208 -737.616741911548</f>
        <v>-1455.127835613599</v>
      </c>
      <c r="P708">
        <f>-624.748796043752 -98.7528968478672 -423.588453106616</f>
        <v>-1147.0901459982351</v>
      </c>
      <c r="Q708">
        <f>-373.591174213026 -31.4697536196905 -429.496857545441</f>
        <v>-834.55778537815752</v>
      </c>
      <c r="R708" t="s">
        <v>16112</v>
      </c>
      <c r="S708" t="s">
        <v>16113</v>
      </c>
      <c r="T708" t="s">
        <v>16114</v>
      </c>
      <c r="U708" t="s">
        <v>16115</v>
      </c>
      <c r="V708">
        <f>-604.388150077749 -9.93289802374046 -239.780028679547</f>
        <v>-854.10107678103645</v>
      </c>
      <c r="W708" t="s">
        <v>16116</v>
      </c>
      <c r="X708" t="s">
        <v>16117</v>
      </c>
      <c r="Y708" t="s">
        <v>16118</v>
      </c>
    </row>
    <row r="709" spans="1:25" x14ac:dyDescent="0.3">
      <c r="A709">
        <v>35400</v>
      </c>
      <c r="B709" t="s">
        <v>16119</v>
      </c>
      <c r="C709" t="s">
        <v>16120</v>
      </c>
      <c r="D709" t="s">
        <v>16121</v>
      </c>
      <c r="E709" t="s">
        <v>16122</v>
      </c>
      <c r="F709" t="s">
        <v>16123</v>
      </c>
      <c r="G709" t="s">
        <v>16124</v>
      </c>
      <c r="H709" t="s">
        <v>16125</v>
      </c>
      <c r="I709" t="s">
        <v>16126</v>
      </c>
      <c r="J709" t="s">
        <v>16127</v>
      </c>
      <c r="K709" t="s">
        <v>16128</v>
      </c>
      <c r="L709" t="s">
        <v>16129</v>
      </c>
      <c r="M709" t="s">
        <v>16130</v>
      </c>
      <c r="N709" t="s">
        <v>16131</v>
      </c>
      <c r="O709">
        <f>-594.767967296129 -123.382131166524 -737.677259691504</f>
        <v>-1455.8273581541571</v>
      </c>
      <c r="P709">
        <f>-625.760137703059 -98.3800235531428 -423.669980764393</f>
        <v>-1147.8101420205949</v>
      </c>
      <c r="Q709">
        <f>-374.63252327256 -30.9264335872341 -428.862950255452</f>
        <v>-834.42190711524609</v>
      </c>
      <c r="R709" t="s">
        <v>16132</v>
      </c>
      <c r="S709" t="s">
        <v>16133</v>
      </c>
      <c r="T709" t="s">
        <v>16134</v>
      </c>
      <c r="U709" t="s">
        <v>16135</v>
      </c>
      <c r="V709">
        <f>-605.007796616985 -9.90656396027491 -239.775025298121</f>
        <v>-854.68938587538094</v>
      </c>
      <c r="W709" t="s">
        <v>16136</v>
      </c>
      <c r="X709" t="s">
        <v>16137</v>
      </c>
      <c r="Y709" t="s">
        <v>16138</v>
      </c>
    </row>
    <row r="710" spans="1:25" x14ac:dyDescent="0.3">
      <c r="A710">
        <v>35450</v>
      </c>
      <c r="B710" t="s">
        <v>16139</v>
      </c>
      <c r="C710" t="s">
        <v>16140</v>
      </c>
      <c r="D710" t="s">
        <v>16141</v>
      </c>
      <c r="E710" t="s">
        <v>16142</v>
      </c>
      <c r="F710" t="s">
        <v>16143</v>
      </c>
      <c r="G710" t="s">
        <v>16144</v>
      </c>
      <c r="H710" t="s">
        <v>16145</v>
      </c>
      <c r="I710" t="s">
        <v>16146</v>
      </c>
      <c r="J710" t="s">
        <v>16147</v>
      </c>
      <c r="K710" t="s">
        <v>16148</v>
      </c>
      <c r="L710" t="s">
        <v>16149</v>
      </c>
      <c r="M710" t="s">
        <v>16150</v>
      </c>
      <c r="N710" t="s">
        <v>16151</v>
      </c>
      <c r="O710">
        <f>-596.562350666869 -122.758412980128 -737.82564222395</f>
        <v>-1457.1464058709471</v>
      </c>
      <c r="P710">
        <f>-626.929983416442 -96.9282424091851 -423.824235410966</f>
        <v>-1147.6824612365931</v>
      </c>
      <c r="Q710">
        <f>-375.64361882011 -29.9640985330319 -427.43112336356</f>
        <v>-833.038840716702</v>
      </c>
      <c r="R710" t="s">
        <v>16152</v>
      </c>
      <c r="S710" t="s">
        <v>16153</v>
      </c>
      <c r="T710" t="s">
        <v>16154</v>
      </c>
      <c r="U710" t="s">
        <v>16155</v>
      </c>
      <c r="V710">
        <f>-606.095569630719 -9.70627243240814 -239.778559718787</f>
        <v>-855.58040178191413</v>
      </c>
      <c r="W710" t="s">
        <v>16156</v>
      </c>
      <c r="X710" t="s">
        <v>16157</v>
      </c>
      <c r="Y710" t="s">
        <v>16158</v>
      </c>
    </row>
    <row r="711" spans="1:25" x14ac:dyDescent="0.3">
      <c r="A711">
        <v>35500</v>
      </c>
      <c r="B711" t="s">
        <v>16159</v>
      </c>
      <c r="C711" t="s">
        <v>16160</v>
      </c>
      <c r="D711" t="s">
        <v>16161</v>
      </c>
      <c r="E711" t="s">
        <v>16162</v>
      </c>
      <c r="F711" t="s">
        <v>16163</v>
      </c>
      <c r="G711" t="s">
        <v>16164</v>
      </c>
      <c r="H711" t="s">
        <v>16165</v>
      </c>
      <c r="I711" t="s">
        <v>16166</v>
      </c>
      <c r="J711" t="s">
        <v>16167</v>
      </c>
      <c r="K711" t="s">
        <v>16168</v>
      </c>
      <c r="L711" t="s">
        <v>16169</v>
      </c>
      <c r="M711" t="s">
        <v>16170</v>
      </c>
      <c r="N711" t="s">
        <v>16171</v>
      </c>
      <c r="O711">
        <f>-597.399142833312 -122.567419282503 -737.874984810387</f>
        <v>-1457.841546926202</v>
      </c>
      <c r="P711">
        <f>-627.654362209206 -96.4663216431156 -423.885463919458</f>
        <v>-1148.0061477717798</v>
      </c>
      <c r="Q711">
        <f>-376.317945756131 -29.6767806100526 -427.231303035079</f>
        <v>-833.22602940126262</v>
      </c>
      <c r="R711" t="s">
        <v>16172</v>
      </c>
      <c r="S711" t="s">
        <v>16173</v>
      </c>
      <c r="T711" t="s">
        <v>16174</v>
      </c>
      <c r="U711" t="s">
        <v>16175</v>
      </c>
      <c r="V711">
        <f>-606.61107184563 -9.68341020154153 -239.813154084962</f>
        <v>-856.10763613213351</v>
      </c>
      <c r="W711" t="s">
        <v>16176</v>
      </c>
      <c r="X711" t="s">
        <v>16177</v>
      </c>
      <c r="Y711" t="s">
        <v>16178</v>
      </c>
    </row>
    <row r="712" spans="1:25" x14ac:dyDescent="0.3">
      <c r="A712">
        <v>35550</v>
      </c>
      <c r="B712" t="s">
        <v>16179</v>
      </c>
      <c r="C712" t="s">
        <v>16180</v>
      </c>
      <c r="D712" t="s">
        <v>16181</v>
      </c>
      <c r="E712" t="s">
        <v>16182</v>
      </c>
      <c r="F712" t="s">
        <v>16183</v>
      </c>
      <c r="G712" t="s">
        <v>16184</v>
      </c>
      <c r="H712" t="s">
        <v>16185</v>
      </c>
      <c r="I712" t="s">
        <v>16186</v>
      </c>
      <c r="J712" t="s">
        <v>16187</v>
      </c>
      <c r="K712" t="s">
        <v>16188</v>
      </c>
      <c r="L712" t="s">
        <v>16189</v>
      </c>
      <c r="M712" t="s">
        <v>16190</v>
      </c>
      <c r="N712" t="s">
        <v>16191</v>
      </c>
      <c r="O712">
        <f>-598.646102077028 -122.209244250315 -738.105656464978</f>
        <v>-1458.9610027923209</v>
      </c>
      <c r="P712">
        <f>-627.490868310293 -97.1491485834812 -423.898454996672</f>
        <v>-1148.5384718904461</v>
      </c>
      <c r="Q712">
        <f>-375.570649468643 -32.946383103162 -431.397856620557</f>
        <v>-839.91488919236201</v>
      </c>
      <c r="R712" t="s">
        <v>16192</v>
      </c>
      <c r="S712" t="s">
        <v>16193</v>
      </c>
      <c r="T712" t="s">
        <v>16194</v>
      </c>
      <c r="U712" t="s">
        <v>16195</v>
      </c>
      <c r="V712">
        <f>-607.33209278501 -9.71179865257633 -239.874870692583</f>
        <v>-856.9187621301694</v>
      </c>
      <c r="W712" t="s">
        <v>16196</v>
      </c>
      <c r="X712" t="s">
        <v>16197</v>
      </c>
      <c r="Y712" t="s">
        <v>16198</v>
      </c>
    </row>
    <row r="713" spans="1:25" x14ac:dyDescent="0.3">
      <c r="A713">
        <v>35600</v>
      </c>
      <c r="B713" t="s">
        <v>16199</v>
      </c>
      <c r="C713" t="s">
        <v>16200</v>
      </c>
      <c r="D713" t="s">
        <v>16201</v>
      </c>
      <c r="E713" t="s">
        <v>16202</v>
      </c>
      <c r="F713" t="s">
        <v>16203</v>
      </c>
      <c r="G713" t="s">
        <v>16204</v>
      </c>
      <c r="H713" t="s">
        <v>16205</v>
      </c>
      <c r="I713" t="s">
        <v>16206</v>
      </c>
      <c r="J713" t="s">
        <v>16207</v>
      </c>
      <c r="K713" t="s">
        <v>16208</v>
      </c>
      <c r="L713" t="s">
        <v>16209</v>
      </c>
      <c r="M713" t="s">
        <v>16210</v>
      </c>
      <c r="N713" t="s">
        <v>16211</v>
      </c>
      <c r="O713">
        <f>-599.589112141011 -121.732099518248 -738.416930626311</f>
        <v>-1459.7381422855701</v>
      </c>
      <c r="P713">
        <f>-627.236729636405 -98.0522883933655 -423.995128458545</f>
        <v>-1149.2841464883156</v>
      </c>
      <c r="Q713">
        <f>-374.90948201603 -35.7927875787576 -433.832849594283</f>
        <v>-844.53511918907066</v>
      </c>
      <c r="R713" t="s">
        <v>16212</v>
      </c>
      <c r="S713" t="s">
        <v>16213</v>
      </c>
      <c r="T713" t="s">
        <v>16214</v>
      </c>
      <c r="U713" t="s">
        <v>16215</v>
      </c>
      <c r="V713">
        <f>-607.657884903625 -9.6770281075821 -239.911253099248</f>
        <v>-857.24616611045519</v>
      </c>
      <c r="W713" t="s">
        <v>16216</v>
      </c>
      <c r="X713" t="s">
        <v>16217</v>
      </c>
      <c r="Y713" t="s">
        <v>16218</v>
      </c>
    </row>
    <row r="714" spans="1:25" x14ac:dyDescent="0.3">
      <c r="A714">
        <v>35650</v>
      </c>
      <c r="B714" t="s">
        <v>16219</v>
      </c>
      <c r="C714" t="s">
        <v>16220</v>
      </c>
      <c r="D714" t="s">
        <v>16221</v>
      </c>
      <c r="E714" t="s">
        <v>16222</v>
      </c>
      <c r="F714" t="s">
        <v>16223</v>
      </c>
      <c r="G714" t="s">
        <v>16224</v>
      </c>
      <c r="H714" t="s">
        <v>16225</v>
      </c>
      <c r="I714" t="s">
        <v>16226</v>
      </c>
      <c r="J714" t="s">
        <v>16227</v>
      </c>
      <c r="K714" t="s">
        <v>16228</v>
      </c>
      <c r="L714" t="s">
        <v>16229</v>
      </c>
      <c r="M714" t="s">
        <v>16230</v>
      </c>
      <c r="N714" t="s">
        <v>16231</v>
      </c>
      <c r="O714">
        <f>-600.332326925533 -120.93229688082 -738.947472000063</f>
        <v>-1460.2120958064161</v>
      </c>
      <c r="P714">
        <f>-626.329436582697 -100.184149515582 -424.178097541961</f>
        <v>-1150.6916836402399</v>
      </c>
      <c r="Q714">
        <f>-373.192412803013 -41.7353902264896 -436.321155777384</f>
        <v>-851.24895880688655</v>
      </c>
      <c r="R714" t="s">
        <v>16232</v>
      </c>
      <c r="S714" t="s">
        <v>16233</v>
      </c>
      <c r="T714" t="s">
        <v>16234</v>
      </c>
      <c r="U714" t="s">
        <v>16235</v>
      </c>
      <c r="V714">
        <f>-608.109681674569 -9.56352411387886 -239.935746699003</f>
        <v>-857.60895248745078</v>
      </c>
      <c r="W714" t="s">
        <v>16236</v>
      </c>
      <c r="X714" t="s">
        <v>16237</v>
      </c>
      <c r="Y714" t="s">
        <v>16238</v>
      </c>
    </row>
    <row r="715" spans="1:25" x14ac:dyDescent="0.3">
      <c r="A715">
        <v>35700</v>
      </c>
      <c r="B715" t="s">
        <v>16239</v>
      </c>
      <c r="C715" t="s">
        <v>16240</v>
      </c>
      <c r="D715" t="s">
        <v>16241</v>
      </c>
      <c r="E715" t="s">
        <v>16242</v>
      </c>
      <c r="F715" t="s">
        <v>16243</v>
      </c>
      <c r="G715" t="s">
        <v>16244</v>
      </c>
      <c r="H715" t="s">
        <v>16245</v>
      </c>
      <c r="I715" t="s">
        <v>16246</v>
      </c>
      <c r="J715" t="s">
        <v>16247</v>
      </c>
      <c r="K715" t="s">
        <v>16248</v>
      </c>
      <c r="L715" t="s">
        <v>16249</v>
      </c>
      <c r="M715" t="s">
        <v>16250</v>
      </c>
      <c r="N715" t="s">
        <v>16251</v>
      </c>
      <c r="O715">
        <f>-601.086972572014 -120.438370967526 -739.248388022076</f>
        <v>-1460.7737315616159</v>
      </c>
      <c r="P715">
        <f>-627.107959079429 -102.081349729818 -424.33244705526</f>
        <v>-1153.521755864507</v>
      </c>
      <c r="Q715">
        <f>-373.938329506796 -44.3208075814413 -438.854960977907</f>
        <v>-857.11409806614427</v>
      </c>
      <c r="R715" t="s">
        <v>16252</v>
      </c>
      <c r="S715" t="s">
        <v>16253</v>
      </c>
      <c r="T715" t="s">
        <v>16254</v>
      </c>
      <c r="U715" t="s">
        <v>16255</v>
      </c>
      <c r="V715">
        <f>-608.36536098308 -9.41802174435453 -239.936718084373</f>
        <v>-857.72010081180747</v>
      </c>
      <c r="W715" t="s">
        <v>16256</v>
      </c>
      <c r="X715" t="s">
        <v>16257</v>
      </c>
      <c r="Y715" t="s">
        <v>16258</v>
      </c>
    </row>
    <row r="716" spans="1:25" x14ac:dyDescent="0.3">
      <c r="A716">
        <v>35750</v>
      </c>
      <c r="B716" t="s">
        <v>16259</v>
      </c>
      <c r="C716" t="s">
        <v>16260</v>
      </c>
      <c r="D716" t="s">
        <v>16261</v>
      </c>
      <c r="E716" t="s">
        <v>16262</v>
      </c>
      <c r="F716" t="s">
        <v>16263</v>
      </c>
      <c r="G716" t="s">
        <v>16264</v>
      </c>
      <c r="H716" t="s">
        <v>16265</v>
      </c>
      <c r="I716" t="s">
        <v>16266</v>
      </c>
      <c r="J716" t="s">
        <v>16267</v>
      </c>
      <c r="K716" t="s">
        <v>16268</v>
      </c>
      <c r="L716" t="s">
        <v>16269</v>
      </c>
      <c r="M716" t="s">
        <v>16270</v>
      </c>
      <c r="N716" t="s">
        <v>16271</v>
      </c>
      <c r="O716">
        <f>-602.088680792872 -119.31503235239 -739.851470460301</f>
        <v>-1461.2551836055629</v>
      </c>
      <c r="P716">
        <f>-627.468745441863 -103.575395254076 -424.741546684385</f>
        <v>-1155.7856873803239</v>
      </c>
      <c r="Q716">
        <f>-374.272637691216 -47.7707780558101 -445.225984592685</f>
        <v>-867.26940033971107</v>
      </c>
      <c r="R716" t="s">
        <v>16272</v>
      </c>
      <c r="S716" t="s">
        <v>16273</v>
      </c>
      <c r="T716" t="s">
        <v>16274</v>
      </c>
      <c r="U716" t="s">
        <v>16275</v>
      </c>
      <c r="V716">
        <f>-609.012150858296 -8.8845227568457 -239.988354290957</f>
        <v>-857.88502790609868</v>
      </c>
      <c r="W716" t="s">
        <v>16276</v>
      </c>
      <c r="X716" t="s">
        <v>16277</v>
      </c>
      <c r="Y716" t="s">
        <v>16278</v>
      </c>
    </row>
    <row r="717" spans="1:25" x14ac:dyDescent="0.3">
      <c r="A717">
        <v>35800</v>
      </c>
      <c r="B717" t="s">
        <v>16279</v>
      </c>
      <c r="C717" t="s">
        <v>16280</v>
      </c>
      <c r="D717" t="s">
        <v>16281</v>
      </c>
      <c r="E717" t="s">
        <v>16282</v>
      </c>
      <c r="F717" t="s">
        <v>16283</v>
      </c>
      <c r="G717" t="s">
        <v>16284</v>
      </c>
      <c r="H717" t="s">
        <v>16285</v>
      </c>
      <c r="I717" t="s">
        <v>16286</v>
      </c>
      <c r="J717" t="s">
        <v>16287</v>
      </c>
      <c r="K717" t="s">
        <v>16288</v>
      </c>
      <c r="L717" t="s">
        <v>16289</v>
      </c>
      <c r="M717" t="s">
        <v>16290</v>
      </c>
      <c r="N717" t="s">
        <v>16291</v>
      </c>
      <c r="O717">
        <f>-602.819232208047 -119.017727177282 -739.78994892817</f>
        <v>-1461.6269083134989</v>
      </c>
      <c r="P717">
        <f>-627.50308841804 -104.109618912578 -424.584230940529</f>
        <v>-1156.1969382711468</v>
      </c>
      <c r="Q717">
        <f>-374.478917053537 -48.2181674323362 -446.87697173112</f>
        <v>-869.5740562169932</v>
      </c>
      <c r="R717" t="s">
        <v>16292</v>
      </c>
      <c r="S717" t="s">
        <v>16293</v>
      </c>
      <c r="T717" t="s">
        <v>16294</v>
      </c>
      <c r="U717" t="s">
        <v>16295</v>
      </c>
      <c r="V717">
        <f>-609.571698267076 -8.75786770134012 -240.012702754096</f>
        <v>-858.34226872251224</v>
      </c>
      <c r="W717" t="s">
        <v>16296</v>
      </c>
      <c r="X717" t="s">
        <v>16297</v>
      </c>
      <c r="Y717" t="s">
        <v>16298</v>
      </c>
    </row>
    <row r="718" spans="1:25" x14ac:dyDescent="0.3">
      <c r="A718">
        <v>35850</v>
      </c>
      <c r="B718" t="s">
        <v>16299</v>
      </c>
      <c r="C718" t="s">
        <v>16300</v>
      </c>
      <c r="D718" t="s">
        <v>16301</v>
      </c>
      <c r="E718" t="s">
        <v>16302</v>
      </c>
      <c r="F718" t="s">
        <v>16303</v>
      </c>
      <c r="G718" t="s">
        <v>16304</v>
      </c>
      <c r="H718" t="s">
        <v>16305</v>
      </c>
      <c r="I718" t="s">
        <v>16306</v>
      </c>
      <c r="J718" t="s">
        <v>16307</v>
      </c>
      <c r="K718" t="s">
        <v>16308</v>
      </c>
      <c r="L718" t="s">
        <v>16309</v>
      </c>
      <c r="M718" t="s">
        <v>16310</v>
      </c>
      <c r="N718" t="s">
        <v>16311</v>
      </c>
      <c r="O718">
        <f>-604.095535743464 -119.969412636069 -739.153976588828</f>
        <v>-1463.2189249683611</v>
      </c>
      <c r="P718">
        <f>-628.573357772308 -106.754769777688 -423.856569393796</f>
        <v>-1159.184696943792</v>
      </c>
      <c r="Q718">
        <f>-375.628060972773 -49.2692659781617 -442.728108190826</f>
        <v>-867.6254351417607</v>
      </c>
      <c r="R718" t="s">
        <v>16312</v>
      </c>
      <c r="S718" t="s">
        <v>16313</v>
      </c>
      <c r="T718" t="s">
        <v>16314</v>
      </c>
      <c r="U718" t="s">
        <v>16315</v>
      </c>
      <c r="V718">
        <f>-610.782652406916 -8.7785195522726 -240.195431277346</f>
        <v>-859.7566032365346</v>
      </c>
      <c r="W718" t="s">
        <v>16316</v>
      </c>
      <c r="X718" t="s">
        <v>16317</v>
      </c>
      <c r="Y718" t="s">
        <v>16318</v>
      </c>
    </row>
    <row r="719" spans="1:25" x14ac:dyDescent="0.3">
      <c r="A719">
        <v>35900</v>
      </c>
      <c r="B719" t="s">
        <v>16319</v>
      </c>
      <c r="C719" t="s">
        <v>16320</v>
      </c>
      <c r="D719" t="s">
        <v>16321</v>
      </c>
      <c r="E719" t="s">
        <v>16322</v>
      </c>
      <c r="F719" t="s">
        <v>16323</v>
      </c>
      <c r="G719" t="s">
        <v>16324</v>
      </c>
      <c r="H719" t="s">
        <v>16325</v>
      </c>
      <c r="I719" t="s">
        <v>16326</v>
      </c>
      <c r="J719" t="s">
        <v>16327</v>
      </c>
      <c r="K719" t="s">
        <v>16328</v>
      </c>
      <c r="L719" t="s">
        <v>16329</v>
      </c>
      <c r="M719" t="s">
        <v>16330</v>
      </c>
      <c r="N719" t="s">
        <v>16331</v>
      </c>
      <c r="O719">
        <f>-605.085858647183 -120.984727547446 -738.557111257123</f>
        <v>-1464.6276974517521</v>
      </c>
      <c r="P719">
        <f>-628.701917468131 -107.825932063703 -423.191685368898</f>
        <v>-1159.719534900732</v>
      </c>
      <c r="Q719">
        <f>-375.627895583784 -50.1383357489927 -439.554257615519</f>
        <v>-865.32048894829563</v>
      </c>
      <c r="R719" t="s">
        <v>16332</v>
      </c>
      <c r="S719" t="s">
        <v>16333</v>
      </c>
      <c r="T719" t="s">
        <v>16334</v>
      </c>
      <c r="U719" t="s">
        <v>16335</v>
      </c>
      <c r="V719">
        <f>-611.568952922761 -8.62561813420444 -240.285561489589</f>
        <v>-860.48013254655439</v>
      </c>
      <c r="W719" t="s">
        <v>16336</v>
      </c>
      <c r="X719" t="s">
        <v>16337</v>
      </c>
      <c r="Y719" t="s">
        <v>16338</v>
      </c>
    </row>
    <row r="720" spans="1:25" x14ac:dyDescent="0.3">
      <c r="A720">
        <v>35950</v>
      </c>
      <c r="B720" t="s">
        <v>16339</v>
      </c>
      <c r="C720" t="s">
        <v>16340</v>
      </c>
      <c r="D720" t="s">
        <v>16341</v>
      </c>
      <c r="E720" t="s">
        <v>16342</v>
      </c>
      <c r="F720" t="s">
        <v>16343</v>
      </c>
      <c r="G720" t="s">
        <v>16344</v>
      </c>
      <c r="H720" t="s">
        <v>16345</v>
      </c>
      <c r="I720" t="s">
        <v>16346</v>
      </c>
      <c r="J720" t="s">
        <v>16347</v>
      </c>
      <c r="K720" t="s">
        <v>16348</v>
      </c>
      <c r="L720" t="s">
        <v>16349</v>
      </c>
      <c r="M720" t="s">
        <v>16350</v>
      </c>
      <c r="N720" t="s">
        <v>16351</v>
      </c>
      <c r="O720">
        <f>-608.325987302565 -124.881136961218 -735.742893424133</f>
        <v>-1468.950017687916</v>
      </c>
      <c r="P720">
        <f>-627.045869948071 -108.179285862456 -420.2165754007</f>
        <v>-1155.4417312112269</v>
      </c>
      <c r="Q720">
        <f>-373.881641122734 -51.0750637633307 -437.217573290763</f>
        <v>-862.17427817682778</v>
      </c>
      <c r="R720" t="s">
        <v>16352</v>
      </c>
      <c r="S720" t="s">
        <v>16353</v>
      </c>
      <c r="T720" t="s">
        <v>16354</v>
      </c>
      <c r="U720" t="s">
        <v>16355</v>
      </c>
      <c r="V720">
        <f>-613.26936889466 -8.33682900870437 -240.514822292165</f>
        <v>-862.12102019552947</v>
      </c>
      <c r="W720" t="s">
        <v>16356</v>
      </c>
      <c r="X720" t="s">
        <v>16357</v>
      </c>
      <c r="Y720" t="s">
        <v>16358</v>
      </c>
    </row>
    <row r="721" spans="1:25" x14ac:dyDescent="0.3">
      <c r="A721">
        <v>36000</v>
      </c>
      <c r="B721" t="s">
        <v>16359</v>
      </c>
      <c r="C721" t="s">
        <v>16360</v>
      </c>
      <c r="D721" t="s">
        <v>16361</v>
      </c>
      <c r="E721" t="s">
        <v>16362</v>
      </c>
      <c r="F721" t="s">
        <v>16363</v>
      </c>
      <c r="G721" t="s">
        <v>16364</v>
      </c>
      <c r="H721" t="s">
        <v>16365</v>
      </c>
      <c r="I721" t="s">
        <v>16366</v>
      </c>
      <c r="J721" t="s">
        <v>16367</v>
      </c>
      <c r="K721" t="s">
        <v>16368</v>
      </c>
      <c r="L721" t="s">
        <v>16369</v>
      </c>
      <c r="M721" t="s">
        <v>16370</v>
      </c>
      <c r="N721" t="s">
        <v>16371</v>
      </c>
      <c r="O721">
        <f>-610.302995197758 -126.99669278165 -734.042486279866</f>
        <v>-1471.3421742592741</v>
      </c>
      <c r="P721">
        <f>-624.596672280143 -107.440192258919 -418.448750531272</f>
        <v>-1150.485615070334</v>
      </c>
      <c r="Q721">
        <f>-372.217974846136 -47.9203880553601 -438.558646545909</f>
        <v>-858.69700944740509</v>
      </c>
      <c r="R721" t="s">
        <v>16372</v>
      </c>
      <c r="S721" t="s">
        <v>16373</v>
      </c>
      <c r="T721" t="s">
        <v>16374</v>
      </c>
      <c r="U721" t="s">
        <v>16375</v>
      </c>
      <c r="V721">
        <f>-614.290385518833 -8.00119657310069 -240.610864120667</f>
        <v>-862.90244621260069</v>
      </c>
      <c r="W721" t="s">
        <v>16376</v>
      </c>
      <c r="X721" t="s">
        <v>16377</v>
      </c>
      <c r="Y721" t="s">
        <v>16378</v>
      </c>
    </row>
    <row r="722" spans="1:25" x14ac:dyDescent="0.3">
      <c r="A722">
        <v>36050</v>
      </c>
      <c r="B722" t="s">
        <v>16379</v>
      </c>
      <c r="C722" t="s">
        <v>16380</v>
      </c>
      <c r="D722" t="s">
        <v>16381</v>
      </c>
      <c r="E722" t="s">
        <v>16382</v>
      </c>
      <c r="F722" t="s">
        <v>16383</v>
      </c>
      <c r="G722" t="s">
        <v>16384</v>
      </c>
      <c r="H722" t="s">
        <v>16385</v>
      </c>
      <c r="I722" t="s">
        <v>16386</v>
      </c>
      <c r="J722" t="s">
        <v>16387</v>
      </c>
      <c r="K722" t="s">
        <v>16388</v>
      </c>
      <c r="L722" t="s">
        <v>16389</v>
      </c>
      <c r="M722" t="s">
        <v>16390</v>
      </c>
      <c r="N722" t="s">
        <v>16391</v>
      </c>
      <c r="O722">
        <f>-614.384545033726 -130.714679776098 -731.166079717974</f>
        <v>-1476.265304527798</v>
      </c>
      <c r="P722">
        <f>-622.643418644172 -105.400145405887 -415.766045392128</f>
        <v>-1143.8096094421869</v>
      </c>
      <c r="Q722">
        <f>-372.571343536214 -40.3146405142699 -445.259989185219</f>
        <v>-858.14597323570297</v>
      </c>
      <c r="R722" t="s">
        <v>16392</v>
      </c>
      <c r="S722" t="s">
        <v>16393</v>
      </c>
      <c r="T722" t="s">
        <v>16394</v>
      </c>
      <c r="U722" t="s">
        <v>16395</v>
      </c>
      <c r="V722">
        <f>-616.363140137957 -6.90331107895877 -240.670803265341</f>
        <v>-863.93725448225666</v>
      </c>
      <c r="W722" t="s">
        <v>16396</v>
      </c>
      <c r="X722" t="s">
        <v>16397</v>
      </c>
      <c r="Y722" t="s">
        <v>16398</v>
      </c>
    </row>
    <row r="723" spans="1:25" x14ac:dyDescent="0.3">
      <c r="A723">
        <v>36100</v>
      </c>
      <c r="B723" t="s">
        <v>16399</v>
      </c>
      <c r="C723" t="s">
        <v>16400</v>
      </c>
      <c r="D723" t="s">
        <v>16401</v>
      </c>
      <c r="E723" t="s">
        <v>16402</v>
      </c>
      <c r="F723" t="s">
        <v>16403</v>
      </c>
      <c r="G723" t="s">
        <v>16404</v>
      </c>
      <c r="H723" t="s">
        <v>16405</v>
      </c>
      <c r="I723" t="s">
        <v>16406</v>
      </c>
      <c r="J723" t="s">
        <v>16407</v>
      </c>
      <c r="K723" t="s">
        <v>16408</v>
      </c>
      <c r="L723" t="s">
        <v>16409</v>
      </c>
      <c r="M723" t="s">
        <v>16410</v>
      </c>
      <c r="N723" t="s">
        <v>16411</v>
      </c>
      <c r="O723">
        <f>-615.792252061523 -131.514794415779 -730.019598379071</f>
        <v>-1477.3266448563729</v>
      </c>
      <c r="P723">
        <f>-623.226682121465 -105.73287597588 -414.636934153703</f>
        <v>-1143.5964922510479</v>
      </c>
      <c r="Q723">
        <f>-374.445252886169 -37.0605076789468 -446.791929428162</f>
        <v>-858.2976899932778</v>
      </c>
      <c r="R723" t="s">
        <v>16412</v>
      </c>
      <c r="S723" t="s">
        <v>16413</v>
      </c>
      <c r="T723" t="s">
        <v>16414</v>
      </c>
      <c r="U723" t="s">
        <v>16415</v>
      </c>
      <c r="V723">
        <f>-617.313881090657 -6.00068288858944 -240.679777056718</f>
        <v>-863.99434103596445</v>
      </c>
      <c r="W723" t="s">
        <v>16416</v>
      </c>
      <c r="X723" t="s">
        <v>16417</v>
      </c>
      <c r="Y723" t="s">
        <v>16418</v>
      </c>
    </row>
    <row r="724" spans="1:25" x14ac:dyDescent="0.3">
      <c r="A724">
        <v>36150</v>
      </c>
      <c r="B724" t="s">
        <v>16419</v>
      </c>
      <c r="C724" t="s">
        <v>16420</v>
      </c>
      <c r="D724" t="s">
        <v>16421</v>
      </c>
      <c r="E724" t="s">
        <v>16422</v>
      </c>
      <c r="F724" t="s">
        <v>16423</v>
      </c>
      <c r="G724" t="s">
        <v>16424</v>
      </c>
      <c r="H724" t="s">
        <v>16425</v>
      </c>
      <c r="I724" t="s">
        <v>16426</v>
      </c>
      <c r="J724" t="s">
        <v>16427</v>
      </c>
      <c r="K724" t="s">
        <v>16428</v>
      </c>
      <c r="L724" t="s">
        <v>16429</v>
      </c>
      <c r="M724" t="s">
        <v>16430</v>
      </c>
      <c r="N724" t="s">
        <v>16431</v>
      </c>
      <c r="O724">
        <f>-617.184221484182 -131.777172480812 -728.573033071012</f>
        <v>-1477.534427036006</v>
      </c>
      <c r="P724">
        <f>-624.6612086261 -105.221903760299 -413.255533815279</f>
        <v>-1143.1386462016781</v>
      </c>
      <c r="Q724">
        <f>-377.615936847839 -31.648604614107 -447.862790520321</f>
        <v>-857.12733198226704</v>
      </c>
      <c r="R724" t="s">
        <v>16432</v>
      </c>
      <c r="S724" t="s">
        <v>16433</v>
      </c>
      <c r="T724" t="s">
        <v>16434</v>
      </c>
      <c r="U724" t="s">
        <v>16435</v>
      </c>
      <c r="V724">
        <f>-618.895343346523 -4.02372068251491 -240.661538188089</f>
        <v>-863.58060221712685</v>
      </c>
      <c r="W724" t="s">
        <v>16436</v>
      </c>
      <c r="X724" t="s">
        <v>16437</v>
      </c>
      <c r="Y724" t="s">
        <v>16438</v>
      </c>
    </row>
    <row r="725" spans="1:25" x14ac:dyDescent="0.3">
      <c r="A725">
        <v>36200</v>
      </c>
      <c r="B725" t="s">
        <v>16439</v>
      </c>
      <c r="C725" t="s">
        <v>16440</v>
      </c>
      <c r="D725" t="s">
        <v>16441</v>
      </c>
      <c r="E725" t="s">
        <v>16442</v>
      </c>
      <c r="F725" t="s">
        <v>16443</v>
      </c>
      <c r="G725" t="s">
        <v>16444</v>
      </c>
      <c r="H725" t="s">
        <v>16445</v>
      </c>
      <c r="I725" t="s">
        <v>16446</v>
      </c>
      <c r="J725" t="s">
        <v>16447</v>
      </c>
      <c r="K725" t="s">
        <v>16448</v>
      </c>
      <c r="L725" t="s">
        <v>16449</v>
      </c>
      <c r="M725" t="s">
        <v>16450</v>
      </c>
      <c r="N725" t="s">
        <v>16451</v>
      </c>
      <c r="O725">
        <f>-617.473545362083 -131.502115157339 -727.905827897199</f>
        <v>-1476.8814884166209</v>
      </c>
      <c r="P725">
        <f>-625.209177992505 -103.617547949427 -412.709486962808</f>
        <v>-1141.5362129047401</v>
      </c>
      <c r="Q725">
        <f>-378.680692528696 -28.5047941768721 -447.692791978551</f>
        <v>-854.8782786841191</v>
      </c>
      <c r="R725" t="s">
        <v>16452</v>
      </c>
      <c r="S725" t="s">
        <v>16453</v>
      </c>
      <c r="T725" t="s">
        <v>16454</v>
      </c>
      <c r="U725" t="s">
        <v>16455</v>
      </c>
      <c r="V725">
        <f>-619.493659920954 -2.89847691761114 -240.616174214206</f>
        <v>-863.00831105277109</v>
      </c>
      <c r="W725" t="s">
        <v>16456</v>
      </c>
      <c r="X725" t="s">
        <v>16457</v>
      </c>
      <c r="Y725" t="s">
        <v>16458</v>
      </c>
    </row>
    <row r="726" spans="1:25" x14ac:dyDescent="0.3">
      <c r="A726">
        <v>36250</v>
      </c>
      <c r="B726" t="s">
        <v>16459</v>
      </c>
      <c r="C726" t="s">
        <v>16460</v>
      </c>
      <c r="D726" t="s">
        <v>16461</v>
      </c>
      <c r="E726" t="s">
        <v>16462</v>
      </c>
      <c r="F726" t="s">
        <v>16463</v>
      </c>
      <c r="G726" t="s">
        <v>16464</v>
      </c>
      <c r="H726" t="s">
        <v>16465</v>
      </c>
      <c r="I726" t="s">
        <v>16466</v>
      </c>
      <c r="J726" t="s">
        <v>16467</v>
      </c>
      <c r="K726" t="s">
        <v>16468</v>
      </c>
      <c r="L726" t="s">
        <v>16469</v>
      </c>
      <c r="M726" t="s">
        <v>16470</v>
      </c>
      <c r="N726" t="s">
        <v>16471</v>
      </c>
      <c r="O726">
        <f>-618.081007172464 -130.992893854905 -727.331334125478</f>
        <v>-1476.4052351528469</v>
      </c>
      <c r="P726">
        <f>-625.25929765457 -100.681427696747 -412.345791897161</f>
        <v>-1138.286517248478</v>
      </c>
      <c r="Q726">
        <f>-378.766578210366 -25.5971053783866 -447.640792120011</f>
        <v>-852.00447570876349</v>
      </c>
      <c r="R726" t="s">
        <v>16472</v>
      </c>
      <c r="S726" t="s">
        <v>16473</v>
      </c>
      <c r="T726" t="s">
        <v>16474</v>
      </c>
      <c r="U726" t="s">
        <v>16475</v>
      </c>
      <c r="V726">
        <f>-619.98140711422 -1.90964385654709 -240.588815628055</f>
        <v>-862.47986659882213</v>
      </c>
      <c r="W726" t="s">
        <v>16476</v>
      </c>
      <c r="X726" t="s">
        <v>16477</v>
      </c>
      <c r="Y726" t="s">
        <v>16478</v>
      </c>
    </row>
    <row r="727" spans="1:25" x14ac:dyDescent="0.3">
      <c r="A727">
        <v>36300</v>
      </c>
      <c r="B727" t="s">
        <v>16479</v>
      </c>
      <c r="C727" t="s">
        <v>16480</v>
      </c>
      <c r="D727" t="s">
        <v>16481</v>
      </c>
      <c r="E727" t="s">
        <v>16482</v>
      </c>
      <c r="F727" t="s">
        <v>16483</v>
      </c>
      <c r="G727" t="s">
        <v>16484</v>
      </c>
      <c r="H727" t="s">
        <v>16485</v>
      </c>
      <c r="I727" t="s">
        <v>16486</v>
      </c>
      <c r="J727" t="s">
        <v>16487</v>
      </c>
      <c r="K727" t="s">
        <v>16488</v>
      </c>
      <c r="L727" t="s">
        <v>16489</v>
      </c>
      <c r="M727" t="s">
        <v>16490</v>
      </c>
      <c r="N727" t="s">
        <v>16491</v>
      </c>
      <c r="O727">
        <f>-618.731572860696 -130.227127800247 -726.516379434801</f>
        <v>-1475.475080095744</v>
      </c>
      <c r="P727">
        <f>-626.579505809309 -96.5498115420374 -411.888949904663</f>
        <v>-1135.0182672560095</v>
      </c>
      <c r="Q727">
        <f>-379.654982582325 -23.5949438656342 -448.60320878858</f>
        <v>-851.85313523653917</v>
      </c>
      <c r="R727" t="s">
        <v>16492</v>
      </c>
      <c r="S727" t="s">
        <v>16493</v>
      </c>
      <c r="T727" t="s">
        <v>16494</v>
      </c>
      <c r="U727" t="s">
        <v>16495</v>
      </c>
      <c r="V727">
        <f>-620.697209205621 -0.352418308708224 -240.56369851829</f>
        <v>-861.61332603261928</v>
      </c>
      <c r="W727" t="s">
        <v>16496</v>
      </c>
      <c r="X727" t="s">
        <v>16497</v>
      </c>
      <c r="Y727" t="s">
        <v>16498</v>
      </c>
    </row>
    <row r="728" spans="1:25" x14ac:dyDescent="0.3">
      <c r="A728">
        <v>36350</v>
      </c>
      <c r="B728" t="s">
        <v>16499</v>
      </c>
      <c r="C728" t="s">
        <v>16500</v>
      </c>
      <c r="D728" t="s">
        <v>16501</v>
      </c>
      <c r="E728" t="s">
        <v>16502</v>
      </c>
      <c r="F728" t="s">
        <v>16503</v>
      </c>
      <c r="G728" t="s">
        <v>16504</v>
      </c>
      <c r="H728" t="s">
        <v>16505</v>
      </c>
      <c r="I728" t="s">
        <v>16506</v>
      </c>
      <c r="J728" t="s">
        <v>16507</v>
      </c>
      <c r="K728" t="s">
        <v>16508</v>
      </c>
      <c r="L728" t="s">
        <v>16509</v>
      </c>
      <c r="M728" t="s">
        <v>16510</v>
      </c>
      <c r="N728" t="s">
        <v>16511</v>
      </c>
      <c r="O728">
        <f>-619.979361645951 -128.434717838123 -726.819178014125</f>
        <v>-1475.233257498199</v>
      </c>
      <c r="P728">
        <f>-628.423812729538 -94.7040768396601 -412.212892762397</f>
        <v>-1135.3407823315952</v>
      </c>
      <c r="Q728">
        <f>-381.207261519929 -23.0946264577578 -449.604120539642</f>
        <v>-853.9060085173287</v>
      </c>
      <c r="R728" t="s">
        <v>16512</v>
      </c>
      <c r="S728" t="s">
        <v>16513</v>
      </c>
      <c r="T728" t="s">
        <v>16514</v>
      </c>
      <c r="U728" t="s">
        <v>16515</v>
      </c>
      <c r="V728" t="s">
        <v>16516</v>
      </c>
      <c r="W728" t="s">
        <v>16517</v>
      </c>
      <c r="X728" t="s">
        <v>16518</v>
      </c>
      <c r="Y728" t="s">
        <v>16519</v>
      </c>
    </row>
    <row r="729" spans="1:25" x14ac:dyDescent="0.3">
      <c r="A729">
        <v>36400</v>
      </c>
      <c r="B729" t="s">
        <v>16520</v>
      </c>
      <c r="C729" t="s">
        <v>16521</v>
      </c>
      <c r="D729" t="s">
        <v>16522</v>
      </c>
      <c r="E729" t="s">
        <v>16523</v>
      </c>
      <c r="F729" t="s">
        <v>16524</v>
      </c>
      <c r="G729" t="s">
        <v>16525</v>
      </c>
      <c r="H729" t="s">
        <v>16526</v>
      </c>
      <c r="I729" t="s">
        <v>16527</v>
      </c>
      <c r="J729" t="s">
        <v>16528</v>
      </c>
      <c r="K729" t="s">
        <v>16529</v>
      </c>
      <c r="L729" t="s">
        <v>16530</v>
      </c>
      <c r="M729" t="s">
        <v>16531</v>
      </c>
      <c r="N729" t="s">
        <v>16532</v>
      </c>
      <c r="O729">
        <f>-620.421146836161 -127.719847944887 -727.026701205122</f>
        <v>-1475.16769598617</v>
      </c>
      <c r="P729">
        <f>-629.551803902463 -94.368700400498 -412.399025515663</f>
        <v>-1136.319529818624</v>
      </c>
      <c r="Q729">
        <f>-382.265343819555 -23.2530396142995 -450.267533507211</f>
        <v>-855.78591694106558</v>
      </c>
      <c r="R729" t="s">
        <v>16533</v>
      </c>
      <c r="S729" t="s">
        <v>16534</v>
      </c>
      <c r="T729" t="s">
        <v>16535</v>
      </c>
      <c r="U729" t="s">
        <v>16536</v>
      </c>
      <c r="V729" t="s">
        <v>16537</v>
      </c>
      <c r="W729" t="s">
        <v>16538</v>
      </c>
      <c r="X729" t="s">
        <v>16539</v>
      </c>
      <c r="Y729" t="s">
        <v>16540</v>
      </c>
    </row>
    <row r="730" spans="1:25" x14ac:dyDescent="0.3">
      <c r="A730">
        <v>36450</v>
      </c>
      <c r="B730" t="s">
        <v>16541</v>
      </c>
      <c r="C730" t="s">
        <v>16542</v>
      </c>
      <c r="D730" t="s">
        <v>16543</v>
      </c>
      <c r="E730" t="s">
        <v>16544</v>
      </c>
      <c r="F730" t="s">
        <v>16545</v>
      </c>
      <c r="G730" t="s">
        <v>16546</v>
      </c>
      <c r="H730" t="s">
        <v>16547</v>
      </c>
      <c r="I730" t="s">
        <v>16548</v>
      </c>
      <c r="J730" t="s">
        <v>16549</v>
      </c>
      <c r="K730" t="s">
        <v>16550</v>
      </c>
      <c r="L730" t="s">
        <v>16551</v>
      </c>
      <c r="M730" t="s">
        <v>16552</v>
      </c>
      <c r="N730" t="s">
        <v>16553</v>
      </c>
      <c r="O730">
        <f>-621.804099415888 -125.664775163049 -727.715082206737</f>
        <v>-1475.1839567856739</v>
      </c>
      <c r="P730">
        <f>-631.510823742108 -93.2527556928424 -413.006597133296</f>
        <v>-1137.7701765682464</v>
      </c>
      <c r="Q730">
        <f>-384.291379376561 -22.1496903040495 -451.333201098505</f>
        <v>-857.77427077911557</v>
      </c>
      <c r="R730" t="s">
        <v>16554</v>
      </c>
      <c r="S730" t="s">
        <v>16555</v>
      </c>
      <c r="T730" t="s">
        <v>16556</v>
      </c>
      <c r="U730" t="s">
        <v>16557</v>
      </c>
      <c r="V730" t="s">
        <v>16558</v>
      </c>
      <c r="W730" t="s">
        <v>16559</v>
      </c>
      <c r="X730" t="s">
        <v>16560</v>
      </c>
      <c r="Y730" t="s">
        <v>16561</v>
      </c>
    </row>
    <row r="731" spans="1:25" x14ac:dyDescent="0.3">
      <c r="A731">
        <v>36500</v>
      </c>
      <c r="B731" t="s">
        <v>16562</v>
      </c>
      <c r="C731" t="s">
        <v>16563</v>
      </c>
      <c r="D731" t="s">
        <v>16564</v>
      </c>
      <c r="E731" t="s">
        <v>16565</v>
      </c>
      <c r="F731" t="s">
        <v>16566</v>
      </c>
      <c r="G731" t="s">
        <v>16567</v>
      </c>
      <c r="H731" t="s">
        <v>16568</v>
      </c>
      <c r="I731" t="s">
        <v>16569</v>
      </c>
      <c r="J731" t="s">
        <v>16570</v>
      </c>
      <c r="K731" t="s">
        <v>16571</v>
      </c>
      <c r="L731" t="s">
        <v>16572</v>
      </c>
      <c r="M731" t="s">
        <v>16573</v>
      </c>
      <c r="N731" t="s">
        <v>16574</v>
      </c>
      <c r="O731">
        <f>-622.311931718835 -124.377445700615 -728.101660736633</f>
        <v>-1474.791038156083</v>
      </c>
      <c r="P731">
        <f>-632.698567258555 -92.5316032298302 -413.35718460577</f>
        <v>-1138.5873550941553</v>
      </c>
      <c r="Q731">
        <f>-385.711961122388 -20.7254333897712 -451.873767253307</f>
        <v>-858.31116176546618</v>
      </c>
      <c r="R731" t="s">
        <v>16575</v>
      </c>
      <c r="S731" t="s">
        <v>16576</v>
      </c>
      <c r="T731" t="s">
        <v>16577</v>
      </c>
      <c r="U731" t="s">
        <v>16578</v>
      </c>
      <c r="V731" t="s">
        <v>16579</v>
      </c>
      <c r="W731" t="s">
        <v>16580</v>
      </c>
      <c r="X731" t="s">
        <v>16581</v>
      </c>
      <c r="Y731" t="s">
        <v>16582</v>
      </c>
    </row>
    <row r="732" spans="1:25" x14ac:dyDescent="0.3">
      <c r="A732">
        <v>36550</v>
      </c>
      <c r="B732" t="s">
        <v>16583</v>
      </c>
      <c r="C732" t="s">
        <v>16584</v>
      </c>
      <c r="D732" t="s">
        <v>16585</v>
      </c>
      <c r="E732" t="s">
        <v>16586</v>
      </c>
      <c r="F732" t="s">
        <v>16587</v>
      </c>
      <c r="G732" t="s">
        <v>16588</v>
      </c>
      <c r="H732" t="s">
        <v>16589</v>
      </c>
      <c r="I732" t="s">
        <v>16590</v>
      </c>
      <c r="J732" t="s">
        <v>16591</v>
      </c>
      <c r="K732" t="s">
        <v>16592</v>
      </c>
      <c r="L732" t="s">
        <v>16593</v>
      </c>
      <c r="M732" t="s">
        <v>16594</v>
      </c>
      <c r="N732" t="s">
        <v>16595</v>
      </c>
      <c r="O732">
        <f>-622.788667327082 -123.051402206359 -728.546352108988</f>
        <v>-1474.386421642429</v>
      </c>
      <c r="P732">
        <f>-633.612651727455 -91.6447430488044 -413.772451419004</f>
        <v>-1139.0298461952634</v>
      </c>
      <c r="Q732">
        <f>-386.724848886879 -19.3179993026271 -451.947385703513</f>
        <v>-857.99023389301919</v>
      </c>
      <c r="R732" t="s">
        <v>16596</v>
      </c>
      <c r="S732" t="s">
        <v>16597</v>
      </c>
      <c r="T732" t="s">
        <v>16598</v>
      </c>
      <c r="U732" t="s">
        <v>16599</v>
      </c>
      <c r="V732" t="s">
        <v>16600</v>
      </c>
      <c r="W732" t="s">
        <v>16601</v>
      </c>
      <c r="X732" t="s">
        <v>16602</v>
      </c>
      <c r="Y732" t="s">
        <v>16603</v>
      </c>
    </row>
    <row r="733" spans="1:25" x14ac:dyDescent="0.3">
      <c r="A733">
        <v>36600</v>
      </c>
      <c r="B733" t="s">
        <v>16604</v>
      </c>
      <c r="C733" t="s">
        <v>16605</v>
      </c>
      <c r="D733" t="s">
        <v>16606</v>
      </c>
      <c r="E733" t="s">
        <v>16607</v>
      </c>
      <c r="F733" t="s">
        <v>16608</v>
      </c>
      <c r="G733" t="s">
        <v>16609</v>
      </c>
      <c r="H733" t="s">
        <v>16610</v>
      </c>
      <c r="I733" t="s">
        <v>16611</v>
      </c>
      <c r="J733" t="s">
        <v>16612</v>
      </c>
      <c r="K733" t="s">
        <v>16613</v>
      </c>
      <c r="L733" t="s">
        <v>16614</v>
      </c>
      <c r="M733" t="s">
        <v>16615</v>
      </c>
      <c r="N733" t="s">
        <v>16616</v>
      </c>
      <c r="O733">
        <f>-623.306809658001 -121.521882680825 -729.232939367722</f>
        <v>-1474.061631706548</v>
      </c>
      <c r="P733">
        <f>-635.045484136228 -91.1273439700931 -414.392472372642</f>
        <v>-1140.5653004789631</v>
      </c>
      <c r="Q733">
        <f>-388.204314137153 -18.0007396880568 -451.32500489587</f>
        <v>-857.53005872107974</v>
      </c>
      <c r="R733" t="s">
        <v>16617</v>
      </c>
      <c r="S733" t="s">
        <v>16618</v>
      </c>
      <c r="T733" t="s">
        <v>16619</v>
      </c>
      <c r="U733" t="s">
        <v>16620</v>
      </c>
      <c r="V733" t="s">
        <v>16621</v>
      </c>
      <c r="W733" t="s">
        <v>16622</v>
      </c>
      <c r="X733" t="s">
        <v>16623</v>
      </c>
      <c r="Y733" t="s">
        <v>16624</v>
      </c>
    </row>
    <row r="734" spans="1:25" x14ac:dyDescent="0.3">
      <c r="A734">
        <v>36650</v>
      </c>
      <c r="B734" t="s">
        <v>16625</v>
      </c>
      <c r="C734" t="s">
        <v>16626</v>
      </c>
      <c r="D734" t="s">
        <v>16627</v>
      </c>
      <c r="E734" t="s">
        <v>16628</v>
      </c>
      <c r="F734" t="s">
        <v>16629</v>
      </c>
      <c r="G734" t="s">
        <v>16630</v>
      </c>
      <c r="H734" t="s">
        <v>16631</v>
      </c>
      <c r="I734" t="s">
        <v>16632</v>
      </c>
      <c r="J734" t="s">
        <v>16633</v>
      </c>
      <c r="K734" t="s">
        <v>16634</v>
      </c>
      <c r="L734" t="s">
        <v>16635</v>
      </c>
      <c r="M734" t="s">
        <v>16636</v>
      </c>
      <c r="N734" t="s">
        <v>16637</v>
      </c>
      <c r="O734">
        <f>-624.093606453578 -119.767232301501 -729.911847498487</f>
        <v>-1473.772686253566</v>
      </c>
      <c r="P734">
        <f>-636.959142225668 -90.1401321045088 -415.042227244485</f>
        <v>-1142.1415015746618</v>
      </c>
      <c r="Q734">
        <f>-389.878943028811 -17.0457001931439 -450.406434053775</f>
        <v>-857.33107727572997</v>
      </c>
      <c r="R734" t="s">
        <v>16638</v>
      </c>
      <c r="S734" t="s">
        <v>16639</v>
      </c>
      <c r="T734" t="s">
        <v>16640</v>
      </c>
      <c r="U734" t="s">
        <v>16641</v>
      </c>
      <c r="V734" t="s">
        <v>16642</v>
      </c>
      <c r="W734" t="s">
        <v>16643</v>
      </c>
      <c r="X734" t="s">
        <v>16644</v>
      </c>
      <c r="Y734" t="s">
        <v>16645</v>
      </c>
    </row>
    <row r="735" spans="1:25" x14ac:dyDescent="0.3">
      <c r="A735">
        <v>36700</v>
      </c>
      <c r="B735" t="s">
        <v>16646</v>
      </c>
      <c r="C735" t="s">
        <v>16647</v>
      </c>
      <c r="D735" t="s">
        <v>16648</v>
      </c>
      <c r="E735" t="s">
        <v>16649</v>
      </c>
      <c r="F735" t="s">
        <v>16650</v>
      </c>
      <c r="G735" t="s">
        <v>16651</v>
      </c>
      <c r="H735" t="s">
        <v>16652</v>
      </c>
      <c r="I735" t="s">
        <v>16653</v>
      </c>
      <c r="J735" t="s">
        <v>16654</v>
      </c>
      <c r="K735" t="s">
        <v>16655</v>
      </c>
      <c r="L735" t="s">
        <v>16656</v>
      </c>
      <c r="M735" t="s">
        <v>16657</v>
      </c>
      <c r="N735" t="s">
        <v>16658</v>
      </c>
      <c r="O735">
        <f>-624.619720613647 -119.075484980252 -730.240117791923</f>
        <v>-1473.9353233858219</v>
      </c>
      <c r="P735">
        <f>-637.807153348485 -89.8737991146045 -415.343977111567</f>
        <v>-1143.0249295746567</v>
      </c>
      <c r="Q735">
        <f>-390.478600488808 -17.3268929868583 -450.094300442642</f>
        <v>-857.89979391830832</v>
      </c>
      <c r="R735" t="s">
        <v>16659</v>
      </c>
      <c r="S735" t="s">
        <v>16660</v>
      </c>
      <c r="T735" t="s">
        <v>16661</v>
      </c>
      <c r="U735" t="s">
        <v>16662</v>
      </c>
      <c r="V735" t="s">
        <v>16663</v>
      </c>
      <c r="W735" t="s">
        <v>16664</v>
      </c>
      <c r="X735" t="s">
        <v>16665</v>
      </c>
      <c r="Y735" t="s">
        <v>16666</v>
      </c>
    </row>
    <row r="736" spans="1:25" x14ac:dyDescent="0.3">
      <c r="A736">
        <v>36750</v>
      </c>
      <c r="B736" t="s">
        <v>16667</v>
      </c>
      <c r="C736" t="s">
        <v>16668</v>
      </c>
      <c r="D736" t="s">
        <v>16669</v>
      </c>
      <c r="E736" t="s">
        <v>16670</v>
      </c>
      <c r="F736" t="s">
        <v>16671</v>
      </c>
      <c r="G736" t="s">
        <v>16672</v>
      </c>
      <c r="H736" t="s">
        <v>16673</v>
      </c>
      <c r="I736" t="s">
        <v>16674</v>
      </c>
      <c r="J736" t="s">
        <v>16675</v>
      </c>
      <c r="K736" t="s">
        <v>16676</v>
      </c>
      <c r="L736" t="s">
        <v>16677</v>
      </c>
      <c r="M736" t="s">
        <v>16678</v>
      </c>
      <c r="N736" t="s">
        <v>16679</v>
      </c>
      <c r="O736">
        <f>-625.622766471902 -119.299500710129 -730.978505053729</f>
        <v>-1475.9007722357601</v>
      </c>
      <c r="P736">
        <f>-639.062150844802 -90.5926987078566 -416.047550699727</f>
        <v>-1145.7024002523856</v>
      </c>
      <c r="Q736">
        <f>-391.240823608966 -19.5492591401212 -450.391075579505</f>
        <v>-861.18115832859223</v>
      </c>
      <c r="R736" t="s">
        <v>16680</v>
      </c>
      <c r="S736" t="s">
        <v>16681</v>
      </c>
      <c r="T736" t="s">
        <v>16682</v>
      </c>
      <c r="U736" t="s">
        <v>16683</v>
      </c>
      <c r="V736" t="s">
        <v>16684</v>
      </c>
      <c r="W736" t="s">
        <v>16685</v>
      </c>
      <c r="X736" t="s">
        <v>16686</v>
      </c>
      <c r="Y736" t="s">
        <v>16687</v>
      </c>
    </row>
    <row r="737" spans="1:25" x14ac:dyDescent="0.3">
      <c r="A737">
        <v>36800</v>
      </c>
      <c r="B737" t="s">
        <v>16688</v>
      </c>
      <c r="C737" t="s">
        <v>16689</v>
      </c>
      <c r="D737" t="s">
        <v>16690</v>
      </c>
      <c r="E737" t="s">
        <v>16691</v>
      </c>
      <c r="F737" t="s">
        <v>16692</v>
      </c>
      <c r="G737" t="s">
        <v>16693</v>
      </c>
      <c r="H737" t="s">
        <v>16694</v>
      </c>
      <c r="I737" t="s">
        <v>16695</v>
      </c>
      <c r="J737" t="s">
        <v>16696</v>
      </c>
      <c r="K737" t="s">
        <v>16697</v>
      </c>
      <c r="L737" t="s">
        <v>16698</v>
      </c>
      <c r="M737" t="s">
        <v>16699</v>
      </c>
      <c r="N737" t="s">
        <v>16700</v>
      </c>
      <c r="O737">
        <f>-625.55798786304 -119.188188559826 -731.500067894013</f>
        <v>-1476.246244316879</v>
      </c>
      <c r="P737">
        <f>-639.022223558126 -90.8814824618601 -416.533919536614</f>
        <v>-1146.4376255566001</v>
      </c>
      <c r="Q737">
        <f>-390.925807251114 -20.7529388921935 -450.771497856426</f>
        <v>-862.45024399973352</v>
      </c>
      <c r="R737" t="s">
        <v>16701</v>
      </c>
      <c r="S737" t="s">
        <v>16702</v>
      </c>
      <c r="T737" t="s">
        <v>16703</v>
      </c>
      <c r="U737" t="s">
        <v>16704</v>
      </c>
      <c r="V737" t="s">
        <v>16705</v>
      </c>
      <c r="W737" t="s">
        <v>16706</v>
      </c>
      <c r="X737" t="s">
        <v>16707</v>
      </c>
      <c r="Y737" t="s">
        <v>16708</v>
      </c>
    </row>
    <row r="738" spans="1:25" x14ac:dyDescent="0.3">
      <c r="A738">
        <v>36850</v>
      </c>
      <c r="B738" t="s">
        <v>16709</v>
      </c>
      <c r="C738" t="s">
        <v>16710</v>
      </c>
      <c r="D738" t="s">
        <v>16711</v>
      </c>
      <c r="E738" t="s">
        <v>16712</v>
      </c>
      <c r="F738" t="s">
        <v>16713</v>
      </c>
      <c r="G738" t="s">
        <v>16714</v>
      </c>
      <c r="H738" t="s">
        <v>16715</v>
      </c>
      <c r="I738" t="s">
        <v>16716</v>
      </c>
      <c r="J738" t="s">
        <v>16717</v>
      </c>
      <c r="K738" t="s">
        <v>16718</v>
      </c>
      <c r="L738" t="s">
        <v>16719</v>
      </c>
      <c r="M738" t="s">
        <v>16720</v>
      </c>
      <c r="N738" t="s">
        <v>16721</v>
      </c>
      <c r="O738">
        <f>-624.883342090509 -118.265704771956 -732.44541488347</f>
        <v>-1475.594461745935</v>
      </c>
      <c r="P738">
        <f>-638.586649482693 -90.3995924136332 -417.450382410575</f>
        <v>-1146.4366243069012</v>
      </c>
      <c r="Q738">
        <f>-389.916603699346 -22.0449286945644 -451.108898353536</f>
        <v>-863.07043074744638</v>
      </c>
      <c r="R738" t="s">
        <v>16722</v>
      </c>
      <c r="S738" t="s">
        <v>16723</v>
      </c>
      <c r="T738" t="s">
        <v>16724</v>
      </c>
      <c r="U738" t="s">
        <v>16725</v>
      </c>
      <c r="V738" t="s">
        <v>16726</v>
      </c>
      <c r="W738" t="s">
        <v>16727</v>
      </c>
      <c r="X738" t="s">
        <v>16728</v>
      </c>
      <c r="Y738" t="s">
        <v>16729</v>
      </c>
    </row>
    <row r="739" spans="1:25" x14ac:dyDescent="0.3">
      <c r="A739">
        <v>36900</v>
      </c>
      <c r="B739" t="s">
        <v>16730</v>
      </c>
      <c r="C739" t="s">
        <v>16731</v>
      </c>
      <c r="D739" t="s">
        <v>16732</v>
      </c>
      <c r="E739" t="s">
        <v>16733</v>
      </c>
      <c r="F739" t="s">
        <v>16734</v>
      </c>
      <c r="G739" t="s">
        <v>16735</v>
      </c>
      <c r="H739" t="s">
        <v>16736</v>
      </c>
      <c r="I739" t="s">
        <v>16737</v>
      </c>
      <c r="J739" t="s">
        <v>16738</v>
      </c>
      <c r="K739" t="s">
        <v>16739</v>
      </c>
      <c r="L739" t="s">
        <v>16740</v>
      </c>
      <c r="M739" t="s">
        <v>16741</v>
      </c>
      <c r="N739" t="s">
        <v>16742</v>
      </c>
      <c r="O739">
        <f>-624.514977921792 -117.404195029226 -732.72710118418</f>
        <v>-1474.6462741351979</v>
      </c>
      <c r="P739">
        <f>-638.547009720463 -89.7406769774423 -417.72870987585</f>
        <v>-1146.0163965737552</v>
      </c>
      <c r="Q739">
        <f>-389.686494511787 -21.9058558071367 -451.029186870276</f>
        <v>-862.62153718919967</v>
      </c>
      <c r="R739" t="s">
        <v>16743</v>
      </c>
      <c r="S739" t="s">
        <v>16744</v>
      </c>
      <c r="T739" t="s">
        <v>16745</v>
      </c>
      <c r="U739" t="s">
        <v>16746</v>
      </c>
      <c r="V739" t="s">
        <v>16747</v>
      </c>
      <c r="W739" t="s">
        <v>16748</v>
      </c>
      <c r="X739" t="s">
        <v>16749</v>
      </c>
      <c r="Y739" t="s">
        <v>16750</v>
      </c>
    </row>
    <row r="740" spans="1:25" x14ac:dyDescent="0.3">
      <c r="A740">
        <v>36950</v>
      </c>
      <c r="B740" t="s">
        <v>16751</v>
      </c>
      <c r="C740" t="s">
        <v>16752</v>
      </c>
      <c r="D740" t="s">
        <v>16753</v>
      </c>
      <c r="E740" t="s">
        <v>16754</v>
      </c>
      <c r="F740" t="s">
        <v>16755</v>
      </c>
      <c r="G740" t="s">
        <v>16756</v>
      </c>
      <c r="H740" t="s">
        <v>16757</v>
      </c>
      <c r="I740" t="s">
        <v>16758</v>
      </c>
      <c r="J740" t="s">
        <v>16759</v>
      </c>
      <c r="K740" t="s">
        <v>16760</v>
      </c>
      <c r="L740" t="s">
        <v>16761</v>
      </c>
      <c r="M740" t="s">
        <v>16762</v>
      </c>
      <c r="N740" t="s">
        <v>16763</v>
      </c>
      <c r="O740">
        <f>-623.344031699479 -115.326965523371 -733.092534679211</f>
        <v>-1471.763531902061</v>
      </c>
      <c r="P740">
        <f>-637.860366395816 -87.884358600579 -418.096874836907</f>
        <v>-1143.8415998333021</v>
      </c>
      <c r="Q740">
        <f>-388.746850319304 -20.490816220625 -450.386447709427</f>
        <v>-859.6241142493559</v>
      </c>
      <c r="R740" t="s">
        <v>16764</v>
      </c>
      <c r="S740" t="s">
        <v>16765</v>
      </c>
      <c r="T740" t="s">
        <v>16766</v>
      </c>
      <c r="U740" t="s">
        <v>16767</v>
      </c>
      <c r="V740" t="s">
        <v>16768</v>
      </c>
      <c r="W740" t="s">
        <v>16769</v>
      </c>
      <c r="X740" t="s">
        <v>16770</v>
      </c>
      <c r="Y740" t="s">
        <v>16771</v>
      </c>
    </row>
    <row r="741" spans="1:25" x14ac:dyDescent="0.3">
      <c r="A741">
        <v>37000</v>
      </c>
      <c r="B741" t="s">
        <v>16772</v>
      </c>
      <c r="C741" t="s">
        <v>16773</v>
      </c>
      <c r="D741" t="s">
        <v>16774</v>
      </c>
      <c r="E741" t="s">
        <v>16775</v>
      </c>
      <c r="F741" t="s">
        <v>16776</v>
      </c>
      <c r="G741" t="s">
        <v>16777</v>
      </c>
      <c r="H741" t="s">
        <v>16778</v>
      </c>
      <c r="I741" t="s">
        <v>16779</v>
      </c>
      <c r="J741" t="s">
        <v>16780</v>
      </c>
      <c r="K741" t="s">
        <v>16781</v>
      </c>
      <c r="L741" t="s">
        <v>16782</v>
      </c>
      <c r="M741" t="s">
        <v>16783</v>
      </c>
      <c r="N741" t="s">
        <v>16784</v>
      </c>
      <c r="O741">
        <f>-622.653235046323 -113.793646268198 -733.322470168997</f>
        <v>-1469.769351483518</v>
      </c>
      <c r="P741">
        <f>-637.401314710658 -86.3534131079439 -418.337226170526</f>
        <v>-1142.0919539891279</v>
      </c>
      <c r="Q741">
        <f>-388.254253412966 -18.9218775520527 -450.287035810744</f>
        <v>-857.46316677576272</v>
      </c>
      <c r="R741" t="s">
        <v>16785</v>
      </c>
      <c r="S741" t="s">
        <v>16786</v>
      </c>
      <c r="T741" t="s">
        <v>16787</v>
      </c>
      <c r="U741" t="s">
        <v>16788</v>
      </c>
      <c r="V741" t="s">
        <v>16789</v>
      </c>
      <c r="W741" t="s">
        <v>16790</v>
      </c>
      <c r="X741" t="s">
        <v>16791</v>
      </c>
      <c r="Y741" t="s">
        <v>16792</v>
      </c>
    </row>
    <row r="742" spans="1:25" x14ac:dyDescent="0.3">
      <c r="A742">
        <v>37050</v>
      </c>
      <c r="B742" t="s">
        <v>16793</v>
      </c>
      <c r="C742" t="s">
        <v>16794</v>
      </c>
      <c r="D742" t="s">
        <v>16795</v>
      </c>
      <c r="E742" t="s">
        <v>16796</v>
      </c>
      <c r="F742" t="s">
        <v>16797</v>
      </c>
      <c r="G742" t="s">
        <v>16798</v>
      </c>
      <c r="H742" t="s">
        <v>16799</v>
      </c>
      <c r="I742" t="s">
        <v>16800</v>
      </c>
      <c r="J742" t="s">
        <v>16801</v>
      </c>
      <c r="K742" t="s">
        <v>16802</v>
      </c>
      <c r="L742" t="s">
        <v>16803</v>
      </c>
      <c r="M742" t="s">
        <v>16804</v>
      </c>
      <c r="N742" t="s">
        <v>16805</v>
      </c>
      <c r="O742">
        <f>-620.570977964397 -110.71123533615 -733.887237776146</f>
        <v>-1465.1694510766929</v>
      </c>
      <c r="P742">
        <f>-635.45903122412 -83.1201792522121 -418.921677651808</f>
        <v>-1137.5008881281401</v>
      </c>
      <c r="Q742">
        <f>-386.138508318919 -15.9112917907223 -449.974325983468</f>
        <v>-852.02412609310932</v>
      </c>
      <c r="R742" t="s">
        <v>16806</v>
      </c>
      <c r="S742" t="s">
        <v>16807</v>
      </c>
      <c r="T742" t="s">
        <v>16808</v>
      </c>
      <c r="U742" t="s">
        <v>16809</v>
      </c>
      <c r="V742" t="s">
        <v>16810</v>
      </c>
      <c r="W742" t="s">
        <v>16811</v>
      </c>
      <c r="X742" t="s">
        <v>16812</v>
      </c>
      <c r="Y742" t="s">
        <v>16813</v>
      </c>
    </row>
    <row r="743" spans="1:25" x14ac:dyDescent="0.3">
      <c r="A743">
        <v>37100</v>
      </c>
      <c r="B743" t="s">
        <v>16814</v>
      </c>
      <c r="C743" t="s">
        <v>16815</v>
      </c>
      <c r="D743" t="s">
        <v>16816</v>
      </c>
      <c r="E743" t="s">
        <v>16817</v>
      </c>
      <c r="F743" t="s">
        <v>16818</v>
      </c>
      <c r="G743" t="s">
        <v>16819</v>
      </c>
      <c r="H743" t="s">
        <v>16820</v>
      </c>
      <c r="I743" t="s">
        <v>16821</v>
      </c>
      <c r="J743" t="s">
        <v>16822</v>
      </c>
      <c r="K743" t="s">
        <v>16823</v>
      </c>
      <c r="L743" t="s">
        <v>16824</v>
      </c>
      <c r="M743" t="s">
        <v>16825</v>
      </c>
      <c r="N743" t="s">
        <v>16826</v>
      </c>
      <c r="O743">
        <f>-619.794063078665 -109.65947483864 -734.083990307004</f>
        <v>-1463.537528224309</v>
      </c>
      <c r="P743">
        <f>-634.874426407778 -81.8795804664278 -419.144177655659</f>
        <v>-1135.8981845298647</v>
      </c>
      <c r="Q743">
        <f>-385.482848693065 -14.9280208238401 -450.182519299058</f>
        <v>-850.59338881596318</v>
      </c>
      <c r="R743" t="s">
        <v>16827</v>
      </c>
      <c r="S743" t="s">
        <v>16828</v>
      </c>
      <c r="T743" t="s">
        <v>16829</v>
      </c>
      <c r="U743" t="s">
        <v>16830</v>
      </c>
      <c r="V743" t="s">
        <v>16831</v>
      </c>
      <c r="W743" t="s">
        <v>16832</v>
      </c>
      <c r="X743" t="s">
        <v>16833</v>
      </c>
      <c r="Y743" t="s">
        <v>16834</v>
      </c>
    </row>
    <row r="744" spans="1:25" x14ac:dyDescent="0.3">
      <c r="A744">
        <v>37150</v>
      </c>
      <c r="B744" t="s">
        <v>16835</v>
      </c>
      <c r="C744" t="s">
        <v>16836</v>
      </c>
      <c r="D744" t="s">
        <v>16837</v>
      </c>
      <c r="E744" t="s">
        <v>16838</v>
      </c>
      <c r="F744" t="s">
        <v>16839</v>
      </c>
      <c r="G744" t="s">
        <v>16840</v>
      </c>
      <c r="H744" t="s">
        <v>16841</v>
      </c>
      <c r="I744" t="s">
        <v>16842</v>
      </c>
      <c r="J744" t="s">
        <v>16843</v>
      </c>
      <c r="K744" t="s">
        <v>16844</v>
      </c>
      <c r="L744" t="s">
        <v>16845</v>
      </c>
      <c r="M744" t="s">
        <v>16846</v>
      </c>
      <c r="N744" t="s">
        <v>16847</v>
      </c>
      <c r="O744">
        <f>-618.971263402014 -108.014837721025 -734.425965077396</f>
        <v>-1461.4120662004348</v>
      </c>
      <c r="P744">
        <f>-633.928521795259 -79.9547606387577 -419.505113489843</f>
        <v>-1133.3883959238597</v>
      </c>
      <c r="Q744">
        <f>-384.360631343357 -13.5466069985207 -450.293331872825</f>
        <v>-848.20057021470268</v>
      </c>
      <c r="R744" t="s">
        <v>16848</v>
      </c>
      <c r="S744" t="s">
        <v>16849</v>
      </c>
      <c r="T744" t="s">
        <v>16850</v>
      </c>
      <c r="U744" t="s">
        <v>16851</v>
      </c>
      <c r="V744" t="s">
        <v>16852</v>
      </c>
      <c r="W744" t="s">
        <v>16853</v>
      </c>
      <c r="X744" t="s">
        <v>16854</v>
      </c>
      <c r="Y744" t="s">
        <v>16855</v>
      </c>
    </row>
    <row r="745" spans="1:25" x14ac:dyDescent="0.3">
      <c r="A745">
        <v>37200</v>
      </c>
      <c r="B745" t="s">
        <v>16856</v>
      </c>
      <c r="C745" t="s">
        <v>16857</v>
      </c>
      <c r="D745" t="s">
        <v>16858</v>
      </c>
      <c r="E745" t="s">
        <v>16859</v>
      </c>
      <c r="F745" t="s">
        <v>16860</v>
      </c>
      <c r="G745" t="s">
        <v>16861</v>
      </c>
      <c r="H745" t="s">
        <v>16862</v>
      </c>
      <c r="I745" t="s">
        <v>16863</v>
      </c>
      <c r="J745" t="s">
        <v>16864</v>
      </c>
      <c r="K745" t="s">
        <v>16865</v>
      </c>
      <c r="L745" t="s">
        <v>16866</v>
      </c>
      <c r="M745" t="s">
        <v>16867</v>
      </c>
      <c r="N745" t="s">
        <v>16868</v>
      </c>
      <c r="O745">
        <f>-618.661901542817 -107.682082434945 -734.536045382668</f>
        <v>-1460.8800293604299</v>
      </c>
      <c r="P745">
        <f>-633.644564127281 -79.3354295725563 -419.642072853727</f>
        <v>-1132.6220665535643</v>
      </c>
      <c r="Q745">
        <f>-383.879249074466 -13.6047458863714 -450.282464314688</f>
        <v>-847.76645927552545</v>
      </c>
      <c r="R745" t="s">
        <v>16869</v>
      </c>
      <c r="S745" t="s">
        <v>16870</v>
      </c>
      <c r="T745" t="s">
        <v>16871</v>
      </c>
      <c r="U745" t="s">
        <v>16872</v>
      </c>
      <c r="V745" t="s">
        <v>16873</v>
      </c>
      <c r="W745" t="s">
        <v>16874</v>
      </c>
      <c r="X745" t="s">
        <v>16875</v>
      </c>
      <c r="Y745" t="s">
        <v>16876</v>
      </c>
    </row>
    <row r="746" spans="1:25" x14ac:dyDescent="0.3">
      <c r="A746">
        <v>37250</v>
      </c>
      <c r="B746" t="s">
        <v>16877</v>
      </c>
      <c r="C746" t="s">
        <v>16878</v>
      </c>
      <c r="D746" t="s">
        <v>16879</v>
      </c>
      <c r="E746" t="s">
        <v>16880</v>
      </c>
      <c r="F746" t="s">
        <v>16881</v>
      </c>
      <c r="G746" t="s">
        <v>16882</v>
      </c>
      <c r="H746" t="s">
        <v>16883</v>
      </c>
      <c r="I746" t="s">
        <v>16884</v>
      </c>
      <c r="J746" t="s">
        <v>16885</v>
      </c>
      <c r="K746" t="s">
        <v>16886</v>
      </c>
      <c r="L746" t="s">
        <v>16887</v>
      </c>
      <c r="M746" t="s">
        <v>16888</v>
      </c>
      <c r="N746" t="s">
        <v>16889</v>
      </c>
      <c r="O746">
        <f>-617.609543445769 -107.092061587008 -734.725041440576</f>
        <v>-1459.426646473353</v>
      </c>
      <c r="P746">
        <f>-632.311625812283 -78.183037935018 -419.868896987044</f>
        <v>-1130.3635607343449</v>
      </c>
      <c r="Q746">
        <f>-382.146550975228 -14.0838013736993 -450.703600270655</f>
        <v>-846.93395261958233</v>
      </c>
      <c r="R746" t="s">
        <v>16890</v>
      </c>
      <c r="S746" t="s">
        <v>16891</v>
      </c>
      <c r="T746" t="s">
        <v>16892</v>
      </c>
      <c r="U746" t="s">
        <v>16893</v>
      </c>
      <c r="V746" t="s">
        <v>16894</v>
      </c>
      <c r="W746" t="s">
        <v>16895</v>
      </c>
      <c r="X746" t="s">
        <v>16896</v>
      </c>
      <c r="Y746" t="s">
        <v>16897</v>
      </c>
    </row>
    <row r="747" spans="1:25" x14ac:dyDescent="0.3">
      <c r="A747">
        <v>37300</v>
      </c>
      <c r="B747" t="s">
        <v>16898</v>
      </c>
      <c r="C747" t="s">
        <v>16899</v>
      </c>
      <c r="D747" t="s">
        <v>16900</v>
      </c>
      <c r="E747" t="s">
        <v>16901</v>
      </c>
      <c r="F747" t="s">
        <v>16902</v>
      </c>
      <c r="G747" t="s">
        <v>16903</v>
      </c>
      <c r="H747" t="s">
        <v>16904</v>
      </c>
      <c r="I747" t="s">
        <v>16905</v>
      </c>
      <c r="J747" t="s">
        <v>16906</v>
      </c>
      <c r="K747" t="s">
        <v>16907</v>
      </c>
      <c r="L747" t="s">
        <v>16908</v>
      </c>
      <c r="M747" t="s">
        <v>16909</v>
      </c>
      <c r="N747" t="s">
        <v>16910</v>
      </c>
      <c r="O747">
        <f>-617.0870153604 -106.727898116697 -734.723110784778</f>
        <v>-1458.5380242618749</v>
      </c>
      <c r="P747">
        <f>-631.623339234451 -77.1940965219468 -419.91733402982</f>
        <v>-1128.7347697862178</v>
      </c>
      <c r="Q747">
        <f>-381.325912157336 -13.5306905426822 -450.580466972386</f>
        <v>-845.43706967240416</v>
      </c>
      <c r="R747" t="s">
        <v>16911</v>
      </c>
      <c r="S747" t="s">
        <v>16912</v>
      </c>
      <c r="T747" t="s">
        <v>16913</v>
      </c>
      <c r="U747" t="s">
        <v>16914</v>
      </c>
      <c r="V747" t="s">
        <v>16915</v>
      </c>
      <c r="W747" t="s">
        <v>16916</v>
      </c>
      <c r="X747" t="s">
        <v>16917</v>
      </c>
      <c r="Y747" t="s">
        <v>16918</v>
      </c>
    </row>
    <row r="748" spans="1:25" x14ac:dyDescent="0.3">
      <c r="A748">
        <v>37350</v>
      </c>
      <c r="B748" t="s">
        <v>16919</v>
      </c>
      <c r="C748" t="s">
        <v>16920</v>
      </c>
      <c r="D748" t="s">
        <v>16921</v>
      </c>
      <c r="E748" t="s">
        <v>16922</v>
      </c>
      <c r="F748" t="s">
        <v>16923</v>
      </c>
      <c r="G748" t="s">
        <v>16924</v>
      </c>
      <c r="H748" t="s">
        <v>16925</v>
      </c>
      <c r="I748" t="s">
        <v>16926</v>
      </c>
      <c r="J748" t="s">
        <v>16927</v>
      </c>
      <c r="K748" t="s">
        <v>16928</v>
      </c>
      <c r="L748" t="s">
        <v>16929</v>
      </c>
      <c r="M748" t="s">
        <v>16930</v>
      </c>
      <c r="N748" t="s">
        <v>16931</v>
      </c>
      <c r="O748">
        <f>-616.581418284377 -106.355459383388 -734.524323231404</f>
        <v>-1457.4612008991689</v>
      </c>
      <c r="P748">
        <f>-631.138174959755 -75.6805384293066 -419.828650751588</f>
        <v>-1126.6473641406496</v>
      </c>
      <c r="Q748">
        <f>-380.39002571105 -13.7631148781761 -450.384025833876</f>
        <v>-844.53716642310212</v>
      </c>
      <c r="R748" t="s">
        <v>16932</v>
      </c>
      <c r="S748" t="s">
        <v>16933</v>
      </c>
      <c r="T748" t="s">
        <v>16934</v>
      </c>
      <c r="U748" t="s">
        <v>16935</v>
      </c>
      <c r="V748" t="s">
        <v>16936</v>
      </c>
      <c r="W748" t="s">
        <v>16937</v>
      </c>
      <c r="X748" t="s">
        <v>16938</v>
      </c>
      <c r="Y748" t="s">
        <v>16939</v>
      </c>
    </row>
    <row r="749" spans="1:25" x14ac:dyDescent="0.3">
      <c r="A749">
        <v>37400</v>
      </c>
      <c r="B749" t="s">
        <v>16940</v>
      </c>
      <c r="C749" t="s">
        <v>16941</v>
      </c>
      <c r="D749" t="s">
        <v>16942</v>
      </c>
      <c r="E749" t="s">
        <v>16943</v>
      </c>
      <c r="F749" t="s">
        <v>16944</v>
      </c>
      <c r="G749" t="s">
        <v>16945</v>
      </c>
      <c r="H749" t="s">
        <v>16946</v>
      </c>
      <c r="I749" t="s">
        <v>16947</v>
      </c>
      <c r="J749" t="s">
        <v>16948</v>
      </c>
      <c r="K749" t="s">
        <v>16949</v>
      </c>
      <c r="L749" t="s">
        <v>16950</v>
      </c>
      <c r="M749" t="s">
        <v>16951</v>
      </c>
      <c r="N749" t="s">
        <v>16952</v>
      </c>
      <c r="O749">
        <f>-616.45125767455 -106.214060389182 -734.408920256561</f>
        <v>-1457.074238320293</v>
      </c>
      <c r="P749">
        <f>-630.956822427006 -75.4243037065799 -419.722116283439</f>
        <v>-1126.1032424170248</v>
      </c>
      <c r="Q749">
        <f>-380.028211755493 -14.3333374437139 -450.459844430731</f>
        <v>-844.8213936299378</v>
      </c>
      <c r="R749" t="s">
        <v>16953</v>
      </c>
      <c r="S749" t="s">
        <v>16954</v>
      </c>
      <c r="T749" t="s">
        <v>16955</v>
      </c>
      <c r="U749" t="s">
        <v>16956</v>
      </c>
      <c r="V749" t="s">
        <v>16957</v>
      </c>
      <c r="W749" t="s">
        <v>16958</v>
      </c>
      <c r="X749" t="s">
        <v>16959</v>
      </c>
      <c r="Y749" t="s">
        <v>16960</v>
      </c>
    </row>
    <row r="750" spans="1:25" x14ac:dyDescent="0.3">
      <c r="A750">
        <v>37450</v>
      </c>
      <c r="B750" t="s">
        <v>16961</v>
      </c>
      <c r="C750" t="s">
        <v>16962</v>
      </c>
      <c r="D750" t="s">
        <v>16963</v>
      </c>
      <c r="E750" t="s">
        <v>16964</v>
      </c>
      <c r="F750" t="s">
        <v>16965</v>
      </c>
      <c r="G750" t="s">
        <v>16966</v>
      </c>
      <c r="H750" t="s">
        <v>16967</v>
      </c>
      <c r="I750" t="s">
        <v>16968</v>
      </c>
      <c r="J750" t="s">
        <v>16969</v>
      </c>
      <c r="K750" t="s">
        <v>16970</v>
      </c>
      <c r="L750" t="s">
        <v>16971</v>
      </c>
      <c r="M750" t="s">
        <v>16972</v>
      </c>
      <c r="N750" t="s">
        <v>16973</v>
      </c>
      <c r="O750">
        <f>-616.716145343465 -105.999800879903 -734.183624893359</f>
        <v>-1456.899571116727</v>
      </c>
      <c r="P750">
        <f>-631.201879016952 -75.1331989058573 -419.50342180862</f>
        <v>-1125.8384997314292</v>
      </c>
      <c r="Q750">
        <f>-380.074043084175 -14.87247690371 -450.252768242755</f>
        <v>-845.19928823063992</v>
      </c>
      <c r="R750" t="s">
        <v>16974</v>
      </c>
      <c r="S750" t="s">
        <v>16975</v>
      </c>
      <c r="T750" t="s">
        <v>16976</v>
      </c>
      <c r="U750" t="s">
        <v>16977</v>
      </c>
      <c r="V750" t="s">
        <v>16978</v>
      </c>
      <c r="W750" t="s">
        <v>16979</v>
      </c>
      <c r="X750" t="s">
        <v>16980</v>
      </c>
      <c r="Y750" t="s">
        <v>16981</v>
      </c>
    </row>
    <row r="751" spans="1:25" x14ac:dyDescent="0.3">
      <c r="A751">
        <v>37500</v>
      </c>
      <c r="B751" t="s">
        <v>16982</v>
      </c>
      <c r="C751" t="s">
        <v>16983</v>
      </c>
      <c r="D751" t="s">
        <v>16984</v>
      </c>
      <c r="E751" t="s">
        <v>16985</v>
      </c>
      <c r="F751" t="s">
        <v>16986</v>
      </c>
      <c r="G751" t="s">
        <v>16987</v>
      </c>
      <c r="H751" t="s">
        <v>16988</v>
      </c>
      <c r="I751" t="s">
        <v>16989</v>
      </c>
      <c r="J751" t="s">
        <v>16990</v>
      </c>
      <c r="K751" t="s">
        <v>16991</v>
      </c>
      <c r="L751" t="s">
        <v>16992</v>
      </c>
      <c r="M751" t="s">
        <v>16993</v>
      </c>
      <c r="N751" t="s">
        <v>16994</v>
      </c>
      <c r="O751">
        <f>-616.57052031773 -106.014508113312 -734.059208871669</f>
        <v>-1456.644237302711</v>
      </c>
      <c r="P751">
        <f>-631.223862399837 -75.0958564759988 -419.391769505402</f>
        <v>-1125.7114883812378</v>
      </c>
      <c r="Q751">
        <f>-380.131708027637 -14.6730480896133 -450.114624726601</f>
        <v>-844.91938084385129</v>
      </c>
      <c r="R751" t="s">
        <v>16995</v>
      </c>
      <c r="S751" t="s">
        <v>16996</v>
      </c>
      <c r="T751" t="s">
        <v>16997</v>
      </c>
      <c r="U751" t="s">
        <v>16998</v>
      </c>
      <c r="V751" t="s">
        <v>16999</v>
      </c>
      <c r="W751" t="s">
        <v>17000</v>
      </c>
      <c r="X751" t="s">
        <v>17001</v>
      </c>
      <c r="Y751" t="s">
        <v>17002</v>
      </c>
    </row>
    <row r="752" spans="1:25" x14ac:dyDescent="0.3">
      <c r="A752">
        <v>37550</v>
      </c>
      <c r="B752" t="s">
        <v>17003</v>
      </c>
      <c r="C752" t="s">
        <v>17004</v>
      </c>
      <c r="D752" t="s">
        <v>17005</v>
      </c>
      <c r="E752" t="s">
        <v>17006</v>
      </c>
      <c r="F752" t="s">
        <v>17007</v>
      </c>
      <c r="G752" t="s">
        <v>17008</v>
      </c>
      <c r="H752" t="s">
        <v>17009</v>
      </c>
      <c r="I752" t="s">
        <v>17010</v>
      </c>
      <c r="J752" t="s">
        <v>17011</v>
      </c>
      <c r="K752" t="s">
        <v>17012</v>
      </c>
      <c r="L752" t="s">
        <v>17013</v>
      </c>
      <c r="M752" t="s">
        <v>17014</v>
      </c>
      <c r="N752" t="s">
        <v>17015</v>
      </c>
      <c r="O752">
        <f>-617.102078486385 -105.977968876323 -733.816224858129</f>
        <v>-1456.8962722208371</v>
      </c>
      <c r="P752">
        <f>-631.46396787141 -74.2779829580256 -419.213354019847</f>
        <v>-1124.9553048492826</v>
      </c>
      <c r="Q752">
        <f>-380.420684405005 -13.4481356018275 -449.529511073928</f>
        <v>-843.3983310807605</v>
      </c>
      <c r="R752" t="s">
        <v>17016</v>
      </c>
      <c r="S752" t="s">
        <v>17017</v>
      </c>
      <c r="T752" t="s">
        <v>17018</v>
      </c>
      <c r="U752" t="s">
        <v>17019</v>
      </c>
      <c r="V752" t="s">
        <v>17020</v>
      </c>
      <c r="W752" t="s">
        <v>17021</v>
      </c>
      <c r="X752" t="s">
        <v>17022</v>
      </c>
      <c r="Y752" t="s">
        <v>17023</v>
      </c>
    </row>
    <row r="753" spans="1:25" x14ac:dyDescent="0.3">
      <c r="A753">
        <v>37600</v>
      </c>
      <c r="B753" t="s">
        <v>17024</v>
      </c>
      <c r="C753" t="s">
        <v>17025</v>
      </c>
      <c r="D753" t="s">
        <v>17026</v>
      </c>
      <c r="E753" t="s">
        <v>17027</v>
      </c>
      <c r="F753" t="s">
        <v>17028</v>
      </c>
      <c r="G753" t="s">
        <v>17029</v>
      </c>
      <c r="H753" t="s">
        <v>17030</v>
      </c>
      <c r="I753" t="s">
        <v>17031</v>
      </c>
      <c r="J753" t="s">
        <v>17032</v>
      </c>
      <c r="K753" t="s">
        <v>17033</v>
      </c>
      <c r="L753" t="s">
        <v>17034</v>
      </c>
      <c r="M753" t="s">
        <v>17035</v>
      </c>
      <c r="N753" t="s">
        <v>17036</v>
      </c>
      <c r="O753">
        <f>-617.326790140017 -106.051000141266 -733.641523276005</f>
        <v>-1457.0193135572881</v>
      </c>
      <c r="P753">
        <f>-631.886600361339 -74.2779122312082 -419.05502505803</f>
        <v>-1125.2195376505772</v>
      </c>
      <c r="Q753">
        <f>-380.979483536299 -12.8461777055245 -449.284227846753</f>
        <v>-843.10988908857655</v>
      </c>
      <c r="R753" t="s">
        <v>17037</v>
      </c>
      <c r="S753" t="s">
        <v>17038</v>
      </c>
      <c r="T753" t="s">
        <v>17039</v>
      </c>
      <c r="U753" t="s">
        <v>17040</v>
      </c>
      <c r="V753" t="s">
        <v>17041</v>
      </c>
      <c r="W753" t="s">
        <v>17042</v>
      </c>
      <c r="X753" t="s">
        <v>17043</v>
      </c>
      <c r="Y753" t="s">
        <v>17044</v>
      </c>
    </row>
    <row r="754" spans="1:25" x14ac:dyDescent="0.3">
      <c r="A754">
        <v>37650</v>
      </c>
      <c r="B754" t="s">
        <v>17045</v>
      </c>
      <c r="C754" t="s">
        <v>17046</v>
      </c>
      <c r="D754" t="s">
        <v>17047</v>
      </c>
      <c r="E754" t="s">
        <v>17048</v>
      </c>
      <c r="F754" t="s">
        <v>17049</v>
      </c>
      <c r="G754" t="s">
        <v>17050</v>
      </c>
      <c r="H754" t="s">
        <v>17051</v>
      </c>
      <c r="I754" t="s">
        <v>17052</v>
      </c>
      <c r="J754" t="s">
        <v>17053</v>
      </c>
      <c r="K754" t="s">
        <v>17054</v>
      </c>
      <c r="L754" t="s">
        <v>17055</v>
      </c>
      <c r="M754" t="s">
        <v>17056</v>
      </c>
      <c r="N754" t="s">
        <v>17057</v>
      </c>
      <c r="O754">
        <f>-618.39280922612 -105.618333948313 -733.747036277315</f>
        <v>-1457.758179451748</v>
      </c>
      <c r="P754">
        <f>-633.154322517694 -73.7799376998263 -419.176588258748</f>
        <v>-1126.1108484762683</v>
      </c>
      <c r="Q754">
        <f>-382.365213605659 -11.8173396992043 -449.302220440835</f>
        <v>-843.48477374569825</v>
      </c>
      <c r="R754" t="s">
        <v>17058</v>
      </c>
      <c r="S754" t="s">
        <v>17059</v>
      </c>
      <c r="T754" t="s">
        <v>17060</v>
      </c>
      <c r="U754" t="s">
        <v>17061</v>
      </c>
      <c r="V754" t="s">
        <v>17062</v>
      </c>
      <c r="W754" t="s">
        <v>17063</v>
      </c>
      <c r="X754" t="s">
        <v>17064</v>
      </c>
      <c r="Y754" t="s">
        <v>17065</v>
      </c>
    </row>
    <row r="755" spans="1:25" x14ac:dyDescent="0.3">
      <c r="A755">
        <v>37700</v>
      </c>
      <c r="B755" t="s">
        <v>17066</v>
      </c>
      <c r="C755" t="s">
        <v>17067</v>
      </c>
      <c r="D755" t="s">
        <v>17068</v>
      </c>
      <c r="E755" t="s">
        <v>17069</v>
      </c>
      <c r="F755" t="s">
        <v>17070</v>
      </c>
      <c r="G755" t="s">
        <v>17071</v>
      </c>
      <c r="H755" t="s">
        <v>17072</v>
      </c>
      <c r="I755" t="s">
        <v>17073</v>
      </c>
      <c r="J755" t="s">
        <v>17074</v>
      </c>
      <c r="K755" t="s">
        <v>17075</v>
      </c>
      <c r="L755" t="s">
        <v>17076</v>
      </c>
      <c r="M755" t="s">
        <v>17077</v>
      </c>
      <c r="N755" t="s">
        <v>17078</v>
      </c>
      <c r="O755">
        <f>-619.169031085083 -105.672259381066 -733.829659396451</f>
        <v>-1458.6709498626001</v>
      </c>
      <c r="P755">
        <f>-633.798638508329 -74.0720810270172 -419.228925955688</f>
        <v>-1127.0996454910342</v>
      </c>
      <c r="Q755">
        <f>-383.01103252401 -12.1086269750463 -449.36466755605</f>
        <v>-844.48432705510629</v>
      </c>
      <c r="R755" t="s">
        <v>17079</v>
      </c>
      <c r="S755" t="s">
        <v>17080</v>
      </c>
      <c r="T755" t="s">
        <v>17081</v>
      </c>
      <c r="U755" t="s">
        <v>17082</v>
      </c>
      <c r="V755" t="s">
        <v>17083</v>
      </c>
      <c r="W755" t="s">
        <v>17084</v>
      </c>
      <c r="X755" t="s">
        <v>17085</v>
      </c>
      <c r="Y755" t="s">
        <v>17086</v>
      </c>
    </row>
    <row r="756" spans="1:25" x14ac:dyDescent="0.3">
      <c r="A756">
        <v>37750</v>
      </c>
      <c r="B756" t="s">
        <v>17087</v>
      </c>
      <c r="C756" t="s">
        <v>17088</v>
      </c>
      <c r="D756" t="s">
        <v>17089</v>
      </c>
      <c r="E756" t="s">
        <v>17090</v>
      </c>
      <c r="F756" t="s">
        <v>17091</v>
      </c>
      <c r="G756" t="s">
        <v>17092</v>
      </c>
      <c r="H756" t="s">
        <v>17093</v>
      </c>
      <c r="I756" t="s">
        <v>17094</v>
      </c>
      <c r="J756" t="s">
        <v>17095</v>
      </c>
      <c r="K756" t="s">
        <v>17096</v>
      </c>
      <c r="L756" t="s">
        <v>17097</v>
      </c>
      <c r="M756" t="s">
        <v>17098</v>
      </c>
      <c r="N756" t="s">
        <v>17099</v>
      </c>
      <c r="O756">
        <f>-620.698784197805 -106.331811479666 -733.86823523523</f>
        <v>-1460.8988309127012</v>
      </c>
      <c r="P756">
        <f>-634.461271436897 -75.2969177319421 -419.172205518074</f>
        <v>-1128.9303946869131</v>
      </c>
      <c r="Q756">
        <f>-383.492857616075 -14.3051120586455 -449.780857902739</f>
        <v>-847.57882757745949</v>
      </c>
      <c r="R756" t="s">
        <v>17100</v>
      </c>
      <c r="S756" t="s">
        <v>17101</v>
      </c>
      <c r="T756" t="s">
        <v>17102</v>
      </c>
      <c r="U756" t="s">
        <v>17103</v>
      </c>
      <c r="V756" t="s">
        <v>17104</v>
      </c>
      <c r="W756" t="s">
        <v>17105</v>
      </c>
      <c r="X756" t="s">
        <v>17106</v>
      </c>
      <c r="Y756" t="s">
        <v>17107</v>
      </c>
    </row>
    <row r="757" spans="1:25" x14ac:dyDescent="0.3">
      <c r="A757">
        <v>37800</v>
      </c>
      <c r="B757" t="s">
        <v>17108</v>
      </c>
      <c r="C757" t="s">
        <v>17109</v>
      </c>
      <c r="D757" t="s">
        <v>17110</v>
      </c>
      <c r="E757" t="s">
        <v>17111</v>
      </c>
      <c r="F757" t="s">
        <v>17112</v>
      </c>
      <c r="G757" t="s">
        <v>17113</v>
      </c>
      <c r="H757" t="s">
        <v>17114</v>
      </c>
      <c r="I757" t="s">
        <v>17115</v>
      </c>
      <c r="J757" t="s">
        <v>17116</v>
      </c>
      <c r="K757" t="s">
        <v>17117</v>
      </c>
      <c r="L757" t="s">
        <v>17118</v>
      </c>
      <c r="M757" t="s">
        <v>17119</v>
      </c>
      <c r="N757" t="s">
        <v>17120</v>
      </c>
      <c r="O757">
        <f>-620.766356431608 -106.716464922543 -733.692761101821</f>
        <v>-1461.1755824559718</v>
      </c>
      <c r="P757">
        <f>-634.187403299937 -75.9477632123797 -418.955979344502</f>
        <v>-1129.0911458568189</v>
      </c>
      <c r="Q757">
        <f>-383.052521802129 -15.7911109794866 -449.850992778962</f>
        <v>-848.69462556057761</v>
      </c>
      <c r="R757" t="s">
        <v>17121</v>
      </c>
      <c r="S757" t="s">
        <v>17122</v>
      </c>
      <c r="T757" t="s">
        <v>17123</v>
      </c>
      <c r="U757" t="s">
        <v>17124</v>
      </c>
      <c r="V757" t="s">
        <v>17125</v>
      </c>
      <c r="W757" t="s">
        <v>17126</v>
      </c>
      <c r="X757" t="s">
        <v>17127</v>
      </c>
      <c r="Y757" t="s">
        <v>17128</v>
      </c>
    </row>
    <row r="758" spans="1:25" x14ac:dyDescent="0.3">
      <c r="A758">
        <v>37850</v>
      </c>
      <c r="B758" t="s">
        <v>17129</v>
      </c>
      <c r="C758" t="s">
        <v>17130</v>
      </c>
      <c r="D758" t="s">
        <v>17131</v>
      </c>
      <c r="E758" t="s">
        <v>17132</v>
      </c>
      <c r="F758" t="s">
        <v>17133</v>
      </c>
      <c r="G758" t="s">
        <v>17134</v>
      </c>
      <c r="H758" t="s">
        <v>17135</v>
      </c>
      <c r="I758" t="s">
        <v>17136</v>
      </c>
      <c r="J758" t="s">
        <v>17137</v>
      </c>
      <c r="K758" t="s">
        <v>17138</v>
      </c>
      <c r="L758" t="s">
        <v>17139</v>
      </c>
      <c r="M758" t="s">
        <v>17140</v>
      </c>
      <c r="N758" t="s">
        <v>17141</v>
      </c>
      <c r="O758">
        <f>-620.536585530633 -106.785545788039 -733.467692335219</f>
        <v>-1460.7898236538911</v>
      </c>
      <c r="P758">
        <f>-633.918417251363 -76.3172072904872 -418.699901186127</f>
        <v>-1128.9355257279772</v>
      </c>
      <c r="Q758">
        <f>-382.484020771522 -17.7349851371877 -450.178706167654</f>
        <v>-850.39771207636375</v>
      </c>
      <c r="R758" t="s">
        <v>17142</v>
      </c>
      <c r="S758" t="s">
        <v>17143</v>
      </c>
      <c r="T758" t="s">
        <v>17144</v>
      </c>
      <c r="U758" t="s">
        <v>17145</v>
      </c>
      <c r="V758" t="s">
        <v>17146</v>
      </c>
      <c r="W758" t="s">
        <v>17147</v>
      </c>
      <c r="X758" t="s">
        <v>17148</v>
      </c>
      <c r="Y758" t="s">
        <v>17149</v>
      </c>
    </row>
    <row r="759" spans="1:25" x14ac:dyDescent="0.3">
      <c r="A759">
        <v>37900</v>
      </c>
      <c r="B759" t="s">
        <v>17150</v>
      </c>
      <c r="C759" t="s">
        <v>17151</v>
      </c>
      <c r="D759" t="s">
        <v>17152</v>
      </c>
      <c r="E759" t="s">
        <v>17153</v>
      </c>
      <c r="F759" t="s">
        <v>17154</v>
      </c>
      <c r="G759" t="s">
        <v>17155</v>
      </c>
      <c r="H759" t="s">
        <v>17156</v>
      </c>
      <c r="I759" t="s">
        <v>17157</v>
      </c>
      <c r="J759" t="s">
        <v>17158</v>
      </c>
      <c r="K759" t="s">
        <v>17159</v>
      </c>
      <c r="L759" t="s">
        <v>17160</v>
      </c>
      <c r="M759" t="s">
        <v>17161</v>
      </c>
      <c r="N759" t="s">
        <v>17162</v>
      </c>
      <c r="O759">
        <f>-620.345563543074 -106.726369518284 -733.426939276614</f>
        <v>-1460.498872337972</v>
      </c>
      <c r="P759">
        <f>-633.881128553697 -76.252904175346 -418.666119578857</f>
        <v>-1128.8001523078999</v>
      </c>
      <c r="Q759">
        <f>-382.33802382275 -18.2436677808869 -450.336578524252</f>
        <v>-850.91827012788895</v>
      </c>
      <c r="R759" t="s">
        <v>17163</v>
      </c>
      <c r="S759" t="s">
        <v>17164</v>
      </c>
      <c r="T759" t="s">
        <v>17165</v>
      </c>
      <c r="U759" t="s">
        <v>17166</v>
      </c>
      <c r="V759" t="s">
        <v>17167</v>
      </c>
      <c r="W759" t="s">
        <v>17168</v>
      </c>
      <c r="X759" t="s">
        <v>17169</v>
      </c>
      <c r="Y759" t="s">
        <v>17170</v>
      </c>
    </row>
    <row r="760" spans="1:25" x14ac:dyDescent="0.3">
      <c r="A760">
        <v>37950</v>
      </c>
      <c r="B760" t="s">
        <v>17171</v>
      </c>
      <c r="C760" t="s">
        <v>17172</v>
      </c>
      <c r="D760" t="s">
        <v>17173</v>
      </c>
      <c r="E760" t="s">
        <v>17174</v>
      </c>
      <c r="F760" t="s">
        <v>17175</v>
      </c>
      <c r="G760" t="s">
        <v>17176</v>
      </c>
      <c r="H760" t="s">
        <v>17177</v>
      </c>
      <c r="I760" t="s">
        <v>17178</v>
      </c>
      <c r="J760" t="s">
        <v>17179</v>
      </c>
      <c r="K760" t="s">
        <v>17180</v>
      </c>
      <c r="L760" t="s">
        <v>17181</v>
      </c>
      <c r="M760" t="s">
        <v>17182</v>
      </c>
      <c r="N760" t="s">
        <v>17183</v>
      </c>
      <c r="O760">
        <f>-620.3925936211 -106.89700150533 -733.446788469276</f>
        <v>-1460.736383595706</v>
      </c>
      <c r="P760">
        <f>-633.949186426106 -76.3135035222707 -418.697450278148</f>
        <v>-1128.9601402265248</v>
      </c>
      <c r="Q760">
        <f>-382.191770857174 -18.9585626191442 -449.853106256377</f>
        <v>-851.00343973269514</v>
      </c>
      <c r="R760" t="s">
        <v>17184</v>
      </c>
      <c r="S760" t="s">
        <v>17185</v>
      </c>
      <c r="T760" t="s">
        <v>17186</v>
      </c>
      <c r="U760" t="s">
        <v>17187</v>
      </c>
      <c r="V760" t="s">
        <v>17188</v>
      </c>
      <c r="W760" t="s">
        <v>17189</v>
      </c>
      <c r="X760" t="s">
        <v>17190</v>
      </c>
      <c r="Y760" t="s">
        <v>17191</v>
      </c>
    </row>
    <row r="761" spans="1:25" x14ac:dyDescent="0.3">
      <c r="A761">
        <v>38000</v>
      </c>
      <c r="B761" t="s">
        <v>17192</v>
      </c>
      <c r="C761" t="s">
        <v>17193</v>
      </c>
      <c r="D761" t="s">
        <v>17194</v>
      </c>
      <c r="E761" t="s">
        <v>17195</v>
      </c>
      <c r="F761" t="s">
        <v>17196</v>
      </c>
      <c r="G761" t="s">
        <v>17197</v>
      </c>
      <c r="H761" t="s">
        <v>17198</v>
      </c>
      <c r="I761" t="s">
        <v>17199</v>
      </c>
      <c r="J761" t="s">
        <v>17200</v>
      </c>
      <c r="K761" t="s">
        <v>17201</v>
      </c>
      <c r="L761" t="s">
        <v>17202</v>
      </c>
      <c r="M761" t="s">
        <v>17203</v>
      </c>
      <c r="N761" t="s">
        <v>17204</v>
      </c>
      <c r="O761">
        <f>-620.325110690174 -107.068294901043 -733.426271123143</f>
        <v>-1460.81967671436</v>
      </c>
      <c r="P761">
        <f>-633.927756847197 -76.4293740891188 -418.684496301447</f>
        <v>-1129.0416272377629</v>
      </c>
      <c r="Q761">
        <f>-382.101420909298 -19.0858305433776 -449.299309223224</f>
        <v>-850.48656067589957</v>
      </c>
      <c r="R761" t="s">
        <v>17205</v>
      </c>
      <c r="S761" t="s">
        <v>17206</v>
      </c>
      <c r="T761" t="s">
        <v>17207</v>
      </c>
      <c r="U761" t="s">
        <v>17208</v>
      </c>
      <c r="V761" t="s">
        <v>17209</v>
      </c>
      <c r="W761" t="s">
        <v>17210</v>
      </c>
      <c r="X761" t="s">
        <v>17211</v>
      </c>
      <c r="Y761" t="s">
        <v>17212</v>
      </c>
    </row>
    <row r="762" spans="1:25" x14ac:dyDescent="0.3">
      <c r="A762">
        <v>38050</v>
      </c>
      <c r="B762" t="s">
        <v>17213</v>
      </c>
      <c r="C762" t="s">
        <v>17214</v>
      </c>
      <c r="D762" t="s">
        <v>17215</v>
      </c>
      <c r="E762" t="s">
        <v>17216</v>
      </c>
      <c r="F762" t="s">
        <v>17217</v>
      </c>
      <c r="G762" t="s">
        <v>17218</v>
      </c>
      <c r="H762" t="s">
        <v>17219</v>
      </c>
      <c r="I762" t="s">
        <v>17220</v>
      </c>
      <c r="J762" t="s">
        <v>17221</v>
      </c>
      <c r="K762" t="s">
        <v>17222</v>
      </c>
      <c r="L762" t="s">
        <v>17223</v>
      </c>
      <c r="M762" t="s">
        <v>17224</v>
      </c>
      <c r="N762" t="s">
        <v>17225</v>
      </c>
      <c r="O762">
        <f>-619.501945177936 -107.737821843254 -733.287429661853</f>
        <v>-1460.527196683043</v>
      </c>
      <c r="P762">
        <f>-633.692248836611 -76.6908414472161 -418.611567670731</f>
        <v>-1128.9946579545581</v>
      </c>
      <c r="Q762">
        <f>-381.781343824245 -18.9821829967245 -447.812028237576</f>
        <v>-848.57555505854543</v>
      </c>
      <c r="R762" t="s">
        <v>17226</v>
      </c>
      <c r="S762" t="s">
        <v>17227</v>
      </c>
      <c r="T762" t="s">
        <v>17228</v>
      </c>
      <c r="U762" t="s">
        <v>17229</v>
      </c>
      <c r="V762" t="s">
        <v>17230</v>
      </c>
      <c r="W762" t="s">
        <v>17231</v>
      </c>
      <c r="X762" t="s">
        <v>17232</v>
      </c>
      <c r="Y762" t="s">
        <v>17233</v>
      </c>
    </row>
    <row r="763" spans="1:25" x14ac:dyDescent="0.3">
      <c r="A763">
        <v>38100</v>
      </c>
      <c r="B763" t="s">
        <v>17234</v>
      </c>
      <c r="C763" t="s">
        <v>17235</v>
      </c>
      <c r="D763" t="s">
        <v>17236</v>
      </c>
      <c r="E763" t="s">
        <v>17237</v>
      </c>
      <c r="F763" t="s">
        <v>17238</v>
      </c>
      <c r="G763" t="s">
        <v>17239</v>
      </c>
      <c r="H763" t="s">
        <v>17240</v>
      </c>
      <c r="I763" t="s">
        <v>17241</v>
      </c>
      <c r="J763" t="s">
        <v>17242</v>
      </c>
      <c r="K763" t="s">
        <v>17243</v>
      </c>
      <c r="L763" t="s">
        <v>17244</v>
      </c>
      <c r="M763" t="s">
        <v>17245</v>
      </c>
      <c r="N763" t="s">
        <v>17246</v>
      </c>
      <c r="O763">
        <f>-618.912924105789 -108.071220334434 -733.166572880891</f>
        <v>-1460.1507173211139</v>
      </c>
      <c r="P763">
        <f>-633.536855162982 -77.0745771385377 -418.505486227178</f>
        <v>-1129.1169185286976</v>
      </c>
      <c r="Q763">
        <f>-381.640009938028 -19.0136502047872 -447.122698351746</f>
        <v>-847.77635849456124</v>
      </c>
      <c r="R763" t="s">
        <v>17247</v>
      </c>
      <c r="S763" t="s">
        <v>17248</v>
      </c>
      <c r="T763" t="s">
        <v>17249</v>
      </c>
      <c r="U763" t="s">
        <v>17250</v>
      </c>
      <c r="V763" t="s">
        <v>17251</v>
      </c>
      <c r="W763" t="s">
        <v>17252</v>
      </c>
      <c r="X763" t="s">
        <v>17253</v>
      </c>
      <c r="Y763" t="s">
        <v>17254</v>
      </c>
    </row>
    <row r="764" spans="1:25" x14ac:dyDescent="0.3">
      <c r="A764">
        <v>38150</v>
      </c>
      <c r="B764" t="s">
        <v>17255</v>
      </c>
      <c r="C764" t="s">
        <v>17256</v>
      </c>
      <c r="D764" t="s">
        <v>17257</v>
      </c>
      <c r="E764" t="s">
        <v>17258</v>
      </c>
      <c r="F764" t="s">
        <v>17259</v>
      </c>
      <c r="G764" t="s">
        <v>17260</v>
      </c>
      <c r="H764" t="s">
        <v>17261</v>
      </c>
      <c r="I764" t="s">
        <v>17262</v>
      </c>
      <c r="J764" t="s">
        <v>17263</v>
      </c>
      <c r="K764" t="s">
        <v>17264</v>
      </c>
      <c r="L764" t="s">
        <v>17265</v>
      </c>
      <c r="M764" t="s">
        <v>17266</v>
      </c>
      <c r="N764" t="s">
        <v>17267</v>
      </c>
      <c r="O764">
        <f>-617.695083371047 -108.67323372144 -733.044025772984</f>
        <v>-1459.4123428654709</v>
      </c>
      <c r="P764">
        <f>-633.038968999605 -77.2366166283064 -418.461013992949</f>
        <v>-1128.7365996208605</v>
      </c>
      <c r="Q764">
        <f>-381.204364774444 -18.6901459756107 -446.633390544795</f>
        <v>-846.5279012948497</v>
      </c>
      <c r="R764" t="s">
        <v>17268</v>
      </c>
      <c r="S764" t="s">
        <v>17269</v>
      </c>
      <c r="T764" t="s">
        <v>17270</v>
      </c>
      <c r="U764" t="s">
        <v>17271</v>
      </c>
      <c r="V764" t="s">
        <v>17272</v>
      </c>
      <c r="W764" t="s">
        <v>17273</v>
      </c>
      <c r="X764" t="s">
        <v>17274</v>
      </c>
      <c r="Y764" t="s">
        <v>17275</v>
      </c>
    </row>
    <row r="765" spans="1:25" x14ac:dyDescent="0.3">
      <c r="A765">
        <v>38200</v>
      </c>
      <c r="B765" t="s">
        <v>17276</v>
      </c>
      <c r="C765" t="s">
        <v>17277</v>
      </c>
      <c r="D765" t="s">
        <v>17278</v>
      </c>
      <c r="E765" t="s">
        <v>17279</v>
      </c>
      <c r="F765" t="s">
        <v>17280</v>
      </c>
      <c r="G765" t="s">
        <v>17281</v>
      </c>
      <c r="H765" t="s">
        <v>17282</v>
      </c>
      <c r="I765" t="s">
        <v>17283</v>
      </c>
      <c r="J765" t="s">
        <v>17284</v>
      </c>
      <c r="K765" t="s">
        <v>17285</v>
      </c>
      <c r="L765" t="s">
        <v>17286</v>
      </c>
      <c r="M765" t="s">
        <v>17287</v>
      </c>
      <c r="N765" t="s">
        <v>17288</v>
      </c>
      <c r="O765">
        <f>-617.176401070504 -108.698253248053 -733.044678036309</f>
        <v>-1458.9193323548661</v>
      </c>
      <c r="P765">
        <f>-632.546064162133 -77.430497371956 -418.446135673332</f>
        <v>-1128.4226972074209</v>
      </c>
      <c r="Q765">
        <f>-380.761517122381 -18.5962516426041 -446.46593027018</f>
        <v>-845.82369903516519</v>
      </c>
      <c r="R765" t="s">
        <v>17289</v>
      </c>
      <c r="S765" t="s">
        <v>17290</v>
      </c>
      <c r="T765" t="s">
        <v>17291</v>
      </c>
      <c r="U765" t="s">
        <v>17292</v>
      </c>
      <c r="V765" t="s">
        <v>17293</v>
      </c>
      <c r="W765" t="s">
        <v>17294</v>
      </c>
      <c r="X765" t="s">
        <v>17295</v>
      </c>
      <c r="Y765" t="s">
        <v>17296</v>
      </c>
    </row>
    <row r="766" spans="1:25" x14ac:dyDescent="0.3">
      <c r="A766">
        <v>38250</v>
      </c>
      <c r="B766" t="s">
        <v>17297</v>
      </c>
      <c r="C766" t="s">
        <v>17298</v>
      </c>
      <c r="D766" t="s">
        <v>17299</v>
      </c>
      <c r="E766" t="s">
        <v>17300</v>
      </c>
      <c r="F766" t="s">
        <v>17301</v>
      </c>
      <c r="G766" t="s">
        <v>17302</v>
      </c>
      <c r="H766" t="s">
        <v>17303</v>
      </c>
      <c r="I766" t="s">
        <v>17304</v>
      </c>
      <c r="J766" t="s">
        <v>17305</v>
      </c>
      <c r="K766" t="s">
        <v>17306</v>
      </c>
      <c r="L766" t="s">
        <v>17307</v>
      </c>
      <c r="M766" t="s">
        <v>17308</v>
      </c>
      <c r="N766" t="s">
        <v>17309</v>
      </c>
      <c r="O766">
        <f>-616.656722440908 -109.060734045345 -733.215877975288</f>
        <v>-1458.9333344615411</v>
      </c>
      <c r="P766">
        <f>-631.985428370474 -78.0771888186552 -418.587270135178</f>
        <v>-1128.6498873243072</v>
      </c>
      <c r="Q766">
        <f>-380.373966627851 -18.4845206408213 -446.559540518822</f>
        <v>-845.41802778749434</v>
      </c>
      <c r="R766" t="s">
        <v>17310</v>
      </c>
      <c r="S766" t="s">
        <v>17311</v>
      </c>
      <c r="T766" t="s">
        <v>17312</v>
      </c>
      <c r="U766" t="s">
        <v>17313</v>
      </c>
      <c r="V766" t="s">
        <v>17314</v>
      </c>
      <c r="W766" t="s">
        <v>17315</v>
      </c>
      <c r="X766" t="s">
        <v>17316</v>
      </c>
      <c r="Y766" t="s">
        <v>17317</v>
      </c>
    </row>
    <row r="767" spans="1:25" x14ac:dyDescent="0.3">
      <c r="A767">
        <v>38300</v>
      </c>
      <c r="B767" t="s">
        <v>17318</v>
      </c>
      <c r="C767" t="s">
        <v>17319</v>
      </c>
      <c r="D767" t="s">
        <v>17320</v>
      </c>
      <c r="E767" t="s">
        <v>17321</v>
      </c>
      <c r="F767" t="s">
        <v>17322</v>
      </c>
      <c r="G767" t="s">
        <v>17323</v>
      </c>
      <c r="H767" t="s">
        <v>17324</v>
      </c>
      <c r="I767" t="s">
        <v>17325</v>
      </c>
      <c r="J767" t="s">
        <v>17326</v>
      </c>
      <c r="K767" t="s">
        <v>17327</v>
      </c>
      <c r="L767" t="s">
        <v>17328</v>
      </c>
      <c r="M767" t="s">
        <v>17329</v>
      </c>
      <c r="N767" t="s">
        <v>17330</v>
      </c>
      <c r="O767">
        <f>-616.613982056326 -109.159842413615 -733.30878710641</f>
        <v>-1459.0826115763512</v>
      </c>
      <c r="P767">
        <f>-631.747562254805 -78.6876471535913 -418.620632371101</f>
        <v>-1129.0558417794973</v>
      </c>
      <c r="Q767">
        <f>-380.225046624975 -18.6945568224303 -446.537135373019</f>
        <v>-845.45673882042433</v>
      </c>
      <c r="R767" t="s">
        <v>17331</v>
      </c>
      <c r="S767" t="s">
        <v>17332</v>
      </c>
      <c r="T767" t="s">
        <v>17333</v>
      </c>
      <c r="U767" t="s">
        <v>17334</v>
      </c>
      <c r="V767" t="s">
        <v>17335</v>
      </c>
      <c r="W767" t="s">
        <v>17336</v>
      </c>
      <c r="X767" t="s">
        <v>17337</v>
      </c>
      <c r="Y767" t="s">
        <v>17338</v>
      </c>
    </row>
    <row r="768" spans="1:25" x14ac:dyDescent="0.3">
      <c r="A768">
        <v>38350</v>
      </c>
      <c r="B768" t="s">
        <v>17339</v>
      </c>
      <c r="C768" t="s">
        <v>17340</v>
      </c>
      <c r="D768" t="s">
        <v>17341</v>
      </c>
      <c r="E768" t="s">
        <v>17342</v>
      </c>
      <c r="F768" t="s">
        <v>17343</v>
      </c>
      <c r="G768" t="s">
        <v>17344</v>
      </c>
      <c r="H768" t="s">
        <v>17345</v>
      </c>
      <c r="I768" t="s">
        <v>17346</v>
      </c>
      <c r="J768" t="s">
        <v>17347</v>
      </c>
      <c r="K768" t="s">
        <v>17348</v>
      </c>
      <c r="L768" t="s">
        <v>17349</v>
      </c>
      <c r="M768" t="s">
        <v>17350</v>
      </c>
      <c r="N768" t="s">
        <v>17351</v>
      </c>
      <c r="O768">
        <f>-616.328436555207 -110.065672498282 -733.356764593436</f>
        <v>-1459.7508736469249</v>
      </c>
      <c r="P768">
        <f>-631.742405008438 -79.9236392251358 -418.650385871648</f>
        <v>-1130.3164301052218</v>
      </c>
      <c r="Q768">
        <f>-380.269937163362 -19.7694054768462 -446.669995583515</f>
        <v>-846.70933822372319</v>
      </c>
      <c r="R768" t="s">
        <v>17352</v>
      </c>
      <c r="S768" t="s">
        <v>17353</v>
      </c>
      <c r="T768" t="s">
        <v>17354</v>
      </c>
      <c r="U768" t="s">
        <v>17355</v>
      </c>
      <c r="V768" t="s">
        <v>17356</v>
      </c>
      <c r="W768" t="s">
        <v>17357</v>
      </c>
      <c r="X768" t="s">
        <v>17358</v>
      </c>
      <c r="Y768" t="s">
        <v>17359</v>
      </c>
    </row>
    <row r="769" spans="1:25" x14ac:dyDescent="0.3">
      <c r="A769">
        <v>38400</v>
      </c>
      <c r="B769" t="s">
        <v>17360</v>
      </c>
      <c r="C769" t="s">
        <v>17361</v>
      </c>
      <c r="D769" t="s">
        <v>17362</v>
      </c>
      <c r="E769" t="s">
        <v>17363</v>
      </c>
      <c r="F769" t="s">
        <v>17364</v>
      </c>
      <c r="G769" t="s">
        <v>17365</v>
      </c>
      <c r="H769" t="s">
        <v>17366</v>
      </c>
      <c r="I769" t="s">
        <v>17367</v>
      </c>
      <c r="J769" t="s">
        <v>17368</v>
      </c>
      <c r="K769" t="s">
        <v>17369</v>
      </c>
      <c r="L769" t="s">
        <v>17370</v>
      </c>
      <c r="M769" t="s">
        <v>17371</v>
      </c>
      <c r="N769" t="s">
        <v>17372</v>
      </c>
      <c r="O769">
        <f>-615.92302891464 -110.7094472439 -733.34971642727</f>
        <v>-1459.98219258581</v>
      </c>
      <c r="P769">
        <f>-631.47179467306 -80.5497740282612 -418.651765023995</f>
        <v>-1130.6733337253163</v>
      </c>
      <c r="Q769">
        <f>-379.973737212913 -20.5383206892648 -446.747956706652</f>
        <v>-847.26001460882981</v>
      </c>
      <c r="R769" t="s">
        <v>17373</v>
      </c>
      <c r="S769" t="s">
        <v>17374</v>
      </c>
      <c r="T769" t="s">
        <v>17375</v>
      </c>
      <c r="U769" t="s">
        <v>17376</v>
      </c>
      <c r="V769" t="s">
        <v>17377</v>
      </c>
      <c r="W769" t="s">
        <v>17378</v>
      </c>
      <c r="X769" t="s">
        <v>17379</v>
      </c>
      <c r="Y769" t="s">
        <v>17380</v>
      </c>
    </row>
    <row r="770" spans="1:25" x14ac:dyDescent="0.3">
      <c r="A770">
        <v>38450</v>
      </c>
      <c r="B770" t="s">
        <v>17381</v>
      </c>
      <c r="C770" t="s">
        <v>17382</v>
      </c>
      <c r="D770" t="s">
        <v>17383</v>
      </c>
      <c r="E770" t="s">
        <v>17384</v>
      </c>
      <c r="F770" t="s">
        <v>17385</v>
      </c>
      <c r="G770" t="s">
        <v>17386</v>
      </c>
      <c r="H770" t="s">
        <v>17387</v>
      </c>
      <c r="I770" t="s">
        <v>17388</v>
      </c>
      <c r="J770" t="s">
        <v>17389</v>
      </c>
      <c r="K770" t="s">
        <v>17390</v>
      </c>
      <c r="L770" t="s">
        <v>17391</v>
      </c>
      <c r="M770" t="s">
        <v>17392</v>
      </c>
      <c r="N770" t="s">
        <v>17393</v>
      </c>
      <c r="O770">
        <f>-615.501560226899 -111.200927479216 -733.351590202907</f>
        <v>-1460.054077909022</v>
      </c>
      <c r="P770">
        <f>-631.030158774451 -81.1133313694761 -418.6457417859</f>
        <v>-1130.7892319298271</v>
      </c>
      <c r="Q770">
        <f>-379.516082419864 -21.1714316825264 -446.747270851768</f>
        <v>-847.43478495415843</v>
      </c>
      <c r="R770" t="s">
        <v>17394</v>
      </c>
      <c r="S770" t="s">
        <v>17395</v>
      </c>
      <c r="T770" t="s">
        <v>17396</v>
      </c>
      <c r="U770" t="s">
        <v>17397</v>
      </c>
      <c r="V770" t="s">
        <v>17398</v>
      </c>
      <c r="W770" t="s">
        <v>17399</v>
      </c>
      <c r="X770" t="s">
        <v>17400</v>
      </c>
      <c r="Y770" t="s">
        <v>17401</v>
      </c>
    </row>
    <row r="771" spans="1:25" x14ac:dyDescent="0.3">
      <c r="A771">
        <v>38500</v>
      </c>
      <c r="B771" t="s">
        <v>17402</v>
      </c>
      <c r="C771" t="s">
        <v>17403</v>
      </c>
      <c r="D771" t="s">
        <v>17404</v>
      </c>
      <c r="E771" t="s">
        <v>17405</v>
      </c>
      <c r="F771" t="s">
        <v>17406</v>
      </c>
      <c r="G771" t="s">
        <v>17407</v>
      </c>
      <c r="H771" t="s">
        <v>17408</v>
      </c>
      <c r="I771" t="s">
        <v>17409</v>
      </c>
      <c r="J771" t="s">
        <v>17410</v>
      </c>
      <c r="K771" t="s">
        <v>17411</v>
      </c>
      <c r="L771" t="s">
        <v>17412</v>
      </c>
      <c r="M771" t="s">
        <v>17413</v>
      </c>
      <c r="N771" t="s">
        <v>17414</v>
      </c>
      <c r="O771">
        <f>-615.082572420312 -111.342885862779 -733.616535425102</f>
        <v>-1460.0419937081929</v>
      </c>
      <c r="P771">
        <f>-630.36831408789 -81.5504904080913 -418.870791479602</f>
        <v>-1130.7895959755833</v>
      </c>
      <c r="Q771">
        <f>-378.980405015843 -21.1699708520949 -447.16128045916</f>
        <v>-847.31165632709792</v>
      </c>
      <c r="R771" t="s">
        <v>17415</v>
      </c>
      <c r="S771" t="s">
        <v>17416</v>
      </c>
      <c r="T771" t="s">
        <v>17417</v>
      </c>
      <c r="U771" t="s">
        <v>17418</v>
      </c>
      <c r="V771" t="s">
        <v>17419</v>
      </c>
      <c r="W771" t="s">
        <v>17420</v>
      </c>
      <c r="X771" t="s">
        <v>17421</v>
      </c>
      <c r="Y771" t="s">
        <v>17422</v>
      </c>
    </row>
    <row r="772" spans="1:25" x14ac:dyDescent="0.3">
      <c r="A772">
        <v>38550</v>
      </c>
      <c r="B772" t="s">
        <v>17423</v>
      </c>
      <c r="C772" t="s">
        <v>17424</v>
      </c>
      <c r="D772" t="s">
        <v>17425</v>
      </c>
      <c r="E772" t="s">
        <v>17426</v>
      </c>
      <c r="F772" t="s">
        <v>17427</v>
      </c>
      <c r="G772" t="s">
        <v>17428</v>
      </c>
      <c r="H772" t="s">
        <v>17429</v>
      </c>
      <c r="I772" t="s">
        <v>17430</v>
      </c>
      <c r="J772" t="s">
        <v>17431</v>
      </c>
      <c r="K772" t="s">
        <v>17432</v>
      </c>
      <c r="L772" t="s">
        <v>17433</v>
      </c>
      <c r="M772" t="s">
        <v>17434</v>
      </c>
      <c r="N772" t="s">
        <v>17435</v>
      </c>
      <c r="O772">
        <f>-614.660838637134 -110.792284016615 -734.230816273876</f>
        <v>-1459.6839389276251</v>
      </c>
      <c r="P772">
        <f>-630.03091089266 -81.7597580126935 -419.418001946729</f>
        <v>-1131.2086708520826</v>
      </c>
      <c r="Q772">
        <f>-378.906920207905 -20.2732722546186 -447.670553430081</f>
        <v>-846.85074589260455</v>
      </c>
      <c r="R772" t="s">
        <v>17436</v>
      </c>
      <c r="S772" t="s">
        <v>17437</v>
      </c>
      <c r="T772" t="s">
        <v>17438</v>
      </c>
      <c r="U772" t="s">
        <v>17439</v>
      </c>
      <c r="V772" t="s">
        <v>17440</v>
      </c>
      <c r="W772" t="s">
        <v>17441</v>
      </c>
      <c r="X772" t="s">
        <v>17442</v>
      </c>
      <c r="Y772" t="s">
        <v>17443</v>
      </c>
    </row>
    <row r="773" spans="1:25" x14ac:dyDescent="0.3">
      <c r="A773">
        <v>38600</v>
      </c>
      <c r="B773" t="s">
        <v>17444</v>
      </c>
      <c r="C773" t="s">
        <v>17445</v>
      </c>
      <c r="D773" t="s">
        <v>17446</v>
      </c>
      <c r="E773" t="s">
        <v>17447</v>
      </c>
      <c r="F773" t="s">
        <v>17448</v>
      </c>
      <c r="G773" t="s">
        <v>17449</v>
      </c>
      <c r="H773" t="s">
        <v>17450</v>
      </c>
      <c r="I773" t="s">
        <v>17451</v>
      </c>
      <c r="J773" t="s">
        <v>17452</v>
      </c>
      <c r="K773" t="s">
        <v>17453</v>
      </c>
      <c r="L773" t="s">
        <v>17454</v>
      </c>
      <c r="M773" t="s">
        <v>17455</v>
      </c>
      <c r="N773" t="s">
        <v>17456</v>
      </c>
      <c r="O773">
        <f>-614.566161022775 -110.20526068888 -734.605468425231</f>
        <v>-1459.376890136886</v>
      </c>
      <c r="P773">
        <f>-629.797715417981 -81.7279047748998 -419.735313227536</f>
        <v>-1131.2609334204167</v>
      </c>
      <c r="Q773">
        <f>-378.829278562695 -19.7249777218634 -448.240743056495</f>
        <v>-846.79499934105343</v>
      </c>
      <c r="R773" t="s">
        <v>17457</v>
      </c>
      <c r="S773" t="s">
        <v>17458</v>
      </c>
      <c r="T773" t="s">
        <v>17459</v>
      </c>
      <c r="U773" t="s">
        <v>17460</v>
      </c>
      <c r="V773" t="s">
        <v>17461</v>
      </c>
      <c r="W773" t="s">
        <v>17462</v>
      </c>
      <c r="X773" t="s">
        <v>17463</v>
      </c>
      <c r="Y773" t="s">
        <v>17464</v>
      </c>
    </row>
    <row r="774" spans="1:25" x14ac:dyDescent="0.3">
      <c r="A774">
        <v>38650</v>
      </c>
      <c r="B774" t="s">
        <v>17465</v>
      </c>
      <c r="C774" t="s">
        <v>17466</v>
      </c>
      <c r="D774" t="s">
        <v>17467</v>
      </c>
      <c r="E774" t="s">
        <v>17468</v>
      </c>
      <c r="F774" t="s">
        <v>17469</v>
      </c>
      <c r="G774" t="s">
        <v>17470</v>
      </c>
      <c r="H774" t="s">
        <v>17471</v>
      </c>
      <c r="I774" t="s">
        <v>17472</v>
      </c>
      <c r="J774" t="s">
        <v>17473</v>
      </c>
      <c r="K774" t="s">
        <v>17474</v>
      </c>
      <c r="L774" t="s">
        <v>17475</v>
      </c>
      <c r="M774" t="s">
        <v>17476</v>
      </c>
      <c r="N774" t="s">
        <v>17477</v>
      </c>
      <c r="O774">
        <f>-614.661113333542 -108.634260028283 -735.638111310742</f>
        <v>-1458.9334846725669</v>
      </c>
      <c r="P774">
        <f>-629.634769679617 -81.1448262300549 -420.66781226518</f>
        <v>-1131.4474081748519</v>
      </c>
      <c r="Q774">
        <f>-378.726013455833 -18.8717044488805 -449.109086943017</f>
        <v>-846.70680484773061</v>
      </c>
      <c r="R774" t="s">
        <v>17478</v>
      </c>
      <c r="S774" t="s">
        <v>17479</v>
      </c>
      <c r="T774" t="s">
        <v>17480</v>
      </c>
      <c r="U774" t="s">
        <v>17481</v>
      </c>
      <c r="V774" t="s">
        <v>17482</v>
      </c>
      <c r="W774" t="s">
        <v>17483</v>
      </c>
      <c r="X774" t="s">
        <v>17484</v>
      </c>
      <c r="Y774" t="s">
        <v>17485</v>
      </c>
    </row>
    <row r="775" spans="1:25" x14ac:dyDescent="0.3">
      <c r="A775">
        <v>38700</v>
      </c>
      <c r="B775" t="s">
        <v>17486</v>
      </c>
      <c r="C775" t="s">
        <v>17487</v>
      </c>
      <c r="D775" t="s">
        <v>17488</v>
      </c>
      <c r="E775" t="s">
        <v>17489</v>
      </c>
      <c r="F775" t="s">
        <v>17490</v>
      </c>
      <c r="G775" t="s">
        <v>17491</v>
      </c>
      <c r="H775" t="s">
        <v>17492</v>
      </c>
      <c r="I775" t="s">
        <v>17493</v>
      </c>
      <c r="J775" t="s">
        <v>17494</v>
      </c>
      <c r="K775" t="s">
        <v>17495</v>
      </c>
      <c r="L775" t="s">
        <v>17496</v>
      </c>
      <c r="M775" t="s">
        <v>17497</v>
      </c>
      <c r="N775" t="s">
        <v>17498</v>
      </c>
      <c r="O775">
        <f>-614.791932771596 -108.323534207487 -736.212811300788</f>
        <v>-1459.328278279871</v>
      </c>
      <c r="P775">
        <f>-629.856679940727 -81.5041900375455 -421.189004587835</f>
        <v>-1132.5498745661075</v>
      </c>
      <c r="Q775">
        <f>-378.983463755238 -19.0244256301285 -449.490274786954</f>
        <v>-847.49816417232046</v>
      </c>
      <c r="R775" t="s">
        <v>17499</v>
      </c>
      <c r="S775" t="s">
        <v>17500</v>
      </c>
      <c r="T775" t="s">
        <v>17501</v>
      </c>
      <c r="U775" t="s">
        <v>17502</v>
      </c>
      <c r="V775" t="s">
        <v>17503</v>
      </c>
      <c r="W775" t="s">
        <v>17504</v>
      </c>
      <c r="X775" t="s">
        <v>17505</v>
      </c>
      <c r="Y775" t="s">
        <v>17506</v>
      </c>
    </row>
    <row r="776" spans="1:25" x14ac:dyDescent="0.3">
      <c r="A776">
        <v>38750</v>
      </c>
      <c r="B776" t="s">
        <v>17507</v>
      </c>
      <c r="C776" t="s">
        <v>17508</v>
      </c>
      <c r="D776" t="s">
        <v>17509</v>
      </c>
      <c r="E776" t="s">
        <v>17510</v>
      </c>
      <c r="F776" t="s">
        <v>17511</v>
      </c>
      <c r="G776" t="s">
        <v>17512</v>
      </c>
      <c r="H776" t="s">
        <v>17513</v>
      </c>
      <c r="I776" t="s">
        <v>17514</v>
      </c>
      <c r="J776" t="s">
        <v>17515</v>
      </c>
      <c r="K776" t="s">
        <v>17516</v>
      </c>
      <c r="L776" t="s">
        <v>17517</v>
      </c>
      <c r="M776" t="s">
        <v>17518</v>
      </c>
      <c r="N776" t="s">
        <v>17519</v>
      </c>
      <c r="O776">
        <f>-615.065070640055 -108.543488040055 -736.971060002186</f>
        <v>-1460.5796186822959</v>
      </c>
      <c r="P776">
        <f>-629.921496619495 -83.1496332995723 -421.819300293571</f>
        <v>-1134.8904302126384</v>
      </c>
      <c r="Q776">
        <f>-379.094337740097 -20.5032807296731 -450.161026261245</f>
        <v>-849.75864473101512</v>
      </c>
      <c r="R776" t="s">
        <v>17520</v>
      </c>
      <c r="S776" t="s">
        <v>17521</v>
      </c>
      <c r="T776" t="s">
        <v>17522</v>
      </c>
      <c r="U776" t="s">
        <v>17523</v>
      </c>
      <c r="V776" t="s">
        <v>17524</v>
      </c>
      <c r="W776" t="s">
        <v>17525</v>
      </c>
      <c r="X776" t="s">
        <v>17526</v>
      </c>
      <c r="Y776" t="s">
        <v>17527</v>
      </c>
    </row>
    <row r="777" spans="1:25" x14ac:dyDescent="0.3">
      <c r="A777">
        <v>38800</v>
      </c>
      <c r="B777" t="s">
        <v>17528</v>
      </c>
      <c r="C777" t="s">
        <v>17529</v>
      </c>
      <c r="D777" t="s">
        <v>17530</v>
      </c>
      <c r="E777" t="s">
        <v>17531</v>
      </c>
      <c r="F777" t="s">
        <v>17532</v>
      </c>
      <c r="G777" t="s">
        <v>17533</v>
      </c>
      <c r="H777" t="s">
        <v>17534</v>
      </c>
      <c r="I777" t="s">
        <v>17535</v>
      </c>
      <c r="J777" t="s">
        <v>17536</v>
      </c>
      <c r="K777" t="s">
        <v>17537</v>
      </c>
      <c r="L777" t="s">
        <v>17538</v>
      </c>
      <c r="M777" t="s">
        <v>17539</v>
      </c>
      <c r="N777" t="s">
        <v>17540</v>
      </c>
      <c r="O777">
        <f>-614.806906984507 -108.634964253524 -737.142914489703</f>
        <v>-1460.584785727734</v>
      </c>
      <c r="P777">
        <f>-629.539662809537 -83.8587295902692 -421.936169074661</f>
        <v>-1135.3345614744671</v>
      </c>
      <c r="Q777">
        <f>-378.680124134188 -21.3983803136026 -450.400454496799</f>
        <v>-850.47895894458964</v>
      </c>
      <c r="R777" t="s">
        <v>17541</v>
      </c>
      <c r="S777" t="s">
        <v>17542</v>
      </c>
      <c r="T777" t="s">
        <v>17543</v>
      </c>
      <c r="U777" t="s">
        <v>17544</v>
      </c>
      <c r="V777" t="s">
        <v>17545</v>
      </c>
      <c r="W777" t="s">
        <v>17546</v>
      </c>
      <c r="X777" t="s">
        <v>17547</v>
      </c>
      <c r="Y777" t="s">
        <v>17548</v>
      </c>
    </row>
    <row r="778" spans="1:25" x14ac:dyDescent="0.3">
      <c r="A778">
        <v>38850</v>
      </c>
      <c r="B778" t="s">
        <v>17549</v>
      </c>
      <c r="C778" t="s">
        <v>17550</v>
      </c>
      <c r="D778" t="s">
        <v>17551</v>
      </c>
      <c r="E778" t="s">
        <v>17552</v>
      </c>
      <c r="F778" t="s">
        <v>17553</v>
      </c>
      <c r="G778" t="s">
        <v>17554</v>
      </c>
      <c r="H778" t="s">
        <v>17555</v>
      </c>
      <c r="I778" t="s">
        <v>17556</v>
      </c>
      <c r="J778" t="s">
        <v>17557</v>
      </c>
      <c r="K778" t="s">
        <v>17558</v>
      </c>
      <c r="L778" t="s">
        <v>17559</v>
      </c>
      <c r="M778" t="s">
        <v>17560</v>
      </c>
      <c r="N778" t="s">
        <v>17561</v>
      </c>
      <c r="O778">
        <f>-614.449925448672 -109.784224916316 -737.22947577007</f>
        <v>-1461.4636261350581</v>
      </c>
      <c r="P778">
        <f>-629.099096841416 -85.470027755137 -421.982848908534</f>
        <v>-1136.5519735050871</v>
      </c>
      <c r="Q778">
        <f>-378.166142391243 -23.3591230079494 -450.565060643102</f>
        <v>-852.09032604229446</v>
      </c>
      <c r="R778" t="s">
        <v>17562</v>
      </c>
      <c r="S778" t="s">
        <v>17563</v>
      </c>
      <c r="T778" t="s">
        <v>17564</v>
      </c>
      <c r="U778" t="s">
        <v>17565</v>
      </c>
      <c r="V778" t="s">
        <v>17566</v>
      </c>
      <c r="W778" t="s">
        <v>17567</v>
      </c>
      <c r="X778" t="s">
        <v>17568</v>
      </c>
      <c r="Y778" t="s">
        <v>17569</v>
      </c>
    </row>
    <row r="779" spans="1:25" x14ac:dyDescent="0.3">
      <c r="A779">
        <v>38900</v>
      </c>
      <c r="B779" t="s">
        <v>17570</v>
      </c>
      <c r="C779" t="s">
        <v>17571</v>
      </c>
      <c r="D779" t="s">
        <v>17572</v>
      </c>
      <c r="E779" t="s">
        <v>17573</v>
      </c>
      <c r="F779" t="s">
        <v>17574</v>
      </c>
      <c r="G779" t="s">
        <v>17575</v>
      </c>
      <c r="H779" t="s">
        <v>17576</v>
      </c>
      <c r="I779" t="s">
        <v>17577</v>
      </c>
      <c r="J779" t="s">
        <v>17578</v>
      </c>
      <c r="K779" t="s">
        <v>17579</v>
      </c>
      <c r="L779" t="s">
        <v>17580</v>
      </c>
      <c r="M779" t="s">
        <v>17581</v>
      </c>
      <c r="N779" t="s">
        <v>17582</v>
      </c>
      <c r="O779">
        <f>-614.685777481607 -110.480633873529 -737.143876144014</f>
        <v>-1462.31028749915</v>
      </c>
      <c r="P779">
        <f>-629.112502743158 -86.6237296829972 -421.852072615031</f>
        <v>-1137.5883050411862</v>
      </c>
      <c r="Q779">
        <f>-378.113747103558 -24.6234629850943 -450.094952152489</f>
        <v>-852.8321622411413</v>
      </c>
      <c r="R779" t="s">
        <v>17583</v>
      </c>
      <c r="S779" t="s">
        <v>17584</v>
      </c>
      <c r="T779" t="s">
        <v>17585</v>
      </c>
      <c r="U779" t="s">
        <v>17586</v>
      </c>
      <c r="V779" t="s">
        <v>17587</v>
      </c>
      <c r="W779" t="s">
        <v>17588</v>
      </c>
      <c r="X779" t="s">
        <v>17589</v>
      </c>
      <c r="Y779" t="s">
        <v>17590</v>
      </c>
    </row>
    <row r="780" spans="1:25" x14ac:dyDescent="0.3">
      <c r="A780">
        <v>38950</v>
      </c>
      <c r="B780" t="s">
        <v>17591</v>
      </c>
      <c r="C780" t="s">
        <v>17592</v>
      </c>
      <c r="D780" t="s">
        <v>17593</v>
      </c>
      <c r="E780" t="s">
        <v>17594</v>
      </c>
      <c r="F780" t="s">
        <v>17595</v>
      </c>
      <c r="G780" t="s">
        <v>17596</v>
      </c>
      <c r="H780" t="s">
        <v>17597</v>
      </c>
      <c r="I780" t="s">
        <v>17598</v>
      </c>
      <c r="J780" t="s">
        <v>17599</v>
      </c>
      <c r="K780" t="s">
        <v>17600</v>
      </c>
      <c r="L780" t="s">
        <v>17601</v>
      </c>
      <c r="M780" t="s">
        <v>17602</v>
      </c>
      <c r="N780" t="s">
        <v>17603</v>
      </c>
      <c r="O780">
        <f>-615.442301600817 -112.068700515461 -736.843596556397</f>
        <v>-1464.3545986726749</v>
      </c>
      <c r="P780">
        <f>-629.866491559874 -87.8315477485151 -421.580835490358</f>
        <v>-1139.278874798747</v>
      </c>
      <c r="Q780">
        <f>-378.527339520935 -26.7379883471493 -448.751842506282</f>
        <v>-854.01717037436629</v>
      </c>
      <c r="R780" t="s">
        <v>17604</v>
      </c>
      <c r="S780" t="s">
        <v>17605</v>
      </c>
      <c r="T780" t="s">
        <v>17606</v>
      </c>
      <c r="U780" t="s">
        <v>17607</v>
      </c>
      <c r="V780" t="s">
        <v>17608</v>
      </c>
      <c r="W780" t="s">
        <v>17609</v>
      </c>
      <c r="X780" t="s">
        <v>17610</v>
      </c>
      <c r="Y780" t="s">
        <v>17611</v>
      </c>
    </row>
    <row r="781" spans="1:25" x14ac:dyDescent="0.3">
      <c r="A781">
        <v>39000</v>
      </c>
      <c r="B781" t="s">
        <v>17612</v>
      </c>
      <c r="C781" t="s">
        <v>17613</v>
      </c>
      <c r="D781" t="s">
        <v>17614</v>
      </c>
      <c r="E781" t="s">
        <v>17615</v>
      </c>
      <c r="F781" t="s">
        <v>17616</v>
      </c>
      <c r="G781" t="s">
        <v>17617</v>
      </c>
      <c r="H781" t="s">
        <v>17618</v>
      </c>
      <c r="I781" t="s">
        <v>17619</v>
      </c>
      <c r="J781" t="s">
        <v>17620</v>
      </c>
      <c r="K781" t="s">
        <v>17621</v>
      </c>
      <c r="L781" t="s">
        <v>17622</v>
      </c>
      <c r="M781" t="s">
        <v>17623</v>
      </c>
      <c r="N781" t="s">
        <v>17624</v>
      </c>
      <c r="O781">
        <f>-615.468226545368 -112.579787903059 -736.7357678681</f>
        <v>-1464.7837823165269</v>
      </c>
      <c r="P781">
        <f>-630.157056362975 -87.8283028985098 -421.525188077656</f>
        <v>-1139.5105473391409</v>
      </c>
      <c r="Q781">
        <f>-378.590324445361 -27.3519421796975 -447.960513866414</f>
        <v>-853.90278049147241</v>
      </c>
      <c r="R781" t="s">
        <v>17625</v>
      </c>
      <c r="S781" t="s">
        <v>17626</v>
      </c>
      <c r="T781" t="s">
        <v>17627</v>
      </c>
      <c r="U781" t="s">
        <v>17628</v>
      </c>
      <c r="V781" t="s">
        <v>17629</v>
      </c>
      <c r="W781" t="s">
        <v>17630</v>
      </c>
      <c r="X781" t="s">
        <v>17631</v>
      </c>
      <c r="Y781" t="s">
        <v>17632</v>
      </c>
    </row>
    <row r="782" spans="1:25" x14ac:dyDescent="0.3">
      <c r="A782">
        <v>39050</v>
      </c>
      <c r="B782" t="s">
        <v>17633</v>
      </c>
      <c r="C782" t="s">
        <v>17634</v>
      </c>
      <c r="D782" t="s">
        <v>17635</v>
      </c>
      <c r="E782" t="s">
        <v>17636</v>
      </c>
      <c r="F782" t="s">
        <v>17637</v>
      </c>
      <c r="G782" t="s">
        <v>17638</v>
      </c>
      <c r="H782" t="s">
        <v>17639</v>
      </c>
      <c r="I782" t="s">
        <v>17640</v>
      </c>
      <c r="J782" t="s">
        <v>17641</v>
      </c>
      <c r="K782" t="s">
        <v>17642</v>
      </c>
      <c r="L782" t="s">
        <v>17643</v>
      </c>
      <c r="M782" t="s">
        <v>17644</v>
      </c>
      <c r="N782" t="s">
        <v>17645</v>
      </c>
      <c r="O782">
        <f>-615.612645845988 -114.218864722072 -736.298384317394</f>
        <v>-1466.1298948854542</v>
      </c>
      <c r="P782">
        <f>-631.153809201593 -88.4036614869902 -421.213868161274</f>
        <v>-1140.7713388498573</v>
      </c>
      <c r="Q782">
        <f>-379.133191595419 -28.9197941478353 -445.490314309543</f>
        <v>-853.54330005279735</v>
      </c>
      <c r="R782" t="s">
        <v>17646</v>
      </c>
      <c r="S782" t="s">
        <v>17647</v>
      </c>
      <c r="T782" t="s">
        <v>17648</v>
      </c>
      <c r="U782" t="s">
        <v>17649</v>
      </c>
      <c r="V782" t="s">
        <v>17650</v>
      </c>
      <c r="W782" t="s">
        <v>17651</v>
      </c>
      <c r="X782" t="s">
        <v>17652</v>
      </c>
      <c r="Y782" t="s">
        <v>17653</v>
      </c>
    </row>
    <row r="783" spans="1:25" x14ac:dyDescent="0.3">
      <c r="A783">
        <v>39100</v>
      </c>
      <c r="B783" t="s">
        <v>17654</v>
      </c>
      <c r="C783" t="s">
        <v>17655</v>
      </c>
      <c r="D783" t="s">
        <v>17656</v>
      </c>
      <c r="E783" t="s">
        <v>17657</v>
      </c>
      <c r="F783" t="s">
        <v>17658</v>
      </c>
      <c r="G783" t="s">
        <v>17659</v>
      </c>
      <c r="H783" t="s">
        <v>17660</v>
      </c>
      <c r="I783" t="s">
        <v>17661</v>
      </c>
      <c r="J783" t="s">
        <v>17662</v>
      </c>
      <c r="K783" t="s">
        <v>17663</v>
      </c>
      <c r="L783" t="s">
        <v>17664</v>
      </c>
      <c r="M783" t="s">
        <v>17665</v>
      </c>
      <c r="N783" t="s">
        <v>17666</v>
      </c>
      <c r="O783">
        <f>-615.671058204542 -115.060721194871 -736.028008280799</f>
        <v>-1466.759787680212</v>
      </c>
      <c r="P783">
        <f>-631.466502764134 -88.6800172808376 -421.002904825184</f>
        <v>-1141.1494248701556</v>
      </c>
      <c r="Q783">
        <f>-379.405360721415 -29.1281310846479 -444.684595077373</f>
        <v>-853.21808688343594</v>
      </c>
      <c r="R783" t="s">
        <v>17667</v>
      </c>
      <c r="S783" t="s">
        <v>17668</v>
      </c>
      <c r="T783" t="s">
        <v>17669</v>
      </c>
      <c r="U783" t="s">
        <v>17670</v>
      </c>
      <c r="V783" t="s">
        <v>17671</v>
      </c>
      <c r="W783" t="s">
        <v>17672</v>
      </c>
      <c r="X783" t="s">
        <v>17673</v>
      </c>
      <c r="Y783" t="s">
        <v>17674</v>
      </c>
    </row>
    <row r="784" spans="1:25" x14ac:dyDescent="0.3">
      <c r="A784">
        <v>39150</v>
      </c>
      <c r="B784" t="s">
        <v>17675</v>
      </c>
      <c r="C784" t="s">
        <v>17676</v>
      </c>
      <c r="D784" t="s">
        <v>17677</v>
      </c>
      <c r="E784" t="s">
        <v>17678</v>
      </c>
      <c r="F784" t="s">
        <v>17679</v>
      </c>
      <c r="G784" t="s">
        <v>17680</v>
      </c>
      <c r="H784" t="s">
        <v>17681</v>
      </c>
      <c r="I784" t="s">
        <v>17682</v>
      </c>
      <c r="J784" t="s">
        <v>17683</v>
      </c>
      <c r="K784" t="s">
        <v>17684</v>
      </c>
      <c r="L784" t="s">
        <v>17685</v>
      </c>
      <c r="M784" t="s">
        <v>17686</v>
      </c>
      <c r="N784" t="s">
        <v>17687</v>
      </c>
      <c r="O784">
        <f>-615.842758962151 -116.269538950468 -735.599319753175</f>
        <v>-1467.7116176657942</v>
      </c>
      <c r="P784">
        <f>-632.055782262987 -89.0941985937215 -420.663084527337</f>
        <v>-1141.8130653840453</v>
      </c>
      <c r="Q784">
        <f>-380.14803145333 -28.5137822381868 -443.346998908229</f>
        <v>-852.00881259974585</v>
      </c>
      <c r="R784" t="s">
        <v>17688</v>
      </c>
      <c r="S784" t="s">
        <v>17689</v>
      </c>
      <c r="T784" t="s">
        <v>17690</v>
      </c>
      <c r="U784" t="s">
        <v>17691</v>
      </c>
      <c r="V784" t="s">
        <v>17692</v>
      </c>
      <c r="W784" t="s">
        <v>17693</v>
      </c>
      <c r="X784" t="s">
        <v>17694</v>
      </c>
      <c r="Y784" t="s">
        <v>17695</v>
      </c>
    </row>
    <row r="785" spans="1:25" x14ac:dyDescent="0.3">
      <c r="A785">
        <v>39200</v>
      </c>
      <c r="B785" t="s">
        <v>17696</v>
      </c>
      <c r="C785" t="s">
        <v>17697</v>
      </c>
      <c r="D785" t="s">
        <v>17698</v>
      </c>
      <c r="E785" t="s">
        <v>17699</v>
      </c>
      <c r="F785" t="s">
        <v>17700</v>
      </c>
      <c r="G785" t="s">
        <v>17701</v>
      </c>
      <c r="H785" t="s">
        <v>17702</v>
      </c>
      <c r="I785" t="s">
        <v>17703</v>
      </c>
      <c r="J785" t="s">
        <v>17704</v>
      </c>
      <c r="K785" t="s">
        <v>17705</v>
      </c>
      <c r="L785" t="s">
        <v>17706</v>
      </c>
      <c r="M785" t="s">
        <v>17707</v>
      </c>
      <c r="N785" t="s">
        <v>17708</v>
      </c>
      <c r="O785">
        <f>-615.734998852121 -116.404178327677 -735.516959488515</f>
        <v>-1467.6561366683129</v>
      </c>
      <c r="P785">
        <f>-632.161448141187 -88.9711270240292 -420.614013009248</f>
        <v>-1141.7465881744643</v>
      </c>
      <c r="Q785">
        <f>-380.460840158273 -27.4396395006988 -443.036433639765</f>
        <v>-850.93691329873673</v>
      </c>
      <c r="R785" t="s">
        <v>17709</v>
      </c>
      <c r="S785" t="s">
        <v>17710</v>
      </c>
      <c r="T785" t="s">
        <v>17711</v>
      </c>
      <c r="U785" t="s">
        <v>17712</v>
      </c>
      <c r="V785" t="s">
        <v>17713</v>
      </c>
      <c r="W785" t="s">
        <v>17714</v>
      </c>
      <c r="X785" t="s">
        <v>17715</v>
      </c>
      <c r="Y785" t="s">
        <v>17716</v>
      </c>
    </row>
    <row r="786" spans="1:25" x14ac:dyDescent="0.3">
      <c r="A786">
        <v>39250</v>
      </c>
      <c r="B786" t="s">
        <v>17717</v>
      </c>
      <c r="C786" t="s">
        <v>17718</v>
      </c>
      <c r="D786" t="s">
        <v>17719</v>
      </c>
      <c r="E786" t="s">
        <v>17720</v>
      </c>
      <c r="F786" t="s">
        <v>17721</v>
      </c>
      <c r="G786" t="s">
        <v>17722</v>
      </c>
      <c r="H786" t="s">
        <v>17723</v>
      </c>
      <c r="I786" t="s">
        <v>17724</v>
      </c>
      <c r="J786" t="s">
        <v>17725</v>
      </c>
      <c r="K786" t="s">
        <v>17726</v>
      </c>
      <c r="L786" t="s">
        <v>17727</v>
      </c>
      <c r="M786" t="s">
        <v>17728</v>
      </c>
      <c r="N786" t="s">
        <v>17729</v>
      </c>
      <c r="O786">
        <f>-614.907799899822 -117.080432882108 -735.335086961815</f>
        <v>-1467.3233197437448</v>
      </c>
      <c r="P786">
        <f>-632.05974573474 -89.4594228171241 -420.487497185177</f>
        <v>-1142.0066657370412</v>
      </c>
      <c r="Q786">
        <f>-380.949695525177 -25.4063228743304 -442.465170278656</f>
        <v>-848.82118867816337</v>
      </c>
      <c r="R786" t="s">
        <v>17730</v>
      </c>
      <c r="S786" t="s">
        <v>17731</v>
      </c>
      <c r="T786" t="s">
        <v>17732</v>
      </c>
      <c r="U786" t="s">
        <v>17733</v>
      </c>
      <c r="V786" t="s">
        <v>17734</v>
      </c>
      <c r="W786" t="s">
        <v>17735</v>
      </c>
      <c r="X786" t="s">
        <v>17736</v>
      </c>
      <c r="Y786" t="s">
        <v>17737</v>
      </c>
    </row>
    <row r="787" spans="1:25" x14ac:dyDescent="0.3">
      <c r="A787">
        <v>39300</v>
      </c>
      <c r="B787" t="s">
        <v>17738</v>
      </c>
      <c r="C787" t="s">
        <v>17739</v>
      </c>
      <c r="D787" t="s">
        <v>17740</v>
      </c>
      <c r="E787" t="s">
        <v>17741</v>
      </c>
      <c r="F787" t="s">
        <v>17742</v>
      </c>
      <c r="G787" t="s">
        <v>17743</v>
      </c>
      <c r="H787" t="s">
        <v>17744</v>
      </c>
      <c r="I787" t="s">
        <v>17745</v>
      </c>
      <c r="J787" t="s">
        <v>17746</v>
      </c>
      <c r="K787" t="s">
        <v>17747</v>
      </c>
      <c r="L787" t="s">
        <v>17748</v>
      </c>
      <c r="M787" t="s">
        <v>17749</v>
      </c>
      <c r="N787" t="s">
        <v>17750</v>
      </c>
      <c r="O787">
        <f>-614.377215524788 -117.561472617212 -735.185369589156</f>
        <v>-1467.124057731156</v>
      </c>
      <c r="P787">
        <f>-631.723418639836 -90.1207724579602 -420.332577095912</f>
        <v>-1142.1767681937083</v>
      </c>
      <c r="Q787">
        <f>-380.947375062263 -24.7149661698123 -442.139166390576</f>
        <v>-847.80150762265134</v>
      </c>
      <c r="R787" t="s">
        <v>17751</v>
      </c>
      <c r="S787" t="s">
        <v>17752</v>
      </c>
      <c r="T787" t="s">
        <v>17753</v>
      </c>
      <c r="U787" t="s">
        <v>17754</v>
      </c>
      <c r="V787" t="s">
        <v>17755</v>
      </c>
      <c r="W787" t="s">
        <v>17756</v>
      </c>
      <c r="X787" t="s">
        <v>17757</v>
      </c>
      <c r="Y787" t="s">
        <v>17758</v>
      </c>
    </row>
    <row r="788" spans="1:25" x14ac:dyDescent="0.3">
      <c r="A788">
        <v>39350</v>
      </c>
      <c r="B788" t="s">
        <v>17759</v>
      </c>
      <c r="C788" t="s">
        <v>17760</v>
      </c>
      <c r="D788" t="s">
        <v>17761</v>
      </c>
      <c r="E788" t="s">
        <v>17762</v>
      </c>
      <c r="F788" t="s">
        <v>17763</v>
      </c>
      <c r="G788" t="s">
        <v>17764</v>
      </c>
      <c r="H788" t="s">
        <v>17765</v>
      </c>
      <c r="I788" t="s">
        <v>17766</v>
      </c>
      <c r="J788" t="s">
        <v>17767</v>
      </c>
      <c r="K788" t="s">
        <v>17768</v>
      </c>
      <c r="L788" t="s">
        <v>17769</v>
      </c>
      <c r="M788" t="s">
        <v>17770</v>
      </c>
      <c r="N788" t="s">
        <v>17771</v>
      </c>
      <c r="O788">
        <f>-613.332383901065 -118.429283271536 -734.854065475204</f>
        <v>-1466.6157326478051</v>
      </c>
      <c r="P788">
        <f>-630.904555573934 -91.301423909501 -419.986595214609</f>
        <v>-1142.1925746980439</v>
      </c>
      <c r="Q788">
        <f>-380.62431171323 -23.9254665412704 -441.488690672378</f>
        <v>-846.03846892687841</v>
      </c>
      <c r="R788" t="s">
        <v>17772</v>
      </c>
      <c r="S788" t="s">
        <v>17773</v>
      </c>
      <c r="T788" t="s">
        <v>17774</v>
      </c>
      <c r="U788" t="s">
        <v>17775</v>
      </c>
      <c r="V788" t="s">
        <v>17776</v>
      </c>
      <c r="W788" t="s">
        <v>17777</v>
      </c>
      <c r="X788" t="s">
        <v>17778</v>
      </c>
      <c r="Y788" t="s">
        <v>17779</v>
      </c>
    </row>
    <row r="789" spans="1:25" x14ac:dyDescent="0.3">
      <c r="A789">
        <v>39400</v>
      </c>
      <c r="B789" t="s">
        <v>17780</v>
      </c>
      <c r="C789" t="s">
        <v>17781</v>
      </c>
      <c r="D789" t="s">
        <v>17782</v>
      </c>
      <c r="E789" t="s">
        <v>17783</v>
      </c>
      <c r="F789" t="s">
        <v>17784</v>
      </c>
      <c r="G789" t="s">
        <v>17785</v>
      </c>
      <c r="H789" t="s">
        <v>17786</v>
      </c>
      <c r="I789" t="s">
        <v>17787</v>
      </c>
      <c r="J789" t="s">
        <v>17788</v>
      </c>
      <c r="K789" t="s">
        <v>17789</v>
      </c>
      <c r="L789" t="s">
        <v>17790</v>
      </c>
      <c r="M789" t="s">
        <v>17791</v>
      </c>
      <c r="N789" t="s">
        <v>17792</v>
      </c>
      <c r="O789">
        <f>-612.947330849064 -118.536773457165 -734.792442683356</f>
        <v>-1466.2765469895849</v>
      </c>
      <c r="P789">
        <f>-630.426638937644 -91.7686334743703 -419.889134835523</f>
        <v>-1142.0844072475375</v>
      </c>
      <c r="Q789">
        <f>-380.351141171668 -23.5661834867987 -441.166854473611</f>
        <v>-845.08417913207768</v>
      </c>
      <c r="R789" t="s">
        <v>17793</v>
      </c>
      <c r="S789" t="s">
        <v>17794</v>
      </c>
      <c r="T789" t="s">
        <v>17795</v>
      </c>
      <c r="U789" t="s">
        <v>17796</v>
      </c>
      <c r="V789" t="s">
        <v>17797</v>
      </c>
      <c r="W789" t="s">
        <v>17798</v>
      </c>
      <c r="X789" t="s">
        <v>17799</v>
      </c>
      <c r="Y789" t="s">
        <v>17800</v>
      </c>
    </row>
    <row r="790" spans="1:25" x14ac:dyDescent="0.3">
      <c r="A790">
        <v>39450</v>
      </c>
      <c r="B790" t="s">
        <v>17801</v>
      </c>
      <c r="C790" t="s">
        <v>17802</v>
      </c>
      <c r="D790" t="s">
        <v>17803</v>
      </c>
      <c r="E790" t="s">
        <v>17804</v>
      </c>
      <c r="F790" t="s">
        <v>17805</v>
      </c>
      <c r="G790" t="s">
        <v>17806</v>
      </c>
      <c r="H790" t="s">
        <v>17807</v>
      </c>
      <c r="I790" t="s">
        <v>17808</v>
      </c>
      <c r="J790" t="s">
        <v>17809</v>
      </c>
      <c r="K790" t="s">
        <v>17810</v>
      </c>
      <c r="L790" t="s">
        <v>17811</v>
      </c>
      <c r="M790" t="s">
        <v>17812</v>
      </c>
      <c r="N790" t="s">
        <v>17813</v>
      </c>
      <c r="O790">
        <f>-612.31405089791 -118.356650636237 -734.901562713251</f>
        <v>-1465.5722642473979</v>
      </c>
      <c r="P790">
        <f>-629.715353034084 -91.8547696866874 -419.971510558462</f>
        <v>-1141.5416332792333</v>
      </c>
      <c r="Q790">
        <f>-379.794372485926 -23.0440397473328 -441.104976539582</f>
        <v>-843.94338877284076</v>
      </c>
      <c r="R790" t="s">
        <v>17814</v>
      </c>
      <c r="S790" t="s">
        <v>17815</v>
      </c>
      <c r="T790" t="s">
        <v>17816</v>
      </c>
      <c r="U790" t="s">
        <v>17817</v>
      </c>
      <c r="V790" t="s">
        <v>17818</v>
      </c>
      <c r="W790" t="s">
        <v>17819</v>
      </c>
      <c r="X790" t="s">
        <v>17820</v>
      </c>
      <c r="Y790" t="s">
        <v>17821</v>
      </c>
    </row>
    <row r="791" spans="1:25" x14ac:dyDescent="0.3">
      <c r="A791">
        <v>39500</v>
      </c>
      <c r="B791" t="s">
        <v>17822</v>
      </c>
      <c r="C791" t="s">
        <v>17823</v>
      </c>
      <c r="D791" t="s">
        <v>17824</v>
      </c>
      <c r="E791" t="s">
        <v>17825</v>
      </c>
      <c r="F791" t="s">
        <v>17826</v>
      </c>
      <c r="G791" t="s">
        <v>17827</v>
      </c>
      <c r="H791" t="s">
        <v>17828</v>
      </c>
      <c r="I791" t="s">
        <v>17829</v>
      </c>
      <c r="J791" t="s">
        <v>17830</v>
      </c>
      <c r="K791" t="s">
        <v>17831</v>
      </c>
      <c r="L791" t="s">
        <v>17832</v>
      </c>
      <c r="M791" t="s">
        <v>17833</v>
      </c>
      <c r="N791" t="s">
        <v>17834</v>
      </c>
      <c r="O791">
        <f>-611.17841504539 -118.565073931311 -734.951673579287</f>
        <v>-1464.695162555988</v>
      </c>
      <c r="P791">
        <f>-628.977140496318 -92.6298510262706 -419.996589081442</f>
        <v>-1141.6035806040306</v>
      </c>
      <c r="Q791">
        <f>-379.187399017753 -23.2057004712602 -440.671024182036</f>
        <v>-843.06412367104917</v>
      </c>
      <c r="R791" t="s">
        <v>17835</v>
      </c>
      <c r="S791" t="s">
        <v>17836</v>
      </c>
      <c r="T791" t="s">
        <v>17837</v>
      </c>
      <c r="U791" t="s">
        <v>17838</v>
      </c>
      <c r="V791">
        <f>-612.251356925607 -0.327959324418529 -241.281550531284</f>
        <v>-853.86086678130948</v>
      </c>
      <c r="W791" t="s">
        <v>17839</v>
      </c>
      <c r="X791" t="s">
        <v>17840</v>
      </c>
      <c r="Y791" t="s">
        <v>17841</v>
      </c>
    </row>
    <row r="792" spans="1:25" x14ac:dyDescent="0.3">
      <c r="A792">
        <v>39550</v>
      </c>
      <c r="B792" t="s">
        <v>17842</v>
      </c>
      <c r="C792" t="s">
        <v>17843</v>
      </c>
      <c r="D792" t="s">
        <v>17844</v>
      </c>
      <c r="E792" t="s">
        <v>17845</v>
      </c>
      <c r="F792" t="s">
        <v>17846</v>
      </c>
      <c r="G792" t="s">
        <v>17847</v>
      </c>
      <c r="H792" t="s">
        <v>17848</v>
      </c>
      <c r="I792" t="s">
        <v>17849</v>
      </c>
      <c r="J792" t="s">
        <v>17850</v>
      </c>
      <c r="K792" t="s">
        <v>17851</v>
      </c>
      <c r="L792" t="s">
        <v>17852</v>
      </c>
      <c r="M792" t="s">
        <v>17853</v>
      </c>
      <c r="N792" t="s">
        <v>17854</v>
      </c>
      <c r="O792">
        <f>-609.644022795431 -118.698269708264 -735.009368314164</f>
        <v>-1463.3516608178591</v>
      </c>
      <c r="P792">
        <f>-627.663390854942 -92.9995898927672 -420.047275079507</f>
        <v>-1140.7102558272163</v>
      </c>
      <c r="Q792">
        <f>-377.796194657571 -23.9272809701082 -440.962633350567</f>
        <v>-842.68610897824624</v>
      </c>
      <c r="R792" t="s">
        <v>17855</v>
      </c>
      <c r="S792" t="s">
        <v>17856</v>
      </c>
      <c r="T792" t="s">
        <v>17857</v>
      </c>
      <c r="U792" t="s">
        <v>17858</v>
      </c>
      <c r="V792">
        <f>-611.807947191607 -0.878647372860236 -241.126598066999</f>
        <v>-853.81319263146622</v>
      </c>
      <c r="W792" t="s">
        <v>17859</v>
      </c>
      <c r="X792" t="s">
        <v>17860</v>
      </c>
      <c r="Y792" t="s">
        <v>17861</v>
      </c>
    </row>
    <row r="793" spans="1:25" x14ac:dyDescent="0.3">
      <c r="A793">
        <v>39600</v>
      </c>
      <c r="B793" t="s">
        <v>17862</v>
      </c>
      <c r="C793" t="s">
        <v>17863</v>
      </c>
      <c r="D793" t="s">
        <v>17864</v>
      </c>
      <c r="E793" t="s">
        <v>17865</v>
      </c>
      <c r="F793" t="s">
        <v>17866</v>
      </c>
      <c r="G793" t="s">
        <v>17867</v>
      </c>
      <c r="H793" t="s">
        <v>17868</v>
      </c>
      <c r="I793" t="s">
        <v>17869</v>
      </c>
      <c r="J793" t="s">
        <v>17870</v>
      </c>
      <c r="K793" t="s">
        <v>17871</v>
      </c>
      <c r="L793" t="s">
        <v>17872</v>
      </c>
      <c r="M793" t="s">
        <v>17873</v>
      </c>
      <c r="N793" t="s">
        <v>17874</v>
      </c>
      <c r="O793">
        <f>-609.25958512103 -118.756275968863 -735.044844241038</f>
        <v>-1463.0607053309309</v>
      </c>
      <c r="P793">
        <f>-627.322991127636 -93.1925795741206 -420.074373714673</f>
        <v>-1140.5899444164297</v>
      </c>
      <c r="Q793">
        <f>-377.368494045656 -24.4597507031138 -441.065012421774</f>
        <v>-842.89325717054385</v>
      </c>
      <c r="R793" t="s">
        <v>17875</v>
      </c>
      <c r="S793" t="s">
        <v>17876</v>
      </c>
      <c r="T793" t="s">
        <v>17877</v>
      </c>
      <c r="U793" t="s">
        <v>17878</v>
      </c>
      <c r="V793">
        <f>-611.611274636155 -1.14068759493806 -241.07148088631</f>
        <v>-853.82344311740314</v>
      </c>
      <c r="W793" t="s">
        <v>17879</v>
      </c>
      <c r="X793" t="s">
        <v>17880</v>
      </c>
      <c r="Y793" t="s">
        <v>17881</v>
      </c>
    </row>
    <row r="794" spans="1:25" x14ac:dyDescent="0.3">
      <c r="A794">
        <v>39650</v>
      </c>
      <c r="B794" t="s">
        <v>17882</v>
      </c>
      <c r="C794" t="s">
        <v>17883</v>
      </c>
      <c r="D794" t="s">
        <v>17884</v>
      </c>
      <c r="E794" t="s">
        <v>17885</v>
      </c>
      <c r="F794" t="s">
        <v>17886</v>
      </c>
      <c r="G794" t="s">
        <v>17887</v>
      </c>
      <c r="H794" t="s">
        <v>17888</v>
      </c>
      <c r="I794" t="s">
        <v>17889</v>
      </c>
      <c r="J794" t="s">
        <v>17890</v>
      </c>
      <c r="K794" t="s">
        <v>17891</v>
      </c>
      <c r="L794" t="s">
        <v>17892</v>
      </c>
      <c r="M794" t="s">
        <v>17893</v>
      </c>
      <c r="N794" t="s">
        <v>17894</v>
      </c>
      <c r="O794">
        <f>-608.526304799085 -119.189240015981 -735.135405221556</f>
        <v>-1462.850950036622</v>
      </c>
      <c r="P794">
        <f>-626.79728245716 -93.6471426341676 -420.175237159206</f>
        <v>-1140.6196622505336</v>
      </c>
      <c r="Q794">
        <f>-376.686128284395 -25.5052405009004 -441.225956382833</f>
        <v>-843.4173251681284</v>
      </c>
      <c r="R794" t="s">
        <v>17895</v>
      </c>
      <c r="S794" t="s">
        <v>17896</v>
      </c>
      <c r="T794" t="s">
        <v>17897</v>
      </c>
      <c r="U794" t="s">
        <v>17898</v>
      </c>
      <c r="V794">
        <f>-611.364757727767 -1.76440107456784 -240.985084279287</f>
        <v>-854.11424308162179</v>
      </c>
      <c r="W794" t="s">
        <v>17899</v>
      </c>
      <c r="X794" t="s">
        <v>17900</v>
      </c>
      <c r="Y794" t="s">
        <v>17901</v>
      </c>
    </row>
    <row r="795" spans="1:25" x14ac:dyDescent="0.3">
      <c r="A795">
        <v>39700</v>
      </c>
      <c r="B795" t="s">
        <v>17902</v>
      </c>
      <c r="C795" t="s">
        <v>17903</v>
      </c>
      <c r="D795" t="s">
        <v>17904</v>
      </c>
      <c r="E795" t="s">
        <v>17905</v>
      </c>
      <c r="F795" t="s">
        <v>17906</v>
      </c>
      <c r="G795" t="s">
        <v>17907</v>
      </c>
      <c r="H795" t="s">
        <v>17908</v>
      </c>
      <c r="I795" t="s">
        <v>17909</v>
      </c>
      <c r="J795" t="s">
        <v>17910</v>
      </c>
      <c r="K795" t="s">
        <v>17911</v>
      </c>
      <c r="L795" t="s">
        <v>17912</v>
      </c>
      <c r="M795" t="s">
        <v>17913</v>
      </c>
      <c r="N795" t="s">
        <v>17914</v>
      </c>
      <c r="O795">
        <f>-608.370838478007 -119.397945719265 -735.132932466836</f>
        <v>-1462.9017166641079</v>
      </c>
      <c r="P795">
        <f>-626.859241546818 -93.8889242400955 -420.182686739851</f>
        <v>-1140.9308525267645</v>
      </c>
      <c r="Q795">
        <f>-376.644278555423 -26.0160064481119 -440.865633859128</f>
        <v>-843.52591886266293</v>
      </c>
      <c r="R795" t="s">
        <v>17915</v>
      </c>
      <c r="S795" t="s">
        <v>17916</v>
      </c>
      <c r="T795" t="s">
        <v>17917</v>
      </c>
      <c r="U795" t="s">
        <v>17918</v>
      </c>
      <c r="V795">
        <f>-611.294146924207 -2.05022904027967 -240.938665767054</f>
        <v>-854.28304173154061</v>
      </c>
      <c r="W795" t="s">
        <v>17919</v>
      </c>
      <c r="X795" t="s">
        <v>17920</v>
      </c>
      <c r="Y795" t="s">
        <v>17921</v>
      </c>
    </row>
    <row r="796" spans="1:25" x14ac:dyDescent="0.3">
      <c r="A796">
        <v>39750</v>
      </c>
      <c r="B796" t="s">
        <v>17922</v>
      </c>
      <c r="C796" t="s">
        <v>17923</v>
      </c>
      <c r="D796" t="s">
        <v>17924</v>
      </c>
      <c r="E796" t="s">
        <v>17925</v>
      </c>
      <c r="F796" t="s">
        <v>17926</v>
      </c>
      <c r="G796" t="s">
        <v>17927</v>
      </c>
      <c r="H796" t="s">
        <v>17928</v>
      </c>
      <c r="I796" t="s">
        <v>17929</v>
      </c>
      <c r="J796" t="s">
        <v>17930</v>
      </c>
      <c r="K796" t="s">
        <v>17931</v>
      </c>
      <c r="L796" t="s">
        <v>17932</v>
      </c>
      <c r="M796" t="s">
        <v>17933</v>
      </c>
      <c r="N796" t="s">
        <v>17934</v>
      </c>
      <c r="O796">
        <f>-607.655183898996 -119.840406633137 -735.131620757335</f>
        <v>-1462.6272112894681</v>
      </c>
      <c r="P796">
        <f>-627.058965746633 -94.250063488836 -420.243010537568</f>
        <v>-1141.552039773037</v>
      </c>
      <c r="Q796">
        <f>-376.801546859904 -26.3234256029511 -440.224133853458</f>
        <v>-843.34910631631305</v>
      </c>
      <c r="R796" t="s">
        <v>17935</v>
      </c>
      <c r="S796" t="s">
        <v>17936</v>
      </c>
      <c r="T796" t="s">
        <v>17937</v>
      </c>
      <c r="U796" t="s">
        <v>17938</v>
      </c>
      <c r="V796">
        <f>-611.128313171075 -2.44080914397759 -240.911100161427</f>
        <v>-854.48022247647964</v>
      </c>
      <c r="W796" t="s">
        <v>17939</v>
      </c>
      <c r="X796" t="s">
        <v>17940</v>
      </c>
      <c r="Y796" t="s">
        <v>17941</v>
      </c>
    </row>
    <row r="797" spans="1:25" x14ac:dyDescent="0.3">
      <c r="A797">
        <v>39800</v>
      </c>
      <c r="B797" t="s">
        <v>17942</v>
      </c>
      <c r="C797" t="s">
        <v>17943</v>
      </c>
      <c r="D797" t="s">
        <v>17944</v>
      </c>
      <c r="E797" t="s">
        <v>17945</v>
      </c>
      <c r="F797" t="s">
        <v>17946</v>
      </c>
      <c r="G797" t="s">
        <v>17947</v>
      </c>
      <c r="H797" t="s">
        <v>17948</v>
      </c>
      <c r="I797" t="s">
        <v>17949</v>
      </c>
      <c r="J797" t="s">
        <v>17950</v>
      </c>
      <c r="K797" t="s">
        <v>17951</v>
      </c>
      <c r="L797" t="s">
        <v>17952</v>
      </c>
      <c r="M797" t="s">
        <v>17953</v>
      </c>
      <c r="N797" t="s">
        <v>17954</v>
      </c>
      <c r="O797">
        <f>-607.231546790035 -120.103912180004 -735.063016806036</f>
        <v>-1462.398475776075</v>
      </c>
      <c r="P797">
        <f>-627.186464172808 -94.3362396417453 -420.223378292553</f>
        <v>-1141.7460821071063</v>
      </c>
      <c r="Q797">
        <f>-376.931912954529 -26.2952429400359 -439.847736186381</f>
        <v>-843.07489208094592</v>
      </c>
      <c r="R797" t="s">
        <v>17955</v>
      </c>
      <c r="S797" t="s">
        <v>17956</v>
      </c>
      <c r="T797" t="s">
        <v>17957</v>
      </c>
      <c r="U797" t="s">
        <v>17958</v>
      </c>
      <c r="V797">
        <f>-611.060952022645 -2.66984161452369 -240.854836116058</f>
        <v>-854.58562975322661</v>
      </c>
      <c r="W797" t="s">
        <v>17959</v>
      </c>
      <c r="X797" t="s">
        <v>17960</v>
      </c>
      <c r="Y797" t="s">
        <v>17961</v>
      </c>
    </row>
    <row r="798" spans="1:25" x14ac:dyDescent="0.3">
      <c r="A798">
        <v>39850</v>
      </c>
      <c r="B798" t="s">
        <v>17962</v>
      </c>
      <c r="C798" t="s">
        <v>17963</v>
      </c>
      <c r="D798" t="s">
        <v>17964</v>
      </c>
      <c r="E798" t="s">
        <v>17965</v>
      </c>
      <c r="F798" t="s">
        <v>17966</v>
      </c>
      <c r="G798" t="s">
        <v>17967</v>
      </c>
      <c r="H798" t="s">
        <v>17968</v>
      </c>
      <c r="I798" t="s">
        <v>17969</v>
      </c>
      <c r="J798" t="s">
        <v>17970</v>
      </c>
      <c r="K798" t="s">
        <v>17971</v>
      </c>
      <c r="L798" t="s">
        <v>17972</v>
      </c>
      <c r="M798" t="s">
        <v>17973</v>
      </c>
      <c r="N798" t="s">
        <v>17974</v>
      </c>
      <c r="O798">
        <f>-606.605710082857 -120.457805796165 -734.921320058261</f>
        <v>-1461.9848359372829</v>
      </c>
      <c r="P798">
        <f>-627.201108702303 -94.5031552449341 -420.138274414557</f>
        <v>-1141.8425383617941</v>
      </c>
      <c r="Q798">
        <f>-377.018413465935 -26.0577125731375 -439.266241982348</f>
        <v>-842.3423680214205</v>
      </c>
      <c r="R798" t="s">
        <v>17975</v>
      </c>
      <c r="S798" t="s">
        <v>17976</v>
      </c>
      <c r="T798" t="s">
        <v>17977</v>
      </c>
      <c r="U798" t="s">
        <v>17978</v>
      </c>
      <c r="V798">
        <f>-610.969097857345 -2.96983326183232 -240.794641118384</f>
        <v>-854.73357223756125</v>
      </c>
      <c r="W798" t="s">
        <v>17979</v>
      </c>
      <c r="X798" t="s">
        <v>17980</v>
      </c>
      <c r="Y798" t="s">
        <v>17981</v>
      </c>
    </row>
    <row r="799" spans="1:25" x14ac:dyDescent="0.3">
      <c r="A799">
        <v>39900</v>
      </c>
      <c r="B799" t="s">
        <v>17982</v>
      </c>
      <c r="C799" t="s">
        <v>17983</v>
      </c>
      <c r="D799" t="s">
        <v>17984</v>
      </c>
      <c r="E799" t="s">
        <v>17985</v>
      </c>
      <c r="F799" t="s">
        <v>17986</v>
      </c>
      <c r="G799" t="s">
        <v>17987</v>
      </c>
      <c r="H799" t="s">
        <v>17988</v>
      </c>
      <c r="I799" t="s">
        <v>17989</v>
      </c>
      <c r="J799" t="s">
        <v>17990</v>
      </c>
      <c r="K799" t="s">
        <v>17991</v>
      </c>
      <c r="L799" t="s">
        <v>17992</v>
      </c>
      <c r="M799" t="s">
        <v>17993</v>
      </c>
      <c r="N799" t="s">
        <v>17994</v>
      </c>
      <c r="O799">
        <f>-606.411571825381 -120.716164057261 -734.830893852777</f>
        <v>-1461.958629735419</v>
      </c>
      <c r="P799">
        <f>-627.187956603401 -94.6782825172171 -420.066770376379</f>
        <v>-1141.9330094969971</v>
      </c>
      <c r="Q799">
        <f>-377.028352582896 -26.1150215869256 -439.075481392637</f>
        <v>-842.21885556245866</v>
      </c>
      <c r="R799" t="s">
        <v>17995</v>
      </c>
      <c r="S799" t="s">
        <v>17996</v>
      </c>
      <c r="T799" t="s">
        <v>17997</v>
      </c>
      <c r="U799" t="s">
        <v>17998</v>
      </c>
      <c r="V799">
        <f>-610.937574572132 -3.19515631742452 -240.766294480081</f>
        <v>-854.89902536963757</v>
      </c>
      <c r="W799" t="s">
        <v>17999</v>
      </c>
      <c r="X799" t="s">
        <v>18000</v>
      </c>
      <c r="Y799" t="s">
        <v>18001</v>
      </c>
    </row>
    <row r="800" spans="1:25" x14ac:dyDescent="0.3">
      <c r="A800">
        <v>39950</v>
      </c>
      <c r="B800" t="s">
        <v>18002</v>
      </c>
      <c r="C800" t="s">
        <v>18003</v>
      </c>
      <c r="D800" t="s">
        <v>18004</v>
      </c>
      <c r="E800" t="s">
        <v>18005</v>
      </c>
      <c r="F800" t="s">
        <v>18006</v>
      </c>
      <c r="G800" t="s">
        <v>18007</v>
      </c>
      <c r="H800" t="s">
        <v>18008</v>
      </c>
      <c r="I800" t="s">
        <v>18009</v>
      </c>
      <c r="J800" t="s">
        <v>18010</v>
      </c>
      <c r="K800" t="s">
        <v>18011</v>
      </c>
      <c r="L800" t="s">
        <v>18012</v>
      </c>
      <c r="M800" t="s">
        <v>18013</v>
      </c>
      <c r="N800" t="s">
        <v>18014</v>
      </c>
      <c r="O800">
        <f>-605.878300709899 -120.985131865859 -734.765498714891</f>
        <v>-1461.628931290649</v>
      </c>
      <c r="P800">
        <f>-626.772638093306 -94.9205145358441 -420.011101926903</f>
        <v>-1141.704254556053</v>
      </c>
      <c r="Q800">
        <f>-376.583959617289 -26.4040439667803 -438.804281237548</f>
        <v>-841.79228482161739</v>
      </c>
      <c r="R800" t="s">
        <v>18015</v>
      </c>
      <c r="S800" t="s">
        <v>18016</v>
      </c>
      <c r="T800" t="s">
        <v>18017</v>
      </c>
      <c r="U800" t="s">
        <v>18018</v>
      </c>
      <c r="V800">
        <f>-610.842870738955 -3.4247347082527 -240.714149238898</f>
        <v>-854.98175468610566</v>
      </c>
      <c r="W800" t="s">
        <v>18019</v>
      </c>
      <c r="X800" t="s">
        <v>18020</v>
      </c>
      <c r="Y800" t="s">
        <v>18021</v>
      </c>
    </row>
    <row r="801" spans="1:25" x14ac:dyDescent="0.3">
      <c r="A801">
        <v>40000</v>
      </c>
      <c r="B801" t="s">
        <v>18022</v>
      </c>
      <c r="C801" t="s">
        <v>18023</v>
      </c>
      <c r="D801" t="s">
        <v>18024</v>
      </c>
      <c r="E801" t="s">
        <v>18025</v>
      </c>
      <c r="F801" t="s">
        <v>18026</v>
      </c>
      <c r="G801" t="s">
        <v>18027</v>
      </c>
      <c r="H801" t="s">
        <v>18028</v>
      </c>
      <c r="I801" t="s">
        <v>18029</v>
      </c>
      <c r="J801" t="s">
        <v>18030</v>
      </c>
      <c r="K801" t="s">
        <v>18031</v>
      </c>
      <c r="L801" t="s">
        <v>18032</v>
      </c>
      <c r="M801" t="s">
        <v>18033</v>
      </c>
      <c r="N801" t="s">
        <v>18034</v>
      </c>
      <c r="O801">
        <f>-605.682180843244 -121.091445076694 -734.740188448628</f>
        <v>-1461.513814368566</v>
      </c>
      <c r="P801">
        <f>-626.653875872275 -95.0603897187232 -419.988378328946</f>
        <v>-1141.7026439199442</v>
      </c>
      <c r="Q801">
        <f>-376.454335308774 -26.5659631581008 -438.717131755371</f>
        <v>-841.73743022224585</v>
      </c>
      <c r="R801" t="s">
        <v>18035</v>
      </c>
      <c r="S801" t="s">
        <v>18036</v>
      </c>
      <c r="T801" t="s">
        <v>18037</v>
      </c>
      <c r="U801" t="s">
        <v>18038</v>
      </c>
      <c r="V801">
        <f>-610.757394436832 -3.58301501890174 -240.687369615487</f>
        <v>-855.02777907122072</v>
      </c>
      <c r="W801" t="s">
        <v>18039</v>
      </c>
      <c r="X801" t="s">
        <v>18040</v>
      </c>
      <c r="Y801" t="s">
        <v>18041</v>
      </c>
    </row>
    <row r="802" spans="1:25" x14ac:dyDescent="0.3">
      <c r="A802">
        <v>40050</v>
      </c>
      <c r="B802" t="s">
        <v>18042</v>
      </c>
      <c r="C802" t="s">
        <v>18043</v>
      </c>
      <c r="D802" t="s">
        <v>18044</v>
      </c>
      <c r="E802" t="s">
        <v>18045</v>
      </c>
      <c r="F802" t="s">
        <v>18046</v>
      </c>
      <c r="G802" t="s">
        <v>18047</v>
      </c>
      <c r="H802" t="s">
        <v>18048</v>
      </c>
      <c r="I802" t="s">
        <v>18049</v>
      </c>
      <c r="J802" t="s">
        <v>18050</v>
      </c>
      <c r="K802" t="s">
        <v>18051</v>
      </c>
      <c r="L802" t="s">
        <v>18052</v>
      </c>
      <c r="M802" t="s">
        <v>18053</v>
      </c>
      <c r="N802" t="s">
        <v>18054</v>
      </c>
      <c r="O802">
        <f>-605.274966117751 -121.327265342196 -734.767232183632</f>
        <v>-1461.3694636435789</v>
      </c>
      <c r="P802">
        <f>-626.266809856647 -95.3458114960904 -420.01252968649</f>
        <v>-1141.6251510392274</v>
      </c>
      <c r="Q802">
        <f>-376.030413755373 -27.0242211974809 -438.879593042038</f>
        <v>-841.9342279948919</v>
      </c>
      <c r="R802" t="s">
        <v>18055</v>
      </c>
      <c r="S802" t="s">
        <v>18056</v>
      </c>
      <c r="T802" t="s">
        <v>18057</v>
      </c>
      <c r="U802" t="s">
        <v>18058</v>
      </c>
      <c r="V802">
        <f>-610.409219443961 -3.65812024489215 -240.682551764702</f>
        <v>-854.74989145355516</v>
      </c>
      <c r="W802" t="s">
        <v>18059</v>
      </c>
      <c r="X802" t="s">
        <v>18060</v>
      </c>
      <c r="Y802" t="s">
        <v>18061</v>
      </c>
    </row>
    <row r="803" spans="1:25" x14ac:dyDescent="0.3">
      <c r="A803">
        <v>40100</v>
      </c>
      <c r="B803" t="s">
        <v>18062</v>
      </c>
      <c r="C803" t="s">
        <v>18063</v>
      </c>
      <c r="D803" t="s">
        <v>18064</v>
      </c>
      <c r="E803" t="s">
        <v>18065</v>
      </c>
      <c r="F803" t="s">
        <v>18066</v>
      </c>
      <c r="G803" t="s">
        <v>18067</v>
      </c>
      <c r="H803" t="s">
        <v>18068</v>
      </c>
      <c r="I803" t="s">
        <v>18069</v>
      </c>
      <c r="J803" t="s">
        <v>18070</v>
      </c>
      <c r="K803" t="s">
        <v>18071</v>
      </c>
      <c r="L803" t="s">
        <v>18072</v>
      </c>
      <c r="M803" t="s">
        <v>18073</v>
      </c>
      <c r="N803" t="s">
        <v>18074</v>
      </c>
      <c r="O803">
        <f>-605.087520760961 -121.482508882752 -734.695461644714</f>
        <v>-1461.2654912884268</v>
      </c>
      <c r="P803">
        <f>-626.008689569262 -95.4531442094259 -419.940121973234</f>
        <v>-1141.4019557519218</v>
      </c>
      <c r="Q803">
        <f>-375.733181160434 -27.3248514073243 -438.985883118245</f>
        <v>-842.04391568600329</v>
      </c>
      <c r="R803" t="s">
        <v>18075</v>
      </c>
      <c r="S803" t="s">
        <v>18076</v>
      </c>
      <c r="T803" t="s">
        <v>18077</v>
      </c>
      <c r="U803" t="s">
        <v>18078</v>
      </c>
      <c r="V803">
        <f>-610.085706720341 -3.63604321855767 -240.649310202337</f>
        <v>-854.37106014123572</v>
      </c>
      <c r="W803" t="s">
        <v>18079</v>
      </c>
      <c r="X803" t="s">
        <v>18080</v>
      </c>
      <c r="Y803" t="s">
        <v>18081</v>
      </c>
    </row>
    <row r="804" spans="1:25" x14ac:dyDescent="0.3">
      <c r="A804">
        <v>40150</v>
      </c>
      <c r="B804" t="s">
        <v>18082</v>
      </c>
      <c r="C804" t="s">
        <v>18083</v>
      </c>
      <c r="D804" t="s">
        <v>18084</v>
      </c>
      <c r="E804" t="s">
        <v>18085</v>
      </c>
      <c r="F804" t="s">
        <v>18086</v>
      </c>
      <c r="G804" t="s">
        <v>18087</v>
      </c>
      <c r="H804" t="s">
        <v>18088</v>
      </c>
      <c r="I804" t="s">
        <v>18089</v>
      </c>
      <c r="J804" t="s">
        <v>18090</v>
      </c>
      <c r="K804" t="s">
        <v>18091</v>
      </c>
      <c r="L804" t="s">
        <v>18092</v>
      </c>
      <c r="M804" t="s">
        <v>18093</v>
      </c>
      <c r="N804" t="s">
        <v>18094</v>
      </c>
      <c r="O804">
        <f>-604.403881390483 -121.521811375525 -734.520823304114</f>
        <v>-1460.446516070122</v>
      </c>
      <c r="P804">
        <f>-624.925811704605 -95.366590568988 -419.749517528049</f>
        <v>-1140.0419198016421</v>
      </c>
      <c r="Q804">
        <f>-374.560861914156 -27.6811774549066 -439.195188652621</f>
        <v>-841.43722802168372</v>
      </c>
      <c r="R804" t="s">
        <v>18095</v>
      </c>
      <c r="S804" t="s">
        <v>18096</v>
      </c>
      <c r="T804" t="s">
        <v>18097</v>
      </c>
      <c r="U804" t="s">
        <v>18098</v>
      </c>
      <c r="V804">
        <f>-609.092592493704 -3.20196909741601 -240.591365702366</f>
        <v>-852.88592729348613</v>
      </c>
      <c r="W804" t="s">
        <v>18099</v>
      </c>
      <c r="X804" t="s">
        <v>18100</v>
      </c>
      <c r="Y804" t="s">
        <v>18101</v>
      </c>
    </row>
    <row r="805" spans="1:25" x14ac:dyDescent="0.3">
      <c r="A805">
        <v>40200</v>
      </c>
      <c r="B805" t="s">
        <v>18102</v>
      </c>
      <c r="C805" t="s">
        <v>18103</v>
      </c>
      <c r="D805" t="s">
        <v>18104</v>
      </c>
      <c r="E805" t="s">
        <v>18105</v>
      </c>
      <c r="F805" t="s">
        <v>18106</v>
      </c>
      <c r="G805" t="s">
        <v>18107</v>
      </c>
      <c r="H805" t="s">
        <v>18108</v>
      </c>
      <c r="I805" t="s">
        <v>18109</v>
      </c>
      <c r="J805" t="s">
        <v>18110</v>
      </c>
      <c r="K805" t="s">
        <v>18111</v>
      </c>
      <c r="L805" t="s">
        <v>18112</v>
      </c>
      <c r="M805" t="s">
        <v>18113</v>
      </c>
      <c r="N805" t="s">
        <v>18114</v>
      </c>
      <c r="O805">
        <f>-603.93169522159 -121.488137869517 -734.3727114145</f>
        <v>-1459.7925445056071</v>
      </c>
      <c r="P805">
        <f>-624.283586584871 -95.1764403524794 -419.603347568335</f>
        <v>-1139.0633745056855</v>
      </c>
      <c r="Q805">
        <f>-373.834234025995 -27.8407184207593 -439.176119940227</f>
        <v>-840.85107238698129</v>
      </c>
      <c r="R805" t="s">
        <v>18115</v>
      </c>
      <c r="S805" t="s">
        <v>18116</v>
      </c>
      <c r="T805" t="s">
        <v>18117</v>
      </c>
      <c r="U805" t="s">
        <v>18118</v>
      </c>
      <c r="V805">
        <f>-608.574939437284 -3.01732674001151 -240.542240970104</f>
        <v>-852.13450714739952</v>
      </c>
      <c r="W805" t="s">
        <v>18119</v>
      </c>
      <c r="X805" t="s">
        <v>18120</v>
      </c>
      <c r="Y805" t="s">
        <v>18121</v>
      </c>
    </row>
    <row r="806" spans="1:25" x14ac:dyDescent="0.3">
      <c r="A806">
        <v>40250</v>
      </c>
      <c r="B806" t="s">
        <v>18122</v>
      </c>
      <c r="C806" t="s">
        <v>18123</v>
      </c>
      <c r="D806" t="s">
        <v>18124</v>
      </c>
      <c r="E806" t="s">
        <v>18125</v>
      </c>
      <c r="F806" t="s">
        <v>18126</v>
      </c>
      <c r="G806" t="s">
        <v>18127</v>
      </c>
      <c r="H806" t="s">
        <v>18128</v>
      </c>
      <c r="I806" t="s">
        <v>18129</v>
      </c>
      <c r="J806" t="s">
        <v>18130</v>
      </c>
      <c r="K806" t="s">
        <v>18131</v>
      </c>
      <c r="L806" t="s">
        <v>18132</v>
      </c>
      <c r="M806" t="s">
        <v>18133</v>
      </c>
      <c r="N806" t="s">
        <v>18134</v>
      </c>
      <c r="O806">
        <f>-603.341090689216 -121.200354714536 -734.189978066621</f>
        <v>-1458.7314234703731</v>
      </c>
      <c r="P806">
        <f>-623.469026826199 -94.6470386515498 -419.426518618681</f>
        <v>-1137.5425840964297</v>
      </c>
      <c r="Q806">
        <f>-372.827619537993 -28.047601579015 -439.05877041213</f>
        <v>-839.93399152913798</v>
      </c>
      <c r="R806" t="s">
        <v>18135</v>
      </c>
      <c r="S806" t="s">
        <v>18136</v>
      </c>
      <c r="T806" t="s">
        <v>18137</v>
      </c>
      <c r="U806" t="s">
        <v>18138</v>
      </c>
      <c r="V806">
        <f>-607.597616423452 -2.56149247303616 -240.483664993391</f>
        <v>-850.64277388987921</v>
      </c>
      <c r="W806" t="s">
        <v>18139</v>
      </c>
      <c r="X806" t="s">
        <v>18140</v>
      </c>
      <c r="Y806" t="s">
        <v>18141</v>
      </c>
    </row>
    <row r="807" spans="1:25" x14ac:dyDescent="0.3">
      <c r="A807">
        <v>40300</v>
      </c>
      <c r="B807" t="s">
        <v>18142</v>
      </c>
      <c r="C807" t="s">
        <v>18143</v>
      </c>
      <c r="D807" t="s">
        <v>18144</v>
      </c>
      <c r="E807" t="s">
        <v>18145</v>
      </c>
      <c r="F807" t="s">
        <v>18146</v>
      </c>
      <c r="G807" t="s">
        <v>18147</v>
      </c>
      <c r="H807" t="s">
        <v>18148</v>
      </c>
      <c r="I807" t="s">
        <v>18149</v>
      </c>
      <c r="J807" t="s">
        <v>18150</v>
      </c>
      <c r="K807" t="s">
        <v>18151</v>
      </c>
      <c r="L807" t="s">
        <v>18152</v>
      </c>
      <c r="M807" t="s">
        <v>18153</v>
      </c>
      <c r="N807" t="s">
        <v>18154</v>
      </c>
      <c r="O807">
        <f>-602.902747315637 -121.082875267213 -734.101743013538</f>
        <v>-1458.0873655963881</v>
      </c>
      <c r="P807">
        <f>-623.012905095844 -94.4870015303119 -419.340921161422</f>
        <v>-1136.8408277875778</v>
      </c>
      <c r="Q807">
        <f>-372.302334632061 -28.1435573595407 -438.957488763756</f>
        <v>-839.4033807553576</v>
      </c>
      <c r="R807" t="s">
        <v>18155</v>
      </c>
      <c r="S807" t="s">
        <v>18156</v>
      </c>
      <c r="T807" t="s">
        <v>18157</v>
      </c>
      <c r="U807" t="s">
        <v>18158</v>
      </c>
      <c r="V807">
        <f>-607.230300657889 -2.35385081036307 -240.466136371569</f>
        <v>-850.05028783982107</v>
      </c>
      <c r="W807" t="s">
        <v>18159</v>
      </c>
      <c r="X807" t="s">
        <v>18160</v>
      </c>
      <c r="Y807" t="s">
        <v>18161</v>
      </c>
    </row>
    <row r="808" spans="1:25" x14ac:dyDescent="0.3">
      <c r="A808">
        <v>40350</v>
      </c>
      <c r="B808" t="s">
        <v>18162</v>
      </c>
      <c r="C808" t="s">
        <v>18163</v>
      </c>
      <c r="D808" t="s">
        <v>18164</v>
      </c>
      <c r="E808" t="s">
        <v>18165</v>
      </c>
      <c r="F808" t="s">
        <v>18166</v>
      </c>
      <c r="G808" t="s">
        <v>18167</v>
      </c>
      <c r="H808" t="s">
        <v>18168</v>
      </c>
      <c r="I808" t="s">
        <v>18169</v>
      </c>
      <c r="J808" t="s">
        <v>18170</v>
      </c>
      <c r="K808" t="s">
        <v>18171</v>
      </c>
      <c r="L808" t="s">
        <v>18172</v>
      </c>
      <c r="M808" t="s">
        <v>18173</v>
      </c>
      <c r="N808" t="s">
        <v>18174</v>
      </c>
      <c r="O808">
        <f>-602.30605786738 -120.944426279925 -733.947710356027</f>
        <v>-1457.1981945033319</v>
      </c>
      <c r="P808">
        <f>-622.284374926465 -94.1493429467324 -419.195381041909</f>
        <v>-1135.6290989151064</v>
      </c>
      <c r="Q808">
        <f>-371.45165110645 -28.2404244383714 -438.715073016474</f>
        <v>-838.40714856129534</v>
      </c>
      <c r="R808" t="s">
        <v>18175</v>
      </c>
      <c r="S808" t="s">
        <v>18176</v>
      </c>
      <c r="T808" t="s">
        <v>18177</v>
      </c>
      <c r="U808" t="s">
        <v>18178</v>
      </c>
      <c r="V808">
        <f>-606.462672560601 -1.79009554708608 -240.43255774598</f>
        <v>-848.68532585366711</v>
      </c>
      <c r="W808" t="s">
        <v>18179</v>
      </c>
      <c r="X808" t="s">
        <v>18180</v>
      </c>
      <c r="Y808" t="s">
        <v>18181</v>
      </c>
    </row>
    <row r="809" spans="1:25" x14ac:dyDescent="0.3">
      <c r="A809">
        <v>40400</v>
      </c>
      <c r="B809" t="s">
        <v>18182</v>
      </c>
      <c r="C809" t="s">
        <v>18183</v>
      </c>
      <c r="D809" t="s">
        <v>18184</v>
      </c>
      <c r="E809" t="s">
        <v>18185</v>
      </c>
      <c r="F809" t="s">
        <v>18186</v>
      </c>
      <c r="G809" t="s">
        <v>18187</v>
      </c>
      <c r="H809" t="s">
        <v>18188</v>
      </c>
      <c r="I809" t="s">
        <v>18189</v>
      </c>
      <c r="J809" t="s">
        <v>18190</v>
      </c>
      <c r="K809" t="s">
        <v>18191</v>
      </c>
      <c r="L809" t="s">
        <v>18192</v>
      </c>
      <c r="M809" t="s">
        <v>18193</v>
      </c>
      <c r="N809" t="s">
        <v>18194</v>
      </c>
      <c r="O809">
        <f>-602.144681913855 -121.00297641432 -733.850142988461</f>
        <v>-1456.997801316636</v>
      </c>
      <c r="P809">
        <f>-622.049194228841 -94.1065760816015 -419.101644154902</f>
        <v>-1135.2574144653445</v>
      </c>
      <c r="Q809">
        <f>-371.177138357744 -28.3643413833438 -438.67667741979</f>
        <v>-838.21815716087781</v>
      </c>
      <c r="R809" t="s">
        <v>18195</v>
      </c>
      <c r="S809" t="s">
        <v>18196</v>
      </c>
      <c r="T809" t="s">
        <v>18197</v>
      </c>
      <c r="U809" t="s">
        <v>18198</v>
      </c>
      <c r="V809">
        <f>-606.123795414488 -1.59780684737169 -240.435897579544</f>
        <v>-848.15749984140359</v>
      </c>
      <c r="W809" t="s">
        <v>18199</v>
      </c>
      <c r="X809" t="s">
        <v>18200</v>
      </c>
      <c r="Y809" t="s">
        <v>18201</v>
      </c>
    </row>
    <row r="810" spans="1:25" x14ac:dyDescent="0.3">
      <c r="A810">
        <v>40450</v>
      </c>
      <c r="B810" t="s">
        <v>18202</v>
      </c>
      <c r="C810" t="s">
        <v>18203</v>
      </c>
      <c r="D810" t="s">
        <v>18204</v>
      </c>
      <c r="E810" t="s">
        <v>18205</v>
      </c>
      <c r="F810" t="s">
        <v>18206</v>
      </c>
      <c r="G810" t="s">
        <v>18207</v>
      </c>
      <c r="H810" t="s">
        <v>18208</v>
      </c>
      <c r="I810" t="s">
        <v>18209</v>
      </c>
      <c r="J810" t="s">
        <v>18210</v>
      </c>
      <c r="K810" t="s">
        <v>18211</v>
      </c>
      <c r="L810" t="s">
        <v>18212</v>
      </c>
      <c r="M810" t="s">
        <v>18213</v>
      </c>
      <c r="N810" t="s">
        <v>18214</v>
      </c>
      <c r="O810">
        <f>-602.084011505247 -121.3314149766 -733.664516568246</f>
        <v>-1457.0799430500929</v>
      </c>
      <c r="P810">
        <f>-621.492739552742 -94.0586431534884 -418.917360405397</f>
        <v>-1134.4687431116274</v>
      </c>
      <c r="Q810">
        <f>-370.563196959827 -28.592275475109 -438.680714107408</f>
        <v>-837.83618654234397</v>
      </c>
      <c r="R810" t="s">
        <v>18215</v>
      </c>
      <c r="S810" t="s">
        <v>18216</v>
      </c>
      <c r="T810" t="s">
        <v>18217</v>
      </c>
      <c r="U810" t="s">
        <v>18218</v>
      </c>
      <c r="V810">
        <f>-605.721713203554 -1.44168064652666 -240.443617677321</f>
        <v>-847.6070115274016</v>
      </c>
      <c r="W810" t="s">
        <v>18219</v>
      </c>
      <c r="X810" t="s">
        <v>18220</v>
      </c>
      <c r="Y810" t="s">
        <v>18221</v>
      </c>
    </row>
    <row r="811" spans="1:25" x14ac:dyDescent="0.3">
      <c r="A811">
        <v>40500</v>
      </c>
      <c r="B811" t="s">
        <v>18222</v>
      </c>
      <c r="C811" t="s">
        <v>18223</v>
      </c>
      <c r="D811" t="s">
        <v>18224</v>
      </c>
      <c r="E811" t="s">
        <v>18225</v>
      </c>
      <c r="F811" t="s">
        <v>18226</v>
      </c>
      <c r="G811" t="s">
        <v>18227</v>
      </c>
      <c r="H811" t="s">
        <v>18228</v>
      </c>
      <c r="I811" t="s">
        <v>18229</v>
      </c>
      <c r="J811" t="s">
        <v>18230</v>
      </c>
      <c r="K811" t="s">
        <v>18231</v>
      </c>
      <c r="L811" t="s">
        <v>18232</v>
      </c>
      <c r="M811" t="s">
        <v>18233</v>
      </c>
      <c r="N811" t="s">
        <v>18234</v>
      </c>
      <c r="O811">
        <f>-602.31459898259 -121.280324318626 -733.57291278166</f>
        <v>-1457.167836082876</v>
      </c>
      <c r="P811">
        <f>-621.476397417696 -93.9271468104193 -418.817654114301</f>
        <v>-1134.2211983424163</v>
      </c>
      <c r="Q811">
        <f>-370.558670144252 -28.4600119005997 -438.72771980494</f>
        <v>-837.74640184979171</v>
      </c>
      <c r="R811" t="s">
        <v>18235</v>
      </c>
      <c r="S811" t="s">
        <v>18236</v>
      </c>
      <c r="T811" t="s">
        <v>18237</v>
      </c>
      <c r="U811" t="s">
        <v>18238</v>
      </c>
      <c r="V811">
        <f>-605.616091833122 -1.27703734782025 -240.464034496443</f>
        <v>-847.3571636773853</v>
      </c>
      <c r="W811" t="s">
        <v>18239</v>
      </c>
      <c r="X811" t="s">
        <v>18240</v>
      </c>
      <c r="Y811" t="s">
        <v>18241</v>
      </c>
    </row>
    <row r="812" spans="1:25" x14ac:dyDescent="0.3">
      <c r="A812">
        <v>40550</v>
      </c>
      <c r="B812" t="s">
        <v>18242</v>
      </c>
      <c r="C812" t="s">
        <v>18243</v>
      </c>
      <c r="D812" t="s">
        <v>18244</v>
      </c>
      <c r="E812" t="s">
        <v>18245</v>
      </c>
      <c r="F812" t="s">
        <v>18246</v>
      </c>
      <c r="G812" t="s">
        <v>18247</v>
      </c>
      <c r="H812" t="s">
        <v>18248</v>
      </c>
      <c r="I812" t="s">
        <v>18249</v>
      </c>
      <c r="J812" t="s">
        <v>18250</v>
      </c>
      <c r="K812" t="s">
        <v>18251</v>
      </c>
      <c r="L812" t="s">
        <v>18252</v>
      </c>
      <c r="M812" t="s">
        <v>18253</v>
      </c>
      <c r="N812" t="s">
        <v>18254</v>
      </c>
      <c r="O812">
        <f>-602.568855086394 -121.29087763916 -733.52833827731</f>
        <v>-1457.3880710028641</v>
      </c>
      <c r="P812">
        <f>-621.550494821666 -93.8853632871442 -418.76672380713</f>
        <v>-1134.2025819159403</v>
      </c>
      <c r="Q812">
        <f>-370.631775421284 -28.4683896109715 -438.82881479208</f>
        <v>-837.92897982433544</v>
      </c>
      <c r="R812" t="s">
        <v>18255</v>
      </c>
      <c r="S812" t="s">
        <v>18256</v>
      </c>
      <c r="T812" t="s">
        <v>18257</v>
      </c>
      <c r="U812" t="s">
        <v>18258</v>
      </c>
      <c r="V812">
        <f>-605.593873135508 -1.16329526391418 -240.494833966438</f>
        <v>-847.25200236586022</v>
      </c>
      <c r="W812" t="s">
        <v>18259</v>
      </c>
      <c r="X812" t="s">
        <v>18260</v>
      </c>
      <c r="Y812" t="s">
        <v>18261</v>
      </c>
    </row>
    <row r="813" spans="1:25" x14ac:dyDescent="0.3">
      <c r="A813">
        <v>40600</v>
      </c>
      <c r="B813" t="s">
        <v>18262</v>
      </c>
      <c r="C813" t="s">
        <v>18263</v>
      </c>
      <c r="D813" t="s">
        <v>18264</v>
      </c>
      <c r="E813" t="s">
        <v>18265</v>
      </c>
      <c r="F813" t="s">
        <v>18266</v>
      </c>
      <c r="G813" t="s">
        <v>18267</v>
      </c>
      <c r="H813" t="s">
        <v>18268</v>
      </c>
      <c r="I813" t="s">
        <v>18269</v>
      </c>
      <c r="J813" t="s">
        <v>18270</v>
      </c>
      <c r="K813" t="s">
        <v>18271</v>
      </c>
      <c r="L813" t="s">
        <v>18272</v>
      </c>
      <c r="M813" t="s">
        <v>18273</v>
      </c>
      <c r="N813" t="s">
        <v>18274</v>
      </c>
      <c r="O813">
        <f>-603.165590039048 -121.256475257621 -733.472283275241</f>
        <v>-1457.8943485719101</v>
      </c>
      <c r="P813">
        <f>-621.933164355582 -93.7981302022654 -418.70257749542</f>
        <v>-1134.4338720532674</v>
      </c>
      <c r="Q813">
        <f>-371.023187236683 -28.3962740884905 -438.922096370005</f>
        <v>-838.34155769517849</v>
      </c>
      <c r="R813" t="s">
        <v>18275</v>
      </c>
      <c r="S813" t="s">
        <v>18276</v>
      </c>
      <c r="T813" t="s">
        <v>18277</v>
      </c>
      <c r="U813" t="s">
        <v>18278</v>
      </c>
      <c r="V813">
        <f>-605.891635954778 -1.07988867440028 -240.561362584829</f>
        <v>-847.53288721400736</v>
      </c>
      <c r="W813" t="s">
        <v>18279</v>
      </c>
      <c r="X813" t="s">
        <v>18280</v>
      </c>
      <c r="Y813" t="s">
        <v>18281</v>
      </c>
    </row>
    <row r="814" spans="1:25" x14ac:dyDescent="0.3">
      <c r="A814">
        <v>40650</v>
      </c>
      <c r="B814" t="s">
        <v>18282</v>
      </c>
      <c r="C814" t="s">
        <v>18283</v>
      </c>
      <c r="D814" t="s">
        <v>18284</v>
      </c>
      <c r="E814" t="s">
        <v>18285</v>
      </c>
      <c r="F814" t="s">
        <v>18286</v>
      </c>
      <c r="G814" t="s">
        <v>18287</v>
      </c>
      <c r="H814" t="s">
        <v>18288</v>
      </c>
      <c r="I814" t="s">
        <v>18289</v>
      </c>
      <c r="J814" t="s">
        <v>18290</v>
      </c>
      <c r="K814" t="s">
        <v>18291</v>
      </c>
      <c r="L814" t="s">
        <v>18292</v>
      </c>
      <c r="M814" t="s">
        <v>18293</v>
      </c>
      <c r="N814" t="s">
        <v>18294</v>
      </c>
      <c r="O814">
        <f>-604.018412522636 -121.212088761668 -733.411922196126</f>
        <v>-1458.6424234804301</v>
      </c>
      <c r="P814">
        <f>-622.690562903051 -93.8873910158555 -418.624816233746</f>
        <v>-1135.2027701526526</v>
      </c>
      <c r="Q814">
        <f>-371.869445909538 -28.1821174619762 -438.962510044518</f>
        <v>-839.01407341603226</v>
      </c>
      <c r="R814" t="s">
        <v>18295</v>
      </c>
      <c r="S814" t="s">
        <v>18296</v>
      </c>
      <c r="T814" t="s">
        <v>18297</v>
      </c>
      <c r="U814" t="s">
        <v>18298</v>
      </c>
      <c r="V814">
        <f>-606.329660185396 -1.22145358437199 -240.571191412038</f>
        <v>-848.12230518180604</v>
      </c>
      <c r="W814" t="s">
        <v>18299</v>
      </c>
      <c r="X814" t="s">
        <v>18300</v>
      </c>
      <c r="Y814" t="s">
        <v>18301</v>
      </c>
    </row>
    <row r="815" spans="1:25" x14ac:dyDescent="0.3">
      <c r="A815">
        <v>40700</v>
      </c>
      <c r="B815" t="s">
        <v>18302</v>
      </c>
      <c r="C815" t="s">
        <v>18303</v>
      </c>
      <c r="D815" t="s">
        <v>18304</v>
      </c>
      <c r="E815" t="s">
        <v>18305</v>
      </c>
      <c r="F815" t="s">
        <v>18306</v>
      </c>
      <c r="G815" t="s">
        <v>18307</v>
      </c>
      <c r="H815" t="s">
        <v>18308</v>
      </c>
      <c r="I815" t="s">
        <v>18309</v>
      </c>
      <c r="J815" t="s">
        <v>18310</v>
      </c>
      <c r="K815" t="s">
        <v>18311</v>
      </c>
      <c r="L815" t="s">
        <v>18312</v>
      </c>
      <c r="M815" t="s">
        <v>18313</v>
      </c>
      <c r="N815" t="s">
        <v>18314</v>
      </c>
      <c r="O815">
        <f>-604.476663758446 -121.2272814904 -733.419242019014</f>
        <v>-1459.12318726786</v>
      </c>
      <c r="P815">
        <f>-623.026934686776 -93.9232313293813 -418.623183933135</f>
        <v>-1135.5733499492924</v>
      </c>
      <c r="Q815">
        <f>-372.248155831354 -28.071339365063 -439.009162101357</f>
        <v>-839.32865729777404</v>
      </c>
      <c r="R815" t="s">
        <v>18315</v>
      </c>
      <c r="S815" t="s">
        <v>18316</v>
      </c>
      <c r="T815" t="s">
        <v>18317</v>
      </c>
      <c r="U815" t="s">
        <v>18318</v>
      </c>
      <c r="V815">
        <f>-606.631405649766 -1.37380861194997 -240.574400261058</f>
        <v>-848.57961452277391</v>
      </c>
      <c r="W815" t="s">
        <v>18319</v>
      </c>
      <c r="X815" t="s">
        <v>18320</v>
      </c>
      <c r="Y815" t="s">
        <v>18321</v>
      </c>
    </row>
    <row r="816" spans="1:25" x14ac:dyDescent="0.3">
      <c r="A816">
        <v>40750</v>
      </c>
      <c r="B816" t="s">
        <v>18322</v>
      </c>
      <c r="C816" t="s">
        <v>18323</v>
      </c>
      <c r="D816" t="s">
        <v>18324</v>
      </c>
      <c r="E816" t="s">
        <v>18325</v>
      </c>
      <c r="F816" t="s">
        <v>18326</v>
      </c>
      <c r="G816" t="s">
        <v>18327</v>
      </c>
      <c r="H816" t="s">
        <v>18328</v>
      </c>
      <c r="I816" t="s">
        <v>18329</v>
      </c>
      <c r="J816" t="s">
        <v>18330</v>
      </c>
      <c r="K816" t="s">
        <v>18331</v>
      </c>
      <c r="L816" t="s">
        <v>18332</v>
      </c>
      <c r="M816" t="s">
        <v>18333</v>
      </c>
      <c r="N816" t="s">
        <v>18334</v>
      </c>
      <c r="O816">
        <f>-605.736929027778 -121.373055272683 -733.460716632281</f>
        <v>-1460.5707009327421</v>
      </c>
      <c r="P816">
        <f>-624.002129907777 -94.1446292693425 -418.641495071207</f>
        <v>-1136.7882542483264</v>
      </c>
      <c r="Q816">
        <f>-373.281570042653 -28.1201357676845 -439.184822579765</f>
        <v>-840.58652839010256</v>
      </c>
      <c r="R816" t="s">
        <v>18335</v>
      </c>
      <c r="S816" t="s">
        <v>18336</v>
      </c>
      <c r="T816" t="s">
        <v>18337</v>
      </c>
      <c r="U816" t="s">
        <v>18338</v>
      </c>
      <c r="V816">
        <f>-607.38040467363 -1.86302176891704 -240.563532004871</f>
        <v>-849.80695844741808</v>
      </c>
      <c r="W816" t="s">
        <v>18339</v>
      </c>
      <c r="X816" t="s">
        <v>18340</v>
      </c>
      <c r="Y816" t="s">
        <v>18341</v>
      </c>
    </row>
    <row r="817" spans="1:25" x14ac:dyDescent="0.3">
      <c r="A817">
        <v>40800</v>
      </c>
      <c r="B817" t="s">
        <v>18342</v>
      </c>
      <c r="C817" t="s">
        <v>18343</v>
      </c>
      <c r="D817" t="s">
        <v>18344</v>
      </c>
      <c r="E817" t="s">
        <v>18345</v>
      </c>
      <c r="F817" t="s">
        <v>18346</v>
      </c>
      <c r="G817" t="s">
        <v>18347</v>
      </c>
      <c r="H817" t="s">
        <v>18348</v>
      </c>
      <c r="I817" t="s">
        <v>18349</v>
      </c>
      <c r="J817" t="s">
        <v>18350</v>
      </c>
      <c r="K817" t="s">
        <v>18351</v>
      </c>
      <c r="L817" t="s">
        <v>18352</v>
      </c>
      <c r="M817" t="s">
        <v>18353</v>
      </c>
      <c r="N817" t="s">
        <v>18354</v>
      </c>
      <c r="O817">
        <f>-606.384840814282 -121.47948725806 -733.507443451713</f>
        <v>-1461.371771524055</v>
      </c>
      <c r="P817">
        <f>-624.590489240782 -94.3762620454821 -418.673928627134</f>
        <v>-1137.6406799133981</v>
      </c>
      <c r="Q817">
        <f>-373.894490667064 -28.2560620299127 -439.208715455403</f>
        <v>-841.35926815237974</v>
      </c>
      <c r="R817" t="s">
        <v>18355</v>
      </c>
      <c r="S817" t="s">
        <v>18356</v>
      </c>
      <c r="T817" t="s">
        <v>18357</v>
      </c>
      <c r="U817" t="s">
        <v>18358</v>
      </c>
      <c r="V817">
        <f>-607.772024998212 -2.18096518491656 -240.572020503879</f>
        <v>-850.52501068700758</v>
      </c>
      <c r="W817" t="s">
        <v>18359</v>
      </c>
      <c r="X817" t="s">
        <v>18360</v>
      </c>
      <c r="Y817" t="s">
        <v>18361</v>
      </c>
    </row>
    <row r="818" spans="1:25" x14ac:dyDescent="0.3">
      <c r="A818">
        <v>40850</v>
      </c>
      <c r="B818" t="s">
        <v>18362</v>
      </c>
      <c r="C818" t="s">
        <v>18363</v>
      </c>
      <c r="D818" t="s">
        <v>18364</v>
      </c>
      <c r="E818" t="s">
        <v>18365</v>
      </c>
      <c r="F818" t="s">
        <v>18366</v>
      </c>
      <c r="G818" t="s">
        <v>18367</v>
      </c>
      <c r="H818" t="s">
        <v>18368</v>
      </c>
      <c r="I818" t="s">
        <v>18369</v>
      </c>
      <c r="J818" t="s">
        <v>18370</v>
      </c>
      <c r="K818" t="s">
        <v>18371</v>
      </c>
      <c r="L818" t="s">
        <v>18372</v>
      </c>
      <c r="M818" t="s">
        <v>18373</v>
      </c>
      <c r="N818" t="s">
        <v>18374</v>
      </c>
      <c r="O818">
        <f>-607.790401990712 -121.730004698418 -733.623145418605</f>
        <v>-1463.1435521077351</v>
      </c>
      <c r="P818">
        <f>-625.680702514657 -94.8161894977595 -418.75533938914</f>
        <v>-1139.2522314015564</v>
      </c>
      <c r="Q818">
        <f>-374.961784987113 -28.788470557104 -439.307974018513</f>
        <v>-843.05822956273005</v>
      </c>
      <c r="R818" t="s">
        <v>18375</v>
      </c>
      <c r="S818" t="s">
        <v>18376</v>
      </c>
      <c r="T818" t="s">
        <v>18377</v>
      </c>
      <c r="U818" t="s">
        <v>18378</v>
      </c>
      <c r="V818">
        <f>-608.39608344518 -2.63869896183353 -240.616136375064</f>
        <v>-851.6509187820775</v>
      </c>
      <c r="W818" t="s">
        <v>18379</v>
      </c>
      <c r="X818" t="s">
        <v>18380</v>
      </c>
      <c r="Y818" t="s">
        <v>18381</v>
      </c>
    </row>
    <row r="819" spans="1:25" x14ac:dyDescent="0.3">
      <c r="A819">
        <v>40900</v>
      </c>
      <c r="B819" t="s">
        <v>18382</v>
      </c>
      <c r="C819" t="s">
        <v>18383</v>
      </c>
      <c r="D819" t="s">
        <v>18384</v>
      </c>
      <c r="E819" t="s">
        <v>18385</v>
      </c>
      <c r="F819" t="s">
        <v>18386</v>
      </c>
      <c r="G819" t="s">
        <v>18387</v>
      </c>
      <c r="H819" t="s">
        <v>18388</v>
      </c>
      <c r="I819" t="s">
        <v>18389</v>
      </c>
      <c r="J819" t="s">
        <v>18390</v>
      </c>
      <c r="K819" t="s">
        <v>18391</v>
      </c>
      <c r="L819" t="s">
        <v>18392</v>
      </c>
      <c r="M819" t="s">
        <v>18393</v>
      </c>
      <c r="N819" t="s">
        <v>18394</v>
      </c>
      <c r="O819">
        <f>-608.453958870664 -121.903846752175 -733.655583996483</f>
        <v>-1464.013389619322</v>
      </c>
      <c r="P819">
        <f>-626.214901688256 -94.9913432275104 -418.780292271401</f>
        <v>-1139.9865371871674</v>
      </c>
      <c r="Q819">
        <f>-375.436303524751 -29.1831855997175 -439.30949242287</f>
        <v>-843.92898154733848</v>
      </c>
      <c r="R819" t="s">
        <v>18395</v>
      </c>
      <c r="S819" t="s">
        <v>18396</v>
      </c>
      <c r="T819" t="s">
        <v>18397</v>
      </c>
      <c r="U819" t="s">
        <v>18398</v>
      </c>
      <c r="V819">
        <f>-608.626141423814 -2.70094304734919 -240.626615773733</f>
        <v>-851.95370024489614</v>
      </c>
      <c r="W819" t="s">
        <v>18399</v>
      </c>
      <c r="X819" t="s">
        <v>18400</v>
      </c>
      <c r="Y819" t="s">
        <v>18401</v>
      </c>
    </row>
    <row r="820" spans="1:25" x14ac:dyDescent="0.3">
      <c r="A820">
        <v>40950</v>
      </c>
      <c r="B820" t="s">
        <v>18402</v>
      </c>
      <c r="C820" t="s">
        <v>18403</v>
      </c>
      <c r="D820" t="s">
        <v>18404</v>
      </c>
      <c r="E820" t="s">
        <v>18405</v>
      </c>
      <c r="F820" t="s">
        <v>18406</v>
      </c>
      <c r="G820" t="s">
        <v>18407</v>
      </c>
      <c r="H820" t="s">
        <v>18408</v>
      </c>
      <c r="I820" t="s">
        <v>18409</v>
      </c>
      <c r="J820" t="s">
        <v>18410</v>
      </c>
      <c r="K820" t="s">
        <v>18411</v>
      </c>
      <c r="L820" t="s">
        <v>18412</v>
      </c>
      <c r="M820" t="s">
        <v>18413</v>
      </c>
      <c r="N820" t="s">
        <v>18414</v>
      </c>
      <c r="O820">
        <f>-609.964394533796 -122.182151862723 -733.572797169002</f>
        <v>-1465.7193435655211</v>
      </c>
      <c r="P820">
        <f>-627.053313242789 -95.3013615631208 -418.657534507517</f>
        <v>-1141.0122093134269</v>
      </c>
      <c r="Q820">
        <f>-376.225153456556 -29.7445149842437 -439.384296863532</f>
        <v>-845.35396530433172</v>
      </c>
      <c r="R820" t="s">
        <v>18415</v>
      </c>
      <c r="S820" t="s">
        <v>18416</v>
      </c>
      <c r="T820" t="s">
        <v>18417</v>
      </c>
      <c r="U820" t="s">
        <v>18418</v>
      </c>
      <c r="V820">
        <f>-609.015820337772 -2.84669513770342 -240.676152209404</f>
        <v>-852.53866768487933</v>
      </c>
      <c r="W820" t="s">
        <v>18419</v>
      </c>
      <c r="X820" t="s">
        <v>18420</v>
      </c>
      <c r="Y820" t="s">
        <v>18421</v>
      </c>
    </row>
    <row r="821" spans="1:25" x14ac:dyDescent="0.3">
      <c r="A821">
        <v>41000</v>
      </c>
      <c r="B821" t="s">
        <v>18422</v>
      </c>
      <c r="C821" t="s">
        <v>18423</v>
      </c>
      <c r="D821" t="s">
        <v>18424</v>
      </c>
      <c r="E821" t="s">
        <v>18425</v>
      </c>
      <c r="F821" t="s">
        <v>18426</v>
      </c>
      <c r="G821" t="s">
        <v>18427</v>
      </c>
      <c r="H821" t="s">
        <v>18428</v>
      </c>
      <c r="I821" t="s">
        <v>18429</v>
      </c>
      <c r="J821" t="s">
        <v>18430</v>
      </c>
      <c r="K821" t="s">
        <v>18431</v>
      </c>
      <c r="L821" t="s">
        <v>18432</v>
      </c>
      <c r="M821" t="s">
        <v>18433</v>
      </c>
      <c r="N821" t="s">
        <v>18434</v>
      </c>
      <c r="O821">
        <f>-610.547717625607 -122.280671275941 -733.492950737009</f>
        <v>-1466.321339638557</v>
      </c>
      <c r="P821">
        <f>-627.342709916382 -95.2002187668876 -418.579026317092</f>
        <v>-1141.1219550003616</v>
      </c>
      <c r="Q821">
        <f>-376.500832077467 -29.7496054030848 -439.474606070084</f>
        <v>-845.72504355063575</v>
      </c>
      <c r="R821" t="s">
        <v>18435</v>
      </c>
      <c r="S821" t="s">
        <v>18436</v>
      </c>
      <c r="T821" t="s">
        <v>18437</v>
      </c>
      <c r="U821" t="s">
        <v>18438</v>
      </c>
      <c r="V821">
        <f>-609.2047843311 -2.89472673954619 -240.699410796152</f>
        <v>-852.79892186679808</v>
      </c>
      <c r="W821" t="s">
        <v>18439</v>
      </c>
      <c r="X821" t="s">
        <v>18440</v>
      </c>
      <c r="Y821" t="s">
        <v>18441</v>
      </c>
    </row>
    <row r="822" spans="1:25" x14ac:dyDescent="0.3">
      <c r="A822">
        <v>41050</v>
      </c>
      <c r="B822" t="s">
        <v>18442</v>
      </c>
      <c r="C822" t="s">
        <v>18443</v>
      </c>
      <c r="D822" t="s">
        <v>18444</v>
      </c>
      <c r="E822" t="s">
        <v>18445</v>
      </c>
      <c r="F822" t="s">
        <v>18446</v>
      </c>
      <c r="G822" t="s">
        <v>18447</v>
      </c>
      <c r="H822" t="s">
        <v>18448</v>
      </c>
      <c r="I822" t="s">
        <v>18449</v>
      </c>
      <c r="J822" t="s">
        <v>18450</v>
      </c>
      <c r="K822" t="s">
        <v>18451</v>
      </c>
      <c r="L822" t="s">
        <v>18452</v>
      </c>
      <c r="M822" t="s">
        <v>18453</v>
      </c>
      <c r="N822" t="s">
        <v>18454</v>
      </c>
      <c r="O822">
        <f>-611.384979512999 -122.349796850394 -733.365117564765</f>
        <v>-1467.0998939281581</v>
      </c>
      <c r="P822">
        <f>-627.728712927192 -95.1451903423716 -418.438225020091</f>
        <v>-1141.3121282896545</v>
      </c>
      <c r="Q822">
        <f>-376.982856619707 -29.4592627578827 -439.744034790573</f>
        <v>-846.1861541681626</v>
      </c>
      <c r="R822" t="s">
        <v>18455</v>
      </c>
      <c r="S822" t="s">
        <v>18456</v>
      </c>
      <c r="T822" t="s">
        <v>18457</v>
      </c>
      <c r="U822" t="s">
        <v>18458</v>
      </c>
      <c r="V822">
        <f>-609.501255679445 -2.85628051173592 -240.70538473572</f>
        <v>-853.06292092690092</v>
      </c>
      <c r="W822" t="s">
        <v>18459</v>
      </c>
      <c r="X822" t="s">
        <v>18460</v>
      </c>
      <c r="Y822" t="s">
        <v>18461</v>
      </c>
    </row>
    <row r="823" spans="1:25" x14ac:dyDescent="0.3">
      <c r="A823">
        <v>41100</v>
      </c>
      <c r="B823" t="s">
        <v>18462</v>
      </c>
      <c r="C823" t="s">
        <v>18463</v>
      </c>
      <c r="D823" t="s">
        <v>18464</v>
      </c>
      <c r="E823" t="s">
        <v>18465</v>
      </c>
      <c r="F823" t="s">
        <v>18466</v>
      </c>
      <c r="G823" t="s">
        <v>18467</v>
      </c>
      <c r="H823" t="s">
        <v>18468</v>
      </c>
      <c r="I823" t="s">
        <v>18469</v>
      </c>
      <c r="J823" t="s">
        <v>18470</v>
      </c>
      <c r="K823" t="s">
        <v>18471</v>
      </c>
      <c r="L823" t="s">
        <v>18472</v>
      </c>
      <c r="M823" t="s">
        <v>18473</v>
      </c>
      <c r="N823" t="s">
        <v>18474</v>
      </c>
      <c r="O823">
        <f>-611.657489507394 -122.375017762366 -733.214960083921</f>
        <v>-1467.247467353681</v>
      </c>
      <c r="P823">
        <f>-627.807106492279 -94.9370319738819 -418.298226309456</f>
        <v>-1141.042364775617</v>
      </c>
      <c r="Q823">
        <f>-377.101763973762 -29.3337442755665 -440.322938017453</f>
        <v>-846.75844626678145</v>
      </c>
      <c r="R823" t="s">
        <v>18475</v>
      </c>
      <c r="S823" t="s">
        <v>18476</v>
      </c>
      <c r="T823" t="s">
        <v>18477</v>
      </c>
      <c r="U823" t="s">
        <v>18478</v>
      </c>
      <c r="V823">
        <f>-609.592421513933 -2.75345560822259 -240.715461300235</f>
        <v>-853.06133842239058</v>
      </c>
      <c r="W823" t="s">
        <v>18479</v>
      </c>
      <c r="X823" t="s">
        <v>18480</v>
      </c>
      <c r="Y823" t="s">
        <v>18481</v>
      </c>
    </row>
    <row r="824" spans="1:25" x14ac:dyDescent="0.3">
      <c r="A824">
        <v>41150</v>
      </c>
      <c r="B824" t="s">
        <v>18482</v>
      </c>
      <c r="C824" t="s">
        <v>18483</v>
      </c>
      <c r="D824" t="s">
        <v>18484</v>
      </c>
      <c r="E824" t="s">
        <v>18485</v>
      </c>
      <c r="F824" t="s">
        <v>18486</v>
      </c>
      <c r="G824" t="s">
        <v>18487</v>
      </c>
      <c r="H824" t="s">
        <v>18488</v>
      </c>
      <c r="I824" t="s">
        <v>18489</v>
      </c>
      <c r="J824" t="s">
        <v>18490</v>
      </c>
      <c r="K824" t="s">
        <v>18491</v>
      </c>
      <c r="L824" t="s">
        <v>18492</v>
      </c>
      <c r="M824" t="s">
        <v>18493</v>
      </c>
      <c r="N824" t="s">
        <v>18494</v>
      </c>
      <c r="O824">
        <f>-612.249114574452 -122.863789242418 -732.807259089749</f>
        <v>-1467.920162906619</v>
      </c>
      <c r="P824">
        <f>-628.097477680665 -95.2936947599457 -417.886927212533</f>
        <v>-1141.2780996531437</v>
      </c>
      <c r="Q824">
        <f>-377.236907556357 -30.663230209251 -440.99355553489</f>
        <v>-848.89369330049794</v>
      </c>
      <c r="R824" t="s">
        <v>18495</v>
      </c>
      <c r="S824" t="s">
        <v>18496</v>
      </c>
      <c r="T824" t="s">
        <v>18497</v>
      </c>
      <c r="U824" t="s">
        <v>18498</v>
      </c>
      <c r="V824">
        <f>-609.815674809296 -2.71457647929672 -240.687594242747</f>
        <v>-853.21784553133966</v>
      </c>
      <c r="W824" t="s">
        <v>18499</v>
      </c>
      <c r="X824" t="s">
        <v>18500</v>
      </c>
      <c r="Y824" t="s">
        <v>18501</v>
      </c>
    </row>
    <row r="825" spans="1:25" x14ac:dyDescent="0.3">
      <c r="A825">
        <v>41200</v>
      </c>
      <c r="B825" t="s">
        <v>18502</v>
      </c>
      <c r="C825" t="s">
        <v>18503</v>
      </c>
      <c r="D825" t="s">
        <v>18504</v>
      </c>
      <c r="E825" t="s">
        <v>18505</v>
      </c>
      <c r="F825" t="s">
        <v>18506</v>
      </c>
      <c r="G825" t="s">
        <v>18507</v>
      </c>
      <c r="H825" t="s">
        <v>18508</v>
      </c>
      <c r="I825" t="s">
        <v>18509</v>
      </c>
      <c r="J825" t="s">
        <v>18510</v>
      </c>
      <c r="K825" t="s">
        <v>18511</v>
      </c>
      <c r="L825" t="s">
        <v>18512</v>
      </c>
      <c r="M825" t="s">
        <v>18513</v>
      </c>
      <c r="N825" t="s">
        <v>18514</v>
      </c>
      <c r="O825">
        <f>-612.755608410337 -123.006841335491 -732.633464455127</f>
        <v>-1468.3959142009548</v>
      </c>
      <c r="P825">
        <f>-628.361418209435 -95.541973722761 -417.691670591983</f>
        <v>-1141.595062524179</v>
      </c>
      <c r="Q825">
        <f>-377.352111603674 -31.6069803591323 -441.116040735361</f>
        <v>-850.07513269816741</v>
      </c>
      <c r="R825" t="s">
        <v>18515</v>
      </c>
      <c r="S825" t="s">
        <v>18516</v>
      </c>
      <c r="T825" t="s">
        <v>18517</v>
      </c>
      <c r="U825" t="s">
        <v>18518</v>
      </c>
      <c r="V825">
        <f>-609.953457099682 -2.69410510316269 -240.691954401775</f>
        <v>-853.33951660461969</v>
      </c>
      <c r="W825" t="s">
        <v>18519</v>
      </c>
      <c r="X825" t="s">
        <v>18520</v>
      </c>
      <c r="Y825" t="s">
        <v>18521</v>
      </c>
    </row>
    <row r="826" spans="1:25" x14ac:dyDescent="0.3">
      <c r="A826">
        <v>41250</v>
      </c>
      <c r="B826" t="s">
        <v>18522</v>
      </c>
      <c r="C826" t="s">
        <v>18523</v>
      </c>
      <c r="D826" t="s">
        <v>18524</v>
      </c>
      <c r="E826" t="s">
        <v>18525</v>
      </c>
      <c r="F826" t="s">
        <v>18526</v>
      </c>
      <c r="G826" t="s">
        <v>18527</v>
      </c>
      <c r="H826" t="s">
        <v>18528</v>
      </c>
      <c r="I826" t="s">
        <v>18529</v>
      </c>
      <c r="J826" t="s">
        <v>18530</v>
      </c>
      <c r="K826" t="s">
        <v>18531</v>
      </c>
      <c r="L826" t="s">
        <v>18532</v>
      </c>
      <c r="M826" t="s">
        <v>18533</v>
      </c>
      <c r="N826" t="s">
        <v>18534</v>
      </c>
      <c r="O826">
        <f>-613.81182349505 -123.344411063758 -732.354828665817</f>
        <v>-1469.5110632246251</v>
      </c>
      <c r="P826">
        <f>-628.833001016028 -95.9085711347139 -417.382171673842</f>
        <v>-1142.1237438245839</v>
      </c>
      <c r="Q826">
        <f>-377.566095799368 -33.1325975541461 -441.176884437204</f>
        <v>-851.87557779071813</v>
      </c>
      <c r="R826" t="s">
        <v>18535</v>
      </c>
      <c r="S826" t="s">
        <v>18536</v>
      </c>
      <c r="T826" t="s">
        <v>18537</v>
      </c>
      <c r="U826" t="s">
        <v>18538</v>
      </c>
      <c r="V826">
        <f>-610.302863421587 -2.77119523926459 -240.692647258853</f>
        <v>-853.76670591970446</v>
      </c>
      <c r="W826" t="s">
        <v>18539</v>
      </c>
      <c r="X826" t="s">
        <v>18540</v>
      </c>
      <c r="Y826" t="s">
        <v>18541</v>
      </c>
    </row>
    <row r="827" spans="1:25" x14ac:dyDescent="0.3">
      <c r="A827">
        <v>41300</v>
      </c>
      <c r="B827" t="s">
        <v>18542</v>
      </c>
      <c r="C827" t="s">
        <v>18543</v>
      </c>
      <c r="D827" t="s">
        <v>18544</v>
      </c>
      <c r="E827" t="s">
        <v>18545</v>
      </c>
      <c r="F827" t="s">
        <v>18546</v>
      </c>
      <c r="G827" t="s">
        <v>18547</v>
      </c>
      <c r="H827" t="s">
        <v>18548</v>
      </c>
      <c r="I827" t="s">
        <v>18549</v>
      </c>
      <c r="J827" t="s">
        <v>18550</v>
      </c>
      <c r="K827" t="s">
        <v>18551</v>
      </c>
      <c r="L827" t="s">
        <v>18552</v>
      </c>
      <c r="M827" t="s">
        <v>18553</v>
      </c>
      <c r="N827" t="s">
        <v>18554</v>
      </c>
      <c r="O827">
        <f>-614.410194755863 -123.49685987596 -732.260799580849</f>
        <v>-1470.167854212672</v>
      </c>
      <c r="P827">
        <f>-628.809953814835 -96.1543970877055 -417.250884890329</f>
        <v>-1142.2152357928696</v>
      </c>
      <c r="Q827">
        <f>-377.423821933975 -33.9863496640011 -441.379718140742</f>
        <v>-852.7898897387181</v>
      </c>
      <c r="R827" t="s">
        <v>18555</v>
      </c>
      <c r="S827" t="s">
        <v>18556</v>
      </c>
      <c r="T827" t="s">
        <v>18557</v>
      </c>
      <c r="U827" t="s">
        <v>18558</v>
      </c>
      <c r="V827">
        <f>-610.507186954416 -2.82347917230061 -240.694861082895</f>
        <v>-854.02552720961171</v>
      </c>
      <c r="W827" t="s">
        <v>18559</v>
      </c>
      <c r="X827" t="s">
        <v>18560</v>
      </c>
      <c r="Y827" t="s">
        <v>18561</v>
      </c>
    </row>
    <row r="828" spans="1:25" x14ac:dyDescent="0.3">
      <c r="A828">
        <v>41350</v>
      </c>
      <c r="B828" t="s">
        <v>18562</v>
      </c>
      <c r="C828" t="s">
        <v>18563</v>
      </c>
      <c r="D828" t="s">
        <v>18564</v>
      </c>
      <c r="E828" t="s">
        <v>18565</v>
      </c>
      <c r="F828" t="s">
        <v>18566</v>
      </c>
      <c r="G828" t="s">
        <v>18567</v>
      </c>
      <c r="H828" t="s">
        <v>18568</v>
      </c>
      <c r="I828" t="s">
        <v>18569</v>
      </c>
      <c r="J828" t="s">
        <v>18570</v>
      </c>
      <c r="K828" t="s">
        <v>18571</v>
      </c>
      <c r="L828" t="s">
        <v>18572</v>
      </c>
      <c r="M828" t="s">
        <v>18573</v>
      </c>
      <c r="N828" t="s">
        <v>18574</v>
      </c>
      <c r="O828">
        <f>-615.455576841743 -124.094452496755 -731.914981830306</f>
        <v>-1471.465011168804</v>
      </c>
      <c r="P828">
        <f>-628.465825644048 -96.6990474444401 -416.849225806932</f>
        <v>-1142.0140988954201</v>
      </c>
      <c r="Q828">
        <f>-377.038724561328 -35.2049968617824 -442.245205954924</f>
        <v>-854.48892737803442</v>
      </c>
      <c r="R828" t="s">
        <v>18575</v>
      </c>
      <c r="S828" t="s">
        <v>18576</v>
      </c>
      <c r="T828" t="s">
        <v>18577</v>
      </c>
      <c r="U828" t="s">
        <v>18578</v>
      </c>
      <c r="V828">
        <f>-611.000990665297 -3.03991721152477 -240.715696938789</f>
        <v>-854.75660481561067</v>
      </c>
      <c r="W828" t="s">
        <v>18579</v>
      </c>
      <c r="X828" t="s">
        <v>18580</v>
      </c>
      <c r="Y828" t="s">
        <v>18581</v>
      </c>
    </row>
    <row r="829" spans="1:25" x14ac:dyDescent="0.3">
      <c r="A829">
        <v>41400</v>
      </c>
      <c r="B829" t="s">
        <v>18582</v>
      </c>
      <c r="C829" t="s">
        <v>18583</v>
      </c>
      <c r="D829" t="s">
        <v>18584</v>
      </c>
      <c r="E829" t="s">
        <v>18585</v>
      </c>
      <c r="F829" t="s">
        <v>18586</v>
      </c>
      <c r="G829" t="s">
        <v>18587</v>
      </c>
      <c r="H829" t="s">
        <v>18588</v>
      </c>
      <c r="I829" t="s">
        <v>18589</v>
      </c>
      <c r="J829" t="s">
        <v>18590</v>
      </c>
      <c r="K829" t="s">
        <v>18591</v>
      </c>
      <c r="L829" t="s">
        <v>18592</v>
      </c>
      <c r="M829" t="s">
        <v>18593</v>
      </c>
      <c r="N829" t="s">
        <v>18594</v>
      </c>
      <c r="O829">
        <f>-615.916060926344 -124.387253507351 -731.71763530502</f>
        <v>-1472.020949738715</v>
      </c>
      <c r="P829">
        <f>-628.679070405821 -97.2104413729332 -416.622926275036</f>
        <v>-1142.5124380537902</v>
      </c>
      <c r="Q829">
        <f>-377.449087678778 -35.3386440520693 -443.031800615927</f>
        <v>-855.81953234677439</v>
      </c>
      <c r="R829" t="s">
        <v>18595</v>
      </c>
      <c r="S829" t="s">
        <v>18596</v>
      </c>
      <c r="T829" t="s">
        <v>18597</v>
      </c>
      <c r="U829" t="s">
        <v>18598</v>
      </c>
      <c r="V829">
        <f>-611.229682403485 -3.11042706852169 -240.708794748158</f>
        <v>-855.04890422016467</v>
      </c>
      <c r="W829" t="s">
        <v>18599</v>
      </c>
      <c r="X829" t="s">
        <v>18600</v>
      </c>
      <c r="Y829" t="s">
        <v>18601</v>
      </c>
    </row>
    <row r="830" spans="1:25" x14ac:dyDescent="0.3">
      <c r="A830">
        <v>41450</v>
      </c>
      <c r="B830" t="s">
        <v>18602</v>
      </c>
      <c r="C830" t="s">
        <v>18603</v>
      </c>
      <c r="D830" t="s">
        <v>18604</v>
      </c>
      <c r="E830" t="s">
        <v>18605</v>
      </c>
      <c r="F830" t="s">
        <v>18606</v>
      </c>
      <c r="G830" t="s">
        <v>18607</v>
      </c>
      <c r="H830" t="s">
        <v>18608</v>
      </c>
      <c r="I830" t="s">
        <v>18609</v>
      </c>
      <c r="J830" t="s">
        <v>18610</v>
      </c>
      <c r="K830" t="s">
        <v>18611</v>
      </c>
      <c r="L830" t="s">
        <v>18612</v>
      </c>
      <c r="M830" t="s">
        <v>18613</v>
      </c>
      <c r="N830" t="s">
        <v>18614</v>
      </c>
      <c r="O830">
        <f>-616.359647827278 -124.556726393671 -731.576183456819</f>
        <v>-1472.4925576777678</v>
      </c>
      <c r="P830">
        <f>-628.671928590293 -97.6147981092758 -416.443350595717</f>
        <v>-1142.7300772952858</v>
      </c>
      <c r="Q830">
        <f>-377.589522091943 -35.5932289194885 -443.884254942604</f>
        <v>-857.06700595403549</v>
      </c>
      <c r="R830" t="s">
        <v>18615</v>
      </c>
      <c r="S830" t="s">
        <v>18616</v>
      </c>
      <c r="T830" t="s">
        <v>18617</v>
      </c>
      <c r="U830" t="s">
        <v>18618</v>
      </c>
      <c r="V830">
        <f>-611.475303159315 -3.08833137741333 -240.716512924264</f>
        <v>-855.28014746099234</v>
      </c>
      <c r="W830" t="s">
        <v>18619</v>
      </c>
      <c r="X830" t="s">
        <v>18620</v>
      </c>
      <c r="Y830" t="s">
        <v>18621</v>
      </c>
    </row>
    <row r="831" spans="1:25" x14ac:dyDescent="0.3">
      <c r="A831">
        <v>41500</v>
      </c>
      <c r="B831" t="s">
        <v>18622</v>
      </c>
      <c r="C831" t="s">
        <v>18623</v>
      </c>
      <c r="D831" t="s">
        <v>18624</v>
      </c>
      <c r="E831" t="s">
        <v>18625</v>
      </c>
      <c r="F831" t="s">
        <v>18626</v>
      </c>
      <c r="G831" t="s">
        <v>18627</v>
      </c>
      <c r="H831" t="s">
        <v>18628</v>
      </c>
      <c r="I831" t="s">
        <v>18629</v>
      </c>
      <c r="J831" t="s">
        <v>18630</v>
      </c>
      <c r="K831" t="s">
        <v>18631</v>
      </c>
      <c r="L831" t="s">
        <v>18632</v>
      </c>
      <c r="M831" t="s">
        <v>18633</v>
      </c>
      <c r="N831" t="s">
        <v>18634</v>
      </c>
      <c r="O831">
        <f>-617.554756424246 -124.892597575158 -731.393413124192</f>
        <v>-1473.8407671235959</v>
      </c>
      <c r="P831">
        <f>-628.870708982691 -98.336273005154 -416.190435336261</f>
        <v>-1143.3974173241058</v>
      </c>
      <c r="Q831">
        <f>-377.862830717992 -36.1538533891346 -443.947523042286</f>
        <v>-857.96420714941257</v>
      </c>
      <c r="R831" t="s">
        <v>18635</v>
      </c>
      <c r="S831" t="s">
        <v>18636</v>
      </c>
      <c r="T831" t="s">
        <v>18637</v>
      </c>
      <c r="U831" t="s">
        <v>18638</v>
      </c>
      <c r="V831">
        <f>-611.991252318394 -3.30832938000343 -240.707408940926</f>
        <v>-856.00699063932348</v>
      </c>
      <c r="W831" t="s">
        <v>18639</v>
      </c>
      <c r="X831" t="s">
        <v>18640</v>
      </c>
      <c r="Y831" t="s">
        <v>18641</v>
      </c>
    </row>
    <row r="832" spans="1:25" x14ac:dyDescent="0.3">
      <c r="A832">
        <v>41550</v>
      </c>
      <c r="B832" t="s">
        <v>18642</v>
      </c>
      <c r="C832" t="s">
        <v>18643</v>
      </c>
      <c r="D832" t="s">
        <v>18644</v>
      </c>
      <c r="E832" t="s">
        <v>18645</v>
      </c>
      <c r="F832" t="s">
        <v>18646</v>
      </c>
      <c r="G832" t="s">
        <v>18647</v>
      </c>
      <c r="H832" t="s">
        <v>18648</v>
      </c>
      <c r="I832" t="s">
        <v>18649</v>
      </c>
      <c r="J832" t="s">
        <v>18650</v>
      </c>
      <c r="K832" t="s">
        <v>18651</v>
      </c>
      <c r="L832" t="s">
        <v>18652</v>
      </c>
      <c r="M832" t="s">
        <v>18653</v>
      </c>
      <c r="N832" t="s">
        <v>18654</v>
      </c>
      <c r="O832">
        <f>-618.374188172736 -125.049769655935 -731.238517709518</f>
        <v>-1474.662475538189</v>
      </c>
      <c r="P832">
        <f>-629.951437087597 -97.0288147850466 -416.171760935569</f>
        <v>-1143.1520128082127</v>
      </c>
      <c r="Q832">
        <f>-378.741903449604 -34.9215921309564 -442.220712864606</f>
        <v>-855.88420844516645</v>
      </c>
      <c r="R832" t="s">
        <v>18655</v>
      </c>
      <c r="S832" t="s">
        <v>18656</v>
      </c>
      <c r="T832" t="s">
        <v>18657</v>
      </c>
      <c r="U832" t="s">
        <v>18658</v>
      </c>
      <c r="V832">
        <f>-612.350335714522 -3.33469488932993 -240.677845761559</f>
        <v>-856.36287636541101</v>
      </c>
      <c r="W832" t="s">
        <v>18659</v>
      </c>
      <c r="X832" t="s">
        <v>18660</v>
      </c>
      <c r="Y832" t="s">
        <v>18661</v>
      </c>
    </row>
    <row r="833" spans="1:25" x14ac:dyDescent="0.3">
      <c r="A833">
        <v>41600</v>
      </c>
      <c r="B833" t="s">
        <v>18662</v>
      </c>
      <c r="C833" t="s">
        <v>18663</v>
      </c>
      <c r="D833" t="s">
        <v>18664</v>
      </c>
      <c r="E833" t="s">
        <v>18665</v>
      </c>
      <c r="F833" t="s">
        <v>18666</v>
      </c>
      <c r="G833" t="s">
        <v>18667</v>
      </c>
      <c r="H833" t="s">
        <v>18668</v>
      </c>
      <c r="I833" t="s">
        <v>18669</v>
      </c>
      <c r="J833" t="s">
        <v>18670</v>
      </c>
      <c r="K833" t="s">
        <v>18671</v>
      </c>
      <c r="L833" t="s">
        <v>18672</v>
      </c>
      <c r="M833" t="s">
        <v>18673</v>
      </c>
      <c r="N833" t="s">
        <v>18674</v>
      </c>
      <c r="O833">
        <f>-618.904076695551 -125.140066373529 -731.129705133569</f>
        <v>-1475.173848202649</v>
      </c>
      <c r="P833">
        <f>-630.524478076209 -96.5608128528991 -416.114900865011</f>
        <v>-1143.2001917941191</v>
      </c>
      <c r="Q833">
        <f>-379.259875266123 -34.6217336704661 -442.031671541218</f>
        <v>-855.91328047780712</v>
      </c>
      <c r="R833" t="s">
        <v>18675</v>
      </c>
      <c r="S833" t="s">
        <v>18676</v>
      </c>
      <c r="T833" t="s">
        <v>18677</v>
      </c>
      <c r="U833" t="s">
        <v>18678</v>
      </c>
      <c r="V833">
        <f>-612.42577133763 -3.31652487242191 -240.679074496573</f>
        <v>-856.42137070662488</v>
      </c>
      <c r="W833" t="s">
        <v>18679</v>
      </c>
      <c r="X833" t="s">
        <v>18680</v>
      </c>
      <c r="Y833" t="s">
        <v>18681</v>
      </c>
    </row>
    <row r="834" spans="1:25" x14ac:dyDescent="0.3">
      <c r="A834">
        <v>41650</v>
      </c>
      <c r="B834" t="s">
        <v>18682</v>
      </c>
      <c r="C834" t="s">
        <v>18683</v>
      </c>
      <c r="D834" t="s">
        <v>18684</v>
      </c>
      <c r="E834" t="s">
        <v>18685</v>
      </c>
      <c r="F834" t="s">
        <v>18686</v>
      </c>
      <c r="G834" t="s">
        <v>18687</v>
      </c>
      <c r="H834" t="s">
        <v>18688</v>
      </c>
      <c r="I834" t="s">
        <v>18689</v>
      </c>
      <c r="J834" t="s">
        <v>18690</v>
      </c>
      <c r="K834" t="s">
        <v>18691</v>
      </c>
      <c r="L834" t="s">
        <v>18692</v>
      </c>
      <c r="M834" t="s">
        <v>18693</v>
      </c>
      <c r="N834" t="s">
        <v>18694</v>
      </c>
      <c r="O834">
        <f>-619.906579782333 -124.900750483022 -731.159653100845</f>
        <v>-1475.9669833662001</v>
      </c>
      <c r="P834">
        <f>-631.122768946618 -96.3853997472754 -416.124301906913</f>
        <v>-1143.6324706008063</v>
      </c>
      <c r="Q834">
        <f>-379.857689533755 -34.9297194879219 -443.163007376467</f>
        <v>-857.95041639814394</v>
      </c>
      <c r="R834" t="s">
        <v>18695</v>
      </c>
      <c r="S834" t="s">
        <v>18696</v>
      </c>
      <c r="T834" t="s">
        <v>18697</v>
      </c>
      <c r="U834" t="s">
        <v>18698</v>
      </c>
      <c r="V834">
        <f>-612.733151133938 -3.22112938478692 -240.680681554005</f>
        <v>-856.63496207272988</v>
      </c>
      <c r="W834" t="s">
        <v>18699</v>
      </c>
      <c r="X834" t="s">
        <v>18700</v>
      </c>
      <c r="Y834" t="s">
        <v>18701</v>
      </c>
    </row>
    <row r="835" spans="1:25" x14ac:dyDescent="0.3">
      <c r="A835">
        <v>41700</v>
      </c>
      <c r="B835" t="s">
        <v>18702</v>
      </c>
      <c r="C835" t="s">
        <v>18703</v>
      </c>
      <c r="D835" t="s">
        <v>18704</v>
      </c>
      <c r="E835" t="s">
        <v>18705</v>
      </c>
      <c r="F835" t="s">
        <v>18706</v>
      </c>
      <c r="G835" t="s">
        <v>18707</v>
      </c>
      <c r="H835" t="s">
        <v>18708</v>
      </c>
      <c r="I835" t="s">
        <v>18709</v>
      </c>
      <c r="J835" t="s">
        <v>18710</v>
      </c>
      <c r="K835" t="s">
        <v>18711</v>
      </c>
      <c r="L835" t="s">
        <v>18712</v>
      </c>
      <c r="M835" t="s">
        <v>18713</v>
      </c>
      <c r="N835" t="s">
        <v>18714</v>
      </c>
      <c r="O835">
        <f>-620.229959544861 -124.857110810788 -731.168845555411</f>
        <v>-1476.2559159110601</v>
      </c>
      <c r="P835">
        <f>-631.056769121607 -96.1803272842616 -416.134546723414</f>
        <v>-1143.3716431292826</v>
      </c>
      <c r="Q835">
        <f>-379.794827465497 -34.9270299770658 -443.657781841504</f>
        <v>-858.3796392840668</v>
      </c>
      <c r="R835" t="s">
        <v>18715</v>
      </c>
      <c r="S835" t="s">
        <v>18716</v>
      </c>
      <c r="T835" t="s">
        <v>18717</v>
      </c>
      <c r="U835" t="s">
        <v>18718</v>
      </c>
      <c r="V835">
        <f>-612.957157124568 -3.33008653199582 -240.656632236538</f>
        <v>-856.94387589310179</v>
      </c>
      <c r="W835" t="s">
        <v>18719</v>
      </c>
      <c r="X835" t="s">
        <v>18720</v>
      </c>
      <c r="Y835" t="s">
        <v>18721</v>
      </c>
    </row>
    <row r="836" spans="1:25" x14ac:dyDescent="0.3">
      <c r="A836">
        <v>41750</v>
      </c>
      <c r="B836" t="s">
        <v>18722</v>
      </c>
      <c r="C836" t="s">
        <v>18723</v>
      </c>
      <c r="D836" t="s">
        <v>18724</v>
      </c>
      <c r="E836" t="s">
        <v>18725</v>
      </c>
      <c r="F836" t="s">
        <v>18726</v>
      </c>
      <c r="G836" t="s">
        <v>18727</v>
      </c>
      <c r="H836" t="s">
        <v>18728</v>
      </c>
      <c r="I836" t="s">
        <v>18729</v>
      </c>
      <c r="J836" t="s">
        <v>18730</v>
      </c>
      <c r="K836" t="s">
        <v>18731</v>
      </c>
      <c r="L836" t="s">
        <v>18732</v>
      </c>
      <c r="M836" t="s">
        <v>18733</v>
      </c>
      <c r="N836" t="s">
        <v>18734</v>
      </c>
      <c r="O836">
        <f>-620.323186943159 -124.083638316032 -731.339640200835</f>
        <v>-1475.746465460026</v>
      </c>
      <c r="P836">
        <f>-630.824495009802 -95.8019588891688 -416.258563915537</f>
        <v>-1142.8850178145078</v>
      </c>
      <c r="Q836">
        <f>-379.681351485041 -34.3281362977587 -444.367912649002</f>
        <v>-858.37740043180168</v>
      </c>
      <c r="R836" t="s">
        <v>18735</v>
      </c>
      <c r="S836" t="s">
        <v>18736</v>
      </c>
      <c r="T836" t="s">
        <v>18737</v>
      </c>
      <c r="U836" t="s">
        <v>18738</v>
      </c>
      <c r="V836">
        <f>-613.27497907373 -3.31887344308114 -240.60364798634</f>
        <v>-857.1975005031511</v>
      </c>
      <c r="W836" t="s">
        <v>18739</v>
      </c>
      <c r="X836" t="s">
        <v>18740</v>
      </c>
      <c r="Y836" t="s">
        <v>18741</v>
      </c>
    </row>
    <row r="837" spans="1:25" x14ac:dyDescent="0.3">
      <c r="A837">
        <v>41800</v>
      </c>
      <c r="B837" t="s">
        <v>18742</v>
      </c>
      <c r="C837" t="s">
        <v>18743</v>
      </c>
      <c r="D837" t="s">
        <v>18744</v>
      </c>
      <c r="E837" t="s">
        <v>18745</v>
      </c>
      <c r="F837" t="s">
        <v>18746</v>
      </c>
      <c r="G837" t="s">
        <v>18747</v>
      </c>
      <c r="H837" t="s">
        <v>18748</v>
      </c>
      <c r="I837" t="s">
        <v>18749</v>
      </c>
      <c r="J837" t="s">
        <v>18750</v>
      </c>
      <c r="K837" t="s">
        <v>18751</v>
      </c>
      <c r="L837" t="s">
        <v>18752</v>
      </c>
      <c r="M837" t="s">
        <v>18753</v>
      </c>
      <c r="N837" t="s">
        <v>18754</v>
      </c>
      <c r="O837">
        <f>-620.343273836234 -123.58859515175 -731.544802728819</f>
        <v>-1475.4766717168031</v>
      </c>
      <c r="P837">
        <f>-630.805243123741 -95.726335557482 -416.42517205296</f>
        <v>-1142.9567507341831</v>
      </c>
      <c r="Q837">
        <f>-379.755836325952 -33.8611231648309 -444.513431501742</f>
        <v>-858.13039099252478</v>
      </c>
      <c r="R837" t="s">
        <v>18755</v>
      </c>
      <c r="S837" t="s">
        <v>18756</v>
      </c>
      <c r="T837" t="s">
        <v>18757</v>
      </c>
      <c r="U837" t="s">
        <v>18758</v>
      </c>
      <c r="V837">
        <f>-613.473641530416 -3.28788548522201 -240.589765299132</f>
        <v>-857.35129231477003</v>
      </c>
      <c r="W837" t="s">
        <v>18759</v>
      </c>
      <c r="X837" t="s">
        <v>18760</v>
      </c>
      <c r="Y837" t="s">
        <v>18761</v>
      </c>
    </row>
    <row r="838" spans="1:25" x14ac:dyDescent="0.3">
      <c r="A838">
        <v>41850</v>
      </c>
      <c r="B838" t="s">
        <v>18762</v>
      </c>
      <c r="C838" t="s">
        <v>18763</v>
      </c>
      <c r="D838" t="s">
        <v>18764</v>
      </c>
      <c r="E838" t="s">
        <v>18765</v>
      </c>
      <c r="F838" t="s">
        <v>18766</v>
      </c>
      <c r="G838" t="s">
        <v>18767</v>
      </c>
      <c r="H838" t="s">
        <v>18768</v>
      </c>
      <c r="I838" t="s">
        <v>18769</v>
      </c>
      <c r="J838" t="s">
        <v>18770</v>
      </c>
      <c r="K838" t="s">
        <v>18771</v>
      </c>
      <c r="L838" t="s">
        <v>18772</v>
      </c>
      <c r="M838" t="s">
        <v>18773</v>
      </c>
      <c r="N838" t="s">
        <v>18774</v>
      </c>
      <c r="O838">
        <f>-620.437223208951 -122.908332099128 -731.984783233719</f>
        <v>-1475.330338541798</v>
      </c>
      <c r="P838">
        <f>-631.018829377614 -95.593992067163 -416.820960730812</f>
        <v>-1143.4337821755889</v>
      </c>
      <c r="Q838">
        <f>-380.150709294363 -32.7791199915077 -444.416939971058</f>
        <v>-857.34676925692872</v>
      </c>
      <c r="R838" t="s">
        <v>18775</v>
      </c>
      <c r="S838" t="s">
        <v>18776</v>
      </c>
      <c r="T838" t="s">
        <v>18777</v>
      </c>
      <c r="U838" t="s">
        <v>18778</v>
      </c>
      <c r="V838">
        <f>-614.168427844871 -3.29245589061881 -240.582848075377</f>
        <v>-858.0437318108668</v>
      </c>
      <c r="W838" t="s">
        <v>18779</v>
      </c>
      <c r="X838" t="s">
        <v>18780</v>
      </c>
      <c r="Y838" t="s">
        <v>18781</v>
      </c>
    </row>
    <row r="839" spans="1:25" x14ac:dyDescent="0.3">
      <c r="A839">
        <v>41900</v>
      </c>
      <c r="B839" t="s">
        <v>18782</v>
      </c>
      <c r="C839" t="s">
        <v>18783</v>
      </c>
      <c r="D839" t="s">
        <v>18784</v>
      </c>
      <c r="E839" t="s">
        <v>18785</v>
      </c>
      <c r="F839" t="s">
        <v>18786</v>
      </c>
      <c r="G839" t="s">
        <v>18787</v>
      </c>
      <c r="H839" t="s">
        <v>18788</v>
      </c>
      <c r="I839" t="s">
        <v>18789</v>
      </c>
      <c r="J839" t="s">
        <v>18790</v>
      </c>
      <c r="K839" t="s">
        <v>18791</v>
      </c>
      <c r="L839" t="s">
        <v>18792</v>
      </c>
      <c r="M839" t="s">
        <v>18793</v>
      </c>
      <c r="N839" t="s">
        <v>18794</v>
      </c>
      <c r="O839">
        <f>-620.817311011478 -122.80510443841 -732.164991190224</f>
        <v>-1475.7874066401118</v>
      </c>
      <c r="P839">
        <f>-631.460871931449 -95.6689349750886 -416.988056515536</f>
        <v>-1144.1178634220737</v>
      </c>
      <c r="Q839">
        <f>-380.771485811065 -32.2244974166891 -444.767267581923</f>
        <v>-857.76325080967717</v>
      </c>
      <c r="R839" t="s">
        <v>18795</v>
      </c>
      <c r="S839" t="s">
        <v>18796</v>
      </c>
      <c r="T839" t="s">
        <v>18797</v>
      </c>
      <c r="U839" t="s">
        <v>18798</v>
      </c>
      <c r="V839">
        <f>-614.623656653356 -3.47692150215332 -240.614731576062</f>
        <v>-858.71530973157132</v>
      </c>
      <c r="W839" t="s">
        <v>18799</v>
      </c>
      <c r="X839" t="s">
        <v>18800</v>
      </c>
      <c r="Y839" t="s">
        <v>18801</v>
      </c>
    </row>
    <row r="840" spans="1:25" x14ac:dyDescent="0.3">
      <c r="A840">
        <v>41950</v>
      </c>
      <c r="B840" t="s">
        <v>18802</v>
      </c>
      <c r="C840" t="s">
        <v>18803</v>
      </c>
      <c r="D840" t="s">
        <v>18804</v>
      </c>
      <c r="E840" t="s">
        <v>18805</v>
      </c>
      <c r="F840" t="s">
        <v>18806</v>
      </c>
      <c r="G840" t="s">
        <v>18807</v>
      </c>
      <c r="H840" t="s">
        <v>18808</v>
      </c>
      <c r="I840" t="s">
        <v>18809</v>
      </c>
      <c r="J840" t="s">
        <v>18810</v>
      </c>
      <c r="K840" t="s">
        <v>18811</v>
      </c>
      <c r="L840" t="s">
        <v>18812</v>
      </c>
      <c r="M840" t="s">
        <v>18813</v>
      </c>
      <c r="N840" t="s">
        <v>18814</v>
      </c>
      <c r="O840">
        <f>-621.627531217037 -122.731491239987 -732.491214154593</f>
        <v>-1476.850236611617</v>
      </c>
      <c r="P840">
        <f>-631.700675636612 -95.7119448509917 -417.285424103882</f>
        <v>-1144.6980445914858</v>
      </c>
      <c r="Q840">
        <f>-381.267810544226 -31.496157013746 -445.60085848444</f>
        <v>-858.36482604241201</v>
      </c>
      <c r="R840" t="s">
        <v>18815</v>
      </c>
      <c r="S840" t="s">
        <v>18816</v>
      </c>
      <c r="T840" t="s">
        <v>18817</v>
      </c>
      <c r="U840" t="s">
        <v>18818</v>
      </c>
      <c r="V840">
        <f>-615.368805189808 -3.7503079408099 -240.664003830973</f>
        <v>-859.78311696159085</v>
      </c>
      <c r="W840" t="s">
        <v>18819</v>
      </c>
      <c r="X840" t="s">
        <v>18820</v>
      </c>
      <c r="Y840" t="s">
        <v>18821</v>
      </c>
    </row>
    <row r="841" spans="1:25" x14ac:dyDescent="0.3">
      <c r="A841">
        <v>42000</v>
      </c>
      <c r="B841" t="s">
        <v>18822</v>
      </c>
      <c r="C841" t="s">
        <v>18823</v>
      </c>
      <c r="D841" t="s">
        <v>18824</v>
      </c>
      <c r="E841" t="s">
        <v>18825</v>
      </c>
      <c r="F841" t="s">
        <v>18826</v>
      </c>
      <c r="G841" t="s">
        <v>18827</v>
      </c>
      <c r="H841" t="s">
        <v>18828</v>
      </c>
      <c r="I841" t="s">
        <v>18829</v>
      </c>
      <c r="J841" t="s">
        <v>18830</v>
      </c>
      <c r="K841" t="s">
        <v>18831</v>
      </c>
      <c r="L841" t="s">
        <v>18832</v>
      </c>
      <c r="M841" t="s">
        <v>18833</v>
      </c>
      <c r="N841" t="s">
        <v>18834</v>
      </c>
      <c r="O841">
        <f>-622.061699947578 -122.830170482506 -732.590561614193</f>
        <v>-1477.4824320442769</v>
      </c>
      <c r="P841">
        <f>-631.774353567888 -95.9658784075525 -417.360222448763</f>
        <v>-1145.1004544242037</v>
      </c>
      <c r="Q841">
        <f>-381.483319411094 -31.1986160417785 -445.673900397392</f>
        <v>-858.3558358502645</v>
      </c>
      <c r="R841" t="s">
        <v>18835</v>
      </c>
      <c r="S841" t="s">
        <v>18836</v>
      </c>
      <c r="T841" t="s">
        <v>18837</v>
      </c>
      <c r="U841" t="s">
        <v>18838</v>
      </c>
      <c r="V841">
        <f>-615.657917167879 -3.92728879561301 -240.678904526965</f>
        <v>-860.26411049045691</v>
      </c>
      <c r="W841" t="s">
        <v>18839</v>
      </c>
      <c r="X841" t="s">
        <v>18840</v>
      </c>
      <c r="Y841" t="s">
        <v>18841</v>
      </c>
    </row>
    <row r="842" spans="1:25" x14ac:dyDescent="0.3">
      <c r="A842">
        <v>42050</v>
      </c>
      <c r="B842" t="s">
        <v>18842</v>
      </c>
      <c r="C842" t="s">
        <v>18843</v>
      </c>
      <c r="D842" t="s">
        <v>18844</v>
      </c>
      <c r="E842" t="s">
        <v>18845</v>
      </c>
      <c r="F842" t="s">
        <v>18846</v>
      </c>
      <c r="G842" t="s">
        <v>18847</v>
      </c>
      <c r="H842" t="s">
        <v>18848</v>
      </c>
      <c r="I842" t="s">
        <v>18849</v>
      </c>
      <c r="J842" t="s">
        <v>18850</v>
      </c>
      <c r="K842" t="s">
        <v>18851</v>
      </c>
      <c r="L842" t="s">
        <v>18852</v>
      </c>
      <c r="M842" t="s">
        <v>18853</v>
      </c>
      <c r="N842" t="s">
        <v>18854</v>
      </c>
      <c r="O842">
        <f>-623.236158778356 -122.831410213841 -732.739851092883</f>
        <v>-1478.8074200850799</v>
      </c>
      <c r="P842">
        <f>-632.613663354011 -96.4554748297364 -417.45822927711</f>
        <v>-1146.5273674608575</v>
      </c>
      <c r="Q842">
        <f>-382.577968992372 -30.4673862164383 -445.202530903547</f>
        <v>-858.24788611235726</v>
      </c>
      <c r="R842" t="s">
        <v>18855</v>
      </c>
      <c r="S842" t="s">
        <v>18856</v>
      </c>
      <c r="T842" t="s">
        <v>18857</v>
      </c>
      <c r="U842" t="s">
        <v>18858</v>
      </c>
      <c r="V842">
        <f>-616.253310248415 -3.99671278128488 -240.713341644513</f>
        <v>-860.96336467421281</v>
      </c>
      <c r="W842" t="s">
        <v>18859</v>
      </c>
      <c r="X842" t="s">
        <v>18860</v>
      </c>
      <c r="Y842" t="s">
        <v>18861</v>
      </c>
    </row>
    <row r="843" spans="1:25" x14ac:dyDescent="0.3">
      <c r="A843">
        <v>42100</v>
      </c>
      <c r="B843" t="s">
        <v>18862</v>
      </c>
      <c r="C843" t="s">
        <v>18863</v>
      </c>
      <c r="D843" t="s">
        <v>18864</v>
      </c>
      <c r="E843" t="s">
        <v>18865</v>
      </c>
      <c r="F843" t="s">
        <v>18866</v>
      </c>
      <c r="G843" t="s">
        <v>18867</v>
      </c>
      <c r="H843" t="s">
        <v>18868</v>
      </c>
      <c r="I843" t="s">
        <v>18869</v>
      </c>
      <c r="J843" t="s">
        <v>18870</v>
      </c>
      <c r="K843" t="s">
        <v>18871</v>
      </c>
      <c r="L843" t="s">
        <v>18872</v>
      </c>
      <c r="M843" t="s">
        <v>18873</v>
      </c>
      <c r="N843" t="s">
        <v>18874</v>
      </c>
      <c r="O843">
        <f>-623.786341075315 -122.706954390549 -732.761296397996</f>
        <v>-1479.25459186386</v>
      </c>
      <c r="P843">
        <f>-632.911325948647 -96.3630541209088 -417.469389024819</f>
        <v>-1146.7437690943748</v>
      </c>
      <c r="Q843">
        <f>-382.964843773329 -29.8354187434489 -444.725123573521</f>
        <v>-857.52538609029887</v>
      </c>
      <c r="R843" t="s">
        <v>18875</v>
      </c>
      <c r="S843" t="s">
        <v>18876</v>
      </c>
      <c r="T843" t="s">
        <v>18877</v>
      </c>
      <c r="U843" t="s">
        <v>18878</v>
      </c>
      <c r="V843">
        <f>-616.606447865981 -4.00555509935947 -240.718258186167</f>
        <v>-861.33026115150744</v>
      </c>
      <c r="W843" t="s">
        <v>18879</v>
      </c>
      <c r="X843" t="s">
        <v>18880</v>
      </c>
      <c r="Y843" t="s">
        <v>18881</v>
      </c>
    </row>
    <row r="844" spans="1:25" x14ac:dyDescent="0.3">
      <c r="A844">
        <v>42150</v>
      </c>
      <c r="B844" t="s">
        <v>18882</v>
      </c>
      <c r="C844" t="s">
        <v>18883</v>
      </c>
      <c r="D844" t="s">
        <v>18884</v>
      </c>
      <c r="E844" t="s">
        <v>18885</v>
      </c>
      <c r="F844" t="s">
        <v>18886</v>
      </c>
      <c r="G844" t="s">
        <v>18887</v>
      </c>
      <c r="H844" t="s">
        <v>18888</v>
      </c>
      <c r="I844" t="s">
        <v>18889</v>
      </c>
      <c r="J844" t="s">
        <v>18890</v>
      </c>
      <c r="K844" t="s">
        <v>18891</v>
      </c>
      <c r="L844" t="s">
        <v>18892</v>
      </c>
      <c r="M844" t="s">
        <v>18893</v>
      </c>
      <c r="N844" t="s">
        <v>18894</v>
      </c>
      <c r="O844">
        <f>-625.402299763124 -122.674572170994 -732.546541448887</f>
        <v>-1480.6234133830048</v>
      </c>
      <c r="P844">
        <f>-634.678157319554 -96.1483779539009 -417.274461023504</f>
        <v>-1148.1009962969588</v>
      </c>
      <c r="Q844">
        <f>-384.940637261339 -28.6793326784526 -444.12899369606</f>
        <v>-857.74896363585162</v>
      </c>
      <c r="R844" t="s">
        <v>18895</v>
      </c>
      <c r="S844" t="s">
        <v>18896</v>
      </c>
      <c r="T844" t="s">
        <v>18897</v>
      </c>
      <c r="U844" t="s">
        <v>18898</v>
      </c>
      <c r="V844">
        <f>-617.479228978955 -3.96509593827737 -240.726991451079</f>
        <v>-862.17131636831141</v>
      </c>
      <c r="W844" t="s">
        <v>18899</v>
      </c>
      <c r="X844" t="s">
        <v>18900</v>
      </c>
      <c r="Y844" t="s">
        <v>18901</v>
      </c>
    </row>
    <row r="845" spans="1:25" x14ac:dyDescent="0.3">
      <c r="A845">
        <v>42200</v>
      </c>
      <c r="B845" t="s">
        <v>18902</v>
      </c>
      <c r="C845" t="s">
        <v>18903</v>
      </c>
      <c r="D845" t="s">
        <v>18904</v>
      </c>
      <c r="E845" t="s">
        <v>18905</v>
      </c>
      <c r="F845" t="s">
        <v>18906</v>
      </c>
      <c r="G845" t="s">
        <v>18907</v>
      </c>
      <c r="H845" t="s">
        <v>18908</v>
      </c>
      <c r="I845" t="s">
        <v>18909</v>
      </c>
      <c r="J845" t="s">
        <v>18910</v>
      </c>
      <c r="K845" t="s">
        <v>18911</v>
      </c>
      <c r="L845" t="s">
        <v>18912</v>
      </c>
      <c r="M845" t="s">
        <v>18913</v>
      </c>
      <c r="N845" t="s">
        <v>18914</v>
      </c>
      <c r="O845">
        <f>-626.189816701591 -122.668928651918 -732.457215578422</f>
        <v>-1481.3159609319309</v>
      </c>
      <c r="P845">
        <f>-635.210343605836 -96.0528072722962 -417.185256054963</f>
        <v>-1148.4484069330952</v>
      </c>
      <c r="Q845">
        <f>-385.460570649122 -28.4781059752934 -443.657192433123</f>
        <v>-857.59586905753838</v>
      </c>
      <c r="R845" t="s">
        <v>18915</v>
      </c>
      <c r="S845" t="s">
        <v>18916</v>
      </c>
      <c r="T845" t="s">
        <v>18917</v>
      </c>
      <c r="U845" t="s">
        <v>18918</v>
      </c>
      <c r="V845">
        <f>-617.865885576917 -3.96104380700766 -240.728730096418</f>
        <v>-862.55565948034257</v>
      </c>
      <c r="W845" t="s">
        <v>18919</v>
      </c>
      <c r="X845" t="s">
        <v>18920</v>
      </c>
      <c r="Y845" t="s">
        <v>18921</v>
      </c>
    </row>
    <row r="846" spans="1:25" x14ac:dyDescent="0.3">
      <c r="A846">
        <v>42250</v>
      </c>
      <c r="B846" t="s">
        <v>18922</v>
      </c>
      <c r="C846" t="s">
        <v>18923</v>
      </c>
      <c r="D846" t="s">
        <v>18924</v>
      </c>
      <c r="E846" t="s">
        <v>18925</v>
      </c>
      <c r="F846" t="s">
        <v>18926</v>
      </c>
      <c r="G846" t="s">
        <v>18927</v>
      </c>
      <c r="H846" t="s">
        <v>18928</v>
      </c>
      <c r="I846" t="s">
        <v>18929</v>
      </c>
      <c r="J846" t="s">
        <v>18930</v>
      </c>
      <c r="K846" t="s">
        <v>18931</v>
      </c>
      <c r="L846" t="s">
        <v>18932</v>
      </c>
      <c r="M846" t="s">
        <v>18933</v>
      </c>
      <c r="N846" t="s">
        <v>18934</v>
      </c>
      <c r="O846">
        <f>-627.597012314631 -122.860881785832 -732.207257916514</f>
        <v>-1482.6651520169771</v>
      </c>
      <c r="P846">
        <f>-636.885089970681 -96.340061181075 -416.935108033469</f>
        <v>-1150.160259185225</v>
      </c>
      <c r="Q846">
        <f>-387.427848765909 -27.5946088104362 -443.149518186772</f>
        <v>-858.17197576311719</v>
      </c>
      <c r="R846" t="s">
        <v>18935</v>
      </c>
      <c r="S846" t="s">
        <v>18936</v>
      </c>
      <c r="T846" t="s">
        <v>18937</v>
      </c>
      <c r="U846" t="s">
        <v>18938</v>
      </c>
      <c r="V846">
        <f>-618.691626627346 -4.11394282386456 -240.708117808846</f>
        <v>-863.51368726005649</v>
      </c>
      <c r="W846" t="s">
        <v>18939</v>
      </c>
      <c r="X846" t="s">
        <v>18940</v>
      </c>
      <c r="Y846" t="s">
        <v>18941</v>
      </c>
    </row>
    <row r="847" spans="1:25" x14ac:dyDescent="0.3">
      <c r="A847">
        <v>42300</v>
      </c>
      <c r="B847" t="s">
        <v>18942</v>
      </c>
      <c r="C847" t="s">
        <v>18943</v>
      </c>
      <c r="D847" t="s">
        <v>18944</v>
      </c>
      <c r="E847" t="s">
        <v>18945</v>
      </c>
      <c r="F847" t="s">
        <v>18946</v>
      </c>
      <c r="G847" t="s">
        <v>18947</v>
      </c>
      <c r="H847" t="s">
        <v>18948</v>
      </c>
      <c r="I847" t="s">
        <v>18949</v>
      </c>
      <c r="J847" t="s">
        <v>18950</v>
      </c>
      <c r="K847" t="s">
        <v>18951</v>
      </c>
      <c r="L847" t="s">
        <v>18952</v>
      </c>
      <c r="M847" t="s">
        <v>18953</v>
      </c>
      <c r="N847" t="s">
        <v>18954</v>
      </c>
      <c r="O847">
        <f>-628.115728723827 -122.886289809514 -732.129132370422</f>
        <v>-1483.131150903763</v>
      </c>
      <c r="P847">
        <f>-637.471423685163 -96.3316232032922 -416.861799446972</f>
        <v>-1150.6648463354272</v>
      </c>
      <c r="Q847">
        <f>-388.092664907518 -27.3118780384643 -443.102889017535</f>
        <v>-858.50743196351732</v>
      </c>
      <c r="R847" t="s">
        <v>18955</v>
      </c>
      <c r="S847" t="s">
        <v>18956</v>
      </c>
      <c r="T847" t="s">
        <v>18957</v>
      </c>
      <c r="U847" t="s">
        <v>18958</v>
      </c>
      <c r="V847">
        <f>-619.087982180389 -4.16174187551007 -240.703486681696</f>
        <v>-863.9532107375951</v>
      </c>
      <c r="W847" t="s">
        <v>18959</v>
      </c>
      <c r="X847" t="s">
        <v>18960</v>
      </c>
      <c r="Y847" t="s">
        <v>18961</v>
      </c>
    </row>
    <row r="848" spans="1:25" x14ac:dyDescent="0.3">
      <c r="A848">
        <v>42350</v>
      </c>
      <c r="B848" t="s">
        <v>18962</v>
      </c>
      <c r="C848" t="s">
        <v>18963</v>
      </c>
      <c r="D848" t="s">
        <v>18964</v>
      </c>
      <c r="E848" t="s">
        <v>18965</v>
      </c>
      <c r="F848" t="s">
        <v>18966</v>
      </c>
      <c r="G848" t="s">
        <v>18967</v>
      </c>
      <c r="H848" t="s">
        <v>18968</v>
      </c>
      <c r="I848" t="s">
        <v>18969</v>
      </c>
      <c r="J848" t="s">
        <v>18970</v>
      </c>
      <c r="K848" t="s">
        <v>18971</v>
      </c>
      <c r="L848" t="s">
        <v>18972</v>
      </c>
      <c r="M848" t="s">
        <v>18973</v>
      </c>
      <c r="N848" t="s">
        <v>18974</v>
      </c>
      <c r="O848">
        <f>-629.291549931165 -123.053092286297 -731.986840225459</f>
        <v>-1484.331482442921</v>
      </c>
      <c r="P848">
        <f>-638.648487141164 -96.2795011880287 -416.738003889739</f>
        <v>-1151.6659922189317</v>
      </c>
      <c r="Q848">
        <f>-389.068184813964 -27.933714553545 -442.825753671685</f>
        <v>-859.82765303919405</v>
      </c>
      <c r="R848" t="s">
        <v>18975</v>
      </c>
      <c r="S848" t="s">
        <v>18976</v>
      </c>
      <c r="T848" t="s">
        <v>18977</v>
      </c>
      <c r="U848" t="s">
        <v>18978</v>
      </c>
      <c r="V848">
        <f>-619.878431064181 -4.27215628343967 -240.695163587956</f>
        <v>-864.84575093557669</v>
      </c>
      <c r="W848" t="s">
        <v>18979</v>
      </c>
      <c r="X848" t="s">
        <v>18980</v>
      </c>
      <c r="Y848" t="s">
        <v>18981</v>
      </c>
    </row>
    <row r="849" spans="1:25" x14ac:dyDescent="0.3">
      <c r="A849">
        <v>42400</v>
      </c>
      <c r="B849" t="s">
        <v>18982</v>
      </c>
      <c r="C849" t="s">
        <v>18983</v>
      </c>
      <c r="D849" t="s">
        <v>18984</v>
      </c>
      <c r="E849" t="s">
        <v>18985</v>
      </c>
      <c r="F849" t="s">
        <v>18986</v>
      </c>
      <c r="G849" t="s">
        <v>18987</v>
      </c>
      <c r="H849" t="s">
        <v>18988</v>
      </c>
      <c r="I849" t="s">
        <v>18989</v>
      </c>
      <c r="J849" t="s">
        <v>18990</v>
      </c>
      <c r="K849" t="s">
        <v>18991</v>
      </c>
      <c r="L849" t="s">
        <v>18992</v>
      </c>
      <c r="M849" t="s">
        <v>18993</v>
      </c>
      <c r="N849" t="s">
        <v>18994</v>
      </c>
      <c r="O849">
        <f>-629.898822590663 -123.092937476867 -731.979065281406</f>
        <v>-1484.9708253489359</v>
      </c>
      <c r="P849">
        <f>-639.180274395548 -96.4877003493967 -416.71372841845</f>
        <v>-1152.3817031633948</v>
      </c>
      <c r="Q849">
        <f>-389.460075087733 -28.5796148740546 -442.605567413424</f>
        <v>-860.6452573752116</v>
      </c>
      <c r="R849" t="s">
        <v>18995</v>
      </c>
      <c r="S849" t="s">
        <v>18996</v>
      </c>
      <c r="T849" t="s">
        <v>18997</v>
      </c>
      <c r="U849" t="s">
        <v>18998</v>
      </c>
      <c r="V849">
        <f>-620.233701202764 -4.53623182067956 -240.678135619755</f>
        <v>-865.44806864319855</v>
      </c>
      <c r="W849" t="s">
        <v>18999</v>
      </c>
      <c r="X849" t="s">
        <v>19000</v>
      </c>
      <c r="Y849" t="s">
        <v>19001</v>
      </c>
    </row>
    <row r="850" spans="1:25" x14ac:dyDescent="0.3">
      <c r="A850">
        <v>42450</v>
      </c>
      <c r="B850" t="s">
        <v>19002</v>
      </c>
      <c r="C850" t="s">
        <v>19003</v>
      </c>
      <c r="D850" t="s">
        <v>19004</v>
      </c>
      <c r="E850" t="s">
        <v>19005</v>
      </c>
      <c r="F850" t="s">
        <v>19006</v>
      </c>
      <c r="G850" t="s">
        <v>19007</v>
      </c>
      <c r="H850" t="s">
        <v>19008</v>
      </c>
      <c r="I850" t="s">
        <v>19009</v>
      </c>
      <c r="J850" t="s">
        <v>19010</v>
      </c>
      <c r="K850" t="s">
        <v>19011</v>
      </c>
      <c r="L850" t="s">
        <v>19012</v>
      </c>
      <c r="M850" t="s">
        <v>19013</v>
      </c>
      <c r="N850" t="s">
        <v>19014</v>
      </c>
      <c r="O850">
        <f>-630.439679364421 -123.235113455841 -732.069713147979</f>
        <v>-1485.7445059682409</v>
      </c>
      <c r="P850">
        <f>-639.96337301963 -96.7386409005591 -416.802542339324</f>
        <v>-1153.504556259513</v>
      </c>
      <c r="Q850">
        <f>-389.993121188994 -29.7327171300607 -442.631611662371</f>
        <v>-862.35744998142559</v>
      </c>
      <c r="R850" t="s">
        <v>19015</v>
      </c>
      <c r="S850" t="s">
        <v>19016</v>
      </c>
      <c r="T850" t="s">
        <v>19017</v>
      </c>
      <c r="U850" t="s">
        <v>19018</v>
      </c>
      <c r="V850">
        <f>-620.726575653604 -4.80385981736049 -240.677350032966</f>
        <v>-866.20778550393038</v>
      </c>
      <c r="W850" t="s">
        <v>19019</v>
      </c>
      <c r="X850" t="s">
        <v>19020</v>
      </c>
      <c r="Y850" t="s">
        <v>19021</v>
      </c>
    </row>
    <row r="851" spans="1:25" x14ac:dyDescent="0.3">
      <c r="A851">
        <v>42500</v>
      </c>
      <c r="B851" t="s">
        <v>19022</v>
      </c>
      <c r="C851" t="s">
        <v>19023</v>
      </c>
      <c r="D851" t="s">
        <v>19024</v>
      </c>
      <c r="E851" t="s">
        <v>19025</v>
      </c>
      <c r="F851" t="s">
        <v>19026</v>
      </c>
      <c r="G851" t="s">
        <v>19027</v>
      </c>
      <c r="H851" t="s">
        <v>19028</v>
      </c>
      <c r="I851" t="s">
        <v>19029</v>
      </c>
      <c r="J851" t="s">
        <v>19030</v>
      </c>
      <c r="K851" t="s">
        <v>19031</v>
      </c>
      <c r="L851" t="s">
        <v>19032</v>
      </c>
      <c r="M851" t="s">
        <v>19033</v>
      </c>
      <c r="N851" t="s">
        <v>19034</v>
      </c>
      <c r="O851">
        <f>-630.525365350264 -123.17292549302 -732.17294646584</f>
        <v>-1485.8712373091239</v>
      </c>
      <c r="P851">
        <f>-640.032578832332 -96.8499771866954 -416.890752557776</f>
        <v>-1153.7733085768034</v>
      </c>
      <c r="Q851">
        <f>-389.945593925652 -30.3019508173437 -442.77393529873</f>
        <v>-863.02148004172568</v>
      </c>
      <c r="R851" t="s">
        <v>19035</v>
      </c>
      <c r="S851" t="s">
        <v>19036</v>
      </c>
      <c r="T851" t="s">
        <v>19037</v>
      </c>
      <c r="U851" t="s">
        <v>19038</v>
      </c>
      <c r="V851">
        <f>-620.84829350397 -4.89073805439282 -240.680628331736</f>
        <v>-866.41965989009884</v>
      </c>
      <c r="W851" t="s">
        <v>19039</v>
      </c>
      <c r="X851" t="s">
        <v>19040</v>
      </c>
      <c r="Y851" t="s">
        <v>19041</v>
      </c>
    </row>
    <row r="852" spans="1:25" x14ac:dyDescent="0.3">
      <c r="A852">
        <v>42550</v>
      </c>
      <c r="B852" t="s">
        <v>19042</v>
      </c>
      <c r="C852" t="s">
        <v>19043</v>
      </c>
      <c r="D852" t="s">
        <v>19044</v>
      </c>
      <c r="E852" t="s">
        <v>19045</v>
      </c>
      <c r="F852" t="s">
        <v>19046</v>
      </c>
      <c r="G852" t="s">
        <v>19047</v>
      </c>
      <c r="H852" t="s">
        <v>19048</v>
      </c>
      <c r="I852" t="s">
        <v>19049</v>
      </c>
      <c r="J852" t="s">
        <v>19050</v>
      </c>
      <c r="K852" t="s">
        <v>19051</v>
      </c>
      <c r="L852" t="s">
        <v>19052</v>
      </c>
      <c r="M852" t="s">
        <v>19053</v>
      </c>
      <c r="N852" t="s">
        <v>19054</v>
      </c>
      <c r="O852">
        <f>-630.696188637369 -123.153477351129 -732.314924907701</f>
        <v>-1486.1645908961991</v>
      </c>
      <c r="P852">
        <f>-640.165664779221 -96.8337912198222 -417.031282013448</f>
        <v>-1154.0307380124912</v>
      </c>
      <c r="Q852">
        <f>-389.92710862441 -30.9145544230881 -443.057748243321</f>
        <v>-863.89941129081899</v>
      </c>
      <c r="R852" t="s">
        <v>19055</v>
      </c>
      <c r="S852" t="s">
        <v>19056</v>
      </c>
      <c r="T852" t="s">
        <v>19057</v>
      </c>
      <c r="U852" t="s">
        <v>19058</v>
      </c>
      <c r="V852">
        <f>-621.020304573249 -5.25346829956498 -240.667962054029</f>
        <v>-866.94173492684286</v>
      </c>
      <c r="W852" t="s">
        <v>19059</v>
      </c>
      <c r="X852" t="s">
        <v>19060</v>
      </c>
      <c r="Y852" t="s">
        <v>19061</v>
      </c>
    </row>
    <row r="853" spans="1:25" x14ac:dyDescent="0.3">
      <c r="A853">
        <v>42600</v>
      </c>
      <c r="B853" t="s">
        <v>19062</v>
      </c>
      <c r="C853" t="s">
        <v>19063</v>
      </c>
      <c r="D853" t="s">
        <v>19064</v>
      </c>
      <c r="E853" t="s">
        <v>19065</v>
      </c>
      <c r="F853" t="s">
        <v>19066</v>
      </c>
      <c r="G853" t="s">
        <v>19067</v>
      </c>
      <c r="H853" t="s">
        <v>19068</v>
      </c>
      <c r="I853" t="s">
        <v>19069</v>
      </c>
      <c r="J853" t="s">
        <v>19070</v>
      </c>
      <c r="K853" t="s">
        <v>19071</v>
      </c>
      <c r="L853" t="s">
        <v>19072</v>
      </c>
      <c r="M853" t="s">
        <v>19073</v>
      </c>
      <c r="N853" t="s">
        <v>19074</v>
      </c>
      <c r="O853">
        <f>-630.478607847572 -123.10052374644 -732.409835969957</f>
        <v>-1485.988967563969</v>
      </c>
      <c r="P853">
        <f>-639.89637934699 -96.8757742399391 -417.116640745847</f>
        <v>-1153.8887943327761</v>
      </c>
      <c r="Q853">
        <f>-389.591036926254 -31.1322949860394 -442.944560539292</f>
        <v>-863.66789245158543</v>
      </c>
      <c r="R853" t="s">
        <v>19075</v>
      </c>
      <c r="S853" t="s">
        <v>19076</v>
      </c>
      <c r="T853" t="s">
        <v>19077</v>
      </c>
      <c r="U853" t="s">
        <v>19078</v>
      </c>
      <c r="V853">
        <f>-621.073138959158 -5.34597018346525 -240.670822040648</f>
        <v>-867.08993118327123</v>
      </c>
      <c r="W853" t="s">
        <v>19079</v>
      </c>
      <c r="X853" t="s">
        <v>19080</v>
      </c>
      <c r="Y853" t="s">
        <v>19081</v>
      </c>
    </row>
    <row r="854" spans="1:25" x14ac:dyDescent="0.3">
      <c r="A854">
        <v>42650</v>
      </c>
      <c r="B854" t="s">
        <v>19082</v>
      </c>
      <c r="C854" t="s">
        <v>19083</v>
      </c>
      <c r="D854" t="s">
        <v>19084</v>
      </c>
      <c r="E854" t="s">
        <v>19085</v>
      </c>
      <c r="F854" t="s">
        <v>19086</v>
      </c>
      <c r="G854" t="s">
        <v>19087</v>
      </c>
      <c r="H854" t="s">
        <v>19088</v>
      </c>
      <c r="I854" t="s">
        <v>19089</v>
      </c>
      <c r="J854" t="s">
        <v>19090</v>
      </c>
      <c r="K854" t="s">
        <v>19091</v>
      </c>
      <c r="L854" t="s">
        <v>19092</v>
      </c>
      <c r="M854" t="s">
        <v>19093</v>
      </c>
      <c r="N854" t="s">
        <v>19094</v>
      </c>
      <c r="O854">
        <f>-629.816656759642 -123.246664517876 -732.479248475787</f>
        <v>-1485.5425697533051</v>
      </c>
      <c r="P854">
        <f>-639.402284510554 -97.111392727008 -417.18362392311</f>
        <v>-1153.6973011606719</v>
      </c>
      <c r="Q854">
        <f>-389.065469986633 -31.3236034323066 -442.590489601126</f>
        <v>-862.9795630200656</v>
      </c>
      <c r="R854" t="s">
        <v>19095</v>
      </c>
      <c r="S854" t="s">
        <v>19096</v>
      </c>
      <c r="T854" t="s">
        <v>19097</v>
      </c>
      <c r="U854" t="s">
        <v>19098</v>
      </c>
      <c r="V854">
        <f>-621.061098894037 -5.6727094373456 -240.652147838906</f>
        <v>-867.38595617028852</v>
      </c>
      <c r="W854" t="s">
        <v>19099</v>
      </c>
      <c r="X854" t="s">
        <v>19100</v>
      </c>
      <c r="Y854" t="s">
        <v>19101</v>
      </c>
    </row>
    <row r="855" spans="1:25" x14ac:dyDescent="0.3">
      <c r="A855">
        <v>42700</v>
      </c>
      <c r="B855" t="s">
        <v>19102</v>
      </c>
      <c r="C855" t="s">
        <v>19103</v>
      </c>
      <c r="D855" t="s">
        <v>19104</v>
      </c>
      <c r="E855" t="s">
        <v>19105</v>
      </c>
      <c r="F855" t="s">
        <v>19106</v>
      </c>
      <c r="G855" t="s">
        <v>19107</v>
      </c>
      <c r="H855" t="s">
        <v>19108</v>
      </c>
      <c r="I855" t="s">
        <v>19109</v>
      </c>
      <c r="J855" t="s">
        <v>19110</v>
      </c>
      <c r="K855" t="s">
        <v>19111</v>
      </c>
      <c r="L855" t="s">
        <v>19112</v>
      </c>
      <c r="M855" t="s">
        <v>19113</v>
      </c>
      <c r="N855" t="s">
        <v>19114</v>
      </c>
      <c r="O855">
        <f>-629.418615388462 -123.410586301311 -732.506260697709</f>
        <v>-1485.335462387482</v>
      </c>
      <c r="P855">
        <f>-639.212941801779 -97.2455084906468 -417.219588334405</f>
        <v>-1153.6780386268308</v>
      </c>
      <c r="Q855">
        <f>-388.898742772306 -31.2958511060067 -442.42838295939</f>
        <v>-862.62297683770271</v>
      </c>
      <c r="R855" t="s">
        <v>19115</v>
      </c>
      <c r="S855" t="s">
        <v>19116</v>
      </c>
      <c r="T855" t="s">
        <v>19117</v>
      </c>
      <c r="U855" t="s">
        <v>19118</v>
      </c>
      <c r="V855">
        <f>-620.991795907002 -5.83512487320934 -240.63411008149</f>
        <v>-867.46103086170137</v>
      </c>
      <c r="W855" t="s">
        <v>19119</v>
      </c>
      <c r="X855" t="s">
        <v>19120</v>
      </c>
      <c r="Y855" t="s">
        <v>19121</v>
      </c>
    </row>
    <row r="856" spans="1:25" x14ac:dyDescent="0.3">
      <c r="A856">
        <v>42750</v>
      </c>
      <c r="B856" t="s">
        <v>19122</v>
      </c>
      <c r="C856" t="s">
        <v>19123</v>
      </c>
      <c r="D856" t="s">
        <v>19124</v>
      </c>
      <c r="E856" t="s">
        <v>19125</v>
      </c>
      <c r="F856" t="s">
        <v>19126</v>
      </c>
      <c r="G856" t="s">
        <v>19127</v>
      </c>
      <c r="H856" t="s">
        <v>19128</v>
      </c>
      <c r="I856" t="s">
        <v>19129</v>
      </c>
      <c r="J856" t="s">
        <v>19130</v>
      </c>
      <c r="K856" t="s">
        <v>19131</v>
      </c>
      <c r="L856" t="s">
        <v>19132</v>
      </c>
      <c r="M856" t="s">
        <v>19133</v>
      </c>
      <c r="N856" t="s">
        <v>19134</v>
      </c>
      <c r="O856">
        <f>-628.461060939813 -123.567049353713 -732.397835705497</f>
        <v>-1484.425945999023</v>
      </c>
      <c r="P856">
        <f>-638.303403873648 -97.1782623303052 -417.131441217818</f>
        <v>-1152.6131074217712</v>
      </c>
      <c r="Q856">
        <f>-388.008045827386 -30.9715685046319 -441.848941545317</f>
        <v>-860.82855587733491</v>
      </c>
      <c r="R856" t="s">
        <v>19135</v>
      </c>
      <c r="S856" t="s">
        <v>19136</v>
      </c>
      <c r="T856" t="s">
        <v>19137</v>
      </c>
      <c r="U856" t="s">
        <v>19138</v>
      </c>
      <c r="V856">
        <f>-620.456504393459 -5.7407020027478 -240.611623071644</f>
        <v>-866.80882946785073</v>
      </c>
      <c r="W856" t="s">
        <v>19139</v>
      </c>
      <c r="X856" t="s">
        <v>19140</v>
      </c>
      <c r="Y856" t="s">
        <v>19141</v>
      </c>
    </row>
    <row r="857" spans="1:25" x14ac:dyDescent="0.3">
      <c r="A857">
        <v>42800</v>
      </c>
      <c r="B857" t="s">
        <v>19142</v>
      </c>
      <c r="C857" t="s">
        <v>19143</v>
      </c>
      <c r="D857" t="s">
        <v>19144</v>
      </c>
      <c r="E857" t="s">
        <v>19145</v>
      </c>
      <c r="F857" t="s">
        <v>19146</v>
      </c>
      <c r="G857" t="s">
        <v>19147</v>
      </c>
      <c r="H857" t="s">
        <v>19148</v>
      </c>
      <c r="I857" t="s">
        <v>19149</v>
      </c>
      <c r="J857" t="s">
        <v>19150</v>
      </c>
      <c r="K857" t="s">
        <v>19151</v>
      </c>
      <c r="L857" t="s">
        <v>19152</v>
      </c>
      <c r="M857" t="s">
        <v>19153</v>
      </c>
      <c r="N857" t="s">
        <v>19154</v>
      </c>
      <c r="O857">
        <f>-627.999650568457 -123.575362152767 -732.272147630472</f>
        <v>-1483.8471603516959</v>
      </c>
      <c r="P857">
        <f>-637.743654961297 -97.0710004476595 -417.012377311562</f>
        <v>-1151.8270327205184</v>
      </c>
      <c r="Q857">
        <f>-387.494852131009 -30.5907829654628 -441.465518744839</f>
        <v>-859.55115384131079</v>
      </c>
      <c r="R857" t="s">
        <v>19155</v>
      </c>
      <c r="S857" t="s">
        <v>19156</v>
      </c>
      <c r="T857" t="s">
        <v>19157</v>
      </c>
      <c r="U857" t="s">
        <v>19158</v>
      </c>
      <c r="V857">
        <f>-620.179163268399 -5.47612930951654 -240.600159919109</f>
        <v>-866.25545249702441</v>
      </c>
      <c r="W857" t="s">
        <v>19159</v>
      </c>
      <c r="X857" t="s">
        <v>19160</v>
      </c>
      <c r="Y857" t="s">
        <v>19161</v>
      </c>
    </row>
    <row r="858" spans="1:25" x14ac:dyDescent="0.3">
      <c r="A858">
        <v>42850</v>
      </c>
      <c r="B858" t="s">
        <v>19162</v>
      </c>
      <c r="C858" t="s">
        <v>19163</v>
      </c>
      <c r="D858" t="s">
        <v>19164</v>
      </c>
      <c r="E858" t="s">
        <v>19165</v>
      </c>
      <c r="F858" t="s">
        <v>19166</v>
      </c>
      <c r="G858" t="s">
        <v>19167</v>
      </c>
      <c r="H858" t="s">
        <v>19168</v>
      </c>
      <c r="I858" t="s">
        <v>19169</v>
      </c>
      <c r="J858" t="s">
        <v>19170</v>
      </c>
      <c r="K858" t="s">
        <v>19171</v>
      </c>
      <c r="L858" t="s">
        <v>19172</v>
      </c>
      <c r="M858" t="s">
        <v>19173</v>
      </c>
      <c r="N858" t="s">
        <v>19174</v>
      </c>
      <c r="O858">
        <f>-627.396722120227 -123.706769357794 -732.1013597956</f>
        <v>-1483.204851273621</v>
      </c>
      <c r="P858">
        <f>-636.922778135554 -96.7889922056538 -416.86992727708</f>
        <v>-1150.5816976182878</v>
      </c>
      <c r="Q858">
        <f>-386.894628635103 -29.3230674059445 -440.877332683189</f>
        <v>-857.0950287242365</v>
      </c>
      <c r="R858" t="s">
        <v>19175</v>
      </c>
      <c r="S858" t="s">
        <v>19176</v>
      </c>
      <c r="T858" t="s">
        <v>19177</v>
      </c>
      <c r="U858" t="s">
        <v>19178</v>
      </c>
      <c r="V858">
        <f>-619.706594812447 -5.26834004480563 -240.603540233853</f>
        <v>-865.57847509110559</v>
      </c>
      <c r="W858" t="s">
        <v>19179</v>
      </c>
      <c r="X858" t="s">
        <v>19180</v>
      </c>
      <c r="Y858" t="s">
        <v>19181</v>
      </c>
    </row>
    <row r="859" spans="1:25" x14ac:dyDescent="0.3">
      <c r="A859">
        <v>42900</v>
      </c>
      <c r="B859" t="s">
        <v>19182</v>
      </c>
      <c r="C859" t="s">
        <v>19183</v>
      </c>
      <c r="D859" t="s">
        <v>19184</v>
      </c>
      <c r="E859" t="s">
        <v>19185</v>
      </c>
      <c r="F859" t="s">
        <v>19186</v>
      </c>
      <c r="G859" t="s">
        <v>19187</v>
      </c>
      <c r="H859" t="s">
        <v>19188</v>
      </c>
      <c r="I859" t="s">
        <v>19189</v>
      </c>
      <c r="J859" t="s">
        <v>19190</v>
      </c>
      <c r="K859" t="s">
        <v>19191</v>
      </c>
      <c r="L859" t="s">
        <v>19192</v>
      </c>
      <c r="M859" t="s">
        <v>19193</v>
      </c>
      <c r="N859" t="s">
        <v>19194</v>
      </c>
      <c r="O859">
        <f>-626.888994259087 -123.889905346123 -731.995381500827</f>
        <v>-1482.7742811060371</v>
      </c>
      <c r="P859">
        <f>-636.378031518324 -96.8100999986899 -416.77665102578</f>
        <v>-1149.9647825427937</v>
      </c>
      <c r="Q859">
        <f>-386.431204800889 -29.0814559237336 -440.890016180571</f>
        <v>-856.40267690519363</v>
      </c>
      <c r="R859" t="s">
        <v>19195</v>
      </c>
      <c r="S859" t="s">
        <v>19196</v>
      </c>
      <c r="T859" t="s">
        <v>19197</v>
      </c>
      <c r="U859" t="s">
        <v>19198</v>
      </c>
      <c r="V859">
        <f>-619.524589935395 -5.09964016002985 -240.611330286196</f>
        <v>-865.23556038162087</v>
      </c>
      <c r="W859" t="s">
        <v>19199</v>
      </c>
      <c r="X859" t="s">
        <v>19200</v>
      </c>
      <c r="Y859" t="s">
        <v>19201</v>
      </c>
    </row>
    <row r="860" spans="1:25" x14ac:dyDescent="0.3">
      <c r="A860">
        <v>42950</v>
      </c>
      <c r="B860" t="s">
        <v>19202</v>
      </c>
      <c r="C860" t="s">
        <v>19203</v>
      </c>
      <c r="D860" t="s">
        <v>19204</v>
      </c>
      <c r="E860" t="s">
        <v>19205</v>
      </c>
      <c r="F860" t="s">
        <v>19206</v>
      </c>
      <c r="G860" t="s">
        <v>19207</v>
      </c>
      <c r="H860" t="s">
        <v>19208</v>
      </c>
      <c r="I860" t="s">
        <v>19209</v>
      </c>
      <c r="J860" t="s">
        <v>19210</v>
      </c>
      <c r="K860" t="s">
        <v>19211</v>
      </c>
      <c r="L860" t="s">
        <v>19212</v>
      </c>
      <c r="M860" t="s">
        <v>19213</v>
      </c>
      <c r="N860" t="s">
        <v>19214</v>
      </c>
      <c r="O860">
        <f>-626.66274039549 -123.840454977894 -731.727509876842</f>
        <v>-1482.230705250226</v>
      </c>
      <c r="P860">
        <f>-636.029048579816 -96.3391456123219 -416.541562695476</f>
        <v>-1148.9097568876139</v>
      </c>
      <c r="Q860">
        <f>-386.206746656613 -28.5970849691561 -441.876747740985</f>
        <v>-856.68057936675416</v>
      </c>
      <c r="R860" t="s">
        <v>19215</v>
      </c>
      <c r="S860" t="s">
        <v>19216</v>
      </c>
      <c r="T860" t="s">
        <v>19217</v>
      </c>
      <c r="U860" t="s">
        <v>19218</v>
      </c>
      <c r="V860">
        <f>-619.270098596856 -4.47563259025397 -240.624337760218</f>
        <v>-864.37006894732804</v>
      </c>
      <c r="W860" t="s">
        <v>19219</v>
      </c>
      <c r="X860" t="s">
        <v>19220</v>
      </c>
      <c r="Y860" t="s">
        <v>19221</v>
      </c>
    </row>
    <row r="861" spans="1:25" x14ac:dyDescent="0.3">
      <c r="A861">
        <v>43000</v>
      </c>
      <c r="B861" t="s">
        <v>19222</v>
      </c>
      <c r="C861" t="s">
        <v>19223</v>
      </c>
      <c r="D861" t="s">
        <v>19224</v>
      </c>
      <c r="E861" t="s">
        <v>19225</v>
      </c>
      <c r="F861" t="s">
        <v>19226</v>
      </c>
      <c r="G861" t="s">
        <v>19227</v>
      </c>
      <c r="H861" t="s">
        <v>19228</v>
      </c>
      <c r="I861" t="s">
        <v>19229</v>
      </c>
      <c r="J861" t="s">
        <v>19230</v>
      </c>
      <c r="K861" t="s">
        <v>19231</v>
      </c>
      <c r="L861" t="s">
        <v>19232</v>
      </c>
      <c r="M861" t="s">
        <v>19233</v>
      </c>
      <c r="N861" t="s">
        <v>19234</v>
      </c>
      <c r="O861">
        <f>-626.882136158939 -123.623735869375 -731.625312229793</f>
        <v>-1482.1311842581072</v>
      </c>
      <c r="P861">
        <f>-636.143749246332 -96.2740718835717 -416.423071262195</f>
        <v>-1148.8408923920988</v>
      </c>
      <c r="Q861">
        <f>-386.43557934268 -28.4120966567524 -442.54978480963</f>
        <v>-857.39746080906241</v>
      </c>
      <c r="R861" t="s">
        <v>19235</v>
      </c>
      <c r="S861" t="s">
        <v>19236</v>
      </c>
      <c r="T861" t="s">
        <v>19237</v>
      </c>
      <c r="U861" t="s">
        <v>19238</v>
      </c>
      <c r="V861">
        <f>-619.264012313173 -4.16711819848439 -240.635625200569</f>
        <v>-864.0667557122265</v>
      </c>
      <c r="W861" t="s">
        <v>19239</v>
      </c>
      <c r="X861" t="s">
        <v>19240</v>
      </c>
      <c r="Y861" t="s">
        <v>19241</v>
      </c>
    </row>
    <row r="862" spans="1:25" x14ac:dyDescent="0.3">
      <c r="A862">
        <v>43050</v>
      </c>
      <c r="B862" t="s">
        <v>19242</v>
      </c>
      <c r="C862" t="s">
        <v>19243</v>
      </c>
      <c r="D862" t="s">
        <v>19244</v>
      </c>
      <c r="E862" t="s">
        <v>19245</v>
      </c>
      <c r="F862" t="s">
        <v>19246</v>
      </c>
      <c r="G862" t="s">
        <v>19247</v>
      </c>
      <c r="H862" t="s">
        <v>19248</v>
      </c>
      <c r="I862" t="s">
        <v>19249</v>
      </c>
      <c r="J862" t="s">
        <v>19250</v>
      </c>
      <c r="K862" t="s">
        <v>19251</v>
      </c>
      <c r="L862" t="s">
        <v>19252</v>
      </c>
      <c r="M862" t="s">
        <v>19253</v>
      </c>
      <c r="N862" t="s">
        <v>19254</v>
      </c>
      <c r="O862">
        <f>-627.722724933235 -123.305217215515 -731.513423841238</f>
        <v>-1482.541365989988</v>
      </c>
      <c r="P862">
        <f>-636.31780401836 -96.2622393617702 -416.265895759114</f>
        <v>-1148.8459391392441</v>
      </c>
      <c r="Q862">
        <f>-386.87092050858 -28.1471445224279 -444.17044891203</f>
        <v>-859.18851394303783</v>
      </c>
      <c r="R862" t="s">
        <v>19255</v>
      </c>
      <c r="S862" t="s">
        <v>19256</v>
      </c>
      <c r="T862" t="s">
        <v>19257</v>
      </c>
      <c r="U862" t="s">
        <v>19258</v>
      </c>
      <c r="V862">
        <f>-619.473545528175 -3.86113314808578 -240.671938983872</f>
        <v>-864.00661766013275</v>
      </c>
      <c r="W862" t="s">
        <v>19259</v>
      </c>
      <c r="X862" t="s">
        <v>19260</v>
      </c>
      <c r="Y862" t="s">
        <v>19261</v>
      </c>
    </row>
    <row r="863" spans="1:25" x14ac:dyDescent="0.3">
      <c r="A863">
        <v>43100</v>
      </c>
      <c r="B863" t="s">
        <v>19262</v>
      </c>
      <c r="C863" t="s">
        <v>19263</v>
      </c>
      <c r="D863" t="s">
        <v>19264</v>
      </c>
      <c r="E863" t="s">
        <v>19265</v>
      </c>
      <c r="F863" t="s">
        <v>19266</v>
      </c>
      <c r="G863" t="s">
        <v>19267</v>
      </c>
      <c r="H863" t="s">
        <v>19268</v>
      </c>
      <c r="I863" t="s">
        <v>19269</v>
      </c>
      <c r="J863" t="s">
        <v>19270</v>
      </c>
      <c r="K863" t="s">
        <v>19271</v>
      </c>
      <c r="L863" t="s">
        <v>19272</v>
      </c>
      <c r="M863" t="s">
        <v>19273</v>
      </c>
      <c r="N863" t="s">
        <v>19274</v>
      </c>
      <c r="O863">
        <f>-628.346338082357 -123.284052095707 -731.414198360091</f>
        <v>-1483.044588538155</v>
      </c>
      <c r="P863">
        <f>-636.546852012724 -96.3927100507601 -416.143155779057</f>
        <v>-1149.0827178425411</v>
      </c>
      <c r="Q863">
        <f>-387.187676016482 -28.2845210413209 -444.836576080926</f>
        <v>-860.30877313872884</v>
      </c>
      <c r="R863" t="s">
        <v>19275</v>
      </c>
      <c r="S863" t="s">
        <v>19276</v>
      </c>
      <c r="T863" t="s">
        <v>19277</v>
      </c>
      <c r="U863" t="s">
        <v>19278</v>
      </c>
      <c r="V863">
        <f>-619.79451545017 -3.80484852954775 -240.694475538122</f>
        <v>-864.29383951783973</v>
      </c>
      <c r="W863" t="s">
        <v>19279</v>
      </c>
      <c r="X863" t="s">
        <v>19280</v>
      </c>
      <c r="Y863" t="s">
        <v>19281</v>
      </c>
    </row>
    <row r="864" spans="1:25" x14ac:dyDescent="0.3">
      <c r="A864">
        <v>43150</v>
      </c>
      <c r="B864" t="s">
        <v>19282</v>
      </c>
      <c r="C864" t="s">
        <v>19283</v>
      </c>
      <c r="D864" t="s">
        <v>19284</v>
      </c>
      <c r="E864" t="s">
        <v>19285</v>
      </c>
      <c r="F864" t="s">
        <v>19286</v>
      </c>
      <c r="G864" t="s">
        <v>19287</v>
      </c>
      <c r="H864" t="s">
        <v>19288</v>
      </c>
      <c r="I864" t="s">
        <v>19289</v>
      </c>
      <c r="J864" t="s">
        <v>19290</v>
      </c>
      <c r="K864" t="s">
        <v>19291</v>
      </c>
      <c r="L864" t="s">
        <v>19292</v>
      </c>
      <c r="M864" t="s">
        <v>19293</v>
      </c>
      <c r="N864" t="s">
        <v>19294</v>
      </c>
      <c r="O864">
        <f>-629.952575519905 -123.213233797634 -731.259123999</f>
        <v>-1484.424933316539</v>
      </c>
      <c r="P864">
        <f>-637.620655228426 -96.3938918201434 -415.968762685748</f>
        <v>-1149.9833097343173</v>
      </c>
      <c r="Q864">
        <f>-388.458933997577 -28.0742211891281 -445.850857193195</f>
        <v>-862.38401237990001</v>
      </c>
      <c r="R864" t="s">
        <v>19295</v>
      </c>
      <c r="S864" t="s">
        <v>19296</v>
      </c>
      <c r="T864" t="s">
        <v>19297</v>
      </c>
      <c r="U864" t="s">
        <v>19298</v>
      </c>
      <c r="V864">
        <f>-620.538863489664 -3.70618882352203 -240.772773760437</f>
        <v>-865.01782607362293</v>
      </c>
      <c r="W864" t="s">
        <v>19299</v>
      </c>
      <c r="X864" t="s">
        <v>19300</v>
      </c>
      <c r="Y864" t="s">
        <v>19301</v>
      </c>
    </row>
    <row r="865" spans="1:25" x14ac:dyDescent="0.3">
      <c r="A865">
        <v>43200</v>
      </c>
      <c r="B865" t="s">
        <v>19302</v>
      </c>
      <c r="C865" t="s">
        <v>19303</v>
      </c>
      <c r="D865" t="s">
        <v>19304</v>
      </c>
      <c r="E865" t="s">
        <v>19305</v>
      </c>
      <c r="F865" t="s">
        <v>19306</v>
      </c>
      <c r="G865" t="s">
        <v>19307</v>
      </c>
      <c r="H865" t="s">
        <v>19308</v>
      </c>
      <c r="I865" t="s">
        <v>19309</v>
      </c>
      <c r="J865" t="s">
        <v>19310</v>
      </c>
      <c r="K865" t="s">
        <v>19311</v>
      </c>
      <c r="L865" t="s">
        <v>19312</v>
      </c>
      <c r="M865" t="s">
        <v>19313</v>
      </c>
      <c r="N865" t="s">
        <v>19314</v>
      </c>
      <c r="O865">
        <f>-630.689424481742 -123.350384615103 -731.152565661262</f>
        <v>-1485.1923747581068</v>
      </c>
      <c r="P865">
        <f>-638.421027964018 -96.4663742853693 -415.869016417752</f>
        <v>-1150.7564186671393</v>
      </c>
      <c r="Q865">
        <f>-389.368729023425 -27.9570989728327 -446.224879373987</f>
        <v>-863.55070737024471</v>
      </c>
      <c r="R865" t="s">
        <v>19315</v>
      </c>
      <c r="S865" t="s">
        <v>19316</v>
      </c>
      <c r="T865" t="s">
        <v>19317</v>
      </c>
      <c r="U865" t="s">
        <v>19318</v>
      </c>
      <c r="V865">
        <f>-621.030877163906 -3.86359763393172 -240.799756082385</f>
        <v>-865.69423088022268</v>
      </c>
      <c r="W865" t="s">
        <v>19319</v>
      </c>
      <c r="X865" t="s">
        <v>19320</v>
      </c>
      <c r="Y865" t="s">
        <v>19321</v>
      </c>
    </row>
    <row r="866" spans="1:25" x14ac:dyDescent="0.3">
      <c r="A866">
        <v>43250</v>
      </c>
      <c r="B866" t="s">
        <v>19322</v>
      </c>
      <c r="C866" t="s">
        <v>19323</v>
      </c>
      <c r="D866" t="s">
        <v>19324</v>
      </c>
      <c r="E866" t="s">
        <v>19325</v>
      </c>
      <c r="F866" t="s">
        <v>19326</v>
      </c>
      <c r="G866" t="s">
        <v>19327</v>
      </c>
      <c r="H866" t="s">
        <v>19328</v>
      </c>
      <c r="I866" t="s">
        <v>19329</v>
      </c>
      <c r="J866" t="s">
        <v>19330</v>
      </c>
      <c r="K866" t="s">
        <v>19331</v>
      </c>
      <c r="L866" t="s">
        <v>19332</v>
      </c>
      <c r="M866" t="s">
        <v>19333</v>
      </c>
      <c r="N866" t="s">
        <v>19334</v>
      </c>
      <c r="O866">
        <f>-632.234943364559 -123.262669443512 -731.129537475393</f>
        <v>-1486.6271502834638</v>
      </c>
      <c r="P866">
        <f>-639.718351041312 -96.3633404021751 -415.841472663365</f>
        <v>-1151.923164106852</v>
      </c>
      <c r="Q866">
        <f>-390.724566396317 -27.6146483816598 -446.136257479703</f>
        <v>-864.47547225767971</v>
      </c>
      <c r="R866" t="s">
        <v>19335</v>
      </c>
      <c r="S866" t="s">
        <v>19336</v>
      </c>
      <c r="T866" t="s">
        <v>19337</v>
      </c>
      <c r="U866" t="s">
        <v>19338</v>
      </c>
      <c r="V866">
        <f>-621.990212947181 -3.98372425033736 -240.844308065136</f>
        <v>-866.81824526265439</v>
      </c>
      <c r="W866" t="s">
        <v>19339</v>
      </c>
      <c r="X866" t="s">
        <v>19340</v>
      </c>
      <c r="Y866" t="s">
        <v>19341</v>
      </c>
    </row>
    <row r="867" spans="1:25" x14ac:dyDescent="0.3">
      <c r="A867">
        <v>43300</v>
      </c>
      <c r="B867" t="s">
        <v>19342</v>
      </c>
      <c r="C867" t="s">
        <v>19343</v>
      </c>
      <c r="D867" t="s">
        <v>19344</v>
      </c>
      <c r="E867" t="s">
        <v>19345</v>
      </c>
      <c r="F867" t="s">
        <v>19346</v>
      </c>
      <c r="G867" t="s">
        <v>19347</v>
      </c>
      <c r="H867" t="s">
        <v>19348</v>
      </c>
      <c r="I867" t="s">
        <v>19349</v>
      </c>
      <c r="J867" t="s">
        <v>19350</v>
      </c>
      <c r="K867" t="s">
        <v>19351</v>
      </c>
      <c r="L867" t="s">
        <v>19352</v>
      </c>
      <c r="M867" t="s">
        <v>19353</v>
      </c>
      <c r="N867" t="s">
        <v>19354</v>
      </c>
      <c r="O867">
        <f>-633.037178743142 -123.133921804357 -731.118088324363</f>
        <v>-1487.2891888718621</v>
      </c>
      <c r="P867">
        <f>-640.560387009111 -95.9455065116677 -415.855727724309</f>
        <v>-1152.3616212450877</v>
      </c>
      <c r="Q867">
        <f>-391.561687847806 -27.2200159808749 -446.162702525849</f>
        <v>-864.94440635452997</v>
      </c>
      <c r="R867" t="s">
        <v>19355</v>
      </c>
      <c r="S867" t="s">
        <v>19356</v>
      </c>
      <c r="T867" t="s">
        <v>19357</v>
      </c>
      <c r="U867" t="s">
        <v>19358</v>
      </c>
      <c r="V867">
        <f>-622.432081313034 -3.95314928595443 -240.855272535002</f>
        <v>-867.24050313399039</v>
      </c>
      <c r="W867" t="s">
        <v>19359</v>
      </c>
      <c r="X867" t="s">
        <v>19360</v>
      </c>
      <c r="Y867" t="s">
        <v>19361</v>
      </c>
    </row>
    <row r="868" spans="1:25" x14ac:dyDescent="0.3">
      <c r="A868">
        <v>43350</v>
      </c>
      <c r="B868" t="s">
        <v>19362</v>
      </c>
      <c r="C868" t="s">
        <v>19363</v>
      </c>
      <c r="D868" t="s">
        <v>19364</v>
      </c>
      <c r="E868" t="s">
        <v>19365</v>
      </c>
      <c r="F868" t="s">
        <v>19366</v>
      </c>
      <c r="G868" t="s">
        <v>19367</v>
      </c>
      <c r="H868" t="s">
        <v>19368</v>
      </c>
      <c r="I868" t="s">
        <v>19369</v>
      </c>
      <c r="J868" t="s">
        <v>19370</v>
      </c>
      <c r="K868" t="s">
        <v>19371</v>
      </c>
      <c r="L868" t="s">
        <v>19372</v>
      </c>
      <c r="M868" t="s">
        <v>19373</v>
      </c>
      <c r="N868" t="s">
        <v>19374</v>
      </c>
      <c r="O868">
        <f>-634.477374812578 -123.079980653739 -731.105246749805</f>
        <v>-1488.662602216122</v>
      </c>
      <c r="P868">
        <f>-642.002361727172 -95.9530748590542 -415.837656982051</f>
        <v>-1153.7930935682771</v>
      </c>
      <c r="Q868">
        <f>-392.962896508945 -27.2594584631614 -445.88026719897</f>
        <v>-866.1026221710764</v>
      </c>
      <c r="R868" t="s">
        <v>19375</v>
      </c>
      <c r="S868" t="s">
        <v>19376</v>
      </c>
      <c r="T868" t="s">
        <v>19377</v>
      </c>
      <c r="U868" t="s">
        <v>19378</v>
      </c>
      <c r="V868">
        <f>-623.327856421242 -4.06263030846044 -240.866261925815</f>
        <v>-868.25674865551753</v>
      </c>
      <c r="W868" t="s">
        <v>19379</v>
      </c>
      <c r="X868" t="s">
        <v>19380</v>
      </c>
      <c r="Y868" t="s">
        <v>19381</v>
      </c>
    </row>
    <row r="869" spans="1:25" x14ac:dyDescent="0.3">
      <c r="A869">
        <v>43400</v>
      </c>
      <c r="B869" t="s">
        <v>19382</v>
      </c>
      <c r="C869" t="s">
        <v>19383</v>
      </c>
      <c r="D869" t="s">
        <v>19384</v>
      </c>
      <c r="E869" t="s">
        <v>19385</v>
      </c>
      <c r="F869" t="s">
        <v>19386</v>
      </c>
      <c r="G869" t="s">
        <v>19387</v>
      </c>
      <c r="H869" t="s">
        <v>19388</v>
      </c>
      <c r="I869" t="s">
        <v>19389</v>
      </c>
      <c r="J869" t="s">
        <v>19390</v>
      </c>
      <c r="K869" t="s">
        <v>19391</v>
      </c>
      <c r="L869" t="s">
        <v>19392</v>
      </c>
      <c r="M869" t="s">
        <v>19393</v>
      </c>
      <c r="N869" t="s">
        <v>19394</v>
      </c>
      <c r="O869">
        <f>-635.093110929576 -122.966047869054 -731.089811645728</f>
        <v>-1489.1489704443579</v>
      </c>
      <c r="P869">
        <f>-642.595168924238 -96.070314292968 -415.801740459084</f>
        <v>-1154.4672236762899</v>
      </c>
      <c r="Q869">
        <f>-393.624062302953 -27.1718715977638 -445.94238580416</f>
        <v>-866.73831970487686</v>
      </c>
      <c r="R869" t="s">
        <v>19395</v>
      </c>
      <c r="S869" t="s">
        <v>19396</v>
      </c>
      <c r="T869" t="s">
        <v>19397</v>
      </c>
      <c r="U869" t="s">
        <v>19398</v>
      </c>
      <c r="V869">
        <f>-623.835734864005 -4.04902776244043 -240.853979071116</f>
        <v>-868.73874169756141</v>
      </c>
      <c r="W869" t="s">
        <v>19399</v>
      </c>
      <c r="X869" t="s">
        <v>19400</v>
      </c>
      <c r="Y869" t="s">
        <v>19401</v>
      </c>
    </row>
    <row r="870" spans="1:25" x14ac:dyDescent="0.3">
      <c r="A870">
        <v>43450</v>
      </c>
      <c r="B870" t="s">
        <v>19402</v>
      </c>
      <c r="C870" t="s">
        <v>19403</v>
      </c>
      <c r="D870" t="s">
        <v>19404</v>
      </c>
      <c r="E870" t="s">
        <v>19405</v>
      </c>
      <c r="F870" t="s">
        <v>19406</v>
      </c>
      <c r="G870" t="s">
        <v>19407</v>
      </c>
      <c r="H870" t="s">
        <v>19408</v>
      </c>
      <c r="I870" t="s">
        <v>19409</v>
      </c>
      <c r="J870" t="s">
        <v>19410</v>
      </c>
      <c r="K870" t="s">
        <v>19411</v>
      </c>
      <c r="L870" t="s">
        <v>19412</v>
      </c>
      <c r="M870" t="s">
        <v>19413</v>
      </c>
      <c r="N870" t="s">
        <v>19414</v>
      </c>
      <c r="O870">
        <f>-636.464318300254 -123.243753870643 -730.939573179332</f>
        <v>-1490.6476453502291</v>
      </c>
      <c r="P870">
        <f>-643.968816399557 -96.6384925246171 -415.62697593688</f>
        <v>-1156.234284861054</v>
      </c>
      <c r="Q870">
        <f>-395.130364012765 -27.3149394970532 -445.888092003505</f>
        <v>-868.33339551332324</v>
      </c>
      <c r="R870" t="s">
        <v>19415</v>
      </c>
      <c r="S870" t="s">
        <v>19416</v>
      </c>
      <c r="T870" t="s">
        <v>19417</v>
      </c>
      <c r="U870" t="s">
        <v>19418</v>
      </c>
      <c r="V870">
        <f>-624.763346981873 -4.14431859571881 -240.828647694479</f>
        <v>-869.7363132720709</v>
      </c>
      <c r="W870" t="s">
        <v>19419</v>
      </c>
      <c r="X870" t="s">
        <v>19420</v>
      </c>
      <c r="Y870" t="s">
        <v>19421</v>
      </c>
    </row>
    <row r="871" spans="1:25" x14ac:dyDescent="0.3">
      <c r="A871">
        <v>43500</v>
      </c>
      <c r="B871" t="s">
        <v>19422</v>
      </c>
      <c r="C871" t="s">
        <v>19423</v>
      </c>
      <c r="D871" t="s">
        <v>19424</v>
      </c>
      <c r="E871" t="s">
        <v>19425</v>
      </c>
      <c r="F871" t="s">
        <v>19426</v>
      </c>
      <c r="G871" t="s">
        <v>19427</v>
      </c>
      <c r="H871" t="s">
        <v>19428</v>
      </c>
      <c r="I871" t="s">
        <v>19429</v>
      </c>
      <c r="J871" t="s">
        <v>19430</v>
      </c>
      <c r="K871" t="s">
        <v>19431</v>
      </c>
      <c r="L871" t="s">
        <v>19432</v>
      </c>
      <c r="M871" t="s">
        <v>19433</v>
      </c>
      <c r="N871" t="s">
        <v>19434</v>
      </c>
      <c r="O871">
        <f>-636.919682710538 -123.476392874983 -730.833799568429</f>
        <v>-1491.2298751539502</v>
      </c>
      <c r="P871">
        <f>-644.225483955039 -96.8917035602352 -415.514691875024</f>
        <v>-1156.6318793902983</v>
      </c>
      <c r="Q871">
        <f>-395.43250489794 -27.4523339885574 -445.88383266106</f>
        <v>-868.76867154755746</v>
      </c>
      <c r="R871" t="s">
        <v>19435</v>
      </c>
      <c r="S871" t="s">
        <v>19436</v>
      </c>
      <c r="T871" t="s">
        <v>19437</v>
      </c>
      <c r="U871" t="s">
        <v>19438</v>
      </c>
      <c r="V871">
        <f>-625.187960752847 -4.3293766221251 -240.788033440617</f>
        <v>-870.30537081558907</v>
      </c>
      <c r="W871" t="s">
        <v>19439</v>
      </c>
      <c r="X871" t="s">
        <v>19440</v>
      </c>
      <c r="Y871" t="s">
        <v>19441</v>
      </c>
    </row>
    <row r="872" spans="1:25" x14ac:dyDescent="0.3">
      <c r="A872">
        <v>43550</v>
      </c>
      <c r="B872" t="s">
        <v>19442</v>
      </c>
      <c r="C872" t="s">
        <v>19443</v>
      </c>
      <c r="D872" t="s">
        <v>19444</v>
      </c>
      <c r="E872" t="s">
        <v>19445</v>
      </c>
      <c r="F872" t="s">
        <v>19446</v>
      </c>
      <c r="G872" t="s">
        <v>19447</v>
      </c>
      <c r="H872" t="s">
        <v>19448</v>
      </c>
      <c r="I872" t="s">
        <v>19449</v>
      </c>
      <c r="J872" t="s">
        <v>19450</v>
      </c>
      <c r="K872" t="s">
        <v>19451</v>
      </c>
      <c r="L872" t="s">
        <v>19452</v>
      </c>
      <c r="M872" t="s">
        <v>19453</v>
      </c>
      <c r="N872" t="s">
        <v>19454</v>
      </c>
      <c r="O872">
        <f>-637.711024848765 -123.626150524198 -730.583910104902</f>
        <v>-1491.9210854778648</v>
      </c>
      <c r="P872">
        <f>-644.983133615556 -97.3160133919633 -415.241072293037</f>
        <v>-1157.5402193005564</v>
      </c>
      <c r="Q872">
        <f>-396.307495076043 -27.60149557255 -445.939175761814</f>
        <v>-869.84816641040698</v>
      </c>
      <c r="R872" t="s">
        <v>19455</v>
      </c>
      <c r="S872" t="s">
        <v>19456</v>
      </c>
      <c r="T872" t="s">
        <v>19457</v>
      </c>
      <c r="U872" t="s">
        <v>19458</v>
      </c>
      <c r="V872">
        <f>-625.903519193483 -4.5014314270399 -240.726818354248</f>
        <v>-871.13176897477092</v>
      </c>
      <c r="W872" t="s">
        <v>19459</v>
      </c>
      <c r="X872" t="s">
        <v>19460</v>
      </c>
      <c r="Y872" t="s">
        <v>19461</v>
      </c>
    </row>
    <row r="873" spans="1:25" x14ac:dyDescent="0.3">
      <c r="A873">
        <v>43600</v>
      </c>
      <c r="B873" t="s">
        <v>19462</v>
      </c>
      <c r="C873" t="s">
        <v>19463</v>
      </c>
      <c r="D873" t="s">
        <v>19464</v>
      </c>
      <c r="E873" t="s">
        <v>19465</v>
      </c>
      <c r="F873" t="s">
        <v>19466</v>
      </c>
      <c r="G873" t="s">
        <v>19467</v>
      </c>
      <c r="H873" t="s">
        <v>19468</v>
      </c>
      <c r="I873" t="s">
        <v>19469</v>
      </c>
      <c r="J873" t="s">
        <v>19470</v>
      </c>
      <c r="K873" t="s">
        <v>19471</v>
      </c>
      <c r="L873" t="s">
        <v>19472</v>
      </c>
      <c r="M873" t="s">
        <v>19473</v>
      </c>
      <c r="N873" t="s">
        <v>19474</v>
      </c>
      <c r="O873">
        <f>-637.819962530691 -123.516246880064 -730.541855854465</f>
        <v>-1491.8780652652199</v>
      </c>
      <c r="P873">
        <f>-645.042856203018 -97.1897216851344 -415.199182910197</f>
        <v>-1157.4317607983494</v>
      </c>
      <c r="Q873">
        <f>-396.383168334772 -27.4832848350819 -446.044493132172</f>
        <v>-869.91094630202588</v>
      </c>
      <c r="R873" t="s">
        <v>19475</v>
      </c>
      <c r="S873" t="s">
        <v>19476</v>
      </c>
      <c r="T873" t="s">
        <v>19477</v>
      </c>
      <c r="U873" t="s">
        <v>19478</v>
      </c>
      <c r="V873">
        <f>-626.154901818224 -4.43904918701179 -240.688767658351</f>
        <v>-871.28271866358682</v>
      </c>
      <c r="W873" t="s">
        <v>19479</v>
      </c>
      <c r="X873" t="s">
        <v>19480</v>
      </c>
      <c r="Y873" t="s">
        <v>19481</v>
      </c>
    </row>
    <row r="874" spans="1:25" x14ac:dyDescent="0.3">
      <c r="A874">
        <v>43650</v>
      </c>
      <c r="B874" t="s">
        <v>19482</v>
      </c>
      <c r="C874" t="s">
        <v>19483</v>
      </c>
      <c r="D874" t="s">
        <v>19484</v>
      </c>
      <c r="E874" t="s">
        <v>19485</v>
      </c>
      <c r="F874" t="s">
        <v>19486</v>
      </c>
      <c r="G874" t="s">
        <v>19487</v>
      </c>
      <c r="H874" t="s">
        <v>19488</v>
      </c>
      <c r="I874" t="s">
        <v>19489</v>
      </c>
      <c r="J874" t="s">
        <v>19490</v>
      </c>
      <c r="K874" t="s">
        <v>19491</v>
      </c>
      <c r="L874" t="s">
        <v>19492</v>
      </c>
      <c r="M874" t="s">
        <v>19493</v>
      </c>
      <c r="N874" t="s">
        <v>19494</v>
      </c>
      <c r="O874">
        <f>-638.038226725775 -123.466338268661 -730.36317210774</f>
        <v>-1491.8677371021759</v>
      </c>
      <c r="P874">
        <f>-645.290381326031 -97.2600584678415 -415.011287468955</f>
        <v>-1157.5617272628276</v>
      </c>
      <c r="Q874">
        <f>-396.716983961473 -27.4110517588434 -446.227394024383</f>
        <v>-870.35542974469934</v>
      </c>
      <c r="R874" t="s">
        <v>19495</v>
      </c>
      <c r="S874" t="s">
        <v>19496</v>
      </c>
      <c r="T874" t="s">
        <v>19497</v>
      </c>
      <c r="U874" t="s">
        <v>19498</v>
      </c>
      <c r="V874">
        <f>-626.442670734209 -4.42875427044601 -240.458548810113</f>
        <v>-871.32997381476798</v>
      </c>
      <c r="W874" t="s">
        <v>19499</v>
      </c>
      <c r="X874" t="s">
        <v>19500</v>
      </c>
      <c r="Y874" t="s">
        <v>19501</v>
      </c>
    </row>
    <row r="875" spans="1:25" x14ac:dyDescent="0.3">
      <c r="A875">
        <v>43700</v>
      </c>
      <c r="B875" t="s">
        <v>19502</v>
      </c>
      <c r="C875" t="s">
        <v>19503</v>
      </c>
      <c r="D875" t="s">
        <v>19504</v>
      </c>
      <c r="E875" t="s">
        <v>19505</v>
      </c>
      <c r="F875" t="s">
        <v>19506</v>
      </c>
      <c r="G875" t="s">
        <v>19507</v>
      </c>
      <c r="H875" t="s">
        <v>19508</v>
      </c>
      <c r="I875" t="s">
        <v>19509</v>
      </c>
      <c r="J875" t="s">
        <v>19510</v>
      </c>
      <c r="K875" t="s">
        <v>19511</v>
      </c>
      <c r="L875" t="s">
        <v>19512</v>
      </c>
      <c r="M875" t="s">
        <v>19513</v>
      </c>
      <c r="N875" t="s">
        <v>19514</v>
      </c>
      <c r="O875">
        <f>-638.027809981005 -123.003126830679 -730.32817090498</f>
        <v>-1491.3591077166639</v>
      </c>
      <c r="P875">
        <f>-645.398454608467 -97.0659153759848 -414.956658154463</f>
        <v>-1157.4210281389148</v>
      </c>
      <c r="Q875">
        <f>-396.883311685142 -27.0080888989596 -446.168496037005</f>
        <v>-870.05989662110665</v>
      </c>
      <c r="R875" t="s">
        <v>19515</v>
      </c>
      <c r="S875" t="s">
        <v>19516</v>
      </c>
      <c r="T875" t="s">
        <v>19517</v>
      </c>
      <c r="U875" t="s">
        <v>19518</v>
      </c>
      <c r="V875">
        <f>-626.500320263821 -4.33035145212794 -240.28934917394</f>
        <v>-871.12002088988891</v>
      </c>
      <c r="W875" t="s">
        <v>19519</v>
      </c>
      <c r="X875" t="s">
        <v>19520</v>
      </c>
      <c r="Y875" t="s">
        <v>19521</v>
      </c>
    </row>
    <row r="876" spans="1:25" x14ac:dyDescent="0.3">
      <c r="A876">
        <v>43750</v>
      </c>
      <c r="B876" t="s">
        <v>19522</v>
      </c>
      <c r="C876" t="s">
        <v>19523</v>
      </c>
      <c r="D876" t="s">
        <v>19524</v>
      </c>
      <c r="E876" t="s">
        <v>19525</v>
      </c>
      <c r="F876" t="s">
        <v>19526</v>
      </c>
      <c r="G876" t="s">
        <v>19527</v>
      </c>
      <c r="H876" t="s">
        <v>19528</v>
      </c>
      <c r="I876" t="s">
        <v>19529</v>
      </c>
      <c r="J876" t="s">
        <v>19530</v>
      </c>
      <c r="K876" t="s">
        <v>19531</v>
      </c>
      <c r="L876" t="s">
        <v>19532</v>
      </c>
      <c r="M876" t="s">
        <v>19533</v>
      </c>
      <c r="N876" t="s">
        <v>19534</v>
      </c>
      <c r="O876">
        <f>-638.008970414353 -123.401043080059 -730.184105012029</f>
        <v>-1491.5941185064412</v>
      </c>
      <c r="P876">
        <f>-645.496998850247 -97.7246668124365 -414.794181242651</f>
        <v>-1158.0158469053345</v>
      </c>
      <c r="Q876">
        <f>-397.170815560742 -26.9721872734515 -445.942821363275</f>
        <v>-870.08582419746858</v>
      </c>
      <c r="R876" t="s">
        <v>19535</v>
      </c>
      <c r="S876" t="s">
        <v>19536</v>
      </c>
      <c r="T876" t="s">
        <v>19537</v>
      </c>
      <c r="U876" t="s">
        <v>19538</v>
      </c>
      <c r="V876">
        <f>-626.43648026811 -4.61418528928749 -239.929714624777</f>
        <v>-870.98038018217449</v>
      </c>
      <c r="W876" t="s">
        <v>19539</v>
      </c>
      <c r="X876" t="s">
        <v>19540</v>
      </c>
      <c r="Y876" t="s">
        <v>19541</v>
      </c>
    </row>
    <row r="877" spans="1:25" x14ac:dyDescent="0.3">
      <c r="A877">
        <v>43800</v>
      </c>
      <c r="B877" t="s">
        <v>19542</v>
      </c>
      <c r="C877" t="s">
        <v>19543</v>
      </c>
      <c r="D877" t="s">
        <v>19544</v>
      </c>
      <c r="E877" t="s">
        <v>19545</v>
      </c>
      <c r="F877" t="s">
        <v>19546</v>
      </c>
      <c r="G877" t="s">
        <v>19547</v>
      </c>
      <c r="H877" t="s">
        <v>19548</v>
      </c>
      <c r="I877" t="s">
        <v>19549</v>
      </c>
      <c r="J877" t="s">
        <v>19550</v>
      </c>
      <c r="K877" t="s">
        <v>19551</v>
      </c>
      <c r="L877" t="s">
        <v>19552</v>
      </c>
      <c r="M877" t="s">
        <v>19553</v>
      </c>
      <c r="N877" t="s">
        <v>19554</v>
      </c>
      <c r="O877">
        <f>-637.617210972552 -123.60109041412 -730.167130236595</f>
        <v>-1491.3854316232669</v>
      </c>
      <c r="P877">
        <f>-644.881006842542 -98.0934019346058 -414.758320153368</f>
        <v>-1157.7327289305158</v>
      </c>
      <c r="Q877">
        <f>-396.65540901243 -27.0348589090292 -446.011961072092</f>
        <v>-869.70222899355122</v>
      </c>
      <c r="R877" t="s">
        <v>19555</v>
      </c>
      <c r="S877" t="s">
        <v>19556</v>
      </c>
      <c r="T877" t="s">
        <v>19557</v>
      </c>
      <c r="U877" t="s">
        <v>19558</v>
      </c>
      <c r="V877">
        <f>-626.065969926916 -4.75666000832086 -239.848402451091</f>
        <v>-870.67103238632785</v>
      </c>
      <c r="W877" t="s">
        <v>19559</v>
      </c>
      <c r="X877" t="s">
        <v>19560</v>
      </c>
      <c r="Y877" t="s">
        <v>19561</v>
      </c>
    </row>
    <row r="878" spans="1:25" x14ac:dyDescent="0.3">
      <c r="A878">
        <v>43850</v>
      </c>
      <c r="B878" t="s">
        <v>19562</v>
      </c>
      <c r="C878" t="s">
        <v>19563</v>
      </c>
      <c r="D878" t="s">
        <v>19564</v>
      </c>
      <c r="E878" t="s">
        <v>19565</v>
      </c>
      <c r="F878" t="s">
        <v>19566</v>
      </c>
      <c r="G878" t="s">
        <v>19567</v>
      </c>
      <c r="H878" t="s">
        <v>19568</v>
      </c>
      <c r="I878" t="s">
        <v>19569</v>
      </c>
      <c r="J878" t="s">
        <v>19570</v>
      </c>
      <c r="K878" t="s">
        <v>19571</v>
      </c>
      <c r="L878" t="s">
        <v>19572</v>
      </c>
      <c r="M878" t="s">
        <v>19573</v>
      </c>
      <c r="N878" t="s">
        <v>19574</v>
      </c>
      <c r="O878">
        <f>-636.657598908898 -123.447674539673 -730.341982665333</f>
        <v>-1490.4472561139041</v>
      </c>
      <c r="P878">
        <f>-643.637822604606 -98.1310201960336 -414.911293514714</f>
        <v>-1156.6801363153536</v>
      </c>
      <c r="Q878">
        <f>-395.521518669444 -26.6960390156216 -446.17458146024</f>
        <v>-868.39213914530558</v>
      </c>
      <c r="R878" t="s">
        <v>19575</v>
      </c>
      <c r="S878" t="s">
        <v>19576</v>
      </c>
      <c r="T878" t="s">
        <v>19577</v>
      </c>
      <c r="U878" t="s">
        <v>19578</v>
      </c>
      <c r="V878">
        <f>-625.282914083542 -4.73262555478724 -239.814771792933</f>
        <v>-869.8303114312622</v>
      </c>
      <c r="W878" t="s">
        <v>19579</v>
      </c>
      <c r="X878" t="s">
        <v>19580</v>
      </c>
      <c r="Y878" t="s">
        <v>19581</v>
      </c>
    </row>
    <row r="879" spans="1:25" x14ac:dyDescent="0.3">
      <c r="A879">
        <v>43900</v>
      </c>
      <c r="B879" t="s">
        <v>19582</v>
      </c>
      <c r="C879" t="s">
        <v>19583</v>
      </c>
      <c r="D879" t="s">
        <v>19584</v>
      </c>
      <c r="E879" t="s">
        <v>19585</v>
      </c>
      <c r="F879" t="s">
        <v>19586</v>
      </c>
      <c r="G879" t="s">
        <v>19587</v>
      </c>
      <c r="H879" t="s">
        <v>19588</v>
      </c>
      <c r="I879" t="s">
        <v>19589</v>
      </c>
      <c r="J879" t="s">
        <v>19590</v>
      </c>
      <c r="K879" t="s">
        <v>19591</v>
      </c>
      <c r="L879" t="s">
        <v>19592</v>
      </c>
      <c r="M879" t="s">
        <v>19593</v>
      </c>
      <c r="N879" t="s">
        <v>19594</v>
      </c>
      <c r="O879">
        <f>-636.035144370756 -123.226305626877 -730.423629670006</f>
        <v>-1489.685079667639</v>
      </c>
      <c r="P879">
        <f>-643.062599067219 -97.8986643704656 -414.994735076073</f>
        <v>-1155.9559985137575</v>
      </c>
      <c r="Q879">
        <f>-395.060192272209 -26.0478174145205 -446.208725128085</f>
        <v>-867.31673481481448</v>
      </c>
      <c r="R879" t="s">
        <v>19595</v>
      </c>
      <c r="S879" t="s">
        <v>19596</v>
      </c>
      <c r="T879" t="s">
        <v>19597</v>
      </c>
      <c r="U879" t="s">
        <v>19598</v>
      </c>
      <c r="V879">
        <f>-625.046404773873 -4.58745690213436 -239.790903003037</f>
        <v>-869.4247646790443</v>
      </c>
      <c r="W879" t="s">
        <v>19599</v>
      </c>
      <c r="X879" t="s">
        <v>19600</v>
      </c>
      <c r="Y879" t="s">
        <v>19601</v>
      </c>
    </row>
    <row r="880" spans="1:25" x14ac:dyDescent="0.3">
      <c r="A880">
        <v>43950</v>
      </c>
      <c r="B880" t="s">
        <v>19602</v>
      </c>
      <c r="C880" t="s">
        <v>19603</v>
      </c>
      <c r="D880" t="s">
        <v>19604</v>
      </c>
      <c r="E880" t="s">
        <v>19605</v>
      </c>
      <c r="F880" t="s">
        <v>19606</v>
      </c>
      <c r="G880" t="s">
        <v>19607</v>
      </c>
      <c r="H880" t="s">
        <v>19608</v>
      </c>
      <c r="I880" t="s">
        <v>19609</v>
      </c>
      <c r="J880" t="s">
        <v>19610</v>
      </c>
      <c r="K880" t="s">
        <v>19611</v>
      </c>
      <c r="L880" t="s">
        <v>19612</v>
      </c>
      <c r="M880" t="s">
        <v>19613</v>
      </c>
      <c r="N880" t="s">
        <v>19614</v>
      </c>
      <c r="O880">
        <f>-635.448139886465 -122.248220459289 -730.497341756339</f>
        <v>-1488.1937021020931</v>
      </c>
      <c r="P880">
        <f>-642.482504898651 -97.2600200419232 -415.041592025298</f>
        <v>-1154.7841169658723</v>
      </c>
      <c r="Q880">
        <f>-394.791170353981 -24.2004563941537 -445.918428348038</f>
        <v>-864.91005509617275</v>
      </c>
      <c r="R880" t="s">
        <v>19615</v>
      </c>
      <c r="S880" t="s">
        <v>19616</v>
      </c>
      <c r="T880" t="s">
        <v>19617</v>
      </c>
      <c r="U880" t="s">
        <v>19618</v>
      </c>
      <c r="V880">
        <f>-624.417574858885 -3.94781774693339 -239.730745954488</f>
        <v>-868.09613856030637</v>
      </c>
      <c r="W880" t="s">
        <v>19619</v>
      </c>
      <c r="X880" t="s">
        <v>19620</v>
      </c>
      <c r="Y880" t="s">
        <v>19621</v>
      </c>
    </row>
    <row r="881" spans="1:25" x14ac:dyDescent="0.3">
      <c r="A881">
        <v>44000</v>
      </c>
      <c r="B881" t="s">
        <v>19622</v>
      </c>
      <c r="C881" t="s">
        <v>19623</v>
      </c>
      <c r="D881" t="s">
        <v>19624</v>
      </c>
      <c r="E881" t="s">
        <v>19625</v>
      </c>
      <c r="F881" t="s">
        <v>19626</v>
      </c>
      <c r="G881" t="s">
        <v>19627</v>
      </c>
      <c r="H881" t="s">
        <v>19628</v>
      </c>
      <c r="I881" t="s">
        <v>19629</v>
      </c>
      <c r="J881" t="s">
        <v>19630</v>
      </c>
      <c r="K881" t="s">
        <v>19631</v>
      </c>
      <c r="L881" t="s">
        <v>19632</v>
      </c>
      <c r="M881" t="s">
        <v>19633</v>
      </c>
      <c r="N881" t="s">
        <v>19634</v>
      </c>
      <c r="O881">
        <f>-635.155256214929 -121.795878451073 -730.561015366181</f>
        <v>-1487.5121500321829</v>
      </c>
      <c r="P881">
        <f>-642.067050525517 -96.8929766224199 -415.095736841253</f>
        <v>-1154.0557639891899</v>
      </c>
      <c r="Q881">
        <f>-394.482497472385 -23.4143955001985 -445.8340420593</f>
        <v>-863.73093503188352</v>
      </c>
      <c r="R881" t="s">
        <v>19635</v>
      </c>
      <c r="S881" t="s">
        <v>19636</v>
      </c>
      <c r="T881" t="s">
        <v>19637</v>
      </c>
      <c r="U881" t="s">
        <v>19638</v>
      </c>
      <c r="V881">
        <f>-624.012574040781 -3.61210398608259 -239.703121106341</f>
        <v>-867.32779913320462</v>
      </c>
      <c r="W881" t="s">
        <v>19639</v>
      </c>
      <c r="X881" t="s">
        <v>19640</v>
      </c>
      <c r="Y881" t="s">
        <v>19641</v>
      </c>
    </row>
    <row r="882" spans="1:25" x14ac:dyDescent="0.3">
      <c r="A882">
        <v>44050</v>
      </c>
      <c r="B882" t="s">
        <v>19642</v>
      </c>
      <c r="C882" t="s">
        <v>19643</v>
      </c>
      <c r="D882" t="s">
        <v>19644</v>
      </c>
      <c r="E882" t="s">
        <v>19645</v>
      </c>
      <c r="F882" t="s">
        <v>19646</v>
      </c>
      <c r="G882" t="s">
        <v>19647</v>
      </c>
      <c r="H882" t="s">
        <v>19648</v>
      </c>
      <c r="I882" t="s">
        <v>19649</v>
      </c>
      <c r="J882" t="s">
        <v>19650</v>
      </c>
      <c r="K882" t="s">
        <v>19651</v>
      </c>
      <c r="L882" t="s">
        <v>19652</v>
      </c>
      <c r="M882" t="s">
        <v>19653</v>
      </c>
      <c r="N882" t="s">
        <v>19654</v>
      </c>
      <c r="O882">
        <f>-634.530159550884 -121.305270838994 -730.594956788161</f>
        <v>-1486.4303871780389</v>
      </c>
      <c r="P882">
        <f>-641.383168688268 -96.3961230785841 -415.128952492038</f>
        <v>-1152.9082442588901</v>
      </c>
      <c r="Q882">
        <f>-393.905036685087 -22.5457215718853 -445.832907174033</f>
        <v>-862.28366543100526</v>
      </c>
      <c r="R882" t="s">
        <v>19655</v>
      </c>
      <c r="S882" t="s">
        <v>19656</v>
      </c>
      <c r="T882" t="s">
        <v>19657</v>
      </c>
      <c r="U882" t="s">
        <v>19658</v>
      </c>
      <c r="V882">
        <f>-623.091908505271 -3.19403712869723 -239.680252637352</f>
        <v>-865.96619827132031</v>
      </c>
      <c r="W882" t="s">
        <v>19659</v>
      </c>
      <c r="X882" t="s">
        <v>19660</v>
      </c>
      <c r="Y882" t="s">
        <v>19661</v>
      </c>
    </row>
    <row r="883" spans="1:25" x14ac:dyDescent="0.3">
      <c r="A883">
        <v>44100</v>
      </c>
      <c r="B883" t="s">
        <v>19662</v>
      </c>
      <c r="C883" t="s">
        <v>19663</v>
      </c>
      <c r="D883" t="s">
        <v>19664</v>
      </c>
      <c r="E883" t="s">
        <v>19665</v>
      </c>
      <c r="F883" t="s">
        <v>19666</v>
      </c>
      <c r="G883" t="s">
        <v>19667</v>
      </c>
      <c r="H883" t="s">
        <v>19668</v>
      </c>
      <c r="I883" t="s">
        <v>19669</v>
      </c>
      <c r="J883" t="s">
        <v>19670</v>
      </c>
      <c r="K883" t="s">
        <v>19671</v>
      </c>
      <c r="L883" t="s">
        <v>19672</v>
      </c>
      <c r="M883" t="s">
        <v>19673</v>
      </c>
      <c r="N883" t="s">
        <v>19674</v>
      </c>
      <c r="O883">
        <f>-634.250932344511 -120.896628220043 -730.599050358272</f>
        <v>-1485.7466109228262</v>
      </c>
      <c r="P883">
        <f>-641.116888274303 -96.0290621819756 -415.129990212495</f>
        <v>-1152.2759406687737</v>
      </c>
      <c r="Q883">
        <f>-393.609751702272 -22.1786611195472 -445.599026557255</f>
        <v>-861.38743937907418</v>
      </c>
      <c r="R883" t="s">
        <v>19675</v>
      </c>
      <c r="S883" t="s">
        <v>19676</v>
      </c>
      <c r="T883" t="s">
        <v>19677</v>
      </c>
      <c r="U883" t="s">
        <v>19678</v>
      </c>
      <c r="V883">
        <f>-622.622100395043 -2.85684806039817 -239.70563351308</f>
        <v>-865.18458196852123</v>
      </c>
      <c r="W883" t="s">
        <v>19679</v>
      </c>
      <c r="X883" t="s">
        <v>19680</v>
      </c>
      <c r="Y883" t="s">
        <v>19681</v>
      </c>
    </row>
    <row r="884" spans="1:25" x14ac:dyDescent="0.3">
      <c r="A884">
        <v>44150</v>
      </c>
      <c r="B884" t="s">
        <v>19682</v>
      </c>
      <c r="C884" t="s">
        <v>19683</v>
      </c>
      <c r="D884" t="s">
        <v>19684</v>
      </c>
      <c r="E884" t="s">
        <v>19685</v>
      </c>
      <c r="F884" t="s">
        <v>19686</v>
      </c>
      <c r="G884" t="s">
        <v>19687</v>
      </c>
      <c r="H884" t="s">
        <v>19688</v>
      </c>
      <c r="I884" t="s">
        <v>19689</v>
      </c>
      <c r="J884" t="s">
        <v>19690</v>
      </c>
      <c r="K884" t="s">
        <v>19691</v>
      </c>
      <c r="L884" t="s">
        <v>19692</v>
      </c>
      <c r="M884" t="s">
        <v>19693</v>
      </c>
      <c r="N884" t="s">
        <v>19694</v>
      </c>
      <c r="O884">
        <f>-633.439051706708 -119.927967607532 -730.628585289178</f>
        <v>-1483.9956046034181</v>
      </c>
      <c r="P884">
        <f>-640.385819603527 -94.924422219414 -415.172116863634</f>
        <v>-1150.482358686575</v>
      </c>
      <c r="Q884">
        <f>-392.743952030704 -21.3257346238804 -445.15196897598</f>
        <v>-859.22165563056444</v>
      </c>
      <c r="R884" t="s">
        <v>19695</v>
      </c>
      <c r="S884" t="s">
        <v>19696</v>
      </c>
      <c r="T884" t="s">
        <v>19697</v>
      </c>
      <c r="U884" t="s">
        <v>19698</v>
      </c>
      <c r="V884">
        <f>-621.68505737403 -2.06589180762597 -239.776745366452</f>
        <v>-863.52769454810789</v>
      </c>
      <c r="W884" t="s">
        <v>19699</v>
      </c>
      <c r="X884" t="s">
        <v>19700</v>
      </c>
      <c r="Y884" t="s">
        <v>19701</v>
      </c>
    </row>
    <row r="885" spans="1:25" x14ac:dyDescent="0.3">
      <c r="A885">
        <v>44200</v>
      </c>
      <c r="B885" t="s">
        <v>19702</v>
      </c>
      <c r="C885" t="s">
        <v>19703</v>
      </c>
      <c r="D885" t="s">
        <v>19704</v>
      </c>
      <c r="E885" t="s">
        <v>19705</v>
      </c>
      <c r="F885" t="s">
        <v>19706</v>
      </c>
      <c r="G885" t="s">
        <v>19707</v>
      </c>
      <c r="H885" t="s">
        <v>19708</v>
      </c>
      <c r="I885" t="s">
        <v>19709</v>
      </c>
      <c r="J885" t="s">
        <v>19710</v>
      </c>
      <c r="K885" t="s">
        <v>19711</v>
      </c>
      <c r="L885" t="s">
        <v>19712</v>
      </c>
      <c r="M885" t="s">
        <v>19713</v>
      </c>
      <c r="N885" t="s">
        <v>19714</v>
      </c>
      <c r="O885">
        <f>-633.113938194018 -119.553786019654 -730.649813246063</f>
        <v>-1483.3175374597349</v>
      </c>
      <c r="P885">
        <f>-640.099190763697 -94.4962195838629 -415.198450452292</f>
        <v>-1149.7938607998519</v>
      </c>
      <c r="Q885">
        <f>-392.391473282445 -21.0796589669431 -445.080856098339</f>
        <v>-858.55198834772705</v>
      </c>
      <c r="R885" t="s">
        <v>19715</v>
      </c>
      <c r="S885" t="s">
        <v>19716</v>
      </c>
      <c r="T885" t="s">
        <v>19717</v>
      </c>
      <c r="U885" t="s">
        <v>19718</v>
      </c>
      <c r="V885">
        <f>-621.328278944272 -1.68868991089661 -239.788768107911</f>
        <v>-862.80573696307965</v>
      </c>
      <c r="W885" t="s">
        <v>19719</v>
      </c>
      <c r="X885" t="s">
        <v>19720</v>
      </c>
      <c r="Y885" t="s">
        <v>19721</v>
      </c>
    </row>
    <row r="886" spans="1:25" x14ac:dyDescent="0.3">
      <c r="A886">
        <v>44250</v>
      </c>
      <c r="B886" t="s">
        <v>19722</v>
      </c>
      <c r="C886" t="s">
        <v>19723</v>
      </c>
      <c r="D886" t="s">
        <v>19724</v>
      </c>
      <c r="E886" t="s">
        <v>19725</v>
      </c>
      <c r="F886" t="s">
        <v>19726</v>
      </c>
      <c r="G886" t="s">
        <v>19727</v>
      </c>
      <c r="H886" t="s">
        <v>19728</v>
      </c>
      <c r="I886" t="s">
        <v>19729</v>
      </c>
      <c r="J886" t="s">
        <v>19730</v>
      </c>
      <c r="K886" t="s">
        <v>19731</v>
      </c>
      <c r="L886" t="s">
        <v>19732</v>
      </c>
      <c r="M886" t="s">
        <v>19733</v>
      </c>
      <c r="N886" t="s">
        <v>19734</v>
      </c>
      <c r="O886">
        <f>-632.499407201446 -119.166265596961 -730.618556500527</f>
        <v>-1482.284229298934</v>
      </c>
      <c r="P886">
        <f>-639.426482918422 -94.1585622097334 -415.162144587531</f>
        <v>-1148.7471897156865</v>
      </c>
      <c r="Q886">
        <f>-391.527013923579 -21.2915183248696 -444.798360519489</f>
        <v>-857.61689276793754</v>
      </c>
      <c r="R886" t="s">
        <v>19735</v>
      </c>
      <c r="S886" t="s">
        <v>19736</v>
      </c>
      <c r="T886" t="s">
        <v>19737</v>
      </c>
      <c r="U886" t="s">
        <v>19738</v>
      </c>
      <c r="V886">
        <f>-620.469272119863 -1.24374994615209 -239.80753111168</f>
        <v>-861.52055317769509</v>
      </c>
      <c r="W886" t="s">
        <v>19739</v>
      </c>
      <c r="X886" t="s">
        <v>19740</v>
      </c>
      <c r="Y886" t="s">
        <v>19741</v>
      </c>
    </row>
    <row r="887" spans="1:25" x14ac:dyDescent="0.3">
      <c r="A887">
        <v>44300</v>
      </c>
      <c r="B887" t="s">
        <v>19742</v>
      </c>
      <c r="C887" t="s">
        <v>19743</v>
      </c>
      <c r="D887" t="s">
        <v>19744</v>
      </c>
      <c r="E887" t="s">
        <v>19745</v>
      </c>
      <c r="F887" t="s">
        <v>19746</v>
      </c>
      <c r="G887" t="s">
        <v>19747</v>
      </c>
      <c r="H887" t="s">
        <v>19748</v>
      </c>
      <c r="I887" t="s">
        <v>19749</v>
      </c>
      <c r="J887" t="s">
        <v>19750</v>
      </c>
      <c r="K887" t="s">
        <v>19751</v>
      </c>
      <c r="L887" t="s">
        <v>19752</v>
      </c>
      <c r="M887" t="s">
        <v>19753</v>
      </c>
      <c r="N887" t="s">
        <v>19754</v>
      </c>
      <c r="O887">
        <f>-632.30116196283 -119.112157519399 -730.595648382511</f>
        <v>-1482.00896786474</v>
      </c>
      <c r="P887">
        <f>-639.214089707494 -93.9983492673798 -415.147330516072</f>
        <v>-1148.3597694909458</v>
      </c>
      <c r="Q887">
        <f>-391.230660221795 -21.4094733449342 -444.763561629072</f>
        <v>-857.40369519580122</v>
      </c>
      <c r="R887" t="s">
        <v>19755</v>
      </c>
      <c r="S887" t="s">
        <v>19756</v>
      </c>
      <c r="T887" t="s">
        <v>19757</v>
      </c>
      <c r="U887" t="s">
        <v>19758</v>
      </c>
      <c r="V887">
        <f>-620.068599890716 -1.01834397772073 -239.822147002995</f>
        <v>-860.90909087143177</v>
      </c>
      <c r="W887" t="s">
        <v>19759</v>
      </c>
      <c r="X887" t="s">
        <v>19760</v>
      </c>
      <c r="Y887" t="s">
        <v>19761</v>
      </c>
    </row>
    <row r="888" spans="1:25" x14ac:dyDescent="0.3">
      <c r="A888">
        <v>44350</v>
      </c>
      <c r="B888" t="s">
        <v>19762</v>
      </c>
      <c r="C888" t="s">
        <v>19763</v>
      </c>
      <c r="D888" t="s">
        <v>19764</v>
      </c>
      <c r="E888" t="s">
        <v>19765</v>
      </c>
      <c r="F888" t="s">
        <v>19766</v>
      </c>
      <c r="G888" t="s">
        <v>19767</v>
      </c>
      <c r="H888" t="s">
        <v>19768</v>
      </c>
      <c r="I888" t="s">
        <v>19769</v>
      </c>
      <c r="J888" t="s">
        <v>19770</v>
      </c>
      <c r="K888" t="s">
        <v>19771</v>
      </c>
      <c r="L888" t="s">
        <v>19772</v>
      </c>
      <c r="M888" t="s">
        <v>19773</v>
      </c>
      <c r="N888" t="s">
        <v>19774</v>
      </c>
      <c r="O888">
        <f>-632.307776536984 -118.443779387891 -730.577156569591</f>
        <v>-1481.3287124944659</v>
      </c>
      <c r="P888">
        <f>-639.053973091643 -93.1228636067165 -415.141675554385</f>
        <v>-1147.3185122527445</v>
      </c>
      <c r="Q888">
        <f>-390.889519875797 -21.1634416156353 -444.777944841917</f>
        <v>-856.83090633334928</v>
      </c>
      <c r="R888" t="s">
        <v>19775</v>
      </c>
      <c r="S888" t="s">
        <v>19776</v>
      </c>
      <c r="T888" t="s">
        <v>19777</v>
      </c>
      <c r="U888" t="s">
        <v>19778</v>
      </c>
      <c r="V888">
        <f>-619.550125821889 -0.197479368658165 -239.899278677649</f>
        <v>-859.64688386819614</v>
      </c>
      <c r="W888" t="s">
        <v>19779</v>
      </c>
      <c r="X888" t="s">
        <v>19780</v>
      </c>
      <c r="Y888" t="s">
        <v>19781</v>
      </c>
    </row>
    <row r="889" spans="1:25" x14ac:dyDescent="0.3">
      <c r="A889">
        <v>44400</v>
      </c>
      <c r="B889" t="s">
        <v>19782</v>
      </c>
      <c r="C889" t="s">
        <v>19783</v>
      </c>
      <c r="D889" t="s">
        <v>19784</v>
      </c>
      <c r="E889" t="s">
        <v>19785</v>
      </c>
      <c r="F889" t="s">
        <v>19786</v>
      </c>
      <c r="G889" t="s">
        <v>19787</v>
      </c>
      <c r="H889" t="s">
        <v>19788</v>
      </c>
      <c r="I889" t="s">
        <v>19789</v>
      </c>
      <c r="J889" t="s">
        <v>19790</v>
      </c>
      <c r="K889" t="s">
        <v>19791</v>
      </c>
      <c r="L889" t="s">
        <v>19792</v>
      </c>
      <c r="M889" t="s">
        <v>19793</v>
      </c>
      <c r="N889" t="s">
        <v>19794</v>
      </c>
      <c r="O889">
        <f>-632.662968395821 -118.14431154715 -730.609076847522</f>
        <v>-1481.416356790493</v>
      </c>
      <c r="P889">
        <f>-639.202508901569 -92.7696828516707 -415.173453295294</f>
        <v>-1147.1456450485337</v>
      </c>
      <c r="Q889">
        <f>-390.898212940093 -21.188374803532 -444.552829983933</f>
        <v>-856.639417727558</v>
      </c>
      <c r="R889" t="s">
        <v>19795</v>
      </c>
      <c r="S889" t="s">
        <v>19796</v>
      </c>
      <c r="T889" t="s">
        <v>19797</v>
      </c>
      <c r="U889" t="s">
        <v>19798</v>
      </c>
      <c r="V889" t="s">
        <v>19799</v>
      </c>
      <c r="W889" t="s">
        <v>19800</v>
      </c>
      <c r="X889" t="s">
        <v>19801</v>
      </c>
      <c r="Y889" t="s">
        <v>19802</v>
      </c>
    </row>
    <row r="890" spans="1:25" x14ac:dyDescent="0.3">
      <c r="A890">
        <v>44450</v>
      </c>
      <c r="B890" t="s">
        <v>19803</v>
      </c>
      <c r="C890" t="s">
        <v>19804</v>
      </c>
      <c r="D890" t="s">
        <v>19805</v>
      </c>
      <c r="E890" t="s">
        <v>19806</v>
      </c>
      <c r="F890" t="s">
        <v>19807</v>
      </c>
      <c r="G890" t="s">
        <v>19808</v>
      </c>
      <c r="H890" t="s">
        <v>19809</v>
      </c>
      <c r="I890" t="s">
        <v>19810</v>
      </c>
      <c r="J890" t="s">
        <v>19811</v>
      </c>
      <c r="K890" t="s">
        <v>19812</v>
      </c>
      <c r="L890" t="s">
        <v>19813</v>
      </c>
      <c r="M890" t="s">
        <v>19814</v>
      </c>
      <c r="N890" t="s">
        <v>19815</v>
      </c>
      <c r="O890">
        <f>-633.632709980306 -117.618061047681 -730.549062819058</f>
        <v>-1481.799833847045</v>
      </c>
      <c r="P890">
        <f>-639.96026422233 -91.6025850763921 -415.161416044453</f>
        <v>-1146.7242653431751</v>
      </c>
      <c r="Q890">
        <f>-391.362018068347 -20.772203706554 -443.86696716949</f>
        <v>-856.00118894439106</v>
      </c>
      <c r="R890" t="s">
        <v>19816</v>
      </c>
      <c r="S890" t="s">
        <v>19817</v>
      </c>
      <c r="T890" t="s">
        <v>19818</v>
      </c>
      <c r="U890" t="s">
        <v>19819</v>
      </c>
      <c r="V890" t="s">
        <v>19820</v>
      </c>
      <c r="W890" t="s">
        <v>19821</v>
      </c>
      <c r="X890" t="s">
        <v>19822</v>
      </c>
      <c r="Y890" t="s">
        <v>19823</v>
      </c>
    </row>
    <row r="891" spans="1:25" x14ac:dyDescent="0.3">
      <c r="A891">
        <v>44500</v>
      </c>
      <c r="B891" t="s">
        <v>19824</v>
      </c>
      <c r="C891" t="s">
        <v>19825</v>
      </c>
      <c r="D891" t="s">
        <v>19826</v>
      </c>
      <c r="E891" t="s">
        <v>19827</v>
      </c>
      <c r="F891" t="s">
        <v>19828</v>
      </c>
      <c r="G891" t="s">
        <v>19829</v>
      </c>
      <c r="H891" t="s">
        <v>19830</v>
      </c>
      <c r="I891" t="s">
        <v>19831</v>
      </c>
      <c r="J891" t="s">
        <v>19832</v>
      </c>
      <c r="K891" t="s">
        <v>19833</v>
      </c>
      <c r="L891" t="s">
        <v>19834</v>
      </c>
      <c r="M891" t="s">
        <v>19835</v>
      </c>
      <c r="N891" t="s">
        <v>19836</v>
      </c>
      <c r="O891">
        <f>-634.498956724844 -117.581853978225 -730.349723913232</f>
        <v>-1482.430534616301</v>
      </c>
      <c r="P891">
        <f>-640.802928414516 -90.9257659745079 -415.014949909759</f>
        <v>-1146.743644298783</v>
      </c>
      <c r="Q891">
        <f>-391.998993282643 -20.7411817040345 -443.524374906635</f>
        <v>-856.26454989331251</v>
      </c>
      <c r="R891" t="s">
        <v>19837</v>
      </c>
      <c r="S891" t="s">
        <v>19838</v>
      </c>
      <c r="T891" t="s">
        <v>19839</v>
      </c>
      <c r="U891" t="s">
        <v>19840</v>
      </c>
      <c r="V891" t="s">
        <v>19841</v>
      </c>
      <c r="W891" t="s">
        <v>19842</v>
      </c>
      <c r="X891" t="s">
        <v>19843</v>
      </c>
      <c r="Y891" t="s">
        <v>19844</v>
      </c>
    </row>
    <row r="892" spans="1:25" x14ac:dyDescent="0.3">
      <c r="A892">
        <v>44550</v>
      </c>
      <c r="B892" t="s">
        <v>19845</v>
      </c>
      <c r="C892" t="s">
        <v>19846</v>
      </c>
      <c r="D892" t="s">
        <v>19847</v>
      </c>
      <c r="E892" t="s">
        <v>19848</v>
      </c>
      <c r="F892" t="s">
        <v>19849</v>
      </c>
      <c r="G892" t="s">
        <v>19850</v>
      </c>
      <c r="H892" t="s">
        <v>19851</v>
      </c>
      <c r="I892" t="s">
        <v>19852</v>
      </c>
      <c r="J892" t="s">
        <v>19853</v>
      </c>
      <c r="K892" t="s">
        <v>19854</v>
      </c>
      <c r="L892" t="s">
        <v>19855</v>
      </c>
      <c r="M892" t="s">
        <v>19856</v>
      </c>
      <c r="N892" t="s">
        <v>19857</v>
      </c>
      <c r="O892">
        <f>-636.775532341317 -118.396598967469 -728.900916276985</f>
        <v>-1484.0730475857708</v>
      </c>
      <c r="P892">
        <f>-643.256049450567 -89.4675142203765 -413.770265732252</f>
        <v>-1146.4938294031956</v>
      </c>
      <c r="Q892">
        <f>-393.771632364241 -21.8451576426713 -442.524623475779</f>
        <v>-858.14141348269129</v>
      </c>
      <c r="R892" t="s">
        <v>19858</v>
      </c>
      <c r="S892" t="s">
        <v>19859</v>
      </c>
      <c r="T892" t="s">
        <v>19860</v>
      </c>
      <c r="U892" t="s">
        <v>19861</v>
      </c>
      <c r="V892" t="s">
        <v>19862</v>
      </c>
      <c r="W892" t="s">
        <v>19863</v>
      </c>
      <c r="X892" t="s">
        <v>19864</v>
      </c>
      <c r="Y892" t="s">
        <v>19865</v>
      </c>
    </row>
    <row r="893" spans="1:25" x14ac:dyDescent="0.3">
      <c r="A893">
        <v>44600</v>
      </c>
      <c r="B893" t="s">
        <v>19866</v>
      </c>
      <c r="C893" t="s">
        <v>19867</v>
      </c>
      <c r="D893" t="s">
        <v>19868</v>
      </c>
      <c r="E893" t="s">
        <v>19869</v>
      </c>
      <c r="F893" t="s">
        <v>19870</v>
      </c>
      <c r="G893" t="s">
        <v>19871</v>
      </c>
      <c r="H893" t="s">
        <v>19872</v>
      </c>
      <c r="I893" t="s">
        <v>19873</v>
      </c>
      <c r="J893" t="s">
        <v>19874</v>
      </c>
      <c r="K893" t="s">
        <v>19875</v>
      </c>
      <c r="L893" t="s">
        <v>19876</v>
      </c>
      <c r="M893" t="s">
        <v>19877</v>
      </c>
      <c r="N893" t="s">
        <v>19878</v>
      </c>
      <c r="O893">
        <f>-638.382892335821 -119.774514113435 -727.401631337061</f>
        <v>-1485.5590377863168</v>
      </c>
      <c r="P893">
        <f>-645.090849172572 -88.7783514353639 -412.472453104734</f>
        <v>-1146.34165371267</v>
      </c>
      <c r="Q893">
        <f>-395.031493935347 -23.4544277498582 -441.544383068776</f>
        <v>-860.03030475398123</v>
      </c>
      <c r="R893" t="s">
        <v>19879</v>
      </c>
      <c r="S893" t="s">
        <v>19880</v>
      </c>
      <c r="T893" t="s">
        <v>19881</v>
      </c>
      <c r="U893" t="s">
        <v>19882</v>
      </c>
      <c r="V893" t="s">
        <v>19883</v>
      </c>
      <c r="W893" t="s">
        <v>19884</v>
      </c>
      <c r="X893" t="s">
        <v>19885</v>
      </c>
      <c r="Y893" t="s">
        <v>19886</v>
      </c>
    </row>
    <row r="894" spans="1:25" x14ac:dyDescent="0.3">
      <c r="A894">
        <v>44650</v>
      </c>
      <c r="B894" t="s">
        <v>19887</v>
      </c>
      <c r="C894" t="s">
        <v>19888</v>
      </c>
      <c r="D894" t="s">
        <v>19889</v>
      </c>
      <c r="E894" t="s">
        <v>19890</v>
      </c>
      <c r="F894" t="s">
        <v>19891</v>
      </c>
      <c r="G894" t="s">
        <v>19892</v>
      </c>
      <c r="H894" t="s">
        <v>19893</v>
      </c>
      <c r="I894" t="s">
        <v>19894</v>
      </c>
      <c r="J894" t="s">
        <v>19895</v>
      </c>
      <c r="K894" t="s">
        <v>19896</v>
      </c>
      <c r="L894" t="s">
        <v>19897</v>
      </c>
      <c r="M894" t="s">
        <v>19898</v>
      </c>
      <c r="N894" t="s">
        <v>19899</v>
      </c>
      <c r="O894">
        <f>-642.529498749967 -124.608176703212 -722.183192639335</f>
        <v>-1489.320868092514</v>
      </c>
      <c r="P894">
        <f>-649.393390048083 -87.4395218393129 -407.926094978961</f>
        <v>-1144.7590068663569</v>
      </c>
      <c r="Q894">
        <f>-397.887088164082 -28.2203695365305 -437.586089840103</f>
        <v>-863.69354754071549</v>
      </c>
      <c r="R894" t="s">
        <v>19900</v>
      </c>
      <c r="S894" t="s">
        <v>19901</v>
      </c>
      <c r="T894" t="s">
        <v>19902</v>
      </c>
      <c r="U894" t="s">
        <v>19903</v>
      </c>
      <c r="V894" t="s">
        <v>19904</v>
      </c>
      <c r="W894" t="s">
        <v>19905</v>
      </c>
      <c r="X894" t="s">
        <v>19906</v>
      </c>
      <c r="Y894" t="s">
        <v>19907</v>
      </c>
    </row>
    <row r="895" spans="1:25" x14ac:dyDescent="0.3">
      <c r="A895">
        <v>44700</v>
      </c>
      <c r="B895" t="s">
        <v>19908</v>
      </c>
      <c r="C895" t="s">
        <v>19909</v>
      </c>
      <c r="D895" t="s">
        <v>19910</v>
      </c>
      <c r="E895" t="s">
        <v>19911</v>
      </c>
      <c r="F895" t="s">
        <v>19912</v>
      </c>
      <c r="G895" t="s">
        <v>19913</v>
      </c>
      <c r="H895" t="s">
        <v>19914</v>
      </c>
      <c r="I895">
        <f>-551.028484989205 -8.51905610200324 -927.73115730981</f>
        <v>-1487.2786984010181</v>
      </c>
      <c r="J895" t="s">
        <v>19915</v>
      </c>
      <c r="K895" t="s">
        <v>19916</v>
      </c>
      <c r="L895" t="s">
        <v>19917</v>
      </c>
      <c r="M895" t="s">
        <v>19918</v>
      </c>
      <c r="N895" t="s">
        <v>19919</v>
      </c>
      <c r="O895">
        <f>-644.661562726544 -128.09775632136 -718.677207122119</f>
        <v>-1491.4365261700229</v>
      </c>
      <c r="P895">
        <f>-651.501332409603 -86.6856065627118 -404.950468922615</f>
        <v>-1143.1374078949298</v>
      </c>
      <c r="Q895">
        <f>-399.182114299558 -30.9939133253322 -434.539438287541</f>
        <v>-864.71546591243123</v>
      </c>
      <c r="R895" t="s">
        <v>19920</v>
      </c>
      <c r="S895" t="s">
        <v>19921</v>
      </c>
      <c r="T895" t="s">
        <v>19922</v>
      </c>
      <c r="U895" t="s">
        <v>19923</v>
      </c>
      <c r="V895" t="s">
        <v>19924</v>
      </c>
      <c r="W895" t="s">
        <v>19925</v>
      </c>
      <c r="X895" t="s">
        <v>19926</v>
      </c>
      <c r="Y895" t="s">
        <v>19927</v>
      </c>
    </row>
    <row r="896" spans="1:25" x14ac:dyDescent="0.3">
      <c r="A896">
        <v>44750</v>
      </c>
      <c r="B896" t="s">
        <v>19928</v>
      </c>
      <c r="C896" t="s">
        <v>19929</v>
      </c>
      <c r="D896" t="s">
        <v>19930</v>
      </c>
      <c r="E896" t="s">
        <v>19931</v>
      </c>
      <c r="F896" t="s">
        <v>19932</v>
      </c>
      <c r="G896" t="s">
        <v>19933</v>
      </c>
      <c r="H896" t="s">
        <v>19934</v>
      </c>
      <c r="I896">
        <f>-551.080865359564 -29.2198696183539 -922.44351446</f>
        <v>-1502.7442494379179</v>
      </c>
      <c r="J896" t="s">
        <v>19935</v>
      </c>
      <c r="K896" t="s">
        <v>19936</v>
      </c>
      <c r="L896" t="s">
        <v>19937</v>
      </c>
      <c r="M896" t="s">
        <v>19938</v>
      </c>
      <c r="N896">
        <f>-613.721155878081 -5.93383111935416 -766.40353585692</f>
        <v>-1386.0585228543553</v>
      </c>
      <c r="O896">
        <f>-649.700994706748 -136.915844340366 -710.080772168572</f>
        <v>-1496.697611215686</v>
      </c>
      <c r="P896">
        <f>-655.93242353534 -85.1763745744131 -397.878294275559</f>
        <v>-1138.9870923853123</v>
      </c>
      <c r="Q896">
        <f>-402.135162195551 -36.5948447552739 -427.35425458425</f>
        <v>-866.0842615350748</v>
      </c>
      <c r="R896" t="s">
        <v>19939</v>
      </c>
      <c r="S896" t="s">
        <v>19940</v>
      </c>
      <c r="T896" t="s">
        <v>19941</v>
      </c>
      <c r="U896" t="s">
        <v>19942</v>
      </c>
      <c r="V896" t="s">
        <v>19943</v>
      </c>
      <c r="W896" t="s">
        <v>19944</v>
      </c>
      <c r="X896" t="s">
        <v>19945</v>
      </c>
      <c r="Y896" t="s">
        <v>19946</v>
      </c>
    </row>
    <row r="897" spans="1:25" x14ac:dyDescent="0.3">
      <c r="A897">
        <v>44800</v>
      </c>
      <c r="B897" t="s">
        <v>19947</v>
      </c>
      <c r="C897" t="s">
        <v>19948</v>
      </c>
      <c r="D897" t="s">
        <v>19949</v>
      </c>
      <c r="E897" t="s">
        <v>19950</v>
      </c>
      <c r="F897" t="s">
        <v>19951</v>
      </c>
      <c r="G897" t="s">
        <v>19952</v>
      </c>
      <c r="H897">
        <f>-597.561492868354 -4.12506209922193 -836.142694664559</f>
        <v>-1437.8292496321351</v>
      </c>
      <c r="I897">
        <f>-551.166159455277 -40.8310740334141 -919.107192868666</f>
        <v>-1511.1044263573572</v>
      </c>
      <c r="J897" t="s">
        <v>19953</v>
      </c>
      <c r="K897" t="s">
        <v>19954</v>
      </c>
      <c r="L897" t="s">
        <v>19955</v>
      </c>
      <c r="M897" t="s">
        <v>19956</v>
      </c>
      <c r="N897">
        <f>-614.197711460396 -12.7849571045363 -764.023548573697</f>
        <v>-1391.0062171386294</v>
      </c>
      <c r="O897">
        <f>-652.1668688868 -142.025678578825 -705.034424540718</f>
        <v>-1499.226972006343</v>
      </c>
      <c r="P897">
        <f>-657.741873709745 -84.3800509731421 -393.855922539221</f>
        <v>-1135.9778472221083</v>
      </c>
      <c r="Q897">
        <f>-403.306832389819 -39.2761353788915 -423.360052827133</f>
        <v>-865.94302059584356</v>
      </c>
      <c r="R897" t="s">
        <v>19957</v>
      </c>
      <c r="S897" t="s">
        <v>19958</v>
      </c>
      <c r="T897" t="s">
        <v>19959</v>
      </c>
      <c r="U897" t="s">
        <v>19960</v>
      </c>
      <c r="V897" t="s">
        <v>19961</v>
      </c>
      <c r="W897" t="s">
        <v>19962</v>
      </c>
      <c r="X897" t="s">
        <v>19963</v>
      </c>
      <c r="Y897" t="s">
        <v>19964</v>
      </c>
    </row>
    <row r="898" spans="1:25" x14ac:dyDescent="0.3">
      <c r="A898">
        <v>44850</v>
      </c>
      <c r="B898" t="s">
        <v>19965</v>
      </c>
      <c r="C898" t="s">
        <v>19966</v>
      </c>
      <c r="D898" t="s">
        <v>19967</v>
      </c>
      <c r="E898" t="s">
        <v>19968</v>
      </c>
      <c r="F898" t="s">
        <v>19969</v>
      </c>
      <c r="G898" t="s">
        <v>19970</v>
      </c>
      <c r="H898">
        <f>-598.030984931785 -23.2951853421137 -830.78315402661</f>
        <v>-1452.1093243005087</v>
      </c>
      <c r="I898">
        <f>-551.937819496552 -65.4444247518948 -911.293155920573</f>
        <v>-1528.6754001690197</v>
      </c>
      <c r="J898" t="s">
        <v>19971</v>
      </c>
      <c r="K898" t="s">
        <v>19972</v>
      </c>
      <c r="L898" t="s">
        <v>19973</v>
      </c>
      <c r="M898" t="s">
        <v>19974</v>
      </c>
      <c r="N898">
        <f>-615.718438665057 -27.8310004306487 -758.537106092991</f>
        <v>-1402.0865451886966</v>
      </c>
      <c r="O898">
        <f>-657.698199525629 -153.225300236773 -694.187105222912</f>
        <v>-1505.110604985314</v>
      </c>
      <c r="P898">
        <f>-661.353691984326 -83.4407966309025 -385.475361134206</f>
        <v>-1130.2698497494346</v>
      </c>
      <c r="Q898">
        <f>-405.923201487296 -44.7880785408242 -415.530127287596</f>
        <v>-866.24140731571617</v>
      </c>
      <c r="R898" t="s">
        <v>19975</v>
      </c>
      <c r="S898" t="s">
        <v>19976</v>
      </c>
      <c r="T898" t="s">
        <v>19977</v>
      </c>
      <c r="U898" t="s">
        <v>19978</v>
      </c>
      <c r="V898" t="s">
        <v>19979</v>
      </c>
      <c r="W898" t="s">
        <v>19980</v>
      </c>
      <c r="X898" t="s">
        <v>19981</v>
      </c>
      <c r="Y898" t="s">
        <v>19982</v>
      </c>
    </row>
    <row r="899" spans="1:25" x14ac:dyDescent="0.3">
      <c r="A899">
        <v>44900</v>
      </c>
      <c r="B899" t="s">
        <v>19983</v>
      </c>
      <c r="C899" t="s">
        <v>19984</v>
      </c>
      <c r="D899" t="s">
        <v>19985</v>
      </c>
      <c r="E899" t="s">
        <v>19986</v>
      </c>
      <c r="F899" t="s">
        <v>19987</v>
      </c>
      <c r="G899" t="s">
        <v>19988</v>
      </c>
      <c r="H899">
        <f>-597.83902755423 -32.8402949920723 -827.892317595342</f>
        <v>-1458.5716401416444</v>
      </c>
      <c r="I899">
        <f>-551.855890542888 -77.3483340619193 -907.186401549307</f>
        <v>-1536.3906261541142</v>
      </c>
      <c r="J899" t="s">
        <v>19989</v>
      </c>
      <c r="K899" t="s">
        <v>19990</v>
      </c>
      <c r="L899" t="s">
        <v>19991</v>
      </c>
      <c r="M899" t="s">
        <v>19992</v>
      </c>
      <c r="N899">
        <f>-616.024440956073 -35.4717225611339 -755.675360017295</f>
        <v>-1407.1715235345018</v>
      </c>
      <c r="O899">
        <f>-659.821747398084 -158.970590730262 -688.885024523587</f>
        <v>-1507.677362651933</v>
      </c>
      <c r="P899">
        <f>-662.488038149127 -83.5611956414728 -381.488777251835</f>
        <v>-1127.5380110424348</v>
      </c>
      <c r="Q899">
        <f>-406.696585230847 -47.6172186672208 -411.833725580646</f>
        <v>-866.14752947871375</v>
      </c>
      <c r="R899" t="s">
        <v>19993</v>
      </c>
      <c r="S899" t="s">
        <v>19994</v>
      </c>
      <c r="T899" t="s">
        <v>19995</v>
      </c>
      <c r="U899" t="s">
        <v>19996</v>
      </c>
      <c r="V899" t="s">
        <v>19997</v>
      </c>
      <c r="W899" t="s">
        <v>19998</v>
      </c>
      <c r="X899" t="s">
        <v>19999</v>
      </c>
      <c r="Y899" t="s">
        <v>20000</v>
      </c>
    </row>
    <row r="900" spans="1:25" x14ac:dyDescent="0.3">
      <c r="A900">
        <v>44950</v>
      </c>
      <c r="B900" t="s">
        <v>20001</v>
      </c>
      <c r="C900" t="s">
        <v>20002</v>
      </c>
      <c r="D900" t="s">
        <v>20003</v>
      </c>
      <c r="E900" t="s">
        <v>20004</v>
      </c>
      <c r="F900" t="s">
        <v>20005</v>
      </c>
      <c r="G900" t="s">
        <v>20006</v>
      </c>
      <c r="H900">
        <f>-595.824183544479 -50.2292978112281 -822.265122861184</f>
        <v>-1468.3186042168909</v>
      </c>
      <c r="I900">
        <f>-549.946837916345 -98.2747118421979 -899.530262264361</f>
        <v>-1547.7518120229038</v>
      </c>
      <c r="J900" t="s">
        <v>20007</v>
      </c>
      <c r="K900" t="s">
        <v>20008</v>
      </c>
      <c r="L900" t="s">
        <v>20009</v>
      </c>
      <c r="M900" t="s">
        <v>20010</v>
      </c>
      <c r="N900">
        <f>-614.814346350637 -49.8475023536247 -750.208699417598</f>
        <v>-1414.8705481218599</v>
      </c>
      <c r="O900">
        <f>-661.029264900415 -170.296814266037 -679.61228653366</f>
        <v>-1510.9383657001122</v>
      </c>
      <c r="P900">
        <f>-662.738682627008 -85.7161402184175 -374.60530497104</f>
        <v>-1123.0601278164654</v>
      </c>
      <c r="Q900">
        <f>-406.412075980581 -53.626634312981 -404.754752676219</f>
        <v>-864.79346296978099</v>
      </c>
      <c r="R900" t="s">
        <v>20011</v>
      </c>
      <c r="S900" t="s">
        <v>20012</v>
      </c>
      <c r="T900" t="s">
        <v>20013</v>
      </c>
      <c r="U900" t="s">
        <v>20014</v>
      </c>
      <c r="V900" t="s">
        <v>20015</v>
      </c>
      <c r="W900" t="s">
        <v>20016</v>
      </c>
      <c r="X900" t="s">
        <v>20017</v>
      </c>
      <c r="Y900" t="s">
        <v>20018</v>
      </c>
    </row>
    <row r="901" spans="1:25" x14ac:dyDescent="0.3">
      <c r="A901">
        <v>45000</v>
      </c>
      <c r="B901" t="s">
        <v>20019</v>
      </c>
      <c r="C901" t="s">
        <v>20020</v>
      </c>
      <c r="D901" t="s">
        <v>20021</v>
      </c>
      <c r="E901" t="s">
        <v>20022</v>
      </c>
      <c r="F901" t="s">
        <v>20023</v>
      </c>
      <c r="G901" t="s">
        <v>20024</v>
      </c>
      <c r="H901">
        <f>-594.416714855728 -57.0774353001148 -819.891050062159</f>
        <v>-1471.3852002180017</v>
      </c>
      <c r="I901">
        <f>-548.535137962528 -106.279513253154 -896.422137861868</f>
        <v>-1551.2367890775499</v>
      </c>
      <c r="J901" t="s">
        <v>20025</v>
      </c>
      <c r="K901" t="s">
        <v>20026</v>
      </c>
      <c r="L901" t="s">
        <v>20027</v>
      </c>
      <c r="M901" t="s">
        <v>20028</v>
      </c>
      <c r="N901">
        <f>-613.702940579114 -55.6384043522599 -747.926454121456</f>
        <v>-1417.26779905283</v>
      </c>
      <c r="O901">
        <f>-660.522496160942 -175.070147753847 -676.016886282205</f>
        <v>-1511.609530196994</v>
      </c>
      <c r="P901">
        <f>-662.254880363376 -87.2350059882357 -371.931112222593</f>
        <v>-1121.4209985742045</v>
      </c>
      <c r="Q901">
        <f>-405.780934312253 -56.1448613207746 -401.873763640298</f>
        <v>-863.79955927332571</v>
      </c>
      <c r="R901" t="s">
        <v>20029</v>
      </c>
      <c r="S901" t="s">
        <v>20030</v>
      </c>
      <c r="T901" t="s">
        <v>20031</v>
      </c>
      <c r="U901" t="s">
        <v>20032</v>
      </c>
      <c r="V901" t="s">
        <v>20033</v>
      </c>
      <c r="W901" t="s">
        <v>20034</v>
      </c>
      <c r="X901" t="s">
        <v>20035</v>
      </c>
      <c r="Y901" t="s">
        <v>20036</v>
      </c>
    </row>
    <row r="902" spans="1:25" x14ac:dyDescent="0.3">
      <c r="A902">
        <v>45050</v>
      </c>
      <c r="B902" t="s">
        <v>20037</v>
      </c>
      <c r="C902" t="s">
        <v>20038</v>
      </c>
      <c r="D902" t="s">
        <v>20039</v>
      </c>
      <c r="E902" t="s">
        <v>20040</v>
      </c>
      <c r="F902" t="s">
        <v>20041</v>
      </c>
      <c r="G902" t="s">
        <v>20042</v>
      </c>
      <c r="H902">
        <f>-592.83719503256 -62.3126459102207 -818.008814214276</f>
        <v>-1473.1586551570567</v>
      </c>
      <c r="I902">
        <f>-546.917060292954 -112.199062518153 -894.072350635212</f>
        <v>-1553.1884734463192</v>
      </c>
      <c r="J902">
        <f>-593.91717326692 -4.58103820515204 -770.904447287299</f>
        <v>-1369.4026587593712</v>
      </c>
      <c r="K902" t="s">
        <v>20043</v>
      </c>
      <c r="L902" t="s">
        <v>20044</v>
      </c>
      <c r="M902" t="s">
        <v>20045</v>
      </c>
      <c r="N902">
        <f>-612.293355333237 -60.1762010336428 -746.107354924519</f>
        <v>-1418.5769112913986</v>
      </c>
      <c r="O902">
        <f>-659.165605205434 -179.022626949178 -673.258687841435</f>
        <v>-1511.446919996047</v>
      </c>
      <c r="P902">
        <f>-661.194731205197 -88.7803333405416 -369.88047612726</f>
        <v>-1119.8555406729986</v>
      </c>
      <c r="Q902">
        <f>-404.638367208015 -58.1571472003818 -399.597369843885</f>
        <v>-862.39288425228187</v>
      </c>
      <c r="R902" t="s">
        <v>20046</v>
      </c>
      <c r="S902" t="s">
        <v>20047</v>
      </c>
      <c r="T902" t="s">
        <v>20048</v>
      </c>
      <c r="U902" t="s">
        <v>20049</v>
      </c>
      <c r="V902" t="s">
        <v>20050</v>
      </c>
      <c r="W902" t="s">
        <v>20051</v>
      </c>
      <c r="X902" t="s">
        <v>20052</v>
      </c>
      <c r="Y902" t="s">
        <v>20053</v>
      </c>
    </row>
    <row r="903" spans="1:25" x14ac:dyDescent="0.3">
      <c r="A903">
        <v>45100</v>
      </c>
      <c r="B903" t="s">
        <v>20054</v>
      </c>
      <c r="C903" t="s">
        <v>20055</v>
      </c>
      <c r="D903" t="s">
        <v>20056</v>
      </c>
      <c r="E903" t="s">
        <v>20057</v>
      </c>
      <c r="F903" t="s">
        <v>20058</v>
      </c>
      <c r="G903">
        <f>-613.704336898649 -0.541136924716845 -682.445565925801</f>
        <v>-1296.691039749167</v>
      </c>
      <c r="H903">
        <f>-589.895769805557 -69.0445559110176 -816.387367271516</f>
        <v>-1475.3276929880908</v>
      </c>
      <c r="I903">
        <f>-543.72346592478 -118.933740152273 -892.296291333693</f>
        <v>-1554.953497410746</v>
      </c>
      <c r="J903">
        <f>-591.473994960029 -10.9576192597308 -769.736231687682</f>
        <v>-1372.1678459074419</v>
      </c>
      <c r="K903" t="s">
        <v>20059</v>
      </c>
      <c r="L903" t="s">
        <v>20060</v>
      </c>
      <c r="M903" t="s">
        <v>20061</v>
      </c>
      <c r="N903">
        <f>-609.386638662656 -66.5102066943043 -744.508337553639</f>
        <v>-1420.4051829105993</v>
      </c>
      <c r="O903">
        <f>-655.132101032702 -185.272090550307 -670.820303101936</f>
        <v>-1511.2244946849451</v>
      </c>
      <c r="P903">
        <f>-657.768313053987 -92.7880146783211 -368.122554384689</f>
        <v>-1118.6788821169971</v>
      </c>
      <c r="Q903">
        <f>-401.251500458701 -61.8893074030779 -397.895741699307</f>
        <v>-861.03654956108585</v>
      </c>
      <c r="R903" t="s">
        <v>20062</v>
      </c>
      <c r="S903" t="s">
        <v>20063</v>
      </c>
      <c r="T903" t="s">
        <v>20064</v>
      </c>
      <c r="U903" t="s">
        <v>20065</v>
      </c>
      <c r="V903" t="s">
        <v>20066</v>
      </c>
      <c r="W903" t="s">
        <v>20067</v>
      </c>
      <c r="X903" t="s">
        <v>20068</v>
      </c>
      <c r="Y903" t="s">
        <v>20069</v>
      </c>
    </row>
    <row r="904" spans="1:25" x14ac:dyDescent="0.3">
      <c r="A904">
        <v>45150</v>
      </c>
      <c r="B904" t="s">
        <v>20070</v>
      </c>
      <c r="C904" t="s">
        <v>20071</v>
      </c>
      <c r="D904" t="s">
        <v>20072</v>
      </c>
      <c r="E904" t="s">
        <v>20073</v>
      </c>
      <c r="F904" t="s">
        <v>20074</v>
      </c>
      <c r="G904">
        <f>-610.644303512392 -3.28845139129716 -682.948123118409</f>
        <v>-1296.8808780220979</v>
      </c>
      <c r="H904">
        <f>-586.492602325397 -70.5624268875811 -817.450586867311</f>
        <v>-1474.5056160802892</v>
      </c>
      <c r="I904">
        <f>-540.074028544803 -118.617811150285 -894.385445338252</f>
        <v>-1553.0772850333401</v>
      </c>
      <c r="J904">
        <f>-588.730192041203 -12.8026978155665 -770.421551282441</f>
        <v>-1371.9544411392105</v>
      </c>
      <c r="K904" t="s">
        <v>20075</v>
      </c>
      <c r="L904" t="s">
        <v>20076</v>
      </c>
      <c r="M904" t="s">
        <v>20077</v>
      </c>
      <c r="N904">
        <f>-605.627796541421 -68.7888624673217 -745.453128382623</f>
        <v>-1419.8697873913657</v>
      </c>
      <c r="O904">
        <f>-649.232428376668 -188.621567904673 -672.191176338558</f>
        <v>-1510.0451726198989</v>
      </c>
      <c r="P904">
        <f>-651.84117581352 -97.7218822948394 -369.013535226199</f>
        <v>-1118.5765933345583</v>
      </c>
      <c r="Q904">
        <f>-395.673826923051 -64.9238107649772 -399.748234080763</f>
        <v>-860.3458717687912</v>
      </c>
      <c r="R904" t="s">
        <v>20078</v>
      </c>
      <c r="S904" t="s">
        <v>20079</v>
      </c>
      <c r="T904" t="s">
        <v>20080</v>
      </c>
      <c r="U904" t="s">
        <v>20081</v>
      </c>
      <c r="V904">
        <f>-623.716157549253 -0.373041750007033 -236.202135751406</f>
        <v>-860.29133505066602</v>
      </c>
      <c r="W904" t="s">
        <v>20082</v>
      </c>
      <c r="X904" t="s">
        <v>20083</v>
      </c>
      <c r="Y904" t="s">
        <v>20084</v>
      </c>
    </row>
    <row r="905" spans="1:25" x14ac:dyDescent="0.3">
      <c r="A905">
        <v>45200</v>
      </c>
      <c r="B905" t="s">
        <v>20085</v>
      </c>
      <c r="C905" t="s">
        <v>20086</v>
      </c>
      <c r="D905" t="s">
        <v>20087</v>
      </c>
      <c r="E905" t="s">
        <v>20088</v>
      </c>
      <c r="F905" t="s">
        <v>20089</v>
      </c>
      <c r="G905">
        <f>-609.109647982794 -3.8368195319297 -683.332300872509</f>
        <v>-1296.2787683872325</v>
      </c>
      <c r="H905">
        <f>-584.902866551568 -69.9264414763939 -818.410774275798</f>
        <v>-1473.2400823037597</v>
      </c>
      <c r="I905">
        <f>-538.559202081564 -116.41305300726 -896.348254124801</f>
        <v>-1551.320509213625</v>
      </c>
      <c r="J905">
        <f>-587.473630958178 -12.526069416816 -770.960692023886</f>
        <v>-1370.96039239888</v>
      </c>
      <c r="K905" t="s">
        <v>20090</v>
      </c>
      <c r="L905" t="s">
        <v>20091</v>
      </c>
      <c r="M905" t="s">
        <v>20092</v>
      </c>
      <c r="N905">
        <f>-603.753656587613 -68.8415480336087 -746.32482458605</f>
        <v>-1418.9200292072717</v>
      </c>
      <c r="O905">
        <f>-645.98038380535 -189.559447261987 -673.731472401346</f>
        <v>-1509.2713034686831</v>
      </c>
      <c r="P905">
        <f>-648.661981173669 -100.363581860736 -370.048946571445</f>
        <v>-1119.0745096058499</v>
      </c>
      <c r="Q905">
        <f>-392.778087899862 -66.2143273911816 -401.660894622729</f>
        <v>-860.65330991377255</v>
      </c>
      <c r="R905" t="s">
        <v>20093</v>
      </c>
      <c r="S905" t="s">
        <v>20094</v>
      </c>
      <c r="T905" t="s">
        <v>20095</v>
      </c>
      <c r="U905" t="s">
        <v>20096</v>
      </c>
      <c r="V905">
        <f>-621.353007717908 -2.51170492118499 -236.018561368074</f>
        <v>-859.88327400716696</v>
      </c>
      <c r="W905" t="s">
        <v>20097</v>
      </c>
      <c r="X905" t="s">
        <v>20098</v>
      </c>
      <c r="Y905" t="s">
        <v>20099</v>
      </c>
    </row>
    <row r="906" spans="1:25" x14ac:dyDescent="0.3">
      <c r="A906">
        <v>45250</v>
      </c>
      <c r="B906" t="s">
        <v>20100</v>
      </c>
      <c r="C906" t="s">
        <v>20101</v>
      </c>
      <c r="D906" t="s">
        <v>20102</v>
      </c>
      <c r="E906" t="s">
        <v>20103</v>
      </c>
      <c r="F906" t="s">
        <v>20104</v>
      </c>
      <c r="G906">
        <f>-606.726682535583 -3.88545796402297 -684.189008767483</f>
        <v>-1294.8011492670889</v>
      </c>
      <c r="H906">
        <f>-582.751242369576 -66.9544873719201 -820.744818971409</f>
        <v>-1470.4505487129049</v>
      </c>
      <c r="I906">
        <f>-537.076587372156 -109.5881773016 -901.238022879063</f>
        <v>-1547.9027875528191</v>
      </c>
      <c r="J906">
        <f>-585.837476330527 -10.5222265704179 -772.17728609974</f>
        <v>-1368.536989000685</v>
      </c>
      <c r="K906" t="s">
        <v>20105</v>
      </c>
      <c r="L906" t="s">
        <v>20106</v>
      </c>
      <c r="M906" t="s">
        <v>20107</v>
      </c>
      <c r="N906">
        <f>-600.881755635373 -67.5745810390344 -748.468673432496</f>
        <v>-1416.9250101069033</v>
      </c>
      <c r="O906">
        <f>-640.132183542447 -190.324945670796 -677.648425920787</f>
        <v>-1508.1055551340301</v>
      </c>
      <c r="P906">
        <f>-642.706088539653 -106.554258959071 -372.423953083706</f>
        <v>-1121.6843005824301</v>
      </c>
      <c r="Q906">
        <f>-387.71000024818 -68.6050202718731 -406.759239392611</f>
        <v>-863.07425991266405</v>
      </c>
      <c r="R906" t="s">
        <v>20108</v>
      </c>
      <c r="S906" t="s">
        <v>20109</v>
      </c>
      <c r="T906" t="s">
        <v>20110</v>
      </c>
      <c r="U906" t="s">
        <v>20111</v>
      </c>
      <c r="V906">
        <f>-616.690385251307 -6.85882225580657 -235.592380107594</f>
        <v>-859.14158761470753</v>
      </c>
      <c r="W906" t="s">
        <v>20112</v>
      </c>
      <c r="X906" t="s">
        <v>20113</v>
      </c>
      <c r="Y906" t="s">
        <v>20114</v>
      </c>
    </row>
    <row r="907" spans="1:25" x14ac:dyDescent="0.3">
      <c r="A907">
        <v>45300</v>
      </c>
      <c r="B907" t="s">
        <v>20115</v>
      </c>
      <c r="C907" t="s">
        <v>20116</v>
      </c>
      <c r="D907" t="s">
        <v>20117</v>
      </c>
      <c r="E907" t="s">
        <v>20118</v>
      </c>
      <c r="F907" t="s">
        <v>20119</v>
      </c>
      <c r="G907">
        <f>-605.393196393848 -3.48535375349685 -684.716990778159</f>
        <v>-1293.5955409255039</v>
      </c>
      <c r="H907">
        <f>-581.614634820679 -64.7041980293403 -822.146441240461</f>
        <v>-1468.4652740904803</v>
      </c>
      <c r="I907">
        <f>-536.359125442934 -105.211451698767 -903.963844308602</f>
        <v>-1545.5344214503029</v>
      </c>
      <c r="J907">
        <f>-584.919068320247 -8.88722293356928 -772.887321609498</f>
        <v>-1366.6936128633142</v>
      </c>
      <c r="K907" t="s">
        <v>20120</v>
      </c>
      <c r="L907" t="s">
        <v>20121</v>
      </c>
      <c r="M907" t="s">
        <v>20122</v>
      </c>
      <c r="N907">
        <f>-599.352833236954 -66.3462568973823 -749.789168106726</f>
        <v>-1415.4882582410623</v>
      </c>
      <c r="O907">
        <f>-637.116585051983 -190.224212929392 -680.10885572978</f>
        <v>-1507.449653711155</v>
      </c>
      <c r="P907">
        <f>-639.4225982703 -109.757981590384 -373.994338703874</f>
        <v>-1123.1749185645581</v>
      </c>
      <c r="Q907">
        <f>-384.997234659052 -69.5049651881149 -409.903939202969</f>
        <v>-864.40613905013595</v>
      </c>
      <c r="R907" t="s">
        <v>20123</v>
      </c>
      <c r="S907" t="s">
        <v>20124</v>
      </c>
      <c r="T907" t="s">
        <v>20125</v>
      </c>
      <c r="U907" t="s">
        <v>20126</v>
      </c>
      <c r="V907">
        <f>-614.347018501601 -9.18668522786201 -235.367696590264</f>
        <v>-858.90140031972703</v>
      </c>
      <c r="W907" t="s">
        <v>20127</v>
      </c>
      <c r="X907" t="s">
        <v>20128</v>
      </c>
      <c r="Y907" t="s">
        <v>20129</v>
      </c>
    </row>
    <row r="908" spans="1:25" x14ac:dyDescent="0.3">
      <c r="A908">
        <v>45350</v>
      </c>
      <c r="B908" t="s">
        <v>20130</v>
      </c>
      <c r="C908" t="s">
        <v>20131</v>
      </c>
      <c r="D908" t="s">
        <v>20132</v>
      </c>
      <c r="E908" t="s">
        <v>20133</v>
      </c>
      <c r="F908" t="s">
        <v>20134</v>
      </c>
      <c r="G908">
        <f>-602.555440397331 -1.0243321970451 -685.947634553941</f>
        <v>-1289.5274071483173</v>
      </c>
      <c r="H908">
        <f>-579.000499939 -57.6272581564229 -825.37967365</f>
        <v>-1462.0074317454228</v>
      </c>
      <c r="I908">
        <f>-534.380243842669 -93.6958188314284 -909.588185245457</f>
        <v>-1537.6642479195543</v>
      </c>
      <c r="J908">
        <f>-582.948082346692 -3.37464014817413 -774.448444089378</f>
        <v>-1360.7711665842439</v>
      </c>
      <c r="K908" t="s">
        <v>20135</v>
      </c>
      <c r="L908" t="s">
        <v>20136</v>
      </c>
      <c r="M908" t="s">
        <v>20137</v>
      </c>
      <c r="N908">
        <f>-595.897571507067 -61.7898130051188 -752.922083619066</f>
        <v>-1410.609468131252</v>
      </c>
      <c r="O908">
        <f>-630.30905773576 -188.181274747067 -686.042347226266</f>
        <v>-1504.5326797090929</v>
      </c>
      <c r="P908">
        <f>-632.373498797723 -114.904579685229 -378.126097163692</f>
        <v>-1125.404175646644</v>
      </c>
      <c r="Q908">
        <f>-379.180771627391 -69.4276577527924 -416.431820875907</f>
        <v>-865.04025025609042</v>
      </c>
      <c r="R908" t="s">
        <v>20138</v>
      </c>
      <c r="S908" t="s">
        <v>20139</v>
      </c>
      <c r="T908" t="s">
        <v>20140</v>
      </c>
      <c r="U908" t="s">
        <v>20141</v>
      </c>
      <c r="V908">
        <f>-609.747175341965 -13.8073139724576 -234.872042793471</f>
        <v>-858.42653210789354</v>
      </c>
      <c r="W908" t="s">
        <v>20142</v>
      </c>
      <c r="X908" t="s">
        <v>20143</v>
      </c>
      <c r="Y908" t="s">
        <v>20144</v>
      </c>
    </row>
    <row r="909" spans="1:25" x14ac:dyDescent="0.3">
      <c r="A909">
        <v>45400</v>
      </c>
      <c r="B909" t="s">
        <v>20145</v>
      </c>
      <c r="C909" t="s">
        <v>20146</v>
      </c>
      <c r="D909" t="s">
        <v>20147</v>
      </c>
      <c r="E909" t="s">
        <v>20148</v>
      </c>
      <c r="F909" t="s">
        <v>20149</v>
      </c>
      <c r="G909" t="s">
        <v>20150</v>
      </c>
      <c r="H909">
        <f>-577.547989653631 -53.4339071523802 -826.997993366104</f>
        <v>-1457.9798901721151</v>
      </c>
      <c r="I909">
        <f>-533.001752115462 -87.3053259486877 -912.152777001521</f>
        <v>-1532.4598550656706</v>
      </c>
      <c r="J909">
        <f>-581.989218300973 -0.0550059994991656 -775.191733012398</f>
        <v>-1357.2359573128701</v>
      </c>
      <c r="K909" t="s">
        <v>20151</v>
      </c>
      <c r="L909" t="s">
        <v>20152</v>
      </c>
      <c r="M909" t="s">
        <v>20153</v>
      </c>
      <c r="N909">
        <f>-594.071236692138 -58.9718573984917 -754.546402566359</f>
        <v>-1407.5894966569886</v>
      </c>
      <c r="O909">
        <f>-626.555622138534 -186.670690562649 -689.282256959059</f>
        <v>-1502.5085696602421</v>
      </c>
      <c r="P909">
        <f>-628.944144083361 -117.010725678386 -380.530004499937</f>
        <v>-1126.4848742616839</v>
      </c>
      <c r="Q909">
        <f>-376.495613501043 -68.457008967479 -419.954775895896</f>
        <v>-864.90739836441799</v>
      </c>
      <c r="R909" t="s">
        <v>20154</v>
      </c>
      <c r="S909" t="s">
        <v>20155</v>
      </c>
      <c r="T909" t="s">
        <v>20156</v>
      </c>
      <c r="U909" t="s">
        <v>20157</v>
      </c>
      <c r="V909">
        <f>-607.69139436592 -16.0604116639386 -234.649887443871</f>
        <v>-858.40169347372955</v>
      </c>
      <c r="W909" t="s">
        <v>20158</v>
      </c>
      <c r="X909" t="s">
        <v>20159</v>
      </c>
      <c r="Y909" t="s">
        <v>20160</v>
      </c>
    </row>
    <row r="910" spans="1:25" x14ac:dyDescent="0.3">
      <c r="A910">
        <v>45450</v>
      </c>
      <c r="B910" t="s">
        <v>20161</v>
      </c>
      <c r="C910" t="s">
        <v>20162</v>
      </c>
      <c r="D910" t="s">
        <v>20163</v>
      </c>
      <c r="E910" t="s">
        <v>20164</v>
      </c>
      <c r="F910" t="s">
        <v>20165</v>
      </c>
      <c r="G910" t="s">
        <v>20166</v>
      </c>
      <c r="H910">
        <f>-575.192584445423 -44.9973945828125 -829.699206652952</f>
        <v>-1449.8891856811874</v>
      </c>
      <c r="I910">
        <f>-530.638310613984 -74.9503976397218 -916.305894770739</f>
        <v>-1521.8946030244447</v>
      </c>
      <c r="J910" t="s">
        <v>20167</v>
      </c>
      <c r="K910" t="s">
        <v>20168</v>
      </c>
      <c r="L910" t="s">
        <v>20169</v>
      </c>
      <c r="M910" t="s">
        <v>20170</v>
      </c>
      <c r="N910">
        <f>-590.97438636195 -53.1177648612178 -757.325698046296</f>
        <v>-1401.4178492694637</v>
      </c>
      <c r="O910">
        <f>-619.665889940105 -183.344086153252 -695.378003876887</f>
        <v>-1498.387979970244</v>
      </c>
      <c r="P910">
        <f>-623.405665773034 -121.32767522904 -385.013369227303</f>
        <v>-1129.746710229377</v>
      </c>
      <c r="Q910">
        <f>-372.71730260561 -65.3928930814271 -425.862940690792</f>
        <v>-863.97313637782906</v>
      </c>
      <c r="R910" t="s">
        <v>20171</v>
      </c>
      <c r="S910" t="s">
        <v>20172</v>
      </c>
      <c r="T910" t="s">
        <v>20173</v>
      </c>
      <c r="U910" t="s">
        <v>20174</v>
      </c>
      <c r="V910">
        <f>-603.997547846873 -20.0089224558898 -234.255727858332</f>
        <v>-858.26219816109472</v>
      </c>
      <c r="W910" t="s">
        <v>20175</v>
      </c>
      <c r="X910" t="s">
        <v>20176</v>
      </c>
      <c r="Y910" t="s">
        <v>20177</v>
      </c>
    </row>
    <row r="911" spans="1:25" x14ac:dyDescent="0.3">
      <c r="A911">
        <v>45500</v>
      </c>
      <c r="B911" t="s">
        <v>20178</v>
      </c>
      <c r="C911" t="s">
        <v>20179</v>
      </c>
      <c r="D911" t="s">
        <v>20180</v>
      </c>
      <c r="E911" t="s">
        <v>20181</v>
      </c>
      <c r="F911" t="s">
        <v>20182</v>
      </c>
      <c r="G911" t="s">
        <v>20183</v>
      </c>
      <c r="H911">
        <f>-574.40350490878 -41.0768358656687 -830.875079219176</f>
        <v>-1446.3554199936248</v>
      </c>
      <c r="I911">
        <f>-529.86881745432 -69.3018109270588 -918.070272964484</f>
        <v>-1517.2409013458628</v>
      </c>
      <c r="J911" t="s">
        <v>20184</v>
      </c>
      <c r="K911" t="s">
        <v>20185</v>
      </c>
      <c r="L911" t="s">
        <v>20186</v>
      </c>
      <c r="M911" t="s">
        <v>20187</v>
      </c>
      <c r="N911">
        <f>-589.779737652838 -50.337073997444 -758.551205355989</f>
        <v>-1398.6680170062709</v>
      </c>
      <c r="O911">
        <f>-616.72186450546 -181.643747646414 -698.115435172277</f>
        <v>-1496.4810473241509</v>
      </c>
      <c r="P911">
        <f>-620.92926306052 -123.303599451828 -387.044927633288</f>
        <v>-1131.2777901456361</v>
      </c>
      <c r="Q911">
        <f>-371.209121916932 -63.461080745353 -428.285341713049</f>
        <v>-862.95554437533406</v>
      </c>
      <c r="R911" t="s">
        <v>20188</v>
      </c>
      <c r="S911" t="s">
        <v>20189</v>
      </c>
      <c r="T911" t="s">
        <v>20190</v>
      </c>
      <c r="U911" t="s">
        <v>20191</v>
      </c>
      <c r="V911">
        <f>-602.441080434596 -21.6079531788211 -234.113342943611</f>
        <v>-858.16237655702798</v>
      </c>
      <c r="W911" t="s">
        <v>20192</v>
      </c>
      <c r="X911" t="s">
        <v>20193</v>
      </c>
      <c r="Y911" t="s">
        <v>20194</v>
      </c>
    </row>
    <row r="912" spans="1:25" x14ac:dyDescent="0.3">
      <c r="A912">
        <v>45550</v>
      </c>
      <c r="B912" t="s">
        <v>20195</v>
      </c>
      <c r="C912" t="s">
        <v>20196</v>
      </c>
      <c r="D912" t="s">
        <v>20197</v>
      </c>
      <c r="E912" t="s">
        <v>20198</v>
      </c>
      <c r="F912" t="s">
        <v>20199</v>
      </c>
      <c r="G912" t="s">
        <v>20200</v>
      </c>
      <c r="H912">
        <f>-572.382875527427 -34.7756265804073 -832.743458930776</f>
        <v>-1439.9019610386104</v>
      </c>
      <c r="I912">
        <f>-527.763253774466 -59.990684237896 -920.813064363899</f>
        <v>-1508.5670023762609</v>
      </c>
      <c r="J912" t="s">
        <v>20201</v>
      </c>
      <c r="K912" t="s">
        <v>20202</v>
      </c>
      <c r="L912" t="s">
        <v>20203</v>
      </c>
      <c r="M912" t="s">
        <v>20204</v>
      </c>
      <c r="N912">
        <f>-587.226461211808 -45.9327138773749 -760.576139990968</f>
        <v>-1393.7353150801509</v>
      </c>
      <c r="O912">
        <f>-611.547163317638 -178.935363083201 -702.820271463972</f>
        <v>-1493.3027978648111</v>
      </c>
      <c r="P912">
        <f>-616.164916386106 -126.50227083033 -390.705407452074</f>
        <v>-1133.3725946685099</v>
      </c>
      <c r="Q912">
        <f>-368.296476913382 -59.587508019097 -432.246813797684</f>
        <v>-860.13079873016295</v>
      </c>
      <c r="R912" t="s">
        <v>20205</v>
      </c>
      <c r="S912" t="s">
        <v>20206</v>
      </c>
      <c r="T912" t="s">
        <v>20207</v>
      </c>
      <c r="U912" t="s">
        <v>20208</v>
      </c>
      <c r="V912">
        <f>-600.061734690389 -24.3421971058087 -233.885005393424</f>
        <v>-858.28893718962172</v>
      </c>
      <c r="W912" t="s">
        <v>20209</v>
      </c>
      <c r="X912" t="s">
        <v>20210</v>
      </c>
      <c r="Y912" t="s">
        <v>20211</v>
      </c>
    </row>
    <row r="913" spans="1:25" x14ac:dyDescent="0.3">
      <c r="A913">
        <v>45600</v>
      </c>
      <c r="B913" t="s">
        <v>20212</v>
      </c>
      <c r="C913" t="s">
        <v>20213</v>
      </c>
      <c r="D913" t="s">
        <v>20214</v>
      </c>
      <c r="E913" t="s">
        <v>20215</v>
      </c>
      <c r="F913" t="s">
        <v>20216</v>
      </c>
      <c r="G913" t="s">
        <v>20217</v>
      </c>
      <c r="H913">
        <f>-571.702304792676 -32.5065606568331 -833.478134581593</f>
        <v>-1437.6870000311023</v>
      </c>
      <c r="I913">
        <f>-527.041543943416 -56.5610002876368 -921.851074377992</f>
        <v>-1505.4536186090447</v>
      </c>
      <c r="J913" t="s">
        <v>20218</v>
      </c>
      <c r="K913" t="s">
        <v>20219</v>
      </c>
      <c r="L913" t="s">
        <v>20220</v>
      </c>
      <c r="M913" t="s">
        <v>20221</v>
      </c>
      <c r="N913">
        <f>-586.328545592713 -44.3480907996605 -761.375621052084</f>
        <v>-1392.0522574444574</v>
      </c>
      <c r="O913">
        <f>-609.683358776292 -177.964495932372 -704.637961821872</f>
        <v>-1492.2858165305361</v>
      </c>
      <c r="P913">
        <f>-614.40817419977 -127.818680431018 -392.149025011455</f>
        <v>-1134.375879642243</v>
      </c>
      <c r="Q913">
        <f>-367.450824511319 -57.8068767237895 -434.011430272102</f>
        <v>-859.26913150721055</v>
      </c>
      <c r="R913" t="s">
        <v>20222</v>
      </c>
      <c r="S913" t="s">
        <v>20223</v>
      </c>
      <c r="T913" t="s">
        <v>20224</v>
      </c>
      <c r="U913" t="s">
        <v>20225</v>
      </c>
      <c r="V913">
        <f>-599.315152455053 -25.3133134485704 -233.840040535718</f>
        <v>-858.46850643934135</v>
      </c>
      <c r="W913" t="s">
        <v>20226</v>
      </c>
      <c r="X913" t="s">
        <v>20227</v>
      </c>
      <c r="Y913" t="s">
        <v>20228</v>
      </c>
    </row>
    <row r="914" spans="1:25" x14ac:dyDescent="0.3">
      <c r="A914">
        <v>45650</v>
      </c>
      <c r="B914" t="s">
        <v>20229</v>
      </c>
      <c r="C914" t="s">
        <v>20230</v>
      </c>
      <c r="D914" t="s">
        <v>20231</v>
      </c>
      <c r="E914" t="s">
        <v>20232</v>
      </c>
      <c r="F914" t="s">
        <v>20233</v>
      </c>
      <c r="G914" t="s">
        <v>20234</v>
      </c>
      <c r="H914">
        <f>-570.031684203786 -28.9184902071989 -834.648591938363</f>
        <v>-1433.5987663493479</v>
      </c>
      <c r="I914">
        <f>-525.185313852592 -51.104451035108 -923.415493963049</f>
        <v>-1499.705258850749</v>
      </c>
      <c r="J914" t="s">
        <v>20235</v>
      </c>
      <c r="K914" t="s">
        <v>20236</v>
      </c>
      <c r="L914" t="s">
        <v>20237</v>
      </c>
      <c r="M914" t="s">
        <v>20238</v>
      </c>
      <c r="N914">
        <f>-584.347200079592 -41.8426558186992 -762.669792908852</f>
        <v>-1388.859648807143</v>
      </c>
      <c r="O914">
        <f>-606.077368815535 -176.396290860367 -707.437084086153</f>
        <v>-1489.9107437620551</v>
      </c>
      <c r="P914">
        <f>-610.735166183199 -129.378055540346 -394.461409965947</f>
        <v>-1134.574631689492</v>
      </c>
      <c r="Q914">
        <f>-365.168132259401 -55.0824672406407 -437.112042465697</f>
        <v>-857.3626419657387</v>
      </c>
      <c r="R914" t="s">
        <v>20239</v>
      </c>
      <c r="S914" t="s">
        <v>20240</v>
      </c>
      <c r="T914" t="s">
        <v>20241</v>
      </c>
      <c r="U914" t="s">
        <v>20242</v>
      </c>
      <c r="V914">
        <f>-598.567257940762 -26.6588381536142 -233.844200720432</f>
        <v>-859.07029681480822</v>
      </c>
      <c r="W914" t="s">
        <v>20243</v>
      </c>
      <c r="X914" t="s">
        <v>20244</v>
      </c>
      <c r="Y914" t="s">
        <v>20245</v>
      </c>
    </row>
    <row r="915" spans="1:25" x14ac:dyDescent="0.3">
      <c r="A915">
        <v>45700</v>
      </c>
      <c r="B915" t="s">
        <v>20246</v>
      </c>
      <c r="C915" t="s">
        <v>20247</v>
      </c>
      <c r="D915" t="s">
        <v>20248</v>
      </c>
      <c r="E915" t="s">
        <v>20249</v>
      </c>
      <c r="F915" t="s">
        <v>20250</v>
      </c>
      <c r="G915" t="s">
        <v>20251</v>
      </c>
      <c r="H915">
        <f>-569.151227537229 -27.2405996942803 -835.036523124725</f>
        <v>-1431.4283503562342</v>
      </c>
      <c r="I915">
        <f>-524.167485627039 -48.6367312790614 -923.927695276715</f>
        <v>-1496.7319121828154</v>
      </c>
      <c r="J915" t="s">
        <v>20252</v>
      </c>
      <c r="K915" t="s">
        <v>20253</v>
      </c>
      <c r="L915" t="s">
        <v>20254</v>
      </c>
      <c r="M915" t="s">
        <v>20255</v>
      </c>
      <c r="N915">
        <f>-583.44120492774 -40.6172660775128 -763.135296003221</f>
        <v>-1387.193767008474</v>
      </c>
      <c r="O915">
        <f>-604.473105921604 -175.534539064961 -708.545020708082</f>
        <v>-1488.552665694647</v>
      </c>
      <c r="P915">
        <f>-609.301685496535 -129.41120001049 -395.438656106417</f>
        <v>-1134.1515416134421</v>
      </c>
      <c r="Q915">
        <f>-364.171906004144 -53.6577584472085 -438.039833825157</f>
        <v>-855.86949827650949</v>
      </c>
      <c r="R915" t="s">
        <v>20256</v>
      </c>
      <c r="S915" t="s">
        <v>20257</v>
      </c>
      <c r="T915" t="s">
        <v>20258</v>
      </c>
      <c r="U915" t="s">
        <v>20259</v>
      </c>
      <c r="V915">
        <f>-598.54262938163 -27.055496235525 -233.834767098701</f>
        <v>-859.43289271585604</v>
      </c>
      <c r="W915" t="s">
        <v>20260</v>
      </c>
      <c r="X915" t="s">
        <v>20261</v>
      </c>
      <c r="Y915" t="s">
        <v>20262</v>
      </c>
    </row>
    <row r="916" spans="1:25" x14ac:dyDescent="0.3">
      <c r="A916">
        <v>45750</v>
      </c>
      <c r="B916" t="s">
        <v>20263</v>
      </c>
      <c r="C916" t="s">
        <v>20264</v>
      </c>
      <c r="D916" t="s">
        <v>20265</v>
      </c>
      <c r="E916" t="s">
        <v>20266</v>
      </c>
      <c r="F916" t="s">
        <v>20267</v>
      </c>
      <c r="G916" t="s">
        <v>20268</v>
      </c>
      <c r="H916">
        <f>-568.896072261299 -24.6478510176423 -835.520484103036</f>
        <v>-1429.0644073819772</v>
      </c>
      <c r="I916">
        <f>-523.661601623507 -44.8321028911427 -924.567784632633</f>
        <v>-1493.0614891472826</v>
      </c>
      <c r="J916" t="s">
        <v>20269</v>
      </c>
      <c r="K916" t="s">
        <v>20270</v>
      </c>
      <c r="L916" t="s">
        <v>20271</v>
      </c>
      <c r="M916" t="s">
        <v>20272</v>
      </c>
      <c r="N916">
        <f>-583.164468863717 -38.6270205388192 -763.729805237954</f>
        <v>-1385.5212946404904</v>
      </c>
      <c r="O916">
        <f>-603.060047859254 -174.071252595448 -710.078820511295</f>
        <v>-1487.210120965997</v>
      </c>
      <c r="P916">
        <f>-608.841638670239 -130.140018377426 -396.673534728177</f>
        <v>-1135.655191775842</v>
      </c>
      <c r="Q916">
        <f>-364.509480639983 -51.5787646237167 -438.768870142032</f>
        <v>-854.85711540573175</v>
      </c>
      <c r="R916" t="s">
        <v>20273</v>
      </c>
      <c r="S916" t="s">
        <v>20274</v>
      </c>
      <c r="T916" t="s">
        <v>20275</v>
      </c>
      <c r="U916" t="s">
        <v>20276</v>
      </c>
      <c r="V916">
        <f>-599.017089464396 -27.4623074033768 -233.893661759534</f>
        <v>-860.37305862730682</v>
      </c>
      <c r="W916" t="s">
        <v>20277</v>
      </c>
      <c r="X916" t="s">
        <v>20278</v>
      </c>
      <c r="Y916" t="s">
        <v>20279</v>
      </c>
    </row>
    <row r="917" spans="1:25" x14ac:dyDescent="0.3">
      <c r="A917">
        <v>45800</v>
      </c>
      <c r="B917" t="s">
        <v>20280</v>
      </c>
      <c r="C917" t="s">
        <v>20281</v>
      </c>
      <c r="D917" t="s">
        <v>20282</v>
      </c>
      <c r="E917" t="s">
        <v>20283</v>
      </c>
      <c r="F917" t="s">
        <v>20284</v>
      </c>
      <c r="G917" t="s">
        <v>20285</v>
      </c>
      <c r="H917">
        <f>-569.090450643774 -23.5556141374509 -835.668279625797</f>
        <v>-1428.314344407022</v>
      </c>
      <c r="I917">
        <f>-523.73929205051 -43.2848834024703 -924.758255411715</f>
        <v>-1491.7824308646955</v>
      </c>
      <c r="J917" t="s">
        <v>20286</v>
      </c>
      <c r="K917" t="s">
        <v>20287</v>
      </c>
      <c r="L917" t="s">
        <v>20288</v>
      </c>
      <c r="M917" t="s">
        <v>20289</v>
      </c>
      <c r="N917">
        <f>-583.353634849587 -37.7383701486651 -763.916431573165</f>
        <v>-1385.0084365714172</v>
      </c>
      <c r="O917">
        <f>-602.839253663018 -173.398374227913 -710.646668210372</f>
        <v>-1486.8842961013029</v>
      </c>
      <c r="P917">
        <f>-609.289301876569 -130.357881671065 -397.13103516103</f>
        <v>-1136.7782187086641</v>
      </c>
      <c r="Q917">
        <f>-365.194403841746 -50.7362894424853 -438.605568768507</f>
        <v>-854.53626205273827</v>
      </c>
      <c r="R917" t="s">
        <v>20290</v>
      </c>
      <c r="S917" t="s">
        <v>20291</v>
      </c>
      <c r="T917" t="s">
        <v>20292</v>
      </c>
      <c r="U917" t="s">
        <v>20293</v>
      </c>
      <c r="V917">
        <f>-599.586419486543 -27.4913533511681 -233.955042439501</f>
        <v>-861.03281527721208</v>
      </c>
      <c r="W917" t="s">
        <v>20294</v>
      </c>
      <c r="X917" t="s">
        <v>20295</v>
      </c>
      <c r="Y917" t="s">
        <v>20296</v>
      </c>
    </row>
    <row r="918" spans="1:25" x14ac:dyDescent="0.3">
      <c r="A918">
        <v>45850</v>
      </c>
      <c r="B918" t="s">
        <v>20297</v>
      </c>
      <c r="C918" t="s">
        <v>20298</v>
      </c>
      <c r="D918" t="s">
        <v>20299</v>
      </c>
      <c r="E918" t="s">
        <v>20300</v>
      </c>
      <c r="F918" t="s">
        <v>20301</v>
      </c>
      <c r="G918" t="s">
        <v>20302</v>
      </c>
      <c r="H918">
        <f>-570.663715208409 -21.5898277600981 -835.949764761059</f>
        <v>-1428.2033077295659</v>
      </c>
      <c r="I918">
        <f>-525.12058598265 -40.5596215720212 -925.10677490428</f>
        <v>-1490.7869824589511</v>
      </c>
      <c r="J918" t="s">
        <v>20303</v>
      </c>
      <c r="K918" t="s">
        <v>20304</v>
      </c>
      <c r="L918" t="s">
        <v>20305</v>
      </c>
      <c r="M918" t="s">
        <v>20306</v>
      </c>
      <c r="N918">
        <f>-584.905625699456 -36.1533453571609 -764.27012658051</f>
        <v>-1385.3290976371268</v>
      </c>
      <c r="O918">
        <f>-603.643303604096 -172.175424502793 -711.614025312434</f>
        <v>-1487.432753419323</v>
      </c>
      <c r="P918">
        <f>-611.382747152682 -130.059105165237 -398.002063914994</f>
        <v>-1139.4439162329131</v>
      </c>
      <c r="Q918">
        <f>-367.534324034238 -49.1311793503592 -438.383384132342</f>
        <v>-855.0488875169392</v>
      </c>
      <c r="R918" t="s">
        <v>20307</v>
      </c>
      <c r="S918" t="s">
        <v>20308</v>
      </c>
      <c r="T918" t="s">
        <v>20309</v>
      </c>
      <c r="U918" t="s">
        <v>20310</v>
      </c>
      <c r="V918">
        <f>-601.31848231285 -27.9174415991792 -234.081257417393</f>
        <v>-863.31718132942217</v>
      </c>
      <c r="W918" t="s">
        <v>20311</v>
      </c>
      <c r="X918" t="s">
        <v>20312</v>
      </c>
      <c r="Y918" t="s">
        <v>20313</v>
      </c>
    </row>
    <row r="919" spans="1:25" x14ac:dyDescent="0.3">
      <c r="A919">
        <v>45900</v>
      </c>
      <c r="B919" t="s">
        <v>20314</v>
      </c>
      <c r="C919" t="s">
        <v>20315</v>
      </c>
      <c r="D919" t="s">
        <v>20316</v>
      </c>
      <c r="E919" t="s">
        <v>20317</v>
      </c>
      <c r="F919" t="s">
        <v>20318</v>
      </c>
      <c r="G919" t="s">
        <v>20319</v>
      </c>
      <c r="H919">
        <f>-571.508149127704 -20.491044398689 -836.109094089639</f>
        <v>-1428.1082876160322</v>
      </c>
      <c r="I919">
        <f>-525.880886807806 -39.1467595944524 -925.289296062956</f>
        <v>-1490.3169424652144</v>
      </c>
      <c r="J919" t="s">
        <v>20320</v>
      </c>
      <c r="K919" t="s">
        <v>20321</v>
      </c>
      <c r="L919" t="s">
        <v>20322</v>
      </c>
      <c r="M919" t="s">
        <v>20323</v>
      </c>
      <c r="N919">
        <f>-585.73512765822 -35.2271655336105 -764.461685296394</f>
        <v>-1385.4239784882243</v>
      </c>
      <c r="O919">
        <f>-604.271145244422 -171.349804003076 -712.03792134497</f>
        <v>-1487.6588705924678</v>
      </c>
      <c r="P919">
        <f>-612.453068329935 -129.474347539179 -398.404985165229</f>
        <v>-1140.3324010343431</v>
      </c>
      <c r="Q919">
        <f>-368.624899749644 -48.21961632031 -438.249014254292</f>
        <v>-855.09353032424599</v>
      </c>
      <c r="R919" t="s">
        <v>20324</v>
      </c>
      <c r="S919" t="s">
        <v>20325</v>
      </c>
      <c r="T919" t="s">
        <v>20326</v>
      </c>
      <c r="U919" t="s">
        <v>20327</v>
      </c>
      <c r="V919">
        <f>-602.286760411035 -28.010217521528 -234.176991986395</f>
        <v>-864.47396991895801</v>
      </c>
      <c r="W919" t="s">
        <v>20328</v>
      </c>
      <c r="X919" t="s">
        <v>20329</v>
      </c>
      <c r="Y919" t="s">
        <v>20330</v>
      </c>
    </row>
    <row r="920" spans="1:25" x14ac:dyDescent="0.3">
      <c r="A920">
        <v>45950</v>
      </c>
      <c r="B920" t="s">
        <v>20331</v>
      </c>
      <c r="C920" t="s">
        <v>20332</v>
      </c>
      <c r="D920" t="s">
        <v>20333</v>
      </c>
      <c r="E920" t="s">
        <v>20334</v>
      </c>
      <c r="F920" t="s">
        <v>20335</v>
      </c>
      <c r="G920" t="s">
        <v>20336</v>
      </c>
      <c r="H920">
        <f>-572.912701217444 -18.759068220776 -836.468596032391</f>
        <v>-1428.140365470611</v>
      </c>
      <c r="I920">
        <f>-527.124388450964 -36.9596034783384 -925.660283664076</f>
        <v>-1489.7442755933785</v>
      </c>
      <c r="J920" t="s">
        <v>20337</v>
      </c>
      <c r="K920" t="s">
        <v>20338</v>
      </c>
      <c r="L920" t="s">
        <v>20339</v>
      </c>
      <c r="M920" t="s">
        <v>20340</v>
      </c>
      <c r="N920">
        <f>-587.195230853981 -33.7483824919473 -764.884663301944</f>
        <v>-1385.8282766478724</v>
      </c>
      <c r="O920">
        <f>-605.540709126431 -170.051565423263 -712.829082348793</f>
        <v>-1488.4213568984869</v>
      </c>
      <c r="P920">
        <f>-614.380128693074 -128.676235564162 -399.147400310068</f>
        <v>-1142.203764567304</v>
      </c>
      <c r="Q920">
        <f>-370.563361890739 -46.8966121560468 -437.974468504982</f>
        <v>-855.43444255176769</v>
      </c>
      <c r="R920" t="s">
        <v>20341</v>
      </c>
      <c r="S920" t="s">
        <v>20342</v>
      </c>
      <c r="T920" t="s">
        <v>20343</v>
      </c>
      <c r="U920" t="s">
        <v>20344</v>
      </c>
      <c r="V920">
        <f>-603.907040842029 -28.0525149830945 -234.381115931065</f>
        <v>-866.3406717561885</v>
      </c>
      <c r="W920" t="s">
        <v>20345</v>
      </c>
      <c r="X920" t="s">
        <v>20346</v>
      </c>
      <c r="Y920" t="s">
        <v>20347</v>
      </c>
    </row>
    <row r="921" spans="1:25" x14ac:dyDescent="0.3">
      <c r="A921">
        <v>46000</v>
      </c>
      <c r="B921" t="s">
        <v>20348</v>
      </c>
      <c r="C921" t="s">
        <v>20349</v>
      </c>
      <c r="D921" t="s">
        <v>20350</v>
      </c>
      <c r="E921" t="s">
        <v>20351</v>
      </c>
      <c r="F921" t="s">
        <v>20352</v>
      </c>
      <c r="G921" t="s">
        <v>20353</v>
      </c>
      <c r="H921">
        <f>-573.300915443109 -17.7567594118555 -836.703701861019</f>
        <v>-1427.7613767159835</v>
      </c>
      <c r="I921">
        <f>-527.455450103091 -35.7640094461858 -925.905281774103</f>
        <v>-1489.1247413233798</v>
      </c>
      <c r="J921" t="s">
        <v>20354</v>
      </c>
      <c r="K921" t="s">
        <v>20355</v>
      </c>
      <c r="L921" t="s">
        <v>20356</v>
      </c>
      <c r="M921" t="s">
        <v>20357</v>
      </c>
      <c r="N921">
        <f>-587.60821771636 -32.8889461782322 -765.154880194791</f>
        <v>-1385.6520440893833</v>
      </c>
      <c r="O921">
        <f>-605.987102605776 -169.296396042352 -713.374037407018</f>
        <v>-1488.657536055146</v>
      </c>
      <c r="P921">
        <f>-615.185578922386 -128.277683809955 -399.655952748856</f>
        <v>-1143.119215481197</v>
      </c>
      <c r="Q921">
        <f>-371.370106857797 -46.2879509044331 -438.045442599939</f>
        <v>-855.70350036216905</v>
      </c>
      <c r="R921" t="s">
        <v>20358</v>
      </c>
      <c r="S921" t="s">
        <v>20359</v>
      </c>
      <c r="T921" t="s">
        <v>20360</v>
      </c>
      <c r="U921" t="s">
        <v>20361</v>
      </c>
      <c r="V921">
        <f>-604.498144247791 -27.9534171178812 -234.476020263743</f>
        <v>-866.92758162941527</v>
      </c>
      <c r="W921" t="s">
        <v>20362</v>
      </c>
      <c r="X921" t="s">
        <v>20363</v>
      </c>
      <c r="Y921" t="s">
        <v>20364</v>
      </c>
    </row>
    <row r="922" spans="1:25" x14ac:dyDescent="0.3">
      <c r="A922">
        <v>46050</v>
      </c>
      <c r="B922" t="s">
        <v>20365</v>
      </c>
      <c r="C922" t="s">
        <v>20366</v>
      </c>
      <c r="D922" t="s">
        <v>20367</v>
      </c>
      <c r="E922" t="s">
        <v>20368</v>
      </c>
      <c r="F922" t="s">
        <v>20369</v>
      </c>
      <c r="G922" t="s">
        <v>20370</v>
      </c>
      <c r="H922">
        <f>-574.043803099126 -15.1690560060547 -837.153276485314</f>
        <v>-1426.3661355904947</v>
      </c>
      <c r="I922">
        <f>-528.107866956548 -32.8688264287272 -926.369800268667</f>
        <v>-1487.3464936539422</v>
      </c>
      <c r="J922" t="s">
        <v>20371</v>
      </c>
      <c r="K922" t="s">
        <v>20372</v>
      </c>
      <c r="L922" t="s">
        <v>20373</v>
      </c>
      <c r="M922" t="s">
        <v>20374</v>
      </c>
      <c r="N922">
        <f>-588.407811335154 -30.5960900379295 -765.678847412715</f>
        <v>-1384.6827487857984</v>
      </c>
      <c r="O922">
        <f>-607.073770969758 -167.14275643592 -714.409953922573</f>
        <v>-1488.626481328251</v>
      </c>
      <c r="P922">
        <f>-616.676421657073 -127.258650172385 -400.557801400471</f>
        <v>-1144.492873229929</v>
      </c>
      <c r="Q922">
        <f>-372.82589646076 -45.0984979597355 -438.355454901206</f>
        <v>-856.27984932170148</v>
      </c>
      <c r="R922" t="s">
        <v>20375</v>
      </c>
      <c r="S922" t="s">
        <v>20376</v>
      </c>
      <c r="T922" t="s">
        <v>20377</v>
      </c>
      <c r="U922" t="s">
        <v>20378</v>
      </c>
      <c r="V922">
        <f>-605.429692902635 -27.3299172225646 -234.648376902143</f>
        <v>-867.40798702734264</v>
      </c>
      <c r="W922" t="s">
        <v>20379</v>
      </c>
      <c r="X922" t="s">
        <v>20380</v>
      </c>
      <c r="Y922" t="s">
        <v>20381</v>
      </c>
    </row>
    <row r="923" spans="1:25" x14ac:dyDescent="0.3">
      <c r="A923">
        <v>46100</v>
      </c>
      <c r="B923" t="s">
        <v>20382</v>
      </c>
      <c r="C923" t="s">
        <v>20383</v>
      </c>
      <c r="D923" t="s">
        <v>20384</v>
      </c>
      <c r="E923" t="s">
        <v>20385</v>
      </c>
      <c r="F923" t="s">
        <v>20386</v>
      </c>
      <c r="G923" t="s">
        <v>20387</v>
      </c>
      <c r="H923">
        <f>-574.355366043564 -14.0905768462289 -837.296152708106</f>
        <v>-1425.7420955978989</v>
      </c>
      <c r="I923">
        <f>-528.380974513671 -31.7239157243972 -926.506111828157</f>
        <v>-1486.6110020662254</v>
      </c>
      <c r="J923" t="s">
        <v>20388</v>
      </c>
      <c r="K923" t="s">
        <v>20389</v>
      </c>
      <c r="L923" t="s">
        <v>20390</v>
      </c>
      <c r="M923" t="s">
        <v>20391</v>
      </c>
      <c r="N923">
        <f>-588.751392441557 -29.6230827268943 -765.85101895398</f>
        <v>-1384.2254941224312</v>
      </c>
      <c r="O923">
        <f>-607.616822922345 -166.233799665664 -714.820886508789</f>
        <v>-1488.6715090967982</v>
      </c>
      <c r="P923">
        <f>-617.301362552629 -126.89588038033 -400.90220031752</f>
        <v>-1145.099443250479</v>
      </c>
      <c r="Q923">
        <f>-373.382787205039 -44.8769537199533 -438.567439286057</f>
        <v>-856.82718021104927</v>
      </c>
      <c r="R923" t="s">
        <v>20392</v>
      </c>
      <c r="S923" t="s">
        <v>20393</v>
      </c>
      <c r="T923" t="s">
        <v>20394</v>
      </c>
      <c r="U923" t="s">
        <v>20395</v>
      </c>
      <c r="V923">
        <f>-605.761388522218 -27.0450465694832 -234.715216934174</f>
        <v>-867.52165202587526</v>
      </c>
      <c r="W923" t="s">
        <v>20396</v>
      </c>
      <c r="X923" t="s">
        <v>20397</v>
      </c>
      <c r="Y923" t="s">
        <v>20398</v>
      </c>
    </row>
    <row r="924" spans="1:25" x14ac:dyDescent="0.3">
      <c r="A924">
        <v>46150</v>
      </c>
      <c r="B924" t="s">
        <v>20399</v>
      </c>
      <c r="C924" t="s">
        <v>20400</v>
      </c>
      <c r="D924" t="s">
        <v>20401</v>
      </c>
      <c r="E924" t="s">
        <v>20402</v>
      </c>
      <c r="F924" t="s">
        <v>20403</v>
      </c>
      <c r="G924" t="s">
        <v>20404</v>
      </c>
      <c r="H924">
        <f>-574.548914856145 -12.0631311458449 -837.530708474649</f>
        <v>-1424.1427544766389</v>
      </c>
      <c r="I924">
        <f>-528.522549386764 -29.589445143522 -926.734955370205</f>
        <v>-1484.8469499004909</v>
      </c>
      <c r="J924" t="s">
        <v>20405</v>
      </c>
      <c r="K924" t="s">
        <v>20406</v>
      </c>
      <c r="L924" t="s">
        <v>20407</v>
      </c>
      <c r="M924" t="s">
        <v>20408</v>
      </c>
      <c r="N924">
        <f>-588.992861110869 -27.7588623337513 -766.130865135406</f>
        <v>-1382.8825885800261</v>
      </c>
      <c r="O924">
        <f>-608.281630810166 -164.427456838794 -715.414294197605</f>
        <v>-1488.1233818465651</v>
      </c>
      <c r="P924">
        <f>-617.76807886373 -125.944399669159 -401.38354927623</f>
        <v>-1145.0960278091191</v>
      </c>
      <c r="Q924">
        <f>-373.60325226314 -44.5305099548319 -438.764904812993</f>
        <v>-856.89866703096493</v>
      </c>
      <c r="R924" t="s">
        <v>20409</v>
      </c>
      <c r="S924" t="s">
        <v>20410</v>
      </c>
      <c r="T924" t="s">
        <v>20411</v>
      </c>
      <c r="U924" t="s">
        <v>20412</v>
      </c>
      <c r="V924">
        <f>-606.08995975661 -26.3289517942689 -234.812120076368</f>
        <v>-867.23103162724692</v>
      </c>
      <c r="W924" t="s">
        <v>20413</v>
      </c>
      <c r="X924" t="s">
        <v>20414</v>
      </c>
      <c r="Y924" t="s">
        <v>20415</v>
      </c>
    </row>
    <row r="925" spans="1:25" x14ac:dyDescent="0.3">
      <c r="A925">
        <v>46200</v>
      </c>
      <c r="B925" t="s">
        <v>20416</v>
      </c>
      <c r="C925" t="s">
        <v>20417</v>
      </c>
      <c r="D925" t="s">
        <v>20418</v>
      </c>
      <c r="E925" t="s">
        <v>20419</v>
      </c>
      <c r="F925" t="s">
        <v>20420</v>
      </c>
      <c r="G925" t="s">
        <v>20421</v>
      </c>
      <c r="H925">
        <f>-574.728635156829 -11.0992935563999 -837.613813648432</f>
        <v>-1423.441742361661</v>
      </c>
      <c r="I925">
        <f>-528.711373411423 -28.5922949650252 -926.829185431925</f>
        <v>-1484.1328538083731</v>
      </c>
      <c r="J925" t="s">
        <v>20422</v>
      </c>
      <c r="K925" t="s">
        <v>20423</v>
      </c>
      <c r="L925" t="s">
        <v>20424</v>
      </c>
      <c r="M925" t="s">
        <v>20425</v>
      </c>
      <c r="N925">
        <f>-589.193567880373 -26.8527539912722 -766.230887952477</f>
        <v>-1382.2772098241221</v>
      </c>
      <c r="O925">
        <f>-608.670442166912 -163.556872778538 -715.659725577927</f>
        <v>-1487.887040523377</v>
      </c>
      <c r="P925">
        <f>-618.153537509598 -125.25882678678 -401.6063762849</f>
        <v>-1145.0187405812781</v>
      </c>
      <c r="Q925">
        <f>-373.846674910696 -44.1981129989495 -438.826825956423</f>
        <v>-856.87161386606851</v>
      </c>
      <c r="R925" t="s">
        <v>20426</v>
      </c>
      <c r="S925" t="s">
        <v>20427</v>
      </c>
      <c r="T925" t="s">
        <v>20428</v>
      </c>
      <c r="U925" t="s">
        <v>20429</v>
      </c>
      <c r="V925">
        <f>-606.21314312166 -25.8454771601033 -234.838006691108</f>
        <v>-866.89662697287133</v>
      </c>
      <c r="W925" t="s">
        <v>20430</v>
      </c>
      <c r="X925" t="s">
        <v>20431</v>
      </c>
      <c r="Y925" t="s">
        <v>20432</v>
      </c>
    </row>
    <row r="926" spans="1:25" x14ac:dyDescent="0.3">
      <c r="A926">
        <v>46250</v>
      </c>
      <c r="B926" t="s">
        <v>20433</v>
      </c>
      <c r="C926" t="s">
        <v>20434</v>
      </c>
      <c r="D926" t="s">
        <v>20435</v>
      </c>
      <c r="E926" t="s">
        <v>20436</v>
      </c>
      <c r="F926" t="s">
        <v>20437</v>
      </c>
      <c r="G926" t="s">
        <v>20438</v>
      </c>
      <c r="H926">
        <f>-574.954008680505 -9.45233201280367 -837.712855416304</f>
        <v>-1422.1191961096129</v>
      </c>
      <c r="I926">
        <f>-529.009187033954 -26.9222171817026 -926.970123317671</f>
        <v>-1482.9015275333277</v>
      </c>
      <c r="J926" t="s">
        <v>20439</v>
      </c>
      <c r="K926" t="s">
        <v>20440</v>
      </c>
      <c r="L926" t="s">
        <v>20441</v>
      </c>
      <c r="M926" t="s">
        <v>20442</v>
      </c>
      <c r="N926">
        <f>-589.424423704051 -25.2967853256668 -766.351219963145</f>
        <v>-1381.0724289928628</v>
      </c>
      <c r="O926">
        <f>-609.255187620912 -162.014319792213 -715.980081699206</f>
        <v>-1487.249589112331</v>
      </c>
      <c r="P926">
        <f>-618.859125199478 -123.974361202657 -401.898981852703</f>
        <v>-1144.7324682548378</v>
      </c>
      <c r="Q926">
        <f>-374.253209028001 -43.5717160521955 -438.578662813906</f>
        <v>-856.40358789410243</v>
      </c>
      <c r="R926" t="s">
        <v>20443</v>
      </c>
      <c r="S926" t="s">
        <v>20444</v>
      </c>
      <c r="T926" t="s">
        <v>20445</v>
      </c>
      <c r="U926" t="s">
        <v>20446</v>
      </c>
      <c r="V926">
        <f>-606.238079048924 -25.0105352850112 -234.873768235251</f>
        <v>-866.12238256918613</v>
      </c>
      <c r="W926" t="s">
        <v>20447</v>
      </c>
      <c r="X926" t="s">
        <v>20448</v>
      </c>
      <c r="Y926" t="s">
        <v>20449</v>
      </c>
    </row>
    <row r="927" spans="1:25" x14ac:dyDescent="0.3">
      <c r="A927">
        <v>46300</v>
      </c>
      <c r="B927" t="s">
        <v>20450</v>
      </c>
      <c r="C927" t="s">
        <v>20451</v>
      </c>
      <c r="D927" t="s">
        <v>20452</v>
      </c>
      <c r="E927" t="s">
        <v>20453</v>
      </c>
      <c r="F927" t="s">
        <v>20454</v>
      </c>
      <c r="G927" t="s">
        <v>20455</v>
      </c>
      <c r="H927">
        <f>-574.832065536616 -8.91578452843031 -837.697103625658</f>
        <v>-1421.4449536907043</v>
      </c>
      <c r="I927">
        <f>-528.925334350285 -26.4200673642367 -926.967229111557</f>
        <v>-1482.3126308260787</v>
      </c>
      <c r="J927" t="s">
        <v>20456</v>
      </c>
      <c r="K927" t="s">
        <v>20457</v>
      </c>
      <c r="L927" t="s">
        <v>20458</v>
      </c>
      <c r="M927" t="s">
        <v>20459</v>
      </c>
      <c r="N927">
        <f>-589.333904420812 -24.7652679809832 -766.343044391563</f>
        <v>-1380.4422167933583</v>
      </c>
      <c r="O927">
        <f>-609.306199778744 -161.490152781002 -716.030559795407</f>
        <v>-1486.8269123551531</v>
      </c>
      <c r="P927">
        <f>-619.044255624398 -123.519434465582 -401.945282477271</f>
        <v>-1144.508972567251</v>
      </c>
      <c r="Q927">
        <f>-374.290197494478 -43.4135716568797 -438.284819507197</f>
        <v>-855.9885886585547</v>
      </c>
      <c r="R927" t="s">
        <v>20460</v>
      </c>
      <c r="S927" t="s">
        <v>20461</v>
      </c>
      <c r="T927" t="s">
        <v>20462</v>
      </c>
      <c r="U927" t="s">
        <v>20463</v>
      </c>
      <c r="V927">
        <f>-606.227401926169 -24.618558401571 -234.878212188681</f>
        <v>-865.72417251642105</v>
      </c>
      <c r="W927" t="s">
        <v>20464</v>
      </c>
      <c r="X927" t="s">
        <v>20465</v>
      </c>
      <c r="Y927" t="s">
        <v>20466</v>
      </c>
    </row>
    <row r="928" spans="1:25" x14ac:dyDescent="0.3">
      <c r="A928">
        <v>46350</v>
      </c>
      <c r="B928" t="s">
        <v>20467</v>
      </c>
      <c r="C928" t="s">
        <v>20468</v>
      </c>
      <c r="D928" t="s">
        <v>20469</v>
      </c>
      <c r="E928" t="s">
        <v>20470</v>
      </c>
      <c r="F928" t="s">
        <v>20471</v>
      </c>
      <c r="G928" t="s">
        <v>20472</v>
      </c>
      <c r="H928">
        <f>-574.972336275029 -7.75209889041759 -837.772048619907</f>
        <v>-1420.4964837853536</v>
      </c>
      <c r="I928">
        <f>-529.180843716179 -25.3262326242423 -927.087636073631</f>
        <v>-1481.5947124140521</v>
      </c>
      <c r="J928" t="s">
        <v>20473</v>
      </c>
      <c r="K928" t="s">
        <v>20474</v>
      </c>
      <c r="L928" t="s">
        <v>20475</v>
      </c>
      <c r="M928" t="s">
        <v>20476</v>
      </c>
      <c r="N928">
        <f>-589.450338141327 -23.613791186039 -766.415836280007</f>
        <v>-1379.4799656073731</v>
      </c>
      <c r="O928">
        <f>-609.660023503467 -160.326706744139 -716.164136876833</f>
        <v>-1486.1508671244389</v>
      </c>
      <c r="P928">
        <f>-619.571028379342 -122.287690345369 -402.092444228187</f>
        <v>-1143.9511629528979</v>
      </c>
      <c r="Q928">
        <f>-374.601499517897 -42.5654643448987 -437.818139493564</f>
        <v>-854.98510335635979</v>
      </c>
      <c r="R928" t="s">
        <v>20477</v>
      </c>
      <c r="S928" t="s">
        <v>20478</v>
      </c>
      <c r="T928" t="s">
        <v>20479</v>
      </c>
      <c r="U928" t="s">
        <v>20480</v>
      </c>
      <c r="V928">
        <f>-606.01126647999 -23.7154202403211 -234.897182330915</f>
        <v>-864.62386905122617</v>
      </c>
      <c r="W928" t="s">
        <v>20481</v>
      </c>
      <c r="X928" t="s">
        <v>20482</v>
      </c>
      <c r="Y928" t="s">
        <v>20483</v>
      </c>
    </row>
    <row r="929" spans="1:25" x14ac:dyDescent="0.3">
      <c r="A929">
        <v>46400</v>
      </c>
      <c r="B929" t="s">
        <v>20484</v>
      </c>
      <c r="C929" t="s">
        <v>20485</v>
      </c>
      <c r="D929" t="s">
        <v>20486</v>
      </c>
      <c r="E929" t="s">
        <v>20487</v>
      </c>
      <c r="F929" t="s">
        <v>20488</v>
      </c>
      <c r="G929" t="s">
        <v>20489</v>
      </c>
      <c r="H929">
        <f>-574.534695005151 -7.31630789271161 -837.775131633455</f>
        <v>-1419.6261345313176</v>
      </c>
      <c r="I929">
        <f>-528.781629306767 -24.9496691134921 -927.098560244647</f>
        <v>-1480.8298586649062</v>
      </c>
      <c r="J929" t="s">
        <v>20490</v>
      </c>
      <c r="K929" t="s">
        <v>20491</v>
      </c>
      <c r="L929" t="s">
        <v>20492</v>
      </c>
      <c r="M929" t="s">
        <v>20493</v>
      </c>
      <c r="N929">
        <f>-589.044258869063 -23.1626265052292 -766.421857179421</f>
        <v>-1378.6287425537132</v>
      </c>
      <c r="O929">
        <f>-609.379330884847 -159.864273029172 -716.185356180903</f>
        <v>-1485.4289600949221</v>
      </c>
      <c r="P929">
        <f>-619.373330923097 -121.754348038069 -402.124956988966</f>
        <v>-1143.2526359501321</v>
      </c>
      <c r="Q929">
        <f>-374.339243366744 -42.1225808983279 -437.608903281261</f>
        <v>-854.07072754633282</v>
      </c>
      <c r="R929" t="s">
        <v>20494</v>
      </c>
      <c r="S929" t="s">
        <v>20495</v>
      </c>
      <c r="T929" t="s">
        <v>20496</v>
      </c>
      <c r="U929" t="s">
        <v>20497</v>
      </c>
      <c r="V929">
        <f>-605.84451787182 -23.1621127260874 -234.912362238209</f>
        <v>-863.91899283611633</v>
      </c>
      <c r="W929" t="s">
        <v>20498</v>
      </c>
      <c r="X929" t="s">
        <v>20499</v>
      </c>
      <c r="Y929" t="s">
        <v>20500</v>
      </c>
    </row>
    <row r="930" spans="1:25" x14ac:dyDescent="0.3">
      <c r="A930">
        <v>46450</v>
      </c>
      <c r="B930" t="s">
        <v>20501</v>
      </c>
      <c r="C930" t="s">
        <v>20502</v>
      </c>
      <c r="D930" t="s">
        <v>20503</v>
      </c>
      <c r="E930" t="s">
        <v>20504</v>
      </c>
      <c r="F930" t="s">
        <v>20505</v>
      </c>
      <c r="G930" t="s">
        <v>20506</v>
      </c>
      <c r="H930">
        <f>-573.680571962861 -6.43384948343188 -837.798784442885</f>
        <v>-1417.9132058891778</v>
      </c>
      <c r="I930">
        <f>-527.961998538527 -24.1473847207094 -927.124304373758</f>
        <v>-1479.2336876329946</v>
      </c>
      <c r="J930" t="s">
        <v>20507</v>
      </c>
      <c r="K930" t="s">
        <v>20508</v>
      </c>
      <c r="L930" t="s">
        <v>20509</v>
      </c>
      <c r="M930" t="s">
        <v>20510</v>
      </c>
      <c r="N930">
        <f>-588.285644120347 -22.2509906927009 -766.458524165488</f>
        <v>-1376.995158978536</v>
      </c>
      <c r="O930">
        <f>-608.802116721957 -158.918496152697 -716.223238003343</f>
        <v>-1483.943850877997</v>
      </c>
      <c r="P930">
        <f>-618.955315602989 -120.753407775123 -402.174628401055</f>
        <v>-1141.883351779167</v>
      </c>
      <c r="Q930">
        <f>-373.828712216473 -41.2520186428115 -437.310286126833</f>
        <v>-852.39101698611739</v>
      </c>
      <c r="R930" t="s">
        <v>20511</v>
      </c>
      <c r="S930" t="s">
        <v>20512</v>
      </c>
      <c r="T930" t="s">
        <v>20513</v>
      </c>
      <c r="U930" t="s">
        <v>20514</v>
      </c>
      <c r="V930">
        <f>-605.409584186093 -22.102797389727 -234.927151174246</f>
        <v>-862.43953275006595</v>
      </c>
      <c r="W930" t="s">
        <v>20515</v>
      </c>
      <c r="X930" t="s">
        <v>20516</v>
      </c>
      <c r="Y930" t="s">
        <v>20517</v>
      </c>
    </row>
    <row r="931" spans="1:25" x14ac:dyDescent="0.3">
      <c r="A931">
        <v>46500</v>
      </c>
      <c r="B931" t="s">
        <v>20518</v>
      </c>
      <c r="C931" t="s">
        <v>20519</v>
      </c>
      <c r="D931" t="s">
        <v>20520</v>
      </c>
      <c r="E931" t="s">
        <v>20521</v>
      </c>
      <c r="F931" t="s">
        <v>20522</v>
      </c>
      <c r="G931" t="s">
        <v>20523</v>
      </c>
      <c r="H931">
        <f>-573.345714420069 -6.30599211616512 -837.793324403363</f>
        <v>-1417.4450309395972</v>
      </c>
      <c r="I931">
        <f>-527.636651882036 -24.1056647453017 -927.106512522663</f>
        <v>-1478.8488291500007</v>
      </c>
      <c r="J931" t="s">
        <v>20524</v>
      </c>
      <c r="K931" t="s">
        <v>20525</v>
      </c>
      <c r="L931" t="s">
        <v>20526</v>
      </c>
      <c r="M931" t="s">
        <v>20527</v>
      </c>
      <c r="N931">
        <f>-587.980492075938 -22.06057600107 -766.445367166874</f>
        <v>-1376.4864352438819</v>
      </c>
      <c r="O931">
        <f>-608.625181341047 -158.68588445084 -716.156047919039</f>
        <v>-1483.467113710926</v>
      </c>
      <c r="P931">
        <f>-618.846092724192 -120.412668180776 -402.122862378208</f>
        <v>-1141.3816232831759</v>
      </c>
      <c r="Q931">
        <f>-373.707220141 -40.9408858064829 -437.239898880008</f>
        <v>-851.88800482749093</v>
      </c>
      <c r="R931" t="s">
        <v>20528</v>
      </c>
      <c r="S931" t="s">
        <v>20529</v>
      </c>
      <c r="T931" t="s">
        <v>20530</v>
      </c>
      <c r="U931" t="s">
        <v>20531</v>
      </c>
      <c r="V931">
        <f>-605.171065445184 -21.5375013221768 -234.949652277769</f>
        <v>-861.65821904512984</v>
      </c>
      <c r="W931" t="s">
        <v>20532</v>
      </c>
      <c r="X931" t="s">
        <v>20533</v>
      </c>
      <c r="Y931" t="s">
        <v>20534</v>
      </c>
    </row>
    <row r="932" spans="1:25" x14ac:dyDescent="0.3">
      <c r="A932">
        <v>46550</v>
      </c>
      <c r="B932" t="s">
        <v>20535</v>
      </c>
      <c r="C932" t="s">
        <v>20536</v>
      </c>
      <c r="D932" t="s">
        <v>20537</v>
      </c>
      <c r="E932" t="s">
        <v>20538</v>
      </c>
      <c r="F932" t="s">
        <v>20539</v>
      </c>
      <c r="G932" t="s">
        <v>20540</v>
      </c>
      <c r="H932">
        <f>-572.886143910263 -6.37828727190755 -837.764610283802</f>
        <v>-1417.0290414659726</v>
      </c>
      <c r="I932">
        <f>-527.198345544883 -24.396997824364 -927.044706145163</f>
        <v>-1478.6400495144098</v>
      </c>
      <c r="J932" t="s">
        <v>20541</v>
      </c>
      <c r="K932" t="s">
        <v>20542</v>
      </c>
      <c r="L932" t="s">
        <v>20543</v>
      </c>
      <c r="M932" t="s">
        <v>20544</v>
      </c>
      <c r="N932">
        <f>-587.558922228213 -21.9904392535687 -766.393022062435</f>
        <v>-1375.9423835442167</v>
      </c>
      <c r="O932">
        <f>-608.39669665361 -158.556747759076 -715.967540238126</f>
        <v>-1482.920984650812</v>
      </c>
      <c r="P932">
        <f>-618.607239451209 -120.087367482347 -401.957955152524</f>
        <v>-1140.65256208608</v>
      </c>
      <c r="Q932">
        <f>-373.398406352308 -40.808082703705 -437.022153957363</f>
        <v>-851.22864301337597</v>
      </c>
      <c r="R932" t="s">
        <v>20545</v>
      </c>
      <c r="S932" t="s">
        <v>20546</v>
      </c>
      <c r="T932" t="s">
        <v>20547</v>
      </c>
      <c r="U932" t="s">
        <v>20548</v>
      </c>
      <c r="V932">
        <f>-604.856814310717 -20.6153856981772 -234.955103291907</f>
        <v>-860.42730330080121</v>
      </c>
      <c r="W932" t="s">
        <v>20549</v>
      </c>
      <c r="X932" t="s">
        <v>20550</v>
      </c>
      <c r="Y932" t="s">
        <v>20551</v>
      </c>
    </row>
    <row r="933" spans="1:25" x14ac:dyDescent="0.3">
      <c r="A933">
        <v>46600</v>
      </c>
      <c r="B933" t="s">
        <v>20552</v>
      </c>
      <c r="C933" t="s">
        <v>20553</v>
      </c>
      <c r="D933" t="s">
        <v>20554</v>
      </c>
      <c r="E933" t="s">
        <v>20555</v>
      </c>
      <c r="F933" t="s">
        <v>20556</v>
      </c>
      <c r="G933" t="s">
        <v>20557</v>
      </c>
      <c r="H933">
        <f>-572.825780163149 -6.42676383903017 -837.74574277504</f>
        <v>-1416.9982867772192</v>
      </c>
      <c r="I933">
        <f>-527.128229973371 -24.5449093874264 -927.000781903823</f>
        <v>-1478.6739212646205</v>
      </c>
      <c r="J933" t="s">
        <v>20558</v>
      </c>
      <c r="K933" t="s">
        <v>20559</v>
      </c>
      <c r="L933" t="s">
        <v>20560</v>
      </c>
      <c r="M933" t="s">
        <v>20561</v>
      </c>
      <c r="N933">
        <f>-587.507542059739 -21.9978652827201 -766.367145366348</f>
        <v>-1375.8725527088072</v>
      </c>
      <c r="O933">
        <f>-608.459368673599 -158.519812375853 -715.889766591111</f>
        <v>-1482.868947640563</v>
      </c>
      <c r="P933">
        <f>-618.613315408838 -119.935211036272 -401.892424963221</f>
        <v>-1140.4409514083311</v>
      </c>
      <c r="Q933">
        <f>-373.370419098347 -40.7568002791485 -436.946432239094</f>
        <v>-851.07365161658947</v>
      </c>
      <c r="R933" t="s">
        <v>20562</v>
      </c>
      <c r="S933" t="s">
        <v>20563</v>
      </c>
      <c r="T933" t="s">
        <v>20564</v>
      </c>
      <c r="U933" t="s">
        <v>20565</v>
      </c>
      <c r="V933">
        <f>-604.770681395405 -20.4643228510486 -234.946772484245</f>
        <v>-860.18177673069852</v>
      </c>
      <c r="W933" t="s">
        <v>20566</v>
      </c>
      <c r="X933" t="s">
        <v>20567</v>
      </c>
      <c r="Y933" t="s">
        <v>20568</v>
      </c>
    </row>
    <row r="934" spans="1:25" x14ac:dyDescent="0.3">
      <c r="A934">
        <v>46650</v>
      </c>
      <c r="B934" t="s">
        <v>20569</v>
      </c>
      <c r="C934" t="s">
        <v>20570</v>
      </c>
      <c r="D934" t="s">
        <v>20571</v>
      </c>
      <c r="E934" t="s">
        <v>20572</v>
      </c>
      <c r="F934" t="s">
        <v>20573</v>
      </c>
      <c r="G934" t="s">
        <v>20574</v>
      </c>
      <c r="H934">
        <f>-572.733954337912 -6.65703374872118 -837.640942189282</f>
        <v>-1417.0319302759153</v>
      </c>
      <c r="I934">
        <f>-526.99482253407 -25.0410353296808 -926.820201259442</f>
        <v>-1478.8560591231926</v>
      </c>
      <c r="J934" t="s">
        <v>20575</v>
      </c>
      <c r="K934" t="s">
        <v>20576</v>
      </c>
      <c r="L934" t="s">
        <v>20577</v>
      </c>
      <c r="M934" t="s">
        <v>20578</v>
      </c>
      <c r="N934">
        <f>-587.447238529049 -22.0880732151705 -766.238271405012</f>
        <v>-1375.7735831492314</v>
      </c>
      <c r="O934">
        <f>-608.567709258919 -158.521182585909 -715.599310453826</f>
        <v>-1482.6882022986538</v>
      </c>
      <c r="P934">
        <f>-618.667473260935 -119.534779510037 -401.64995877591</f>
        <v>-1139.852211546882</v>
      </c>
      <c r="Q934">
        <f>-373.346132783848 -40.6018231249083 -436.708045872211</f>
        <v>-850.65600178096736</v>
      </c>
      <c r="R934" t="s">
        <v>20579</v>
      </c>
      <c r="S934" t="s">
        <v>20580</v>
      </c>
      <c r="T934" t="s">
        <v>20581</v>
      </c>
      <c r="U934" t="s">
        <v>20582</v>
      </c>
      <c r="V934">
        <f>-604.695066749723 -19.7722620615739 -234.956779247575</f>
        <v>-859.42410805887187</v>
      </c>
      <c r="W934" t="s">
        <v>20583</v>
      </c>
      <c r="X934" t="s">
        <v>20584</v>
      </c>
      <c r="Y934" t="s">
        <v>20585</v>
      </c>
    </row>
    <row r="935" spans="1:25" x14ac:dyDescent="0.3">
      <c r="A935">
        <v>46700</v>
      </c>
      <c r="B935" t="s">
        <v>20586</v>
      </c>
      <c r="C935" t="s">
        <v>20587</v>
      </c>
      <c r="D935" t="s">
        <v>20588</v>
      </c>
      <c r="E935" t="s">
        <v>20589</v>
      </c>
      <c r="F935" t="s">
        <v>20590</v>
      </c>
      <c r="G935" t="s">
        <v>20591</v>
      </c>
      <c r="H935">
        <f>-572.823087283623 -6.748021772357 -837.556433053875</f>
        <v>-1417.1275421098549</v>
      </c>
      <c r="I935">
        <f>-527.049478703043 -25.2511638323619 -926.693302020212</f>
        <v>-1478.993944555617</v>
      </c>
      <c r="J935" t="s">
        <v>20592</v>
      </c>
      <c r="K935" t="s">
        <v>20593</v>
      </c>
      <c r="L935" t="s">
        <v>20594</v>
      </c>
      <c r="M935" t="s">
        <v>20595</v>
      </c>
      <c r="N935">
        <f>-587.565277542284 -22.1014216102696 -766.143162545634</f>
        <v>-1375.8098616981877</v>
      </c>
      <c r="O935">
        <f>-608.741419772518 -158.495435032454 -715.423670778132</f>
        <v>-1482.6605255831041</v>
      </c>
      <c r="P935">
        <f>-618.798375707029 -119.200155658549 -401.511334757424</f>
        <v>-1139.509866123002</v>
      </c>
      <c r="Q935">
        <f>-373.432826721238 -40.4251614330361 -436.615860686211</f>
        <v>-850.47384884048506</v>
      </c>
      <c r="R935" t="s">
        <v>20596</v>
      </c>
      <c r="S935" t="s">
        <v>20597</v>
      </c>
      <c r="T935" t="s">
        <v>20598</v>
      </c>
      <c r="U935" t="s">
        <v>20599</v>
      </c>
      <c r="V935">
        <f>-604.741420678147 -19.4379315591314 -234.950736612179</f>
        <v>-859.13008884945748</v>
      </c>
      <c r="W935" t="s">
        <v>20600</v>
      </c>
      <c r="X935" t="s">
        <v>20601</v>
      </c>
      <c r="Y935" t="s">
        <v>20602</v>
      </c>
    </row>
    <row r="936" spans="1:25" x14ac:dyDescent="0.3">
      <c r="A936">
        <v>46750</v>
      </c>
      <c r="B936" t="s">
        <v>20603</v>
      </c>
      <c r="C936" t="s">
        <v>20604</v>
      </c>
      <c r="D936" t="s">
        <v>20605</v>
      </c>
      <c r="E936" t="s">
        <v>20606</v>
      </c>
      <c r="F936" t="s">
        <v>20607</v>
      </c>
      <c r="G936" t="s">
        <v>20608</v>
      </c>
      <c r="H936">
        <f>-573.456791240929 -7.06496359503954 -837.440537082039</f>
        <v>-1417.9622919180074</v>
      </c>
      <c r="I936">
        <f>-527.655425478191 -25.8583483261464 -926.502502496737</f>
        <v>-1480.0162763010744</v>
      </c>
      <c r="J936" t="s">
        <v>20609</v>
      </c>
      <c r="K936" t="s">
        <v>20610</v>
      </c>
      <c r="L936" t="s">
        <v>20611</v>
      </c>
      <c r="M936" t="s">
        <v>20612</v>
      </c>
      <c r="N936">
        <f>-588.188177358763 -22.226418772648 -765.983946150917</f>
        <v>-1376.398542282328</v>
      </c>
      <c r="O936">
        <f>-609.559514102069 -158.48052046573 -714.976489438147</f>
        <v>-1483.0165240059459</v>
      </c>
      <c r="P936">
        <f>-619.44924192005 -118.441365104215 -401.152912450426</f>
        <v>-1139.043519474691</v>
      </c>
      <c r="Q936">
        <f>-373.840499242908 -40.3417457495581 -436.065199591331</f>
        <v>-850.24744458379701</v>
      </c>
      <c r="R936" t="s">
        <v>20613</v>
      </c>
      <c r="S936" t="s">
        <v>20614</v>
      </c>
      <c r="T936" t="s">
        <v>20615</v>
      </c>
      <c r="U936" t="s">
        <v>20616</v>
      </c>
      <c r="V936">
        <f>-604.930416409914 -18.7918272045505 -234.957095298885</f>
        <v>-858.67933891334951</v>
      </c>
      <c r="W936" t="s">
        <v>20617</v>
      </c>
      <c r="X936" t="s">
        <v>20618</v>
      </c>
      <c r="Y936" t="s">
        <v>20619</v>
      </c>
    </row>
    <row r="937" spans="1:25" x14ac:dyDescent="0.3">
      <c r="A937">
        <v>46800</v>
      </c>
      <c r="B937" t="s">
        <v>20620</v>
      </c>
      <c r="C937" t="s">
        <v>20621</v>
      </c>
      <c r="D937" t="s">
        <v>20622</v>
      </c>
      <c r="E937" t="s">
        <v>20623</v>
      </c>
      <c r="F937" t="s">
        <v>20624</v>
      </c>
      <c r="G937" t="s">
        <v>20625</v>
      </c>
      <c r="H937">
        <f>-573.572464261595 -7.23235316505227 -837.380359657627</f>
        <v>-1418.1851770842741</v>
      </c>
      <c r="I937">
        <f>-527.766656260889 -26.1722931136109 -926.408968175021</f>
        <v>-1480.3479175495208</v>
      </c>
      <c r="J937" t="s">
        <v>20626</v>
      </c>
      <c r="K937" t="s">
        <v>20627</v>
      </c>
      <c r="L937" t="s">
        <v>20628</v>
      </c>
      <c r="M937" t="s">
        <v>20629</v>
      </c>
      <c r="N937">
        <f>-588.310629968394 -22.3107199442923 -765.907599571602</f>
        <v>-1376.5289494842882</v>
      </c>
      <c r="O937">
        <f>-609.750036011403 -158.521077216282 -714.811839261453</f>
        <v>-1483.0829524891381</v>
      </c>
      <c r="P937">
        <f>-619.742131667943 -118.149533610316 -401.034219030938</f>
        <v>-1138.925884309197</v>
      </c>
      <c r="Q937">
        <f>-373.979614998163 -40.3928512426699 -435.627791453174</f>
        <v>-850.0002576940069</v>
      </c>
      <c r="R937" t="s">
        <v>20630</v>
      </c>
      <c r="S937" t="s">
        <v>20631</v>
      </c>
      <c r="T937" t="s">
        <v>20632</v>
      </c>
      <c r="U937" t="s">
        <v>20633</v>
      </c>
      <c r="V937">
        <f>-604.977248686431 -18.5117985250277 -234.960828806994</f>
        <v>-858.44987601845264</v>
      </c>
      <c r="W937" t="s">
        <v>20634</v>
      </c>
      <c r="X937" t="s">
        <v>20635</v>
      </c>
      <c r="Y937" t="s">
        <v>20636</v>
      </c>
    </row>
    <row r="938" spans="1:25" x14ac:dyDescent="0.3">
      <c r="A938">
        <v>46850</v>
      </c>
      <c r="B938" t="s">
        <v>20637</v>
      </c>
      <c r="C938" t="s">
        <v>20638</v>
      </c>
      <c r="D938" t="s">
        <v>20639</v>
      </c>
      <c r="E938" t="s">
        <v>20640</v>
      </c>
      <c r="F938" t="s">
        <v>20641</v>
      </c>
      <c r="G938" t="s">
        <v>20642</v>
      </c>
      <c r="H938">
        <f>-574.553919292048 -7.58738966551154 -837.31186209997</f>
        <v>-1419.4531710575295</v>
      </c>
      <c r="I938">
        <f>-528.751369549356 -26.7989825736276 -926.283997386039</f>
        <v>-1481.8343495090226</v>
      </c>
      <c r="J938" t="s">
        <v>20643</v>
      </c>
      <c r="K938" t="s">
        <v>20644</v>
      </c>
      <c r="L938" t="s">
        <v>20645</v>
      </c>
      <c r="M938" t="s">
        <v>20646</v>
      </c>
      <c r="N938">
        <f>-589.27004960067 -22.5257578500645 -765.805291319483</f>
        <v>-1377.6010987702175</v>
      </c>
      <c r="O938">
        <f>-610.896950942202 -158.635027427821 -714.524496936145</f>
        <v>-1484.0564753061681</v>
      </c>
      <c r="P938">
        <f>-620.895370766611 -117.630146795715 -400.829072152618</f>
        <v>-1139.354589714944</v>
      </c>
      <c r="Q938">
        <f>-374.927920918959 -40.3043776141647 -434.929095096847</f>
        <v>-850.16139362997069</v>
      </c>
      <c r="R938" t="s">
        <v>20647</v>
      </c>
      <c r="S938" t="s">
        <v>20648</v>
      </c>
      <c r="T938" t="s">
        <v>20649</v>
      </c>
      <c r="U938" t="s">
        <v>20650</v>
      </c>
      <c r="V938">
        <f>-605.311756666119 -18.1996942814458 -234.946618386046</f>
        <v>-858.45806933361075</v>
      </c>
      <c r="W938" t="s">
        <v>20651</v>
      </c>
      <c r="X938" t="s">
        <v>20652</v>
      </c>
      <c r="Y938" t="s">
        <v>20653</v>
      </c>
    </row>
    <row r="939" spans="1:25" x14ac:dyDescent="0.3">
      <c r="A939">
        <v>46900</v>
      </c>
      <c r="B939" t="s">
        <v>20654</v>
      </c>
      <c r="C939" t="s">
        <v>20655</v>
      </c>
      <c r="D939" t="s">
        <v>20656</v>
      </c>
      <c r="E939" t="s">
        <v>20657</v>
      </c>
      <c r="F939" t="s">
        <v>20658</v>
      </c>
      <c r="G939" t="s">
        <v>20659</v>
      </c>
      <c r="H939">
        <f>-575.000250860991 -7.97935595721894 -837.235870044749</f>
        <v>-1420.2154768629589</v>
      </c>
      <c r="I939">
        <f>-529.218219362341 -27.3435725708263 -926.185357498489</f>
        <v>-1482.7471494316562</v>
      </c>
      <c r="J939" t="s">
        <v>20660</v>
      </c>
      <c r="K939" t="s">
        <v>20661</v>
      </c>
      <c r="L939" t="s">
        <v>20662</v>
      </c>
      <c r="M939" t="s">
        <v>20663</v>
      </c>
      <c r="N939">
        <f>-589.719127527901 -22.8285913203932 -765.711219337275</f>
        <v>-1378.2589381855691</v>
      </c>
      <c r="O939">
        <f>-611.462648378255 -158.874534029445 -714.326974290551</f>
        <v>-1484.6641566982512</v>
      </c>
      <c r="P939">
        <f>-621.611783147734 -117.565787378022 -400.676342417655</f>
        <v>-1139.8539129434109</v>
      </c>
      <c r="Q939">
        <f>-375.479013036487 -40.7074516917003 -434.639264051806</f>
        <v>-850.82572877999326</v>
      </c>
      <c r="R939" t="s">
        <v>20664</v>
      </c>
      <c r="S939" t="s">
        <v>20665</v>
      </c>
      <c r="T939" t="s">
        <v>20666</v>
      </c>
      <c r="U939" t="s">
        <v>20667</v>
      </c>
      <c r="V939">
        <f>-605.637557078388 -18.1584267798237 -234.94222841971</f>
        <v>-858.73821227792166</v>
      </c>
      <c r="W939" t="s">
        <v>20668</v>
      </c>
      <c r="X939" t="s">
        <v>20669</v>
      </c>
      <c r="Y939" t="s">
        <v>20670</v>
      </c>
    </row>
    <row r="940" spans="1:25" x14ac:dyDescent="0.3">
      <c r="A940">
        <v>46950</v>
      </c>
      <c r="B940" t="s">
        <v>20671</v>
      </c>
      <c r="C940" t="s">
        <v>20672</v>
      </c>
      <c r="D940" t="s">
        <v>20673</v>
      </c>
      <c r="E940" t="s">
        <v>20674</v>
      </c>
      <c r="F940" t="s">
        <v>20675</v>
      </c>
      <c r="G940" t="s">
        <v>20676</v>
      </c>
      <c r="H940">
        <f>-576.604785279798 -8.55258677835123 -837.146383002235</f>
        <v>-1422.3037550603842</v>
      </c>
      <c r="I940">
        <f>-530.84698887539 -28.2109814015756 -926.043856870309</f>
        <v>-1485.1018271472747</v>
      </c>
      <c r="J940" t="s">
        <v>20677</v>
      </c>
      <c r="K940" t="s">
        <v>20678</v>
      </c>
      <c r="L940" t="s">
        <v>20679</v>
      </c>
      <c r="M940" t="s">
        <v>20680</v>
      </c>
      <c r="N940">
        <f>-591.360601456143 -23.2424032791825 -765.596475998629</f>
        <v>-1380.1994807339545</v>
      </c>
      <c r="O940">
        <f>-613.486118358458 -159.19767373765 -714.132430761442</f>
        <v>-1486.8162228575502</v>
      </c>
      <c r="P940">
        <f>-623.775245409345 -117.6773641145 -400.514205574935</f>
        <v>-1141.96681509878</v>
      </c>
      <c r="Q940">
        <f>-377.069971779324 -42.6044847843597 -434.316824255604</f>
        <v>-853.99128081928779</v>
      </c>
      <c r="R940" t="s">
        <v>20681</v>
      </c>
      <c r="S940" t="s">
        <v>20682</v>
      </c>
      <c r="T940" t="s">
        <v>20683</v>
      </c>
      <c r="U940" t="s">
        <v>20684</v>
      </c>
      <c r="V940">
        <f>-606.399054179163 -18.1761742588862 -234.971939716904</f>
        <v>-859.54716815495328</v>
      </c>
      <c r="W940" t="s">
        <v>20685</v>
      </c>
      <c r="X940" t="s">
        <v>20686</v>
      </c>
      <c r="Y940" t="s">
        <v>20687</v>
      </c>
    </row>
    <row r="941" spans="1:25" x14ac:dyDescent="0.3">
      <c r="A941">
        <v>47000</v>
      </c>
      <c r="B941" t="s">
        <v>20688</v>
      </c>
      <c r="C941" t="s">
        <v>20689</v>
      </c>
      <c r="D941" t="s">
        <v>20690</v>
      </c>
      <c r="E941" t="s">
        <v>20691</v>
      </c>
      <c r="F941" t="s">
        <v>20692</v>
      </c>
      <c r="G941" t="s">
        <v>20693</v>
      </c>
      <c r="H941">
        <f>-577.292799664137 -8.93107274251371 -837.164418483857</f>
        <v>-1423.3882908905077</v>
      </c>
      <c r="I941">
        <f>-531.564935746072 -28.7584266821961 -926.039738585931</f>
        <v>-1486.3631010141989</v>
      </c>
      <c r="J941" t="s">
        <v>20694</v>
      </c>
      <c r="K941" t="s">
        <v>20695</v>
      </c>
      <c r="L941" t="s">
        <v>20696</v>
      </c>
      <c r="M941" t="s">
        <v>20697</v>
      </c>
      <c r="N941">
        <f>-592.053504953497 -23.5332112734728 -765.597542975557</f>
        <v>-1381.1842592025268</v>
      </c>
      <c r="O941">
        <f>-614.495111146019 -159.404733623827 -714.058397264253</f>
        <v>-1487.9582420340989</v>
      </c>
      <c r="P941">
        <f>-624.41785231411 -117.975691215829 -400.416291387669</f>
        <v>-1142.809834917608</v>
      </c>
      <c r="Q941">
        <f>-377.482983796782 -43.7933779270957 -434.507468188232</f>
        <v>-855.7838299121097</v>
      </c>
      <c r="R941" t="s">
        <v>20698</v>
      </c>
      <c r="S941" t="s">
        <v>20699</v>
      </c>
      <c r="T941" t="s">
        <v>20700</v>
      </c>
      <c r="U941" t="s">
        <v>20701</v>
      </c>
      <c r="V941">
        <f>-606.865829928799 -18.1686430695637 -235.013116231829</f>
        <v>-860.04758923019176</v>
      </c>
      <c r="W941" t="s">
        <v>20702</v>
      </c>
      <c r="X941" t="s">
        <v>20703</v>
      </c>
      <c r="Y941" t="s">
        <v>20704</v>
      </c>
    </row>
    <row r="942" spans="1:25" x14ac:dyDescent="0.3">
      <c r="A942">
        <v>47050</v>
      </c>
      <c r="B942" t="s">
        <v>20705</v>
      </c>
      <c r="C942" t="s">
        <v>20706</v>
      </c>
      <c r="D942" t="s">
        <v>20707</v>
      </c>
      <c r="E942" t="s">
        <v>20708</v>
      </c>
      <c r="F942" t="s">
        <v>20709</v>
      </c>
      <c r="G942" t="s">
        <v>20710</v>
      </c>
      <c r="H942">
        <f>-578.734490003988 -10.2628497640167 -837.123560953853</f>
        <v>-1426.1209007218577</v>
      </c>
      <c r="I942">
        <f>-533.057516851563 -30.5030075788241 -925.931921650502</f>
        <v>-1489.4924460808891</v>
      </c>
      <c r="J942" t="s">
        <v>20711</v>
      </c>
      <c r="K942" t="s">
        <v>20712</v>
      </c>
      <c r="L942" t="s">
        <v>20713</v>
      </c>
      <c r="M942" t="s">
        <v>20714</v>
      </c>
      <c r="N942">
        <f>-593.518903527317 -24.6360427215667 -765.515139428377</f>
        <v>-1383.6700856772607</v>
      </c>
      <c r="O942">
        <f>-616.654670481336 -160.35864696297 -713.861538309136</f>
        <v>-1490.874855753442</v>
      </c>
      <c r="P942">
        <f>-626.181911173622 -119.306309669203 -400.157711627219</f>
        <v>-1145.645932470044</v>
      </c>
      <c r="Q942">
        <f>-378.926214870099 -47.1072966919449 -436.129559861742</f>
        <v>-862.16307142378582</v>
      </c>
      <c r="R942" t="s">
        <v>20715</v>
      </c>
      <c r="S942" t="s">
        <v>20716</v>
      </c>
      <c r="T942" t="s">
        <v>20717</v>
      </c>
      <c r="U942" t="s">
        <v>20718</v>
      </c>
      <c r="V942">
        <f>-607.914780812761 -18.5842925666485 -235.066810370248</f>
        <v>-861.56588374965759</v>
      </c>
      <c r="W942" t="s">
        <v>20719</v>
      </c>
      <c r="X942" t="s">
        <v>20720</v>
      </c>
      <c r="Y942" t="s">
        <v>20721</v>
      </c>
    </row>
    <row r="943" spans="1:25" x14ac:dyDescent="0.3">
      <c r="A943">
        <v>47100</v>
      </c>
      <c r="B943" t="s">
        <v>20722</v>
      </c>
      <c r="C943" t="s">
        <v>20723</v>
      </c>
      <c r="D943" t="s">
        <v>20724</v>
      </c>
      <c r="E943" t="s">
        <v>20725</v>
      </c>
      <c r="F943" t="s">
        <v>20726</v>
      </c>
      <c r="G943" t="s">
        <v>20727</v>
      </c>
      <c r="H943">
        <f>-579.320873876788 -10.6037871898306 -837.193959314391</f>
        <v>-1427.1186203810098</v>
      </c>
      <c r="I943">
        <f>-533.652548061232 -31.0209739638322 -925.966173445221</f>
        <v>-1490.639695470285</v>
      </c>
      <c r="J943" t="s">
        <v>20728</v>
      </c>
      <c r="K943" t="s">
        <v>20729</v>
      </c>
      <c r="L943" t="s">
        <v>20730</v>
      </c>
      <c r="M943" t="s">
        <v>20731</v>
      </c>
      <c r="N943">
        <f>-594.125775596258 -24.9082943545889 -765.576113253781</f>
        <v>-1384.6101832046279</v>
      </c>
      <c r="O943">
        <f>-617.703823515801 -160.532105919167 -713.847157097569</f>
        <v>-1492.083086532537</v>
      </c>
      <c r="P943">
        <f>-626.520979303034 -119.793085153598 -400.081564765805</f>
        <v>-1146.395629222437</v>
      </c>
      <c r="Q943">
        <f>-379.075563951532 -48.5460667433576 -436.642453971385</f>
        <v>-864.26408466627458</v>
      </c>
      <c r="R943" t="s">
        <v>20732</v>
      </c>
      <c r="S943" t="s">
        <v>20733</v>
      </c>
      <c r="T943" t="s">
        <v>20734</v>
      </c>
      <c r="U943" t="s">
        <v>20735</v>
      </c>
      <c r="V943">
        <f>-608.411818668351 -18.7486528897578 -235.128330153964</f>
        <v>-862.28880171207265</v>
      </c>
      <c r="W943" t="s">
        <v>20736</v>
      </c>
      <c r="X943" t="s">
        <v>20737</v>
      </c>
      <c r="Y943" t="s">
        <v>20738</v>
      </c>
    </row>
    <row r="944" spans="1:25" x14ac:dyDescent="0.3">
      <c r="A944">
        <v>47150</v>
      </c>
      <c r="B944" t="s">
        <v>20739</v>
      </c>
      <c r="C944" t="s">
        <v>20740</v>
      </c>
      <c r="D944" t="s">
        <v>20741</v>
      </c>
      <c r="E944" t="s">
        <v>20742</v>
      </c>
      <c r="F944" t="s">
        <v>20743</v>
      </c>
      <c r="G944" t="s">
        <v>20744</v>
      </c>
      <c r="H944">
        <f>-580.248376440841 -11.2692524002705 -837.204440283136</f>
        <v>-1428.7220691242474</v>
      </c>
      <c r="I944">
        <f>-534.550233789604 -32.0471826542814 -925.877742599365</f>
        <v>-1492.4751590432504</v>
      </c>
      <c r="J944" t="s">
        <v>20745</v>
      </c>
      <c r="K944" t="s">
        <v>20746</v>
      </c>
      <c r="L944" t="s">
        <v>20747</v>
      </c>
      <c r="M944" t="s">
        <v>20748</v>
      </c>
      <c r="N944">
        <f>-595.08912221974 -25.4612692116712 -765.571593423482</f>
        <v>-1386.1219848548931</v>
      </c>
      <c r="O944">
        <f>-619.127087245819 -160.970308191757 -713.750439447006</f>
        <v>-1493.847834884582</v>
      </c>
      <c r="P944">
        <f>-627.227340058232 -120.254841617277 -399.962527088334</f>
        <v>-1147.444708763843</v>
      </c>
      <c r="Q944">
        <f>-379.765241245812 -49.6208495473212 -437.584472491019</f>
        <v>-866.97056328415215</v>
      </c>
      <c r="R944" t="s">
        <v>20749</v>
      </c>
      <c r="S944" t="s">
        <v>20750</v>
      </c>
      <c r="T944" t="s">
        <v>20751</v>
      </c>
      <c r="U944" t="s">
        <v>20752</v>
      </c>
      <c r="V944">
        <f>-609.461155041095 -19.0902054937155 -235.161582720147</f>
        <v>-863.71294325495751</v>
      </c>
      <c r="W944" t="s">
        <v>20753</v>
      </c>
      <c r="X944" t="s">
        <v>20754</v>
      </c>
      <c r="Y944" t="s">
        <v>20755</v>
      </c>
    </row>
    <row r="945" spans="1:25" x14ac:dyDescent="0.3">
      <c r="A945">
        <v>47200</v>
      </c>
      <c r="B945" t="s">
        <v>20756</v>
      </c>
      <c r="C945" t="s">
        <v>20757</v>
      </c>
      <c r="D945" t="s">
        <v>20758</v>
      </c>
      <c r="E945" t="s">
        <v>20759</v>
      </c>
      <c r="F945" t="s">
        <v>20760</v>
      </c>
      <c r="G945" t="s">
        <v>20761</v>
      </c>
      <c r="H945">
        <f>-580.628769729668 -11.5197216392486 -837.113680095353</f>
        <v>-1429.2621714642696</v>
      </c>
      <c r="I945">
        <f>-534.883604761406 -32.4079207610013 -925.736694574507</f>
        <v>-1493.0282200969143</v>
      </c>
      <c r="J945" t="s">
        <v>20762</v>
      </c>
      <c r="K945" t="s">
        <v>20763</v>
      </c>
      <c r="L945" t="s">
        <v>20764</v>
      </c>
      <c r="M945" t="s">
        <v>20765</v>
      </c>
      <c r="N945">
        <f>-595.500197550534 -25.6637308609574 -765.477756390149</f>
        <v>-1386.6416848016406</v>
      </c>
      <c r="O945">
        <f>-619.666211486145 -161.109724171832 -713.557754941516</f>
        <v>-1494.3336905994929</v>
      </c>
      <c r="P945">
        <f>-627.426287195332 -119.708509508207 -399.851129917097</f>
        <v>-1146.9859266206361</v>
      </c>
      <c r="Q945">
        <f>-379.785953467625 -49.5667858712458 -437.220235627667</f>
        <v>-866.57297496653791</v>
      </c>
      <c r="R945" t="s">
        <v>20766</v>
      </c>
      <c r="S945" t="s">
        <v>20767</v>
      </c>
      <c r="T945" t="s">
        <v>20768</v>
      </c>
      <c r="U945" t="s">
        <v>20769</v>
      </c>
      <c r="V945">
        <f>-610.024209873065 -19.2880463039404 -235.168479016047</f>
        <v>-864.4807351930524</v>
      </c>
      <c r="W945" t="s">
        <v>20770</v>
      </c>
      <c r="X945" t="s">
        <v>20771</v>
      </c>
      <c r="Y945" t="s">
        <v>20772</v>
      </c>
    </row>
    <row r="946" spans="1:25" x14ac:dyDescent="0.3">
      <c r="A946">
        <v>47250</v>
      </c>
      <c r="B946" t="s">
        <v>20773</v>
      </c>
      <c r="C946" t="s">
        <v>20774</v>
      </c>
      <c r="D946" t="s">
        <v>20775</v>
      </c>
      <c r="E946" t="s">
        <v>20776</v>
      </c>
      <c r="F946" t="s">
        <v>20777</v>
      </c>
      <c r="G946" t="s">
        <v>20778</v>
      </c>
      <c r="H946">
        <f>-581.626602105469 -12.5898018291962 -836.89678718218</f>
        <v>-1431.1131911168452</v>
      </c>
      <c r="I946">
        <f>-535.815954382046 -33.7266173055021 -925.42695045255</f>
        <v>-1494.9695221400982</v>
      </c>
      <c r="J946" t="s">
        <v>20779</v>
      </c>
      <c r="K946" t="s">
        <v>20780</v>
      </c>
      <c r="L946" t="s">
        <v>20781</v>
      </c>
      <c r="M946" t="s">
        <v>20782</v>
      </c>
      <c r="N946">
        <f>-596.530932864088 -26.5511560726096 -765.231916951793</f>
        <v>-1388.3140058884906</v>
      </c>
      <c r="O946">
        <f>-620.866152726685 -161.845430473703 -713.015983315909</f>
        <v>-1495.727566516297</v>
      </c>
      <c r="P946">
        <f>-628.176553341444 -119.921496187719 -399.368010539169</f>
        <v>-1147.4660600683319</v>
      </c>
      <c r="Q946">
        <f>-380.259188833859 -50.7836450934644 -436.771284293148</f>
        <v>-867.81411822047141</v>
      </c>
      <c r="R946" t="s">
        <v>20783</v>
      </c>
      <c r="S946" t="s">
        <v>20784</v>
      </c>
      <c r="T946" t="s">
        <v>20785</v>
      </c>
      <c r="U946" t="s">
        <v>20786</v>
      </c>
      <c r="V946">
        <f>-610.939271439131 -19.8862790818369 -235.200523890944</f>
        <v>-866.02607441191185</v>
      </c>
      <c r="W946" t="s">
        <v>20787</v>
      </c>
      <c r="X946" t="s">
        <v>20788</v>
      </c>
      <c r="Y946" t="s">
        <v>20789</v>
      </c>
    </row>
    <row r="947" spans="1:25" x14ac:dyDescent="0.3">
      <c r="A947">
        <v>47300</v>
      </c>
      <c r="B947" t="s">
        <v>20790</v>
      </c>
      <c r="C947" t="s">
        <v>20791</v>
      </c>
      <c r="D947" t="s">
        <v>20792</v>
      </c>
      <c r="E947" t="s">
        <v>20793</v>
      </c>
      <c r="F947" t="s">
        <v>20794</v>
      </c>
      <c r="G947" t="s">
        <v>20795</v>
      </c>
      <c r="H947">
        <f>-582.162465001287 -12.8905916467344 -836.822091760238</f>
        <v>-1431.8751484082595</v>
      </c>
      <c r="I947">
        <f>-536.315211413038 -34.1065967696784 -925.314457863961</f>
        <v>-1495.7362660466774</v>
      </c>
      <c r="J947" t="s">
        <v>20796</v>
      </c>
      <c r="K947" t="s">
        <v>20797</v>
      </c>
      <c r="L947" t="s">
        <v>20798</v>
      </c>
      <c r="M947" t="s">
        <v>20799</v>
      </c>
      <c r="N947">
        <f>-597.076244755922 -26.80405636899 -765.149874309721</f>
        <v>-1389.0301754346328</v>
      </c>
      <c r="O947">
        <f>-621.45246308773 -162.08176127218 -712.871088917285</f>
        <v>-1496.4053132771951</v>
      </c>
      <c r="P947">
        <f>-628.501122377941 -120.142426876987 -399.219075873129</f>
        <v>-1147.8626251280571</v>
      </c>
      <c r="Q947">
        <f>-380.453478524077 -51.7899612432389 -437.197497372849</f>
        <v>-869.44093714016492</v>
      </c>
      <c r="R947" t="s">
        <v>20800</v>
      </c>
      <c r="S947" t="s">
        <v>20801</v>
      </c>
      <c r="T947" t="s">
        <v>20802</v>
      </c>
      <c r="U947" t="s">
        <v>20803</v>
      </c>
      <c r="V947">
        <f>-611.393760160467 -20.0725708655481 -235.20660844668</f>
        <v>-866.67293947269502</v>
      </c>
      <c r="W947" t="s">
        <v>20804</v>
      </c>
      <c r="X947" t="s">
        <v>20805</v>
      </c>
      <c r="Y947" t="s">
        <v>20806</v>
      </c>
    </row>
    <row r="948" spans="1:25" x14ac:dyDescent="0.3">
      <c r="A948">
        <v>47350</v>
      </c>
      <c r="B948" t="s">
        <v>20807</v>
      </c>
      <c r="C948" t="s">
        <v>20808</v>
      </c>
      <c r="D948" t="s">
        <v>20809</v>
      </c>
      <c r="E948" t="s">
        <v>20810</v>
      </c>
      <c r="F948" t="s">
        <v>20811</v>
      </c>
      <c r="G948" t="s">
        <v>20812</v>
      </c>
      <c r="H948">
        <f>-583.656973177806 -13.3365478721996 -836.760815882633</f>
        <v>-1433.7543369326386</v>
      </c>
      <c r="I948">
        <f>-537.751543347868 -34.6879050043309 -925.1905756255</f>
        <v>-1497.6300239776988</v>
      </c>
      <c r="J948" t="s">
        <v>20813</v>
      </c>
      <c r="K948" t="s">
        <v>20814</v>
      </c>
      <c r="L948" t="s">
        <v>20815</v>
      </c>
      <c r="M948" t="s">
        <v>20816</v>
      </c>
      <c r="N948">
        <f>-598.592718060107 -27.1799049378682 -765.079645724802</f>
        <v>-1390.8522687227774</v>
      </c>
      <c r="O948">
        <f>-623.251660412126 -162.32195274863 -712.605034328088</f>
        <v>-1498.178647488844</v>
      </c>
      <c r="P948">
        <f>-629.292796511189 -120.646207773183 -398.896875936611</f>
        <v>-1148.835880220983</v>
      </c>
      <c r="Q948">
        <f>-380.736237223725 -54.6158992956123 -437.64901811198</f>
        <v>-873.00115463131738</v>
      </c>
      <c r="R948" t="s">
        <v>20817</v>
      </c>
      <c r="S948" t="s">
        <v>20818</v>
      </c>
      <c r="T948" t="s">
        <v>20819</v>
      </c>
      <c r="U948" t="s">
        <v>20820</v>
      </c>
      <c r="V948">
        <f>-612.478049663109 -20.4129564656714 -235.23445290303</f>
        <v>-868.12545903181035</v>
      </c>
      <c r="W948" t="s">
        <v>20821</v>
      </c>
      <c r="X948" t="s">
        <v>20822</v>
      </c>
      <c r="Y948" t="s">
        <v>20823</v>
      </c>
    </row>
    <row r="949" spans="1:25" x14ac:dyDescent="0.3">
      <c r="A949">
        <v>47400</v>
      </c>
      <c r="B949" t="s">
        <v>20824</v>
      </c>
      <c r="C949" t="s">
        <v>20825</v>
      </c>
      <c r="D949" t="s">
        <v>20826</v>
      </c>
      <c r="E949" t="s">
        <v>20827</v>
      </c>
      <c r="F949" t="s">
        <v>20828</v>
      </c>
      <c r="G949" t="s">
        <v>20829</v>
      </c>
      <c r="H949">
        <f>-584.391624741861 -13.7398677611082 -836.718457263066</f>
        <v>-1434.8499497660353</v>
      </c>
      <c r="I949">
        <f>-538.460975882758 -35.1869453971948 -925.111817661192</f>
        <v>-1498.7597389411449</v>
      </c>
      <c r="J949" t="s">
        <v>20830</v>
      </c>
      <c r="K949" t="s">
        <v>20831</v>
      </c>
      <c r="L949" t="s">
        <v>20832</v>
      </c>
      <c r="M949" t="s">
        <v>20833</v>
      </c>
      <c r="N949">
        <f>-599.345421703509 -27.5396900648402 -765.032587491745</f>
        <v>-1391.9176992600942</v>
      </c>
      <c r="O949">
        <f>-624.116083275069 -162.609401607511 -712.445019925338</f>
        <v>-1499.170504807918</v>
      </c>
      <c r="P949">
        <f>-629.792028645657 -121.478761885612 -398.658119039517</f>
        <v>-1149.9289095707859</v>
      </c>
      <c r="Q949">
        <f>-381.37175490863 -55.6609783007522 -438.626154426132</f>
        <v>-875.65888763551425</v>
      </c>
      <c r="R949" t="s">
        <v>20834</v>
      </c>
      <c r="S949" t="s">
        <v>20835</v>
      </c>
      <c r="T949" t="s">
        <v>20836</v>
      </c>
      <c r="U949" t="s">
        <v>20837</v>
      </c>
      <c r="V949">
        <f>-613.139922116191 -20.6474610346297 -235.2581385636</f>
        <v>-869.04552171442072</v>
      </c>
      <c r="W949" t="s">
        <v>20838</v>
      </c>
      <c r="X949" t="s">
        <v>20839</v>
      </c>
      <c r="Y949" t="s">
        <v>20840</v>
      </c>
    </row>
    <row r="950" spans="1:25" x14ac:dyDescent="0.3">
      <c r="A950">
        <v>47450</v>
      </c>
      <c r="B950" t="s">
        <v>20841</v>
      </c>
      <c r="C950" t="s">
        <v>20842</v>
      </c>
      <c r="D950" t="s">
        <v>20843</v>
      </c>
      <c r="E950" t="s">
        <v>20844</v>
      </c>
      <c r="F950" t="s">
        <v>20845</v>
      </c>
      <c r="G950" t="s">
        <v>20846</v>
      </c>
      <c r="H950">
        <f>-586.374320264503 -14.7140640992744 -836.72130689555</f>
        <v>-1437.8096912593273</v>
      </c>
      <c r="I950">
        <f>-540.414332574547 -36.3132202517015 -925.062374342533</f>
        <v>-1501.7899271687816</v>
      </c>
      <c r="J950" t="s">
        <v>20847</v>
      </c>
      <c r="K950" t="s">
        <v>20848</v>
      </c>
      <c r="L950" t="s">
        <v>20849</v>
      </c>
      <c r="M950" t="s">
        <v>20850</v>
      </c>
      <c r="N950">
        <f>-601.33735359949 -28.4253698866742 -765.020414265957</f>
        <v>-1394.7831377521211</v>
      </c>
      <c r="O950">
        <f>-626.117794747387 -163.43460923055 -712.275145730073</f>
        <v>-1501.8275497080099</v>
      </c>
      <c r="P950">
        <f>-630.871240413687 -122.131387979107 -398.495491069145</f>
        <v>-1151.498119461939</v>
      </c>
      <c r="Q950">
        <f>-382.779295633065 -56.8591532104026 -441.297041810362</f>
        <v>-880.93549065382956</v>
      </c>
      <c r="R950" t="s">
        <v>20851</v>
      </c>
      <c r="S950" t="s">
        <v>20852</v>
      </c>
      <c r="T950" t="s">
        <v>20853</v>
      </c>
      <c r="U950" t="s">
        <v>20854</v>
      </c>
      <c r="V950">
        <f>-614.802105264343 -21.423711906938 -235.356010097571</f>
        <v>-871.58182726885207</v>
      </c>
      <c r="W950" t="s">
        <v>20855</v>
      </c>
      <c r="X950" t="s">
        <v>20856</v>
      </c>
      <c r="Y950" t="s">
        <v>20857</v>
      </c>
    </row>
    <row r="951" spans="1:25" x14ac:dyDescent="0.3">
      <c r="A951">
        <v>47500</v>
      </c>
      <c r="B951" t="s">
        <v>20858</v>
      </c>
      <c r="C951" t="s">
        <v>20859</v>
      </c>
      <c r="D951" t="s">
        <v>20860</v>
      </c>
      <c r="E951" t="s">
        <v>20861</v>
      </c>
      <c r="F951" t="s">
        <v>20862</v>
      </c>
      <c r="G951" t="s">
        <v>20863</v>
      </c>
      <c r="H951">
        <f>-587.256496733473 -15.5734119012481 -836.68123227895</f>
        <v>-1439.5111409136712</v>
      </c>
      <c r="I951">
        <f>-541.274611330937 -37.2712536281739 -924.986689391517</f>
        <v>-1503.5325543506278</v>
      </c>
      <c r="J951" t="s">
        <v>20864</v>
      </c>
      <c r="K951" t="s">
        <v>20865</v>
      </c>
      <c r="L951" t="s">
        <v>20866</v>
      </c>
      <c r="M951" t="s">
        <v>20867</v>
      </c>
      <c r="N951">
        <f>-602.242674874752 -29.1945806398082 -764.967924885712</f>
        <v>-1396.4051804002722</v>
      </c>
      <c r="O951">
        <f>-627.06615112624 -164.135362746736 -712.084636898065</f>
        <v>-1503.2861507710409</v>
      </c>
      <c r="P951">
        <f>-631.720583960363 -122.626490190295 -398.330812117493</f>
        <v>-1152.677886268151</v>
      </c>
      <c r="Q951">
        <f>-383.85216492059 -57.515700873228 -442.646165026201</f>
        <v>-884.014030820019</v>
      </c>
      <c r="R951" t="s">
        <v>20868</v>
      </c>
      <c r="S951" t="s">
        <v>20869</v>
      </c>
      <c r="T951" t="s">
        <v>20870</v>
      </c>
      <c r="U951" t="s">
        <v>20871</v>
      </c>
      <c r="V951">
        <f>-615.767812558632 -21.9699224996296 -235.415595837483</f>
        <v>-873.1533308957446</v>
      </c>
      <c r="W951" t="s">
        <v>20872</v>
      </c>
      <c r="X951" t="s">
        <v>20873</v>
      </c>
      <c r="Y951" t="s">
        <v>20874</v>
      </c>
    </row>
    <row r="952" spans="1:25" x14ac:dyDescent="0.3">
      <c r="A952">
        <v>47550</v>
      </c>
      <c r="B952" t="s">
        <v>20875</v>
      </c>
      <c r="C952" t="s">
        <v>20876</v>
      </c>
      <c r="D952" t="s">
        <v>20877</v>
      </c>
      <c r="E952" t="s">
        <v>20878</v>
      </c>
      <c r="F952" t="s">
        <v>20879</v>
      </c>
      <c r="G952" t="s">
        <v>20880</v>
      </c>
      <c r="H952">
        <f>-588.616333850261 -17.1166999812748 -836.552544640625</f>
        <v>-1442.2855784721608</v>
      </c>
      <c r="I952">
        <f>-542.507232404092 -38.995859328343 -924.746835779313</f>
        <v>-1506.249927511748</v>
      </c>
      <c r="J952" t="s">
        <v>20881</v>
      </c>
      <c r="K952" t="s">
        <v>20882</v>
      </c>
      <c r="L952" t="s">
        <v>20883</v>
      </c>
      <c r="M952" t="s">
        <v>20884</v>
      </c>
      <c r="N952">
        <f>-603.72108544592 -30.5889956943738 -764.835918149335</f>
        <v>-1399.1459992896289</v>
      </c>
      <c r="O952">
        <f>-628.686601128374 -165.431891694938 -711.741493329427</f>
        <v>-1505.8599861527391</v>
      </c>
      <c r="P952">
        <f>-633.234927185662 -123.612188640701 -398.027432450811</f>
        <v>-1154.874548277174</v>
      </c>
      <c r="Q952">
        <f>-385.659747554854 -58.523846551954 -443.984735398389</f>
        <v>-888.16832950519699</v>
      </c>
      <c r="R952" t="s">
        <v>20885</v>
      </c>
      <c r="S952" t="s">
        <v>20886</v>
      </c>
      <c r="T952" t="s">
        <v>20887</v>
      </c>
      <c r="U952" t="s">
        <v>20888</v>
      </c>
      <c r="V952">
        <f>-617.571035322609 -22.9145284286802 -235.516158570641</f>
        <v>-876.00172232193017</v>
      </c>
      <c r="W952" t="s">
        <v>20889</v>
      </c>
      <c r="X952" t="s">
        <v>20890</v>
      </c>
      <c r="Y952" t="s">
        <v>20891</v>
      </c>
    </row>
    <row r="953" spans="1:25" x14ac:dyDescent="0.3">
      <c r="A953">
        <v>47600</v>
      </c>
      <c r="B953" t="s">
        <v>20892</v>
      </c>
      <c r="C953" t="s">
        <v>20893</v>
      </c>
      <c r="D953" t="s">
        <v>20894</v>
      </c>
      <c r="E953" t="s">
        <v>20895</v>
      </c>
      <c r="F953" t="s">
        <v>20896</v>
      </c>
      <c r="G953" t="s">
        <v>20897</v>
      </c>
      <c r="H953">
        <f>-589.152243507044 -17.7698663419235 -836.470222745228</f>
        <v>-1443.3923325941955</v>
      </c>
      <c r="I953">
        <f>-542.942160603196 -39.7516167929095 -924.586120197844</f>
        <v>-1507.2798975939495</v>
      </c>
      <c r="J953" t="s">
        <v>20898</v>
      </c>
      <c r="K953" t="s">
        <v>20899</v>
      </c>
      <c r="L953" t="s">
        <v>20900</v>
      </c>
      <c r="M953" t="s">
        <v>20901</v>
      </c>
      <c r="N953">
        <f>-604.346621477431 -31.1876478287903 -764.762302878465</f>
        <v>-1400.2965721846863</v>
      </c>
      <c r="O953">
        <f>-629.384350954152 -165.998443123804 -711.611401219444</f>
        <v>-1506.9941952974</v>
      </c>
      <c r="P953">
        <f>-634.071653082862 -123.956268938429 -397.928827016758</f>
        <v>-1155.9567490380491</v>
      </c>
      <c r="Q953">
        <f>-386.578624154105 -58.5871611779666 -443.930677669402</f>
        <v>-889.09646300147358</v>
      </c>
      <c r="R953" t="s">
        <v>20902</v>
      </c>
      <c r="S953" t="s">
        <v>20903</v>
      </c>
      <c r="T953" t="s">
        <v>20904</v>
      </c>
      <c r="U953" t="s">
        <v>20905</v>
      </c>
      <c r="V953">
        <f>-618.418045065738 -23.3546830450271 -235.53678520408</f>
        <v>-877.30951331484516</v>
      </c>
      <c r="W953" t="s">
        <v>20906</v>
      </c>
      <c r="X953" t="s">
        <v>20907</v>
      </c>
      <c r="Y953" t="s">
        <v>20908</v>
      </c>
    </row>
    <row r="954" spans="1:25" x14ac:dyDescent="0.3">
      <c r="A954">
        <v>47650</v>
      </c>
      <c r="B954" t="s">
        <v>20909</v>
      </c>
      <c r="C954" t="s">
        <v>20910</v>
      </c>
      <c r="D954" t="s">
        <v>20911</v>
      </c>
      <c r="E954" t="s">
        <v>20912</v>
      </c>
      <c r="F954" t="s">
        <v>20913</v>
      </c>
      <c r="G954" t="s">
        <v>20914</v>
      </c>
      <c r="H954">
        <f>-590.263926946507 -18.2862237303617 -836.340087681301</f>
        <v>-1444.8902383581699</v>
      </c>
      <c r="I954">
        <f>-543.806346873457 -40.3586065695686 -924.302974349461</f>
        <v>-1508.4679277924865</v>
      </c>
      <c r="J954" t="s">
        <v>20915</v>
      </c>
      <c r="K954" t="s">
        <v>20916</v>
      </c>
      <c r="L954" t="s">
        <v>20917</v>
      </c>
      <c r="M954" t="s">
        <v>20918</v>
      </c>
      <c r="N954">
        <f>-605.668479755427 -31.7095863348943 -764.678080703838</f>
        <v>-1402.0561467941593</v>
      </c>
      <c r="O954">
        <f>-630.820670833256 -166.503778486673 -711.547287936977</f>
        <v>-1508.871737256906</v>
      </c>
      <c r="P954">
        <f>-636.340446034345 -124.001019434618 -397.940337541181</f>
        <v>-1158.2818030101439</v>
      </c>
      <c r="Q954">
        <f>-388.90085488343 -57.41965381055 -442.466964398096</f>
        <v>-888.78747309207597</v>
      </c>
      <c r="R954" t="s">
        <v>20919</v>
      </c>
      <c r="S954" t="s">
        <v>20920</v>
      </c>
      <c r="T954" t="s">
        <v>20921</v>
      </c>
      <c r="U954" t="s">
        <v>20922</v>
      </c>
      <c r="V954">
        <f>-619.899160748144 -23.9094329744611 -235.563613275547</f>
        <v>-879.37220699815214</v>
      </c>
      <c r="W954" t="s">
        <v>20923</v>
      </c>
      <c r="X954" t="s">
        <v>20924</v>
      </c>
      <c r="Y954" t="s">
        <v>20925</v>
      </c>
    </row>
    <row r="955" spans="1:25" x14ac:dyDescent="0.3">
      <c r="A955">
        <v>47700</v>
      </c>
      <c r="B955" t="s">
        <v>20926</v>
      </c>
      <c r="C955" t="s">
        <v>20927</v>
      </c>
      <c r="D955" t="s">
        <v>20928</v>
      </c>
      <c r="E955" t="s">
        <v>20929</v>
      </c>
      <c r="F955" t="s">
        <v>20930</v>
      </c>
      <c r="G955" t="s">
        <v>20931</v>
      </c>
      <c r="H955">
        <f>-590.673600705339 -18.57026243483 -836.310408153471</f>
        <v>-1445.5542712936399</v>
      </c>
      <c r="I955">
        <f>-544.121049349295 -40.6852691142927 -924.212405152495</f>
        <v>-1509.0187236160828</v>
      </c>
      <c r="J955" t="s">
        <v>20932</v>
      </c>
      <c r="K955" t="s">
        <v>20933</v>
      </c>
      <c r="L955" t="s">
        <v>20934</v>
      </c>
      <c r="M955" t="s">
        <v>20935</v>
      </c>
      <c r="N955">
        <f>-606.135166245269 -31.9932354082943 -764.660591536075</f>
        <v>-1402.7889931896384</v>
      </c>
      <c r="O955">
        <f>-631.301901452815 -166.796526394177 -711.581850699323</f>
        <v>-1509.6802785463151</v>
      </c>
      <c r="P955">
        <f>-637.651171311665 -124.015817202864 -398.028575580117</f>
        <v>-1159.695564094646</v>
      </c>
      <c r="Q955">
        <f>-390.034278267821 -56.9654969455103 -440.83249759383</f>
        <v>-887.8322728071613</v>
      </c>
      <c r="R955" t="s">
        <v>20936</v>
      </c>
      <c r="S955" t="s">
        <v>20937</v>
      </c>
      <c r="T955" t="s">
        <v>20938</v>
      </c>
      <c r="U955" t="s">
        <v>20939</v>
      </c>
      <c r="V955">
        <f>-620.663316360528 -24.2506366165683 -235.58319722897</f>
        <v>-880.49715020606629</v>
      </c>
      <c r="W955" t="s">
        <v>20940</v>
      </c>
      <c r="X955" t="s">
        <v>20941</v>
      </c>
      <c r="Y955" t="s">
        <v>20942</v>
      </c>
    </row>
    <row r="956" spans="1:25" x14ac:dyDescent="0.3">
      <c r="A956">
        <v>47750</v>
      </c>
      <c r="B956" t="s">
        <v>20943</v>
      </c>
      <c r="C956" t="s">
        <v>20944</v>
      </c>
      <c r="D956" t="s">
        <v>20945</v>
      </c>
      <c r="E956" t="s">
        <v>20946</v>
      </c>
      <c r="F956" t="s">
        <v>20947</v>
      </c>
      <c r="G956" t="s">
        <v>20948</v>
      </c>
      <c r="H956">
        <f>-591.711438515062 -19.3529813948711 -836.226567421618</f>
        <v>-1447.2909873315512</v>
      </c>
      <c r="I956">
        <f>-545.000641912015 -41.5177437375175 -924.032079800146</f>
        <v>-1510.5504654496785</v>
      </c>
      <c r="J956" t="s">
        <v>20949</v>
      </c>
      <c r="K956" t="s">
        <v>20950</v>
      </c>
      <c r="L956" t="s">
        <v>20951</v>
      </c>
      <c r="M956" t="s">
        <v>20952</v>
      </c>
      <c r="N956">
        <f>-607.184316065166 -32.7313629566062 -764.570968507859</f>
        <v>-1404.4866475296312</v>
      </c>
      <c r="O956">
        <f>-632.309530041854 -167.543142428488 -711.520717701594</f>
        <v>-1511.3733901719361</v>
      </c>
      <c r="P956">
        <f>-639.964238428052 -122.891001670711 -398.257571169161</f>
        <v>-1161.1128112679239</v>
      </c>
      <c r="Q956">
        <f>-391.701292557525 -55.8020661848704 -437.073070017857</f>
        <v>-884.57642876025238</v>
      </c>
      <c r="R956" t="s">
        <v>20953</v>
      </c>
      <c r="S956" t="s">
        <v>20954</v>
      </c>
      <c r="T956" t="s">
        <v>20955</v>
      </c>
      <c r="U956" t="s">
        <v>20956</v>
      </c>
      <c r="V956">
        <f>-622.122483970162 -24.9503847242793 -235.620875694311</f>
        <v>-882.69374438875229</v>
      </c>
      <c r="W956" t="s">
        <v>20957</v>
      </c>
      <c r="X956" t="s">
        <v>20958</v>
      </c>
      <c r="Y956" t="s">
        <v>20959</v>
      </c>
    </row>
    <row r="957" spans="1:25" x14ac:dyDescent="0.3">
      <c r="A957">
        <v>47800</v>
      </c>
      <c r="B957" t="s">
        <v>20960</v>
      </c>
      <c r="C957" t="s">
        <v>20961</v>
      </c>
      <c r="D957" t="s">
        <v>20962</v>
      </c>
      <c r="E957" t="s">
        <v>20963</v>
      </c>
      <c r="F957" t="s">
        <v>20964</v>
      </c>
      <c r="G957" t="s">
        <v>20965</v>
      </c>
      <c r="H957">
        <f>-592.122125265334 -19.9706971810045 -836.18870670368</f>
        <v>-1448.2815291500187</v>
      </c>
      <c r="I957">
        <f>-545.342507378522 -42.1741305675003 -923.947784808637</f>
        <v>-1511.4644227546592</v>
      </c>
      <c r="J957" t="s">
        <v>20966</v>
      </c>
      <c r="K957" t="s">
        <v>20967</v>
      </c>
      <c r="L957" t="s">
        <v>20968</v>
      </c>
      <c r="M957" t="s">
        <v>20969</v>
      </c>
      <c r="N957">
        <f>-607.613480798854 -33.2658594931389 -764.521542486006</f>
        <v>-1405.400882777999</v>
      </c>
      <c r="O957">
        <f>-632.835640325012 -168.032068076012 -711.354166358502</f>
        <v>-1512.2218747595261</v>
      </c>
      <c r="P957">
        <f>-640.767485804657 -122.543439408117 -398.218195128858</f>
        <v>-1161.5291203416321</v>
      </c>
      <c r="Q957">
        <f>-392.278597666739 -55.5206677785948 -435.678753462935</f>
        <v>-883.47801890826884</v>
      </c>
      <c r="R957" t="s">
        <v>20970</v>
      </c>
      <c r="S957" t="s">
        <v>20971</v>
      </c>
      <c r="T957" t="s">
        <v>20972</v>
      </c>
      <c r="U957" t="s">
        <v>20973</v>
      </c>
      <c r="V957">
        <f>-622.640582355614 -25.2609443307878 -235.644185252279</f>
        <v>-883.54571193868082</v>
      </c>
      <c r="W957" t="s">
        <v>20974</v>
      </c>
      <c r="X957" t="s">
        <v>20975</v>
      </c>
      <c r="Y957" t="s">
        <v>20976</v>
      </c>
    </row>
    <row r="958" spans="1:25" x14ac:dyDescent="0.3">
      <c r="A958">
        <v>47850</v>
      </c>
      <c r="B958" t="s">
        <v>20977</v>
      </c>
      <c r="C958" t="s">
        <v>20978</v>
      </c>
      <c r="D958" t="s">
        <v>20979</v>
      </c>
      <c r="E958" t="s">
        <v>20980</v>
      </c>
      <c r="F958" t="s">
        <v>20981</v>
      </c>
      <c r="G958" t="s">
        <v>20982</v>
      </c>
      <c r="H958">
        <f>-592.650723228723 -21.1019804971383 -836.083849921868</f>
        <v>-1449.8365536477293</v>
      </c>
      <c r="I958">
        <f>-545.801890425078 -43.4394047159324 -923.771943570525</f>
        <v>-1513.0132387115355</v>
      </c>
      <c r="J958" t="s">
        <v>20983</v>
      </c>
      <c r="K958" t="s">
        <v>20984</v>
      </c>
      <c r="L958" t="s">
        <v>20985</v>
      </c>
      <c r="M958" t="s">
        <v>20986</v>
      </c>
      <c r="N958">
        <f>-608.128360646138 -34.2495159377335 -764.386680403436</f>
        <v>-1406.7645569873075</v>
      </c>
      <c r="O958">
        <f>-633.438570231734 -168.874088058166 -710.919241777307</f>
        <v>-1513.2319000672069</v>
      </c>
      <c r="P958">
        <f>-641.349959075072 -122.152096871188 -397.964499459856</f>
        <v>-1161.466555406116</v>
      </c>
      <c r="Q958">
        <f>-392.496748971906 -55.6174414071841 -433.843015199886</f>
        <v>-881.95720557897607</v>
      </c>
      <c r="R958" t="s">
        <v>20987</v>
      </c>
      <c r="S958" t="s">
        <v>20988</v>
      </c>
      <c r="T958" t="s">
        <v>20989</v>
      </c>
      <c r="U958" t="s">
        <v>20990</v>
      </c>
      <c r="V958">
        <f>-623.53764436701 -25.8249481933992 -235.674395788269</f>
        <v>-885.03698834867828</v>
      </c>
      <c r="W958" t="s">
        <v>20991</v>
      </c>
      <c r="X958" t="s">
        <v>20992</v>
      </c>
      <c r="Y958" t="s">
        <v>20993</v>
      </c>
    </row>
    <row r="959" spans="1:25" x14ac:dyDescent="0.3">
      <c r="A959">
        <v>47900</v>
      </c>
      <c r="B959" t="s">
        <v>20994</v>
      </c>
      <c r="C959" t="s">
        <v>20995</v>
      </c>
      <c r="D959" t="s">
        <v>20996</v>
      </c>
      <c r="E959" t="s">
        <v>20997</v>
      </c>
      <c r="F959" t="s">
        <v>20998</v>
      </c>
      <c r="G959" t="s">
        <v>20999</v>
      </c>
      <c r="H959">
        <f>-592.833994532312 -21.3928518578352 -836.007299678689</f>
        <v>-1450.2341460688363</v>
      </c>
      <c r="I959">
        <f>-545.940079641791 -43.8168474087493 -923.64928163771</f>
        <v>-1513.4062086882504</v>
      </c>
      <c r="J959" t="s">
        <v>21000</v>
      </c>
      <c r="K959" t="s">
        <v>21001</v>
      </c>
      <c r="L959" t="s">
        <v>21002</v>
      </c>
      <c r="M959" t="s">
        <v>21003</v>
      </c>
      <c r="N959">
        <f>-608.312348558184 -34.4901302605007 -764.300946606837</f>
        <v>-1407.1034254255217</v>
      </c>
      <c r="O959">
        <f>-633.575297220856 -169.094662772775 -710.732038982753</f>
        <v>-1513.401998976384</v>
      </c>
      <c r="P959">
        <f>-641.465864979689 -122.255299418085 -397.794329446625</f>
        <v>-1161.5154938443989</v>
      </c>
      <c r="Q959">
        <f>-392.525743177796 -55.9728406614864 -433.536792317899</f>
        <v>-882.03537615718142</v>
      </c>
      <c r="R959" t="s">
        <v>21004</v>
      </c>
      <c r="S959" t="s">
        <v>21005</v>
      </c>
      <c r="T959" t="s">
        <v>21006</v>
      </c>
      <c r="U959" t="s">
        <v>21007</v>
      </c>
      <c r="V959">
        <f>-623.736743798305 -25.9316528381942 -235.680228690935</f>
        <v>-885.34862532743421</v>
      </c>
      <c r="W959" t="s">
        <v>21008</v>
      </c>
      <c r="X959" t="s">
        <v>21009</v>
      </c>
      <c r="Y959" t="s">
        <v>21010</v>
      </c>
    </row>
    <row r="960" spans="1:25" x14ac:dyDescent="0.3">
      <c r="A960">
        <v>47950</v>
      </c>
      <c r="B960" t="s">
        <v>21011</v>
      </c>
      <c r="C960" t="s">
        <v>21012</v>
      </c>
      <c r="D960" t="s">
        <v>21013</v>
      </c>
      <c r="E960" t="s">
        <v>21014</v>
      </c>
      <c r="F960" t="s">
        <v>21015</v>
      </c>
      <c r="G960" t="s">
        <v>21016</v>
      </c>
      <c r="H960">
        <f>-593.503862845019 -21.6005600642309 -835.871302784222</f>
        <v>-1450.9757256934718</v>
      </c>
      <c r="I960">
        <f>-546.51237318477 -44.1632495271695 -923.425337988734</f>
        <v>-1514.1009607006736</v>
      </c>
      <c r="J960" t="s">
        <v>21017</v>
      </c>
      <c r="K960" t="s">
        <v>21018</v>
      </c>
      <c r="L960" t="s">
        <v>21019</v>
      </c>
      <c r="M960" t="s">
        <v>21020</v>
      </c>
      <c r="N960">
        <f>-608.96070578947 -34.6451232620989 -764.150738163171</f>
        <v>-1407.7565672147398</v>
      </c>
      <c r="O960">
        <f>-634.068837344072 -169.206840345038 -710.441668060904</f>
        <v>-1513.7173457500139</v>
      </c>
      <c r="P960">
        <f>-641.495737855046 -122.238402564771 -397.512070532434</f>
        <v>-1161.246210952251</v>
      </c>
      <c r="Q960">
        <f>-392.362607630839 -56.7205180271618 -433.319220239611</f>
        <v>-882.40234589761189</v>
      </c>
      <c r="R960" t="s">
        <v>21021</v>
      </c>
      <c r="S960" t="s">
        <v>21022</v>
      </c>
      <c r="T960" t="s">
        <v>21023</v>
      </c>
      <c r="U960" t="s">
        <v>21024</v>
      </c>
      <c r="V960">
        <f>-624.170511753102 -25.9785541300502 -235.654396669133</f>
        <v>-885.80346255228517</v>
      </c>
      <c r="W960" t="s">
        <v>21025</v>
      </c>
      <c r="X960" t="s">
        <v>21026</v>
      </c>
      <c r="Y960" t="s">
        <v>21027</v>
      </c>
    </row>
    <row r="961" spans="1:25" x14ac:dyDescent="0.3">
      <c r="A961">
        <v>48000</v>
      </c>
      <c r="B961" t="s">
        <v>21028</v>
      </c>
      <c r="C961" t="s">
        <v>21029</v>
      </c>
      <c r="D961" t="s">
        <v>21030</v>
      </c>
      <c r="E961" t="s">
        <v>21031</v>
      </c>
      <c r="F961" t="s">
        <v>21032</v>
      </c>
      <c r="G961" t="s">
        <v>21033</v>
      </c>
      <c r="H961">
        <f>-593.757176207578 -21.7194315238678 -835.798703255796</f>
        <v>-1451.2753109872419</v>
      </c>
      <c r="I961">
        <f>-546.730715169047 -44.3325251605838 -923.32084068738</f>
        <v>-1514.3840810170109</v>
      </c>
      <c r="J961" t="s">
        <v>21034</v>
      </c>
      <c r="K961" t="s">
        <v>21035</v>
      </c>
      <c r="L961" t="s">
        <v>21036</v>
      </c>
      <c r="M961" t="s">
        <v>21037</v>
      </c>
      <c r="N961">
        <f>-609.185311169534 -34.7290231037698 -764.065455939235</f>
        <v>-1407.9797902125388</v>
      </c>
      <c r="O961">
        <f>-634.110818226242 -169.30811890286 -710.289156422543</f>
        <v>-1513.7080935516451</v>
      </c>
      <c r="P961">
        <f>-641.378359535528 -122.366800541519 -397.35151405185</f>
        <v>-1161.0966741288971</v>
      </c>
      <c r="Q961">
        <f>-392.192117634242 -57.0621394491367 -433.178406597014</f>
        <v>-882.43266368039258</v>
      </c>
      <c r="R961" t="s">
        <v>21038</v>
      </c>
      <c r="S961" t="s">
        <v>21039</v>
      </c>
      <c r="T961" t="s">
        <v>21040</v>
      </c>
      <c r="U961" t="s">
        <v>21041</v>
      </c>
      <c r="V961">
        <f>-624.26666101157 -25.9264881945531 -235.656339998335</f>
        <v>-885.84948920445822</v>
      </c>
      <c r="W961" t="s">
        <v>21042</v>
      </c>
      <c r="X961" t="s">
        <v>21043</v>
      </c>
      <c r="Y961" t="s">
        <v>21044</v>
      </c>
    </row>
    <row r="962" spans="1:25" x14ac:dyDescent="0.3">
      <c r="A962">
        <v>48050</v>
      </c>
      <c r="B962" t="s">
        <v>21045</v>
      </c>
      <c r="C962" t="s">
        <v>21046</v>
      </c>
      <c r="D962" t="s">
        <v>21047</v>
      </c>
      <c r="E962" t="s">
        <v>21048</v>
      </c>
      <c r="F962" t="s">
        <v>21049</v>
      </c>
      <c r="G962" t="s">
        <v>21050</v>
      </c>
      <c r="H962">
        <f>-594.65940965088 -21.8008279724405 -835.681251460101</f>
        <v>-1452.1414890834214</v>
      </c>
      <c r="I962">
        <f>-547.63638945948 -44.4111455537591 -923.20614659625</f>
        <v>-1515.2536816094891</v>
      </c>
      <c r="J962" t="s">
        <v>21051</v>
      </c>
      <c r="K962" t="s">
        <v>21052</v>
      </c>
      <c r="L962" t="s">
        <v>21053</v>
      </c>
      <c r="M962" t="s">
        <v>21054</v>
      </c>
      <c r="N962">
        <f>-609.958641425165 -34.7788158631437 -763.914792791102</f>
        <v>-1408.6522500794106</v>
      </c>
      <c r="O962">
        <f>-634.423916325747 -169.37283335135 -709.978514148694</f>
        <v>-1513.7752638257909</v>
      </c>
      <c r="P962">
        <f>-641.464271310685 -122.056478332455 -397.092298609066</f>
        <v>-1160.613048252206</v>
      </c>
      <c r="Q962">
        <f>-392.22591454605 -56.9968400995625 -433.002878881459</f>
        <v>-882.22563352707152</v>
      </c>
      <c r="R962" t="s">
        <v>21055</v>
      </c>
      <c r="S962" t="s">
        <v>21056</v>
      </c>
      <c r="T962" t="s">
        <v>21057</v>
      </c>
      <c r="U962" t="s">
        <v>21058</v>
      </c>
      <c r="V962">
        <f>-624.576458825479 -25.9299812443877 -235.637426755942</f>
        <v>-886.14386682580869</v>
      </c>
      <c r="W962" t="s">
        <v>21059</v>
      </c>
      <c r="X962" t="s">
        <v>21060</v>
      </c>
      <c r="Y962" t="s">
        <v>21061</v>
      </c>
    </row>
    <row r="963" spans="1:25" x14ac:dyDescent="0.3">
      <c r="A963">
        <v>48100</v>
      </c>
      <c r="B963" t="s">
        <v>21062</v>
      </c>
      <c r="C963" t="s">
        <v>21063</v>
      </c>
      <c r="D963" t="s">
        <v>21064</v>
      </c>
      <c r="E963" t="s">
        <v>21065</v>
      </c>
      <c r="F963" t="s">
        <v>21066</v>
      </c>
      <c r="G963" t="s">
        <v>21067</v>
      </c>
      <c r="H963">
        <f>-595.099763190479 -21.8075861099145 -835.640041391621</f>
        <v>-1452.5473906920147</v>
      </c>
      <c r="I963">
        <f>-548.086861486993 -44.3738800923944 -923.181663407712</f>
        <v>-1515.6424049870993</v>
      </c>
      <c r="J963" t="s">
        <v>21068</v>
      </c>
      <c r="K963" t="s">
        <v>21069</v>
      </c>
      <c r="L963" t="s">
        <v>21070</v>
      </c>
      <c r="M963" t="s">
        <v>21071</v>
      </c>
      <c r="N963">
        <f>-610.334532960429 -34.7785105565992 -763.8586578945</f>
        <v>-1408.9717014115281</v>
      </c>
      <c r="O963">
        <f>-634.540114330227 -169.387081781018 -709.829687936963</f>
        <v>-1513.7568840482079</v>
      </c>
      <c r="P963">
        <f>-641.566091173477 -121.789242367199 -396.98579027175</f>
        <v>-1160.3411238124261</v>
      </c>
      <c r="Q963">
        <f>-392.319205270021 -56.7407976549835 -432.856686438203</f>
        <v>-881.91668936320752</v>
      </c>
      <c r="R963" t="s">
        <v>21072</v>
      </c>
      <c r="S963" t="s">
        <v>21073</v>
      </c>
      <c r="T963" t="s">
        <v>21074</v>
      </c>
      <c r="U963" t="s">
        <v>21075</v>
      </c>
      <c r="V963">
        <f>-624.767818727307 -25.880716984203 -235.639212594929</f>
        <v>-886.28774830643897</v>
      </c>
      <c r="W963" t="s">
        <v>21076</v>
      </c>
      <c r="X963" t="s">
        <v>21077</v>
      </c>
      <c r="Y963" t="s">
        <v>21078</v>
      </c>
    </row>
    <row r="964" spans="1:25" x14ac:dyDescent="0.3">
      <c r="A964">
        <v>48150</v>
      </c>
      <c r="B964" t="s">
        <v>21079</v>
      </c>
      <c r="C964" t="s">
        <v>21080</v>
      </c>
      <c r="D964" t="s">
        <v>21081</v>
      </c>
      <c r="E964" t="s">
        <v>21082</v>
      </c>
      <c r="F964" t="s">
        <v>21083</v>
      </c>
      <c r="G964" t="s">
        <v>21084</v>
      </c>
      <c r="H964">
        <f>-596.051532890241 -21.7365312442455 -835.593857066369</f>
        <v>-1453.3819212008555</v>
      </c>
      <c r="I964">
        <f>-549.028548924261 -44.2276817204283 -923.149395191718</f>
        <v>-1516.4056258364074</v>
      </c>
      <c r="J964" t="s">
        <v>21085</v>
      </c>
      <c r="K964" t="s">
        <v>21086</v>
      </c>
      <c r="L964" t="s">
        <v>21087</v>
      </c>
      <c r="M964" t="s">
        <v>21088</v>
      </c>
      <c r="N964">
        <f>-611.202801037361 -34.7023588847366 -763.793767500895</f>
        <v>-1409.6989274229927</v>
      </c>
      <c r="O964">
        <f>-635.101595999205 -169.314179040421 -709.638473028051</f>
        <v>-1514.0542480676768</v>
      </c>
      <c r="P964">
        <f>-641.749846089701 -121.757771623742 -396.780127132646</f>
        <v>-1160.287744846089</v>
      </c>
      <c r="Q964">
        <f>-392.713350781264 -56.1288675571357 -433.052975891649</f>
        <v>-881.89519423004867</v>
      </c>
      <c r="R964" t="s">
        <v>21089</v>
      </c>
      <c r="S964" t="s">
        <v>21090</v>
      </c>
      <c r="T964" t="s">
        <v>21091</v>
      </c>
      <c r="U964" t="s">
        <v>21092</v>
      </c>
      <c r="V964">
        <f>-625.421256783692 -25.8410898002908 -235.649236519202</f>
        <v>-886.91158310318474</v>
      </c>
      <c r="W964" t="s">
        <v>21093</v>
      </c>
      <c r="X964" t="s">
        <v>21094</v>
      </c>
      <c r="Y964" t="s">
        <v>21095</v>
      </c>
    </row>
    <row r="965" spans="1:25" x14ac:dyDescent="0.3">
      <c r="A965">
        <v>48200</v>
      </c>
      <c r="B965" t="s">
        <v>21096</v>
      </c>
      <c r="C965" t="s">
        <v>21097</v>
      </c>
      <c r="D965" t="s">
        <v>21098</v>
      </c>
      <c r="E965" t="s">
        <v>21099</v>
      </c>
      <c r="F965" t="s">
        <v>21100</v>
      </c>
      <c r="G965" t="s">
        <v>21101</v>
      </c>
      <c r="H965">
        <f>-596.637032903498 -21.3448594389199 -835.577461665455</f>
        <v>-1453.559354007873</v>
      </c>
      <c r="I965">
        <f>-549.591684456173 -43.7999968752506 -923.130261897239</f>
        <v>-1516.5219432286626</v>
      </c>
      <c r="J965" t="s">
        <v>21102</v>
      </c>
      <c r="K965" t="s">
        <v>21103</v>
      </c>
      <c r="L965" t="s">
        <v>21104</v>
      </c>
      <c r="M965" t="s">
        <v>21105</v>
      </c>
      <c r="N965">
        <f>-611.799571833188 -34.328143486609 -763.783027722918</f>
        <v>-1409.9107430427148</v>
      </c>
      <c r="O965">
        <f>-635.591755106848 -168.966706951772 -709.640213612744</f>
        <v>-1514.1986756713641</v>
      </c>
      <c r="P965">
        <f>-642.09500239813 -121.613490187053 -396.748007780273</f>
        <v>-1160.4565003654559</v>
      </c>
      <c r="Q965">
        <f>-393.297123182271 -55.3647963045023 -433.527858803003</f>
        <v>-882.18977828977631</v>
      </c>
      <c r="R965" t="s">
        <v>21106</v>
      </c>
      <c r="S965" t="s">
        <v>21107</v>
      </c>
      <c r="T965" t="s">
        <v>21108</v>
      </c>
      <c r="U965" t="s">
        <v>21109</v>
      </c>
      <c r="V965">
        <f>-625.780627063992 -25.659696882185 -235.655402627826</f>
        <v>-887.09572657400304</v>
      </c>
      <c r="W965" t="s">
        <v>21110</v>
      </c>
      <c r="X965" t="s">
        <v>21111</v>
      </c>
      <c r="Y965" t="s">
        <v>21112</v>
      </c>
    </row>
    <row r="966" spans="1:25" x14ac:dyDescent="0.3">
      <c r="A966">
        <v>48250</v>
      </c>
      <c r="B966" t="s">
        <v>21113</v>
      </c>
      <c r="C966" t="s">
        <v>21114</v>
      </c>
      <c r="D966" t="s">
        <v>21115</v>
      </c>
      <c r="E966" t="s">
        <v>21116</v>
      </c>
      <c r="F966" t="s">
        <v>21117</v>
      </c>
      <c r="G966" t="s">
        <v>21118</v>
      </c>
      <c r="H966">
        <f>-598.009005225839 -19.7450854983104 -835.509317701186</f>
        <v>-1453.2634084253355</v>
      </c>
      <c r="I966">
        <f>-550.943514641001 -42.108050001175 -923.074846386535</f>
        <v>-1516.1264110287111</v>
      </c>
      <c r="J966" t="s">
        <v>21119</v>
      </c>
      <c r="K966" t="s">
        <v>21120</v>
      </c>
      <c r="L966" t="s">
        <v>21121</v>
      </c>
      <c r="M966" t="s">
        <v>21122</v>
      </c>
      <c r="N966">
        <f>-613.193322980055 -32.8185185058429 -763.735747343551</f>
        <v>-1409.7475888294489</v>
      </c>
      <c r="O966">
        <f>-636.893302390622 -167.516674357631 -709.735575159509</f>
        <v>-1514.1455519077622</v>
      </c>
      <c r="P966">
        <f>-643.326893694598 -120.801317487201 -396.745926713025</f>
        <v>-1160.8741378948239</v>
      </c>
      <c r="Q966">
        <f>-394.913420193788 -53.5278653076902 -434.257131465364</f>
        <v>-882.69841696684216</v>
      </c>
      <c r="R966" t="s">
        <v>21123</v>
      </c>
      <c r="S966" t="s">
        <v>21124</v>
      </c>
      <c r="T966" t="s">
        <v>21125</v>
      </c>
      <c r="U966" t="s">
        <v>21126</v>
      </c>
      <c r="V966">
        <f>-626.504320708271 -25.1704717059509 -235.667838268622</f>
        <v>-887.34263068284395</v>
      </c>
      <c r="W966" t="s">
        <v>21127</v>
      </c>
      <c r="X966" t="s">
        <v>21128</v>
      </c>
      <c r="Y966" t="s">
        <v>21129</v>
      </c>
    </row>
    <row r="967" spans="1:25" x14ac:dyDescent="0.3">
      <c r="A967">
        <v>48300</v>
      </c>
      <c r="B967" t="s">
        <v>21130</v>
      </c>
      <c r="C967" t="s">
        <v>21131</v>
      </c>
      <c r="D967" t="s">
        <v>21132</v>
      </c>
      <c r="E967" t="s">
        <v>21133</v>
      </c>
      <c r="F967" t="s">
        <v>21134</v>
      </c>
      <c r="G967" t="s">
        <v>21135</v>
      </c>
      <c r="H967">
        <f>-598.749562092539 -19.1838806426205 -835.367873391271</f>
        <v>-1453.3013161264305</v>
      </c>
      <c r="I967">
        <f>-551.689129125994 -41.4928183437826 -922.950061271504</f>
        <v>-1516.1320087412805</v>
      </c>
      <c r="J967" t="s">
        <v>21136</v>
      </c>
      <c r="K967" t="s">
        <v>21137</v>
      </c>
      <c r="L967" t="s">
        <v>21138</v>
      </c>
      <c r="M967" t="s">
        <v>21139</v>
      </c>
      <c r="N967">
        <f>-613.957427010442 -32.3262901997587 -763.612078440018</f>
        <v>-1409.8957956502186</v>
      </c>
      <c r="O967">
        <f>-637.68781035622 -167.063133276379 -709.70092439003</f>
        <v>-1514.451868022629</v>
      </c>
      <c r="P967">
        <f>-644.137063747884 -120.786777174087 -396.646496346556</f>
        <v>-1161.5703372685271</v>
      </c>
      <c r="Q967">
        <f>-395.835025086287 -53.1869598616241 -434.308147610716</f>
        <v>-883.33013255862704</v>
      </c>
      <c r="R967" t="s">
        <v>21140</v>
      </c>
      <c r="S967" t="s">
        <v>21141</v>
      </c>
      <c r="T967" t="s">
        <v>21142</v>
      </c>
      <c r="U967" t="s">
        <v>21143</v>
      </c>
      <c r="V967">
        <f>-626.848678222549 -25.196630357493 -235.601223991545</f>
        <v>-887.64653257158693</v>
      </c>
      <c r="W967" t="s">
        <v>21144</v>
      </c>
      <c r="X967" t="s">
        <v>21145</v>
      </c>
      <c r="Y967" t="s">
        <v>21146</v>
      </c>
    </row>
    <row r="968" spans="1:25" x14ac:dyDescent="0.3">
      <c r="A968">
        <v>48350</v>
      </c>
      <c r="B968" t="s">
        <v>21147</v>
      </c>
      <c r="C968" t="s">
        <v>21148</v>
      </c>
      <c r="D968" t="s">
        <v>21149</v>
      </c>
      <c r="E968" t="s">
        <v>21150</v>
      </c>
      <c r="F968" t="s">
        <v>21151</v>
      </c>
      <c r="G968" t="s">
        <v>21152</v>
      </c>
      <c r="H968">
        <f>-599.836366314145 -17.7597404563428 -835.197764698783</f>
        <v>-1452.7938714692709</v>
      </c>
      <c r="I968">
        <f>-552.799683185279 -39.946632148312 -922.823399344872</f>
        <v>-1515.569714678463</v>
      </c>
      <c r="J968" t="s">
        <v>21153</v>
      </c>
      <c r="K968" t="s">
        <v>21154</v>
      </c>
      <c r="L968" t="s">
        <v>21155</v>
      </c>
      <c r="M968" t="s">
        <v>21156</v>
      </c>
      <c r="N968">
        <f>-615.101658225859 -31.0728898837218 -763.48552270083</f>
        <v>-1409.6600708104106</v>
      </c>
      <c r="O968">
        <f>-639.166814012674 -165.851380605764 -709.842793007857</f>
        <v>-1514.8609876262949</v>
      </c>
      <c r="P968">
        <f>-645.535942620113 -120.445970784014 -396.659206872859</f>
        <v>-1162.6411202769859</v>
      </c>
      <c r="Q968">
        <f>-397.309077353891 -52.5793843876515 -434.336961930013</f>
        <v>-884.22542367155552</v>
      </c>
      <c r="R968" t="s">
        <v>21157</v>
      </c>
      <c r="S968" t="s">
        <v>21158</v>
      </c>
      <c r="T968" t="s">
        <v>21159</v>
      </c>
      <c r="U968" t="s">
        <v>21160</v>
      </c>
      <c r="V968">
        <f>-627.591951317363 -25.3088786678293 -235.481609176331</f>
        <v>-888.38243916152328</v>
      </c>
      <c r="W968" t="s">
        <v>21161</v>
      </c>
      <c r="X968" t="s">
        <v>21162</v>
      </c>
      <c r="Y968" t="s">
        <v>21163</v>
      </c>
    </row>
    <row r="969" spans="1:25" x14ac:dyDescent="0.3">
      <c r="A969">
        <v>48400</v>
      </c>
      <c r="B969" t="s">
        <v>21164</v>
      </c>
      <c r="C969" t="s">
        <v>21165</v>
      </c>
      <c r="D969" t="s">
        <v>21166</v>
      </c>
      <c r="E969" t="s">
        <v>21167</v>
      </c>
      <c r="F969" t="s">
        <v>21168</v>
      </c>
      <c r="G969" t="s">
        <v>21169</v>
      </c>
      <c r="H969">
        <f>-599.973718845445 -17.3227793034474 -835.312251496923</f>
        <v>-1452.6087496458154</v>
      </c>
      <c r="I969">
        <f>-552.959531743104 -39.4842269809976 -922.956414937931</f>
        <v>-1515.4001736620326</v>
      </c>
      <c r="J969" t="s">
        <v>21170</v>
      </c>
      <c r="K969" t="s">
        <v>21171</v>
      </c>
      <c r="L969" t="s">
        <v>21172</v>
      </c>
      <c r="M969" t="s">
        <v>21173</v>
      </c>
      <c r="N969">
        <f>-615.258608255287 -30.6917256625623 -763.614457044076</f>
        <v>-1409.5647909619252</v>
      </c>
      <c r="O969">
        <f>-639.572036050056 -165.454679042769 -710.063986506417</f>
        <v>-1515.090701599242</v>
      </c>
      <c r="P969">
        <f>-645.764333490424 -120.398137006284 -396.826502209326</f>
        <v>-1162.988972706034</v>
      </c>
      <c r="Q969">
        <f>-397.48595331094 -52.6959444896713 -434.460258151601</f>
        <v>-884.64215595221231</v>
      </c>
      <c r="R969" t="s">
        <v>21174</v>
      </c>
      <c r="S969" t="s">
        <v>21175</v>
      </c>
      <c r="T969" t="s">
        <v>21176</v>
      </c>
      <c r="U969" t="s">
        <v>21177</v>
      </c>
      <c r="V969">
        <f>-627.77696435359 -25.2307816972794 -235.495439146062</f>
        <v>-888.50318519693144</v>
      </c>
      <c r="W969" t="s">
        <v>21178</v>
      </c>
      <c r="X969" t="s">
        <v>21179</v>
      </c>
      <c r="Y969" t="s">
        <v>21180</v>
      </c>
    </row>
    <row r="970" spans="1:25" x14ac:dyDescent="0.3">
      <c r="A970">
        <v>48450</v>
      </c>
      <c r="B970" t="s">
        <v>21181</v>
      </c>
      <c r="C970" t="s">
        <v>21182</v>
      </c>
      <c r="D970" t="s">
        <v>21183</v>
      </c>
      <c r="E970" t="s">
        <v>21184</v>
      </c>
      <c r="F970" t="s">
        <v>21185</v>
      </c>
      <c r="G970" t="s">
        <v>21186</v>
      </c>
      <c r="H970">
        <f>-600.423876274746 -16.5282162527655 -835.659125793041</f>
        <v>-1452.6112183205523</v>
      </c>
      <c r="I970">
        <f>-553.485482333613 -38.6642968394368 -923.350376925691</f>
        <v>-1515.5001560987407</v>
      </c>
      <c r="J970" t="s">
        <v>21187</v>
      </c>
      <c r="K970" t="s">
        <v>21188</v>
      </c>
      <c r="L970" t="s">
        <v>21189</v>
      </c>
      <c r="M970" t="s">
        <v>21190</v>
      </c>
      <c r="N970">
        <f>-615.767748952671 -29.9759616723631 -763.988747217567</f>
        <v>-1409.732457842601</v>
      </c>
      <c r="O970">
        <f>-640.709544153728 -164.745806544701 -710.683606285758</f>
        <v>-1516.1389569841867</v>
      </c>
      <c r="P970">
        <f>-646.734536435231 -120.347665592972 -397.348902037454</f>
        <v>-1164.4311040656571</v>
      </c>
      <c r="Q970">
        <f>-398.215829591391 -53.4476652338169 -434.830597432508</f>
        <v>-886.49409225771592</v>
      </c>
      <c r="R970" t="s">
        <v>21191</v>
      </c>
      <c r="S970" t="s">
        <v>21192</v>
      </c>
      <c r="T970" t="s">
        <v>21193</v>
      </c>
      <c r="U970" t="s">
        <v>21194</v>
      </c>
      <c r="V970">
        <f>-628.227455942719 -25.1782862204012 -235.57829667692</f>
        <v>-888.98403884004017</v>
      </c>
      <c r="W970" t="s">
        <v>21195</v>
      </c>
      <c r="X970" t="s">
        <v>21196</v>
      </c>
      <c r="Y970" t="s">
        <v>21197</v>
      </c>
    </row>
    <row r="971" spans="1:25" x14ac:dyDescent="0.3">
      <c r="A971">
        <v>48500</v>
      </c>
      <c r="B971" t="s">
        <v>21198</v>
      </c>
      <c r="C971" t="s">
        <v>21199</v>
      </c>
      <c r="D971" t="s">
        <v>21200</v>
      </c>
      <c r="E971" t="s">
        <v>21201</v>
      </c>
      <c r="F971" t="s">
        <v>21202</v>
      </c>
      <c r="G971" t="s">
        <v>21203</v>
      </c>
      <c r="H971">
        <f>-600.597353000395 -16.3777433350672 -835.800422505082</f>
        <v>-1452.775518840544</v>
      </c>
      <c r="I971">
        <f>-553.730670493579 -38.5401844252782 -923.523345974739</f>
        <v>-1515.7942008935961</v>
      </c>
      <c r="J971" t="s">
        <v>21204</v>
      </c>
      <c r="K971" t="s">
        <v>21205</v>
      </c>
      <c r="L971" t="s">
        <v>21206</v>
      </c>
      <c r="M971" t="s">
        <v>21207</v>
      </c>
      <c r="N971">
        <f>-615.971841120113 -29.8337349558084 -764.13818079147</f>
        <v>-1409.9437568673914</v>
      </c>
      <c r="O971">
        <f>-641.287022491796 -164.562013498164 -710.935369112028</f>
        <v>-1516.7844051019879</v>
      </c>
      <c r="P971">
        <f>-647.381277677729 -120.408169059597 -397.567355872937</f>
        <v>-1165.356802610263</v>
      </c>
      <c r="Q971">
        <f>-398.711194266503 -54.0227630896635 -434.96040570431</f>
        <v>-887.69436306047646</v>
      </c>
      <c r="R971" t="s">
        <v>21208</v>
      </c>
      <c r="S971" t="s">
        <v>21209</v>
      </c>
      <c r="T971" t="s">
        <v>21210</v>
      </c>
      <c r="U971" t="s">
        <v>21211</v>
      </c>
      <c r="V971">
        <f>-628.405575850745 -25.080718848274 -235.638049853897</f>
        <v>-889.124344552916</v>
      </c>
      <c r="W971" t="s">
        <v>21212</v>
      </c>
      <c r="X971" t="s">
        <v>21213</v>
      </c>
      <c r="Y971" t="s">
        <v>21214</v>
      </c>
    </row>
    <row r="972" spans="1:25" x14ac:dyDescent="0.3">
      <c r="A972">
        <v>48550</v>
      </c>
      <c r="B972" t="s">
        <v>21215</v>
      </c>
      <c r="C972" t="s">
        <v>21216</v>
      </c>
      <c r="D972" t="s">
        <v>21217</v>
      </c>
      <c r="E972" t="s">
        <v>21218</v>
      </c>
      <c r="F972" t="s">
        <v>21219</v>
      </c>
      <c r="G972" t="s">
        <v>21220</v>
      </c>
      <c r="H972">
        <f>-600.326511370481 -15.9947458049372 -835.934819573876</f>
        <v>-1452.2560767492942</v>
      </c>
      <c r="I972">
        <f>-553.562098353952 -38.3068365534056 -923.67458590409</f>
        <v>-1515.5435208114477</v>
      </c>
      <c r="J972" t="s">
        <v>21221</v>
      </c>
      <c r="K972" t="s">
        <v>21222</v>
      </c>
      <c r="L972" t="s">
        <v>21223</v>
      </c>
      <c r="M972" t="s">
        <v>21224</v>
      </c>
      <c r="N972">
        <f>-615.810232413112 -29.4255928313739 -764.291489615996</f>
        <v>-1409.527314860482</v>
      </c>
      <c r="O972">
        <f>-641.892024210443 -164.043499525388 -711.167095080948</f>
        <v>-1517.1026188167789</v>
      </c>
      <c r="P972">
        <f>-647.845218312169 -120.262442199019 -397.744205128989</f>
        <v>-1165.851865640177</v>
      </c>
      <c r="Q972">
        <f>-398.833655084135 -55.088741155216 -434.995470663668</f>
        <v>-888.91786690301899</v>
      </c>
      <c r="R972" t="s">
        <v>21225</v>
      </c>
      <c r="S972" t="s">
        <v>21226</v>
      </c>
      <c r="T972" t="s">
        <v>21227</v>
      </c>
      <c r="U972" t="s">
        <v>21228</v>
      </c>
      <c r="V972">
        <f>-628.32213351688 -24.7812915774062 -235.727265335339</f>
        <v>-888.83069042962518</v>
      </c>
      <c r="W972" t="s">
        <v>21229</v>
      </c>
      <c r="X972" t="s">
        <v>21230</v>
      </c>
      <c r="Y972" t="s">
        <v>21231</v>
      </c>
    </row>
    <row r="973" spans="1:25" x14ac:dyDescent="0.3">
      <c r="A973">
        <v>48600</v>
      </c>
      <c r="B973" t="s">
        <v>21232</v>
      </c>
      <c r="C973" t="s">
        <v>21233</v>
      </c>
      <c r="D973" t="s">
        <v>21234</v>
      </c>
      <c r="E973" t="s">
        <v>21235</v>
      </c>
      <c r="F973" t="s">
        <v>21236</v>
      </c>
      <c r="G973" t="s">
        <v>21237</v>
      </c>
      <c r="H973">
        <f>-600.006774072803 -15.735711835682 -836.007785824295</f>
        <v>-1451.7502717327798</v>
      </c>
      <c r="I973">
        <f>-553.312767738095 -38.1635279219301 -923.755340243762</f>
        <v>-1515.231635903787</v>
      </c>
      <c r="J973" t="s">
        <v>21238</v>
      </c>
      <c r="K973" t="s">
        <v>21239</v>
      </c>
      <c r="L973" t="s">
        <v>21240</v>
      </c>
      <c r="M973" t="s">
        <v>21241</v>
      </c>
      <c r="N973">
        <f>-615.513230960934 -29.1287162547013 -764.362019436817</f>
        <v>-1409.0039666524524</v>
      </c>
      <c r="O973">
        <f>-641.938562730522 -163.667430250929 -711.211792662653</f>
        <v>-1516.8177856441039</v>
      </c>
      <c r="P973">
        <f>-647.762823143345 -119.761199460462 -397.803916784431</f>
        <v>-1165.3279393882381</v>
      </c>
      <c r="Q973">
        <f>-398.565476622265 -55.2768960852315 -435.013077228552</f>
        <v>-888.85544993604844</v>
      </c>
      <c r="R973" t="s">
        <v>21242</v>
      </c>
      <c r="S973" t="s">
        <v>21243</v>
      </c>
      <c r="T973" t="s">
        <v>21244</v>
      </c>
      <c r="U973" t="s">
        <v>21245</v>
      </c>
      <c r="V973">
        <f>-628.158573543272 -24.5110788551596 -235.785333858867</f>
        <v>-888.45498625729863</v>
      </c>
      <c r="W973" t="s">
        <v>21246</v>
      </c>
      <c r="X973" t="s">
        <v>21247</v>
      </c>
      <c r="Y973" t="s">
        <v>21248</v>
      </c>
    </row>
    <row r="974" spans="1:25" x14ac:dyDescent="0.3">
      <c r="A974">
        <v>48650</v>
      </c>
      <c r="B974" t="s">
        <v>21249</v>
      </c>
      <c r="C974" t="s">
        <v>21250</v>
      </c>
      <c r="D974" t="s">
        <v>21251</v>
      </c>
      <c r="E974" t="s">
        <v>21252</v>
      </c>
      <c r="F974" t="s">
        <v>21253</v>
      </c>
      <c r="G974" t="s">
        <v>21254</v>
      </c>
      <c r="H974">
        <f>-598.974560310941 -15.4164384022782 -836.182870664948</f>
        <v>-1450.5738693781673</v>
      </c>
      <c r="I974">
        <f>-552.429647713751 -38.1941874333625 -923.919482911207</f>
        <v>-1514.5433180583204</v>
      </c>
      <c r="J974" t="s">
        <v>21255</v>
      </c>
      <c r="K974" t="s">
        <v>21256</v>
      </c>
      <c r="L974" t="s">
        <v>21257</v>
      </c>
      <c r="M974" t="s">
        <v>21258</v>
      </c>
      <c r="N974">
        <f>-614.502724687204 -28.6233202353471 -764.507289608248</f>
        <v>-1407.6333345307992</v>
      </c>
      <c r="O974">
        <f>-641.628083678459 -162.965506655878 -711.222060805629</f>
        <v>-1515.8156511399661</v>
      </c>
      <c r="P974">
        <f>-647.151913486396 -118.543609008159 -397.881500862453</f>
        <v>-1163.5770233570079</v>
      </c>
      <c r="Q974">
        <f>-397.638650514041 -55.1507853557534 -434.848042189143</f>
        <v>-887.6374780589374</v>
      </c>
      <c r="R974" t="s">
        <v>21259</v>
      </c>
      <c r="S974" t="s">
        <v>21260</v>
      </c>
      <c r="T974" t="s">
        <v>21261</v>
      </c>
      <c r="U974" t="s">
        <v>21262</v>
      </c>
      <c r="V974">
        <f>-627.336454023713 -23.6078378149986 -235.952182959833</f>
        <v>-886.89647479854466</v>
      </c>
      <c r="W974" t="s">
        <v>21263</v>
      </c>
      <c r="X974" t="s">
        <v>21264</v>
      </c>
      <c r="Y974" t="s">
        <v>21265</v>
      </c>
    </row>
    <row r="975" spans="1:25" x14ac:dyDescent="0.3">
      <c r="A975">
        <v>48700</v>
      </c>
      <c r="B975" t="s">
        <v>21266</v>
      </c>
      <c r="C975" t="s">
        <v>21267</v>
      </c>
      <c r="D975" t="s">
        <v>21268</v>
      </c>
      <c r="E975" t="s">
        <v>21269</v>
      </c>
      <c r="F975" t="s">
        <v>21270</v>
      </c>
      <c r="G975" t="s">
        <v>21271</v>
      </c>
      <c r="H975">
        <f>-597.843493824107 -15.2732880652398 -836.265962966922</f>
        <v>-1449.3827448562688</v>
      </c>
      <c r="I975">
        <f>-551.317211195965 -38.2048570639008 -923.972388926608</f>
        <v>-1513.4944571864739</v>
      </c>
      <c r="J975" t="s">
        <v>21272</v>
      </c>
      <c r="K975" t="s">
        <v>21273</v>
      </c>
      <c r="L975" t="s">
        <v>21274</v>
      </c>
      <c r="M975" t="s">
        <v>21275</v>
      </c>
      <c r="N975">
        <f>-613.442773996477 -28.4004589976736 -764.59130904089</f>
        <v>-1406.4345420350405</v>
      </c>
      <c r="O975">
        <f>-640.841833877938 -162.69287561751 -711.265231253172</f>
        <v>-1514.79994074862</v>
      </c>
      <c r="P975">
        <f>-646.237232510265 -118.162122811405 -397.937803284924</f>
        <v>-1162.3371586065939</v>
      </c>
      <c r="Q975">
        <f>-396.633843639116 -55.1499350275456 -434.946829773888</f>
        <v>-886.73060844054953</v>
      </c>
      <c r="R975" t="s">
        <v>21276</v>
      </c>
      <c r="S975" t="s">
        <v>21277</v>
      </c>
      <c r="T975" t="s">
        <v>21278</v>
      </c>
      <c r="U975" t="s">
        <v>21279</v>
      </c>
      <c r="V975">
        <f>-626.829803876845 -23.0248079371659 -236.017413982989</f>
        <v>-885.87202579699988</v>
      </c>
      <c r="W975" t="s">
        <v>21280</v>
      </c>
      <c r="X975" t="s">
        <v>21281</v>
      </c>
      <c r="Y975" t="s">
        <v>21282</v>
      </c>
    </row>
    <row r="976" spans="1:25" x14ac:dyDescent="0.3">
      <c r="A976">
        <v>48750</v>
      </c>
      <c r="B976" t="s">
        <v>21283</v>
      </c>
      <c r="C976" t="s">
        <v>21284</v>
      </c>
      <c r="D976" t="s">
        <v>21285</v>
      </c>
      <c r="E976" t="s">
        <v>21286</v>
      </c>
      <c r="F976" t="s">
        <v>21287</v>
      </c>
      <c r="G976" t="s">
        <v>21288</v>
      </c>
      <c r="H976">
        <f>-596.591730257457 -14.1479448326761 -836.257757045922</f>
        <v>-1446.9974321360551</v>
      </c>
      <c r="I976">
        <f>-550.027428866188 -37.2792523794457 -923.891480880864</f>
        <v>-1511.1981621264977</v>
      </c>
      <c r="J976" t="s">
        <v>21289</v>
      </c>
      <c r="K976" t="s">
        <v>21290</v>
      </c>
      <c r="L976" t="s">
        <v>21291</v>
      </c>
      <c r="M976" t="s">
        <v>21292</v>
      </c>
      <c r="N976">
        <f>-612.34045827915 -27.2231880945866 -764.606150746757</f>
        <v>-1404.1697971204935</v>
      </c>
      <c r="O976">
        <f>-640.084674915699 -161.432206071494 -711.293995778579</f>
        <v>-1512.8108767657718</v>
      </c>
      <c r="P976">
        <f>-645.524496349922 -117.093110173079 -397.940176908385</f>
        <v>-1160.557783431386</v>
      </c>
      <c r="Q976">
        <f>-395.828720986742 -54.4201229765237 -434.901998475886</f>
        <v>-885.15084243915169</v>
      </c>
      <c r="R976" t="s">
        <v>21293</v>
      </c>
      <c r="S976" t="s">
        <v>21294</v>
      </c>
      <c r="T976" t="s">
        <v>21295</v>
      </c>
      <c r="U976" t="s">
        <v>21296</v>
      </c>
      <c r="V976">
        <f>-625.838438867395 -21.7857509570801 -236.062937134076</f>
        <v>-883.68712695855118</v>
      </c>
      <c r="W976" t="s">
        <v>21297</v>
      </c>
      <c r="X976" t="s">
        <v>21298</v>
      </c>
      <c r="Y976" t="s">
        <v>21299</v>
      </c>
    </row>
    <row r="977" spans="1:25" x14ac:dyDescent="0.3">
      <c r="A977">
        <v>48800</v>
      </c>
      <c r="B977" t="s">
        <v>21300</v>
      </c>
      <c r="C977" t="s">
        <v>21301</v>
      </c>
      <c r="D977" t="s">
        <v>21302</v>
      </c>
      <c r="E977" t="s">
        <v>21303</v>
      </c>
      <c r="F977" t="s">
        <v>21304</v>
      </c>
      <c r="G977" t="s">
        <v>21305</v>
      </c>
      <c r="H977">
        <f>-595.967551064718 -13.7622405277888 -836.201379415911</f>
        <v>-1445.9311710084178</v>
      </c>
      <c r="I977">
        <f>-549.36600860149 -36.9725624974269 -923.794400209702</f>
        <v>-1510.1329713086188</v>
      </c>
      <c r="J977" t="s">
        <v>21306</v>
      </c>
      <c r="K977" t="s">
        <v>21307</v>
      </c>
      <c r="L977" t="s">
        <v>21308</v>
      </c>
      <c r="M977" t="s">
        <v>21309</v>
      </c>
      <c r="N977">
        <f>-611.770083907013 -26.8262537739077 -764.559652221362</f>
        <v>-1403.1559899022827</v>
      </c>
      <c r="O977">
        <f>-639.564065622323 -161.012983967717 -711.238238475458</f>
        <v>-1511.815288065498</v>
      </c>
      <c r="P977">
        <f>-645.0834126556 -116.796260760839 -397.86851236018</f>
        <v>-1159.748185776619</v>
      </c>
      <c r="Q977">
        <f>-395.402264043949 -54.0677079155456 -434.834722566408</f>
        <v>-884.30469452590262</v>
      </c>
      <c r="R977" t="s">
        <v>21310</v>
      </c>
      <c r="S977" t="s">
        <v>21311</v>
      </c>
      <c r="T977" t="s">
        <v>21312</v>
      </c>
      <c r="U977" t="s">
        <v>21313</v>
      </c>
      <c r="V977">
        <f>-625.291116230898 -21.2669555693401 -236.070412832777</f>
        <v>-882.62848463301509</v>
      </c>
      <c r="W977" t="s">
        <v>21314</v>
      </c>
      <c r="X977" t="s">
        <v>21315</v>
      </c>
      <c r="Y977" t="s">
        <v>21316</v>
      </c>
    </row>
    <row r="978" spans="1:25" x14ac:dyDescent="0.3">
      <c r="A978">
        <v>48850</v>
      </c>
      <c r="B978" t="s">
        <v>21317</v>
      </c>
      <c r="C978" t="s">
        <v>21318</v>
      </c>
      <c r="D978" t="s">
        <v>21319</v>
      </c>
      <c r="E978" t="s">
        <v>21320</v>
      </c>
      <c r="F978" t="s">
        <v>21321</v>
      </c>
      <c r="G978" t="s">
        <v>21322</v>
      </c>
      <c r="H978">
        <f>-594.366302836741 -13.5374759070255 -836.088832027485</f>
        <v>-1443.9926107712515</v>
      </c>
      <c r="I978">
        <f>-547.629493820539 -36.8904740755496 -923.571911474484</f>
        <v>-1508.0918793705725</v>
      </c>
      <c r="J978" t="s">
        <v>21323</v>
      </c>
      <c r="K978" t="s">
        <v>21324</v>
      </c>
      <c r="L978" t="s">
        <v>21325</v>
      </c>
      <c r="M978" t="s">
        <v>21326</v>
      </c>
      <c r="N978">
        <f>-610.249814317226 -26.5196407539241 -764.450305316851</f>
        <v>-1401.2197603880011</v>
      </c>
      <c r="O978">
        <f>-638.189836390461 -160.686852040475 -711.127930493244</f>
        <v>-1510.0046189241798</v>
      </c>
      <c r="P978">
        <f>-643.884542249647 -116.291872344211 -397.786485105225</f>
        <v>-1157.962899699083</v>
      </c>
      <c r="Q978">
        <f>-394.158684298227 -53.6916424954112 -434.66816391224</f>
        <v>-882.51849070587821</v>
      </c>
      <c r="R978" t="s">
        <v>21327</v>
      </c>
      <c r="S978" t="s">
        <v>21328</v>
      </c>
      <c r="T978" t="s">
        <v>21329</v>
      </c>
      <c r="U978" t="s">
        <v>21330</v>
      </c>
      <c r="V978">
        <f>-624.233401338146 -20.3586797865399 -236.067049365374</f>
        <v>-880.65913049005997</v>
      </c>
      <c r="W978" t="s">
        <v>21331</v>
      </c>
      <c r="X978" t="s">
        <v>21332</v>
      </c>
      <c r="Y978" t="s">
        <v>21333</v>
      </c>
    </row>
    <row r="979" spans="1:25" x14ac:dyDescent="0.3">
      <c r="A979">
        <v>48900</v>
      </c>
      <c r="B979" t="s">
        <v>21334</v>
      </c>
      <c r="C979" t="s">
        <v>21335</v>
      </c>
      <c r="D979" t="s">
        <v>21336</v>
      </c>
      <c r="E979" t="s">
        <v>21337</v>
      </c>
      <c r="F979" t="s">
        <v>21338</v>
      </c>
      <c r="G979" t="s">
        <v>21339</v>
      </c>
      <c r="H979">
        <f>-593.723460276385 -13.5264873611024 -836.080895323536</f>
        <v>-1443.3308429610233</v>
      </c>
      <c r="I979">
        <f>-546.918871348827 -36.9485222288422 -923.509187584341</f>
        <v>-1507.3765811620101</v>
      </c>
      <c r="J979" t="s">
        <v>21340</v>
      </c>
      <c r="K979" t="s">
        <v>21341</v>
      </c>
      <c r="L979" t="s">
        <v>21342</v>
      </c>
      <c r="M979" t="s">
        <v>21343</v>
      </c>
      <c r="N979">
        <f>-609.629944427764 -26.4658012768245 -764.439557447634</f>
        <v>-1400.5353031522227</v>
      </c>
      <c r="O979">
        <f>-637.581721266586 -160.613173369568 -711.082312390415</f>
        <v>-1509.2772070265692</v>
      </c>
      <c r="P979">
        <f>-643.279298667169 -116.178986586401 -397.746488860305</f>
        <v>-1157.2047741138749</v>
      </c>
      <c r="Q979">
        <f>-393.520946121928 -53.600736751777 -434.444883884128</f>
        <v>-881.56656675783302</v>
      </c>
      <c r="R979" t="s">
        <v>21344</v>
      </c>
      <c r="S979" t="s">
        <v>21345</v>
      </c>
      <c r="T979" t="s">
        <v>21346</v>
      </c>
      <c r="U979" t="s">
        <v>21347</v>
      </c>
      <c r="V979">
        <f>-623.821787286101 -19.984536885152 -236.078469899379</f>
        <v>-879.88479407063198</v>
      </c>
      <c r="W979" t="s">
        <v>21348</v>
      </c>
      <c r="X979" t="s">
        <v>21349</v>
      </c>
      <c r="Y979" t="s">
        <v>21350</v>
      </c>
    </row>
    <row r="980" spans="1:25" x14ac:dyDescent="0.3">
      <c r="A980">
        <v>48950</v>
      </c>
      <c r="B980" t="s">
        <v>21351</v>
      </c>
      <c r="C980" t="s">
        <v>21352</v>
      </c>
      <c r="D980" t="s">
        <v>21353</v>
      </c>
      <c r="E980" t="s">
        <v>21354</v>
      </c>
      <c r="F980" t="s">
        <v>21355</v>
      </c>
      <c r="G980" t="s">
        <v>21356</v>
      </c>
      <c r="H980">
        <f>-592.357006577165 -13.4601761294205 -836.129039594307</f>
        <v>-1441.9462223008923</v>
      </c>
      <c r="I980">
        <f>-545.401892048127 -37.0016674387673 -923.444580745706</f>
        <v>-1505.8481402326004</v>
      </c>
      <c r="J980" t="s">
        <v>21357</v>
      </c>
      <c r="K980" t="s">
        <v>21358</v>
      </c>
      <c r="L980" t="s">
        <v>21359</v>
      </c>
      <c r="M980" t="s">
        <v>21360</v>
      </c>
      <c r="N980">
        <f>-608.320033820725 -26.3412146105438 -764.48983658004</f>
        <v>-1399.1510850113089</v>
      </c>
      <c r="O980">
        <f>-636.413998923984 -160.49033034786 -711.204921219855</f>
        <v>-1508.109250491699</v>
      </c>
      <c r="P980">
        <f>-642.146423402107 -116.155491886142 -397.855558060921</f>
        <v>-1156.15747334917</v>
      </c>
      <c r="Q980">
        <f>-392.257881048736 -54.1331871184212 -434.611641306553</f>
        <v>-881.00270947371018</v>
      </c>
      <c r="R980" t="s">
        <v>21361</v>
      </c>
      <c r="S980" t="s">
        <v>21362</v>
      </c>
      <c r="T980" t="s">
        <v>21363</v>
      </c>
      <c r="U980" t="s">
        <v>21364</v>
      </c>
      <c r="V980">
        <f>-623.099597354115 -19.0346615441521 -236.105084221187</f>
        <v>-878.23934311945402</v>
      </c>
      <c r="W980" t="s">
        <v>21365</v>
      </c>
      <c r="X980" t="s">
        <v>21366</v>
      </c>
      <c r="Y980" t="s">
        <v>21367</v>
      </c>
    </row>
    <row r="981" spans="1:25" x14ac:dyDescent="0.3">
      <c r="A981">
        <v>49000</v>
      </c>
      <c r="B981" t="s">
        <v>21368</v>
      </c>
      <c r="C981" t="s">
        <v>21369</v>
      </c>
      <c r="D981" t="s">
        <v>21370</v>
      </c>
      <c r="E981" t="s">
        <v>21371</v>
      </c>
      <c r="F981" t="s">
        <v>21372</v>
      </c>
      <c r="G981" t="s">
        <v>21373</v>
      </c>
      <c r="H981">
        <f>-591.946317654676 -13.025481643621 -836.115881412895</f>
        <v>-1441.087680711192</v>
      </c>
      <c r="I981">
        <f>-544.932050082545 -36.5950242503503 -923.391996217088</f>
        <v>-1504.9190705499832</v>
      </c>
      <c r="J981" t="s">
        <v>21374</v>
      </c>
      <c r="K981" t="s">
        <v>21375</v>
      </c>
      <c r="L981" t="s">
        <v>21376</v>
      </c>
      <c r="M981" t="s">
        <v>21377</v>
      </c>
      <c r="N981">
        <f>-607.939206121085 -25.9111809955225 -764.484196053639</f>
        <v>-1398.3345831702466</v>
      </c>
      <c r="O981">
        <f>-636.121945017985 -160.066412396373 -711.24624587657</f>
        <v>-1507.434603290928</v>
      </c>
      <c r="P981">
        <f>-641.862547769403 -116.10471051511 -397.844602274619</f>
        <v>-1155.8118605591321</v>
      </c>
      <c r="Q981">
        <f>-391.861832589596 -54.3052648397079 -434.21075073047</f>
        <v>-880.37784815977398</v>
      </c>
      <c r="R981" t="s">
        <v>21378</v>
      </c>
      <c r="S981" t="s">
        <v>21379</v>
      </c>
      <c r="T981" t="s">
        <v>21380</v>
      </c>
      <c r="U981" t="s">
        <v>21381</v>
      </c>
      <c r="V981">
        <f>-622.766034155689 -18.4488941948586 -236.08021225717</f>
        <v>-877.29514060771749</v>
      </c>
      <c r="W981" t="s">
        <v>21382</v>
      </c>
      <c r="X981" t="s">
        <v>21383</v>
      </c>
      <c r="Y981" t="s">
        <v>21384</v>
      </c>
    </row>
    <row r="982" spans="1:25" x14ac:dyDescent="0.3">
      <c r="A982">
        <v>49050</v>
      </c>
      <c r="B982" t="s">
        <v>21385</v>
      </c>
      <c r="C982" t="s">
        <v>21386</v>
      </c>
      <c r="D982" t="s">
        <v>21387</v>
      </c>
      <c r="E982" t="s">
        <v>21388</v>
      </c>
      <c r="F982" t="s">
        <v>21389</v>
      </c>
      <c r="G982" t="s">
        <v>21390</v>
      </c>
      <c r="H982">
        <f>-591.934218877469 -12.4656528992814 -836.005834771342</f>
        <v>-1440.4057065480924</v>
      </c>
      <c r="I982">
        <f>-544.898081003903 -36.1188931117421 -923.247559440802</f>
        <v>-1504.2645335564471</v>
      </c>
      <c r="J982" t="s">
        <v>21391</v>
      </c>
      <c r="K982" t="s">
        <v>21392</v>
      </c>
      <c r="L982" t="s">
        <v>21393</v>
      </c>
      <c r="M982" t="s">
        <v>21394</v>
      </c>
      <c r="N982">
        <f>-607.975566103179 -25.3638140876836 -764.387180204564</f>
        <v>-1397.7265603954265</v>
      </c>
      <c r="O982">
        <f>-636.231359100926 -159.514776241672 -711.209827035898</f>
        <v>-1506.9559623784962</v>
      </c>
      <c r="P982">
        <f>-642.408569542463 -115.7465215885 -397.789426617149</f>
        <v>-1155.944517748112</v>
      </c>
      <c r="Q982">
        <f>-392.284244056627 -54.1761552599093 -433.691601942333</f>
        <v>-880.1520012588694</v>
      </c>
      <c r="R982" t="s">
        <v>21395</v>
      </c>
      <c r="S982" t="s">
        <v>21396</v>
      </c>
      <c r="T982" t="s">
        <v>21397</v>
      </c>
      <c r="U982" t="s">
        <v>21398</v>
      </c>
      <c r="V982">
        <f>-622.519826146902 -17.8409819596635 -236.015135604309</f>
        <v>-876.37594371087448</v>
      </c>
      <c r="W982" t="s">
        <v>21399</v>
      </c>
      <c r="X982" t="s">
        <v>21400</v>
      </c>
      <c r="Y982" t="s">
        <v>21401</v>
      </c>
    </row>
    <row r="983" spans="1:25" x14ac:dyDescent="0.3">
      <c r="A983">
        <v>49100</v>
      </c>
      <c r="B983" t="s">
        <v>21402</v>
      </c>
      <c r="C983" t="s">
        <v>21403</v>
      </c>
      <c r="D983" t="s">
        <v>21404</v>
      </c>
      <c r="E983" t="s">
        <v>21405</v>
      </c>
      <c r="F983" t="s">
        <v>21406</v>
      </c>
      <c r="G983" t="s">
        <v>21407</v>
      </c>
      <c r="H983">
        <f>-592.256246249984 -12.1450443832807 -835.972108170566</f>
        <v>-1440.3733988038307</v>
      </c>
      <c r="I983">
        <f>-545.21396560298 -35.8056666478585 -923.208613481742</f>
        <v>-1504.2282457325805</v>
      </c>
      <c r="J983" t="s">
        <v>21408</v>
      </c>
      <c r="K983" t="s">
        <v>21409</v>
      </c>
      <c r="L983" t="s">
        <v>21410</v>
      </c>
      <c r="M983" t="s">
        <v>21411</v>
      </c>
      <c r="N983">
        <f>-608.298406984035 -25.054725089022 -764.355831946456</f>
        <v>-1397.7089640195129</v>
      </c>
      <c r="O983">
        <f>-636.555220480293 -159.230683204083 -711.218519238417</f>
        <v>-1507.0044229227929</v>
      </c>
      <c r="P983">
        <f>-642.805259888455 -115.311652072968 -397.820514303177</f>
        <v>-1155.9374262646002</v>
      </c>
      <c r="Q983">
        <f>-392.633836271712 -53.8308915528672 -433.547917545678</f>
        <v>-880.01264537025713</v>
      </c>
      <c r="R983" t="s">
        <v>21412</v>
      </c>
      <c r="S983" t="s">
        <v>21413</v>
      </c>
      <c r="T983" t="s">
        <v>21414</v>
      </c>
      <c r="U983" t="s">
        <v>21415</v>
      </c>
      <c r="V983">
        <f>-622.610250827485 -17.6343621020906 -235.984886343598</f>
        <v>-876.22949927317347</v>
      </c>
      <c r="W983" t="s">
        <v>21416</v>
      </c>
      <c r="X983" t="s">
        <v>21417</v>
      </c>
      <c r="Y983" t="s">
        <v>21418</v>
      </c>
    </row>
    <row r="984" spans="1:25" x14ac:dyDescent="0.3">
      <c r="A984">
        <v>49150</v>
      </c>
      <c r="B984" t="s">
        <v>21419</v>
      </c>
      <c r="C984" t="s">
        <v>21420</v>
      </c>
      <c r="D984" t="s">
        <v>21421</v>
      </c>
      <c r="E984" t="s">
        <v>21422</v>
      </c>
      <c r="F984" t="s">
        <v>21423</v>
      </c>
      <c r="G984" t="s">
        <v>21424</v>
      </c>
      <c r="H984">
        <f>-593.62517048473 -11.6950849002126 -835.994028206094</f>
        <v>-1441.3142835910367</v>
      </c>
      <c r="I984">
        <f>-546.632200263613 -35.3833535756835 -923.249517281712</f>
        <v>-1505.2650711210085</v>
      </c>
      <c r="J984" t="s">
        <v>21425</v>
      </c>
      <c r="K984" t="s">
        <v>21426</v>
      </c>
      <c r="L984" t="s">
        <v>21427</v>
      </c>
      <c r="M984" t="s">
        <v>21428</v>
      </c>
      <c r="N984">
        <f>-609.630260868533 -24.6070695844562 -764.36982747978</f>
        <v>-1398.6071579327693</v>
      </c>
      <c r="O984">
        <f>-637.997571048638 -158.746461160465 -711.21402940645</f>
        <v>-1507.9580616155529</v>
      </c>
      <c r="P984">
        <f>-643.947521054058 -114.884585137748 -397.802267179687</f>
        <v>-1156.634373371493</v>
      </c>
      <c r="Q984">
        <f>-393.910450580779 -53.0212583826823 -433.808733959106</f>
        <v>-880.74044292256735</v>
      </c>
      <c r="R984" t="s">
        <v>21429</v>
      </c>
      <c r="S984" t="s">
        <v>21430</v>
      </c>
      <c r="T984" t="s">
        <v>21431</v>
      </c>
      <c r="U984" t="s">
        <v>21432</v>
      </c>
      <c r="V984">
        <f>-623.188729773963 -17.2222525253123 -235.981880957196</f>
        <v>-876.3928632564714</v>
      </c>
      <c r="W984" t="s">
        <v>21433</v>
      </c>
      <c r="X984" t="s">
        <v>21434</v>
      </c>
      <c r="Y984" t="s">
        <v>21435</v>
      </c>
    </row>
    <row r="985" spans="1:25" x14ac:dyDescent="0.3">
      <c r="A985">
        <v>49200</v>
      </c>
      <c r="B985" t="s">
        <v>21436</v>
      </c>
      <c r="C985" t="s">
        <v>21437</v>
      </c>
      <c r="D985" t="s">
        <v>21438</v>
      </c>
      <c r="E985" t="s">
        <v>21439</v>
      </c>
      <c r="F985" t="s">
        <v>21440</v>
      </c>
      <c r="G985" t="s">
        <v>21441</v>
      </c>
      <c r="H985">
        <f>-594.431480173519 -11.5978093978325 -836.00463844216</f>
        <v>-1442.0339280135115</v>
      </c>
      <c r="I985">
        <f>-547.477892920831 -35.3005869544031 -923.277457446253</f>
        <v>-1506.0559373214871</v>
      </c>
      <c r="J985" t="s">
        <v>21442</v>
      </c>
      <c r="K985" t="s">
        <v>21443</v>
      </c>
      <c r="L985" t="s">
        <v>21444</v>
      </c>
      <c r="M985" t="s">
        <v>21445</v>
      </c>
      <c r="N985">
        <f>-610.430280845144 -24.5106946527372 -764.379169335154</f>
        <v>-1399.3201448330351</v>
      </c>
      <c r="O985">
        <f>-638.839145309994 -158.660994257188 -711.251587347028</f>
        <v>-1508.7517269142099</v>
      </c>
      <c r="P985">
        <f>-644.687982414254 -114.993232313723 -397.81088437965</f>
        <v>-1157.4920991076269</v>
      </c>
      <c r="Q985">
        <f>-394.772677319927 -52.7341881933181 -433.979515135726</f>
        <v>-881.48638064897114</v>
      </c>
      <c r="R985" t="s">
        <v>21446</v>
      </c>
      <c r="S985" t="s">
        <v>21447</v>
      </c>
      <c r="T985" t="s">
        <v>21448</v>
      </c>
      <c r="U985" t="s">
        <v>21449</v>
      </c>
      <c r="V985">
        <f>-623.669140984514 -17.2834721864639 -235.977222891074</f>
        <v>-876.92983606205189</v>
      </c>
      <c r="W985" t="s">
        <v>21450</v>
      </c>
      <c r="X985" t="s">
        <v>21451</v>
      </c>
      <c r="Y985" t="s">
        <v>21452</v>
      </c>
    </row>
    <row r="986" spans="1:25" x14ac:dyDescent="0.3">
      <c r="A986">
        <v>49250</v>
      </c>
      <c r="B986" t="s">
        <v>21453</v>
      </c>
      <c r="C986" t="s">
        <v>21454</v>
      </c>
      <c r="D986" t="s">
        <v>21455</v>
      </c>
      <c r="E986" t="s">
        <v>21456</v>
      </c>
      <c r="F986" t="s">
        <v>21457</v>
      </c>
      <c r="G986" t="s">
        <v>21458</v>
      </c>
      <c r="H986">
        <f>-596.377474904451 -11.0660835072686 -836.145721925359</f>
        <v>-1443.5892803370784</v>
      </c>
      <c r="I986">
        <f>-549.530070785178 -34.7816237831964 -923.471944206169</f>
        <v>-1507.7836387745435</v>
      </c>
      <c r="J986" t="s">
        <v>21459</v>
      </c>
      <c r="K986" t="s">
        <v>21460</v>
      </c>
      <c r="L986" t="s">
        <v>21461</v>
      </c>
      <c r="M986" t="s">
        <v>21462</v>
      </c>
      <c r="N986">
        <f>-612.360241353616 -24.0483372721658 -764.529138510498</f>
        <v>-1400.9377171362798</v>
      </c>
      <c r="O986">
        <f>-640.913952421862 -158.196832834566 -711.511389553106</f>
        <v>-1510.622174809534</v>
      </c>
      <c r="P986">
        <f>-646.706351355671 -115.110391343879 -397.989068462323</f>
        <v>-1159.805811161873</v>
      </c>
      <c r="Q986">
        <f>-396.960611120819 -52.1954457051263 -434.194543878784</f>
        <v>-883.35060070472923</v>
      </c>
      <c r="R986" t="s">
        <v>21463</v>
      </c>
      <c r="S986" t="s">
        <v>21464</v>
      </c>
      <c r="T986" t="s">
        <v>21465</v>
      </c>
      <c r="U986" t="s">
        <v>21466</v>
      </c>
      <c r="V986">
        <f>-624.780029409674 -17.4496282037985 -236.016333018956</f>
        <v>-878.2459906324284</v>
      </c>
      <c r="W986" t="s">
        <v>21467</v>
      </c>
      <c r="X986" t="s">
        <v>21468</v>
      </c>
      <c r="Y986" t="s">
        <v>21469</v>
      </c>
    </row>
    <row r="987" spans="1:25" x14ac:dyDescent="0.3">
      <c r="A987">
        <v>49300</v>
      </c>
      <c r="B987" t="s">
        <v>21470</v>
      </c>
      <c r="C987" t="s">
        <v>21471</v>
      </c>
      <c r="D987" t="s">
        <v>21472</v>
      </c>
      <c r="E987" t="s">
        <v>21473</v>
      </c>
      <c r="F987" t="s">
        <v>21474</v>
      </c>
      <c r="G987" t="s">
        <v>21475</v>
      </c>
      <c r="H987">
        <f>-597.243454779188 -10.8830490002277 -836.216453833931</f>
        <v>-1444.3429576133467</v>
      </c>
      <c r="I987">
        <f>-550.46735732339 -34.6022369893991 -923.579926492277</f>
        <v>-1508.649520805066</v>
      </c>
      <c r="J987" t="s">
        <v>21476</v>
      </c>
      <c r="K987" t="s">
        <v>21477</v>
      </c>
      <c r="L987" t="s">
        <v>21478</v>
      </c>
      <c r="M987" t="s">
        <v>21479</v>
      </c>
      <c r="N987">
        <f>-613.219360027183 -23.9106404593477 -764.606578605164</f>
        <v>-1401.7365790916947</v>
      </c>
      <c r="O987">
        <f>-641.789677649215 -158.102898112356 -711.686880870144</f>
        <v>-1511.5794566317149</v>
      </c>
      <c r="P987">
        <f>-647.647682126375 -115.177867582554 -398.143665222367</f>
        <v>-1160.9692149312959</v>
      </c>
      <c r="Q987">
        <f>-397.933808245284 -52.1071923383481 -434.297824780418</f>
        <v>-884.33882536405008</v>
      </c>
      <c r="R987" t="s">
        <v>21480</v>
      </c>
      <c r="S987" t="s">
        <v>21481</v>
      </c>
      <c r="T987" t="s">
        <v>21482</v>
      </c>
      <c r="U987" t="s">
        <v>21483</v>
      </c>
      <c r="V987">
        <f>-625.296686664028 -17.6180684174238 -236.030455540991</f>
        <v>-878.9452106224428</v>
      </c>
      <c r="W987" t="s">
        <v>21484</v>
      </c>
      <c r="X987" t="s">
        <v>21485</v>
      </c>
      <c r="Y987" t="s">
        <v>21486</v>
      </c>
    </row>
    <row r="988" spans="1:25" x14ac:dyDescent="0.3">
      <c r="A988">
        <v>49350</v>
      </c>
      <c r="B988" t="s">
        <v>21487</v>
      </c>
      <c r="C988" t="s">
        <v>21488</v>
      </c>
      <c r="D988" t="s">
        <v>21489</v>
      </c>
      <c r="E988" t="s">
        <v>21490</v>
      </c>
      <c r="F988" t="s">
        <v>21491</v>
      </c>
      <c r="G988" t="s">
        <v>21492</v>
      </c>
      <c r="H988">
        <f>-599.154397354072 -10.2807351891701 -836.365250398396</f>
        <v>-1445.800382941638</v>
      </c>
      <c r="I988">
        <f>-552.486426783832 -33.9510678308543 -923.799812741025</f>
        <v>-1510.2373073557114</v>
      </c>
      <c r="J988" t="s">
        <v>21493</v>
      </c>
      <c r="K988" t="s">
        <v>21494</v>
      </c>
      <c r="L988" t="s">
        <v>21495</v>
      </c>
      <c r="M988" t="s">
        <v>21496</v>
      </c>
      <c r="N988">
        <f>-615.114009079179 -23.4288298763244 -764.773773553086</f>
        <v>-1403.3166125085895</v>
      </c>
      <c r="O988">
        <f>-643.866600826246 -157.665991653566 -712.075700172659</f>
        <v>-1513.6082926524709</v>
      </c>
      <c r="P988">
        <f>-649.898707333411 -115.084900061186 -398.488925544414</f>
        <v>-1163.472532939011</v>
      </c>
      <c r="Q988">
        <f>-400.170211760154 -51.8669449167167 -434.283458137743</f>
        <v>-886.32061481461369</v>
      </c>
      <c r="R988" t="s">
        <v>21497</v>
      </c>
      <c r="S988" t="s">
        <v>21498</v>
      </c>
      <c r="T988" t="s">
        <v>21499</v>
      </c>
      <c r="U988" t="s">
        <v>21500</v>
      </c>
      <c r="V988">
        <f>-626.268450231014 -17.9041575633388 -236.044374986695</f>
        <v>-880.21698278104782</v>
      </c>
      <c r="W988" t="s">
        <v>21501</v>
      </c>
      <c r="X988" t="s">
        <v>21502</v>
      </c>
      <c r="Y988" t="s">
        <v>21503</v>
      </c>
    </row>
    <row r="989" spans="1:25" x14ac:dyDescent="0.3">
      <c r="A989">
        <v>49400</v>
      </c>
      <c r="B989" t="s">
        <v>21504</v>
      </c>
      <c r="C989" t="s">
        <v>21505</v>
      </c>
      <c r="D989" t="s">
        <v>21506</v>
      </c>
      <c r="E989" t="s">
        <v>21507</v>
      </c>
      <c r="F989" t="s">
        <v>21508</v>
      </c>
      <c r="G989" t="s">
        <v>21509</v>
      </c>
      <c r="H989">
        <f>-600.004288677216 -10.0358682970133 -836.416183518311</f>
        <v>-1446.4563404925402</v>
      </c>
      <c r="I989">
        <f>-553.396031386385 -33.6787140228769 -923.890016673143</f>
        <v>-1510.9647620824048</v>
      </c>
      <c r="J989" t="s">
        <v>21510</v>
      </c>
      <c r="K989" t="s">
        <v>21511</v>
      </c>
      <c r="L989" t="s">
        <v>21512</v>
      </c>
      <c r="M989" t="s">
        <v>21513</v>
      </c>
      <c r="N989">
        <f>-615.951043234891 -23.2336850989121 -764.830906433846</f>
        <v>-1404.0156347676493</v>
      </c>
      <c r="O989">
        <f>-644.766847869076 -157.498243713234 -712.245172254121</f>
        <v>-1514.510263836431</v>
      </c>
      <c r="P989">
        <f>-650.920763115545 -115.091728656274 -398.637172687744</f>
        <v>-1164.6496644595629</v>
      </c>
      <c r="Q989">
        <f>-401.175900282966 -51.8701635442421 -434.31055070549</f>
        <v>-887.35661453269813</v>
      </c>
      <c r="R989" t="s">
        <v>21514</v>
      </c>
      <c r="S989" t="s">
        <v>21515</v>
      </c>
      <c r="T989" t="s">
        <v>21516</v>
      </c>
      <c r="U989" t="s">
        <v>21517</v>
      </c>
      <c r="V989">
        <f>-626.704624219824 -18.0585811300923 -236.047906590392</f>
        <v>-880.81111194030836</v>
      </c>
      <c r="W989" t="s">
        <v>21518</v>
      </c>
      <c r="X989" t="s">
        <v>21519</v>
      </c>
      <c r="Y989" t="s">
        <v>21520</v>
      </c>
    </row>
    <row r="990" spans="1:25" x14ac:dyDescent="0.3">
      <c r="A990">
        <v>49450</v>
      </c>
      <c r="B990" t="s">
        <v>21521</v>
      </c>
      <c r="C990" t="s">
        <v>21522</v>
      </c>
      <c r="D990" t="s">
        <v>21523</v>
      </c>
      <c r="E990" t="s">
        <v>21524</v>
      </c>
      <c r="F990" t="s">
        <v>21525</v>
      </c>
      <c r="G990" t="s">
        <v>21526</v>
      </c>
      <c r="H990">
        <f>-601.103031197437 -9.63344497734787 -836.54009685886</f>
        <v>-1447.2765730336448</v>
      </c>
      <c r="I990">
        <f>-554.536981382642 -33.1913676316381 -924.059368824723</f>
        <v>-1511.7877178390031</v>
      </c>
      <c r="J990" t="s">
        <v>21527</v>
      </c>
      <c r="K990" t="s">
        <v>21528</v>
      </c>
      <c r="L990" t="s">
        <v>21529</v>
      </c>
      <c r="M990" t="s">
        <v>21530</v>
      </c>
      <c r="N990">
        <f>-617.099566357967 -22.9491398435556 -764.98783445011</f>
        <v>-1405.0365406516325</v>
      </c>
      <c r="O990">
        <f>-646.095043766967 -157.279545522029 -712.625503520098</f>
        <v>-1516.000092809094</v>
      </c>
      <c r="P990">
        <f>-652.371882972707 -115.321165670638 -398.959749673633</f>
        <v>-1166.6527983169781</v>
      </c>
      <c r="Q990">
        <f>-402.607856092534 -52.0425743138995 -434.396936207206</f>
        <v>-889.0473666136395</v>
      </c>
      <c r="R990" t="s">
        <v>21531</v>
      </c>
      <c r="S990" t="s">
        <v>21532</v>
      </c>
      <c r="T990" t="s">
        <v>21533</v>
      </c>
      <c r="U990" t="s">
        <v>21534</v>
      </c>
      <c r="V990">
        <f>-627.535479762725 -18.5651335552571 -236.066560415941</f>
        <v>-882.16717373392316</v>
      </c>
      <c r="W990" t="s">
        <v>21535</v>
      </c>
      <c r="X990" t="s">
        <v>21536</v>
      </c>
      <c r="Y990" t="s">
        <v>21537</v>
      </c>
    </row>
    <row r="991" spans="1:25" x14ac:dyDescent="0.3">
      <c r="A991">
        <v>49500</v>
      </c>
      <c r="B991" t="s">
        <v>21538</v>
      </c>
      <c r="C991" t="s">
        <v>21539</v>
      </c>
      <c r="D991" t="s">
        <v>21540</v>
      </c>
      <c r="E991" t="s">
        <v>21541</v>
      </c>
      <c r="F991" t="s">
        <v>21542</v>
      </c>
      <c r="G991" t="s">
        <v>21543</v>
      </c>
      <c r="H991">
        <f>-601.634894772365 -9.46519015542051 -836.602105104246</f>
        <v>-1447.7021900320315</v>
      </c>
      <c r="I991">
        <f>-555.076890768242 -32.9789555944619 -924.137446549449</f>
        <v>-1512.1932929121531</v>
      </c>
      <c r="J991" t="s">
        <v>21544</v>
      </c>
      <c r="K991" t="s">
        <v>21545</v>
      </c>
      <c r="L991" t="s">
        <v>21546</v>
      </c>
      <c r="M991" t="s">
        <v>21547</v>
      </c>
      <c r="N991">
        <f>-617.652664387408 -22.8406099898578 -765.065847685477</f>
        <v>-1405.559122062743</v>
      </c>
      <c r="O991">
        <f>-646.693563509513 -157.183914088429 -712.815854112953</f>
        <v>-1516.6933317108951</v>
      </c>
      <c r="P991">
        <f>-653.052485071627 -115.4553059181 -399.121096437194</f>
        <v>-1167.628887426921</v>
      </c>
      <c r="Q991">
        <f>-403.318243052038 -52.0443385061261 -434.531883414265</f>
        <v>-889.89446497242909</v>
      </c>
      <c r="R991" t="s">
        <v>21548</v>
      </c>
      <c r="S991" t="s">
        <v>21549</v>
      </c>
      <c r="T991" t="s">
        <v>21550</v>
      </c>
      <c r="U991" t="s">
        <v>21551</v>
      </c>
      <c r="V991">
        <f>-627.955891716471 -18.7682208046083 -236.068843890566</f>
        <v>-882.79295641164526</v>
      </c>
      <c r="W991" t="s">
        <v>21552</v>
      </c>
      <c r="X991" t="s">
        <v>21553</v>
      </c>
      <c r="Y991" t="s">
        <v>21554</v>
      </c>
    </row>
    <row r="992" spans="1:25" x14ac:dyDescent="0.3">
      <c r="A992">
        <v>49550</v>
      </c>
      <c r="B992" t="s">
        <v>21555</v>
      </c>
      <c r="C992" t="s">
        <v>21556</v>
      </c>
      <c r="D992" t="s">
        <v>21557</v>
      </c>
      <c r="E992" t="s">
        <v>21558</v>
      </c>
      <c r="F992" t="s">
        <v>21559</v>
      </c>
      <c r="G992" t="s">
        <v>21560</v>
      </c>
      <c r="H992">
        <f>-602.8780026367 -9.36967887376772 -836.725944040168</f>
        <v>-1448.9736255506357</v>
      </c>
      <c r="I992">
        <f>-556.371465237547 -32.8313473113756 -924.302667054887</f>
        <v>-1513.5054796038096</v>
      </c>
      <c r="J992" t="s">
        <v>21561</v>
      </c>
      <c r="K992" t="s">
        <v>21562</v>
      </c>
      <c r="L992" t="s">
        <v>21563</v>
      </c>
      <c r="M992" t="s">
        <v>21564</v>
      </c>
      <c r="N992">
        <f>-618.933710354173 -22.8399017383585 -765.215981002906</f>
        <v>-1406.9895930954376</v>
      </c>
      <c r="O992">
        <f>-648.16916913444 -157.232967463647 -713.17166908962</f>
        <v>-1518.5738056877071</v>
      </c>
      <c r="P992">
        <f>-654.562947402223 -116.158498781879 -399.391180816023</f>
        <v>-1170.112627000125</v>
      </c>
      <c r="Q992">
        <f>-404.864091632074 -52.467800738515 -434.548536094703</f>
        <v>-891.88042846529197</v>
      </c>
      <c r="R992" t="s">
        <v>21565</v>
      </c>
      <c r="S992" t="s">
        <v>21566</v>
      </c>
      <c r="T992" t="s">
        <v>21567</v>
      </c>
      <c r="U992" t="s">
        <v>21568</v>
      </c>
      <c r="V992">
        <f>-628.631191342691 -19.3400379492849 -236.071485531268</f>
        <v>-884.04271482324384</v>
      </c>
      <c r="W992" t="s">
        <v>21569</v>
      </c>
      <c r="X992" t="s">
        <v>21570</v>
      </c>
      <c r="Y992" t="s">
        <v>21571</v>
      </c>
    </row>
    <row r="993" spans="1:25" x14ac:dyDescent="0.3">
      <c r="A993">
        <v>49600</v>
      </c>
      <c r="B993" t="s">
        <v>21572</v>
      </c>
      <c r="C993" t="s">
        <v>21573</v>
      </c>
      <c r="D993" t="s">
        <v>21574</v>
      </c>
      <c r="E993" t="s">
        <v>21575</v>
      </c>
      <c r="F993" t="s">
        <v>21576</v>
      </c>
      <c r="G993" t="s">
        <v>21577</v>
      </c>
      <c r="H993">
        <f>-603.443860726723 -9.17698434210099 -836.788460690604</f>
        <v>-1449.409305759428</v>
      </c>
      <c r="I993">
        <f>-556.973246268948 -32.5890151555276 -924.397518239748</f>
        <v>-1513.9597796642236</v>
      </c>
      <c r="J993" t="s">
        <v>21578</v>
      </c>
      <c r="K993" t="s">
        <v>21579</v>
      </c>
      <c r="L993" t="s">
        <v>21580</v>
      </c>
      <c r="M993" t="s">
        <v>21581</v>
      </c>
      <c r="N993">
        <f>-619.520076452673 -22.7242463347691 -765.29764860392</f>
        <v>-1407.541971391362</v>
      </c>
      <c r="O993">
        <f>-648.825083100925 -157.158044679144 -713.386144134883</f>
        <v>-1519.3692719149522</v>
      </c>
      <c r="P993">
        <f>-655.256822436844 -116.267041585116 -399.582378702019</f>
        <v>-1171.106242723979</v>
      </c>
      <c r="Q993">
        <f>-405.5798857838 -52.4400479031545 -434.647971494937</f>
        <v>-892.66790518189146</v>
      </c>
      <c r="R993" t="s">
        <v>21582</v>
      </c>
      <c r="S993" t="s">
        <v>21583</v>
      </c>
      <c r="T993" t="s">
        <v>21584</v>
      </c>
      <c r="U993" t="s">
        <v>21585</v>
      </c>
      <c r="V993">
        <f>-628.951585038605 -19.5674001709495 -236.057366662971</f>
        <v>-884.57635187252549</v>
      </c>
      <c r="W993" t="s">
        <v>21586</v>
      </c>
      <c r="X993" t="s">
        <v>21587</v>
      </c>
      <c r="Y993" t="s">
        <v>21588</v>
      </c>
    </row>
    <row r="994" spans="1:25" x14ac:dyDescent="0.3">
      <c r="A994">
        <v>49650</v>
      </c>
      <c r="B994" t="s">
        <v>21589</v>
      </c>
      <c r="C994" t="s">
        <v>21590</v>
      </c>
      <c r="D994" t="s">
        <v>21591</v>
      </c>
      <c r="E994" t="s">
        <v>21592</v>
      </c>
      <c r="F994" t="s">
        <v>21593</v>
      </c>
      <c r="G994" t="s">
        <v>21594</v>
      </c>
      <c r="H994">
        <f>-604.841763198582 -8.71941704744838 -836.951894928334</f>
        <v>-1450.5130751743645</v>
      </c>
      <c r="I994">
        <f>-558.447301485406 -32.0019922468733 -924.635737953602</f>
        <v>-1515.0850316858814</v>
      </c>
      <c r="J994" t="s">
        <v>21595</v>
      </c>
      <c r="K994" t="s">
        <v>21596</v>
      </c>
      <c r="L994" t="s">
        <v>21597</v>
      </c>
      <c r="M994" t="s">
        <v>21598</v>
      </c>
      <c r="N994">
        <f>-620.906134216148 -22.4387088286478 -765.491141279496</f>
        <v>-1408.8359843242918</v>
      </c>
      <c r="O994">
        <f>-650.202976719566 -156.953431969463 -713.791519198931</f>
        <v>-1520.9479278879598</v>
      </c>
      <c r="P994">
        <f>-656.75079880501 -116.548052411478 -399.927368463412</f>
        <v>-1173.2262196799002</v>
      </c>
      <c r="Q994">
        <f>-407.139561643659 -52.31882710504 -434.725088582314</f>
        <v>-894.18347733101302</v>
      </c>
      <c r="R994" t="s">
        <v>21599</v>
      </c>
      <c r="S994" t="s">
        <v>21600</v>
      </c>
      <c r="T994" t="s">
        <v>21601</v>
      </c>
      <c r="U994" t="s">
        <v>21602</v>
      </c>
      <c r="V994">
        <f>-629.684295884541 -20.1337938454199 -236.052086644872</f>
        <v>-885.87017637483291</v>
      </c>
      <c r="W994" t="s">
        <v>21603</v>
      </c>
      <c r="X994" t="s">
        <v>21604</v>
      </c>
      <c r="Y994" t="s">
        <v>21605</v>
      </c>
    </row>
    <row r="995" spans="1:25" x14ac:dyDescent="0.3">
      <c r="A995">
        <v>49700</v>
      </c>
      <c r="B995" t="s">
        <v>21606</v>
      </c>
      <c r="C995" t="s">
        <v>21607</v>
      </c>
      <c r="D995" t="s">
        <v>21608</v>
      </c>
      <c r="E995" t="s">
        <v>21609</v>
      </c>
      <c r="F995" t="s">
        <v>21610</v>
      </c>
      <c r="G995" t="s">
        <v>21611</v>
      </c>
      <c r="H995">
        <f>-605.613917390653 -8.5887413918193 -837.041121600185</f>
        <v>-1451.2437803826574</v>
      </c>
      <c r="I995">
        <f>-559.241325471222 -31.7938713546701 -924.757125064101</f>
        <v>-1515.7923218899932</v>
      </c>
      <c r="J995" t="s">
        <v>21612</v>
      </c>
      <c r="K995" t="s">
        <v>21613</v>
      </c>
      <c r="L995" t="s">
        <v>21614</v>
      </c>
      <c r="M995" t="s">
        <v>21615</v>
      </c>
      <c r="N995">
        <f>-621.67191674668 -22.3894590836051 -765.594608538706</f>
        <v>-1409.6559843689911</v>
      </c>
      <c r="O995">
        <f>-650.945472841428 -156.940021962985 -713.989004708273</f>
        <v>-1521.874499512686</v>
      </c>
      <c r="P995">
        <f>-657.501780219241 -116.738207275664 -400.098939392177</f>
        <v>-1174.3389268870819</v>
      </c>
      <c r="Q995">
        <f>-407.953680306685 -52.1853015745494 -434.750117367582</f>
        <v>-894.88909924881636</v>
      </c>
      <c r="R995" t="s">
        <v>21616</v>
      </c>
      <c r="S995" t="s">
        <v>21617</v>
      </c>
      <c r="T995" t="s">
        <v>21618</v>
      </c>
      <c r="U995" t="s">
        <v>21619</v>
      </c>
      <c r="V995">
        <f>-630.179276618138 -20.4672750585774 -236.056217619636</f>
        <v>-886.70276929635145</v>
      </c>
      <c r="W995" t="s">
        <v>21620</v>
      </c>
      <c r="X995" t="s">
        <v>21621</v>
      </c>
      <c r="Y995" t="s">
        <v>21622</v>
      </c>
    </row>
    <row r="996" spans="1:25" x14ac:dyDescent="0.3">
      <c r="A996">
        <v>49750</v>
      </c>
      <c r="B996" t="s">
        <v>21623</v>
      </c>
      <c r="C996" t="s">
        <v>21624</v>
      </c>
      <c r="D996" t="s">
        <v>21625</v>
      </c>
      <c r="E996" t="s">
        <v>21626</v>
      </c>
      <c r="F996" t="s">
        <v>21627</v>
      </c>
      <c r="G996" t="s">
        <v>21628</v>
      </c>
      <c r="H996">
        <f>-607.401052106325 -8.42767194471519 -837.113462765691</f>
        <v>-1452.942186816731</v>
      </c>
      <c r="I996">
        <f>-561.048563268242 -31.522951793248 -924.868955077541</f>
        <v>-1517.440470139031</v>
      </c>
      <c r="J996" t="s">
        <v>21629</v>
      </c>
      <c r="K996" t="s">
        <v>21630</v>
      </c>
      <c r="L996" t="s">
        <v>21631</v>
      </c>
      <c r="M996" t="s">
        <v>21632</v>
      </c>
      <c r="N996">
        <f>-623.441606021605 -22.3123836783179 -765.679315282252</f>
        <v>-1411.4333049821748</v>
      </c>
      <c r="O996">
        <f>-652.667484798974 -156.945057405632 -714.304417480065</f>
        <v>-1523.9169596846709</v>
      </c>
      <c r="P996">
        <f>-659.226607615826 -117.147234838698 -400.362849852622</f>
        <v>-1176.7366923071459</v>
      </c>
      <c r="Q996">
        <f>-409.820532389182 -51.9055492030698 -434.745718373752</f>
        <v>-896.4717999660038</v>
      </c>
      <c r="R996" t="s">
        <v>21633</v>
      </c>
      <c r="S996" t="s">
        <v>21634</v>
      </c>
      <c r="T996" t="s">
        <v>21635</v>
      </c>
      <c r="U996" t="s">
        <v>21636</v>
      </c>
      <c r="V996">
        <f>-631.242010124426 -20.8555565497685 -236.068373406693</f>
        <v>-888.16594008088748</v>
      </c>
      <c r="W996" t="s">
        <v>21637</v>
      </c>
      <c r="X996" t="s">
        <v>21638</v>
      </c>
      <c r="Y996" t="s">
        <v>21639</v>
      </c>
    </row>
    <row r="997" spans="1:25" x14ac:dyDescent="0.3">
      <c r="A997">
        <v>49800</v>
      </c>
      <c r="B997" t="s">
        <v>21640</v>
      </c>
      <c r="C997" t="s">
        <v>21641</v>
      </c>
      <c r="D997" t="s">
        <v>21642</v>
      </c>
      <c r="E997" t="s">
        <v>21643</v>
      </c>
      <c r="F997" t="s">
        <v>21644</v>
      </c>
      <c r="G997" t="s">
        <v>21645</v>
      </c>
      <c r="H997">
        <f>-608.132579296102 -8.97811090241382 -837.08973660825</f>
        <v>-1454.2004268067658</v>
      </c>
      <c r="I997">
        <f>-561.796244552174 -32.0987937311692 -924.847221023358</f>
        <v>-1518.7422593067013</v>
      </c>
      <c r="J997" t="s">
        <v>21646</v>
      </c>
      <c r="K997" t="s">
        <v>21647</v>
      </c>
      <c r="L997" t="s">
        <v>21648</v>
      </c>
      <c r="M997" t="s">
        <v>21649</v>
      </c>
      <c r="N997">
        <f>-624.121022420557 -22.8091046818372 -765.63355206002</f>
        <v>-1412.5636791624142</v>
      </c>
      <c r="O997">
        <f>-653.330809930205 -157.457413444529 -714.294145195836</f>
        <v>-1525.08236857057</v>
      </c>
      <c r="P997">
        <f>-659.844569894687 -117.759312061761 -400.339021404257</f>
        <v>-1177.9429033607048</v>
      </c>
      <c r="Q997">
        <f>-410.465260271438 -52.3784629070316 -434.651776348963</f>
        <v>-897.49549952743257</v>
      </c>
      <c r="R997" t="s">
        <v>21650</v>
      </c>
      <c r="S997" t="s">
        <v>21651</v>
      </c>
      <c r="T997" t="s">
        <v>21652</v>
      </c>
      <c r="U997" t="s">
        <v>21653</v>
      </c>
      <c r="V997">
        <f>-631.695382023029 -21.2065763013081 -236.085992621075</f>
        <v>-888.98795094541208</v>
      </c>
      <c r="W997" t="s">
        <v>21654</v>
      </c>
      <c r="X997" t="s">
        <v>21655</v>
      </c>
      <c r="Y997" t="s">
        <v>21656</v>
      </c>
    </row>
    <row r="998" spans="1:25" x14ac:dyDescent="0.3">
      <c r="A998">
        <v>49850</v>
      </c>
      <c r="B998" t="s">
        <v>21657</v>
      </c>
      <c r="C998" t="s">
        <v>21658</v>
      </c>
      <c r="D998" t="s">
        <v>21659</v>
      </c>
      <c r="E998" t="s">
        <v>21660</v>
      </c>
      <c r="F998" t="s">
        <v>21661</v>
      </c>
      <c r="G998" t="s">
        <v>21662</v>
      </c>
      <c r="H998">
        <f>-609.106711320448 -10.2952491387665 -837.020733604308</f>
        <v>-1456.4226940635226</v>
      </c>
      <c r="I998">
        <f>-562.795426475688 -33.543310023634 -924.757738678044</f>
        <v>-1521.0964751773661</v>
      </c>
      <c r="J998" t="s">
        <v>21663</v>
      </c>
      <c r="K998" t="s">
        <v>21664</v>
      </c>
      <c r="L998" t="s">
        <v>21665</v>
      </c>
      <c r="M998" t="s">
        <v>21666</v>
      </c>
      <c r="N998">
        <f>-625.018697037543 -23.9526701023297 -765.514154999191</f>
        <v>-1414.4855221390635</v>
      </c>
      <c r="O998">
        <f>-654.284470400205 -158.580592877633 -714.087396162738</f>
        <v>-1526.9524594405759</v>
      </c>
      <c r="P998">
        <f>-660.437820282161 -118.550600671968 -400.167141194289</f>
        <v>-1179.1555621484181</v>
      </c>
      <c r="Q998">
        <f>-410.996277628894 -53.5953050220227 -434.834193514023</f>
        <v>-899.42577616493975</v>
      </c>
      <c r="R998" t="s">
        <v>21667</v>
      </c>
      <c r="S998" t="s">
        <v>21668</v>
      </c>
      <c r="T998" t="s">
        <v>21669</v>
      </c>
      <c r="U998" t="s">
        <v>21670</v>
      </c>
      <c r="V998">
        <f>-632.619526218 -21.7838461982527 -236.115116257023</f>
        <v>-890.51848867327578</v>
      </c>
      <c r="W998" t="s">
        <v>21671</v>
      </c>
      <c r="X998" t="s">
        <v>21672</v>
      </c>
      <c r="Y998" t="s">
        <v>21673</v>
      </c>
    </row>
    <row r="999" spans="1:25" x14ac:dyDescent="0.3">
      <c r="A999">
        <v>49900</v>
      </c>
      <c r="B999" t="s">
        <v>21674</v>
      </c>
      <c r="C999" t="s">
        <v>21675</v>
      </c>
      <c r="D999" t="s">
        <v>21676</v>
      </c>
      <c r="E999" t="s">
        <v>21677</v>
      </c>
      <c r="F999" t="s">
        <v>21678</v>
      </c>
      <c r="G999" t="s">
        <v>21679</v>
      </c>
      <c r="H999">
        <f>-609.305278381011 -10.8694055990389 -836.935267101338</f>
        <v>-1457.1099510813879</v>
      </c>
      <c r="I999">
        <f>-562.991361286541 -34.1922177338692 -924.650990324055</f>
        <v>-1521.8345693444653</v>
      </c>
      <c r="J999" t="s">
        <v>21680</v>
      </c>
      <c r="K999" t="s">
        <v>21681</v>
      </c>
      <c r="L999" t="s">
        <v>21682</v>
      </c>
      <c r="M999" t="s">
        <v>21683</v>
      </c>
      <c r="N999">
        <f>-625.229737985445 -24.4579429520057 -765.41820483732</f>
        <v>-1415.1058857747707</v>
      </c>
      <c r="O999">
        <f>-654.586104925799 -159.032003227209 -713.899914368523</f>
        <v>-1527.5180225215308</v>
      </c>
      <c r="P999">
        <f>-660.46011055269 -118.958644716219 -399.979849287035</f>
        <v>-1179.3986045559441</v>
      </c>
      <c r="Q999">
        <f>-410.965200103624 -54.3302977695978 -434.872929072688</f>
        <v>-900.1684269459098</v>
      </c>
      <c r="R999" t="s">
        <v>21684</v>
      </c>
      <c r="S999" t="s">
        <v>21685</v>
      </c>
      <c r="T999" t="s">
        <v>21686</v>
      </c>
      <c r="U999" t="s">
        <v>21687</v>
      </c>
      <c r="V999">
        <f>-632.968851198344 -22.1160179770629 -236.105675053666</f>
        <v>-891.190544229073</v>
      </c>
      <c r="W999" t="s">
        <v>21688</v>
      </c>
      <c r="X999" t="s">
        <v>21689</v>
      </c>
      <c r="Y999" t="s">
        <v>21690</v>
      </c>
    </row>
    <row r="1000" spans="1:25" x14ac:dyDescent="0.3">
      <c r="A1000">
        <v>49950</v>
      </c>
      <c r="B1000" t="s">
        <v>21691</v>
      </c>
      <c r="C1000" t="s">
        <v>21692</v>
      </c>
      <c r="D1000" t="s">
        <v>21693</v>
      </c>
      <c r="E1000" t="s">
        <v>21694</v>
      </c>
      <c r="F1000" t="s">
        <v>21695</v>
      </c>
      <c r="G1000" t="s">
        <v>21696</v>
      </c>
      <c r="H1000">
        <f>-609.776607781142 -11.6126709050281 -836.762221685055</f>
        <v>-1458.1515003712252</v>
      </c>
      <c r="I1000">
        <f>-563.41485509513 -35.0741324620535 -924.4156298088</f>
        <v>-1522.9046173659835</v>
      </c>
      <c r="J1000" t="s">
        <v>21697</v>
      </c>
      <c r="K1000" t="s">
        <v>21698</v>
      </c>
      <c r="L1000" t="s">
        <v>21699</v>
      </c>
      <c r="M1000" t="s">
        <v>21700</v>
      </c>
      <c r="N1000">
        <f>-625.694366318805 -25.1015103879876 -765.224735178826</f>
        <v>-1416.0206118856186</v>
      </c>
      <c r="O1000">
        <f>-654.937415379596 -159.644760796862 -713.58530986069</f>
        <v>-1528.1674860371481</v>
      </c>
      <c r="P1000">
        <f>-660.756392460032 -119.217085762873 -399.709661441996</f>
        <v>-1179.6831396649009</v>
      </c>
      <c r="Q1000">
        <f>-411.201630563434 -55.0651436105822 -435.051015296096</f>
        <v>-901.31778947011219</v>
      </c>
      <c r="R1000" t="s">
        <v>21701</v>
      </c>
      <c r="S1000" t="s">
        <v>21702</v>
      </c>
      <c r="T1000" t="s">
        <v>21703</v>
      </c>
      <c r="U1000" t="s">
        <v>21704</v>
      </c>
      <c r="V1000">
        <f>-633.564604351916 -22.4889946074003 -236.08173965638</f>
        <v>-892.13533861569636</v>
      </c>
      <c r="W1000" t="s">
        <v>21705</v>
      </c>
      <c r="X1000" t="s">
        <v>21706</v>
      </c>
      <c r="Y1000" t="s">
        <v>21707</v>
      </c>
    </row>
    <row r="1001" spans="1:25" x14ac:dyDescent="0.3">
      <c r="A1001">
        <v>50000</v>
      </c>
      <c r="B1001" t="s">
        <v>21708</v>
      </c>
      <c r="C1001" t="s">
        <v>21709</v>
      </c>
      <c r="D1001" t="s">
        <v>21710</v>
      </c>
      <c r="E1001" t="s">
        <v>21711</v>
      </c>
      <c r="F1001" t="s">
        <v>21712</v>
      </c>
      <c r="G1001" t="s">
        <v>21713</v>
      </c>
      <c r="H1001">
        <f>-609.978563547025 -11.8802431786261 -836.650399168796</f>
        <v>-1458.5092058944469</v>
      </c>
      <c r="I1001">
        <f>-563.598177910919 -35.3983831836545 -924.278882858576</f>
        <v>-1523.2754439531495</v>
      </c>
      <c r="J1001" t="s">
        <v>21714</v>
      </c>
      <c r="K1001" t="s">
        <v>21715</v>
      </c>
      <c r="L1001" t="s">
        <v>21716</v>
      </c>
      <c r="M1001" t="s">
        <v>21717</v>
      </c>
      <c r="N1001">
        <f>-625.907987812625 -25.3296784800128 -765.108335367445</f>
        <v>-1416.3460016600829</v>
      </c>
      <c r="O1001">
        <f>-655.199191115769 -159.84328915251 -713.415168731426</f>
        <v>-1528.457648999705</v>
      </c>
      <c r="P1001">
        <f>-660.88298623252 -119.424132447595 -399.535849816728</f>
        <v>-1179.842968496843</v>
      </c>
      <c r="Q1001">
        <f>-411.314295889188 -55.3891281126668 -434.990785575015</f>
        <v>-901.69420957686975</v>
      </c>
      <c r="R1001" t="s">
        <v>21718</v>
      </c>
      <c r="S1001" t="s">
        <v>21719</v>
      </c>
      <c r="T1001" t="s">
        <v>21720</v>
      </c>
      <c r="U1001" t="s">
        <v>21721</v>
      </c>
      <c r="V1001">
        <f>-633.794550732255 -22.6379513386017 -236.059805180179</f>
        <v>-892.49230725103575</v>
      </c>
      <c r="W1001" t="s">
        <v>21722</v>
      </c>
      <c r="X1001" t="s">
        <v>21723</v>
      </c>
      <c r="Y1001" t="s">
        <v>21724</v>
      </c>
    </row>
    <row r="1002" spans="1:25" x14ac:dyDescent="0.3">
      <c r="A1002">
        <v>50050</v>
      </c>
      <c r="B1002" t="s">
        <v>21725</v>
      </c>
      <c r="C1002" t="s">
        <v>21726</v>
      </c>
      <c r="D1002" t="s">
        <v>21727</v>
      </c>
      <c r="E1002" t="s">
        <v>21728</v>
      </c>
      <c r="F1002" t="s">
        <v>21729</v>
      </c>
      <c r="G1002" t="s">
        <v>21730</v>
      </c>
      <c r="H1002">
        <f>-610.384641025051 -12.6012541866248 -836.48384252767</f>
        <v>-1459.4697377393459</v>
      </c>
      <c r="I1002">
        <f>-563.988597819182 -36.2447269046612 -924.070104807072</f>
        <v>-1524.3034295309153</v>
      </c>
      <c r="J1002" t="s">
        <v>21731</v>
      </c>
      <c r="K1002" t="s">
        <v>21732</v>
      </c>
      <c r="L1002" t="s">
        <v>21733</v>
      </c>
      <c r="M1002" t="s">
        <v>21734</v>
      </c>
      <c r="N1002">
        <f>-626.328414820405 -25.9462515066299 -764.925255343549</f>
        <v>-1417.199921670584</v>
      </c>
      <c r="O1002">
        <f>-655.706382822246 -160.390267585568 -713.103076580386</f>
        <v>-1529.1997269881999</v>
      </c>
      <c r="P1002">
        <f>-661.107072493282 -119.477969335185 -399.282587454643</f>
        <v>-1179.8676292831101</v>
      </c>
      <c r="Q1002">
        <f>-411.453911088354 -55.8569560037222 -434.887615559047</f>
        <v>-902.19848265112319</v>
      </c>
      <c r="R1002" t="s">
        <v>21735</v>
      </c>
      <c r="S1002" t="s">
        <v>21736</v>
      </c>
      <c r="T1002" t="s">
        <v>21737</v>
      </c>
      <c r="U1002" t="s">
        <v>21738</v>
      </c>
      <c r="V1002">
        <f>-634.143371155907 -22.9339073901125 -236.01448918424</f>
        <v>-893.09176773025945</v>
      </c>
      <c r="W1002" t="s">
        <v>21739</v>
      </c>
      <c r="X1002" t="s">
        <v>21740</v>
      </c>
      <c r="Y1002" t="s">
        <v>21741</v>
      </c>
    </row>
    <row r="1003" spans="1:25" x14ac:dyDescent="0.3">
      <c r="A1003">
        <v>50100</v>
      </c>
      <c r="B1003" t="s">
        <v>21742</v>
      </c>
      <c r="C1003" t="s">
        <v>21743</v>
      </c>
      <c r="D1003" t="s">
        <v>21744</v>
      </c>
      <c r="E1003" t="s">
        <v>21745</v>
      </c>
      <c r="F1003" t="s">
        <v>21746</v>
      </c>
      <c r="G1003" t="s">
        <v>21747</v>
      </c>
      <c r="H1003">
        <f>-610.494044422074 -12.885459070341 -836.438015641029</f>
        <v>-1459.817519133444</v>
      </c>
      <c r="I1003">
        <f>-564.131942782108 -36.5767193670212 -924.029378368475</f>
        <v>-1524.7380405176041</v>
      </c>
      <c r="J1003" t="s">
        <v>21748</v>
      </c>
      <c r="K1003" t="s">
        <v>21749</v>
      </c>
      <c r="L1003" t="s">
        <v>21750</v>
      </c>
      <c r="M1003" t="s">
        <v>21751</v>
      </c>
      <c r="N1003">
        <f>-626.477899132458 -26.1829841469189 -764.879431194906</f>
        <v>-1417.5403144742829</v>
      </c>
      <c r="O1003">
        <f>-655.99007306669 -160.569220187519 -712.968813214268</f>
        <v>-1529.5281064684771</v>
      </c>
      <c r="P1003">
        <f>-661.227278708874 -119.463341603939 -399.171102645713</f>
        <v>-1179.8617229585261</v>
      </c>
      <c r="Q1003">
        <f>-411.5289155159 -56.1077196450125 -434.93189964775</f>
        <v>-902.56853480866243</v>
      </c>
      <c r="R1003" t="s">
        <v>21752</v>
      </c>
      <c r="S1003" t="s">
        <v>21753</v>
      </c>
      <c r="T1003" t="s">
        <v>21754</v>
      </c>
      <c r="U1003" t="s">
        <v>21755</v>
      </c>
      <c r="V1003">
        <f>-634.371303269518 -23.0603652938591 -235.991830344773</f>
        <v>-893.42349890815012</v>
      </c>
      <c r="W1003" t="s">
        <v>21756</v>
      </c>
      <c r="X1003" t="s">
        <v>21757</v>
      </c>
      <c r="Y1003" t="s">
        <v>21758</v>
      </c>
    </row>
    <row r="1004" spans="1:25" x14ac:dyDescent="0.3">
      <c r="A1004">
        <v>50150</v>
      </c>
      <c r="B1004" t="s">
        <v>21759</v>
      </c>
      <c r="C1004" t="s">
        <v>21760</v>
      </c>
      <c r="D1004" t="s">
        <v>21761</v>
      </c>
      <c r="E1004" t="s">
        <v>21762</v>
      </c>
      <c r="F1004" t="s">
        <v>21763</v>
      </c>
      <c r="G1004" t="s">
        <v>21764</v>
      </c>
      <c r="H1004">
        <f>-610.150646974267 -12.9745523455564 -836.519193632368</f>
        <v>-1459.6443929521915</v>
      </c>
      <c r="I1004">
        <f>-563.898513780985 -36.6193613425145 -924.18127864496</f>
        <v>-1524.6991537684594</v>
      </c>
      <c r="J1004" t="s">
        <v>21765</v>
      </c>
      <c r="K1004" t="s">
        <v>21766</v>
      </c>
      <c r="L1004" t="s">
        <v>21767</v>
      </c>
      <c r="M1004" t="s">
        <v>21768</v>
      </c>
      <c r="N1004">
        <f>-626.139992611019 -26.3913593105254 -764.984140878278</f>
        <v>-1417.5154927998224</v>
      </c>
      <c r="O1004">
        <f>-655.561027459991 -160.797262736864 -713.04140576859</f>
        <v>-1529.3996959654451</v>
      </c>
      <c r="P1004">
        <f>-660.797746146124 -119.516804230845 -399.266545632686</f>
        <v>-1179.5810960096551</v>
      </c>
      <c r="Q1004">
        <f>-411.0966740535 -56.3919957088387 -435.414981594669</f>
        <v>-902.90365135700767</v>
      </c>
      <c r="R1004" t="s">
        <v>21769</v>
      </c>
      <c r="S1004" t="s">
        <v>21770</v>
      </c>
      <c r="T1004" t="s">
        <v>21771</v>
      </c>
      <c r="U1004" t="s">
        <v>21772</v>
      </c>
      <c r="V1004">
        <f>-634.689917169114 -23.8015125320487 -235.970790284007</f>
        <v>-894.46221998516967</v>
      </c>
      <c r="W1004" t="s">
        <v>21773</v>
      </c>
      <c r="X1004" t="s">
        <v>21774</v>
      </c>
      <c r="Y1004" t="s">
        <v>21775</v>
      </c>
    </row>
    <row r="1005" spans="1:25" x14ac:dyDescent="0.3">
      <c r="A1005">
        <v>50200</v>
      </c>
      <c r="B1005" t="s">
        <v>21776</v>
      </c>
      <c r="C1005" t="s">
        <v>21777</v>
      </c>
      <c r="D1005" t="s">
        <v>21778</v>
      </c>
      <c r="E1005" t="s">
        <v>21779</v>
      </c>
      <c r="F1005" t="s">
        <v>21780</v>
      </c>
      <c r="G1005" t="s">
        <v>21781</v>
      </c>
      <c r="H1005">
        <f>-609.848746287123 -12.7396896320234 -836.550504590125</f>
        <v>-1459.1389405092714</v>
      </c>
      <c r="I1005">
        <f>-563.588170616926 -36.2622701620528 -924.241037789047</f>
        <v>-1524.0914785680259</v>
      </c>
      <c r="J1005" t="s">
        <v>21782</v>
      </c>
      <c r="K1005" t="s">
        <v>21783</v>
      </c>
      <c r="L1005" t="s">
        <v>21784</v>
      </c>
      <c r="M1005" t="s">
        <v>21785</v>
      </c>
      <c r="N1005">
        <f>-625.859918289118 -26.3015094860818 -765.04768125073</f>
        <v>-1417.2091090259298</v>
      </c>
      <c r="O1005">
        <f>-655.134895296419 -160.787388180278 -713.237365057461</f>
        <v>-1529.1596485341579</v>
      </c>
      <c r="P1005">
        <f>-660.444514253518 -119.557576266289 -399.457010674146</f>
        <v>-1179.4591011939531</v>
      </c>
      <c r="Q1005">
        <f>-410.855460573707 -56.2042632250931 -435.976830921511</f>
        <v>-903.03655472031107</v>
      </c>
      <c r="R1005" t="s">
        <v>21786</v>
      </c>
      <c r="S1005" t="s">
        <v>21787</v>
      </c>
      <c r="T1005" t="s">
        <v>21788</v>
      </c>
      <c r="U1005" t="s">
        <v>21789</v>
      </c>
      <c r="V1005">
        <f>-634.792608168773 -24.3216723698322 -235.921759206225</f>
        <v>-895.03603974483019</v>
      </c>
      <c r="W1005" t="s">
        <v>21790</v>
      </c>
      <c r="X1005" t="s">
        <v>21791</v>
      </c>
      <c r="Y1005" t="s">
        <v>21792</v>
      </c>
    </row>
    <row r="1006" spans="1:25" x14ac:dyDescent="0.3">
      <c r="A1006">
        <v>50250</v>
      </c>
      <c r="B1006" t="s">
        <v>21793</v>
      </c>
      <c r="C1006" t="s">
        <v>21794</v>
      </c>
      <c r="D1006" t="s">
        <v>21795</v>
      </c>
      <c r="E1006" t="s">
        <v>21796</v>
      </c>
      <c r="F1006" t="s">
        <v>21797</v>
      </c>
      <c r="G1006" t="s">
        <v>21798</v>
      </c>
      <c r="H1006">
        <f>-608.596548116185 -11.6145500972834 -836.677319063189</f>
        <v>-1456.8884172766575</v>
      </c>
      <c r="I1006">
        <f>-562.268415375924 -34.7326844442347 -924.439710702699</f>
        <v>-1521.4408105228576</v>
      </c>
      <c r="J1006" t="s">
        <v>21799</v>
      </c>
      <c r="K1006" t="s">
        <v>21800</v>
      </c>
      <c r="L1006" t="s">
        <v>21801</v>
      </c>
      <c r="M1006" t="s">
        <v>21802</v>
      </c>
      <c r="N1006">
        <f>-624.737454957999 -25.589818214061 -765.283394434453</f>
        <v>-1415.6106676065131</v>
      </c>
      <c r="O1006">
        <f>-653.795989657545 -160.230616328228 -713.847068258632</f>
        <v>-1527.8736742444048</v>
      </c>
      <c r="P1006">
        <f>-659.219834241578 -120.389746597454 -399.889406703677</f>
        <v>-1179.4989875427091</v>
      </c>
      <c r="Q1006">
        <f>-409.87731680943 -56.0584774685743 -436.383677921974</f>
        <v>-902.31947219997835</v>
      </c>
      <c r="R1006" t="s">
        <v>21803</v>
      </c>
      <c r="S1006" t="s">
        <v>21804</v>
      </c>
      <c r="T1006" t="s">
        <v>21805</v>
      </c>
      <c r="U1006" t="s">
        <v>21806</v>
      </c>
      <c r="V1006">
        <f>-634.876529200369 -25.4320347465596 -235.8391825039</f>
        <v>-896.14774645082855</v>
      </c>
      <c r="W1006" t="s">
        <v>21807</v>
      </c>
      <c r="X1006" t="s">
        <v>21808</v>
      </c>
      <c r="Y1006" t="s">
        <v>21809</v>
      </c>
    </row>
    <row r="1007" spans="1:25" x14ac:dyDescent="0.3">
      <c r="A1007">
        <v>50300</v>
      </c>
      <c r="B1007" t="s">
        <v>21810</v>
      </c>
      <c r="C1007" t="s">
        <v>21811</v>
      </c>
      <c r="D1007" t="s">
        <v>21812</v>
      </c>
      <c r="E1007" t="s">
        <v>21813</v>
      </c>
      <c r="F1007" t="s">
        <v>21814</v>
      </c>
      <c r="G1007" t="s">
        <v>21815</v>
      </c>
      <c r="H1007">
        <f>-607.873961555663 -11.3620546375171 -836.716062869222</f>
        <v>-1455.9520790624019</v>
      </c>
      <c r="I1007">
        <f>-561.479839956424 -34.2821956562374 -924.495612631974</f>
        <v>-1520.2576482446354</v>
      </c>
      <c r="J1007" t="s">
        <v>21816</v>
      </c>
      <c r="K1007" t="s">
        <v>21817</v>
      </c>
      <c r="L1007" t="s">
        <v>21818</v>
      </c>
      <c r="M1007" t="s">
        <v>21819</v>
      </c>
      <c r="N1007">
        <f>-624.041794887481 -25.496070445896 -765.359596661823</f>
        <v>-1414.8974619952</v>
      </c>
      <c r="O1007">
        <f>-652.759022365488 -160.30039616466 -714.118386072141</f>
        <v>-1527.1778046022891</v>
      </c>
      <c r="P1007">
        <f>-658.58030571091 -121.178647477255 -400.077354698196</f>
        <v>-1179.8363078863611</v>
      </c>
      <c r="Q1007">
        <f>-409.386319913959 -56.2482942805553 -436.525346208272</f>
        <v>-902.15996040278628</v>
      </c>
      <c r="R1007" t="s">
        <v>21820</v>
      </c>
      <c r="S1007" t="s">
        <v>21821</v>
      </c>
      <c r="T1007" t="s">
        <v>21822</v>
      </c>
      <c r="U1007" t="s">
        <v>21823</v>
      </c>
      <c r="V1007">
        <f>-634.838602933011 -26.0799691992974 -235.822002246807</f>
        <v>-896.74057437911529</v>
      </c>
      <c r="W1007" t="s">
        <v>21824</v>
      </c>
      <c r="X1007" t="s">
        <v>21825</v>
      </c>
      <c r="Y1007" t="s">
        <v>21826</v>
      </c>
    </row>
    <row r="1008" spans="1:25" x14ac:dyDescent="0.3">
      <c r="A1008">
        <v>50350</v>
      </c>
      <c r="B1008" t="s">
        <v>21827</v>
      </c>
      <c r="C1008" t="s">
        <v>21828</v>
      </c>
      <c r="D1008" t="s">
        <v>21829</v>
      </c>
      <c r="E1008" t="s">
        <v>21830</v>
      </c>
      <c r="F1008" t="s">
        <v>21831</v>
      </c>
      <c r="G1008" t="s">
        <v>21832</v>
      </c>
      <c r="H1008">
        <f>-607.148669769272 -10.5064552339312 -836.933224872124</f>
        <v>-1454.5883498753274</v>
      </c>
      <c r="I1008">
        <f>-560.695814047647 -32.9009018592933 -924.817219100039</f>
        <v>-1518.4139350069793</v>
      </c>
      <c r="J1008" t="s">
        <v>21833</v>
      </c>
      <c r="K1008" t="s">
        <v>21834</v>
      </c>
      <c r="L1008" t="s">
        <v>21835</v>
      </c>
      <c r="M1008" t="s">
        <v>21836</v>
      </c>
      <c r="N1008">
        <f>-623.19614202401 -25.0265512371768 -765.627131737108</f>
        <v>-1413.8498249982949</v>
      </c>
      <c r="O1008">
        <f>-651.092068278805 -160.17278501035 -714.804827658278</f>
        <v>-1526.069680947433</v>
      </c>
      <c r="P1008">
        <f>-657.431050517342 -122.13549498149 -400.640670088491</f>
        <v>-1180.2072155873229</v>
      </c>
      <c r="Q1008">
        <f>-408.552394933217 -56.0261820318982 -437.123773912405</f>
        <v>-901.70235087752019</v>
      </c>
      <c r="R1008" t="s">
        <v>21837</v>
      </c>
      <c r="S1008" t="s">
        <v>21838</v>
      </c>
      <c r="T1008" t="s">
        <v>21839</v>
      </c>
      <c r="U1008" t="s">
        <v>21840</v>
      </c>
      <c r="V1008">
        <f>-634.501821612117 -27.0589546831178 -235.798019453066</f>
        <v>-897.35879574830085</v>
      </c>
      <c r="W1008" t="s">
        <v>21841</v>
      </c>
      <c r="X1008" t="s">
        <v>21842</v>
      </c>
      <c r="Y1008" t="s">
        <v>21843</v>
      </c>
    </row>
    <row r="1009" spans="1:25" x14ac:dyDescent="0.3">
      <c r="A1009">
        <v>50400</v>
      </c>
      <c r="B1009" t="s">
        <v>21844</v>
      </c>
      <c r="C1009" t="s">
        <v>21845</v>
      </c>
      <c r="D1009" t="s">
        <v>21846</v>
      </c>
      <c r="E1009" t="s">
        <v>21847</v>
      </c>
      <c r="F1009" t="s">
        <v>21848</v>
      </c>
      <c r="G1009" t="s">
        <v>21849</v>
      </c>
      <c r="H1009">
        <f>-606.759181644239 -9.75779926578775 -837.073485584274</f>
        <v>-1453.5904664943007</v>
      </c>
      <c r="I1009">
        <f>-560.242293625893 -31.8381256234125 -925.003062526451</f>
        <v>-1517.0834817757564</v>
      </c>
      <c r="J1009" t="s">
        <v>21850</v>
      </c>
      <c r="K1009" t="s">
        <v>21851</v>
      </c>
      <c r="L1009" t="s">
        <v>21852</v>
      </c>
      <c r="M1009" t="s">
        <v>21853</v>
      </c>
      <c r="N1009">
        <f>-622.786017351343 -24.5163272257079 -765.811654079531</f>
        <v>-1413.1139986565818</v>
      </c>
      <c r="O1009">
        <f>-650.344174531777 -159.807915155322 -715.197858993175</f>
        <v>-1525.3499486802739</v>
      </c>
      <c r="P1009">
        <f>-656.595094429342 -122.307927279293 -400.967214113536</f>
        <v>-1179.870235822171</v>
      </c>
      <c r="Q1009">
        <f>-407.883390318238 -55.6324516642484 -437.558494069188</f>
        <v>-901.07433605167444</v>
      </c>
      <c r="R1009" t="s">
        <v>21854</v>
      </c>
      <c r="S1009" t="s">
        <v>21855</v>
      </c>
      <c r="T1009" t="s">
        <v>21856</v>
      </c>
      <c r="U1009" t="s">
        <v>21857</v>
      </c>
      <c r="V1009">
        <f>-634.340061008122 -27.43166715339 -235.779300390988</f>
        <v>-897.55102855249993</v>
      </c>
      <c r="W1009" t="s">
        <v>21858</v>
      </c>
      <c r="X1009" t="s">
        <v>21859</v>
      </c>
      <c r="Y1009" t="s">
        <v>21860</v>
      </c>
    </row>
    <row r="1010" spans="1:25" x14ac:dyDescent="0.3">
      <c r="A1010">
        <v>50450</v>
      </c>
      <c r="B1010" t="s">
        <v>21861</v>
      </c>
      <c r="C1010" t="s">
        <v>21862</v>
      </c>
      <c r="D1010" t="s">
        <v>21863</v>
      </c>
      <c r="E1010" t="s">
        <v>21864</v>
      </c>
      <c r="F1010" t="s">
        <v>21865</v>
      </c>
      <c r="G1010" t="s">
        <v>21866</v>
      </c>
      <c r="H1010">
        <f>-606.518613299252 -8.00833615023978 -837.313003239638</f>
        <v>-1451.8399526891299</v>
      </c>
      <c r="I1010">
        <f>-559.940899989967 -29.5182686494141 -925.351732183752</f>
        <v>-1514.8109008231331</v>
      </c>
      <c r="J1010" t="s">
        <v>21867</v>
      </c>
      <c r="K1010" t="s">
        <v>21868</v>
      </c>
      <c r="L1010" t="s">
        <v>21869</v>
      </c>
      <c r="M1010" t="s">
        <v>21870</v>
      </c>
      <c r="N1010">
        <f>-622.478882783906 -23.2578282592821 -766.139501495177</f>
        <v>-1411.8762125383651</v>
      </c>
      <c r="O1010">
        <f>-649.31996281298 -158.912097756375 -716.125201857324</f>
        <v>-1524.357262426679</v>
      </c>
      <c r="P1010">
        <f>-655.973168511041 -122.795205216537 -401.740926822786</f>
        <v>-1180.5093005503638</v>
      </c>
      <c r="Q1010">
        <f>-407.743036340427 -54.3060258010646 -438.252625276981</f>
        <v>-900.30168741847262</v>
      </c>
      <c r="R1010" t="s">
        <v>21871</v>
      </c>
      <c r="S1010" t="s">
        <v>21872</v>
      </c>
      <c r="T1010" t="s">
        <v>21873</v>
      </c>
      <c r="U1010" t="s">
        <v>21874</v>
      </c>
      <c r="V1010">
        <f>-634.042844660181 -27.9710885491697 -235.729111110878</f>
        <v>-897.74304432022871</v>
      </c>
      <c r="W1010" t="s">
        <v>21875</v>
      </c>
      <c r="X1010" t="s">
        <v>21876</v>
      </c>
      <c r="Y1010" t="s">
        <v>21877</v>
      </c>
    </row>
    <row r="1011" spans="1:25" x14ac:dyDescent="0.3">
      <c r="A1011">
        <v>50500</v>
      </c>
      <c r="B1011" t="s">
        <v>21878</v>
      </c>
      <c r="C1011" t="s">
        <v>21879</v>
      </c>
      <c r="D1011" t="s">
        <v>21880</v>
      </c>
      <c r="E1011" t="s">
        <v>21881</v>
      </c>
      <c r="F1011" t="s">
        <v>21882</v>
      </c>
      <c r="G1011" t="s">
        <v>21883</v>
      </c>
      <c r="H1011">
        <f>-606.143123994651 -5.82457731487308 -837.441135622509</f>
        <v>-1449.408836932033</v>
      </c>
      <c r="I1011">
        <f>-559.542095434121 -26.7198356878687 -925.615544527635</f>
        <v>-1511.8774756496248</v>
      </c>
      <c r="J1011" t="s">
        <v>21884</v>
      </c>
      <c r="K1011" t="s">
        <v>21885</v>
      </c>
      <c r="L1011" t="s">
        <v>21886</v>
      </c>
      <c r="M1011" t="s">
        <v>21887</v>
      </c>
      <c r="N1011">
        <f>-622.113737128653 -21.5939494913566 -766.383604329808</f>
        <v>-1410.0912909498177</v>
      </c>
      <c r="O1011">
        <f>-648.255502396803 -157.645594298646 -717.080961005529</f>
        <v>-1522.982057700978</v>
      </c>
      <c r="P1011">
        <f>-655.705035189714 -123.004426676925 -402.548407447038</f>
        <v>-1181.257869313677</v>
      </c>
      <c r="Q1011">
        <f>-407.90447273486 -52.6442592563796 -438.414742263023</f>
        <v>-898.96347425426256</v>
      </c>
      <c r="R1011" t="s">
        <v>21888</v>
      </c>
      <c r="S1011" t="s">
        <v>21889</v>
      </c>
      <c r="T1011" t="s">
        <v>21890</v>
      </c>
      <c r="U1011" t="s">
        <v>21891</v>
      </c>
      <c r="V1011">
        <f>-633.837799701296 -28.4226827651635 -235.651026424818</f>
        <v>-897.91150889127755</v>
      </c>
      <c r="W1011" t="s">
        <v>21892</v>
      </c>
      <c r="X1011" t="s">
        <v>21893</v>
      </c>
      <c r="Y1011" t="s">
        <v>21894</v>
      </c>
    </row>
    <row r="1012" spans="1:25" x14ac:dyDescent="0.3">
      <c r="A1012">
        <v>50550</v>
      </c>
      <c r="B1012" t="s">
        <v>21895</v>
      </c>
      <c r="C1012" t="s">
        <v>21896</v>
      </c>
      <c r="D1012" t="s">
        <v>21897</v>
      </c>
      <c r="E1012" t="s">
        <v>21898</v>
      </c>
      <c r="F1012" t="s">
        <v>21899</v>
      </c>
      <c r="G1012" t="s">
        <v>21900</v>
      </c>
      <c r="H1012">
        <f>-605.969409678886 -4.85087116248886 -837.502009960848</f>
        <v>-1448.3222908022228</v>
      </c>
      <c r="I1012">
        <f>-559.429159352391 -25.4510235469526 -925.777900246446</f>
        <v>-1510.6580831457895</v>
      </c>
      <c r="J1012" t="s">
        <v>21901</v>
      </c>
      <c r="K1012" t="s">
        <v>21902</v>
      </c>
      <c r="L1012" t="s">
        <v>21903</v>
      </c>
      <c r="M1012" t="s">
        <v>21904</v>
      </c>
      <c r="N1012">
        <f>-621.954756907408 -20.8787552949254 -766.505707880756</f>
        <v>-1409.3392200830895</v>
      </c>
      <c r="O1012">
        <f>-647.80929100329 -157.104961068339 -717.565853053659</f>
        <v>-1522.480105125288</v>
      </c>
      <c r="P1012">
        <f>-655.835760991093 -123.150405166041 -402.972797209227</f>
        <v>-1181.9589633663609</v>
      </c>
      <c r="Q1012">
        <f>-408.214542420588 -51.9623175691385 -438.441570520048</f>
        <v>-898.6184305097745</v>
      </c>
      <c r="R1012" t="s">
        <v>21905</v>
      </c>
      <c r="S1012" t="s">
        <v>21906</v>
      </c>
      <c r="T1012" t="s">
        <v>21907</v>
      </c>
      <c r="U1012" t="s">
        <v>21908</v>
      </c>
      <c r="V1012">
        <f>-633.775639871859 -28.7296440486349 -235.617664265235</f>
        <v>-898.12294818572889</v>
      </c>
      <c r="W1012" t="s">
        <v>21909</v>
      </c>
      <c r="X1012" t="s">
        <v>21910</v>
      </c>
      <c r="Y1012" t="s">
        <v>21911</v>
      </c>
    </row>
    <row r="1013" spans="1:25" x14ac:dyDescent="0.3">
      <c r="A1013">
        <v>50600</v>
      </c>
      <c r="B1013" t="s">
        <v>21912</v>
      </c>
      <c r="C1013" t="s">
        <v>21913</v>
      </c>
      <c r="D1013" t="s">
        <v>21914</v>
      </c>
      <c r="E1013" t="s">
        <v>21915</v>
      </c>
      <c r="F1013" t="s">
        <v>21916</v>
      </c>
      <c r="G1013" t="s">
        <v>21917</v>
      </c>
      <c r="H1013">
        <f>-605.84533251204 -3.71921828831888 -837.605203283391</f>
        <v>-1447.1697540837499</v>
      </c>
      <c r="I1013">
        <f>-559.42944170674 -24.0490432749222 -926.009071839791</f>
        <v>-1509.4875568214532</v>
      </c>
      <c r="J1013" t="s">
        <v>21918</v>
      </c>
      <c r="K1013" t="s">
        <v>21919</v>
      </c>
      <c r="L1013" t="s">
        <v>21920</v>
      </c>
      <c r="M1013" t="s">
        <v>21921</v>
      </c>
      <c r="N1013">
        <f>-621.827043288235 -20.0179770052472 -766.669615261199</f>
        <v>-1408.5146355546813</v>
      </c>
      <c r="O1013">
        <f>-647.474010414168 -156.42561164923 -718.116844004357</f>
        <v>-1522.0164660677551</v>
      </c>
      <c r="P1013">
        <f>-655.959375924269 -123.114326948063 -403.466880225178</f>
        <v>-1182.5405830975101</v>
      </c>
      <c r="Q1013">
        <f>-408.418526986621 -51.377188253341 -438.386292518963</f>
        <v>-898.18200775892501</v>
      </c>
      <c r="R1013" t="s">
        <v>21922</v>
      </c>
      <c r="S1013" t="s">
        <v>21923</v>
      </c>
      <c r="T1013" t="s">
        <v>21924</v>
      </c>
      <c r="U1013" t="s">
        <v>21925</v>
      </c>
      <c r="V1013">
        <f>-633.728839261327 -28.9888561899744 -235.592567400808</f>
        <v>-898.31026285210942</v>
      </c>
      <c r="W1013" t="s">
        <v>21926</v>
      </c>
      <c r="X1013" t="s">
        <v>21927</v>
      </c>
      <c r="Y1013" t="s">
        <v>21928</v>
      </c>
    </row>
    <row r="1014" spans="1:25" x14ac:dyDescent="0.3">
      <c r="A1014">
        <v>50650</v>
      </c>
      <c r="B1014" t="s">
        <v>21929</v>
      </c>
      <c r="C1014" t="s">
        <v>21930</v>
      </c>
      <c r="D1014" t="s">
        <v>21931</v>
      </c>
      <c r="E1014" t="s">
        <v>21932</v>
      </c>
      <c r="F1014" t="s">
        <v>21933</v>
      </c>
      <c r="G1014" t="s">
        <v>21934</v>
      </c>
      <c r="H1014">
        <f>-604.886415136198 -2.23148596174393 -837.810527966496</f>
        <v>-1444.928429064438</v>
      </c>
      <c r="I1014">
        <f>-558.836003284016 -22.196926419008 -926.488116805785</f>
        <v>-1507.5210465088089</v>
      </c>
      <c r="J1014" t="s">
        <v>21935</v>
      </c>
      <c r="K1014" t="s">
        <v>21936</v>
      </c>
      <c r="L1014" t="s">
        <v>21937</v>
      </c>
      <c r="M1014" t="s">
        <v>21938</v>
      </c>
      <c r="N1014">
        <f>-620.989743755268 -18.8869809726242 -766.985262384903</f>
        <v>-1406.8619871127953</v>
      </c>
      <c r="O1014">
        <f>-646.729164442663 -155.518931767006 -719.152717313622</f>
        <v>-1521.4008135232912</v>
      </c>
      <c r="P1014">
        <f>-655.894497061573 -123.460366498931 -404.391964458043</f>
        <v>-1183.7468280185469</v>
      </c>
      <c r="Q1014">
        <f>-408.407387763945 -51.1997211970988 -438.605808590771</f>
        <v>-898.21291755181483</v>
      </c>
      <c r="R1014" t="s">
        <v>21939</v>
      </c>
      <c r="S1014" t="s">
        <v>21940</v>
      </c>
      <c r="T1014" t="s">
        <v>21941</v>
      </c>
      <c r="U1014" t="s">
        <v>21942</v>
      </c>
      <c r="V1014">
        <f>-633.609236915637 -29.5590300259101 -235.601337847596</f>
        <v>-898.76960478914316</v>
      </c>
      <c r="W1014" t="s">
        <v>21943</v>
      </c>
      <c r="X1014" t="s">
        <v>21944</v>
      </c>
      <c r="Y1014" t="s">
        <v>21945</v>
      </c>
    </row>
    <row r="1015" spans="1:25" x14ac:dyDescent="0.3">
      <c r="A1015">
        <v>50700</v>
      </c>
      <c r="B1015" t="s">
        <v>21946</v>
      </c>
      <c r="C1015" t="s">
        <v>21947</v>
      </c>
      <c r="D1015" t="s">
        <v>21948</v>
      </c>
      <c r="E1015" t="s">
        <v>21949</v>
      </c>
      <c r="F1015" t="s">
        <v>21950</v>
      </c>
      <c r="G1015" t="s">
        <v>21951</v>
      </c>
      <c r="H1015">
        <f>-603.798379409928 -2.09670618476226 -837.920258352084</f>
        <v>-1443.8153439467742</v>
      </c>
      <c r="I1015">
        <f>-557.984519804721 -21.9737817491366 -926.740188759669</f>
        <v>-1506.6984903135267</v>
      </c>
      <c r="J1015" t="s">
        <v>21952</v>
      </c>
      <c r="K1015" t="s">
        <v>21953</v>
      </c>
      <c r="L1015" t="s">
        <v>21954</v>
      </c>
      <c r="M1015" t="s">
        <v>21955</v>
      </c>
      <c r="N1015">
        <f>-620.006015699351 -18.8118936711826 -767.133020726062</f>
        <v>-1405.9509300965956</v>
      </c>
      <c r="O1015">
        <f>-645.972701511114 -155.49126090578 -719.534517414453</f>
        <v>-1520.9984798313471</v>
      </c>
      <c r="P1015">
        <f>-655.532008993226 -123.854120634767 -404.742623679628</f>
        <v>-1184.1287533076211</v>
      </c>
      <c r="Q1015">
        <f>-408.011055809291 -51.6060911606086 -438.73741633535</f>
        <v>-898.35456330524971</v>
      </c>
      <c r="R1015" t="s">
        <v>21956</v>
      </c>
      <c r="S1015" t="s">
        <v>21957</v>
      </c>
      <c r="T1015" t="s">
        <v>21958</v>
      </c>
      <c r="U1015" t="s">
        <v>21959</v>
      </c>
      <c r="V1015">
        <f>-633.494030759663 -29.7983529872925 -235.629699781025</f>
        <v>-898.92208352798048</v>
      </c>
      <c r="W1015" t="s">
        <v>21960</v>
      </c>
      <c r="X1015" t="s">
        <v>21961</v>
      </c>
      <c r="Y1015" t="s">
        <v>21962</v>
      </c>
    </row>
    <row r="1016" spans="1:25" x14ac:dyDescent="0.3">
      <c r="A1016">
        <v>50750</v>
      </c>
      <c r="B1016" t="s">
        <v>21963</v>
      </c>
      <c r="C1016" t="s">
        <v>21964</v>
      </c>
      <c r="D1016" t="s">
        <v>21965</v>
      </c>
      <c r="E1016" t="s">
        <v>21966</v>
      </c>
      <c r="F1016" t="s">
        <v>21967</v>
      </c>
      <c r="G1016" t="s">
        <v>21968</v>
      </c>
      <c r="H1016">
        <f>-601.422985379359 -2.07901458748497 -838.012367259957</f>
        <v>-1441.5143672268009</v>
      </c>
      <c r="I1016">
        <f>-556.052436858086 -21.8448514405526 -927.084289433317</f>
        <v>-1504.9815777319557</v>
      </c>
      <c r="J1016" t="s">
        <v>21969</v>
      </c>
      <c r="K1016" t="s">
        <v>21970</v>
      </c>
      <c r="L1016" t="s">
        <v>21971</v>
      </c>
      <c r="M1016" t="s">
        <v>21972</v>
      </c>
      <c r="N1016">
        <f>-617.879654137264 -18.7941133717434 -767.282652175837</f>
        <v>-1403.9564196848444</v>
      </c>
      <c r="O1016">
        <f>-644.513334108869 -155.490709552998 -720.066552010901</f>
        <v>-1520.0705956727679</v>
      </c>
      <c r="P1016">
        <f>-654.802065586152 -124.345936564119 -405.248757832409</f>
        <v>-1184.3967599826801</v>
      </c>
      <c r="Q1016">
        <f>-406.923841919117 -53.1247916745286 -438.804798003822</f>
        <v>-898.85343159746753</v>
      </c>
      <c r="R1016" t="s">
        <v>21973</v>
      </c>
      <c r="S1016" t="s">
        <v>21974</v>
      </c>
      <c r="T1016" t="s">
        <v>21975</v>
      </c>
      <c r="U1016" t="s">
        <v>21976</v>
      </c>
      <c r="V1016">
        <f>-633.252770774032 -30.1042388125777 -235.689004158463</f>
        <v>-899.04601374507274</v>
      </c>
      <c r="W1016" t="s">
        <v>21977</v>
      </c>
      <c r="X1016" t="s">
        <v>21978</v>
      </c>
      <c r="Y1016" t="s">
        <v>21979</v>
      </c>
    </row>
    <row r="1017" spans="1:25" x14ac:dyDescent="0.3">
      <c r="A1017">
        <v>50800</v>
      </c>
      <c r="B1017" t="s">
        <v>21980</v>
      </c>
      <c r="C1017" t="s">
        <v>21981</v>
      </c>
      <c r="D1017" t="s">
        <v>21982</v>
      </c>
      <c r="E1017" t="s">
        <v>21983</v>
      </c>
      <c r="F1017" t="s">
        <v>21984</v>
      </c>
      <c r="G1017" t="s">
        <v>21985</v>
      </c>
      <c r="H1017">
        <f>-600.16984516536 -2.12345095265692 -838.024402824255</f>
        <v>-1440.3176989422718</v>
      </c>
      <c r="I1017">
        <f>-555.03185359315 -21.8659638588745 -927.2195021105</f>
        <v>-1504.1173195625245</v>
      </c>
      <c r="J1017" t="s">
        <v>21986</v>
      </c>
      <c r="K1017" t="s">
        <v>21987</v>
      </c>
      <c r="L1017" t="s">
        <v>21988</v>
      </c>
      <c r="M1017" t="s">
        <v>21989</v>
      </c>
      <c r="N1017">
        <f>-616.728942885573 -18.8265420134248 -767.315593622819</f>
        <v>-1402.8710785218168</v>
      </c>
      <c r="O1017">
        <f>-643.702203665125 -155.470437849158 -720.148049875448</f>
        <v>-1519.3206913897311</v>
      </c>
      <c r="P1017">
        <f>-654.213064560905 -124.506785018733 -405.319660756977</f>
        <v>-1184.039510336615</v>
      </c>
      <c r="Q1017">
        <f>-406.06224365421 -54.1290754968967 -438.639211795317</f>
        <v>-898.83053094642378</v>
      </c>
      <c r="R1017" t="s">
        <v>21990</v>
      </c>
      <c r="S1017" t="s">
        <v>21991</v>
      </c>
      <c r="T1017" t="s">
        <v>21992</v>
      </c>
      <c r="U1017" t="s">
        <v>21993</v>
      </c>
      <c r="V1017">
        <f>-633.061320016502 -30.1499814529091 -235.726955250785</f>
        <v>-898.93825672019602</v>
      </c>
      <c r="W1017" t="s">
        <v>21994</v>
      </c>
      <c r="X1017" t="s">
        <v>21995</v>
      </c>
      <c r="Y1017" t="s">
        <v>21996</v>
      </c>
    </row>
    <row r="1018" spans="1:25" x14ac:dyDescent="0.3">
      <c r="A1018">
        <v>50850</v>
      </c>
      <c r="B1018" t="s">
        <v>21997</v>
      </c>
      <c r="C1018" t="s">
        <v>21998</v>
      </c>
      <c r="D1018" t="s">
        <v>21999</v>
      </c>
      <c r="E1018" t="s">
        <v>22000</v>
      </c>
      <c r="F1018" t="s">
        <v>22001</v>
      </c>
      <c r="G1018" t="s">
        <v>22002</v>
      </c>
      <c r="H1018">
        <f>-597.846419673736 -1.99607590589272 -837.9273817354</f>
        <v>-1437.7698773150287</v>
      </c>
      <c r="I1018">
        <f>-553.029571503882 -21.7445863404747 -927.283021952963</f>
        <v>-1502.0571797973198</v>
      </c>
      <c r="J1018" t="s">
        <v>22003</v>
      </c>
      <c r="K1018" t="s">
        <v>22004</v>
      </c>
      <c r="L1018" t="s">
        <v>22005</v>
      </c>
      <c r="M1018" t="s">
        <v>22006</v>
      </c>
      <c r="N1018">
        <f>-614.570516248689 -18.6385617588188 -767.243243506532</f>
        <v>-1400.4523215140398</v>
      </c>
      <c r="O1018">
        <f>-641.851353696326 -155.277234389001 -720.233445415058</f>
        <v>-1517.362033500385</v>
      </c>
      <c r="P1018">
        <f>-653.013955602508 -123.730145984302 -405.485229321244</f>
        <v>-1182.229330908054</v>
      </c>
      <c r="Q1018">
        <f>-404.351238110802 -54.9613086015453 -438.344760816186</f>
        <v>-897.65730752853324</v>
      </c>
      <c r="R1018" t="s">
        <v>22007</v>
      </c>
      <c r="S1018" t="s">
        <v>22008</v>
      </c>
      <c r="T1018" t="s">
        <v>22009</v>
      </c>
      <c r="U1018" t="s">
        <v>22010</v>
      </c>
      <c r="V1018">
        <f>-632.492423295535 -29.8717652265278 -235.74592837102</f>
        <v>-898.11011689308282</v>
      </c>
      <c r="W1018" t="s">
        <v>22011</v>
      </c>
      <c r="X1018" t="s">
        <v>22012</v>
      </c>
      <c r="Y1018" t="s">
        <v>22013</v>
      </c>
    </row>
    <row r="1019" spans="1:25" x14ac:dyDescent="0.3">
      <c r="A1019">
        <v>50900</v>
      </c>
      <c r="B1019" t="s">
        <v>22014</v>
      </c>
      <c r="C1019" t="s">
        <v>22015</v>
      </c>
      <c r="D1019" t="s">
        <v>22016</v>
      </c>
      <c r="E1019" t="s">
        <v>22017</v>
      </c>
      <c r="F1019" t="s">
        <v>22018</v>
      </c>
      <c r="G1019" t="s">
        <v>22019</v>
      </c>
      <c r="H1019">
        <f>-597.201595064163 -1.73764379831626 -837.922989128042</f>
        <v>-1436.8622279905212</v>
      </c>
      <c r="I1019">
        <f>-552.506090370924 -21.4803399208894 -927.340631250959</f>
        <v>-1501.3270615427723</v>
      </c>
      <c r="J1019" t="s">
        <v>22020</v>
      </c>
      <c r="K1019" t="s">
        <v>22021</v>
      </c>
      <c r="L1019" t="s">
        <v>22022</v>
      </c>
      <c r="M1019" t="s">
        <v>22023</v>
      </c>
      <c r="N1019">
        <f>-613.949193226041 -18.3464575092175 -767.236408083571</f>
        <v>-1399.5320588188295</v>
      </c>
      <c r="O1019">
        <f>-641.336375353942 -154.957831794986 -720.196558422084</f>
        <v>-1516.4907655710119</v>
      </c>
      <c r="P1019">
        <f>-652.659652748021 -123.208757939448 -405.474416512756</f>
        <v>-1181.342827200225</v>
      </c>
      <c r="Q1019">
        <f>-403.854821542351 -54.7728096597814 -437.951170394881</f>
        <v>-896.57880159701335</v>
      </c>
      <c r="R1019" t="s">
        <v>22024</v>
      </c>
      <c r="S1019" t="s">
        <v>22025</v>
      </c>
      <c r="T1019" t="s">
        <v>22026</v>
      </c>
      <c r="U1019" t="s">
        <v>22027</v>
      </c>
      <c r="V1019">
        <f>-632.122226782528 -29.5227412934947 -235.772760369857</f>
        <v>-897.41772844587967</v>
      </c>
      <c r="W1019" t="s">
        <v>22028</v>
      </c>
      <c r="X1019" t="s">
        <v>22029</v>
      </c>
      <c r="Y1019" t="s">
        <v>22030</v>
      </c>
    </row>
    <row r="1020" spans="1:25" x14ac:dyDescent="0.3">
      <c r="A1020">
        <v>50950</v>
      </c>
      <c r="B1020" t="s">
        <v>22031</v>
      </c>
      <c r="C1020" t="s">
        <v>22032</v>
      </c>
      <c r="D1020" t="s">
        <v>22033</v>
      </c>
      <c r="E1020" t="s">
        <v>22034</v>
      </c>
      <c r="F1020" t="s">
        <v>22035</v>
      </c>
      <c r="G1020" t="s">
        <v>22036</v>
      </c>
      <c r="H1020">
        <f>-595.477239640853 -1.78586547129073 -837.900814712112</f>
        <v>-1435.1639198242558</v>
      </c>
      <c r="I1020">
        <f>-550.940058766287 -21.5424899024125 -927.394323783002</f>
        <v>-1499.8768724517017</v>
      </c>
      <c r="J1020" t="s">
        <v>22037</v>
      </c>
      <c r="K1020" t="s">
        <v>22038</v>
      </c>
      <c r="L1020" t="s">
        <v>22039</v>
      </c>
      <c r="M1020" t="s">
        <v>22040</v>
      </c>
      <c r="N1020">
        <f>-612.233669970413 -18.2998423199636 -767.194125437067</f>
        <v>-1397.7276377274434</v>
      </c>
      <c r="O1020">
        <f>-639.487065873941 -154.90763114093 -720.079620373636</f>
        <v>-1514.474317388507</v>
      </c>
      <c r="P1020">
        <f>-651.273720603951 -122.630018795613 -405.428475846902</f>
        <v>-1179.3322152464659</v>
      </c>
      <c r="Q1020">
        <f>-402.395576301864 -54.2602393923542 -437.479641716218</f>
        <v>-894.13545741043617</v>
      </c>
      <c r="R1020" t="s">
        <v>22041</v>
      </c>
      <c r="S1020" t="s">
        <v>22042</v>
      </c>
      <c r="T1020" t="s">
        <v>22043</v>
      </c>
      <c r="U1020" t="s">
        <v>22044</v>
      </c>
      <c r="V1020">
        <f>-631.279479457953 -28.8698303208872 -235.822423387834</f>
        <v>-895.9717331666742</v>
      </c>
      <c r="W1020" t="s">
        <v>22045</v>
      </c>
      <c r="X1020" t="s">
        <v>22046</v>
      </c>
      <c r="Y1020" t="s">
        <v>22047</v>
      </c>
    </row>
    <row r="1021" spans="1:25" x14ac:dyDescent="0.3">
      <c r="A1021">
        <v>51000</v>
      </c>
      <c r="B1021" t="s">
        <v>22048</v>
      </c>
      <c r="C1021" t="s">
        <v>22049</v>
      </c>
      <c r="D1021" t="s">
        <v>22050</v>
      </c>
      <c r="E1021" t="s">
        <v>22051</v>
      </c>
      <c r="F1021" t="s">
        <v>22052</v>
      </c>
      <c r="G1021" t="s">
        <v>22053</v>
      </c>
      <c r="H1021">
        <f>-594.890589980997 -1.6238822189468 -837.882015943467</f>
        <v>-1434.3964881434108</v>
      </c>
      <c r="I1021">
        <f>-550.395260313549 -21.3489170964089 -927.40342419134</f>
        <v>-1499.147601601298</v>
      </c>
      <c r="J1021" t="s">
        <v>22054</v>
      </c>
      <c r="K1021" t="s">
        <v>22055</v>
      </c>
      <c r="L1021" t="s">
        <v>22056</v>
      </c>
      <c r="M1021" t="s">
        <v>22057</v>
      </c>
      <c r="N1021">
        <f>-611.639184902934 -18.1323413587415 -767.17231408398</f>
        <v>-1396.9438403456556</v>
      </c>
      <c r="O1021">
        <f>-638.731271428482 -154.772941885567 -720.007052136567</f>
        <v>-1513.5112654506161</v>
      </c>
      <c r="P1021">
        <f>-650.714893408162 -122.181408910948 -405.395664370752</f>
        <v>-1178.291966689862</v>
      </c>
      <c r="Q1021">
        <f>-401.864213983072 -53.6785534872465 -437.375810533067</f>
        <v>-892.91857800338551</v>
      </c>
      <c r="R1021" t="s">
        <v>22058</v>
      </c>
      <c r="S1021" t="s">
        <v>22059</v>
      </c>
      <c r="T1021" t="s">
        <v>22060</v>
      </c>
      <c r="U1021" t="s">
        <v>22061</v>
      </c>
      <c r="V1021">
        <f>-630.929343863854 -28.605270023277 -235.83170854454</f>
        <v>-895.36632243167094</v>
      </c>
      <c r="W1021" t="s">
        <v>22062</v>
      </c>
      <c r="X1021" t="s">
        <v>22063</v>
      </c>
      <c r="Y1021" t="s">
        <v>22064</v>
      </c>
    </row>
    <row r="1022" spans="1:25" x14ac:dyDescent="0.3">
      <c r="A1022">
        <v>51050</v>
      </c>
      <c r="B1022" t="s">
        <v>22065</v>
      </c>
      <c r="C1022" t="s">
        <v>22066</v>
      </c>
      <c r="D1022" t="s">
        <v>22067</v>
      </c>
      <c r="E1022" t="s">
        <v>22068</v>
      </c>
      <c r="F1022" t="s">
        <v>22069</v>
      </c>
      <c r="G1022" t="s">
        <v>22070</v>
      </c>
      <c r="H1022">
        <f>-593.924334609626 -1.1898919004715 -837.817632730566</f>
        <v>-1432.9318592406635</v>
      </c>
      <c r="I1022">
        <f>-549.506066605222 -20.8485647225394 -927.391728007044</f>
        <v>-1497.7463593348054</v>
      </c>
      <c r="J1022" t="s">
        <v>22071</v>
      </c>
      <c r="K1022" t="s">
        <v>22072</v>
      </c>
      <c r="L1022" t="s">
        <v>22073</v>
      </c>
      <c r="M1022" t="s">
        <v>22074</v>
      </c>
      <c r="N1022">
        <f>-610.662223898142 -17.6796519695026 -767.100819662682</f>
        <v>-1395.4426955303265</v>
      </c>
      <c r="O1022">
        <f>-637.359070936859 -154.337226001329 -719.809423118302</f>
        <v>-1511.50572005649</v>
      </c>
      <c r="P1022">
        <f>-649.40314208233 -121.608360698146 -405.214548338786</f>
        <v>-1176.2260511192621</v>
      </c>
      <c r="Q1022">
        <f>-400.697282330752 -52.6594824497199 -437.362901304119</f>
        <v>-890.71966608459093</v>
      </c>
      <c r="R1022" t="s">
        <v>22075</v>
      </c>
      <c r="S1022" t="s">
        <v>22076</v>
      </c>
      <c r="T1022" t="s">
        <v>22077</v>
      </c>
      <c r="U1022" t="s">
        <v>22078</v>
      </c>
      <c r="V1022">
        <f>-630.396712947182 -27.9137857570077 -235.868544638002</f>
        <v>-894.17904334219179</v>
      </c>
      <c r="W1022" t="s">
        <v>22079</v>
      </c>
      <c r="X1022" t="s">
        <v>22080</v>
      </c>
      <c r="Y1022" t="s">
        <v>22081</v>
      </c>
    </row>
    <row r="1023" spans="1:25" x14ac:dyDescent="0.3">
      <c r="A1023">
        <v>51100</v>
      </c>
      <c r="B1023" t="s">
        <v>22082</v>
      </c>
      <c r="C1023" t="s">
        <v>22083</v>
      </c>
      <c r="D1023" t="s">
        <v>22084</v>
      </c>
      <c r="E1023" t="s">
        <v>22085</v>
      </c>
      <c r="F1023" t="s">
        <v>22086</v>
      </c>
      <c r="G1023" t="s">
        <v>22087</v>
      </c>
      <c r="H1023">
        <f>-593.585277435421 -1.00389296022802 -837.858823648282</f>
        <v>-1432.447994043931</v>
      </c>
      <c r="I1023">
        <f>-549.210736491295 -20.6011299886889 -927.468078949928</f>
        <v>-1497.279945429912</v>
      </c>
      <c r="J1023" t="s">
        <v>22088</v>
      </c>
      <c r="K1023" t="s">
        <v>22089</v>
      </c>
      <c r="L1023" t="s">
        <v>22090</v>
      </c>
      <c r="M1023" t="s">
        <v>22091</v>
      </c>
      <c r="N1023">
        <f>-610.257168758735 -17.525712228333 -767.134003946703</f>
        <v>-1394.9168849337711</v>
      </c>
      <c r="O1023">
        <f>-636.648137754168 -154.237085864143 -719.827912483922</f>
        <v>-1510.713136102233</v>
      </c>
      <c r="P1023">
        <f>-648.663083879215 -121.505904493193 -405.232279227744</f>
        <v>-1175.4012676001521</v>
      </c>
      <c r="Q1023">
        <f>-400.069910202304 -52.2046125023842 -437.494039090697</f>
        <v>-889.76856179538527</v>
      </c>
      <c r="R1023" t="s">
        <v>22092</v>
      </c>
      <c r="S1023" t="s">
        <v>22093</v>
      </c>
      <c r="T1023" t="s">
        <v>22094</v>
      </c>
      <c r="U1023" t="s">
        <v>22095</v>
      </c>
      <c r="V1023">
        <f>-630.139290749004 -27.7556135781979 -235.888487446649</f>
        <v>-893.78339177385089</v>
      </c>
      <c r="W1023" t="s">
        <v>22096</v>
      </c>
      <c r="X1023" t="s">
        <v>22097</v>
      </c>
      <c r="Y1023" t="s">
        <v>22098</v>
      </c>
    </row>
    <row r="1024" spans="1:25" x14ac:dyDescent="0.3">
      <c r="A1024">
        <v>51150</v>
      </c>
      <c r="B1024" t="s">
        <v>22099</v>
      </c>
      <c r="C1024" t="s">
        <v>22100</v>
      </c>
      <c r="D1024" t="s">
        <v>22101</v>
      </c>
      <c r="E1024" t="s">
        <v>22102</v>
      </c>
      <c r="F1024" t="s">
        <v>22103</v>
      </c>
      <c r="G1024" t="s">
        <v>22104</v>
      </c>
      <c r="H1024">
        <f>-593.635948602635 -0.762430578537469 -837.950551592492</f>
        <v>-1432.3489307736645</v>
      </c>
      <c r="I1024">
        <f>-549.386238229541 -20.2239451485515 -927.651127245382</f>
        <v>-1497.2613106234744</v>
      </c>
      <c r="J1024" t="s">
        <v>22105</v>
      </c>
      <c r="K1024" t="s">
        <v>22106</v>
      </c>
      <c r="L1024" t="s">
        <v>22107</v>
      </c>
      <c r="M1024" t="s">
        <v>22108</v>
      </c>
      <c r="N1024">
        <f>-610.086972859647 -17.3020451836542 -767.178155769815</f>
        <v>-1394.5671738131161</v>
      </c>
      <c r="O1024">
        <f>-635.766968389502 -154.135591096571 -719.860447349665</f>
        <v>-1509.763006835738</v>
      </c>
      <c r="P1024">
        <f>-647.673201296627 -121.581141314171 -405.242305786192</f>
        <v>-1174.4966483969899</v>
      </c>
      <c r="Q1024">
        <f>-399.400614194766 -51.2235518753023 -437.686038298374</f>
        <v>-888.31020436844233</v>
      </c>
      <c r="R1024" t="s">
        <v>22109</v>
      </c>
      <c r="S1024" t="s">
        <v>22110</v>
      </c>
      <c r="T1024" t="s">
        <v>22111</v>
      </c>
      <c r="U1024" t="s">
        <v>22112</v>
      </c>
      <c r="V1024">
        <f>-629.654223601671 -27.1838033799392 -235.928559630291</f>
        <v>-892.76658661190118</v>
      </c>
      <c r="W1024" t="s">
        <v>22113</v>
      </c>
      <c r="X1024" t="s">
        <v>22114</v>
      </c>
      <c r="Y1024" t="s">
        <v>22115</v>
      </c>
    </row>
    <row r="1025" spans="1:25" x14ac:dyDescent="0.3">
      <c r="A1025">
        <v>51200</v>
      </c>
      <c r="B1025" t="s">
        <v>22116</v>
      </c>
      <c r="C1025" t="s">
        <v>22117</v>
      </c>
      <c r="D1025" t="s">
        <v>22118</v>
      </c>
      <c r="E1025" t="s">
        <v>22119</v>
      </c>
      <c r="F1025" t="s">
        <v>22120</v>
      </c>
      <c r="G1025" t="s">
        <v>22121</v>
      </c>
      <c r="H1025">
        <f>-593.633483420614 -0.85201603861141 -837.961646318515</f>
        <v>-1432.4471457777404</v>
      </c>
      <c r="I1025">
        <f>-549.430753374059 -20.2573650186311 -927.697506205566</f>
        <v>-1497.3856245982561</v>
      </c>
      <c r="J1025" t="s">
        <v>22122</v>
      </c>
      <c r="K1025" t="s">
        <v>22123</v>
      </c>
      <c r="L1025" t="s">
        <v>22124</v>
      </c>
      <c r="M1025" t="s">
        <v>22125</v>
      </c>
      <c r="N1025">
        <f>-610.02977633431 -17.3711430663608 -767.171747562675</f>
        <v>-1394.5726669633459</v>
      </c>
      <c r="O1025">
        <f>-635.498782821967 -154.241341084569 -719.837302443635</f>
        <v>-1509.577426350171</v>
      </c>
      <c r="P1025">
        <f>-647.218881343694 -121.884369378032 -405.191764885601</f>
        <v>-1174.2950156073271</v>
      </c>
      <c r="Q1025">
        <f>-399.151548396178 -50.8767706442565 -437.789222505431</f>
        <v>-887.81754154586542</v>
      </c>
      <c r="R1025" t="s">
        <v>22126</v>
      </c>
      <c r="S1025" t="s">
        <v>22127</v>
      </c>
      <c r="T1025" t="s">
        <v>22128</v>
      </c>
      <c r="U1025" t="s">
        <v>22129</v>
      </c>
      <c r="V1025">
        <f>-629.535364242108 -26.9827740048368 -235.933466282024</f>
        <v>-892.4516045289688</v>
      </c>
      <c r="W1025" t="s">
        <v>22130</v>
      </c>
      <c r="X1025" t="s">
        <v>22131</v>
      </c>
      <c r="Y1025" t="s">
        <v>22132</v>
      </c>
    </row>
    <row r="1026" spans="1:25" x14ac:dyDescent="0.3">
      <c r="A1026">
        <v>51250</v>
      </c>
      <c r="B1026" t="s">
        <v>22133</v>
      </c>
      <c r="C1026" t="s">
        <v>22134</v>
      </c>
      <c r="D1026" t="s">
        <v>22135</v>
      </c>
      <c r="E1026" t="s">
        <v>22136</v>
      </c>
      <c r="F1026" t="s">
        <v>22137</v>
      </c>
      <c r="G1026" t="s">
        <v>22138</v>
      </c>
      <c r="H1026">
        <f>-594.262921769368 -0.78750081051755 -838.011847851501</f>
        <v>-1433.0622704313864</v>
      </c>
      <c r="I1026">
        <f>-550.204172688064 -20.1090432743728 -927.836602820243</f>
        <v>-1498.1498187826796</v>
      </c>
      <c r="J1026" t="s">
        <v>22139</v>
      </c>
      <c r="K1026" t="s">
        <v>22140</v>
      </c>
      <c r="L1026" t="s">
        <v>22141</v>
      </c>
      <c r="M1026" t="s">
        <v>22142</v>
      </c>
      <c r="N1026">
        <f>-610.482191909625 -17.2730955883467 -767.17336087898</f>
        <v>-1394.9286483769517</v>
      </c>
      <c r="O1026">
        <f>-635.570196803536 -154.181123240061 -719.745496511463</f>
        <v>-1509.4968165550599</v>
      </c>
      <c r="P1026">
        <f>-646.991905270632 -121.694156993608 -405.102318228349</f>
        <v>-1173.7883804925889</v>
      </c>
      <c r="Q1026">
        <f>-399.168190466956 -49.9994938015155 -438.046599976996</f>
        <v>-887.21428424546752</v>
      </c>
      <c r="R1026" t="s">
        <v>22143</v>
      </c>
      <c r="S1026" t="s">
        <v>22144</v>
      </c>
      <c r="T1026" t="s">
        <v>22145</v>
      </c>
      <c r="U1026" t="s">
        <v>22146</v>
      </c>
      <c r="V1026">
        <f>-629.424575428579 -26.5494197211341 -235.949749369207</f>
        <v>-891.9237445189201</v>
      </c>
      <c r="W1026" t="s">
        <v>22147</v>
      </c>
      <c r="X1026" t="s">
        <v>22148</v>
      </c>
      <c r="Y1026" t="s">
        <v>22149</v>
      </c>
    </row>
    <row r="1027" spans="1:25" x14ac:dyDescent="0.3">
      <c r="A1027">
        <v>51300</v>
      </c>
      <c r="B1027" t="s">
        <v>22150</v>
      </c>
      <c r="C1027" t="s">
        <v>22151</v>
      </c>
      <c r="D1027" t="s">
        <v>22152</v>
      </c>
      <c r="E1027" t="s">
        <v>22153</v>
      </c>
      <c r="F1027" t="s">
        <v>22154</v>
      </c>
      <c r="G1027" t="s">
        <v>22155</v>
      </c>
      <c r="H1027">
        <f>-594.606701993237 -1.0881881318517 -837.97929931243</f>
        <v>-1433.6741894375186</v>
      </c>
      <c r="I1027">
        <f>-550.628999443263 -20.4116756535987 -927.843449512338</f>
        <v>-1498.8841246091997</v>
      </c>
      <c r="J1027" t="s">
        <v>22156</v>
      </c>
      <c r="K1027" t="s">
        <v>22157</v>
      </c>
      <c r="L1027" t="s">
        <v>22158</v>
      </c>
      <c r="M1027" t="s">
        <v>22159</v>
      </c>
      <c r="N1027">
        <f>-610.74524939911 -17.4992401467903 -767.105132963153</f>
        <v>-1395.3496225090532</v>
      </c>
      <c r="O1027">
        <f>-635.692465900964 -154.397080912491 -719.588112920648</f>
        <v>-1509.6776597341029</v>
      </c>
      <c r="P1027">
        <f>-646.977847255277 -121.595593080505 -404.972649055356</f>
        <v>-1173.5460893911379</v>
      </c>
      <c r="Q1027">
        <f>-399.222380889704 -49.7927291023483 -438.193439054672</f>
        <v>-887.20854904672433</v>
      </c>
      <c r="R1027" t="s">
        <v>22160</v>
      </c>
      <c r="S1027" t="s">
        <v>22161</v>
      </c>
      <c r="T1027" t="s">
        <v>22162</v>
      </c>
      <c r="U1027" t="s">
        <v>22163</v>
      </c>
      <c r="V1027">
        <f>-629.507538543821 -26.4640706962406 -235.950155801915</f>
        <v>-891.92176504197664</v>
      </c>
      <c r="W1027" t="s">
        <v>22164</v>
      </c>
      <c r="X1027" t="s">
        <v>22165</v>
      </c>
      <c r="Y1027" t="s">
        <v>22166</v>
      </c>
    </row>
    <row r="1028" spans="1:25" x14ac:dyDescent="0.3">
      <c r="A1028">
        <v>51350</v>
      </c>
      <c r="B1028" t="s">
        <v>22167</v>
      </c>
      <c r="C1028" t="s">
        <v>22168</v>
      </c>
      <c r="D1028" t="s">
        <v>22169</v>
      </c>
      <c r="E1028" t="s">
        <v>22170</v>
      </c>
      <c r="F1028" t="s">
        <v>22171</v>
      </c>
      <c r="G1028" t="s">
        <v>22172</v>
      </c>
      <c r="H1028">
        <f>-595.6001225849 -1.67660413639805 -837.847994282117</f>
        <v>-1435.1247210034151</v>
      </c>
      <c r="I1028">
        <f>-551.75839498822 -21.1102538993856 -927.754675970825</f>
        <v>-1500.6233248584306</v>
      </c>
      <c r="J1028" t="s">
        <v>22173</v>
      </c>
      <c r="K1028" t="s">
        <v>22174</v>
      </c>
      <c r="L1028" t="s">
        <v>22175</v>
      </c>
      <c r="M1028" t="s">
        <v>22176</v>
      </c>
      <c r="N1028">
        <f>-611.658454178212 -17.9129911398762 -766.915405729201</f>
        <v>-1396.4868510472893</v>
      </c>
      <c r="O1028">
        <f>-636.681844312797 -154.734498303427 -719.186702782476</f>
        <v>-1510.6030453987</v>
      </c>
      <c r="P1028">
        <f>-647.55036419959 -121.626784070654 -404.588760049137</f>
        <v>-1173.7659083193812</v>
      </c>
      <c r="Q1028">
        <f>-399.852005588014 -49.8012908097465 -438.184424962233</f>
        <v>-887.83772135999345</v>
      </c>
      <c r="R1028" t="s">
        <v>22177</v>
      </c>
      <c r="S1028" t="s">
        <v>22178</v>
      </c>
      <c r="T1028" t="s">
        <v>22179</v>
      </c>
      <c r="U1028" t="s">
        <v>22180</v>
      </c>
      <c r="V1028">
        <f>-629.810899499879 -26.3340529566607 -235.921592297606</f>
        <v>-892.06654475414575</v>
      </c>
      <c r="W1028" t="s">
        <v>22181</v>
      </c>
      <c r="X1028" t="s">
        <v>22182</v>
      </c>
      <c r="Y1028" t="s">
        <v>22183</v>
      </c>
    </row>
    <row r="1029" spans="1:25" x14ac:dyDescent="0.3">
      <c r="A1029">
        <v>51400</v>
      </c>
      <c r="B1029" t="s">
        <v>22184</v>
      </c>
      <c r="C1029" t="s">
        <v>22185</v>
      </c>
      <c r="D1029" t="s">
        <v>22186</v>
      </c>
      <c r="E1029" t="s">
        <v>22187</v>
      </c>
      <c r="F1029" t="s">
        <v>22188</v>
      </c>
      <c r="G1029" t="s">
        <v>22189</v>
      </c>
      <c r="H1029">
        <f>-596.216249916033 -1.72091916341153 -837.817808206715</f>
        <v>-1435.7549772861594</v>
      </c>
      <c r="I1029">
        <f>-552.455027784856 -21.2222078552121 -927.749226916449</f>
        <v>-1501.426462556517</v>
      </c>
      <c r="J1029" t="s">
        <v>22190</v>
      </c>
      <c r="K1029" t="s">
        <v>22191</v>
      </c>
      <c r="L1029" t="s">
        <v>22192</v>
      </c>
      <c r="M1029" t="s">
        <v>22193</v>
      </c>
      <c r="N1029">
        <f>-612.239433791206 -17.9121547885749 -766.867023612231</f>
        <v>-1397.0186121920119</v>
      </c>
      <c r="O1029">
        <f>-637.428092760705 -154.682683308921 -719.074288039547</f>
        <v>-1511.185064109173</v>
      </c>
      <c r="P1029">
        <f>-648.041276756845 -121.394257466134 -404.486624415148</f>
        <v>-1173.922158638127</v>
      </c>
      <c r="Q1029">
        <f>-400.253760513637 -49.8933975540274 -438.117432939631</f>
        <v>-888.26459100729539</v>
      </c>
      <c r="R1029" t="s">
        <v>22194</v>
      </c>
      <c r="S1029" t="s">
        <v>22195</v>
      </c>
      <c r="T1029" t="s">
        <v>22196</v>
      </c>
      <c r="U1029" t="s">
        <v>22197</v>
      </c>
      <c r="V1029">
        <f>-630.009535959775 -26.2831275876543 -235.894268582861</f>
        <v>-892.18693213029042</v>
      </c>
      <c r="W1029" t="s">
        <v>22198</v>
      </c>
      <c r="X1029" t="s">
        <v>22199</v>
      </c>
      <c r="Y1029" t="s">
        <v>22200</v>
      </c>
    </row>
    <row r="1030" spans="1:25" x14ac:dyDescent="0.3">
      <c r="A1030">
        <v>51450</v>
      </c>
      <c r="B1030" t="s">
        <v>22201</v>
      </c>
      <c r="C1030" t="s">
        <v>22202</v>
      </c>
      <c r="D1030" t="s">
        <v>22203</v>
      </c>
      <c r="E1030" t="s">
        <v>22204</v>
      </c>
      <c r="F1030" t="s">
        <v>22205</v>
      </c>
      <c r="G1030" t="s">
        <v>22206</v>
      </c>
      <c r="H1030">
        <f>-597.52657677985 -1.9678141576241 -837.752554959585</f>
        <v>-1437.246945897059</v>
      </c>
      <c r="I1030">
        <f>-553.878855454007 -21.588204785311 -927.713021389604</f>
        <v>-1503.1800816289219</v>
      </c>
      <c r="J1030" t="s">
        <v>22207</v>
      </c>
      <c r="K1030" t="s">
        <v>22208</v>
      </c>
      <c r="L1030" t="s">
        <v>22209</v>
      </c>
      <c r="M1030" t="s">
        <v>22210</v>
      </c>
      <c r="N1030">
        <f>-613.501646001734 -18.0928269227075 -766.775744778297</f>
        <v>-1398.3702177027385</v>
      </c>
      <c r="O1030">
        <f>-638.739903987395 -154.855549570629 -718.984032455965</f>
        <v>-1512.579486013989</v>
      </c>
      <c r="P1030">
        <f>-649.320812729688 -121.37686680146 -404.415458946543</f>
        <v>-1175.1131384776909</v>
      </c>
      <c r="Q1030">
        <f>-401.360529590557 -50.4371716544773 -437.96126443107</f>
        <v>-889.75896567610425</v>
      </c>
      <c r="R1030" t="s">
        <v>22211</v>
      </c>
      <c r="S1030" t="s">
        <v>22212</v>
      </c>
      <c r="T1030" t="s">
        <v>22213</v>
      </c>
      <c r="U1030" t="s">
        <v>22214</v>
      </c>
      <c r="V1030">
        <f>-630.52917485072 -26.438783300584 -235.84414845565</f>
        <v>-892.81210660695388</v>
      </c>
      <c r="W1030" t="s">
        <v>22215</v>
      </c>
      <c r="X1030" t="s">
        <v>22216</v>
      </c>
      <c r="Y1030" t="s">
        <v>22217</v>
      </c>
    </row>
    <row r="1031" spans="1:25" x14ac:dyDescent="0.3">
      <c r="A1031">
        <v>51500</v>
      </c>
      <c r="B1031" t="s">
        <v>22218</v>
      </c>
      <c r="C1031" t="s">
        <v>22219</v>
      </c>
      <c r="D1031" t="s">
        <v>22220</v>
      </c>
      <c r="E1031" t="s">
        <v>22221</v>
      </c>
      <c r="F1031" t="s">
        <v>22222</v>
      </c>
      <c r="G1031" t="s">
        <v>22223</v>
      </c>
      <c r="H1031">
        <f>-598.121861402878 -2.2164355913438 -837.751342885192</f>
        <v>-1438.0896398794139</v>
      </c>
      <c r="I1031">
        <f>-554.497200650802 -21.831079531578 -927.724339376093</f>
        <v>-1504.052619558473</v>
      </c>
      <c r="J1031" t="s">
        <v>22224</v>
      </c>
      <c r="K1031" t="s">
        <v>22225</v>
      </c>
      <c r="L1031" t="s">
        <v>22226</v>
      </c>
      <c r="M1031" t="s">
        <v>22227</v>
      </c>
      <c r="N1031">
        <f>-614.072947959285 -18.3471671708743 -766.770466043599</f>
        <v>-1399.1905811737583</v>
      </c>
      <c r="O1031">
        <f>-639.278611356265 -155.14303426699 -719.055813295693</f>
        <v>-1513.4774589189481</v>
      </c>
      <c r="P1031">
        <f>-649.971623697599 -121.81101792634 -404.475465817041</f>
        <v>-1176.25810744098</v>
      </c>
      <c r="Q1031">
        <f>-402.002535654915 -50.8731611405403 -437.959832603006</f>
        <v>-890.83552939846129</v>
      </c>
      <c r="R1031" t="s">
        <v>22228</v>
      </c>
      <c r="S1031" t="s">
        <v>22229</v>
      </c>
      <c r="T1031" t="s">
        <v>22230</v>
      </c>
      <c r="U1031" t="s">
        <v>22231</v>
      </c>
      <c r="V1031">
        <f>-630.754172910785 -26.7415542649513 -235.808368723916</f>
        <v>-893.30409589965234</v>
      </c>
      <c r="W1031" t="s">
        <v>22232</v>
      </c>
      <c r="X1031" t="s">
        <v>22233</v>
      </c>
      <c r="Y1031" t="s">
        <v>22234</v>
      </c>
    </row>
    <row r="1032" spans="1:25" x14ac:dyDescent="0.3">
      <c r="A1032">
        <v>51550</v>
      </c>
      <c r="B1032" t="s">
        <v>22235</v>
      </c>
      <c r="C1032" t="s">
        <v>22236</v>
      </c>
      <c r="D1032" t="s">
        <v>22237</v>
      </c>
      <c r="E1032" t="s">
        <v>22238</v>
      </c>
      <c r="F1032" t="s">
        <v>22239</v>
      </c>
      <c r="G1032" t="s">
        <v>22240</v>
      </c>
      <c r="H1032">
        <f>-599.35950764845 -2.14842055764275 -837.709756854972</f>
        <v>-1439.2176850610649</v>
      </c>
      <c r="I1032">
        <f>-555.776730601658 -21.6324054561126 -927.731397065889</f>
        <v>-1505.1405331236597</v>
      </c>
      <c r="J1032" t="s">
        <v>22241</v>
      </c>
      <c r="K1032" t="s">
        <v>22242</v>
      </c>
      <c r="L1032" t="s">
        <v>22243</v>
      </c>
      <c r="M1032" t="s">
        <v>22244</v>
      </c>
      <c r="N1032">
        <f>-615.234444702637 -18.385759201605 -766.736024859313</f>
        <v>-1400.356228763555</v>
      </c>
      <c r="O1032">
        <f>-640.094817654979 -155.318273419587 -719.252593448049</f>
        <v>-1514.6656845226148</v>
      </c>
      <c r="P1032">
        <f>-651.122197956047 -122.815371578021 -404.597069679911</f>
        <v>-1178.5346392139791</v>
      </c>
      <c r="Q1032">
        <f>-403.276584362848 -51.3742112320761 -437.925075054039</f>
        <v>-892.57587064896302</v>
      </c>
      <c r="R1032" t="s">
        <v>22245</v>
      </c>
      <c r="S1032" t="s">
        <v>22246</v>
      </c>
      <c r="T1032" t="s">
        <v>22247</v>
      </c>
      <c r="U1032" t="s">
        <v>22248</v>
      </c>
      <c r="V1032">
        <f>-631.094675021032 -27.1549530150494 -235.711481710371</f>
        <v>-893.96110974645239</v>
      </c>
      <c r="W1032" t="s">
        <v>22249</v>
      </c>
      <c r="X1032" t="s">
        <v>22250</v>
      </c>
      <c r="Y1032" t="s">
        <v>22251</v>
      </c>
    </row>
    <row r="1033" spans="1:25" x14ac:dyDescent="0.3">
      <c r="A1033">
        <v>51600</v>
      </c>
      <c r="B1033" t="s">
        <v>22252</v>
      </c>
      <c r="C1033" t="s">
        <v>22253</v>
      </c>
      <c r="D1033" t="s">
        <v>22254</v>
      </c>
      <c r="E1033" t="s">
        <v>22255</v>
      </c>
      <c r="F1033" t="s">
        <v>22256</v>
      </c>
      <c r="G1033" t="s">
        <v>22257</v>
      </c>
      <c r="H1033">
        <f>-600.290528610627 -2.04745683880847 -837.737114566896</f>
        <v>-1440.0751000163314</v>
      </c>
      <c r="I1033">
        <f>-556.756699785066 -21.3926727571292 -927.812236873976</f>
        <v>-1505.9616094161711</v>
      </c>
      <c r="J1033" t="s">
        <v>22258</v>
      </c>
      <c r="K1033" t="s">
        <v>22259</v>
      </c>
      <c r="L1033" t="s">
        <v>22260</v>
      </c>
      <c r="M1033" t="s">
        <v>22261</v>
      </c>
      <c r="N1033">
        <f>-616.055708037893 -18.3648217664451 -766.757444562448</f>
        <v>-1401.1779743667862</v>
      </c>
      <c r="O1033">
        <f>-640.617948949284 -155.414451992249 -719.417681374534</f>
        <v>-1515.450082316067</v>
      </c>
      <c r="P1033">
        <f>-651.779317856137 -123.248508741199 -404.732144447631</f>
        <v>-1179.759971044967</v>
      </c>
      <c r="Q1033">
        <f>-404.08066009411 -51.3158930848812 -438.095724901456</f>
        <v>-893.49227808044725</v>
      </c>
      <c r="R1033" t="s">
        <v>22262</v>
      </c>
      <c r="S1033" t="s">
        <v>22263</v>
      </c>
      <c r="T1033" t="s">
        <v>22264</v>
      </c>
      <c r="U1033" t="s">
        <v>22265</v>
      </c>
      <c r="V1033">
        <f>-631.255962518774 -27.4654491178345 -235.680488671992</f>
        <v>-894.40190030860049</v>
      </c>
      <c r="W1033" t="s">
        <v>22266</v>
      </c>
      <c r="X1033" t="s">
        <v>22267</v>
      </c>
      <c r="Y1033" t="s">
        <v>22268</v>
      </c>
    </row>
    <row r="1034" spans="1:25" x14ac:dyDescent="0.3">
      <c r="A1034">
        <v>51650</v>
      </c>
      <c r="B1034" t="s">
        <v>22269</v>
      </c>
      <c r="C1034" t="s">
        <v>22270</v>
      </c>
      <c r="D1034" t="s">
        <v>22271</v>
      </c>
      <c r="E1034" t="s">
        <v>22272</v>
      </c>
      <c r="F1034" t="s">
        <v>22273</v>
      </c>
      <c r="G1034" t="s">
        <v>22274</v>
      </c>
      <c r="H1034">
        <f>-602.549392593938 -0.945228150158663 -838.0122932384</f>
        <v>-1441.5069139824968</v>
      </c>
      <c r="I1034">
        <f>-559.184696636273 -19.8389896769961 -928.264802055628</f>
        <v>-1507.2884883688971</v>
      </c>
      <c r="J1034" t="s">
        <v>22275</v>
      </c>
      <c r="K1034" t="s">
        <v>22276</v>
      </c>
      <c r="L1034" t="s">
        <v>22277</v>
      </c>
      <c r="M1034" t="s">
        <v>22278</v>
      </c>
      <c r="N1034">
        <f>-618.003816787177 -17.5873532811242 -767.039707838412</f>
        <v>-1402.6308779067133</v>
      </c>
      <c r="O1034">
        <f>-641.978547926035 -154.826824301667 -719.997466836803</f>
        <v>-1516.802839064505</v>
      </c>
      <c r="P1034">
        <f>-652.699965972783 -123.310764006612 -405.23092042296</f>
        <v>-1181.2416504023549</v>
      </c>
      <c r="Q1034">
        <f>-405.281235156122 -50.4053678360749 -438.559961333805</f>
        <v>-894.24656432600193</v>
      </c>
      <c r="R1034" t="s">
        <v>22279</v>
      </c>
      <c r="S1034" t="s">
        <v>22280</v>
      </c>
      <c r="T1034" t="s">
        <v>22281</v>
      </c>
      <c r="U1034" t="s">
        <v>22282</v>
      </c>
      <c r="V1034">
        <f>-631.644662605852 -27.954952113271 -235.665830802737</f>
        <v>-895.26544552185999</v>
      </c>
      <c r="W1034" t="s">
        <v>22283</v>
      </c>
      <c r="X1034" t="s">
        <v>22284</v>
      </c>
      <c r="Y1034" t="s">
        <v>22285</v>
      </c>
    </row>
    <row r="1035" spans="1:25" x14ac:dyDescent="0.3">
      <c r="A1035">
        <v>51700</v>
      </c>
      <c r="B1035" t="s">
        <v>22286</v>
      </c>
      <c r="C1035" t="s">
        <v>22287</v>
      </c>
      <c r="D1035" t="s">
        <v>22288</v>
      </c>
      <c r="E1035" t="s">
        <v>22289</v>
      </c>
      <c r="F1035" t="s">
        <v>22290</v>
      </c>
      <c r="G1035" t="s">
        <v>22291</v>
      </c>
      <c r="H1035">
        <f>-603.708416290121 -0.325354731411601 -838.245217525525</f>
        <v>-1442.2789885470577</v>
      </c>
      <c r="I1035">
        <f>-560.443129728023 -18.9878427212212 -928.593489397083</f>
        <v>-1508.0244618463271</v>
      </c>
      <c r="J1035" t="s">
        <v>22292</v>
      </c>
      <c r="K1035" t="s">
        <v>22293</v>
      </c>
      <c r="L1035" t="s">
        <v>22294</v>
      </c>
      <c r="M1035" t="s">
        <v>22295</v>
      </c>
      <c r="N1035">
        <f>-618.991902050537 -17.1406538338059 -767.276210296748</f>
        <v>-1403.4087661810909</v>
      </c>
      <c r="O1035">
        <f>-642.711936387352 -154.508977128783 -720.455495391059</f>
        <v>-1517.6764089071939</v>
      </c>
      <c r="P1035">
        <f>-653.213011874304 -123.439755795932 -405.63698968512</f>
        <v>-1182.289757355356</v>
      </c>
      <c r="Q1035">
        <f>-405.968050264191 -49.9412814334902 -438.953421856908</f>
        <v>-894.86275355458918</v>
      </c>
      <c r="R1035" t="s">
        <v>22296</v>
      </c>
      <c r="S1035" t="s">
        <v>22297</v>
      </c>
      <c r="T1035" t="s">
        <v>22298</v>
      </c>
      <c r="U1035" t="s">
        <v>22299</v>
      </c>
      <c r="V1035">
        <f>-631.850944775497 -28.2603981272775 -235.682627829866</f>
        <v>-895.79397073264056</v>
      </c>
      <c r="W1035" t="s">
        <v>22300</v>
      </c>
      <c r="X1035" t="s">
        <v>22301</v>
      </c>
      <c r="Y1035" t="s">
        <v>22302</v>
      </c>
    </row>
    <row r="1036" spans="1:25" x14ac:dyDescent="0.3">
      <c r="A1036">
        <v>51750</v>
      </c>
      <c r="B1036" t="s">
        <v>22303</v>
      </c>
      <c r="C1036" t="s">
        <v>22304</v>
      </c>
      <c r="D1036" t="s">
        <v>22305</v>
      </c>
      <c r="E1036" t="s">
        <v>22306</v>
      </c>
      <c r="F1036" t="s">
        <v>22307</v>
      </c>
      <c r="G1036" t="s">
        <v>22308</v>
      </c>
      <c r="H1036" t="s">
        <v>22309</v>
      </c>
      <c r="I1036">
        <f>-562.09396325019 -16.6524976302799 -929.261269228486</f>
        <v>-1508.0077301089559</v>
      </c>
      <c r="J1036" t="s">
        <v>22310</v>
      </c>
      <c r="K1036" t="s">
        <v>22311</v>
      </c>
      <c r="L1036" t="s">
        <v>22312</v>
      </c>
      <c r="M1036" t="s">
        <v>22313</v>
      </c>
      <c r="N1036">
        <f>-620.298428867311 -15.726723655999 -767.832850012082</f>
        <v>-1403.858002535392</v>
      </c>
      <c r="O1036">
        <f>-643.734052946716 -153.334109974063 -721.577170750581</f>
        <v>-1518.64533367136</v>
      </c>
      <c r="P1036">
        <f>-653.719024939209 -123.617277499049 -406.611484170417</f>
        <v>-1183.947786608675</v>
      </c>
      <c r="Q1036">
        <f>-406.78928361302 -49.1080315901678 -440.019895050388</f>
        <v>-895.91721025357583</v>
      </c>
      <c r="R1036" t="s">
        <v>22314</v>
      </c>
      <c r="S1036" t="s">
        <v>22315</v>
      </c>
      <c r="T1036" t="s">
        <v>22316</v>
      </c>
      <c r="U1036" t="s">
        <v>22317</v>
      </c>
      <c r="V1036">
        <f>-632.19965713076 -28.6895344657244 -235.720568646024</f>
        <v>-896.6097602425084</v>
      </c>
      <c r="W1036" t="s">
        <v>22318</v>
      </c>
      <c r="X1036" t="s">
        <v>22319</v>
      </c>
      <c r="Y1036" t="s">
        <v>22320</v>
      </c>
    </row>
    <row r="1037" spans="1:25" x14ac:dyDescent="0.3">
      <c r="A1037">
        <v>51800</v>
      </c>
      <c r="B1037" t="s">
        <v>22321</v>
      </c>
      <c r="C1037" t="s">
        <v>22322</v>
      </c>
      <c r="D1037" t="s">
        <v>22323</v>
      </c>
      <c r="E1037" t="s">
        <v>22324</v>
      </c>
      <c r="F1037" t="s">
        <v>22325</v>
      </c>
      <c r="G1037" t="s">
        <v>22326</v>
      </c>
      <c r="H1037" t="s">
        <v>22327</v>
      </c>
      <c r="I1037">
        <f>-563.033779255695 -15.875180890671 -929.583281750332</f>
        <v>-1508.492241896698</v>
      </c>
      <c r="J1037" t="s">
        <v>22328</v>
      </c>
      <c r="K1037" t="s">
        <v>22329</v>
      </c>
      <c r="L1037" t="s">
        <v>22330</v>
      </c>
      <c r="M1037" t="s">
        <v>22331</v>
      </c>
      <c r="N1037">
        <f>-621.023070118369 -15.3480102122673 -768.077753436918</f>
        <v>-1404.4488337675543</v>
      </c>
      <c r="O1037">
        <f>-644.398856467248 -153.040939678215 -722.101993792198</f>
        <v>-1519.5417899376612</v>
      </c>
      <c r="P1037">
        <f>-654.191715243953 -124.144640492788 -407.053834560227</f>
        <v>-1185.3901902969681</v>
      </c>
      <c r="Q1037">
        <f>-407.396555583165 -49.2584597565417 -440.61360638698</f>
        <v>-897.26862172668666</v>
      </c>
      <c r="R1037" t="s">
        <v>22332</v>
      </c>
      <c r="S1037" t="s">
        <v>22333</v>
      </c>
      <c r="T1037" t="s">
        <v>22334</v>
      </c>
      <c r="U1037" t="s">
        <v>22335</v>
      </c>
      <c r="V1037">
        <f>-632.392057500446 -29.0885694781055 -235.738254009231</f>
        <v>-897.21888098778243</v>
      </c>
      <c r="W1037" t="s">
        <v>22336</v>
      </c>
      <c r="X1037" t="s">
        <v>22337</v>
      </c>
      <c r="Y1037" t="s">
        <v>22338</v>
      </c>
    </row>
    <row r="1038" spans="1:25" x14ac:dyDescent="0.3">
      <c r="A1038">
        <v>51850</v>
      </c>
      <c r="B1038" t="s">
        <v>22339</v>
      </c>
      <c r="C1038" t="s">
        <v>22340</v>
      </c>
      <c r="D1038" t="s">
        <v>22341</v>
      </c>
      <c r="E1038" t="s">
        <v>22342</v>
      </c>
      <c r="F1038" t="s">
        <v>22343</v>
      </c>
      <c r="G1038" t="s">
        <v>22344</v>
      </c>
      <c r="H1038" t="s">
        <v>22345</v>
      </c>
      <c r="I1038">
        <f>-564.497491545736 -14.4171756179733 -930.111313116486</f>
        <v>-1509.0259802801952</v>
      </c>
      <c r="J1038" t="s">
        <v>22346</v>
      </c>
      <c r="K1038" t="s">
        <v>22347</v>
      </c>
      <c r="L1038" t="s">
        <v>22348</v>
      </c>
      <c r="M1038" t="s">
        <v>22349</v>
      </c>
      <c r="N1038">
        <f>-622.140874752043 -14.6616892407072 -768.47795162921</f>
        <v>-1405.2805156219601</v>
      </c>
      <c r="O1038">
        <f>-645.398811991988 -152.584212320488 -723.087785506523</f>
        <v>-1521.0708098189991</v>
      </c>
      <c r="P1038">
        <f>-654.812784086718 -125.412865848514 -407.874645802117</f>
        <v>-1188.1002957373489</v>
      </c>
      <c r="Q1038">
        <f>-408.182703270354 -50.1071387485489 -441.708056510333</f>
        <v>-899.99789852923595</v>
      </c>
      <c r="R1038" t="s">
        <v>22350</v>
      </c>
      <c r="S1038" t="s">
        <v>22351</v>
      </c>
      <c r="T1038" t="s">
        <v>22352</v>
      </c>
      <c r="U1038" t="s">
        <v>22353</v>
      </c>
      <c r="V1038">
        <f>-632.687815819333 -29.874849134163 -235.725096934865</f>
        <v>-898.28776188836105</v>
      </c>
      <c r="W1038" t="s">
        <v>22354</v>
      </c>
      <c r="X1038" t="s">
        <v>22355</v>
      </c>
      <c r="Y1038" t="s">
        <v>22356</v>
      </c>
    </row>
    <row r="1039" spans="1:25" x14ac:dyDescent="0.3">
      <c r="A1039">
        <v>51900</v>
      </c>
      <c r="B1039" t="s">
        <v>22357</v>
      </c>
      <c r="C1039" t="s">
        <v>22358</v>
      </c>
      <c r="D1039" t="s">
        <v>22359</v>
      </c>
      <c r="E1039" t="s">
        <v>22360</v>
      </c>
      <c r="F1039" t="s">
        <v>22361</v>
      </c>
      <c r="G1039" t="s">
        <v>22362</v>
      </c>
      <c r="H1039" t="s">
        <v>22363</v>
      </c>
      <c r="I1039">
        <f>-565.304928047313 -13.7749727508144 -930.306851386347</f>
        <v>-1509.3867521844745</v>
      </c>
      <c r="J1039" t="s">
        <v>22364</v>
      </c>
      <c r="K1039" t="s">
        <v>22365</v>
      </c>
      <c r="L1039" t="s">
        <v>22366</v>
      </c>
      <c r="M1039" t="s">
        <v>22367</v>
      </c>
      <c r="N1039">
        <f>-622.77198850408 -14.3596373464006 -768.609034826243</f>
        <v>-1405.7406606767236</v>
      </c>
      <c r="O1039">
        <f>-646.000184455543 -152.377105119221 -723.497140620126</f>
        <v>-1521.87443019489</v>
      </c>
      <c r="P1039">
        <f>-655.267290929888 -125.927278089588 -408.218247897889</f>
        <v>-1189.412816917365</v>
      </c>
      <c r="Q1039">
        <f>-408.706386147605 -50.4540715136082 -442.182841995982</f>
        <v>-901.34329965719519</v>
      </c>
      <c r="R1039" t="s">
        <v>22368</v>
      </c>
      <c r="S1039" t="s">
        <v>22369</v>
      </c>
      <c r="T1039" t="s">
        <v>22370</v>
      </c>
      <c r="U1039" t="s">
        <v>22371</v>
      </c>
      <c r="V1039">
        <f>-632.831869334315 -30.2996607821986 -235.692709577443</f>
        <v>-898.82423969395666</v>
      </c>
      <c r="W1039" t="s">
        <v>22372</v>
      </c>
      <c r="X1039" t="s">
        <v>22373</v>
      </c>
      <c r="Y1039" t="s">
        <v>22374</v>
      </c>
    </row>
    <row r="1040" spans="1:25" x14ac:dyDescent="0.3">
      <c r="A1040">
        <v>51950</v>
      </c>
      <c r="B1040" t="s">
        <v>22375</v>
      </c>
      <c r="C1040" t="s">
        <v>22376</v>
      </c>
      <c r="D1040" t="s">
        <v>22377</v>
      </c>
      <c r="E1040" t="s">
        <v>22378</v>
      </c>
      <c r="F1040" t="s">
        <v>22379</v>
      </c>
      <c r="G1040" t="s">
        <v>22380</v>
      </c>
      <c r="H1040" t="s">
        <v>22381</v>
      </c>
      <c r="I1040">
        <f>-566.648265485264 -12.191423018401 -930.60683285328</f>
        <v>-1509.4465213569451</v>
      </c>
      <c r="J1040" t="s">
        <v>22382</v>
      </c>
      <c r="K1040" t="s">
        <v>22383</v>
      </c>
      <c r="L1040" t="s">
        <v>22384</v>
      </c>
      <c r="M1040" t="s">
        <v>22385</v>
      </c>
      <c r="N1040">
        <f>-623.828132038035 -13.4562675943641 -768.810688815768</f>
        <v>-1406.0950884481672</v>
      </c>
      <c r="O1040">
        <f>-647.080212777054 -151.637884163364 -724.205158750736</f>
        <v>-1522.9232556911541</v>
      </c>
      <c r="P1040">
        <f>-656.117680458584 -126.645453168212 -408.800844816445</f>
        <v>-1191.563978443241</v>
      </c>
      <c r="Q1040">
        <f>-409.652172570125 -50.886803747853 -442.822344785466</f>
        <v>-903.36132110344397</v>
      </c>
      <c r="R1040" t="s">
        <v>22386</v>
      </c>
      <c r="S1040" t="s">
        <v>22387</v>
      </c>
      <c r="T1040" t="s">
        <v>22388</v>
      </c>
      <c r="U1040" t="s">
        <v>22389</v>
      </c>
      <c r="V1040">
        <f>-633.111129689077 -30.7983351075237 -235.62043915065</f>
        <v>-899.52990394725066</v>
      </c>
      <c r="W1040" t="s">
        <v>22390</v>
      </c>
      <c r="X1040" t="s">
        <v>22391</v>
      </c>
      <c r="Y1040" t="s">
        <v>22392</v>
      </c>
    </row>
    <row r="1041" spans="1:25" x14ac:dyDescent="0.3">
      <c r="A1041">
        <v>52000</v>
      </c>
      <c r="B1041" t="s">
        <v>22393</v>
      </c>
      <c r="C1041" t="s">
        <v>22394</v>
      </c>
      <c r="D1041" t="s">
        <v>22395</v>
      </c>
      <c r="E1041" t="s">
        <v>22396</v>
      </c>
      <c r="F1041" t="s">
        <v>22397</v>
      </c>
      <c r="G1041" t="s">
        <v>22398</v>
      </c>
      <c r="H1041" t="s">
        <v>22399</v>
      </c>
      <c r="I1041">
        <f>-567.164847434654 -11.5168866554416 -930.697862438822</f>
        <v>-1509.3795965289175</v>
      </c>
      <c r="J1041" t="s">
        <v>22400</v>
      </c>
      <c r="K1041" t="s">
        <v>22401</v>
      </c>
      <c r="L1041" t="s">
        <v>22402</v>
      </c>
      <c r="M1041" t="s">
        <v>22403</v>
      </c>
      <c r="N1041">
        <f>-624.230389616311 -13.0878057084026 -768.865985399018</f>
        <v>-1406.1841807237315</v>
      </c>
      <c r="O1041">
        <f>-647.360616949105 -151.365568855502 -724.499886216904</f>
        <v>-1523.2260720215108</v>
      </c>
      <c r="P1041">
        <f>-656.420103469025 -126.844170751448 -409.059234249516</f>
        <v>-1192.3235084699891</v>
      </c>
      <c r="Q1041">
        <f>-409.966517549022 -50.9817327589434 -442.935012141107</f>
        <v>-903.88326244907239</v>
      </c>
      <c r="R1041" t="s">
        <v>22404</v>
      </c>
      <c r="S1041" t="s">
        <v>22405</v>
      </c>
      <c r="T1041" t="s">
        <v>22406</v>
      </c>
      <c r="U1041" t="s">
        <v>22407</v>
      </c>
      <c r="V1041">
        <f>-633.2894052464 -31.1902511566046 -235.590102667571</f>
        <v>-900.06975907057563</v>
      </c>
      <c r="W1041" t="s">
        <v>22408</v>
      </c>
      <c r="X1041" t="s">
        <v>22409</v>
      </c>
      <c r="Y1041" t="s">
        <v>22410</v>
      </c>
    </row>
    <row r="1042" spans="1:25" x14ac:dyDescent="0.3">
      <c r="A1042">
        <v>52050</v>
      </c>
      <c r="B1042" t="s">
        <v>22411</v>
      </c>
      <c r="C1042" t="s">
        <v>22412</v>
      </c>
      <c r="D1042" t="s">
        <v>22413</v>
      </c>
      <c r="E1042" t="s">
        <v>22414</v>
      </c>
      <c r="F1042" t="s">
        <v>22415</v>
      </c>
      <c r="G1042" t="s">
        <v>22416</v>
      </c>
      <c r="H1042" t="s">
        <v>22417</v>
      </c>
      <c r="I1042">
        <f>-567.613734695834 -11.0943908639441 -930.760790527551</f>
        <v>-1509.468916087329</v>
      </c>
      <c r="J1042" t="s">
        <v>22418</v>
      </c>
      <c r="K1042" t="s">
        <v>22419</v>
      </c>
      <c r="L1042" t="s">
        <v>22420</v>
      </c>
      <c r="M1042" t="s">
        <v>22421</v>
      </c>
      <c r="N1042">
        <f>-624.56558227169 -12.921600888095 -768.887653841356</f>
        <v>-1406.374837001141</v>
      </c>
      <c r="O1042">
        <f>-647.546591610175 -151.283712390278 -724.709814032154</f>
        <v>-1523.5401180326071</v>
      </c>
      <c r="P1042">
        <f>-656.792123693241 -127.165439769976 -409.243412040073</f>
        <v>-1193.20097550329</v>
      </c>
      <c r="Q1042">
        <f>-410.389554693794 -51.1204768116658 -443.081298966328</f>
        <v>-904.59133047178784</v>
      </c>
      <c r="R1042" t="s">
        <v>22422</v>
      </c>
      <c r="S1042" t="s">
        <v>22423</v>
      </c>
      <c r="T1042" t="s">
        <v>22424</v>
      </c>
      <c r="U1042" t="s">
        <v>22425</v>
      </c>
      <c r="V1042">
        <f>-633.433663192351 -31.6009809168224 -235.561411918642</f>
        <v>-900.59605602781539</v>
      </c>
      <c r="W1042" t="s">
        <v>22426</v>
      </c>
      <c r="X1042" t="s">
        <v>22427</v>
      </c>
      <c r="Y1042" t="s">
        <v>22428</v>
      </c>
    </row>
    <row r="1043" spans="1:25" x14ac:dyDescent="0.3">
      <c r="A1043">
        <v>52100</v>
      </c>
      <c r="B1043" t="s">
        <v>22429</v>
      </c>
      <c r="C1043" t="s">
        <v>22430</v>
      </c>
      <c r="D1043" t="s">
        <v>22431</v>
      </c>
      <c r="E1043" t="s">
        <v>22432</v>
      </c>
      <c r="F1043" t="s">
        <v>22433</v>
      </c>
      <c r="G1043" t="s">
        <v>22434</v>
      </c>
      <c r="H1043" t="s">
        <v>22435</v>
      </c>
      <c r="I1043">
        <f>-568.485604450659 -10.7475180426133 -930.841180979433</f>
        <v>-1510.0743034727052</v>
      </c>
      <c r="J1043" t="s">
        <v>22436</v>
      </c>
      <c r="K1043" t="s">
        <v>22437</v>
      </c>
      <c r="L1043" t="s">
        <v>22438</v>
      </c>
      <c r="M1043" t="s">
        <v>22439</v>
      </c>
      <c r="N1043">
        <f>-625.232808391431 -12.9158542941658 -768.897101963532</f>
        <v>-1407.0457646491288</v>
      </c>
      <c r="O1043">
        <f>-647.895499623207 -151.40821766301 -724.990139096533</f>
        <v>-1524.2938563827499</v>
      </c>
      <c r="P1043">
        <f>-657.2534767014 -127.905018972787 -409.48060081664</f>
        <v>-1194.6390964908271</v>
      </c>
      <c r="Q1043">
        <f>-410.918626167776 -51.4642538707511 -442.917210099867</f>
        <v>-905.30009013839413</v>
      </c>
      <c r="R1043" t="s">
        <v>22440</v>
      </c>
      <c r="S1043" t="s">
        <v>22441</v>
      </c>
      <c r="T1043" t="s">
        <v>22442</v>
      </c>
      <c r="U1043" t="s">
        <v>22443</v>
      </c>
      <c r="V1043">
        <f>-633.722628909141 -32.08824704585 -235.525002122413</f>
        <v>-901.335878077404</v>
      </c>
      <c r="W1043" t="s">
        <v>22444</v>
      </c>
      <c r="X1043" t="s">
        <v>22445</v>
      </c>
      <c r="Y1043" t="s">
        <v>22446</v>
      </c>
    </row>
    <row r="1044" spans="1:25" x14ac:dyDescent="0.3">
      <c r="A1044">
        <v>52150</v>
      </c>
      <c r="B1044" t="s">
        <v>22447</v>
      </c>
      <c r="C1044" t="s">
        <v>22448</v>
      </c>
      <c r="D1044" t="s">
        <v>22449</v>
      </c>
      <c r="E1044" t="s">
        <v>22450</v>
      </c>
      <c r="F1044" t="s">
        <v>22451</v>
      </c>
      <c r="G1044" t="s">
        <v>22452</v>
      </c>
      <c r="H1044" t="s">
        <v>22453</v>
      </c>
      <c r="I1044">
        <f>-568.104154974636 -10.3875205580206 -930.889322689151</f>
        <v>-1509.3809982218077</v>
      </c>
      <c r="J1044" t="s">
        <v>22454</v>
      </c>
      <c r="K1044" t="s">
        <v>22455</v>
      </c>
      <c r="L1044" t="s">
        <v>22456</v>
      </c>
      <c r="M1044" t="s">
        <v>22457</v>
      </c>
      <c r="N1044">
        <f>-625.058572773351 -12.7961947501525 -769.008254790176</f>
        <v>-1406.8630223136795</v>
      </c>
      <c r="O1044">
        <f>-647.900017775789 -151.314529328818 -725.21023954755</f>
        <v>-1524.4247866521571</v>
      </c>
      <c r="P1044">
        <f>-657.098300525015 -128.091347316771 -409.675253688983</f>
        <v>-1194.864901530769</v>
      </c>
      <c r="Q1044">
        <f>-410.752991634081 -51.6578433837068 -443.051571478307</f>
        <v>-905.46240649609479</v>
      </c>
      <c r="R1044" t="s">
        <v>22458</v>
      </c>
      <c r="S1044" t="s">
        <v>22459</v>
      </c>
      <c r="T1044" t="s">
        <v>22460</v>
      </c>
      <c r="U1044" t="s">
        <v>22461</v>
      </c>
      <c r="V1044">
        <f>-633.9941855281 -32.2267395161723 -235.548175796276</f>
        <v>-901.76910084054839</v>
      </c>
      <c r="W1044" t="s">
        <v>22462</v>
      </c>
      <c r="X1044" t="s">
        <v>22463</v>
      </c>
      <c r="Y1044" t="s">
        <v>22464</v>
      </c>
    </row>
    <row r="1045" spans="1:25" x14ac:dyDescent="0.3">
      <c r="A1045">
        <v>52200</v>
      </c>
      <c r="B1045" t="s">
        <v>22465</v>
      </c>
      <c r="C1045" t="s">
        <v>22466</v>
      </c>
      <c r="D1045" t="s">
        <v>22467</v>
      </c>
      <c r="E1045" t="s">
        <v>22468</v>
      </c>
      <c r="F1045" t="s">
        <v>22469</v>
      </c>
      <c r="G1045" t="s">
        <v>22470</v>
      </c>
      <c r="H1045" t="s">
        <v>22471</v>
      </c>
      <c r="I1045">
        <f>-567.344521260574 -10.0437186726525 -930.864634730726</f>
        <v>-1508.2528746639525</v>
      </c>
      <c r="J1045" t="s">
        <v>22472</v>
      </c>
      <c r="K1045" t="s">
        <v>22473</v>
      </c>
      <c r="L1045" t="s">
        <v>22474</v>
      </c>
      <c r="M1045" t="s">
        <v>22475</v>
      </c>
      <c r="N1045">
        <f>-624.548785547709 -12.5730882686938 -769.06951288114</f>
        <v>-1406.1913866975428</v>
      </c>
      <c r="O1045">
        <f>-647.531679893683 -151.081561352101 -725.325320563864</f>
        <v>-1523.938561809648</v>
      </c>
      <c r="P1045">
        <f>-656.974645910399 -127.900045989026 -409.794574161641</f>
        <v>-1194.6692660610661</v>
      </c>
      <c r="Q1045">
        <f>-410.627154439398 -51.5157291348181 -443.267634558927</f>
        <v>-905.41051813314311</v>
      </c>
      <c r="R1045" t="s">
        <v>22476</v>
      </c>
      <c r="S1045" t="s">
        <v>22477</v>
      </c>
      <c r="T1045" t="s">
        <v>22478</v>
      </c>
      <c r="U1045" t="s">
        <v>22479</v>
      </c>
      <c r="V1045">
        <f>-634.18309509 -32.2684131348296 -235.558334841644</f>
        <v>-902.00984306647365</v>
      </c>
      <c r="W1045" t="s">
        <v>22480</v>
      </c>
      <c r="X1045" t="s">
        <v>22481</v>
      </c>
      <c r="Y1045" t="s">
        <v>22482</v>
      </c>
    </row>
    <row r="1046" spans="1:25" x14ac:dyDescent="0.3">
      <c r="A1046">
        <v>52250</v>
      </c>
      <c r="B1046" t="s">
        <v>22483</v>
      </c>
      <c r="C1046" t="s">
        <v>22484</v>
      </c>
      <c r="D1046" t="s">
        <v>22485</v>
      </c>
      <c r="E1046" t="s">
        <v>22486</v>
      </c>
      <c r="F1046" t="s">
        <v>22487</v>
      </c>
      <c r="G1046" t="s">
        <v>22488</v>
      </c>
      <c r="H1046" t="s">
        <v>22489</v>
      </c>
      <c r="I1046">
        <f>-565.937866260384 -9.4168396849161 -930.658581155862</f>
        <v>-1506.0132871011619</v>
      </c>
      <c r="J1046" t="s">
        <v>22490</v>
      </c>
      <c r="K1046" t="s">
        <v>22491</v>
      </c>
      <c r="L1046" t="s">
        <v>22492</v>
      </c>
      <c r="M1046" t="s">
        <v>22493</v>
      </c>
      <c r="N1046">
        <f>-623.646223256791 -12.1789352391518 -769.068642470823</f>
        <v>-1404.8938009667659</v>
      </c>
      <c r="O1046">
        <f>-646.557255850155 -150.73603256851 -725.483876575841</f>
        <v>-1522.7771649945062</v>
      </c>
      <c r="P1046">
        <f>-656.883225056545 -127.551762902052 -409.980990048624</f>
        <v>-1194.4159780072209</v>
      </c>
      <c r="Q1046">
        <f>-410.405648774195 -51.4993442882785 -443.250971730841</f>
        <v>-905.15596479331452</v>
      </c>
      <c r="R1046" t="s">
        <v>22494</v>
      </c>
      <c r="S1046" t="s">
        <v>22495</v>
      </c>
      <c r="T1046" t="s">
        <v>22496</v>
      </c>
      <c r="U1046" t="s">
        <v>22497</v>
      </c>
      <c r="V1046">
        <f>-634.59646721365 -32.4795687001019 -235.576184347174</f>
        <v>-902.65222026092601</v>
      </c>
      <c r="W1046" t="s">
        <v>22498</v>
      </c>
      <c r="X1046" t="s">
        <v>22499</v>
      </c>
      <c r="Y1046" t="s">
        <v>22500</v>
      </c>
    </row>
    <row r="1047" spans="1:25" x14ac:dyDescent="0.3">
      <c r="A1047">
        <v>52300</v>
      </c>
      <c r="B1047" t="s">
        <v>22501</v>
      </c>
      <c r="C1047" t="s">
        <v>22502</v>
      </c>
      <c r="D1047" t="s">
        <v>22503</v>
      </c>
      <c r="E1047" t="s">
        <v>22504</v>
      </c>
      <c r="F1047" t="s">
        <v>22505</v>
      </c>
      <c r="G1047" t="s">
        <v>22506</v>
      </c>
      <c r="H1047" t="s">
        <v>22507</v>
      </c>
      <c r="I1047">
        <f>-565.417302785596 -9.27131037230008 -930.481901423302</f>
        <v>-1505.1705145811979</v>
      </c>
      <c r="J1047" t="s">
        <v>22508</v>
      </c>
      <c r="K1047" t="s">
        <v>22509</v>
      </c>
      <c r="L1047" t="s">
        <v>22510</v>
      </c>
      <c r="M1047" t="s">
        <v>22511</v>
      </c>
      <c r="N1047">
        <f>-623.393244235955 -12.0892486282614 -768.999887336041</f>
        <v>-1404.4823802002575</v>
      </c>
      <c r="O1047">
        <f>-646.18469498291 -150.692718571694 -725.471194492316</f>
        <v>-1522.3486080469199</v>
      </c>
      <c r="P1047">
        <f>-656.890758077473 -127.597923559189 -409.974468334053</f>
        <v>-1194.463149970715</v>
      </c>
      <c r="Q1047">
        <f>-410.385013359097 -51.5238441451284 -442.985228485984</f>
        <v>-904.89408599020942</v>
      </c>
      <c r="R1047" t="s">
        <v>22512</v>
      </c>
      <c r="S1047" t="s">
        <v>22513</v>
      </c>
      <c r="T1047" t="s">
        <v>22514</v>
      </c>
      <c r="U1047" t="s">
        <v>22515</v>
      </c>
      <c r="V1047">
        <f>-634.825563456304 -32.5713578981062 -235.571986347209</f>
        <v>-902.96890770161917</v>
      </c>
      <c r="W1047" t="s">
        <v>22516</v>
      </c>
      <c r="X1047" t="s">
        <v>22517</v>
      </c>
      <c r="Y1047" t="s">
        <v>22518</v>
      </c>
    </row>
    <row r="1048" spans="1:25" x14ac:dyDescent="0.3">
      <c r="A1048">
        <v>52350</v>
      </c>
      <c r="B1048" t="s">
        <v>22519</v>
      </c>
      <c r="C1048" t="s">
        <v>22520</v>
      </c>
      <c r="D1048" t="s">
        <v>22521</v>
      </c>
      <c r="E1048" t="s">
        <v>22522</v>
      </c>
      <c r="F1048" t="s">
        <v>22523</v>
      </c>
      <c r="G1048" t="s">
        <v>22524</v>
      </c>
      <c r="H1048" t="s">
        <v>22525</v>
      </c>
      <c r="I1048">
        <f>-564.731907745221 -9.50319598662792 -929.980920059828</f>
        <v>-1504.2160237916769</v>
      </c>
      <c r="J1048" t="s">
        <v>22526</v>
      </c>
      <c r="K1048" t="s">
        <v>22527</v>
      </c>
      <c r="L1048" t="s">
        <v>22528</v>
      </c>
      <c r="M1048" t="s">
        <v>22529</v>
      </c>
      <c r="N1048">
        <f>-623.276804962382 -12.3342178833466 -768.709628237818</f>
        <v>-1404.3206510835466</v>
      </c>
      <c r="O1048">
        <f>-645.983886822919 -150.931887363035 -725.161054996323</f>
        <v>-1522.0768291822769</v>
      </c>
      <c r="P1048">
        <f>-656.950773348911 -127.84193753383 -409.672935188525</f>
        <v>-1194.4656460712658</v>
      </c>
      <c r="Q1048">
        <f>-410.365977397269 -51.8199965357088 -442.209777883288</f>
        <v>-904.39575181626583</v>
      </c>
      <c r="R1048" t="s">
        <v>22530</v>
      </c>
      <c r="S1048" t="s">
        <v>22531</v>
      </c>
      <c r="T1048" t="s">
        <v>22532</v>
      </c>
      <c r="U1048" t="s">
        <v>22533</v>
      </c>
      <c r="V1048">
        <f>-635.391848911372 -32.6937185934398 -235.53338937532</f>
        <v>-903.6189568801318</v>
      </c>
      <c r="W1048" t="s">
        <v>22534</v>
      </c>
      <c r="X1048" t="s">
        <v>22535</v>
      </c>
      <c r="Y1048" t="s">
        <v>22536</v>
      </c>
    </row>
    <row r="1049" spans="1:25" x14ac:dyDescent="0.3">
      <c r="A1049">
        <v>52400</v>
      </c>
      <c r="B1049" t="s">
        <v>22537</v>
      </c>
      <c r="C1049" t="s">
        <v>22538</v>
      </c>
      <c r="D1049" t="s">
        <v>22539</v>
      </c>
      <c r="E1049" t="s">
        <v>22540</v>
      </c>
      <c r="F1049" t="s">
        <v>22541</v>
      </c>
      <c r="G1049" t="s">
        <v>22542</v>
      </c>
      <c r="H1049" t="s">
        <v>22543</v>
      </c>
      <c r="I1049">
        <f>-564.524494727738 -9.64192084416135 -929.800165273754</f>
        <v>-1503.9665808456534</v>
      </c>
      <c r="J1049" t="s">
        <v>22544</v>
      </c>
      <c r="K1049" t="s">
        <v>22545</v>
      </c>
      <c r="L1049" t="s">
        <v>22546</v>
      </c>
      <c r="M1049" t="s">
        <v>22547</v>
      </c>
      <c r="N1049">
        <f>-623.244541586553 -12.4456713549077 -768.599049181245</f>
        <v>-1404.2892621227058</v>
      </c>
      <c r="O1049">
        <f>-645.831801539097 -151.043419974333 -724.970233701383</f>
        <v>-1521.845455214813</v>
      </c>
      <c r="P1049">
        <f>-656.928412051682 -127.622865717402 -409.511065480456</f>
        <v>-1194.0623432495399</v>
      </c>
      <c r="Q1049">
        <f>-410.279926456971 -51.688546386298 -441.769055025151</f>
        <v>-903.73752786841999</v>
      </c>
      <c r="R1049" t="s">
        <v>22548</v>
      </c>
      <c r="S1049" t="s">
        <v>22549</v>
      </c>
      <c r="T1049" t="s">
        <v>22550</v>
      </c>
      <c r="U1049" t="s">
        <v>22551</v>
      </c>
      <c r="V1049">
        <f>-635.616974462052 -32.6999056592032 -235.525494071856</f>
        <v>-903.84237419311114</v>
      </c>
      <c r="W1049" t="s">
        <v>22552</v>
      </c>
      <c r="X1049" t="s">
        <v>22553</v>
      </c>
      <c r="Y1049" t="s">
        <v>22554</v>
      </c>
    </row>
    <row r="1050" spans="1:25" x14ac:dyDescent="0.3">
      <c r="A1050">
        <v>52450</v>
      </c>
      <c r="B1050" t="s">
        <v>22555</v>
      </c>
      <c r="C1050" t="s">
        <v>22556</v>
      </c>
      <c r="D1050" t="s">
        <v>22557</v>
      </c>
      <c r="E1050" t="s">
        <v>22558</v>
      </c>
      <c r="F1050" t="s">
        <v>22559</v>
      </c>
      <c r="G1050" t="s">
        <v>22560</v>
      </c>
      <c r="H1050" t="s">
        <v>22561</v>
      </c>
      <c r="I1050">
        <f>-564.171477100605 -10.3943662475126 -929.476949443733</f>
        <v>-1504.0427927918506</v>
      </c>
      <c r="J1050" t="s">
        <v>22562</v>
      </c>
      <c r="K1050" t="s">
        <v>22563</v>
      </c>
      <c r="L1050" t="s">
        <v>22564</v>
      </c>
      <c r="M1050" t="s">
        <v>22565</v>
      </c>
      <c r="N1050">
        <f>-623.140761415031 -12.9178489235294 -768.37207780357</f>
        <v>-1404.4306881421303</v>
      </c>
      <c r="O1050">
        <f>-645.364515613926 -151.478301209011 -724.418677153512</f>
        <v>-1521.2614939764489</v>
      </c>
      <c r="P1050">
        <f>-656.865561255231 -126.809545139572 -409.068950369791</f>
        <v>-1192.744056764594</v>
      </c>
      <c r="Q1050">
        <f>-410.077039834484 -51.269655794304 -441.180962787493</f>
        <v>-902.52765841628104</v>
      </c>
      <c r="R1050" t="s">
        <v>22566</v>
      </c>
      <c r="S1050" t="s">
        <v>22567</v>
      </c>
      <c r="T1050" t="s">
        <v>22568</v>
      </c>
      <c r="U1050" t="s">
        <v>22569</v>
      </c>
      <c r="V1050">
        <f>-636.130034229466 -32.591501991034 -235.552792998576</f>
        <v>-904.27432921907598</v>
      </c>
      <c r="W1050" t="s">
        <v>22570</v>
      </c>
      <c r="X1050" t="s">
        <v>22571</v>
      </c>
      <c r="Y1050" t="s">
        <v>22572</v>
      </c>
    </row>
    <row r="1051" spans="1:25" x14ac:dyDescent="0.3">
      <c r="A1051">
        <v>52500</v>
      </c>
      <c r="B1051" t="s">
        <v>22573</v>
      </c>
      <c r="C1051" t="s">
        <v>22574</v>
      </c>
      <c r="D1051" t="s">
        <v>22575</v>
      </c>
      <c r="E1051" t="s">
        <v>22576</v>
      </c>
      <c r="F1051" t="s">
        <v>22577</v>
      </c>
      <c r="G1051" t="s">
        <v>22578</v>
      </c>
      <c r="H1051" t="s">
        <v>22579</v>
      </c>
      <c r="I1051">
        <f>-564.164614546228 -10.9499904566744 -929.29953592925</f>
        <v>-1504.4141409321523</v>
      </c>
      <c r="J1051" t="s">
        <v>22580</v>
      </c>
      <c r="K1051" t="s">
        <v>22581</v>
      </c>
      <c r="L1051" t="s">
        <v>22582</v>
      </c>
      <c r="M1051" t="s">
        <v>22583</v>
      </c>
      <c r="N1051">
        <f>-623.236410695267 -13.2542447407818 -768.229911757744</f>
        <v>-1404.7205671937927</v>
      </c>
      <c r="O1051">
        <f>-645.271711404389 -151.774442036261 -724.079914136213</f>
        <v>-1521.1260675768631</v>
      </c>
      <c r="P1051">
        <f>-656.762208010838 -126.592621246314 -408.770449583198</f>
        <v>-1192.1252788403499</v>
      </c>
      <c r="Q1051">
        <f>-409.92880472894 -51.2204759779002 -440.93222881742</f>
        <v>-902.08150952426024</v>
      </c>
      <c r="R1051" t="s">
        <v>22584</v>
      </c>
      <c r="S1051" t="s">
        <v>22585</v>
      </c>
      <c r="T1051" t="s">
        <v>22586</v>
      </c>
      <c r="U1051" t="s">
        <v>22587</v>
      </c>
      <c r="V1051">
        <f>-636.400225665399 -32.4697648715629 -235.575036284151</f>
        <v>-904.44502682111295</v>
      </c>
      <c r="W1051" t="s">
        <v>22588</v>
      </c>
      <c r="X1051" t="s">
        <v>22589</v>
      </c>
      <c r="Y1051" t="s">
        <v>22590</v>
      </c>
    </row>
    <row r="1052" spans="1:25" x14ac:dyDescent="0.3">
      <c r="A1052">
        <v>52550</v>
      </c>
      <c r="B1052" t="s">
        <v>22591</v>
      </c>
      <c r="C1052" t="s">
        <v>22592</v>
      </c>
      <c r="D1052" t="s">
        <v>22593</v>
      </c>
      <c r="E1052" t="s">
        <v>22594</v>
      </c>
      <c r="F1052" t="s">
        <v>22595</v>
      </c>
      <c r="G1052" t="s">
        <v>22596</v>
      </c>
      <c r="H1052" t="s">
        <v>22597</v>
      </c>
      <c r="I1052">
        <f>-565.414904937073 -12.6622912902096 -929.195841650767</f>
        <v>-1507.2730378780495</v>
      </c>
      <c r="J1052" t="s">
        <v>22598</v>
      </c>
      <c r="K1052" t="s">
        <v>22599</v>
      </c>
      <c r="L1052" t="s">
        <v>22600</v>
      </c>
      <c r="M1052" t="s">
        <v>22601</v>
      </c>
      <c r="N1052">
        <f>-624.511538931168 -14.4183962442156 -768.138975480114</f>
        <v>-1407.0689106554978</v>
      </c>
      <c r="O1052">
        <f>-646.507912180988 -152.796860857559 -723.51997955357</f>
        <v>-1522.824752592117</v>
      </c>
      <c r="P1052">
        <f>-657.255655258746 -127.103159183046 -408.225750371144</f>
        <v>-1192.5845648129359</v>
      </c>
      <c r="Q1052">
        <f>-410.357686646313 -52.2464863296866 -441.087685298444</f>
        <v>-903.69185827444358</v>
      </c>
      <c r="R1052" t="s">
        <v>22602</v>
      </c>
      <c r="S1052" t="s">
        <v>22603</v>
      </c>
      <c r="T1052" t="s">
        <v>22604</v>
      </c>
      <c r="U1052" t="s">
        <v>22605</v>
      </c>
      <c r="V1052">
        <f>-637.075981171477 -32.2953515768871 -235.709018879715</f>
        <v>-905.08035162807914</v>
      </c>
      <c r="W1052" t="s">
        <v>22606</v>
      </c>
      <c r="X1052" t="s">
        <v>22607</v>
      </c>
      <c r="Y1052" t="s">
        <v>22608</v>
      </c>
    </row>
    <row r="1053" spans="1:25" x14ac:dyDescent="0.3">
      <c r="A1053">
        <v>52600</v>
      </c>
      <c r="B1053" t="s">
        <v>22609</v>
      </c>
      <c r="C1053" t="s">
        <v>22610</v>
      </c>
      <c r="D1053" t="s">
        <v>22611</v>
      </c>
      <c r="E1053" t="s">
        <v>22612</v>
      </c>
      <c r="F1053" t="s">
        <v>22613</v>
      </c>
      <c r="G1053" t="s">
        <v>22614</v>
      </c>
      <c r="H1053" t="s">
        <v>22615</v>
      </c>
      <c r="I1053">
        <f>-566.174260298973 -13.7728317087953 -929.301277019812</f>
        <v>-1509.2483690275803</v>
      </c>
      <c r="J1053" t="s">
        <v>22616</v>
      </c>
      <c r="K1053" t="s">
        <v>22617</v>
      </c>
      <c r="L1053" t="s">
        <v>22618</v>
      </c>
      <c r="M1053" t="s">
        <v>22619</v>
      </c>
      <c r="N1053">
        <f>-625.162013499658 -15.219828692749 -768.209821305634</f>
        <v>-1408.591663498041</v>
      </c>
      <c r="O1053">
        <f>-647.222197969335 -153.50065934188 -723.354558574825</f>
        <v>-1524.0774158860399</v>
      </c>
      <c r="P1053">
        <f>-657.263685331245 -127.316817521651 -408.077301953162</f>
        <v>-1192.657804806058</v>
      </c>
      <c r="Q1053">
        <f>-410.101344378672 -53.5423462401253 -441.396118674161</f>
        <v>-905.03980929295835</v>
      </c>
      <c r="R1053" t="s">
        <v>22620</v>
      </c>
      <c r="S1053" t="s">
        <v>22621</v>
      </c>
      <c r="T1053" t="s">
        <v>22622</v>
      </c>
      <c r="U1053" t="s">
        <v>22623</v>
      </c>
      <c r="V1053">
        <f>-637.382291185705 -32.3031112872847 -235.846942868588</f>
        <v>-905.53234534157764</v>
      </c>
      <c r="W1053" t="s">
        <v>22624</v>
      </c>
      <c r="X1053" t="s">
        <v>22625</v>
      </c>
      <c r="Y1053" t="s">
        <v>22626</v>
      </c>
    </row>
    <row r="1054" spans="1:25" x14ac:dyDescent="0.3">
      <c r="A1054">
        <v>52650</v>
      </c>
      <c r="B1054" t="s">
        <v>22627</v>
      </c>
      <c r="C1054" t="s">
        <v>22628</v>
      </c>
      <c r="D1054" t="s">
        <v>22629</v>
      </c>
      <c r="E1054" t="s">
        <v>22630</v>
      </c>
      <c r="F1054" t="s">
        <v>22631</v>
      </c>
      <c r="G1054" t="s">
        <v>22632</v>
      </c>
      <c r="H1054" t="s">
        <v>22633</v>
      </c>
      <c r="I1054">
        <f>-567.865965384905 -16.0899053635627 -929.767304269521</f>
        <v>-1513.7231750179888</v>
      </c>
      <c r="J1054" t="s">
        <v>22634</v>
      </c>
      <c r="K1054" t="s">
        <v>22635</v>
      </c>
      <c r="L1054" t="s">
        <v>22636</v>
      </c>
      <c r="M1054" t="s">
        <v>22637</v>
      </c>
      <c r="N1054">
        <f>-626.561504396448 -16.8229223953685 -768.570922511612</f>
        <v>-1411.9553493034286</v>
      </c>
      <c r="O1054">
        <f>-649.008016503869 -154.890788271157 -723.238183825264</f>
        <v>-1527.1369886002899</v>
      </c>
      <c r="P1054">
        <f>-657.142622376484 -128.785837328524 -407.899419331362</f>
        <v>-1193.8278790363699</v>
      </c>
      <c r="Q1054">
        <f>-409.452564802654 -57.1767585147396 -442.014523471505</f>
        <v>-908.6438467888986</v>
      </c>
      <c r="R1054" t="s">
        <v>22638</v>
      </c>
      <c r="S1054" t="s">
        <v>22639</v>
      </c>
      <c r="T1054" t="s">
        <v>22640</v>
      </c>
      <c r="U1054" t="s">
        <v>22641</v>
      </c>
      <c r="V1054">
        <f>-637.791914394934 -32.1270031220298 -236.247824044764</f>
        <v>-906.1667415617278</v>
      </c>
      <c r="W1054" t="s">
        <v>22642</v>
      </c>
      <c r="X1054" t="s">
        <v>22643</v>
      </c>
      <c r="Y1054" t="s">
        <v>22644</v>
      </c>
    </row>
    <row r="1055" spans="1:25" x14ac:dyDescent="0.3">
      <c r="A1055">
        <v>52700</v>
      </c>
      <c r="B1055" t="s">
        <v>22645</v>
      </c>
      <c r="C1055" t="s">
        <v>22646</v>
      </c>
      <c r="D1055" t="s">
        <v>22647</v>
      </c>
      <c r="E1055" t="s">
        <v>22648</v>
      </c>
      <c r="F1055" t="s">
        <v>22649</v>
      </c>
      <c r="G1055" t="s">
        <v>22650</v>
      </c>
      <c r="H1055" t="s">
        <v>22651</v>
      </c>
      <c r="I1055">
        <f>-568.858980845389 -16.8378022626627 -929.936839925426</f>
        <v>-1515.6336230334778</v>
      </c>
      <c r="J1055" t="s">
        <v>22652</v>
      </c>
      <c r="K1055" t="s">
        <v>22653</v>
      </c>
      <c r="L1055" t="s">
        <v>22654</v>
      </c>
      <c r="M1055" t="s">
        <v>22655</v>
      </c>
      <c r="N1055">
        <f>-627.359518345437 -17.2461745988624 -768.683599137695</f>
        <v>-1413.2892920819943</v>
      </c>
      <c r="O1055">
        <f>-650.028420812697 -155.229877233657 -723.145011453037</f>
        <v>-1528.4033094993911</v>
      </c>
      <c r="P1055">
        <f>-656.748590451168 -129.211781549311 -407.765702284995</f>
        <v>-1193.7260742854739</v>
      </c>
      <c r="Q1055">
        <f>-408.80323518729 -58.9913840988639 -442.897665125831</f>
        <v>-910.69228441198493</v>
      </c>
      <c r="R1055" t="s">
        <v>22656</v>
      </c>
      <c r="S1055" t="s">
        <v>22657</v>
      </c>
      <c r="T1055" t="s">
        <v>22658</v>
      </c>
      <c r="U1055" t="s">
        <v>22659</v>
      </c>
      <c r="V1055">
        <f>-638.026159126284 -31.987792544401 -236.388066426259</f>
        <v>-906.40201809694406</v>
      </c>
      <c r="W1055" t="s">
        <v>22660</v>
      </c>
      <c r="X1055" t="s">
        <v>22661</v>
      </c>
      <c r="Y1055" t="s">
        <v>22662</v>
      </c>
    </row>
    <row r="1056" spans="1:25" x14ac:dyDescent="0.3">
      <c r="A1056">
        <v>52750</v>
      </c>
      <c r="B1056" t="s">
        <v>22663</v>
      </c>
      <c r="C1056" t="s">
        <v>22664</v>
      </c>
      <c r="D1056" t="s">
        <v>22665</v>
      </c>
      <c r="E1056" t="s">
        <v>22666</v>
      </c>
      <c r="F1056" t="s">
        <v>22667</v>
      </c>
      <c r="G1056" t="s">
        <v>22668</v>
      </c>
      <c r="H1056">
        <f>-613.740377143847 -0.436729138213067 -839.666027482617</f>
        <v>-1453.8431337646771</v>
      </c>
      <c r="I1056">
        <f>-570.351588778225 -18.2522881945086 -930.125916658613</f>
        <v>-1518.7297936313466</v>
      </c>
      <c r="J1056" t="s">
        <v>22669</v>
      </c>
      <c r="K1056" t="s">
        <v>22670</v>
      </c>
      <c r="L1056" t="s">
        <v>22671</v>
      </c>
      <c r="M1056" t="s">
        <v>22672</v>
      </c>
      <c r="N1056">
        <f>-628.465019214038 -17.9658128233752 -768.751782660613</f>
        <v>-1415.1826146980261</v>
      </c>
      <c r="O1056">
        <f>-651.338691552807 -155.744293312545 -722.731366504454</f>
        <v>-1529.814351369806</v>
      </c>
      <c r="P1056">
        <f>-657.159268385283 -129.738885135936 -407.33320951457</f>
        <v>-1194.2313630357889</v>
      </c>
      <c r="Q1056">
        <f>-409.42540170854 -60.3462477529431 -445.472921502174</f>
        <v>-915.24457096365711</v>
      </c>
      <c r="R1056" t="s">
        <v>22673</v>
      </c>
      <c r="S1056" t="s">
        <v>22674</v>
      </c>
      <c r="T1056" t="s">
        <v>22675</v>
      </c>
      <c r="U1056" t="s">
        <v>22676</v>
      </c>
      <c r="V1056">
        <f>-638.385657348414 -31.5797382020658 -236.552121274869</f>
        <v>-906.51751682534882</v>
      </c>
      <c r="W1056" t="s">
        <v>22677</v>
      </c>
      <c r="X1056" t="s">
        <v>22678</v>
      </c>
      <c r="Y1056" t="s">
        <v>22679</v>
      </c>
    </row>
    <row r="1057" spans="1:25" x14ac:dyDescent="0.3">
      <c r="A1057">
        <v>52800</v>
      </c>
      <c r="B1057" t="s">
        <v>22680</v>
      </c>
      <c r="C1057" t="s">
        <v>22681</v>
      </c>
      <c r="D1057" t="s">
        <v>22682</v>
      </c>
      <c r="E1057" t="s">
        <v>22683</v>
      </c>
      <c r="F1057" t="s">
        <v>22684</v>
      </c>
      <c r="G1057" t="s">
        <v>22685</v>
      </c>
      <c r="H1057">
        <f>-613.958385223991 -0.655342335153847 -839.822904720492</f>
        <v>-1454.4366322796368</v>
      </c>
      <c r="I1057">
        <f>-570.662184995558 -18.6052367795351 -930.300593264955</f>
        <v>-1519.5680150400481</v>
      </c>
      <c r="J1057" t="s">
        <v>22686</v>
      </c>
      <c r="K1057" t="s">
        <v>22687</v>
      </c>
      <c r="L1057" t="s">
        <v>22688</v>
      </c>
      <c r="M1057" t="s">
        <v>22689</v>
      </c>
      <c r="N1057">
        <f>-628.651802274294 -18.111203997561 -768.884169909577</f>
        <v>-1415.6471761814321</v>
      </c>
      <c r="O1057">
        <f>-651.693472210327 -155.806328372374 -722.679579017048</f>
        <v>-1530.1793795997489</v>
      </c>
      <c r="P1057">
        <f>-657.318900610971 -129.179256417111 -407.329686130471</f>
        <v>-1193.8278431585529</v>
      </c>
      <c r="Q1057">
        <f>-409.334306162024 -60.7447652243948 -445.571207350079</f>
        <v>-915.65027873649785</v>
      </c>
      <c r="R1057" t="s">
        <v>22690</v>
      </c>
      <c r="S1057" t="s">
        <v>22691</v>
      </c>
      <c r="T1057" t="s">
        <v>22692</v>
      </c>
      <c r="U1057" t="s">
        <v>22693</v>
      </c>
      <c r="V1057">
        <f>-638.367849329141 -31.4030078861996 -236.653214480171</f>
        <v>-906.42407169551154</v>
      </c>
      <c r="W1057" t="s">
        <v>22694</v>
      </c>
      <c r="X1057" t="s">
        <v>22695</v>
      </c>
      <c r="Y1057" t="s">
        <v>22696</v>
      </c>
    </row>
    <row r="1058" spans="1:25" x14ac:dyDescent="0.3">
      <c r="A1058">
        <v>52850</v>
      </c>
      <c r="B1058" t="s">
        <v>22697</v>
      </c>
      <c r="C1058" t="s">
        <v>22698</v>
      </c>
      <c r="D1058" t="s">
        <v>22699</v>
      </c>
      <c r="E1058" t="s">
        <v>22700</v>
      </c>
      <c r="F1058" t="s">
        <v>22701</v>
      </c>
      <c r="G1058" t="s">
        <v>22702</v>
      </c>
      <c r="H1058">
        <f>-614.963661502716 -0.691951044770363 -839.979930407568</f>
        <v>-1455.6355429550545</v>
      </c>
      <c r="I1058">
        <f>-571.832462519659 -18.9074556468748 -930.4833676101</f>
        <v>-1521.2232857766339</v>
      </c>
      <c r="J1058" t="s">
        <v>22703</v>
      </c>
      <c r="K1058" t="s">
        <v>22704</v>
      </c>
      <c r="L1058" t="s">
        <v>22705</v>
      </c>
      <c r="M1058" t="s">
        <v>22706</v>
      </c>
      <c r="N1058">
        <f>-629.579738180731 -18.0242625997478 -768.994865017918</f>
        <v>-1416.5988657983967</v>
      </c>
      <c r="O1058">
        <f>-652.883509001018 -155.555285688372 -722.447413022003</f>
        <v>-1530.8862077113931</v>
      </c>
      <c r="P1058">
        <f>-658.651391578264 -128.33782455026 -407.150451628405</f>
        <v>-1194.1396677569292</v>
      </c>
      <c r="Q1058">
        <f>-410.570576454636 -59.6262370564356 -444.254207580641</f>
        <v>-914.45102109171262</v>
      </c>
      <c r="R1058" t="s">
        <v>22707</v>
      </c>
      <c r="S1058" t="s">
        <v>22708</v>
      </c>
      <c r="T1058" t="s">
        <v>22709</v>
      </c>
      <c r="U1058" t="s">
        <v>22710</v>
      </c>
      <c r="V1058">
        <f>-638.413045188762 -30.7727801611891 -236.764154495267</f>
        <v>-905.94997984521808</v>
      </c>
      <c r="W1058" t="s">
        <v>22711</v>
      </c>
      <c r="X1058" t="s">
        <v>22712</v>
      </c>
      <c r="Y1058" t="s">
        <v>22713</v>
      </c>
    </row>
    <row r="1059" spans="1:25" x14ac:dyDescent="0.3">
      <c r="A1059">
        <v>52900</v>
      </c>
      <c r="B1059" t="s">
        <v>22714</v>
      </c>
      <c r="C1059" t="s">
        <v>22715</v>
      </c>
      <c r="D1059" t="s">
        <v>22716</v>
      </c>
      <c r="E1059" t="s">
        <v>22717</v>
      </c>
      <c r="F1059" t="s">
        <v>22718</v>
      </c>
      <c r="G1059" t="s">
        <v>22719</v>
      </c>
      <c r="H1059">
        <f>-615.281157120009 -0.402772513864832 -839.955613737311</f>
        <v>-1455.6395433711848</v>
      </c>
      <c r="I1059">
        <f>-572.181945725892 -18.6920395256364 -930.459309221195</f>
        <v>-1521.3332944727233</v>
      </c>
      <c r="J1059" t="s">
        <v>22720</v>
      </c>
      <c r="K1059" t="s">
        <v>22721</v>
      </c>
      <c r="L1059" t="s">
        <v>22722</v>
      </c>
      <c r="M1059" t="s">
        <v>22723</v>
      </c>
      <c r="N1059">
        <f>-629.87213013088 -17.7087052127902 -768.958873932913</f>
        <v>-1416.5397092765832</v>
      </c>
      <c r="O1059">
        <f>-653.176398994804 -155.254409622976 -722.422286797295</f>
        <v>-1530.8530954150751</v>
      </c>
      <c r="P1059">
        <f>-659.441111891555 -128.08949166775 -407.130385370801</f>
        <v>-1194.660988930106</v>
      </c>
      <c r="Q1059">
        <f>-411.68184974038 -58.0616010833171 -443.92062949551</f>
        <v>-913.66408031920719</v>
      </c>
      <c r="R1059" t="s">
        <v>22724</v>
      </c>
      <c r="S1059" t="s">
        <v>22725</v>
      </c>
      <c r="T1059" t="s">
        <v>22726</v>
      </c>
      <c r="U1059" t="s">
        <v>22727</v>
      </c>
      <c r="V1059">
        <f>-638.480736450677 -30.4579344929931 -236.777783590945</f>
        <v>-905.71645453461508</v>
      </c>
      <c r="W1059" t="s">
        <v>22728</v>
      </c>
      <c r="X1059" t="s">
        <v>22729</v>
      </c>
      <c r="Y1059" t="s">
        <v>22730</v>
      </c>
    </row>
    <row r="1060" spans="1:25" x14ac:dyDescent="0.3">
      <c r="A1060">
        <v>52950</v>
      </c>
      <c r="B1060" t="s">
        <v>22731</v>
      </c>
      <c r="C1060" t="s">
        <v>22732</v>
      </c>
      <c r="D1060" t="s">
        <v>22733</v>
      </c>
      <c r="E1060" t="s">
        <v>22734</v>
      </c>
      <c r="F1060" t="s">
        <v>22735</v>
      </c>
      <c r="G1060" t="s">
        <v>22736</v>
      </c>
      <c r="H1060" t="s">
        <v>22737</v>
      </c>
      <c r="I1060">
        <f>-573.169246438435 -18.0801758328858 -930.153721336822</f>
        <v>-1521.4031436081427</v>
      </c>
      <c r="J1060" t="s">
        <v>22738</v>
      </c>
      <c r="K1060" t="s">
        <v>22739</v>
      </c>
      <c r="L1060" t="s">
        <v>22740</v>
      </c>
      <c r="M1060" t="s">
        <v>22741</v>
      </c>
      <c r="N1060">
        <f>-630.857603678185 -17.0116172893292 -768.672291405636</f>
        <v>-1416.5415123731502</v>
      </c>
      <c r="O1060">
        <f>-654.131765149231 -154.50966134908 -722.075363037864</f>
        <v>-1530.7167895361749</v>
      </c>
      <c r="P1060">
        <f>-660.598155499241 -126.799550567303 -406.835053070902</f>
        <v>-1194.232759137446</v>
      </c>
      <c r="Q1060">
        <f>-413.794768977571 -54.0260119852865 -444.70491675841</f>
        <v>-912.52569772126753</v>
      </c>
      <c r="R1060" t="s">
        <v>22742</v>
      </c>
      <c r="S1060" t="s">
        <v>22743</v>
      </c>
      <c r="T1060" t="s">
        <v>22744</v>
      </c>
      <c r="U1060" t="s">
        <v>22745</v>
      </c>
      <c r="V1060">
        <f>-638.972889388324 -29.8716015318448 -236.660172120365</f>
        <v>-905.50466304053384</v>
      </c>
      <c r="W1060" t="s">
        <v>22746</v>
      </c>
      <c r="X1060" t="s">
        <v>22747</v>
      </c>
      <c r="Y1060" t="s">
        <v>22748</v>
      </c>
    </row>
    <row r="1061" spans="1:25" x14ac:dyDescent="0.3">
      <c r="A1061">
        <v>53000</v>
      </c>
      <c r="B1061" t="s">
        <v>22749</v>
      </c>
      <c r="C1061" t="s">
        <v>22750</v>
      </c>
      <c r="D1061" t="s">
        <v>22751</v>
      </c>
      <c r="E1061" t="s">
        <v>22752</v>
      </c>
      <c r="F1061" t="s">
        <v>22753</v>
      </c>
      <c r="G1061" t="s">
        <v>22754</v>
      </c>
      <c r="H1061" t="s">
        <v>22755</v>
      </c>
      <c r="I1061">
        <f>-573.570033756914 -17.9429282259224 -929.890274533611</f>
        <v>-1521.4032365164474</v>
      </c>
      <c r="J1061" t="s">
        <v>22756</v>
      </c>
      <c r="K1061" t="s">
        <v>22757</v>
      </c>
      <c r="L1061" t="s">
        <v>22758</v>
      </c>
      <c r="M1061" t="s">
        <v>22759</v>
      </c>
      <c r="N1061">
        <f>-631.333283068173 -16.8185132638123 -768.442779440007</f>
        <v>-1416.5945757719924</v>
      </c>
      <c r="O1061">
        <f>-654.672574704647 -154.300855886639 -721.77468185243</f>
        <v>-1530.7481124437159</v>
      </c>
      <c r="P1061">
        <f>-660.680807845002 -126.046174489559 -406.573571877834</f>
        <v>-1193.3005542123951</v>
      </c>
      <c r="Q1061">
        <f>-414.025860367826 -53.0955301229534 -445.06508528493</f>
        <v>-912.18647577570937</v>
      </c>
      <c r="R1061" t="s">
        <v>22760</v>
      </c>
      <c r="S1061" t="s">
        <v>22761</v>
      </c>
      <c r="T1061" t="s">
        <v>22762</v>
      </c>
      <c r="U1061" t="s">
        <v>22763</v>
      </c>
      <c r="V1061">
        <f>-639.400869676717 -29.7231454603038 -236.553173721131</f>
        <v>-905.67718885815179</v>
      </c>
      <c r="W1061" t="s">
        <v>22764</v>
      </c>
      <c r="X1061" t="s">
        <v>22765</v>
      </c>
      <c r="Y1061" t="s">
        <v>22766</v>
      </c>
    </row>
    <row r="1062" spans="1:25" x14ac:dyDescent="0.3">
      <c r="A1062">
        <v>53050</v>
      </c>
      <c r="B1062" t="s">
        <v>22767</v>
      </c>
      <c r="C1062" t="s">
        <v>22768</v>
      </c>
      <c r="D1062" t="s">
        <v>22769</v>
      </c>
      <c r="E1062" t="s">
        <v>22770</v>
      </c>
      <c r="F1062" t="s">
        <v>22771</v>
      </c>
      <c r="G1062" t="s">
        <v>22772</v>
      </c>
      <c r="H1062" t="s">
        <v>22773</v>
      </c>
      <c r="I1062">
        <f>-573.913213771097 -18.0269422221808 -929.170635813513</f>
        <v>-1521.1107918067908</v>
      </c>
      <c r="J1062" t="s">
        <v>22774</v>
      </c>
      <c r="K1062" t="s">
        <v>22775</v>
      </c>
      <c r="L1062" t="s">
        <v>22776</v>
      </c>
      <c r="M1062" t="s">
        <v>22777</v>
      </c>
      <c r="N1062">
        <f>-631.853283468096 -16.5966760392407 -767.821073977142</f>
        <v>-1416.2710334844787</v>
      </c>
      <c r="O1062">
        <f>-655.232856540399 -153.987908326513 -720.914440170288</f>
        <v>-1530.1352050372</v>
      </c>
      <c r="P1062">
        <f>-660.858508421869 -125.333313241603 -405.742448185221</f>
        <v>-1191.934269848693</v>
      </c>
      <c r="Q1062">
        <f>-414.317101004318 -52.5264476627743 -445.220916716434</f>
        <v>-912.06446538352623</v>
      </c>
      <c r="R1062" t="s">
        <v>22778</v>
      </c>
      <c r="S1062" t="s">
        <v>22779</v>
      </c>
      <c r="T1062" t="s">
        <v>22780</v>
      </c>
      <c r="U1062" t="s">
        <v>22781</v>
      </c>
      <c r="V1062">
        <f>-640.265920612682 -29.4532084073137 -236.216630508384</f>
        <v>-905.93575952837966</v>
      </c>
      <c r="W1062" t="s">
        <v>22782</v>
      </c>
      <c r="X1062" t="s">
        <v>22783</v>
      </c>
      <c r="Y1062" t="s">
        <v>22784</v>
      </c>
    </row>
    <row r="1063" spans="1:25" x14ac:dyDescent="0.3">
      <c r="A1063">
        <v>53100</v>
      </c>
      <c r="B1063" t="s">
        <v>22785</v>
      </c>
      <c r="C1063" t="s">
        <v>22786</v>
      </c>
      <c r="D1063" t="s">
        <v>22787</v>
      </c>
      <c r="E1063" t="s">
        <v>22788</v>
      </c>
      <c r="F1063" t="s">
        <v>22789</v>
      </c>
      <c r="G1063" t="s">
        <v>22790</v>
      </c>
      <c r="H1063" t="s">
        <v>22791</v>
      </c>
      <c r="I1063">
        <f>-573.811413502814 -18.0049827935967 -928.785704235228</f>
        <v>-1520.6021005316388</v>
      </c>
      <c r="J1063" t="s">
        <v>22792</v>
      </c>
      <c r="K1063" t="s">
        <v>22793</v>
      </c>
      <c r="L1063" t="s">
        <v>22794</v>
      </c>
      <c r="M1063" t="s">
        <v>22795</v>
      </c>
      <c r="N1063">
        <f>-631.899009559965 -16.3882434398135 -767.503228045723</f>
        <v>-1415.7904810455016</v>
      </c>
      <c r="O1063">
        <f>-655.346311494507 -153.759375634753 -720.558308326794</f>
        <v>-1529.663995456054</v>
      </c>
      <c r="P1063">
        <f>-661.008892504252 -125.004700807737 -405.396021794871</f>
        <v>-1191.40961510686</v>
      </c>
      <c r="Q1063">
        <f>-414.284999467961 -52.8162695027749 -444.870168002673</f>
        <v>-911.9714369734088</v>
      </c>
      <c r="R1063" t="s">
        <v>22796</v>
      </c>
      <c r="S1063" t="s">
        <v>22797</v>
      </c>
      <c r="T1063" t="s">
        <v>22798</v>
      </c>
      <c r="U1063" t="s">
        <v>22799</v>
      </c>
      <c r="V1063">
        <f>-640.743671484558 -29.1998681817656 -236.030913520722</f>
        <v>-905.9744531870457</v>
      </c>
      <c r="W1063" t="s">
        <v>22800</v>
      </c>
      <c r="X1063" t="s">
        <v>22801</v>
      </c>
      <c r="Y1063" t="s">
        <v>22802</v>
      </c>
    </row>
    <row r="1064" spans="1:25" x14ac:dyDescent="0.3">
      <c r="A1064">
        <v>53150</v>
      </c>
      <c r="B1064" t="s">
        <v>22803</v>
      </c>
      <c r="C1064" t="s">
        <v>22804</v>
      </c>
      <c r="D1064" t="s">
        <v>22805</v>
      </c>
      <c r="E1064" t="s">
        <v>22806</v>
      </c>
      <c r="F1064" t="s">
        <v>22807</v>
      </c>
      <c r="G1064" t="s">
        <v>22808</v>
      </c>
      <c r="H1064" t="s">
        <v>22809</v>
      </c>
      <c r="I1064">
        <f>-573.755129887618 -18.0853911928709 -928.13631511807</f>
        <v>-1519.9768361985589</v>
      </c>
      <c r="J1064" t="s">
        <v>22810</v>
      </c>
      <c r="K1064" t="s">
        <v>22811</v>
      </c>
      <c r="L1064" t="s">
        <v>22812</v>
      </c>
      <c r="M1064" t="s">
        <v>22813</v>
      </c>
      <c r="N1064">
        <f>-632.107199772474 -16.0864901929516 -766.963890009445</f>
        <v>-1415.1575799748707</v>
      </c>
      <c r="O1064">
        <f>-655.891987933998 -153.315310366577 -719.798667524942</f>
        <v>-1529.005965825517</v>
      </c>
      <c r="P1064">
        <f>-661.605003908847 -123.905866456634 -404.697642774306</f>
        <v>-1190.2085131397871</v>
      </c>
      <c r="Q1064">
        <f>-414.05133283956 -54.3587304292152 -443.715878270631</f>
        <v>-912.1259415394062</v>
      </c>
      <c r="R1064" t="s">
        <v>22814</v>
      </c>
      <c r="S1064" t="s">
        <v>22815</v>
      </c>
      <c r="T1064" t="s">
        <v>22816</v>
      </c>
      <c r="U1064" t="s">
        <v>22817</v>
      </c>
      <c r="V1064">
        <f>-641.679481476651 -28.5822089702859 -235.696965403718</f>
        <v>-905.95865585065485</v>
      </c>
      <c r="W1064" t="s">
        <v>22818</v>
      </c>
      <c r="X1064" t="s">
        <v>22819</v>
      </c>
      <c r="Y1064" t="s">
        <v>22820</v>
      </c>
    </row>
    <row r="1065" spans="1:25" x14ac:dyDescent="0.3">
      <c r="A1065">
        <v>53200</v>
      </c>
      <c r="B1065" t="s">
        <v>22821</v>
      </c>
      <c r="C1065" t="s">
        <v>22822</v>
      </c>
      <c r="D1065" t="s">
        <v>22823</v>
      </c>
      <c r="E1065" t="s">
        <v>22824</v>
      </c>
      <c r="F1065" t="s">
        <v>22825</v>
      </c>
      <c r="G1065" t="s">
        <v>22826</v>
      </c>
      <c r="H1065" t="s">
        <v>22827</v>
      </c>
      <c r="I1065">
        <f>-573.656302446101 -18.4195536752748 -927.901787990471</f>
        <v>-1519.9776441118468</v>
      </c>
      <c r="J1065" t="s">
        <v>22828</v>
      </c>
      <c r="K1065" t="s">
        <v>22829</v>
      </c>
      <c r="L1065" t="s">
        <v>22830</v>
      </c>
      <c r="M1065" t="s">
        <v>22831</v>
      </c>
      <c r="N1065">
        <f>-632.179693133656 -16.1981001793545 -766.791732802639</f>
        <v>-1415.1695261156494</v>
      </c>
      <c r="O1065">
        <f>-656.266307243924 -153.34427262917 -719.492867877945</f>
        <v>-1529.1034477510389</v>
      </c>
      <c r="P1065">
        <f>-662.076159424068 -123.417485995727 -404.442263958028</f>
        <v>-1189.935909377823</v>
      </c>
      <c r="Q1065">
        <f>-414.099165198743 -55.069976695211 -442.888126708033</f>
        <v>-912.05726860198695</v>
      </c>
      <c r="R1065" t="s">
        <v>22832</v>
      </c>
      <c r="S1065" t="s">
        <v>22833</v>
      </c>
      <c r="T1065" t="s">
        <v>22834</v>
      </c>
      <c r="U1065" t="s">
        <v>22835</v>
      </c>
      <c r="V1065">
        <f>-642.128555486483 -28.3159553173219 -235.592227817569</f>
        <v>-906.03673862137396</v>
      </c>
      <c r="W1065" t="s">
        <v>22836</v>
      </c>
      <c r="X1065" t="s">
        <v>22837</v>
      </c>
      <c r="Y1065" t="s">
        <v>22838</v>
      </c>
    </row>
    <row r="1066" spans="1:25" x14ac:dyDescent="0.3">
      <c r="A1066">
        <v>53250</v>
      </c>
      <c r="B1066" t="s">
        <v>22839</v>
      </c>
      <c r="C1066" t="s">
        <v>22840</v>
      </c>
      <c r="D1066" t="s">
        <v>22841</v>
      </c>
      <c r="E1066" t="s">
        <v>22842</v>
      </c>
      <c r="F1066" t="s">
        <v>22843</v>
      </c>
      <c r="G1066" t="s">
        <v>22844</v>
      </c>
      <c r="H1066">
        <f>-617.007594601386 -0.192315057724471 -837.746982537364</f>
        <v>-1454.9468921964744</v>
      </c>
      <c r="I1066">
        <f>-573.241798815013 -19.6476859627923 -927.685913255525</f>
        <v>-1520.5753980333302</v>
      </c>
      <c r="J1066" t="s">
        <v>22845</v>
      </c>
      <c r="K1066" t="s">
        <v>22846</v>
      </c>
      <c r="L1066" t="s">
        <v>22847</v>
      </c>
      <c r="M1066" t="s">
        <v>22848</v>
      </c>
      <c r="N1066">
        <f>-632.174186115624 -16.8403489383174 -766.713567587915</f>
        <v>-1415.7281026418564</v>
      </c>
      <c r="O1066">
        <f>-656.841532558396 -153.768854229431 -719.11455334679</f>
        <v>-1529.7249401346171</v>
      </c>
      <c r="P1066">
        <f>-662.911561558974 -123.218105874526 -404.128859623507</f>
        <v>-1190.2585270570071</v>
      </c>
      <c r="Q1066">
        <f>-414.410294012866 -56.9280950199423 -442.791208002798</f>
        <v>-914.12959703560637</v>
      </c>
      <c r="R1066" t="s">
        <v>22849</v>
      </c>
      <c r="S1066" t="s">
        <v>22850</v>
      </c>
      <c r="T1066" t="s">
        <v>22851</v>
      </c>
      <c r="U1066" t="s">
        <v>22852</v>
      </c>
      <c r="V1066">
        <f>-642.89425362067 -27.9361563704504 -235.618729374404</f>
        <v>-906.44913936552439</v>
      </c>
      <c r="W1066" t="s">
        <v>22853</v>
      </c>
      <c r="X1066" t="s">
        <v>22854</v>
      </c>
      <c r="Y1066" t="s">
        <v>22855</v>
      </c>
    </row>
    <row r="1067" spans="1:25" x14ac:dyDescent="0.3">
      <c r="A1067">
        <v>53300</v>
      </c>
      <c r="B1067" t="s">
        <v>22856</v>
      </c>
      <c r="C1067" t="s">
        <v>22857</v>
      </c>
      <c r="D1067" t="s">
        <v>22858</v>
      </c>
      <c r="E1067" t="s">
        <v>22859</v>
      </c>
      <c r="F1067" t="s">
        <v>22860</v>
      </c>
      <c r="G1067" t="s">
        <v>22861</v>
      </c>
      <c r="H1067">
        <f>-616.905656357872 -0.518777252812136 -837.828101661118</f>
        <v>-1455.2525352718021</v>
      </c>
      <c r="I1067">
        <f>-573.069169323015 -20.134490403992 -927.69777765554</f>
        <v>-1520.9014373825471</v>
      </c>
      <c r="J1067" t="s">
        <v>22862</v>
      </c>
      <c r="K1067" t="s">
        <v>22863</v>
      </c>
      <c r="L1067" t="s">
        <v>22864</v>
      </c>
      <c r="M1067" t="s">
        <v>22865</v>
      </c>
      <c r="N1067">
        <f>-632.168299849334 -17.0587715705591 -766.790058104512</f>
        <v>-1416.0171295244049</v>
      </c>
      <c r="O1067">
        <f>-657.174371611531 -153.867268065571 -718.990313221146</f>
        <v>-1530.0319528982482</v>
      </c>
      <c r="P1067">
        <f>-662.941008113325 -123.028412910524 -404.027141352638</f>
        <v>-1189.996562376487</v>
      </c>
      <c r="Q1067">
        <f>-414.278535764226 -57.4372804610917 -442.844472202114</f>
        <v>-914.56028842743171</v>
      </c>
      <c r="R1067" t="s">
        <v>22866</v>
      </c>
      <c r="S1067" t="s">
        <v>22867</v>
      </c>
      <c r="T1067" t="s">
        <v>22868</v>
      </c>
      <c r="U1067" t="s">
        <v>22869</v>
      </c>
      <c r="V1067">
        <f>-643.112472710692 -27.7231239683278 -235.707085450548</f>
        <v>-906.54268212956788</v>
      </c>
      <c r="W1067" t="s">
        <v>22870</v>
      </c>
      <c r="X1067" t="s">
        <v>22871</v>
      </c>
      <c r="Y1067" t="s">
        <v>22872</v>
      </c>
    </row>
    <row r="1068" spans="1:25" x14ac:dyDescent="0.3">
      <c r="A1068">
        <v>53350</v>
      </c>
      <c r="B1068" t="s">
        <v>22873</v>
      </c>
      <c r="C1068" t="s">
        <v>22874</v>
      </c>
      <c r="D1068" t="s">
        <v>22875</v>
      </c>
      <c r="E1068" t="s">
        <v>22876</v>
      </c>
      <c r="F1068" t="s">
        <v>22877</v>
      </c>
      <c r="G1068" t="s">
        <v>22878</v>
      </c>
      <c r="H1068">
        <f>-616.733411658985 -1.15392662212928 -837.763755580145</f>
        <v>-1455.6510938612591</v>
      </c>
      <c r="I1068">
        <f>-572.823626597048 -21.1741022736597 -927.508458511336</f>
        <v>-1521.5061873820437</v>
      </c>
      <c r="J1068" t="s">
        <v>22879</v>
      </c>
      <c r="K1068" t="s">
        <v>22880</v>
      </c>
      <c r="L1068" t="s">
        <v>22881</v>
      </c>
      <c r="M1068" t="s">
        <v>22882</v>
      </c>
      <c r="N1068">
        <f>-632.130197178146 -17.438876345924 -766.695850411965</f>
        <v>-1416.2649239360348</v>
      </c>
      <c r="O1068">
        <f>-657.519062031025 -154.071324058638 -718.613219551258</f>
        <v>-1530.2036056409211</v>
      </c>
      <c r="P1068">
        <f>-663.393864247057 -122.428871179666 -403.731741342509</f>
        <v>-1189.554476769232</v>
      </c>
      <c r="Q1068">
        <f>-414.497320959424 -57.5604521215387 -442.262745676318</f>
        <v>-914.32051875728064</v>
      </c>
      <c r="R1068" t="s">
        <v>22883</v>
      </c>
      <c r="S1068" t="s">
        <v>22884</v>
      </c>
      <c r="T1068" t="s">
        <v>22885</v>
      </c>
      <c r="U1068" t="s">
        <v>22886</v>
      </c>
      <c r="V1068">
        <f>-643.299898932592 -27.3418252376372 -235.827627294234</f>
        <v>-906.46935146446322</v>
      </c>
      <c r="W1068" t="s">
        <v>22887</v>
      </c>
      <c r="X1068" t="s">
        <v>22888</v>
      </c>
      <c r="Y1068" t="s">
        <v>22889</v>
      </c>
    </row>
    <row r="1069" spans="1:25" x14ac:dyDescent="0.3">
      <c r="A1069">
        <v>53400</v>
      </c>
      <c r="B1069" t="s">
        <v>22890</v>
      </c>
      <c r="C1069" t="s">
        <v>22891</v>
      </c>
      <c r="D1069" t="s">
        <v>22892</v>
      </c>
      <c r="E1069" t="s">
        <v>22893</v>
      </c>
      <c r="F1069" t="s">
        <v>22894</v>
      </c>
      <c r="G1069" t="s">
        <v>22895</v>
      </c>
      <c r="H1069">
        <f>-616.687678853172 -1.34201078577351 -837.735837091942</f>
        <v>-1455.7655267308874</v>
      </c>
      <c r="I1069">
        <f>-572.73972121203 -21.5648668454376 -927.416324136937</f>
        <v>-1521.7209121944045</v>
      </c>
      <c r="J1069" t="s">
        <v>22896</v>
      </c>
      <c r="K1069" t="s">
        <v>22897</v>
      </c>
      <c r="L1069" t="s">
        <v>22898</v>
      </c>
      <c r="M1069" t="s">
        <v>22899</v>
      </c>
      <c r="N1069">
        <f>-632.145277703308 -17.5115796144776 -766.654695005324</f>
        <v>-1416.3115523231095</v>
      </c>
      <c r="O1069">
        <f>-657.713157836429 -154.050851783612 -718.412302549972</f>
        <v>-1530.1763121700128</v>
      </c>
      <c r="P1069">
        <f>-663.510505020345 -122.086532344357 -403.56179253835</f>
        <v>-1189.158829903052</v>
      </c>
      <c r="Q1069">
        <f>-414.505790493625 -57.4392796410268 -441.763976341084</f>
        <v>-913.70904647573582</v>
      </c>
      <c r="R1069" t="s">
        <v>22900</v>
      </c>
      <c r="S1069" t="s">
        <v>22901</v>
      </c>
      <c r="T1069" t="s">
        <v>22902</v>
      </c>
      <c r="U1069" t="s">
        <v>22903</v>
      </c>
      <c r="V1069">
        <f>-643.284831298438 -27.1656852079726 -235.902830108964</f>
        <v>-906.35334661537468</v>
      </c>
      <c r="W1069" t="s">
        <v>22904</v>
      </c>
      <c r="X1069" t="s">
        <v>22905</v>
      </c>
      <c r="Y1069" t="s">
        <v>22906</v>
      </c>
    </row>
    <row r="1070" spans="1:25" x14ac:dyDescent="0.3">
      <c r="A1070">
        <v>53450</v>
      </c>
      <c r="B1070" t="s">
        <v>22907</v>
      </c>
      <c r="C1070" t="s">
        <v>22908</v>
      </c>
      <c r="D1070" t="s">
        <v>22909</v>
      </c>
      <c r="E1070" t="s">
        <v>22910</v>
      </c>
      <c r="F1070" t="s">
        <v>22911</v>
      </c>
      <c r="G1070" t="s">
        <v>22912</v>
      </c>
      <c r="H1070">
        <f>-616.479325046635 -1.91263674043362 -837.787101121279</f>
        <v>-1456.1790629083475</v>
      </c>
      <c r="I1070">
        <f>-572.494154623203 -22.543373170164 -927.356299039965</f>
        <v>-1522.3938268333322</v>
      </c>
      <c r="J1070" t="s">
        <v>22913</v>
      </c>
      <c r="K1070" t="s">
        <v>22914</v>
      </c>
      <c r="L1070" t="s">
        <v>22915</v>
      </c>
      <c r="M1070" t="s">
        <v>22916</v>
      </c>
      <c r="N1070">
        <f>-632.001692908873 -17.8626985053753 -766.67056743146</f>
        <v>-1416.5349588457084</v>
      </c>
      <c r="O1070">
        <f>-657.894910861827 -154.219688931108 -718.090390187434</f>
        <v>-1530.204989980369</v>
      </c>
      <c r="P1070">
        <f>-663.61226704734 -121.550504743718 -403.310709925144</f>
        <v>-1188.4734817162021</v>
      </c>
      <c r="Q1070">
        <f>-414.694437445646 -56.5125118318114 -441.416153504446</f>
        <v>-912.62310278190341</v>
      </c>
      <c r="R1070" t="s">
        <v>22917</v>
      </c>
      <c r="S1070" t="s">
        <v>22918</v>
      </c>
      <c r="T1070" t="s">
        <v>22919</v>
      </c>
      <c r="U1070" t="s">
        <v>22920</v>
      </c>
      <c r="V1070">
        <f>-643.230763922769 -26.7527185521152 -236.073514109632</f>
        <v>-906.05699658451624</v>
      </c>
      <c r="W1070" t="s">
        <v>22921</v>
      </c>
      <c r="X1070" t="s">
        <v>22922</v>
      </c>
      <c r="Y1070" t="s">
        <v>22923</v>
      </c>
    </row>
    <row r="1071" spans="1:25" x14ac:dyDescent="0.3">
      <c r="A1071">
        <v>53500</v>
      </c>
      <c r="B1071" t="s">
        <v>22924</v>
      </c>
      <c r="C1071" t="s">
        <v>22925</v>
      </c>
      <c r="D1071" t="s">
        <v>22926</v>
      </c>
      <c r="E1071" t="s">
        <v>22927</v>
      </c>
      <c r="F1071" t="s">
        <v>22928</v>
      </c>
      <c r="G1071" t="s">
        <v>22929</v>
      </c>
      <c r="H1071">
        <f>-616.328943514506 -2.2945466224272 -837.885053829698</f>
        <v>-1456.5085439666314</v>
      </c>
      <c r="I1071">
        <f>-572.340806135509 -23.1097071875384 -927.410266525673</f>
        <v>-1522.8607798487205</v>
      </c>
      <c r="J1071" t="s">
        <v>22930</v>
      </c>
      <c r="K1071" t="s">
        <v>22931</v>
      </c>
      <c r="L1071" t="s">
        <v>22932</v>
      </c>
      <c r="M1071" t="s">
        <v>22933</v>
      </c>
      <c r="N1071">
        <f>-631.881557746759 -18.1377629851706 -766.751133509088</f>
        <v>-1416.7704542410177</v>
      </c>
      <c r="O1071">
        <f>-657.909991092058 -154.414904100922 -718.026328476413</f>
        <v>-1530.351223669393</v>
      </c>
      <c r="P1071">
        <f>-663.684387645808 -121.443931659574 -403.279146616614</f>
        <v>-1188.4074659219959</v>
      </c>
      <c r="Q1071">
        <f>-414.852459272788 -56.177447737177 -441.554676932621</f>
        <v>-912.58458394258605</v>
      </c>
      <c r="R1071" t="s">
        <v>22934</v>
      </c>
      <c r="S1071" t="s">
        <v>22935</v>
      </c>
      <c r="T1071" t="s">
        <v>22936</v>
      </c>
      <c r="U1071" t="s">
        <v>22937</v>
      </c>
      <c r="V1071">
        <f>-643.137988899485 -26.5492106354309 -236.187777222038</f>
        <v>-905.87497675695386</v>
      </c>
      <c r="W1071" t="s">
        <v>22938</v>
      </c>
      <c r="X1071" t="s">
        <v>22939</v>
      </c>
      <c r="Y1071" t="s">
        <v>22940</v>
      </c>
    </row>
    <row r="1072" spans="1:25" x14ac:dyDescent="0.3">
      <c r="A1072">
        <v>53550</v>
      </c>
      <c r="B1072" t="s">
        <v>22941</v>
      </c>
      <c r="C1072" t="s">
        <v>22942</v>
      </c>
      <c r="D1072" t="s">
        <v>22943</v>
      </c>
      <c r="E1072" t="s">
        <v>22944</v>
      </c>
      <c r="F1072" t="s">
        <v>22945</v>
      </c>
      <c r="G1072" t="s">
        <v>22946</v>
      </c>
      <c r="H1072">
        <f>-616.501798388238 -2.95391942191941 -838.173990338004</f>
        <v>-1457.6297081481614</v>
      </c>
      <c r="I1072">
        <f>-572.571447410987 -24.0680359249203 -927.657507652805</f>
        <v>-1524.2969909887124</v>
      </c>
      <c r="J1072" t="s">
        <v>22947</v>
      </c>
      <c r="K1072" t="s">
        <v>22948</v>
      </c>
      <c r="L1072" t="s">
        <v>22949</v>
      </c>
      <c r="M1072" t="s">
        <v>22950</v>
      </c>
      <c r="N1072">
        <f>-632.03916071246 -18.6385854750069 -767.001710114063</f>
        <v>-1417.6794563015301</v>
      </c>
      <c r="O1072">
        <f>-658.4031880195 -154.736470630101 -717.951028348719</f>
        <v>-1531.0906869983201</v>
      </c>
      <c r="P1072">
        <f>-663.871352001747 -121.221247388445 -403.255935043186</f>
        <v>-1188.3485344333781</v>
      </c>
      <c r="Q1072">
        <f>-415.179517825304 -55.6787563226736 -441.967784265194</f>
        <v>-912.82605841317161</v>
      </c>
      <c r="R1072" t="s">
        <v>22951</v>
      </c>
      <c r="S1072" t="s">
        <v>22952</v>
      </c>
      <c r="T1072" t="s">
        <v>22953</v>
      </c>
      <c r="U1072" t="s">
        <v>22954</v>
      </c>
      <c r="V1072">
        <f>-642.947600850081 -26.2494250766193 -236.444400060835</f>
        <v>-905.64142598753529</v>
      </c>
      <c r="W1072" t="s">
        <v>22955</v>
      </c>
      <c r="X1072" t="s">
        <v>22956</v>
      </c>
      <c r="Y1072" t="s">
        <v>22957</v>
      </c>
    </row>
    <row r="1073" spans="1:25" x14ac:dyDescent="0.3">
      <c r="A1073">
        <v>53600</v>
      </c>
      <c r="B1073" t="s">
        <v>22958</v>
      </c>
      <c r="C1073" t="s">
        <v>22959</v>
      </c>
      <c r="D1073" t="s">
        <v>22960</v>
      </c>
      <c r="E1073" t="s">
        <v>22961</v>
      </c>
      <c r="F1073" t="s">
        <v>22962</v>
      </c>
      <c r="G1073" t="s">
        <v>22963</v>
      </c>
      <c r="H1073">
        <f>-616.676691646421 -3.36324527508632 -838.188309695604</f>
        <v>-1458.2282466171114</v>
      </c>
      <c r="I1073">
        <f>-572.779157398121 -24.6196243318584 -927.654378348095</f>
        <v>-1525.0531600780744</v>
      </c>
      <c r="J1073" t="s">
        <v>22964</v>
      </c>
      <c r="K1073" t="s">
        <v>22965</v>
      </c>
      <c r="L1073" t="s">
        <v>22966</v>
      </c>
      <c r="M1073" t="s">
        <v>22967</v>
      </c>
      <c r="N1073">
        <f>-632.199640429164 -18.9682395180681 -766.995385842132</f>
        <v>-1418.1632657893642</v>
      </c>
      <c r="O1073">
        <f>-658.656155727153 -155.024684394333 -717.876994864594</f>
        <v>-1531.55783498608</v>
      </c>
      <c r="P1073">
        <f>-664.015203897634 -121.408625004195 -403.190863954292</f>
        <v>-1188.6146928561211</v>
      </c>
      <c r="Q1073">
        <f>-415.374942482676 -55.8181365501126 -442.151821107198</f>
        <v>-913.34490013998652</v>
      </c>
      <c r="R1073" t="s">
        <v>22968</v>
      </c>
      <c r="S1073" t="s">
        <v>22969</v>
      </c>
      <c r="T1073" t="s">
        <v>22970</v>
      </c>
      <c r="U1073" t="s">
        <v>22971</v>
      </c>
      <c r="V1073">
        <f>-642.882368454446 -26.1741674611274 -236.507041421961</f>
        <v>-905.5635773375343</v>
      </c>
      <c r="W1073" t="s">
        <v>22972</v>
      </c>
      <c r="X1073" t="s">
        <v>22973</v>
      </c>
      <c r="Y1073" t="s">
        <v>22974</v>
      </c>
    </row>
    <row r="1074" spans="1:25" x14ac:dyDescent="0.3">
      <c r="A1074">
        <v>53650</v>
      </c>
      <c r="B1074" t="s">
        <v>22975</v>
      </c>
      <c r="C1074" t="s">
        <v>22976</v>
      </c>
      <c r="D1074" t="s">
        <v>22977</v>
      </c>
      <c r="E1074" t="s">
        <v>22978</v>
      </c>
      <c r="F1074" t="s">
        <v>22979</v>
      </c>
      <c r="G1074" t="s">
        <v>22980</v>
      </c>
      <c r="H1074">
        <f>-617.453884545476 -3.34527013583523 -838.367100171632</f>
        <v>-1459.1662548529432</v>
      </c>
      <c r="I1074">
        <f>-573.595822501452 -24.7932925002593 -927.806584696858</f>
        <v>-1526.1956996985691</v>
      </c>
      <c r="J1074" t="s">
        <v>22981</v>
      </c>
      <c r="K1074" t="s">
        <v>22982</v>
      </c>
      <c r="L1074" t="s">
        <v>22983</v>
      </c>
      <c r="M1074" t="s">
        <v>22984</v>
      </c>
      <c r="N1074">
        <f>-632.92670627946 -18.8664761133588 -767.144862243809</f>
        <v>-1418.9380446366276</v>
      </c>
      <c r="O1074">
        <f>-659.521916725318 -154.848592058922 -717.889406715877</f>
        <v>-1532.2599155001171</v>
      </c>
      <c r="P1074">
        <f>-664.250859852837 -121.329243395007 -403.182734713978</f>
        <v>-1188.762837961822</v>
      </c>
      <c r="Q1074">
        <f>-415.747344357006 -55.4273907880343 -442.489477224555</f>
        <v>-913.66421236959536</v>
      </c>
      <c r="R1074" t="s">
        <v>22985</v>
      </c>
      <c r="S1074" t="s">
        <v>22986</v>
      </c>
      <c r="T1074" t="s">
        <v>22987</v>
      </c>
      <c r="U1074" t="s">
        <v>22988</v>
      </c>
      <c r="V1074">
        <f>-642.783789955648 -25.5554907836916 -236.675749905899</f>
        <v>-905.01503064523865</v>
      </c>
      <c r="W1074" t="s">
        <v>22989</v>
      </c>
      <c r="X1074" t="s">
        <v>22990</v>
      </c>
      <c r="Y1074" t="s">
        <v>22991</v>
      </c>
    </row>
    <row r="1075" spans="1:25" x14ac:dyDescent="0.3">
      <c r="A1075">
        <v>53700</v>
      </c>
      <c r="B1075" t="s">
        <v>22992</v>
      </c>
      <c r="C1075" t="s">
        <v>22993</v>
      </c>
      <c r="D1075" t="s">
        <v>22994</v>
      </c>
      <c r="E1075" t="s">
        <v>22995</v>
      </c>
      <c r="F1075" t="s">
        <v>22996</v>
      </c>
      <c r="G1075" t="s">
        <v>22997</v>
      </c>
      <c r="H1075">
        <f>-617.734615741764 -3.29097326839543 -838.250730270836</f>
        <v>-1459.2763192809953</v>
      </c>
      <c r="I1075">
        <f>-573.880920625203 -24.8010618330648 -927.677550727618</f>
        <v>-1526.3595331858858</v>
      </c>
      <c r="J1075" t="s">
        <v>22998</v>
      </c>
      <c r="K1075" t="s">
        <v>22999</v>
      </c>
      <c r="L1075" t="s">
        <v>23000</v>
      </c>
      <c r="M1075" t="s">
        <v>23001</v>
      </c>
      <c r="N1075">
        <f>-633.166047068156 -18.7889245967568 -767.014500591904</f>
        <v>-1418.969472256817</v>
      </c>
      <c r="O1075">
        <f>-659.721500997459 -154.758040096679 -717.718110400282</f>
        <v>-1532.1976514944199</v>
      </c>
      <c r="P1075">
        <f>-664.339682948703 -121.209782986138 -403.012837677219</f>
        <v>-1188.5623036120598</v>
      </c>
      <c r="Q1075">
        <f>-415.857157989105 -55.3010329488979 -442.440463179911</f>
        <v>-913.59865411791384</v>
      </c>
      <c r="R1075" t="s">
        <v>23002</v>
      </c>
      <c r="S1075" t="s">
        <v>23003</v>
      </c>
      <c r="T1075" t="s">
        <v>23004</v>
      </c>
      <c r="U1075" t="s">
        <v>23005</v>
      </c>
      <c r="V1075">
        <f>-642.68438447732 -25.2356737043838 -236.620197726185</f>
        <v>-904.54025590788876</v>
      </c>
      <c r="W1075" t="s">
        <v>23006</v>
      </c>
      <c r="X1075" t="s">
        <v>23007</v>
      </c>
      <c r="Y1075" t="s">
        <v>23008</v>
      </c>
    </row>
    <row r="1076" spans="1:25" x14ac:dyDescent="0.3">
      <c r="A1076">
        <v>53750</v>
      </c>
      <c r="B1076" t="s">
        <v>23009</v>
      </c>
      <c r="C1076" t="s">
        <v>23010</v>
      </c>
      <c r="D1076" t="s">
        <v>23011</v>
      </c>
      <c r="E1076" t="s">
        <v>23012</v>
      </c>
      <c r="F1076" t="s">
        <v>23013</v>
      </c>
      <c r="G1076" t="s">
        <v>23014</v>
      </c>
      <c r="H1076">
        <f>-618.293963867777 -2.96080297371229 -837.968858541549</f>
        <v>-1459.2236253830383</v>
      </c>
      <c r="I1076">
        <f>-574.423412068339 -24.4915813333399 -927.382445182747</f>
        <v>-1526.2974385844259</v>
      </c>
      <c r="J1076" t="s">
        <v>23015</v>
      </c>
      <c r="K1076" t="s">
        <v>23016</v>
      </c>
      <c r="L1076" t="s">
        <v>23017</v>
      </c>
      <c r="M1076" t="s">
        <v>23018</v>
      </c>
      <c r="N1076">
        <f>-633.633557744586 -18.4685321697177 -766.714950575538</f>
        <v>-1418.8170404898417</v>
      </c>
      <c r="O1076">
        <f>-660.061915403037 -154.466619296814 -717.411908782776</f>
        <v>-1531.940443482627</v>
      </c>
      <c r="P1076">
        <f>-664.572108539639 -120.857908412285 -402.71151872305</f>
        <v>-1188.141535674974</v>
      </c>
      <c r="Q1076">
        <f>-416.130173048511 -54.819238079353 -442.177429736668</f>
        <v>-913.12684086453191</v>
      </c>
      <c r="R1076" t="s">
        <v>23019</v>
      </c>
      <c r="S1076" t="s">
        <v>23020</v>
      </c>
      <c r="T1076" t="s">
        <v>23021</v>
      </c>
      <c r="U1076" t="s">
        <v>23022</v>
      </c>
      <c r="V1076">
        <f>-642.543245676833 -24.9962678666903 -236.438538564991</f>
        <v>-903.97805210851425</v>
      </c>
      <c r="W1076" t="s">
        <v>23023</v>
      </c>
      <c r="X1076" t="s">
        <v>23024</v>
      </c>
      <c r="Y1076" t="s">
        <v>23025</v>
      </c>
    </row>
    <row r="1077" spans="1:25" x14ac:dyDescent="0.3">
      <c r="A1077">
        <v>53800</v>
      </c>
      <c r="B1077" t="s">
        <v>23026</v>
      </c>
      <c r="C1077" t="s">
        <v>23027</v>
      </c>
      <c r="D1077" t="s">
        <v>23028</v>
      </c>
      <c r="E1077" t="s">
        <v>23029</v>
      </c>
      <c r="F1077" t="s">
        <v>23030</v>
      </c>
      <c r="G1077" t="s">
        <v>23031</v>
      </c>
      <c r="H1077">
        <f>-618.504067724389 -2.70311100145013 -837.838295793125</f>
        <v>-1459.0454745189641</v>
      </c>
      <c r="I1077">
        <f>-574.592396745507 -24.2065992703249 -927.23822408218</f>
        <v>-1526.0372200980119</v>
      </c>
      <c r="J1077" t="s">
        <v>23032</v>
      </c>
      <c r="K1077" t="s">
        <v>23033</v>
      </c>
      <c r="L1077" t="s">
        <v>23034</v>
      </c>
      <c r="M1077" t="s">
        <v>23035</v>
      </c>
      <c r="N1077">
        <f>-633.817968758242 -18.2285103491225 -766.58265497048</f>
        <v>-1418.6291340778446</v>
      </c>
      <c r="O1077">
        <f>-660.222629401734 -154.234204231612 -717.287952925485</f>
        <v>-1531.744786558831</v>
      </c>
      <c r="P1077">
        <f>-664.842937443064 -120.701671368465 -402.581122417567</f>
        <v>-1188.1257312290959</v>
      </c>
      <c r="Q1077">
        <f>-416.48239331659 -54.3443302376805 -442.024844655081</f>
        <v>-912.8515682093514</v>
      </c>
      <c r="R1077" t="s">
        <v>23036</v>
      </c>
      <c r="S1077" t="s">
        <v>23037</v>
      </c>
      <c r="T1077" t="s">
        <v>23038</v>
      </c>
      <c r="U1077" t="s">
        <v>23039</v>
      </c>
      <c r="V1077">
        <f>-642.52047473654 -24.7923472573937 -236.352554339653</f>
        <v>-903.66537633358666</v>
      </c>
      <c r="W1077" t="s">
        <v>23040</v>
      </c>
      <c r="X1077" t="s">
        <v>23041</v>
      </c>
      <c r="Y1077" t="s">
        <v>23042</v>
      </c>
    </row>
    <row r="1078" spans="1:25" x14ac:dyDescent="0.3">
      <c r="A1078">
        <v>53850</v>
      </c>
      <c r="B1078" t="s">
        <v>23043</v>
      </c>
      <c r="C1078" t="s">
        <v>23044</v>
      </c>
      <c r="D1078" t="s">
        <v>23045</v>
      </c>
      <c r="E1078" t="s">
        <v>23046</v>
      </c>
      <c r="F1078" t="s">
        <v>23047</v>
      </c>
      <c r="G1078" t="s">
        <v>23048</v>
      </c>
      <c r="H1078">
        <f>-618.700794792004 -2.30972205404852 -837.750611096241</f>
        <v>-1458.7611279422936</v>
      </c>
      <c r="I1078">
        <f>-574.729803507751 -23.7221631256245 -927.143349817789</f>
        <v>-1525.5953164511645</v>
      </c>
      <c r="J1078" t="s">
        <v>23049</v>
      </c>
      <c r="K1078" t="s">
        <v>23050</v>
      </c>
      <c r="L1078" t="s">
        <v>23051</v>
      </c>
      <c r="M1078" t="s">
        <v>23052</v>
      </c>
      <c r="N1078">
        <f>-633.930361831156 -17.9051876696042 -766.492174661972</f>
        <v>-1418.327724162732</v>
      </c>
      <c r="O1078">
        <f>-660.156621305211 -153.969220702783 -717.269359664881</f>
        <v>-1531.3952016728749</v>
      </c>
      <c r="P1078">
        <f>-665.043070905965 -120.345301176764 -402.57610907717</f>
        <v>-1187.9644811598989</v>
      </c>
      <c r="Q1078">
        <f>-416.719005581878 -53.6115158272151 -441.612330548368</f>
        <v>-911.94285195746102</v>
      </c>
      <c r="R1078" t="s">
        <v>23053</v>
      </c>
      <c r="S1078" t="s">
        <v>23054</v>
      </c>
      <c r="T1078" t="s">
        <v>23055</v>
      </c>
      <c r="U1078" t="s">
        <v>23056</v>
      </c>
      <c r="V1078">
        <f>-642.404285141987 -24.5705321062241 -236.211379920262</f>
        <v>-903.18619716847297</v>
      </c>
      <c r="W1078" t="s">
        <v>23057</v>
      </c>
      <c r="X1078" t="s">
        <v>23058</v>
      </c>
      <c r="Y1078" t="s">
        <v>23059</v>
      </c>
    </row>
    <row r="1079" spans="1:25" x14ac:dyDescent="0.3">
      <c r="A1079">
        <v>53900</v>
      </c>
      <c r="B1079" t="s">
        <v>23060</v>
      </c>
      <c r="C1079" t="s">
        <v>23061</v>
      </c>
      <c r="D1079" t="s">
        <v>23062</v>
      </c>
      <c r="E1079" t="s">
        <v>23063</v>
      </c>
      <c r="F1079" t="s">
        <v>23064</v>
      </c>
      <c r="G1079" t="s">
        <v>23065</v>
      </c>
      <c r="H1079">
        <f>-618.790842013824 -2.02553999321827 -837.83992894542</f>
        <v>-1458.6563109524623</v>
      </c>
      <c r="I1079">
        <f>-574.781140551357 -23.3700872458912 -927.229813038803</f>
        <v>-1525.3810408360512</v>
      </c>
      <c r="J1079" t="s">
        <v>23066</v>
      </c>
      <c r="K1079" t="s">
        <v>23067</v>
      </c>
      <c r="L1079" t="s">
        <v>23068</v>
      </c>
      <c r="M1079" t="s">
        <v>23069</v>
      </c>
      <c r="N1079">
        <f>-633.983548140257 -17.6662347029277 -766.583631279375</f>
        <v>-1418.2334141225597</v>
      </c>
      <c r="O1079">
        <f>-660.090377521234 -153.773448117827 -717.410975083549</f>
        <v>-1531.2748007226101</v>
      </c>
      <c r="P1079">
        <f>-665.101051261599 -120.248366912243 -402.70926039885</f>
        <v>-1188.0586785726919</v>
      </c>
      <c r="Q1079">
        <f>-416.849355651344 -53.1164503612011 -441.522238688058</f>
        <v>-911.48804470060304</v>
      </c>
      <c r="R1079" t="s">
        <v>23070</v>
      </c>
      <c r="S1079" t="s">
        <v>23071</v>
      </c>
      <c r="T1079" t="s">
        <v>23072</v>
      </c>
      <c r="U1079" t="s">
        <v>23073</v>
      </c>
      <c r="V1079">
        <f>-642.26901212056 -24.5096090585998 -236.240075294132</f>
        <v>-903.01869647329181</v>
      </c>
      <c r="W1079" t="s">
        <v>23074</v>
      </c>
      <c r="X1079" t="s">
        <v>23075</v>
      </c>
      <c r="Y1079" t="s">
        <v>23076</v>
      </c>
    </row>
    <row r="1080" spans="1:25" x14ac:dyDescent="0.3">
      <c r="A1080">
        <v>53950</v>
      </c>
      <c r="B1080" t="s">
        <v>23077</v>
      </c>
      <c r="C1080" t="s">
        <v>23078</v>
      </c>
      <c r="D1080" t="s">
        <v>23079</v>
      </c>
      <c r="E1080" t="s">
        <v>23080</v>
      </c>
      <c r="F1080" t="s">
        <v>23081</v>
      </c>
      <c r="G1080" t="s">
        <v>23082</v>
      </c>
      <c r="H1080">
        <f>-618.805237831399 -1.26673370782403 -838.069690003716</f>
        <v>-1458.1416615429391</v>
      </c>
      <c r="I1080">
        <f>-574.69339475397 -22.4845104132177 -927.439358072033</f>
        <v>-1524.6172632392206</v>
      </c>
      <c r="J1080" t="s">
        <v>23083</v>
      </c>
      <c r="K1080" t="s">
        <v>23084</v>
      </c>
      <c r="L1080" t="s">
        <v>23085</v>
      </c>
      <c r="M1080" t="s">
        <v>23086</v>
      </c>
      <c r="N1080">
        <f>-633.962622029426 -17.0073122187078 -766.8278273778</f>
        <v>-1417.7977616259338</v>
      </c>
      <c r="O1080">
        <f>-659.865668015566 -153.182987463733 -717.746513929281</f>
        <v>-1530.79516940858</v>
      </c>
      <c r="P1080">
        <f>-665.081626327128 -119.761340197679 -403.037178121937</f>
        <v>-1187.8801446467442</v>
      </c>
      <c r="Q1080">
        <f>-416.955914799166 -51.9574308667621 -441.48620761523</f>
        <v>-910.39955328115809</v>
      </c>
      <c r="R1080" t="s">
        <v>23087</v>
      </c>
      <c r="S1080" t="s">
        <v>23088</v>
      </c>
      <c r="T1080" t="s">
        <v>23089</v>
      </c>
      <c r="U1080" t="s">
        <v>23090</v>
      </c>
      <c r="V1080">
        <f>-642.040865337525 -24.357477168779 -236.362823856695</f>
        <v>-902.76116636299912</v>
      </c>
      <c r="W1080" t="s">
        <v>23091</v>
      </c>
      <c r="X1080" t="s">
        <v>23092</v>
      </c>
      <c r="Y1080" t="s">
        <v>23093</v>
      </c>
    </row>
    <row r="1081" spans="1:25" x14ac:dyDescent="0.3">
      <c r="A1081">
        <v>54000</v>
      </c>
      <c r="B1081" t="s">
        <v>23094</v>
      </c>
      <c r="C1081" t="s">
        <v>23095</v>
      </c>
      <c r="D1081" t="s">
        <v>23096</v>
      </c>
      <c r="E1081" t="s">
        <v>23097</v>
      </c>
      <c r="F1081" t="s">
        <v>23098</v>
      </c>
      <c r="G1081" t="s">
        <v>23099</v>
      </c>
      <c r="H1081">
        <f>-618.861495179049 -1.22001148334263 -838.091712701853</f>
        <v>-1458.1732193642447</v>
      </c>
      <c r="I1081">
        <f>-574.711139159993 -22.4104473813532 -927.448854399312</f>
        <v>-1524.570440940658</v>
      </c>
      <c r="J1081" t="s">
        <v>23100</v>
      </c>
      <c r="K1081" t="s">
        <v>23101</v>
      </c>
      <c r="L1081" t="s">
        <v>23102</v>
      </c>
      <c r="M1081" t="s">
        <v>23103</v>
      </c>
      <c r="N1081">
        <f>-634.020145797412 -16.9699188101582 -766.852143891432</f>
        <v>-1417.8422084990023</v>
      </c>
      <c r="O1081">
        <f>-659.827887999019 -153.168921089014 -717.815010541872</f>
        <v>-1530.8118196299051</v>
      </c>
      <c r="P1081">
        <f>-665.170776772207 -119.751790658683 -403.107238261633</f>
        <v>-1188.029805692523</v>
      </c>
      <c r="Q1081">
        <f>-417.107573392337 -51.6434902455538 -441.421006090353</f>
        <v>-910.17206972824374</v>
      </c>
      <c r="R1081" t="s">
        <v>23104</v>
      </c>
      <c r="S1081" t="s">
        <v>23105</v>
      </c>
      <c r="T1081" t="s">
        <v>23106</v>
      </c>
      <c r="U1081" t="s">
        <v>23107</v>
      </c>
      <c r="V1081">
        <f>-642.037913230148 -24.3005930926316 -236.381298857524</f>
        <v>-902.71980518030364</v>
      </c>
      <c r="W1081" t="s">
        <v>23108</v>
      </c>
      <c r="X1081" t="s">
        <v>23109</v>
      </c>
      <c r="Y1081" t="s">
        <v>23110</v>
      </c>
    </row>
    <row r="1082" spans="1:25" x14ac:dyDescent="0.3">
      <c r="A1082">
        <v>54050</v>
      </c>
      <c r="B1082" t="s">
        <v>23111</v>
      </c>
      <c r="C1082" t="s">
        <v>23112</v>
      </c>
      <c r="D1082" t="s">
        <v>23113</v>
      </c>
      <c r="E1082" t="s">
        <v>23114</v>
      </c>
      <c r="F1082" t="s">
        <v>23115</v>
      </c>
      <c r="G1082" t="s">
        <v>23116</v>
      </c>
      <c r="H1082">
        <f>-619.079572119012 -1.22273829798645 -838.169797159096</f>
        <v>-1458.4721075760945</v>
      </c>
      <c r="I1082">
        <f>-574.91776680824 -22.4138453902189 -927.521091298746</f>
        <v>-1524.8527034972049</v>
      </c>
      <c r="J1082" t="s">
        <v>23117</v>
      </c>
      <c r="K1082" t="s">
        <v>23118</v>
      </c>
      <c r="L1082" t="s">
        <v>23119</v>
      </c>
      <c r="M1082" t="s">
        <v>23120</v>
      </c>
      <c r="N1082">
        <f>-634.23277680859 -16.9697294231853 -766.928412754137</f>
        <v>-1418.1309189859121</v>
      </c>
      <c r="O1082">
        <f>-660.0886593194 -153.174463590128 -717.924645508602</f>
        <v>-1531.18776841813</v>
      </c>
      <c r="P1082">
        <f>-665.533148088717 -119.90810533594 -403.202678065198</f>
        <v>-1188.643931489855</v>
      </c>
      <c r="Q1082">
        <f>-417.527836493624 -51.5222686983217 -441.396573500863</f>
        <v>-910.44667869280875</v>
      </c>
      <c r="R1082" t="s">
        <v>23121</v>
      </c>
      <c r="S1082" t="s">
        <v>23122</v>
      </c>
      <c r="T1082" t="s">
        <v>23123</v>
      </c>
      <c r="U1082" t="s">
        <v>23124</v>
      </c>
      <c r="V1082">
        <f>-642.018278454282 -24.3498083292972 -236.411939688287</f>
        <v>-902.78002647186622</v>
      </c>
      <c r="W1082" t="s">
        <v>23125</v>
      </c>
      <c r="X1082" t="s">
        <v>23126</v>
      </c>
      <c r="Y1082" t="s">
        <v>23127</v>
      </c>
    </row>
    <row r="1083" spans="1:25" x14ac:dyDescent="0.3">
      <c r="A1083">
        <v>54100</v>
      </c>
      <c r="B1083" t="s">
        <v>23128</v>
      </c>
      <c r="C1083" t="s">
        <v>23129</v>
      </c>
      <c r="D1083" t="s">
        <v>23130</v>
      </c>
      <c r="E1083" t="s">
        <v>23131</v>
      </c>
      <c r="F1083" t="s">
        <v>23132</v>
      </c>
      <c r="G1083" t="s">
        <v>23133</v>
      </c>
      <c r="H1083">
        <f>-618.966294798312 -1.24748560256656 -838.230454176674</f>
        <v>-1458.4442345775526</v>
      </c>
      <c r="I1083">
        <f>-574.805083834578 -22.4627316471282 -927.576495379248</f>
        <v>-1524.844310860954</v>
      </c>
      <c r="J1083" t="s">
        <v>23134</v>
      </c>
      <c r="K1083" t="s">
        <v>23135</v>
      </c>
      <c r="L1083" t="s">
        <v>23136</v>
      </c>
      <c r="M1083" t="s">
        <v>23137</v>
      </c>
      <c r="N1083">
        <f>-634.143291615986 -17.0082769429785 -766.997309471333</f>
        <v>-1418.1488780302975</v>
      </c>
      <c r="O1083">
        <f>-660.082098435878 -153.240968970616 -718.081842363382</f>
        <v>-1531.404909769876</v>
      </c>
      <c r="P1083">
        <f>-665.6654919166 -120.065224521819 -403.352809162207</f>
        <v>-1189.083525600626</v>
      </c>
      <c r="Q1083">
        <f>-417.730972024211 -51.3146986595376 -441.351290554263</f>
        <v>-910.39696123801161</v>
      </c>
      <c r="R1083" t="s">
        <v>23138</v>
      </c>
      <c r="S1083" t="s">
        <v>23139</v>
      </c>
      <c r="T1083" t="s">
        <v>23140</v>
      </c>
      <c r="U1083" t="s">
        <v>23141</v>
      </c>
      <c r="V1083">
        <f>-642.057829691764 -24.5304993576156 -236.412866567149</f>
        <v>-903.00119561652855</v>
      </c>
      <c r="W1083" t="s">
        <v>23142</v>
      </c>
      <c r="X1083" t="s">
        <v>23143</v>
      </c>
      <c r="Y1083" t="s">
        <v>23144</v>
      </c>
    </row>
    <row r="1084" spans="1:25" x14ac:dyDescent="0.3">
      <c r="A1084">
        <v>54150</v>
      </c>
      <c r="B1084" t="s">
        <v>23145</v>
      </c>
      <c r="C1084" t="s">
        <v>23146</v>
      </c>
      <c r="D1084" t="s">
        <v>23147</v>
      </c>
      <c r="E1084" t="s">
        <v>23148</v>
      </c>
      <c r="F1084" t="s">
        <v>23149</v>
      </c>
      <c r="G1084" t="s">
        <v>23150</v>
      </c>
      <c r="H1084">
        <f>-619.057461590686 -1.21456315582709 -838.199726263678</f>
        <v>-1458.4717510101912</v>
      </c>
      <c r="I1084">
        <f>-574.890436132729 -22.4740618678615 -927.532183493324</f>
        <v>-1524.8966814939145</v>
      </c>
      <c r="J1084" t="s">
        <v>23151</v>
      </c>
      <c r="K1084" t="s">
        <v>23152</v>
      </c>
      <c r="L1084" t="s">
        <v>23153</v>
      </c>
      <c r="M1084" t="s">
        <v>23154</v>
      </c>
      <c r="N1084">
        <f>-634.253708692982 -16.9634680277203 -766.967909616827</f>
        <v>-1418.1850863375294</v>
      </c>
      <c r="O1084">
        <f>-660.293196957147 -153.176826272122 -718.089471850113</f>
        <v>-1531.559495079382</v>
      </c>
      <c r="P1084">
        <f>-665.952349592652 -120.135240092343 -403.347674192097</f>
        <v>-1189.435263877092</v>
      </c>
      <c r="Q1084">
        <f>-418.040826874488 -51.2769623384891 -441.301553626873</f>
        <v>-910.61934283985011</v>
      </c>
      <c r="R1084" t="s">
        <v>23155</v>
      </c>
      <c r="S1084" t="s">
        <v>23156</v>
      </c>
      <c r="T1084" t="s">
        <v>23157</v>
      </c>
      <c r="U1084" t="s">
        <v>23158</v>
      </c>
      <c r="V1084">
        <f>-642.098385067403 -24.4855230191371 -236.389210832096</f>
        <v>-902.97311891863615</v>
      </c>
      <c r="W1084" t="s">
        <v>23159</v>
      </c>
      <c r="X1084" t="s">
        <v>23160</v>
      </c>
      <c r="Y1084" t="s">
        <v>23161</v>
      </c>
    </row>
    <row r="1085" spans="1:25" x14ac:dyDescent="0.3">
      <c r="A1085">
        <v>54200</v>
      </c>
      <c r="B1085" t="s">
        <v>23162</v>
      </c>
      <c r="C1085" t="s">
        <v>23163</v>
      </c>
      <c r="D1085" t="s">
        <v>23164</v>
      </c>
      <c r="E1085" t="s">
        <v>23165</v>
      </c>
      <c r="F1085" t="s">
        <v>23166</v>
      </c>
      <c r="G1085" t="s">
        <v>23167</v>
      </c>
      <c r="H1085">
        <f>-619.128479275017 -1.15588254849418 -838.055114391101</f>
        <v>-1458.3394762146122</v>
      </c>
      <c r="I1085">
        <f>-574.955022884732 -22.5122449381735 -927.361361989092</f>
        <v>-1524.8286298119974</v>
      </c>
      <c r="J1085" t="s">
        <v>23168</v>
      </c>
      <c r="K1085" t="s">
        <v>23169</v>
      </c>
      <c r="L1085" t="s">
        <v>23170</v>
      </c>
      <c r="M1085" t="s">
        <v>23171</v>
      </c>
      <c r="N1085">
        <f>-634.350373108908 -16.8891491867397 -766.825471333163</f>
        <v>-1418.0649936288107</v>
      </c>
      <c r="O1085">
        <f>-660.646956371577 -153.073584476231 -717.967835218972</f>
        <v>-1531.6883760667799</v>
      </c>
      <c r="P1085">
        <f>-666.302285378455 -120.194976551986 -403.208874762936</f>
        <v>-1189.7061366933769</v>
      </c>
      <c r="Q1085">
        <f>-418.360364403498 -51.3924783346565 -441.065076302931</f>
        <v>-910.81791904108559</v>
      </c>
      <c r="R1085" t="s">
        <v>23172</v>
      </c>
      <c r="S1085" t="s">
        <v>23173</v>
      </c>
      <c r="T1085" t="s">
        <v>23174</v>
      </c>
      <c r="U1085" t="s">
        <v>23175</v>
      </c>
      <c r="V1085">
        <f>-642.279714405544 -24.5673204540166 -236.294373619246</f>
        <v>-903.14140847880662</v>
      </c>
      <c r="W1085" t="s">
        <v>23176</v>
      </c>
      <c r="X1085" t="s">
        <v>23177</v>
      </c>
      <c r="Y1085" t="s">
        <v>23178</v>
      </c>
    </row>
    <row r="1086" spans="1:25" x14ac:dyDescent="0.3">
      <c r="A1086">
        <v>54250</v>
      </c>
      <c r="B1086" t="s">
        <v>23179</v>
      </c>
      <c r="C1086" t="s">
        <v>23180</v>
      </c>
      <c r="D1086" t="s">
        <v>23181</v>
      </c>
      <c r="E1086" t="s">
        <v>23182</v>
      </c>
      <c r="F1086" t="s">
        <v>23183</v>
      </c>
      <c r="G1086" t="s">
        <v>23184</v>
      </c>
      <c r="H1086">
        <f>-619.344515823951 -1.24816995730894 -837.916044933253</f>
        <v>-1458.5087307145131</v>
      </c>
      <c r="I1086">
        <f>-575.186887653689 -22.7441264025594 -927.196583408866</f>
        <v>-1525.1275974651144</v>
      </c>
      <c r="J1086" t="s">
        <v>23185</v>
      </c>
      <c r="K1086" t="s">
        <v>23186</v>
      </c>
      <c r="L1086" t="s">
        <v>23187</v>
      </c>
      <c r="M1086" t="s">
        <v>23188</v>
      </c>
      <c r="N1086">
        <f>-634.59277164274 -16.9279546112135 -766.680066371707</f>
        <v>-1418.2007926256606</v>
      </c>
      <c r="O1086">
        <f>-661.140160215278 -153.055456221103 -717.814567650469</f>
        <v>-1532.0101840868501</v>
      </c>
      <c r="P1086">
        <f>-666.907166384387 -120.215466877465 -403.053572319508</f>
        <v>-1190.1762055813601</v>
      </c>
      <c r="Q1086">
        <f>-418.884689102658 -51.6049366903516 -440.73000656599</f>
        <v>-911.21963235899966</v>
      </c>
      <c r="R1086" t="s">
        <v>23189</v>
      </c>
      <c r="S1086" t="s">
        <v>23190</v>
      </c>
      <c r="T1086" t="s">
        <v>23191</v>
      </c>
      <c r="U1086" t="s">
        <v>23192</v>
      </c>
      <c r="V1086">
        <f>-642.249221500258 -24.6244485983689 -236.213649290318</f>
        <v>-903.08731938894493</v>
      </c>
      <c r="W1086" t="s">
        <v>23193</v>
      </c>
      <c r="X1086" t="s">
        <v>23194</v>
      </c>
      <c r="Y1086" t="s">
        <v>23195</v>
      </c>
    </row>
    <row r="1087" spans="1:25" x14ac:dyDescent="0.3">
      <c r="A1087">
        <v>54300</v>
      </c>
      <c r="B1087" t="s">
        <v>23196</v>
      </c>
      <c r="C1087" t="s">
        <v>23197</v>
      </c>
      <c r="D1087" t="s">
        <v>23198</v>
      </c>
      <c r="E1087" t="s">
        <v>23199</v>
      </c>
      <c r="F1087" t="s">
        <v>23200</v>
      </c>
      <c r="G1087" t="s">
        <v>23201</v>
      </c>
      <c r="H1087">
        <f>-619.3696805658 -1.38809372424815 -837.925922781409</f>
        <v>-1458.6836970714571</v>
      </c>
      <c r="I1087">
        <f>-575.240811976146 -22.9544617128731 -927.203615243732</f>
        <v>-1525.3988889327511</v>
      </c>
      <c r="J1087" t="s">
        <v>23202</v>
      </c>
      <c r="K1087" t="s">
        <v>23203</v>
      </c>
      <c r="L1087" t="s">
        <v>23204</v>
      </c>
      <c r="M1087" t="s">
        <v>23205</v>
      </c>
      <c r="N1087">
        <f>-634.613681191453 -17.0444506408403 -766.683944865867</f>
        <v>-1418.3420766981603</v>
      </c>
      <c r="O1087">
        <f>-661.297327475214 -153.139985332804 -717.803469041177</f>
        <v>-1532.2407818491952</v>
      </c>
      <c r="P1087">
        <f>-667.068932321906 -120.166096940007 -403.056578096508</f>
        <v>-1190.2916073584211</v>
      </c>
      <c r="Q1087">
        <f>-418.984300476715 -51.6999754103714 -440.585774539807</f>
        <v>-911.27005042689348</v>
      </c>
      <c r="R1087" t="s">
        <v>23206</v>
      </c>
      <c r="S1087" t="s">
        <v>23207</v>
      </c>
      <c r="T1087" t="s">
        <v>23208</v>
      </c>
      <c r="U1087" t="s">
        <v>23209</v>
      </c>
      <c r="V1087">
        <f>-642.145008107171 -24.6295936141664 -236.202747786617</f>
        <v>-902.97734950795439</v>
      </c>
      <c r="W1087" t="s">
        <v>23210</v>
      </c>
      <c r="X1087" t="s">
        <v>23211</v>
      </c>
      <c r="Y1087" t="s">
        <v>23212</v>
      </c>
    </row>
    <row r="1088" spans="1:25" x14ac:dyDescent="0.3">
      <c r="A1088">
        <v>54350</v>
      </c>
      <c r="B1088" t="s">
        <v>23213</v>
      </c>
      <c r="C1088" t="s">
        <v>23214</v>
      </c>
      <c r="D1088" t="s">
        <v>23215</v>
      </c>
      <c r="E1088" t="s">
        <v>23216</v>
      </c>
      <c r="F1088" t="s">
        <v>23217</v>
      </c>
      <c r="G1088" t="s">
        <v>23218</v>
      </c>
      <c r="H1088">
        <f>-619.304720221816 -1.47890942205964 -837.957864927782</f>
        <v>-1458.7414945716575</v>
      </c>
      <c r="I1088">
        <f>-575.245681052183 -23.1574792681951 -927.243085122765</f>
        <v>-1525.646245443143</v>
      </c>
      <c r="J1088" t="s">
        <v>23219</v>
      </c>
      <c r="K1088" t="s">
        <v>23220</v>
      </c>
      <c r="L1088" t="s">
        <v>23221</v>
      </c>
      <c r="M1088" t="s">
        <v>23222</v>
      </c>
      <c r="N1088">
        <f>-634.550118794522 -17.1024275529341 -766.709064599854</f>
        <v>-1418.3616109473101</v>
      </c>
      <c r="O1088">
        <f>-661.470799005091 -153.143461109622 -717.778140222653</f>
        <v>-1532.3924003373659</v>
      </c>
      <c r="P1088">
        <f>-667.245179626485 -119.886636543635 -403.061029439579</f>
        <v>-1190.1928456096989</v>
      </c>
      <c r="Q1088">
        <f>-419.026329287183 -51.8067366876924 -440.404903533719</f>
        <v>-911.23796950859446</v>
      </c>
      <c r="R1088" t="s">
        <v>23223</v>
      </c>
      <c r="S1088" t="s">
        <v>23224</v>
      </c>
      <c r="T1088" t="s">
        <v>23225</v>
      </c>
      <c r="U1088" t="s">
        <v>23226</v>
      </c>
      <c r="V1088">
        <f>-641.824416162361 -24.4000323834511 -236.166527536822</f>
        <v>-902.3909760826341</v>
      </c>
      <c r="W1088" t="s">
        <v>23227</v>
      </c>
      <c r="X1088" t="s">
        <v>23228</v>
      </c>
      <c r="Y1088" t="s">
        <v>23229</v>
      </c>
    </row>
    <row r="1089" spans="1:25" x14ac:dyDescent="0.3">
      <c r="A1089">
        <v>54400</v>
      </c>
      <c r="B1089" t="s">
        <v>23230</v>
      </c>
      <c r="C1089" t="s">
        <v>23231</v>
      </c>
      <c r="D1089" t="s">
        <v>23232</v>
      </c>
      <c r="E1089" t="s">
        <v>23233</v>
      </c>
      <c r="F1089" t="s">
        <v>23234</v>
      </c>
      <c r="G1089" t="s">
        <v>23235</v>
      </c>
      <c r="H1089">
        <f>-619.38396272356 -1.64218346333275 -837.860085155425</f>
        <v>-1458.8862313423178</v>
      </c>
      <c r="I1089">
        <f>-575.349661109018 -23.3583068853781 -927.148289258488</f>
        <v>-1525.856257252884</v>
      </c>
      <c r="J1089" t="s">
        <v>23236</v>
      </c>
      <c r="K1089" t="s">
        <v>23237</v>
      </c>
      <c r="L1089" t="s">
        <v>23238</v>
      </c>
      <c r="M1089" t="s">
        <v>23239</v>
      </c>
      <c r="N1089">
        <f>-634.62830140488 -17.2502763349314 -766.607666449092</f>
        <v>-1418.4862441889034</v>
      </c>
      <c r="O1089">
        <f>-661.629605172683 -153.265075473191 -717.674565325011</f>
        <v>-1532.569245970885</v>
      </c>
      <c r="P1089">
        <f>-667.491807262627 -119.90024587468 -402.970462410759</f>
        <v>-1190.3625155480661</v>
      </c>
      <c r="Q1089">
        <f>-419.23465811511 -51.9256765083413 -440.252012831092</f>
        <v>-911.41234745454324</v>
      </c>
      <c r="R1089" t="s">
        <v>23240</v>
      </c>
      <c r="S1089" t="s">
        <v>23241</v>
      </c>
      <c r="T1089" t="s">
        <v>23242</v>
      </c>
      <c r="U1089" t="s">
        <v>23243</v>
      </c>
      <c r="V1089">
        <f>-641.78922505991 -24.3810648119309 -236.07096403891</f>
        <v>-902.24125391075086</v>
      </c>
      <c r="W1089" t="s">
        <v>23244</v>
      </c>
      <c r="X1089" t="s">
        <v>23245</v>
      </c>
      <c r="Y1089" t="s">
        <v>23246</v>
      </c>
    </row>
    <row r="1090" spans="1:25" x14ac:dyDescent="0.3">
      <c r="A1090">
        <v>54450</v>
      </c>
      <c r="B1090" t="s">
        <v>23247</v>
      </c>
      <c r="C1090" t="s">
        <v>23248</v>
      </c>
      <c r="D1090" t="s">
        <v>23249</v>
      </c>
      <c r="E1090" t="s">
        <v>23250</v>
      </c>
      <c r="F1090" t="s">
        <v>23251</v>
      </c>
      <c r="G1090" t="s">
        <v>23252</v>
      </c>
      <c r="H1090">
        <f>-619.553689612385 -2.00909341831549 -837.408399752642</f>
        <v>-1458.9711827833426</v>
      </c>
      <c r="I1090">
        <f>-575.548494265649 -23.7642512001042 -926.701476040637</f>
        <v>-1526.0142215063902</v>
      </c>
      <c r="J1090" t="s">
        <v>23253</v>
      </c>
      <c r="K1090" t="s">
        <v>23254</v>
      </c>
      <c r="L1090" t="s">
        <v>23255</v>
      </c>
      <c r="M1090" t="s">
        <v>23256</v>
      </c>
      <c r="N1090">
        <f>-634.792685540472 -17.5835789559645 -766.147580215272</f>
        <v>-1418.5238447117085</v>
      </c>
      <c r="O1090">
        <f>-661.853920269553 -153.578948006812 -717.177182387757</f>
        <v>-1532.6100506641219</v>
      </c>
      <c r="P1090">
        <f>-667.656727229651 -120.277376112507 -402.46542448879</f>
        <v>-1190.399527830948</v>
      </c>
      <c r="Q1090">
        <f>-419.38385735847 -52.3391330212013 -439.708394722912</f>
        <v>-911.43138510258325</v>
      </c>
      <c r="R1090" t="s">
        <v>23257</v>
      </c>
      <c r="S1090" t="s">
        <v>23258</v>
      </c>
      <c r="T1090" t="s">
        <v>23259</v>
      </c>
      <c r="U1090" t="s">
        <v>23260</v>
      </c>
      <c r="V1090">
        <f>-641.871145746263 -24.4561751819064 -235.752506701112</f>
        <v>-902.07982762928134</v>
      </c>
      <c r="W1090" t="s">
        <v>23261</v>
      </c>
      <c r="X1090" t="s">
        <v>23262</v>
      </c>
      <c r="Y1090" t="s">
        <v>23263</v>
      </c>
    </row>
    <row r="1091" spans="1:25" x14ac:dyDescent="0.3">
      <c r="A1091">
        <v>54500</v>
      </c>
      <c r="B1091" t="s">
        <v>23264</v>
      </c>
      <c r="C1091" t="s">
        <v>23265</v>
      </c>
      <c r="D1091" t="s">
        <v>23266</v>
      </c>
      <c r="E1091" t="s">
        <v>23267</v>
      </c>
      <c r="F1091" t="s">
        <v>23268</v>
      </c>
      <c r="G1091" t="s">
        <v>23269</v>
      </c>
      <c r="H1091">
        <f>-619.641790051085 -2.08900343369037 -837.167072163815</f>
        <v>-1458.8978656485901</v>
      </c>
      <c r="I1091">
        <f>-575.636547204383 -23.8680156451872 -926.45419180133</f>
        <v>-1525.9587546509001</v>
      </c>
      <c r="J1091" t="s">
        <v>23270</v>
      </c>
      <c r="K1091" t="s">
        <v>23271</v>
      </c>
      <c r="L1091" t="s">
        <v>23272</v>
      </c>
      <c r="M1091" t="s">
        <v>23273</v>
      </c>
      <c r="N1091">
        <f>-634.8623037306 -17.6304756514339 -765.894875348297</f>
        <v>-1418.387654730331</v>
      </c>
      <c r="O1091">
        <f>-661.911406412648 -153.60866420006 -716.88329053986</f>
        <v>-1532.4033611525679</v>
      </c>
      <c r="P1091">
        <f>-667.730447594384 -120.203242054091 -402.182786358776</f>
        <v>-1190.1164760072511</v>
      </c>
      <c r="Q1091">
        <f>-419.469751063822 -52.3044086601515 -439.578561771132</f>
        <v>-911.35272149510547</v>
      </c>
      <c r="R1091" t="s">
        <v>23274</v>
      </c>
      <c r="S1091" t="s">
        <v>23275</v>
      </c>
      <c r="T1091" t="s">
        <v>23276</v>
      </c>
      <c r="U1091" t="s">
        <v>23277</v>
      </c>
      <c r="V1091">
        <f>-641.77756392602 -24.3642695813318 -235.598451706734</f>
        <v>-901.74028521408582</v>
      </c>
      <c r="W1091" t="s">
        <v>23278</v>
      </c>
      <c r="X1091" t="s">
        <v>23279</v>
      </c>
      <c r="Y1091" t="s">
        <v>23280</v>
      </c>
    </row>
    <row r="1092" spans="1:25" x14ac:dyDescent="0.3">
      <c r="A1092">
        <v>54550</v>
      </c>
      <c r="B1092" t="s">
        <v>23281</v>
      </c>
      <c r="C1092" t="s">
        <v>23282</v>
      </c>
      <c r="D1092" t="s">
        <v>23283</v>
      </c>
      <c r="E1092" t="s">
        <v>23284</v>
      </c>
      <c r="F1092" t="s">
        <v>23285</v>
      </c>
      <c r="G1092" t="s">
        <v>23286</v>
      </c>
      <c r="H1092">
        <f>-618.95131152734 -2.77238224037042 -836.904862592712</f>
        <v>-1458.6285563604224</v>
      </c>
      <c r="I1092">
        <f>-574.877803522589 -24.6416030954496 -926.136328602409</f>
        <v>-1525.6557352204477</v>
      </c>
      <c r="J1092" t="s">
        <v>23287</v>
      </c>
      <c r="K1092" t="s">
        <v>23288</v>
      </c>
      <c r="L1092" t="s">
        <v>23289</v>
      </c>
      <c r="M1092" t="s">
        <v>23290</v>
      </c>
      <c r="N1092">
        <f>-634.15051972011 -18.1775597611732 -765.598739157502</f>
        <v>-1417.9268186387851</v>
      </c>
      <c r="O1092">
        <f>-661.17403482668 -154.104799601059 -716.430334524967</f>
        <v>-1531.709168952706</v>
      </c>
      <c r="P1092">
        <f>-666.846063626245 -120.380986996141 -401.761067108209</f>
        <v>-1188.9881177305951</v>
      </c>
      <c r="Q1092">
        <f>-418.558468403126 -52.7206470552659 -439.409884702747</f>
        <v>-910.68900016113889</v>
      </c>
      <c r="R1092" t="s">
        <v>23291</v>
      </c>
      <c r="S1092" t="s">
        <v>23292</v>
      </c>
      <c r="T1092" t="s">
        <v>23293</v>
      </c>
      <c r="U1092" t="s">
        <v>23294</v>
      </c>
      <c r="V1092">
        <f>-641.411290084424 -24.3695639692911 -235.464686855865</f>
        <v>-901.24554090958009</v>
      </c>
      <c r="W1092" t="s">
        <v>23295</v>
      </c>
      <c r="X1092" t="s">
        <v>23296</v>
      </c>
      <c r="Y1092" t="s">
        <v>23297</v>
      </c>
    </row>
    <row r="1093" spans="1:25" x14ac:dyDescent="0.3">
      <c r="A1093">
        <v>54600</v>
      </c>
      <c r="B1093" t="s">
        <v>23298</v>
      </c>
      <c r="C1093" t="s">
        <v>23299</v>
      </c>
      <c r="D1093" t="s">
        <v>23300</v>
      </c>
      <c r="E1093" t="s">
        <v>23301</v>
      </c>
      <c r="F1093" t="s">
        <v>23302</v>
      </c>
      <c r="G1093" t="s">
        <v>23303</v>
      </c>
      <c r="H1093">
        <f>-618.439992816063 -3.31665127091117 -836.860203520971</f>
        <v>-1458.6168476079451</v>
      </c>
      <c r="I1093">
        <f>-574.338867836076 -25.2422687152238 -926.064133553788</f>
        <v>-1525.6452701050878</v>
      </c>
      <c r="J1093" t="s">
        <v>23304</v>
      </c>
      <c r="K1093" t="s">
        <v>23305</v>
      </c>
      <c r="L1093" t="s">
        <v>23306</v>
      </c>
      <c r="M1093" t="s">
        <v>23307</v>
      </c>
      <c r="N1093">
        <f>-633.632528273306 -18.6530574736055 -765.537664933427</f>
        <v>-1417.8232506803383</v>
      </c>
      <c r="O1093">
        <f>-660.586700394101 -154.55674892376 -716.247389040384</f>
        <v>-1531.3908383582448</v>
      </c>
      <c r="P1093">
        <f>-666.206401747691 -120.48611129358 -401.614563606275</f>
        <v>-1188.307076647546</v>
      </c>
      <c r="Q1093">
        <f>-417.935639098569 -52.9140546040228 -439.531513469402</f>
        <v>-910.38120717199376</v>
      </c>
      <c r="R1093" t="s">
        <v>23308</v>
      </c>
      <c r="S1093" t="s">
        <v>23309</v>
      </c>
      <c r="T1093" t="s">
        <v>23310</v>
      </c>
      <c r="U1093" t="s">
        <v>23311</v>
      </c>
      <c r="V1093">
        <f>-641.265196467163 -24.5330607376788 -235.4605466223</f>
        <v>-901.25880382714195</v>
      </c>
      <c r="W1093" t="s">
        <v>23312</v>
      </c>
      <c r="X1093" t="s">
        <v>23313</v>
      </c>
      <c r="Y1093" t="s">
        <v>23314</v>
      </c>
    </row>
    <row r="1094" spans="1:25" x14ac:dyDescent="0.3">
      <c r="A1094">
        <v>54650</v>
      </c>
      <c r="B1094" t="s">
        <v>23315</v>
      </c>
      <c r="C1094" t="s">
        <v>23316</v>
      </c>
      <c r="D1094" t="s">
        <v>23317</v>
      </c>
      <c r="E1094" t="s">
        <v>23318</v>
      </c>
      <c r="F1094" t="s">
        <v>23319</v>
      </c>
      <c r="G1094" t="s">
        <v>23320</v>
      </c>
      <c r="H1094">
        <f>-617.571835559527 -3.49605540272589 -836.934420994325</f>
        <v>-1458.0023119565781</v>
      </c>
      <c r="I1094">
        <f>-573.337738906109 -25.4628267234516 -926.062330614434</f>
        <v>-1524.8628962439948</v>
      </c>
      <c r="J1094" t="s">
        <v>23321</v>
      </c>
      <c r="K1094" t="s">
        <v>23322</v>
      </c>
      <c r="L1094" t="s">
        <v>23323</v>
      </c>
      <c r="M1094" t="s">
        <v>23324</v>
      </c>
      <c r="N1094">
        <f>-632.744497812527 -18.807366821822 -765.602193140516</f>
        <v>-1417.1540577748651</v>
      </c>
      <c r="O1094">
        <f>-659.422118156958 -154.715308550557 -716.183290002517</f>
        <v>-1530.320716710032</v>
      </c>
      <c r="P1094">
        <f>-664.999183547161 -120.428019527418 -401.573249044909</f>
        <v>-1187.000452119488</v>
      </c>
      <c r="Q1094">
        <f>-416.971716386397 -52.4057445074347 -440.269638373025</f>
        <v>-909.64709926685669</v>
      </c>
      <c r="R1094" t="s">
        <v>23325</v>
      </c>
      <c r="S1094" t="s">
        <v>23326</v>
      </c>
      <c r="T1094" t="s">
        <v>23327</v>
      </c>
      <c r="U1094" t="s">
        <v>23328</v>
      </c>
      <c r="V1094">
        <f>-640.678231835799 -24.4588854539463 -235.54957831636</f>
        <v>-900.68669560610533</v>
      </c>
      <c r="W1094" t="s">
        <v>23329</v>
      </c>
      <c r="X1094" t="s">
        <v>23330</v>
      </c>
      <c r="Y1094" t="s">
        <v>23331</v>
      </c>
    </row>
    <row r="1095" spans="1:25" x14ac:dyDescent="0.3">
      <c r="A1095">
        <v>54700</v>
      </c>
      <c r="B1095" t="s">
        <v>23332</v>
      </c>
      <c r="C1095" t="s">
        <v>23333</v>
      </c>
      <c r="D1095" t="s">
        <v>23334</v>
      </c>
      <c r="E1095" t="s">
        <v>23335</v>
      </c>
      <c r="F1095" t="s">
        <v>23336</v>
      </c>
      <c r="G1095" t="s">
        <v>23337</v>
      </c>
      <c r="H1095">
        <f>-617.428186226424 -3.54231817724562 -837.005755081397</f>
        <v>-1457.9762594850667</v>
      </c>
      <c r="I1095">
        <f>-573.126401043135 -25.5250894925841 -926.096174796998</f>
        <v>-1524.7476653327171</v>
      </c>
      <c r="J1095" t="s">
        <v>23338</v>
      </c>
      <c r="K1095" t="s">
        <v>23339</v>
      </c>
      <c r="L1095" t="s">
        <v>23340</v>
      </c>
      <c r="M1095" t="s">
        <v>23341</v>
      </c>
      <c r="N1095">
        <f>-632.566656928857 -18.8438065875154 -765.664332005594</f>
        <v>-1417.0747955219663</v>
      </c>
      <c r="O1095">
        <f>-659.076223132971 -154.742273027934 -716.147800604521</f>
        <v>-1529.9662967654258</v>
      </c>
      <c r="P1095">
        <f>-664.473530166053 -120.251632447809 -401.556824703713</f>
        <v>-1186.2819873175749</v>
      </c>
      <c r="Q1095">
        <f>-416.638308875466 -51.7698719460041 -440.672029848882</f>
        <v>-909.08021067035213</v>
      </c>
      <c r="R1095" t="s">
        <v>23342</v>
      </c>
      <c r="S1095" t="s">
        <v>23343</v>
      </c>
      <c r="T1095" t="s">
        <v>23344</v>
      </c>
      <c r="U1095" t="s">
        <v>23345</v>
      </c>
      <c r="V1095">
        <f>-640.481666412876 -24.4150774882716 -235.616957382319</f>
        <v>-900.51370128346662</v>
      </c>
      <c r="W1095" t="s">
        <v>23346</v>
      </c>
      <c r="X1095" t="s">
        <v>23347</v>
      </c>
      <c r="Y1095" t="s">
        <v>23348</v>
      </c>
    </row>
    <row r="1096" spans="1:25" x14ac:dyDescent="0.3">
      <c r="A1096">
        <v>54750</v>
      </c>
      <c r="B1096" t="s">
        <v>23349</v>
      </c>
      <c r="C1096" t="s">
        <v>23350</v>
      </c>
      <c r="D1096" t="s">
        <v>23351</v>
      </c>
      <c r="E1096" t="s">
        <v>23352</v>
      </c>
      <c r="F1096" t="s">
        <v>23353</v>
      </c>
      <c r="G1096" t="s">
        <v>23354</v>
      </c>
      <c r="H1096">
        <f>-617.351479448177 -3.89673664835714 -837.077368305518</f>
        <v>-1458.3255844020521</v>
      </c>
      <c r="I1096">
        <f>-572.993492168309 -25.9138570967139 -926.1312815266</f>
        <v>-1525.0386307916228</v>
      </c>
      <c r="J1096" t="s">
        <v>23355</v>
      </c>
      <c r="K1096" t="s">
        <v>23356</v>
      </c>
      <c r="L1096" t="s">
        <v>23357</v>
      </c>
      <c r="M1096" t="s">
        <v>23358</v>
      </c>
      <c r="N1096">
        <f>-632.4577572677 -19.147182764979 -765.718034111438</f>
        <v>-1417.3229741441169</v>
      </c>
      <c r="O1096">
        <f>-658.789153628852 -155.030292139487 -716.074803661715</f>
        <v>-1529.8942494300541</v>
      </c>
      <c r="P1096">
        <f>-664.079166285176 -120.405122317829 -401.496847924706</f>
        <v>-1185.981136527711</v>
      </c>
      <c r="Q1096">
        <f>-416.404044723005 -51.4994000058567 -440.880842116107</f>
        <v>-908.78428684496862</v>
      </c>
      <c r="R1096" t="s">
        <v>23359</v>
      </c>
      <c r="S1096" t="s">
        <v>23360</v>
      </c>
      <c r="T1096" t="s">
        <v>23361</v>
      </c>
      <c r="U1096" t="s">
        <v>23362</v>
      </c>
      <c r="V1096">
        <f>-640.335227787777 -24.5452667676277 -235.713342139162</f>
        <v>-900.59383669456668</v>
      </c>
      <c r="W1096" t="s">
        <v>23363</v>
      </c>
      <c r="X1096" t="s">
        <v>23364</v>
      </c>
      <c r="Y1096" t="s">
        <v>23365</v>
      </c>
    </row>
    <row r="1097" spans="1:25" x14ac:dyDescent="0.3">
      <c r="A1097">
        <v>54800</v>
      </c>
      <c r="B1097" t="s">
        <v>23366</v>
      </c>
      <c r="C1097" t="s">
        <v>23367</v>
      </c>
      <c r="D1097" t="s">
        <v>23368</v>
      </c>
      <c r="E1097" t="s">
        <v>23369</v>
      </c>
      <c r="F1097" t="s">
        <v>23370</v>
      </c>
      <c r="G1097" t="s">
        <v>23371</v>
      </c>
      <c r="H1097">
        <f>-617.085058815743 -4.8625985533156 -837.199330875083</f>
        <v>-1459.1469882441415</v>
      </c>
      <c r="I1097">
        <f>-572.69706692219 -26.9421556556544 -926.222833931329</f>
        <v>-1525.8620565091733</v>
      </c>
      <c r="J1097" t="s">
        <v>23372</v>
      </c>
      <c r="K1097" t="s">
        <v>23373</v>
      </c>
      <c r="L1097" t="s">
        <v>23374</v>
      </c>
      <c r="M1097" t="s">
        <v>23375</v>
      </c>
      <c r="N1097">
        <f>-632.133536613285 -20.0039772658608 -765.804725693995</f>
        <v>-1417.9422395731408</v>
      </c>
      <c r="O1097">
        <f>-658.240322709112 -155.847173000105 -715.917158702313</f>
        <v>-1530.0046544115298</v>
      </c>
      <c r="P1097">
        <f>-663.233047495396 -120.561060183254 -401.40775633556</f>
        <v>-1185.2018640142101</v>
      </c>
      <c r="Q1097">
        <f>-415.540600197555 -51.9927559510908 -441.269055831237</f>
        <v>-908.80241197988278</v>
      </c>
      <c r="R1097" t="s">
        <v>23376</v>
      </c>
      <c r="S1097" t="s">
        <v>23377</v>
      </c>
      <c r="T1097" t="s">
        <v>23378</v>
      </c>
      <c r="U1097" t="s">
        <v>23379</v>
      </c>
      <c r="V1097">
        <f>-639.969574393395 -24.8334538222843 -235.882684265062</f>
        <v>-900.68571248074136</v>
      </c>
      <c r="W1097" t="s">
        <v>23380</v>
      </c>
      <c r="X1097" t="s">
        <v>23381</v>
      </c>
      <c r="Y1097" t="s">
        <v>23382</v>
      </c>
    </row>
    <row r="1098" spans="1:25" x14ac:dyDescent="0.3">
      <c r="A1098">
        <v>54850</v>
      </c>
      <c r="B1098" t="s">
        <v>23383</v>
      </c>
      <c r="C1098" t="s">
        <v>23384</v>
      </c>
      <c r="D1098" t="s">
        <v>23385</v>
      </c>
      <c r="E1098" t="s">
        <v>23386</v>
      </c>
      <c r="F1098" t="s">
        <v>23387</v>
      </c>
      <c r="G1098" t="s">
        <v>23388</v>
      </c>
      <c r="H1098">
        <f>-616.783432417856 -5.5829190121616 -837.592429133034</f>
        <v>-1459.9587805630517</v>
      </c>
      <c r="I1098">
        <f>-572.366458268764 -27.6870004831393 -926.59533104784</f>
        <v>-1526.6487897997431</v>
      </c>
      <c r="J1098" t="s">
        <v>23389</v>
      </c>
      <c r="K1098" t="s">
        <v>23390</v>
      </c>
      <c r="L1098" t="s">
        <v>23391</v>
      </c>
      <c r="M1098" t="s">
        <v>23392</v>
      </c>
      <c r="N1098">
        <f>-631.815583050281 -20.671548350608 -766.183065554535</f>
        <v>-1418.670196955424</v>
      </c>
      <c r="O1098">
        <f>-657.801163912318 -156.473681764477 -716.11514301552</f>
        <v>-1530.389988692315</v>
      </c>
      <c r="P1098">
        <f>-662.490562800197 -121.278872339638 -401.59089627001</f>
        <v>-1185.360331409845</v>
      </c>
      <c r="Q1098">
        <f>-414.891936052909 -52.7200959403954 -442.046883801863</f>
        <v>-909.65891579516733</v>
      </c>
      <c r="R1098" t="s">
        <v>23393</v>
      </c>
      <c r="S1098" t="s">
        <v>23394</v>
      </c>
      <c r="T1098" t="s">
        <v>23395</v>
      </c>
      <c r="U1098" t="s">
        <v>23396</v>
      </c>
      <c r="V1098">
        <f>-639.918681355711 -25.2451205439606 -236.209678001221</f>
        <v>-901.37347990089256</v>
      </c>
      <c r="W1098" t="s">
        <v>23397</v>
      </c>
      <c r="X1098" t="s">
        <v>23398</v>
      </c>
      <c r="Y1098" t="s">
        <v>23399</v>
      </c>
    </row>
    <row r="1099" spans="1:25" x14ac:dyDescent="0.3">
      <c r="A1099">
        <v>54900</v>
      </c>
      <c r="B1099" t="s">
        <v>23400</v>
      </c>
      <c r="C1099" t="s">
        <v>23401</v>
      </c>
      <c r="D1099" t="s">
        <v>23402</v>
      </c>
      <c r="E1099" t="s">
        <v>23403</v>
      </c>
      <c r="F1099" t="s">
        <v>23404</v>
      </c>
      <c r="G1099" t="s">
        <v>23405</v>
      </c>
      <c r="H1099">
        <f>-616.51312021414 -5.71546444382104 -837.752098320617</f>
        <v>-1459.980682978578</v>
      </c>
      <c r="I1099">
        <f>-572.059829763249 -27.8374801184206 -926.732372621025</f>
        <v>-1526.6296825026945</v>
      </c>
      <c r="J1099" t="s">
        <v>23406</v>
      </c>
      <c r="K1099" t="s">
        <v>23407</v>
      </c>
      <c r="L1099" t="s">
        <v>23408</v>
      </c>
      <c r="M1099" t="s">
        <v>23409</v>
      </c>
      <c r="N1099">
        <f>-631.550136565225 -20.7976772523893 -766.342354820021</f>
        <v>-1418.6901686376355</v>
      </c>
      <c r="O1099">
        <f>-657.463367232676 -156.59481938709 -716.224422144753</f>
        <v>-1530.282608764519</v>
      </c>
      <c r="P1099">
        <f>-662.066888235319 -121.527578287607 -401.684544953965</f>
        <v>-1185.2790114768909</v>
      </c>
      <c r="Q1099">
        <f>-414.560309273099 -52.7991156535442 -442.415144319426</f>
        <v>-909.77456924606918</v>
      </c>
      <c r="R1099" t="s">
        <v>23410</v>
      </c>
      <c r="S1099" t="s">
        <v>23411</v>
      </c>
      <c r="T1099" t="s">
        <v>23412</v>
      </c>
      <c r="U1099" t="s">
        <v>23413</v>
      </c>
      <c r="V1099">
        <f>-639.899414392086 -25.3395977682745 -236.369201787853</f>
        <v>-901.60821394821346</v>
      </c>
      <c r="W1099" t="s">
        <v>23414</v>
      </c>
      <c r="X1099" t="s">
        <v>23415</v>
      </c>
      <c r="Y1099" t="s">
        <v>23416</v>
      </c>
    </row>
    <row r="1100" spans="1:25" x14ac:dyDescent="0.3">
      <c r="A1100">
        <v>54950</v>
      </c>
      <c r="B1100" t="s">
        <v>23417</v>
      </c>
      <c r="C1100" t="s">
        <v>23418</v>
      </c>
      <c r="D1100" t="s">
        <v>23419</v>
      </c>
      <c r="E1100" t="s">
        <v>23420</v>
      </c>
      <c r="F1100" t="s">
        <v>23421</v>
      </c>
      <c r="G1100" t="s">
        <v>23422</v>
      </c>
      <c r="H1100">
        <f>-616.216983904687 -5.90511755493574 -837.868390155231</f>
        <v>-1459.9904916148539</v>
      </c>
      <c r="I1100">
        <f>-571.665417535685 -28.0997207603009 -926.781416264388</f>
        <v>-1526.5465545603738</v>
      </c>
      <c r="J1100" t="s">
        <v>23423</v>
      </c>
      <c r="K1100" t="s">
        <v>23424</v>
      </c>
      <c r="L1100" t="s">
        <v>23425</v>
      </c>
      <c r="M1100" t="s">
        <v>23426</v>
      </c>
      <c r="N1100">
        <f>-631.273653812054 -20.9243654250981 -766.449478168688</f>
        <v>-1418.6474974058401</v>
      </c>
      <c r="O1100">
        <f>-657.071010009738 -156.663881763965 -716.134302664704</f>
        <v>-1529.869194438407</v>
      </c>
      <c r="P1100">
        <f>-661.395745417656 -121.124394404253 -401.6435528108</f>
        <v>-1184.1636926327089</v>
      </c>
      <c r="Q1100">
        <f>-413.992893656489 -52.3851676271913 -442.981207537308</f>
        <v>-909.35926882098829</v>
      </c>
      <c r="R1100" t="s">
        <v>23427</v>
      </c>
      <c r="S1100" t="s">
        <v>23428</v>
      </c>
      <c r="T1100" t="s">
        <v>23429</v>
      </c>
      <c r="U1100" t="s">
        <v>23430</v>
      </c>
      <c r="V1100">
        <f>-639.973308093971 -25.4800642828234 -236.584827283584</f>
        <v>-902.03819966037838</v>
      </c>
      <c r="W1100" t="s">
        <v>23431</v>
      </c>
      <c r="X1100" t="s">
        <v>23432</v>
      </c>
      <c r="Y1100" t="s">
        <v>23433</v>
      </c>
    </row>
    <row r="1101" spans="1:25" x14ac:dyDescent="0.3">
      <c r="A1101">
        <v>55000</v>
      </c>
      <c r="B1101" t="s">
        <v>23434</v>
      </c>
      <c r="C1101" t="s">
        <v>23435</v>
      </c>
      <c r="D1101" t="s">
        <v>23436</v>
      </c>
      <c r="E1101" t="s">
        <v>23437</v>
      </c>
      <c r="F1101" t="s">
        <v>23438</v>
      </c>
      <c r="G1101" t="s">
        <v>23439</v>
      </c>
      <c r="H1101">
        <f>-616.109053816395 -6.14583927325718 -837.751801205897</f>
        <v>-1460.0066942955491</v>
      </c>
      <c r="I1101">
        <f>-571.507646339677 -28.3849029100809 -926.628829161989</f>
        <v>-1526.5213784117468</v>
      </c>
      <c r="J1101" t="s">
        <v>23440</v>
      </c>
      <c r="K1101" t="s">
        <v>23441</v>
      </c>
      <c r="L1101" t="s">
        <v>23442</v>
      </c>
      <c r="M1101" t="s">
        <v>23443</v>
      </c>
      <c r="N1101">
        <f>-631.173508446139 -21.1142825674756 -766.324082960921</f>
        <v>-1418.6118739745357</v>
      </c>
      <c r="O1101">
        <f>-656.954545348681 -156.809455457471 -715.888012512552</f>
        <v>-1529.6520133187041</v>
      </c>
      <c r="P1101">
        <f>-661.371620503048 -121.272606153835 -401.398248018845</f>
        <v>-1184.042474675728</v>
      </c>
      <c r="Q1101">
        <f>-414.05276758803 -52.551878538618 -443.265714589738</f>
        <v>-909.87036071638602</v>
      </c>
      <c r="R1101" t="s">
        <v>23444</v>
      </c>
      <c r="S1101" t="s">
        <v>23445</v>
      </c>
      <c r="T1101" t="s">
        <v>23446</v>
      </c>
      <c r="U1101" t="s">
        <v>23447</v>
      </c>
      <c r="V1101">
        <f>-640.013664016998 -25.6074556133838 -236.582750867381</f>
        <v>-902.20387049776275</v>
      </c>
      <c r="W1101" t="s">
        <v>23448</v>
      </c>
      <c r="X1101" t="s">
        <v>23449</v>
      </c>
      <c r="Y1101" t="s">
        <v>23450</v>
      </c>
    </row>
    <row r="1102" spans="1:25" x14ac:dyDescent="0.3">
      <c r="A1102">
        <v>55050</v>
      </c>
      <c r="B1102" t="s">
        <v>23451</v>
      </c>
      <c r="C1102" t="s">
        <v>23452</v>
      </c>
      <c r="D1102" t="s">
        <v>23453</v>
      </c>
      <c r="E1102" t="s">
        <v>23454</v>
      </c>
      <c r="F1102" t="s">
        <v>23455</v>
      </c>
      <c r="G1102" t="s">
        <v>23456</v>
      </c>
      <c r="H1102">
        <f>-616.067996062029 -6.75472552263523 -837.475071211492</f>
        <v>-1460.2977927961563</v>
      </c>
      <c r="I1102">
        <f>-571.42904063968 -29.0971425599618 -926.307269427614</f>
        <v>-1526.8334526272556</v>
      </c>
      <c r="J1102" t="s">
        <v>23457</v>
      </c>
      <c r="K1102" t="s">
        <v>23458</v>
      </c>
      <c r="L1102" t="s">
        <v>23459</v>
      </c>
      <c r="M1102" t="s">
        <v>23460</v>
      </c>
      <c r="N1102">
        <f>-631.122350834584 -21.6176749822088 -766.023157000504</f>
        <v>-1418.7631828172969</v>
      </c>
      <c r="O1102">
        <f>-656.921956292372 -157.232165924126 -715.350276266366</f>
        <v>-1529.504398482864</v>
      </c>
      <c r="P1102">
        <f>-661.247031723164 -121.526578975899 -400.878353308834</f>
        <v>-1183.651964007897</v>
      </c>
      <c r="Q1102">
        <f>-414.079321958296 -52.9545856042251 -443.867694258433</f>
        <v>-910.90160182095406</v>
      </c>
      <c r="R1102" t="s">
        <v>23461</v>
      </c>
      <c r="S1102" t="s">
        <v>23462</v>
      </c>
      <c r="T1102" t="s">
        <v>23463</v>
      </c>
      <c r="U1102" t="s">
        <v>23464</v>
      </c>
      <c r="V1102">
        <f>-640.098743495623 -25.7677655419929 -236.4887492942</f>
        <v>-902.355258331816</v>
      </c>
      <c r="W1102" t="s">
        <v>23465</v>
      </c>
      <c r="X1102" t="s">
        <v>23466</v>
      </c>
      <c r="Y1102" t="s">
        <v>23467</v>
      </c>
    </row>
    <row r="1103" spans="1:25" x14ac:dyDescent="0.3">
      <c r="A1103">
        <v>55100</v>
      </c>
      <c r="B1103" t="s">
        <v>23468</v>
      </c>
      <c r="C1103" t="s">
        <v>23469</v>
      </c>
      <c r="D1103" t="s">
        <v>23470</v>
      </c>
      <c r="E1103" t="s">
        <v>23471</v>
      </c>
      <c r="F1103" t="s">
        <v>23472</v>
      </c>
      <c r="G1103" t="s">
        <v>23473</v>
      </c>
      <c r="H1103">
        <f>-616.07992252319 -6.7779482371174 -837.387338930843</f>
        <v>-1460.2452096911504</v>
      </c>
      <c r="I1103">
        <f>-571.438517563708 -29.1557723553619 -926.209472606828</f>
        <v>-1526.803762525898</v>
      </c>
      <c r="J1103" t="s">
        <v>23474</v>
      </c>
      <c r="K1103" t="s">
        <v>23475</v>
      </c>
      <c r="L1103" t="s">
        <v>23476</v>
      </c>
      <c r="M1103" t="s">
        <v>23477</v>
      </c>
      <c r="N1103">
        <f>-631.131431480459 -21.6149997228744 -765.929436422626</f>
        <v>-1418.6758676259594</v>
      </c>
      <c r="O1103">
        <f>-656.996746782429 -157.187366293682 -715.154488516379</f>
        <v>-1529.33860159249</v>
      </c>
      <c r="P1103">
        <f>-660.765785626107 -121.598780757878 -400.662239882708</f>
        <v>-1183.026806266693</v>
      </c>
      <c r="Q1103">
        <f>-413.619190594938 -53.239470059154 -444.108839751477</f>
        <v>-910.9675004055689</v>
      </c>
      <c r="R1103" t="s">
        <v>23478</v>
      </c>
      <c r="S1103" t="s">
        <v>23479</v>
      </c>
      <c r="T1103" t="s">
        <v>23480</v>
      </c>
      <c r="U1103" t="s">
        <v>23481</v>
      </c>
      <c r="V1103">
        <f>-640.100518929141 -25.7719992757829 -236.449730292829</f>
        <v>-902.32224849775298</v>
      </c>
      <c r="W1103" t="s">
        <v>23482</v>
      </c>
      <c r="X1103" t="s">
        <v>23483</v>
      </c>
      <c r="Y1103" t="s">
        <v>23484</v>
      </c>
    </row>
    <row r="1104" spans="1:25" x14ac:dyDescent="0.3">
      <c r="A1104">
        <v>55150</v>
      </c>
      <c r="B1104" t="s">
        <v>23485</v>
      </c>
      <c r="C1104" t="s">
        <v>23486</v>
      </c>
      <c r="D1104" t="s">
        <v>23487</v>
      </c>
      <c r="E1104" t="s">
        <v>23488</v>
      </c>
      <c r="F1104" t="s">
        <v>23489</v>
      </c>
      <c r="G1104" t="s">
        <v>23490</v>
      </c>
      <c r="H1104">
        <f>-616.050288266655 -6.66186207222797 -837.159430686086</f>
        <v>-1459.8715810249691</v>
      </c>
      <c r="I1104">
        <f>-571.429643727996 -29.1401246090414 -925.966535445726</f>
        <v>-1526.5363037827633</v>
      </c>
      <c r="J1104" t="s">
        <v>23491</v>
      </c>
      <c r="K1104" t="s">
        <v>23492</v>
      </c>
      <c r="L1104" t="s">
        <v>23493</v>
      </c>
      <c r="M1104" t="s">
        <v>23494</v>
      </c>
      <c r="N1104">
        <f>-631.07399883922 -21.4234128624488 -765.680028610235</f>
        <v>-1418.1774403119039</v>
      </c>
      <c r="O1104">
        <f>-656.989319647643 -156.927501888319 -714.79845822256</f>
        <v>-1528.7152797585222</v>
      </c>
      <c r="P1104">
        <f>-660.260497777452 -121.694960336023 -400.260665822482</f>
        <v>-1182.2161239359571</v>
      </c>
      <c r="Q1104">
        <f>-413.226746974105 -53.7056350024115 -444.912925354529</f>
        <v>-911.84530733104555</v>
      </c>
      <c r="R1104" t="s">
        <v>23495</v>
      </c>
      <c r="S1104" t="s">
        <v>23496</v>
      </c>
      <c r="T1104" t="s">
        <v>23497</v>
      </c>
      <c r="U1104" t="s">
        <v>23498</v>
      </c>
      <c r="V1104">
        <f>-640.122448740203 -25.4151915643656 -236.367016054323</f>
        <v>-901.90465635889166</v>
      </c>
      <c r="W1104" t="s">
        <v>23499</v>
      </c>
      <c r="X1104" t="s">
        <v>23500</v>
      </c>
      <c r="Y1104" t="s">
        <v>23501</v>
      </c>
    </row>
    <row r="1105" spans="1:25" x14ac:dyDescent="0.3">
      <c r="A1105">
        <v>55200</v>
      </c>
      <c r="B1105" t="s">
        <v>23502</v>
      </c>
      <c r="C1105" t="s">
        <v>23503</v>
      </c>
      <c r="D1105" t="s">
        <v>23504</v>
      </c>
      <c r="E1105" t="s">
        <v>23505</v>
      </c>
      <c r="F1105" t="s">
        <v>23506</v>
      </c>
      <c r="G1105" t="s">
        <v>23507</v>
      </c>
      <c r="H1105">
        <f>-616.021398249912 -6.35874032139487 -837.092087726975</f>
        <v>-1459.4722262982818</v>
      </c>
      <c r="I1105">
        <f>-571.386613511294 -28.8211943428549 -925.896162703895</f>
        <v>-1526.1039705580438</v>
      </c>
      <c r="J1105" t="s">
        <v>23508</v>
      </c>
      <c r="K1105" t="s">
        <v>23509</v>
      </c>
      <c r="L1105" t="s">
        <v>23510</v>
      </c>
      <c r="M1105" t="s">
        <v>23511</v>
      </c>
      <c r="N1105">
        <f>-631.054227779517 -21.1448702892836 -765.619586574386</f>
        <v>-1417.8186846431865</v>
      </c>
      <c r="O1105">
        <f>-656.995729963256 -156.65282489778 -714.715869636673</f>
        <v>-1528.364424497709</v>
      </c>
      <c r="P1105">
        <f>-659.541090555851 -121.835955919191 -400.124870166702</f>
        <v>-1181.5019166417439</v>
      </c>
      <c r="Q1105">
        <f>-412.360042527916 -54.5426163215949 -445.01575745746</f>
        <v>-911.91841630697081</v>
      </c>
      <c r="R1105" t="s">
        <v>23512</v>
      </c>
      <c r="S1105" t="s">
        <v>23513</v>
      </c>
      <c r="T1105" t="s">
        <v>23514</v>
      </c>
      <c r="U1105" t="s">
        <v>23515</v>
      </c>
      <c r="V1105">
        <f>-640.131707907437 -25.3881054669763 -236.313105312894</f>
        <v>-901.83291868730726</v>
      </c>
      <c r="W1105" t="s">
        <v>23516</v>
      </c>
      <c r="X1105" t="s">
        <v>23517</v>
      </c>
      <c r="Y1105" t="s">
        <v>23518</v>
      </c>
    </row>
    <row r="1106" spans="1:25" x14ac:dyDescent="0.3">
      <c r="A1106">
        <v>55250</v>
      </c>
      <c r="B1106" t="s">
        <v>23519</v>
      </c>
      <c r="C1106" t="s">
        <v>23520</v>
      </c>
      <c r="D1106" t="s">
        <v>23521</v>
      </c>
      <c r="E1106" t="s">
        <v>23522</v>
      </c>
      <c r="F1106" t="s">
        <v>23523</v>
      </c>
      <c r="G1106" t="s">
        <v>23524</v>
      </c>
      <c r="H1106">
        <f>-616.049010360629 -6.27068310757185 -836.800037780789</f>
        <v>-1459.1197312489899</v>
      </c>
      <c r="I1106">
        <f>-571.38964491991 -28.7582687082923 -925.585420071436</f>
        <v>-1525.7333336996385</v>
      </c>
      <c r="J1106" t="s">
        <v>23525</v>
      </c>
      <c r="K1106" t="s">
        <v>23526</v>
      </c>
      <c r="L1106" t="s">
        <v>23527</v>
      </c>
      <c r="M1106" t="s">
        <v>23528</v>
      </c>
      <c r="N1106">
        <f>-631.041531124745 -20.9948982439516 -765.306386905684</f>
        <v>-1417.3428162743808</v>
      </c>
      <c r="O1106">
        <f>-656.839962809515 -156.444593351628 -714.243047253737</f>
        <v>-1527.5276034148801</v>
      </c>
      <c r="P1106">
        <f>-659.212110927791 -121.879526619238 -399.622874092765</f>
        <v>-1180.714511639794</v>
      </c>
      <c r="Q1106">
        <f>-412.239244949751 -54.3540472998247 -445.304010120538</f>
        <v>-911.89730237011372</v>
      </c>
      <c r="R1106" t="s">
        <v>23529</v>
      </c>
      <c r="S1106" t="s">
        <v>23530</v>
      </c>
      <c r="T1106" t="s">
        <v>23531</v>
      </c>
      <c r="U1106" t="s">
        <v>23532</v>
      </c>
      <c r="V1106">
        <f>-640.058933574408 -25.0132152119289 -236.152769054829</f>
        <v>-901.22491784116596</v>
      </c>
      <c r="W1106" t="s">
        <v>23533</v>
      </c>
      <c r="X1106" t="s">
        <v>23534</v>
      </c>
      <c r="Y1106" t="s">
        <v>23535</v>
      </c>
    </row>
    <row r="1107" spans="1:25" x14ac:dyDescent="0.3">
      <c r="A1107">
        <v>55300</v>
      </c>
      <c r="B1107" t="s">
        <v>23536</v>
      </c>
      <c r="C1107" t="s">
        <v>23537</v>
      </c>
      <c r="D1107" t="s">
        <v>23538</v>
      </c>
      <c r="E1107" t="s">
        <v>23539</v>
      </c>
      <c r="F1107" t="s">
        <v>23540</v>
      </c>
      <c r="G1107" t="s">
        <v>23541</v>
      </c>
      <c r="H1107">
        <f>-615.899425530938 -5.92792151214875 -836.667992270718</f>
        <v>-1458.4953393138046</v>
      </c>
      <c r="I1107">
        <f>-571.173092646656 -28.3540495270088 -925.435222276458</f>
        <v>-1524.9623644501228</v>
      </c>
      <c r="J1107" t="s">
        <v>23542</v>
      </c>
      <c r="K1107" t="s">
        <v>23543</v>
      </c>
      <c r="L1107" t="s">
        <v>23544</v>
      </c>
      <c r="M1107" t="s">
        <v>23545</v>
      </c>
      <c r="N1107">
        <f>-630.905493046684 -20.6732963230167 -765.181537621851</f>
        <v>-1416.7603269915517</v>
      </c>
      <c r="O1107">
        <f>-656.684949228228 -156.121387350295 -714.049012557245</f>
        <v>-1526.8553491357679</v>
      </c>
      <c r="P1107">
        <f>-658.564075903408 -122.508596834853 -399.322508892687</f>
        <v>-1180.3951816309479</v>
      </c>
      <c r="Q1107">
        <f>-412.00853869766 -53.5694034064667 -445.145999820235</f>
        <v>-910.72394192436172</v>
      </c>
      <c r="R1107" t="s">
        <v>23546</v>
      </c>
      <c r="S1107" t="s">
        <v>23547</v>
      </c>
      <c r="T1107" t="s">
        <v>23548</v>
      </c>
      <c r="U1107" t="s">
        <v>23549</v>
      </c>
      <c r="V1107">
        <f>-639.985210076207 -24.7598563399555 -236.065862338116</f>
        <v>-900.81092875427839</v>
      </c>
      <c r="W1107" t="s">
        <v>23550</v>
      </c>
      <c r="X1107" t="s">
        <v>23551</v>
      </c>
      <c r="Y1107" t="s">
        <v>23552</v>
      </c>
    </row>
    <row r="1108" spans="1:25" x14ac:dyDescent="0.3">
      <c r="A1108">
        <v>55350</v>
      </c>
      <c r="B1108" t="s">
        <v>23553</v>
      </c>
      <c r="C1108" t="s">
        <v>23554</v>
      </c>
      <c r="D1108" t="s">
        <v>23555</v>
      </c>
      <c r="E1108" t="s">
        <v>23556</v>
      </c>
      <c r="F1108" t="s">
        <v>23557</v>
      </c>
      <c r="G1108" t="s">
        <v>23558</v>
      </c>
      <c r="H1108">
        <f>-616.348922931016 -4.95901296569704 -836.49242281188</f>
        <v>-1457.8003587085932</v>
      </c>
      <c r="I1108">
        <f>-571.513415402735 -27.2543726810975 -925.237458695949</f>
        <v>-1524.0052467797814</v>
      </c>
      <c r="J1108" t="s">
        <v>23559</v>
      </c>
      <c r="K1108" t="s">
        <v>23560</v>
      </c>
      <c r="L1108" t="s">
        <v>23561</v>
      </c>
      <c r="M1108" t="s">
        <v>23562</v>
      </c>
      <c r="N1108">
        <f>-631.284691169701 -19.7925858772682 -765.009570375067</f>
        <v>-1416.086847422036</v>
      </c>
      <c r="O1108">
        <f>-656.982782266046 -155.257046880242 -713.8422235275</f>
        <v>-1526.082052673788</v>
      </c>
      <c r="P1108">
        <f>-657.129789242502 -123.742815639921 -398.892991935865</f>
        <v>-1179.765596818288</v>
      </c>
      <c r="Q1108">
        <f>-411.978329981511 -51.3175792336492 -446.824226630593</f>
        <v>-910.12013584575323</v>
      </c>
      <c r="R1108" t="s">
        <v>23563</v>
      </c>
      <c r="S1108" t="s">
        <v>23564</v>
      </c>
      <c r="T1108" t="s">
        <v>23565</v>
      </c>
      <c r="U1108" t="s">
        <v>23566</v>
      </c>
      <c r="V1108">
        <f>-639.991323842899 -24.1991238902992 -235.870896366914</f>
        <v>-900.06134410011214</v>
      </c>
      <c r="W1108" t="s">
        <v>23567</v>
      </c>
      <c r="X1108" t="s">
        <v>23568</v>
      </c>
      <c r="Y1108" t="s">
        <v>23569</v>
      </c>
    </row>
    <row r="1109" spans="1:25" x14ac:dyDescent="0.3">
      <c r="A1109">
        <v>55400</v>
      </c>
      <c r="B1109" t="s">
        <v>23570</v>
      </c>
      <c r="C1109" t="s">
        <v>23571</v>
      </c>
      <c r="D1109" t="s">
        <v>23572</v>
      </c>
      <c r="E1109" t="s">
        <v>23573</v>
      </c>
      <c r="F1109" t="s">
        <v>23574</v>
      </c>
      <c r="G1109" t="s">
        <v>23575</v>
      </c>
      <c r="H1109">
        <f>-616.397532103244 -4.19248159176537 -836.491109834941</f>
        <v>-1457.0811235299502</v>
      </c>
      <c r="I1109">
        <f>-571.479193817315 -26.3736793187373 -925.222888897324</f>
        <v>-1523.0757620333763</v>
      </c>
      <c r="J1109" t="s">
        <v>23576</v>
      </c>
      <c r="K1109" t="s">
        <v>23577</v>
      </c>
      <c r="L1109" t="s">
        <v>23578</v>
      </c>
      <c r="M1109" t="s">
        <v>23579</v>
      </c>
      <c r="N1109">
        <f>-631.319149729076 -19.1273339302652 -765.026317111439</f>
        <v>-1415.4728007707802</v>
      </c>
      <c r="O1109">
        <f>-656.828761574921 -154.662843439102 -713.961811034719</f>
        <v>-1525.4534160487419</v>
      </c>
      <c r="P1109">
        <f>-656.1166292145 -124.274227889906 -398.902592291248</f>
        <v>-1179.2934493956541</v>
      </c>
      <c r="Q1109">
        <f>-411.884037621724 -50.122359179495 -448.842754136132</f>
        <v>-910.84915093735094</v>
      </c>
      <c r="R1109" t="s">
        <v>23580</v>
      </c>
      <c r="S1109" t="s">
        <v>23581</v>
      </c>
      <c r="T1109" t="s">
        <v>23582</v>
      </c>
      <c r="U1109" t="s">
        <v>23583</v>
      </c>
      <c r="V1109">
        <f>-640.076248382321 -23.9196637885601 -235.825756485884</f>
        <v>-899.82166865676504</v>
      </c>
      <c r="W1109" t="s">
        <v>23584</v>
      </c>
      <c r="X1109" t="s">
        <v>23585</v>
      </c>
      <c r="Y1109" t="s">
        <v>23586</v>
      </c>
    </row>
    <row r="1110" spans="1:25" x14ac:dyDescent="0.3">
      <c r="A1110">
        <v>55450</v>
      </c>
      <c r="B1110" t="s">
        <v>23587</v>
      </c>
      <c r="C1110" t="s">
        <v>23588</v>
      </c>
      <c r="D1110" t="s">
        <v>23589</v>
      </c>
      <c r="E1110" t="s">
        <v>23590</v>
      </c>
      <c r="F1110" t="s">
        <v>23591</v>
      </c>
      <c r="G1110" t="s">
        <v>23592</v>
      </c>
      <c r="H1110">
        <f>-616.201726131399 -2.57941653607735 -836.881270219832</f>
        <v>-1455.6624128873084</v>
      </c>
      <c r="I1110">
        <f>-571.078740046783 -24.4142475546898 -925.595055940255</f>
        <v>-1521.0880435417278</v>
      </c>
      <c r="J1110" t="s">
        <v>23593</v>
      </c>
      <c r="K1110" t="s">
        <v>23594</v>
      </c>
      <c r="L1110" t="s">
        <v>23595</v>
      </c>
      <c r="M1110" t="s">
        <v>23596</v>
      </c>
      <c r="N1110">
        <f>-631.128860184839 -17.7371786119561 -765.464480549009</f>
        <v>-1414.3305193458041</v>
      </c>
      <c r="O1110">
        <f>-656.035267263523 -153.497721915204 -714.759376151744</f>
        <v>-1524.2923653304711</v>
      </c>
      <c r="P1110">
        <f>-654.81602361097 -124.73439044628 -399.549421422259</f>
        <v>-1179.099835479509</v>
      </c>
      <c r="Q1110">
        <f>-411.06243356808 -50.4844545339736 -451.637479772288</f>
        <v>-913.18436787434155</v>
      </c>
      <c r="R1110" t="s">
        <v>23597</v>
      </c>
      <c r="S1110" t="s">
        <v>23598</v>
      </c>
      <c r="T1110" t="s">
        <v>23599</v>
      </c>
      <c r="U1110" t="s">
        <v>23600</v>
      </c>
      <c r="V1110">
        <f>-640.200548294626 -23.285353213486 -236.024201775998</f>
        <v>-899.51010328410996</v>
      </c>
      <c r="W1110" t="s">
        <v>23601</v>
      </c>
      <c r="X1110" t="s">
        <v>23602</v>
      </c>
      <c r="Y1110" t="s">
        <v>23603</v>
      </c>
    </row>
    <row r="1111" spans="1:25" x14ac:dyDescent="0.3">
      <c r="A1111">
        <v>55500</v>
      </c>
      <c r="B1111" t="s">
        <v>23604</v>
      </c>
      <c r="C1111" t="s">
        <v>23605</v>
      </c>
      <c r="D1111" t="s">
        <v>23606</v>
      </c>
      <c r="E1111" t="s">
        <v>23607</v>
      </c>
      <c r="F1111" t="s">
        <v>23608</v>
      </c>
      <c r="G1111" t="s">
        <v>23609</v>
      </c>
      <c r="H1111">
        <f>-615.767941517842 -2.03002788254127 -837.181326053513</f>
        <v>-1454.9792954538962</v>
      </c>
      <c r="I1111">
        <f>-570.549693490621 -23.675913991215 -925.892911988195</f>
        <v>-1520.1185194700311</v>
      </c>
      <c r="J1111" t="s">
        <v>23610</v>
      </c>
      <c r="K1111" t="s">
        <v>23611</v>
      </c>
      <c r="L1111" t="s">
        <v>23612</v>
      </c>
      <c r="M1111" t="s">
        <v>23613</v>
      </c>
      <c r="N1111">
        <f>-630.740869127599 -17.2872765184534 -765.795451367388</f>
        <v>-1413.8235970134403</v>
      </c>
      <c r="O1111">
        <f>-655.485728904149 -153.156140160196 -715.294335501272</f>
        <v>-1523.9362045656171</v>
      </c>
      <c r="P1111">
        <f>-654.760434104011 -125.190960484486 -400.01098198094</f>
        <v>-1179.9623765694371</v>
      </c>
      <c r="Q1111">
        <f>-410.861410889048 -51.3383260728323 -451.98323826571</f>
        <v>-914.1829752275903</v>
      </c>
      <c r="R1111" t="s">
        <v>23614</v>
      </c>
      <c r="S1111" t="s">
        <v>23615</v>
      </c>
      <c r="T1111" t="s">
        <v>23616</v>
      </c>
      <c r="U1111" t="s">
        <v>23617</v>
      </c>
      <c r="V1111">
        <f>-640.187689882343 -23.1078621283879 -236.201259463838</f>
        <v>-899.49681147456886</v>
      </c>
      <c r="W1111" t="s">
        <v>23618</v>
      </c>
      <c r="X1111" t="s">
        <v>23619</v>
      </c>
      <c r="Y1111" t="s">
        <v>23620</v>
      </c>
    </row>
    <row r="1112" spans="1:25" x14ac:dyDescent="0.3">
      <c r="A1112">
        <v>55550</v>
      </c>
      <c r="B1112" t="s">
        <v>23621</v>
      </c>
      <c r="C1112" t="s">
        <v>23622</v>
      </c>
      <c r="D1112" t="s">
        <v>23623</v>
      </c>
      <c r="E1112" t="s">
        <v>23624</v>
      </c>
      <c r="F1112" t="s">
        <v>23625</v>
      </c>
      <c r="G1112" t="s">
        <v>23626</v>
      </c>
      <c r="H1112">
        <f>-615.466159684744 -0.985072769568973 -837.635484644137</f>
        <v>-1454.08671709845</v>
      </c>
      <c r="I1112">
        <f>-570.067490687914 -22.2541551457477 -926.346201269722</f>
        <v>-1518.6678471033838</v>
      </c>
      <c r="J1112" t="s">
        <v>23627</v>
      </c>
      <c r="K1112" t="s">
        <v>23628</v>
      </c>
      <c r="L1112" t="s">
        <v>23629</v>
      </c>
      <c r="M1112" t="s">
        <v>23630</v>
      </c>
      <c r="N1112">
        <f>-630.560032717312 -16.4429951680205 -766.318314334185</f>
        <v>-1413.3213422195174</v>
      </c>
      <c r="O1112">
        <f>-655.373130403219 -152.451251438342 -716.23953396574</f>
        <v>-1524.0639158073009</v>
      </c>
      <c r="P1112">
        <f>-656.090590942672 -125.134252416114 -400.899351427637</f>
        <v>-1182.124194786423</v>
      </c>
      <c r="Q1112">
        <f>-411.591666932307 -52.2624974170294 -451.417234315641</f>
        <v>-915.27139866497737</v>
      </c>
      <c r="R1112" t="s">
        <v>23631</v>
      </c>
      <c r="S1112" t="s">
        <v>23632</v>
      </c>
      <c r="T1112" t="s">
        <v>23633</v>
      </c>
      <c r="U1112" t="s">
        <v>23634</v>
      </c>
      <c r="V1112">
        <f>-640.322461902345 -22.8301601267894 -236.439016969515</f>
        <v>-899.5916389986495</v>
      </c>
      <c r="W1112" t="s">
        <v>23635</v>
      </c>
      <c r="X1112" t="s">
        <v>23636</v>
      </c>
      <c r="Y1112" t="s">
        <v>23637</v>
      </c>
    </row>
    <row r="1113" spans="1:25" x14ac:dyDescent="0.3">
      <c r="A1113">
        <v>55600</v>
      </c>
      <c r="B1113" t="s">
        <v>23638</v>
      </c>
      <c r="C1113" t="s">
        <v>23639</v>
      </c>
      <c r="D1113" t="s">
        <v>23640</v>
      </c>
      <c r="E1113" t="s">
        <v>23641</v>
      </c>
      <c r="F1113" t="s">
        <v>23642</v>
      </c>
      <c r="G1113" t="s">
        <v>23643</v>
      </c>
      <c r="H1113">
        <f>-615.298780235221 -0.434627152084651 -837.752882359409</f>
        <v>-1453.4862897467146</v>
      </c>
      <c r="I1113">
        <f>-569.805522478932 -21.5557707932414 -926.450355770341</f>
        <v>-1517.8116490425145</v>
      </c>
      <c r="J1113" t="s">
        <v>23644</v>
      </c>
      <c r="K1113" t="s">
        <v>23645</v>
      </c>
      <c r="L1113" t="s">
        <v>23646</v>
      </c>
      <c r="M1113" t="s">
        <v>23647</v>
      </c>
      <c r="N1113">
        <f>-630.463794421696 -15.9944989871687 -766.473012071559</f>
        <v>-1412.9313054804238</v>
      </c>
      <c r="O1113">
        <f>-655.406083011797 -152.076645401375 -716.639118094089</f>
        <v>-1524.1218465072611</v>
      </c>
      <c r="P1113">
        <f>-656.787266085799 -124.816515487649 -401.296225572695</f>
        <v>-1182.900007146143</v>
      </c>
      <c r="Q1113">
        <f>-411.956366136299 -52.370536848097 -450.808175089438</f>
        <v>-915.13507807383394</v>
      </c>
      <c r="R1113" t="s">
        <v>23648</v>
      </c>
      <c r="S1113" t="s">
        <v>23649</v>
      </c>
      <c r="T1113" t="s">
        <v>23650</v>
      </c>
      <c r="U1113" t="s">
        <v>23651</v>
      </c>
      <c r="V1113">
        <f>-640.485708353661 -22.7571450630397 -236.485678192494</f>
        <v>-899.72853160919476</v>
      </c>
      <c r="W1113" t="s">
        <v>23652</v>
      </c>
      <c r="X1113" t="s">
        <v>23653</v>
      </c>
      <c r="Y1113" t="s">
        <v>23654</v>
      </c>
    </row>
    <row r="1114" spans="1:25" x14ac:dyDescent="0.3">
      <c r="A1114">
        <v>55650</v>
      </c>
      <c r="B1114" t="s">
        <v>23655</v>
      </c>
      <c r="C1114" t="s">
        <v>23656</v>
      </c>
      <c r="D1114" t="s">
        <v>23657</v>
      </c>
      <c r="E1114" t="s">
        <v>23658</v>
      </c>
      <c r="F1114" t="s">
        <v>23659</v>
      </c>
      <c r="G1114" t="s">
        <v>23660</v>
      </c>
      <c r="H1114" t="s">
        <v>23661</v>
      </c>
      <c r="I1114">
        <f>-569.613551623393 -20.6935987436046 -926.454408084723</f>
        <v>-1516.7615584517207</v>
      </c>
      <c r="J1114" t="s">
        <v>23662</v>
      </c>
      <c r="K1114" t="s">
        <v>23663</v>
      </c>
      <c r="L1114" t="s">
        <v>23664</v>
      </c>
      <c r="M1114" t="s">
        <v>23665</v>
      </c>
      <c r="N1114">
        <f>-630.441219021231 -15.3461138338442 -766.534347728145</f>
        <v>-1412.3216805832203</v>
      </c>
      <c r="O1114">
        <f>-655.519877384919 -151.50510458573 -716.953203313423</f>
        <v>-1523.978185284072</v>
      </c>
      <c r="P1114">
        <f>-657.721680053337 -124.257148189371 -401.613961496576</f>
        <v>-1183.5927897392839</v>
      </c>
      <c r="Q1114">
        <f>-412.663887972978 -51.8275965177242 -450.015114020421</f>
        <v>-914.50659851112323</v>
      </c>
      <c r="R1114" t="s">
        <v>23666</v>
      </c>
      <c r="S1114" t="s">
        <v>23667</v>
      </c>
      <c r="T1114" t="s">
        <v>23668</v>
      </c>
      <c r="U1114" t="s">
        <v>23669</v>
      </c>
      <c r="V1114">
        <f>-640.691778832452 -22.5764321552103 -236.48960914372</f>
        <v>-899.75782013138235</v>
      </c>
      <c r="W1114" t="s">
        <v>23670</v>
      </c>
      <c r="X1114" t="s">
        <v>23671</v>
      </c>
      <c r="Y1114" t="s">
        <v>23672</v>
      </c>
    </row>
    <row r="1115" spans="1:25" x14ac:dyDescent="0.3">
      <c r="A1115">
        <v>55700</v>
      </c>
      <c r="B1115" t="s">
        <v>23673</v>
      </c>
      <c r="C1115" t="s">
        <v>23674</v>
      </c>
      <c r="D1115" t="s">
        <v>23675</v>
      </c>
      <c r="E1115" t="s">
        <v>23676</v>
      </c>
      <c r="F1115" t="s">
        <v>23677</v>
      </c>
      <c r="G1115" t="s">
        <v>23678</v>
      </c>
      <c r="H1115" t="s">
        <v>23679</v>
      </c>
      <c r="I1115">
        <f>-569.458907095306 -19.8289675681119 -926.349818918694</f>
        <v>-1515.637693582112</v>
      </c>
      <c r="J1115" t="s">
        <v>23680</v>
      </c>
      <c r="K1115" t="s">
        <v>23681</v>
      </c>
      <c r="L1115" t="s">
        <v>23682</v>
      </c>
      <c r="M1115" t="s">
        <v>23683</v>
      </c>
      <c r="N1115">
        <f>-630.437689557056 -14.6606794517614 -766.487058913307</f>
        <v>-1411.5854279221244</v>
      </c>
      <c r="O1115">
        <f>-655.668824986472 -150.865521269112 -717.129290006309</f>
        <v>-1523.6636362618931</v>
      </c>
      <c r="P1115">
        <f>-658.438181916213 -123.690753146508 -401.787978735138</f>
        <v>-1183.916913797859</v>
      </c>
      <c r="Q1115">
        <f>-413.31983810355 -50.834685157355 -449.233373606232</f>
        <v>-913.38789686713699</v>
      </c>
      <c r="R1115" t="s">
        <v>23684</v>
      </c>
      <c r="S1115" t="s">
        <v>23685</v>
      </c>
      <c r="T1115" t="s">
        <v>23686</v>
      </c>
      <c r="U1115" t="s">
        <v>23687</v>
      </c>
      <c r="V1115">
        <f>-640.920548589911 -22.5434399035838 -236.432448681045</f>
        <v>-899.89643717453987</v>
      </c>
      <c r="W1115" t="s">
        <v>23688</v>
      </c>
      <c r="X1115" t="s">
        <v>23689</v>
      </c>
      <c r="Y1115" t="s">
        <v>23690</v>
      </c>
    </row>
    <row r="1116" spans="1:25" x14ac:dyDescent="0.3">
      <c r="A1116">
        <v>55750</v>
      </c>
      <c r="B1116" t="s">
        <v>23691</v>
      </c>
      <c r="C1116" t="s">
        <v>23692</v>
      </c>
      <c r="D1116" t="s">
        <v>23693</v>
      </c>
      <c r="E1116" t="s">
        <v>23694</v>
      </c>
      <c r="F1116" t="s">
        <v>23695</v>
      </c>
      <c r="G1116" t="s">
        <v>23696</v>
      </c>
      <c r="H1116" t="s">
        <v>23697</v>
      </c>
      <c r="I1116">
        <f>-569.360090662995 -17.8274486943418 -925.701790897901</f>
        <v>-1512.8893302552378</v>
      </c>
      <c r="J1116" t="s">
        <v>23698</v>
      </c>
      <c r="K1116" t="s">
        <v>23699</v>
      </c>
      <c r="L1116" t="s">
        <v>23700</v>
      </c>
      <c r="M1116" t="s">
        <v>23701</v>
      </c>
      <c r="N1116">
        <f>-630.620660398086 -13.0069736777018 -765.975252827789</f>
        <v>-1409.6028869035767</v>
      </c>
      <c r="O1116">
        <f>-656.107524702837 -149.323694325346 -717.087699401874</f>
        <v>-1522.5189184300571</v>
      </c>
      <c r="P1116">
        <f>-659.652306638857 -123.050040522355 -401.678112228739</f>
        <v>-1184.3804593899508</v>
      </c>
      <c r="Q1116">
        <f>-414.983726586319 -48.8080895585856 -449.295938503841</f>
        <v>-913.08775464874566</v>
      </c>
      <c r="R1116" t="s">
        <v>23702</v>
      </c>
      <c r="S1116" t="s">
        <v>23703</v>
      </c>
      <c r="T1116" t="s">
        <v>23704</v>
      </c>
      <c r="U1116" t="s">
        <v>23705</v>
      </c>
      <c r="V1116">
        <f>-641.703081257155 -22.5006745974791 -236.015047155905</f>
        <v>-900.21880301053909</v>
      </c>
      <c r="W1116" t="s">
        <v>23706</v>
      </c>
      <c r="X1116" t="s">
        <v>23707</v>
      </c>
      <c r="Y1116" t="s">
        <v>23708</v>
      </c>
    </row>
    <row r="1117" spans="1:25" x14ac:dyDescent="0.3">
      <c r="A1117">
        <v>55800</v>
      </c>
      <c r="B1117" t="s">
        <v>23709</v>
      </c>
      <c r="C1117" t="s">
        <v>23710</v>
      </c>
      <c r="D1117" t="s">
        <v>23711</v>
      </c>
      <c r="E1117" t="s">
        <v>23712</v>
      </c>
      <c r="F1117" t="s">
        <v>23713</v>
      </c>
      <c r="G1117" t="s">
        <v>23714</v>
      </c>
      <c r="H1117" t="s">
        <v>23715</v>
      </c>
      <c r="I1117">
        <f>-569.547244938917 -16.9766749418899 -925.627317006421</f>
        <v>-1512.1512368872277</v>
      </c>
      <c r="J1117" t="s">
        <v>23716</v>
      </c>
      <c r="K1117" t="s">
        <v>23717</v>
      </c>
      <c r="L1117" t="s">
        <v>23718</v>
      </c>
      <c r="M1117" t="s">
        <v>23719</v>
      </c>
      <c r="N1117">
        <f>-630.835864435685 -12.2886769674805 -765.921978432322</f>
        <v>-1409.0465198354875</v>
      </c>
      <c r="O1117">
        <f>-656.455303893449 -148.635673903884 -717.163819209291</f>
        <v>-1522.2547970066239</v>
      </c>
      <c r="P1117">
        <f>-659.889387765233 -122.407928238224 -401.749037606639</f>
        <v>-1184.046353610096</v>
      </c>
      <c r="Q1117">
        <f>-415.088043072298 -48.5950900561687 -449.351863830752</f>
        <v>-913.03499695921869</v>
      </c>
      <c r="R1117" t="s">
        <v>23720</v>
      </c>
      <c r="S1117" t="s">
        <v>23721</v>
      </c>
      <c r="T1117" t="s">
        <v>23722</v>
      </c>
      <c r="U1117" t="s">
        <v>23723</v>
      </c>
      <c r="V1117">
        <f>-641.876412918833 -22.3050956631963 -235.926772046137</f>
        <v>-900.10828062816631</v>
      </c>
      <c r="W1117" t="s">
        <v>23724</v>
      </c>
      <c r="X1117" t="s">
        <v>23725</v>
      </c>
      <c r="Y1117" t="s">
        <v>23726</v>
      </c>
    </row>
    <row r="1118" spans="1:25" x14ac:dyDescent="0.3">
      <c r="A1118">
        <v>55850</v>
      </c>
      <c r="B1118" t="s">
        <v>23727</v>
      </c>
      <c r="C1118" t="s">
        <v>23728</v>
      </c>
      <c r="D1118" t="s">
        <v>23729</v>
      </c>
      <c r="E1118" t="s">
        <v>23730</v>
      </c>
      <c r="F1118" t="s">
        <v>23731</v>
      </c>
      <c r="G1118" t="s">
        <v>23732</v>
      </c>
      <c r="H1118" t="s">
        <v>23733</v>
      </c>
      <c r="I1118">
        <f>-569.295686651664 -15.8924873425383 -925.595985755912</f>
        <v>-1510.7841597501142</v>
      </c>
      <c r="J1118" t="s">
        <v>23734</v>
      </c>
      <c r="K1118" t="s">
        <v>23735</v>
      </c>
      <c r="L1118" t="s">
        <v>23736</v>
      </c>
      <c r="M1118" t="s">
        <v>23737</v>
      </c>
      <c r="N1118">
        <f>-630.730662355871 -11.3430704181061 -765.954481310135</f>
        <v>-1408.0282140841121</v>
      </c>
      <c r="O1118">
        <f>-656.605644845952 -147.751426405349 -717.488537601106</f>
        <v>-1521.8456088524072</v>
      </c>
      <c r="P1118">
        <f>-660.721403712014 -121.831259241917 -402.056478748173</f>
        <v>-1184.6091417021039</v>
      </c>
      <c r="Q1118">
        <f>-415.416458667274 -48.6784653734717 -448.058871704083</f>
        <v>-912.1537957448287</v>
      </c>
      <c r="R1118" t="s">
        <v>23738</v>
      </c>
      <c r="S1118" t="s">
        <v>23739</v>
      </c>
      <c r="T1118" t="s">
        <v>23740</v>
      </c>
      <c r="U1118" t="s">
        <v>23741</v>
      </c>
      <c r="V1118">
        <f>-642.02934225623 -21.8254491263997 -235.88231018404</f>
        <v>-899.73710156666971</v>
      </c>
      <c r="W1118" t="s">
        <v>23742</v>
      </c>
      <c r="X1118" t="s">
        <v>23743</v>
      </c>
      <c r="Y1118" t="s">
        <v>23744</v>
      </c>
    </row>
    <row r="1119" spans="1:25" x14ac:dyDescent="0.3">
      <c r="A1119">
        <v>55900</v>
      </c>
      <c r="B1119" t="s">
        <v>23745</v>
      </c>
      <c r="C1119" t="s">
        <v>23746</v>
      </c>
      <c r="D1119" t="s">
        <v>23747</v>
      </c>
      <c r="E1119" t="s">
        <v>23748</v>
      </c>
      <c r="F1119" t="s">
        <v>23749</v>
      </c>
      <c r="G1119" t="s">
        <v>23750</v>
      </c>
      <c r="H1119" t="s">
        <v>23751</v>
      </c>
      <c r="I1119">
        <f>-569.186308577507 -15.2216731378145 -925.679595772993</f>
        <v>-1510.0875774883145</v>
      </c>
      <c r="J1119" t="s">
        <v>23752</v>
      </c>
      <c r="K1119" t="s">
        <v>23753</v>
      </c>
      <c r="L1119" t="s">
        <v>23754</v>
      </c>
      <c r="M1119" t="s">
        <v>23755</v>
      </c>
      <c r="N1119">
        <f>-630.757155358793 -10.8165865086136 -766.096408965749</f>
        <v>-1407.6701508331557</v>
      </c>
      <c r="O1119">
        <f>-656.767230690148 -147.271041097963 -717.801049002962</f>
        <v>-1521.8393207910731</v>
      </c>
      <c r="P1119">
        <f>-661.08496076518 -121.463592158517 -402.362357785037</f>
        <v>-1184.910910708734</v>
      </c>
      <c r="Q1119">
        <f>-415.461431885238 -48.7342321630718 -447.324318058304</f>
        <v>-911.51998210661384</v>
      </c>
      <c r="R1119" t="s">
        <v>23756</v>
      </c>
      <c r="S1119" t="s">
        <v>23757</v>
      </c>
      <c r="T1119" t="s">
        <v>23758</v>
      </c>
      <c r="U1119" t="s">
        <v>23759</v>
      </c>
      <c r="V1119">
        <f>-642.114347127979 -21.7036715119491 -235.901006480678</f>
        <v>-899.71902512060615</v>
      </c>
      <c r="W1119" t="s">
        <v>23760</v>
      </c>
      <c r="X1119" t="s">
        <v>23761</v>
      </c>
      <c r="Y1119" t="s">
        <v>23762</v>
      </c>
    </row>
    <row r="1120" spans="1:25" x14ac:dyDescent="0.3">
      <c r="A1120">
        <v>55950</v>
      </c>
      <c r="B1120" t="s">
        <v>23763</v>
      </c>
      <c r="C1120" t="s">
        <v>23764</v>
      </c>
      <c r="D1120" t="s">
        <v>23765</v>
      </c>
      <c r="E1120" t="s">
        <v>23766</v>
      </c>
      <c r="F1120" t="s">
        <v>23767</v>
      </c>
      <c r="G1120" t="s">
        <v>23768</v>
      </c>
      <c r="H1120" t="s">
        <v>23769</v>
      </c>
      <c r="I1120">
        <f>-568.811027495546 -13.8920730181929 -925.845149394283</f>
        <v>-1508.5482499080219</v>
      </c>
      <c r="J1120" t="s">
        <v>23770</v>
      </c>
      <c r="K1120" t="s">
        <v>23771</v>
      </c>
      <c r="L1120" t="s">
        <v>23772</v>
      </c>
      <c r="M1120" t="s">
        <v>23773</v>
      </c>
      <c r="N1120">
        <f>-630.722230659326 -9.76932683504263 -766.39822502903</f>
        <v>-1406.8897825233985</v>
      </c>
      <c r="O1120">
        <f>-656.857101591284 -146.318123262316 -718.491823898914</f>
        <v>-1521.6670487525141</v>
      </c>
      <c r="P1120">
        <f>-661.912564031476 -121.568270879171 -402.979421428902</f>
        <v>-1186.460256339549</v>
      </c>
      <c r="Q1120">
        <f>-416.071909802215 -48.9854434606176 -446.980893347884</f>
        <v>-912.03824661071656</v>
      </c>
      <c r="R1120" t="s">
        <v>23774</v>
      </c>
      <c r="S1120" t="s">
        <v>23775</v>
      </c>
      <c r="T1120" t="s">
        <v>23776</v>
      </c>
      <c r="U1120" t="s">
        <v>23777</v>
      </c>
      <c r="V1120">
        <f>-642.392793207194 -21.3576047106063 -236.013964522235</f>
        <v>-899.76436244003537</v>
      </c>
      <c r="W1120" t="s">
        <v>23778</v>
      </c>
      <c r="X1120" t="s">
        <v>23779</v>
      </c>
      <c r="Y1120" t="s">
        <v>23780</v>
      </c>
    </row>
    <row r="1121" spans="1:25" x14ac:dyDescent="0.3">
      <c r="A1121">
        <v>56000</v>
      </c>
      <c r="B1121" t="s">
        <v>23781</v>
      </c>
      <c r="C1121" t="s">
        <v>23782</v>
      </c>
      <c r="D1121" t="s">
        <v>23783</v>
      </c>
      <c r="E1121" t="s">
        <v>23784</v>
      </c>
      <c r="F1121" t="s">
        <v>23785</v>
      </c>
      <c r="G1121" t="s">
        <v>23786</v>
      </c>
      <c r="H1121" t="s">
        <v>23787</v>
      </c>
      <c r="I1121">
        <f>-568.816352106908 -12.7990130108362 -926.021441446162</f>
        <v>-1507.6368065639062</v>
      </c>
      <c r="J1121" t="s">
        <v>23788</v>
      </c>
      <c r="K1121" t="s">
        <v>23789</v>
      </c>
      <c r="L1121" t="s">
        <v>23790</v>
      </c>
      <c r="M1121" t="s">
        <v>23791</v>
      </c>
      <c r="N1121">
        <f>-630.900702595192 -8.9587755082599 -766.650640288999</f>
        <v>-1406.510118392451</v>
      </c>
      <c r="O1121">
        <f>-656.991743637469 -145.620722769998 -719.005942276405</f>
        <v>-1521.6184086838721</v>
      </c>
      <c r="P1121">
        <f>-662.321488757482 -121.354776542999 -403.460413081713</f>
        <v>-1187.1366783821941</v>
      </c>
      <c r="Q1121">
        <f>-416.582534861914 -48.4221021362452 -447.451965774356</f>
        <v>-912.45660277251523</v>
      </c>
      <c r="R1121" t="s">
        <v>23792</v>
      </c>
      <c r="S1121" t="s">
        <v>23793</v>
      </c>
      <c r="T1121" t="s">
        <v>23794</v>
      </c>
      <c r="U1121" t="s">
        <v>23795</v>
      </c>
      <c r="V1121">
        <f>-642.572082876187 -21.0767266436615 -236.094707390356</f>
        <v>-899.74351691020445</v>
      </c>
      <c r="W1121" t="s">
        <v>23796</v>
      </c>
      <c r="X1121" t="s">
        <v>23797</v>
      </c>
      <c r="Y1121" t="s">
        <v>23798</v>
      </c>
    </row>
    <row r="1122" spans="1:25" x14ac:dyDescent="0.3">
      <c r="A1122">
        <v>56050</v>
      </c>
      <c r="B1122" t="s">
        <v>23799</v>
      </c>
      <c r="C1122" t="s">
        <v>23800</v>
      </c>
      <c r="D1122" t="s">
        <v>23801</v>
      </c>
      <c r="E1122" t="s">
        <v>23802</v>
      </c>
      <c r="F1122" t="s">
        <v>23803</v>
      </c>
      <c r="G1122" t="s">
        <v>23804</v>
      </c>
      <c r="H1122" t="s">
        <v>23805</v>
      </c>
      <c r="I1122">
        <f>-569.105834107899 -10.9053655322458 -926.43216177335</f>
        <v>-1506.4433614134948</v>
      </c>
      <c r="J1122" t="s">
        <v>23806</v>
      </c>
      <c r="K1122" t="s">
        <v>23807</v>
      </c>
      <c r="L1122" t="s">
        <v>23808</v>
      </c>
      <c r="M1122" t="s">
        <v>23809</v>
      </c>
      <c r="N1122">
        <f>-631.534402611597 -7.70403797757162 -767.203078670593</f>
        <v>-1406.4415192597617</v>
      </c>
      <c r="O1122">
        <f>-657.499585733273 -144.549438285006 -720.086000377574</f>
        <v>-1522.135024395853</v>
      </c>
      <c r="P1122">
        <f>-663.236794533512 -120.820735260821 -404.506764679987</f>
        <v>-1188.5642944743199</v>
      </c>
      <c r="Q1122">
        <f>-417.589274693452 -47.4301471277012 -448.246421799304</f>
        <v>-913.26584362045719</v>
      </c>
      <c r="R1122" t="s">
        <v>23810</v>
      </c>
      <c r="S1122" t="s">
        <v>23811</v>
      </c>
      <c r="T1122" t="s">
        <v>23812</v>
      </c>
      <c r="U1122" t="s">
        <v>23813</v>
      </c>
      <c r="V1122">
        <f>-643.074070828746 -20.8028488191008 -236.339577814699</f>
        <v>-900.2164974625457</v>
      </c>
      <c r="W1122" t="s">
        <v>23814</v>
      </c>
      <c r="X1122" t="s">
        <v>23815</v>
      </c>
      <c r="Y1122" t="s">
        <v>23816</v>
      </c>
    </row>
    <row r="1123" spans="1:25" x14ac:dyDescent="0.3">
      <c r="A1123">
        <v>56100</v>
      </c>
      <c r="B1123" t="s">
        <v>23817</v>
      </c>
      <c r="C1123" t="s">
        <v>23818</v>
      </c>
      <c r="D1123" t="s">
        <v>23819</v>
      </c>
      <c r="E1123" t="s">
        <v>23820</v>
      </c>
      <c r="F1123" t="s">
        <v>23821</v>
      </c>
      <c r="G1123" t="s">
        <v>23822</v>
      </c>
      <c r="H1123" t="s">
        <v>23823</v>
      </c>
      <c r="I1123">
        <f>-568.900306316011 -10.3498564829646 -926.744551051551</f>
        <v>-1505.9947138505265</v>
      </c>
      <c r="J1123" t="s">
        <v>23824</v>
      </c>
      <c r="K1123" t="s">
        <v>23825</v>
      </c>
      <c r="L1123" t="s">
        <v>23826</v>
      </c>
      <c r="M1123" t="s">
        <v>23827</v>
      </c>
      <c r="N1123">
        <f>-631.527337892486 -7.41114598567805 -767.590581254504</f>
        <v>-1406.5290651326682</v>
      </c>
      <c r="O1123">
        <f>-657.474414343948 -144.348986516645 -720.694615236377</f>
        <v>-1522.5180160969699</v>
      </c>
      <c r="P1123">
        <f>-663.619160164807 -121.073154529933 -405.089472698358</f>
        <v>-1189.7817873930981</v>
      </c>
      <c r="Q1123">
        <f>-418.007397379047 -47.2645751123407 -448.323579606657</f>
        <v>-913.59555209804466</v>
      </c>
      <c r="R1123" t="s">
        <v>23828</v>
      </c>
      <c r="S1123" t="s">
        <v>23829</v>
      </c>
      <c r="T1123" t="s">
        <v>23830</v>
      </c>
      <c r="U1123" t="s">
        <v>23831</v>
      </c>
      <c r="V1123">
        <f>-643.37143533392 -20.7741756572262 -236.529042426097</f>
        <v>-900.67465341724323</v>
      </c>
      <c r="W1123" t="s">
        <v>23832</v>
      </c>
      <c r="X1123" t="s">
        <v>23833</v>
      </c>
      <c r="Y1123" t="s">
        <v>23834</v>
      </c>
    </row>
    <row r="1124" spans="1:25" x14ac:dyDescent="0.3">
      <c r="A1124">
        <v>56150</v>
      </c>
      <c r="B1124" t="s">
        <v>23835</v>
      </c>
      <c r="C1124" t="s">
        <v>23836</v>
      </c>
      <c r="D1124" t="s">
        <v>23837</v>
      </c>
      <c r="E1124" t="s">
        <v>23838</v>
      </c>
      <c r="F1124" t="s">
        <v>23839</v>
      </c>
      <c r="G1124" t="s">
        <v>23840</v>
      </c>
      <c r="H1124" t="s">
        <v>23841</v>
      </c>
      <c r="I1124">
        <f>-567.809110414213 -9.16815780994254 -927.399219386812</f>
        <v>-1504.3764876109676</v>
      </c>
      <c r="J1124" t="s">
        <v>23842</v>
      </c>
      <c r="K1124" t="s">
        <v>23843</v>
      </c>
      <c r="L1124" t="s">
        <v>23844</v>
      </c>
      <c r="M1124" t="s">
        <v>23845</v>
      </c>
      <c r="N1124">
        <f>-630.969696132224 -6.85844720597347 -768.45121440683</f>
        <v>-1406.2793577450275</v>
      </c>
      <c r="O1124">
        <f>-656.720206408181 -144.032154067475 -722.100065037861</f>
        <v>-1522.8524255135169</v>
      </c>
      <c r="P1124">
        <f>-664.293396813306 -121.575137079448 -406.466561619334</f>
        <v>-1192.3350955120882</v>
      </c>
      <c r="Q1124">
        <f>-418.661069575134 -47.0272578091859 -448.292847829152</f>
        <v>-913.98117521347194</v>
      </c>
      <c r="R1124" t="s">
        <v>23846</v>
      </c>
      <c r="S1124" t="s">
        <v>23847</v>
      </c>
      <c r="T1124" t="s">
        <v>23848</v>
      </c>
      <c r="U1124" t="s">
        <v>23849</v>
      </c>
      <c r="V1124">
        <f>-644.025627927221 -20.9192664793325 -236.990755058429</f>
        <v>-901.93564946498236</v>
      </c>
      <c r="W1124" t="s">
        <v>23850</v>
      </c>
      <c r="X1124" t="s">
        <v>23851</v>
      </c>
      <c r="Y1124" t="s">
        <v>23852</v>
      </c>
    </row>
    <row r="1125" spans="1:25" x14ac:dyDescent="0.3">
      <c r="A1125">
        <v>56200</v>
      </c>
      <c r="B1125" t="s">
        <v>23853</v>
      </c>
      <c r="C1125" t="s">
        <v>23854</v>
      </c>
      <c r="D1125" t="s">
        <v>23855</v>
      </c>
      <c r="E1125" t="s">
        <v>23856</v>
      </c>
      <c r="F1125" t="s">
        <v>23857</v>
      </c>
      <c r="G1125" t="s">
        <v>23858</v>
      </c>
      <c r="H1125" t="s">
        <v>23859</v>
      </c>
      <c r="I1125">
        <f>-567.234718832668 -8.58487627732055 -927.603361052151</f>
        <v>-1503.4229561621396</v>
      </c>
      <c r="J1125" t="s">
        <v>23860</v>
      </c>
      <c r="K1125" t="s">
        <v>23861</v>
      </c>
      <c r="L1125" t="s">
        <v>23862</v>
      </c>
      <c r="M1125" t="s">
        <v>23863</v>
      </c>
      <c r="N1125">
        <f>-630.676662292937 -6.61418594005006 -768.771525596392</f>
        <v>-1406.0623738293791</v>
      </c>
      <c r="O1125">
        <f>-656.286308733852 -143.88654208459 -722.690955575024</f>
        <v>-1522.8638063934659</v>
      </c>
      <c r="P1125">
        <f>-664.585428363287 -121.953028581256 -407.038855500724</f>
        <v>-1193.5773124452671</v>
      </c>
      <c r="Q1125">
        <f>-419.053040386582 -46.7064424539051 -448.195225157728</f>
        <v>-913.9547079982151</v>
      </c>
      <c r="R1125" t="s">
        <v>23864</v>
      </c>
      <c r="S1125" t="s">
        <v>23865</v>
      </c>
      <c r="T1125" t="s">
        <v>23866</v>
      </c>
      <c r="U1125" t="s">
        <v>23867</v>
      </c>
      <c r="V1125">
        <f>-644.434766274621 -21.1916932549724 -237.165908972062</f>
        <v>-902.79236850165535</v>
      </c>
      <c r="W1125" t="s">
        <v>23868</v>
      </c>
      <c r="X1125" t="s">
        <v>23869</v>
      </c>
      <c r="Y1125" t="s">
        <v>23870</v>
      </c>
    </row>
    <row r="1126" spans="1:25" x14ac:dyDescent="0.3">
      <c r="A1126">
        <v>56250</v>
      </c>
      <c r="B1126" t="s">
        <v>23871</v>
      </c>
      <c r="C1126" t="s">
        <v>23872</v>
      </c>
      <c r="D1126" t="s">
        <v>23873</v>
      </c>
      <c r="E1126" t="s">
        <v>23874</v>
      </c>
      <c r="F1126" t="s">
        <v>23875</v>
      </c>
      <c r="G1126" t="s">
        <v>23876</v>
      </c>
      <c r="H1126" t="s">
        <v>23877</v>
      </c>
      <c r="I1126">
        <f>-566.81231946976 -8.16778794867788 -927.635267105062</f>
        <v>-1502.6153745234999</v>
      </c>
      <c r="J1126" t="s">
        <v>23878</v>
      </c>
      <c r="K1126" t="s">
        <v>23879</v>
      </c>
      <c r="L1126" t="s">
        <v>23880</v>
      </c>
      <c r="M1126" t="s">
        <v>23881</v>
      </c>
      <c r="N1126">
        <f>-630.511084350206 -6.42116616846702 -768.908358656864</f>
        <v>-1405.8406091755371</v>
      </c>
      <c r="O1126">
        <f>-656.023030786722 -143.780756932765 -723.057062968858</f>
        <v>-1522.860850688345</v>
      </c>
      <c r="P1126">
        <f>-664.860943046006 -122.094116630806 -407.402468577334</f>
        <v>-1194.357528254146</v>
      </c>
      <c r="Q1126">
        <f>-419.359183380703 -46.459001842121 -448.025990312874</f>
        <v>-913.84417553569801</v>
      </c>
      <c r="R1126" t="s">
        <v>23882</v>
      </c>
      <c r="S1126" t="s">
        <v>23883</v>
      </c>
      <c r="T1126" t="s">
        <v>23884</v>
      </c>
      <c r="U1126" t="s">
        <v>23885</v>
      </c>
      <c r="V1126">
        <f>-644.847864900883 -21.3067831361039 -237.262904067939</f>
        <v>-903.4175521049259</v>
      </c>
      <c r="W1126" t="s">
        <v>23886</v>
      </c>
      <c r="X1126" t="s">
        <v>23887</v>
      </c>
      <c r="Y1126" t="s">
        <v>23888</v>
      </c>
    </row>
    <row r="1127" spans="1:25" x14ac:dyDescent="0.3">
      <c r="A1127">
        <v>56300</v>
      </c>
      <c r="B1127" t="s">
        <v>23889</v>
      </c>
      <c r="C1127" t="s">
        <v>23890</v>
      </c>
      <c r="D1127" t="s">
        <v>23891</v>
      </c>
      <c r="E1127" t="s">
        <v>23892</v>
      </c>
      <c r="F1127" t="s">
        <v>23893</v>
      </c>
      <c r="G1127" t="s">
        <v>23894</v>
      </c>
      <c r="H1127" t="s">
        <v>23895</v>
      </c>
      <c r="I1127">
        <f>-566.997785901621 -7.63140458313939 -927.359153547733</f>
        <v>-1501.9883440324934</v>
      </c>
      <c r="J1127" t="s">
        <v>23896</v>
      </c>
      <c r="K1127" t="s">
        <v>23897</v>
      </c>
      <c r="L1127" t="s">
        <v>23898</v>
      </c>
      <c r="M1127" t="s">
        <v>23899</v>
      </c>
      <c r="N1127">
        <f>-630.929922297669 -6.12244303182015 -768.723731050069</f>
        <v>-1405.7760963795581</v>
      </c>
      <c r="O1127">
        <f>-656.335309873578 -143.587343763449 -723.107198320017</f>
        <v>-1523.029851957044</v>
      </c>
      <c r="P1127">
        <f>-665.717252236641 -122.393311676333 -407.435008442562</f>
        <v>-1195.545572355536</v>
      </c>
      <c r="Q1127">
        <f>-420.281068998235 -46.1266823224995 -447.266237239196</f>
        <v>-913.67398855993054</v>
      </c>
      <c r="R1127" t="s">
        <v>23900</v>
      </c>
      <c r="S1127" t="s">
        <v>23901</v>
      </c>
      <c r="T1127" t="s">
        <v>23902</v>
      </c>
      <c r="U1127" t="s">
        <v>23903</v>
      </c>
      <c r="V1127">
        <f>-645.50480101957 -21.5787418942546 -237.186148051188</f>
        <v>-904.26969096501261</v>
      </c>
      <c r="W1127" t="s">
        <v>23904</v>
      </c>
      <c r="X1127" t="s">
        <v>23905</v>
      </c>
      <c r="Y1127" t="s">
        <v>23906</v>
      </c>
    </row>
    <row r="1128" spans="1:25" x14ac:dyDescent="0.3">
      <c r="A1128">
        <v>56350</v>
      </c>
      <c r="B1128" t="s">
        <v>23907</v>
      </c>
      <c r="C1128" t="s">
        <v>23908</v>
      </c>
      <c r="D1128" t="s">
        <v>23909</v>
      </c>
      <c r="E1128" t="s">
        <v>23910</v>
      </c>
      <c r="F1128" t="s">
        <v>23911</v>
      </c>
      <c r="G1128" t="s">
        <v>23912</v>
      </c>
      <c r="H1128" t="s">
        <v>23913</v>
      </c>
      <c r="I1128">
        <f>-567.491062851055 -7.01495194816528 -927.175649357458</f>
        <v>-1501.6816641566784</v>
      </c>
      <c r="J1128" t="s">
        <v>23914</v>
      </c>
      <c r="K1128" t="s">
        <v>23915</v>
      </c>
      <c r="L1128" t="s">
        <v>23916</v>
      </c>
      <c r="M1128" t="s">
        <v>23917</v>
      </c>
      <c r="N1128">
        <f>-631.38618374558 -5.58785887062601 -768.529991552708</f>
        <v>-1405.5040341689141</v>
      </c>
      <c r="O1128">
        <f>-656.798912378337 -143.093875489313 -723.047330940213</f>
        <v>-1522.940118807863</v>
      </c>
      <c r="P1128">
        <f>-666.194312717094 -122.027765024931 -407.36678289352</f>
        <v>-1195.588860635545</v>
      </c>
      <c r="Q1128">
        <f>-420.778133665951 -45.7025010831876 -447.209496035901</f>
        <v>-913.69013078503963</v>
      </c>
      <c r="R1128" t="s">
        <v>23918</v>
      </c>
      <c r="S1128" t="s">
        <v>23919</v>
      </c>
      <c r="T1128" t="s">
        <v>23920</v>
      </c>
      <c r="U1128" t="s">
        <v>23921</v>
      </c>
      <c r="V1128">
        <f>-645.843187257522 -21.3853514017251 -237.029495347382</f>
        <v>-904.25803400662903</v>
      </c>
      <c r="W1128" t="s">
        <v>23922</v>
      </c>
      <c r="X1128" t="s">
        <v>23923</v>
      </c>
      <c r="Y1128" t="s">
        <v>23924</v>
      </c>
    </row>
    <row r="1129" spans="1:25" x14ac:dyDescent="0.3">
      <c r="A1129">
        <v>56400</v>
      </c>
      <c r="B1129" t="s">
        <v>23925</v>
      </c>
      <c r="C1129" t="s">
        <v>23926</v>
      </c>
      <c r="D1129" t="s">
        <v>23927</v>
      </c>
      <c r="E1129" t="s">
        <v>23928</v>
      </c>
      <c r="F1129" t="s">
        <v>23929</v>
      </c>
      <c r="G1129" t="s">
        <v>23930</v>
      </c>
      <c r="H1129" t="s">
        <v>23931</v>
      </c>
      <c r="I1129">
        <f>-567.946291271148 -6.6835642652102 -927.105886605031</f>
        <v>-1501.735742141389</v>
      </c>
      <c r="J1129" t="s">
        <v>23932</v>
      </c>
      <c r="K1129" t="s">
        <v>23933</v>
      </c>
      <c r="L1129" t="s">
        <v>23934</v>
      </c>
      <c r="M1129" t="s">
        <v>23935</v>
      </c>
      <c r="N1129">
        <f>-631.753028901198 -5.24331740788654 -768.426372989899</f>
        <v>-1405.4227192989838</v>
      </c>
      <c r="O1129">
        <f>-657.252261304191 -142.752635461846 -722.96602280702</f>
        <v>-1522.970919573057</v>
      </c>
      <c r="P1129">
        <f>-666.49426667137 -121.870314697264 -407.26887614306</f>
        <v>-1195.6334575116941</v>
      </c>
      <c r="Q1129">
        <f>-421.096043066452 -45.5708328080105 -447.270878523716</f>
        <v>-913.93775439817853</v>
      </c>
      <c r="R1129" t="s">
        <v>23936</v>
      </c>
      <c r="S1129" t="s">
        <v>23937</v>
      </c>
      <c r="T1129" t="s">
        <v>23938</v>
      </c>
      <c r="U1129" t="s">
        <v>23939</v>
      </c>
      <c r="V1129">
        <f>-645.883354805177 -21.1457721596754 -236.961609205449</f>
        <v>-903.99073617030137</v>
      </c>
      <c r="W1129" t="s">
        <v>23940</v>
      </c>
      <c r="X1129" t="s">
        <v>23941</v>
      </c>
      <c r="Y1129" t="s">
        <v>23942</v>
      </c>
    </row>
    <row r="1130" spans="1:25" x14ac:dyDescent="0.3">
      <c r="A1130">
        <v>56450</v>
      </c>
      <c r="B1130" t="s">
        <v>23943</v>
      </c>
      <c r="C1130" t="s">
        <v>23944</v>
      </c>
      <c r="D1130" t="s">
        <v>23945</v>
      </c>
      <c r="E1130" t="s">
        <v>23946</v>
      </c>
      <c r="F1130" t="s">
        <v>23947</v>
      </c>
      <c r="G1130" t="s">
        <v>23948</v>
      </c>
      <c r="H1130" t="s">
        <v>23949</v>
      </c>
      <c r="I1130">
        <f>-568.671377055933 -5.91587168320847 -927.109676778652</f>
        <v>-1501.6969255177935</v>
      </c>
      <c r="J1130" t="s">
        <v>23950</v>
      </c>
      <c r="K1130" t="s">
        <v>23951</v>
      </c>
      <c r="L1130" t="s">
        <v>23952</v>
      </c>
      <c r="M1130" t="s">
        <v>23953</v>
      </c>
      <c r="N1130">
        <f>-632.294000664406 -4.44600178657193 -768.361445227787</f>
        <v>-1405.101447678765</v>
      </c>
      <c r="O1130">
        <f>-657.95847999042 -141.947490996268 -722.963200389277</f>
        <v>-1522.8691713759649</v>
      </c>
      <c r="P1130">
        <f>-666.889832507778 -121.28762386924 -407.242521187112</f>
        <v>-1195.41997756413</v>
      </c>
      <c r="Q1130">
        <f>-421.417410977469 -45.2792287169714 -447.343131055913</f>
        <v>-914.03977075035334</v>
      </c>
      <c r="R1130" t="s">
        <v>23954</v>
      </c>
      <c r="S1130" t="s">
        <v>23955</v>
      </c>
      <c r="T1130" t="s">
        <v>23956</v>
      </c>
      <c r="U1130" t="s">
        <v>23957</v>
      </c>
      <c r="V1130">
        <f>-645.873192828922 -20.6276089191778 -236.946023406695</f>
        <v>-903.44682515479474</v>
      </c>
      <c r="W1130" t="s">
        <v>23958</v>
      </c>
      <c r="X1130" t="s">
        <v>23959</v>
      </c>
      <c r="Y1130" t="s">
        <v>23960</v>
      </c>
    </row>
    <row r="1131" spans="1:25" x14ac:dyDescent="0.3">
      <c r="A1131">
        <v>56500</v>
      </c>
      <c r="B1131" t="s">
        <v>23961</v>
      </c>
      <c r="C1131" t="s">
        <v>23962</v>
      </c>
      <c r="D1131" t="s">
        <v>23963</v>
      </c>
      <c r="E1131" t="s">
        <v>23964</v>
      </c>
      <c r="F1131" t="s">
        <v>23965</v>
      </c>
      <c r="G1131" t="s">
        <v>23966</v>
      </c>
      <c r="H1131" t="s">
        <v>23967</v>
      </c>
      <c r="I1131">
        <f>-569.149103937858 -5.39266276929906 -927.19397129796</f>
        <v>-1501.7357380051171</v>
      </c>
      <c r="J1131" t="s">
        <v>23968</v>
      </c>
      <c r="K1131" t="s">
        <v>23969</v>
      </c>
      <c r="L1131" t="s">
        <v>23970</v>
      </c>
      <c r="M1131" t="s">
        <v>23971</v>
      </c>
      <c r="N1131">
        <f>-632.639354121931 -3.92588207619531 -768.400806418979</f>
        <v>-1404.9660426171054</v>
      </c>
      <c r="O1131">
        <f>-658.376583383414 -141.417115049571 -723.033503170003</f>
        <v>-1522.8272016029878</v>
      </c>
      <c r="P1131">
        <f>-667.215148935488 -120.871635390224 -407.302643963111</f>
        <v>-1195.389428288823</v>
      </c>
      <c r="Q1131">
        <f>-421.693186103883 -45.0081982825924 -447.374566327142</f>
        <v>-914.07595071361743</v>
      </c>
      <c r="R1131" t="s">
        <v>23972</v>
      </c>
      <c r="S1131" t="s">
        <v>23973</v>
      </c>
      <c r="T1131" t="s">
        <v>23974</v>
      </c>
      <c r="U1131" t="s">
        <v>23975</v>
      </c>
      <c r="V1131">
        <f>-645.816297646515 -20.3763109573612 -236.959766536317</f>
        <v>-903.15237514019316</v>
      </c>
      <c r="W1131" t="s">
        <v>23976</v>
      </c>
      <c r="X1131" t="s">
        <v>23977</v>
      </c>
      <c r="Y1131" t="s">
        <v>23978</v>
      </c>
    </row>
    <row r="1132" spans="1:25" x14ac:dyDescent="0.3">
      <c r="A1132">
        <v>56550</v>
      </c>
      <c r="B1132" t="s">
        <v>23979</v>
      </c>
      <c r="C1132" t="s">
        <v>23980</v>
      </c>
      <c r="D1132" t="s">
        <v>23981</v>
      </c>
      <c r="E1132" t="s">
        <v>23982</v>
      </c>
      <c r="F1132" t="s">
        <v>23983</v>
      </c>
      <c r="G1132" t="s">
        <v>23984</v>
      </c>
      <c r="H1132" t="s">
        <v>23985</v>
      </c>
      <c r="I1132">
        <f>-570.017386257402 -4.45643354731715 -927.386741701929</f>
        <v>-1501.8605615066481</v>
      </c>
      <c r="J1132" t="s">
        <v>23986</v>
      </c>
      <c r="K1132" t="s">
        <v>23987</v>
      </c>
      <c r="L1132" t="s">
        <v>23988</v>
      </c>
      <c r="M1132" t="s">
        <v>23989</v>
      </c>
      <c r="N1132">
        <f>-633.235294257748 -2.93328443932214 -768.493528718871</f>
        <v>-1404.6621074159411</v>
      </c>
      <c r="O1132">
        <f>-659.140713732439 -140.397172482127 -723.147773710886</f>
        <v>-1522.685659925452</v>
      </c>
      <c r="P1132">
        <f>-667.654626215958 -120.03802408242 -407.395974806654</f>
        <v>-1195.088625105032</v>
      </c>
      <c r="Q1132">
        <f>-422.012268171791 -44.5901851348259 -447.514985032859</f>
        <v>-914.11743833947594</v>
      </c>
      <c r="R1132" t="s">
        <v>23990</v>
      </c>
      <c r="S1132" t="s">
        <v>23991</v>
      </c>
      <c r="T1132" t="s">
        <v>23992</v>
      </c>
      <c r="U1132" t="s">
        <v>23993</v>
      </c>
      <c r="V1132">
        <f>-645.628638692468 -19.6875328260804 -237.000976848149</f>
        <v>-902.31714836669744</v>
      </c>
      <c r="W1132" t="s">
        <v>23994</v>
      </c>
      <c r="X1132" t="s">
        <v>23995</v>
      </c>
      <c r="Y1132" t="s">
        <v>23996</v>
      </c>
    </row>
    <row r="1133" spans="1:25" x14ac:dyDescent="0.3">
      <c r="A1133">
        <v>56600</v>
      </c>
      <c r="B1133" t="s">
        <v>23997</v>
      </c>
      <c r="C1133" t="s">
        <v>23998</v>
      </c>
      <c r="D1133" t="s">
        <v>23999</v>
      </c>
      <c r="E1133" t="s">
        <v>24000</v>
      </c>
      <c r="F1133" t="s">
        <v>24001</v>
      </c>
      <c r="G1133" t="s">
        <v>24002</v>
      </c>
      <c r="H1133" t="s">
        <v>24003</v>
      </c>
      <c r="I1133">
        <f>-570.396964855214 -4.12871652627344 -927.432672486006</f>
        <v>-1501.9583538674935</v>
      </c>
      <c r="J1133" t="s">
        <v>24004</v>
      </c>
      <c r="K1133" t="s">
        <v>24005</v>
      </c>
      <c r="L1133" t="s">
        <v>24006</v>
      </c>
      <c r="M1133" t="s">
        <v>24007</v>
      </c>
      <c r="N1133">
        <f>-633.455560035964 -2.56159059154117 -768.479266765128</f>
        <v>-1404.4964173926332</v>
      </c>
      <c r="O1133">
        <f>-659.426847032302 -140.003906253065 -723.104001689027</f>
        <v>-1522.534754974394</v>
      </c>
      <c r="P1133">
        <f>-667.660466241988 -119.57786643831 -407.349212516722</f>
        <v>-1194.5875451970201</v>
      </c>
      <c r="Q1133">
        <f>-421.929442802434 -44.4531917159787 -447.531364504303</f>
        <v>-913.91399902271564</v>
      </c>
      <c r="R1133" t="s">
        <v>24008</v>
      </c>
      <c r="S1133" t="s">
        <v>24009</v>
      </c>
      <c r="T1133" t="s">
        <v>24010</v>
      </c>
      <c r="U1133" t="s">
        <v>24011</v>
      </c>
      <c r="V1133">
        <f>-645.529209041441 -19.3072626460686 -236.974147705083</f>
        <v>-901.81061939259257</v>
      </c>
      <c r="W1133" t="s">
        <v>24012</v>
      </c>
      <c r="X1133" t="s">
        <v>24013</v>
      </c>
      <c r="Y1133" t="s">
        <v>24014</v>
      </c>
    </row>
    <row r="1134" spans="1:25" x14ac:dyDescent="0.3">
      <c r="A1134">
        <v>56650</v>
      </c>
      <c r="B1134" t="s">
        <v>24015</v>
      </c>
      <c r="C1134" t="s">
        <v>24016</v>
      </c>
      <c r="D1134" t="s">
        <v>24017</v>
      </c>
      <c r="E1134" t="s">
        <v>24018</v>
      </c>
      <c r="F1134" t="s">
        <v>24019</v>
      </c>
      <c r="G1134" t="s">
        <v>24020</v>
      </c>
      <c r="H1134" t="s">
        <v>24021</v>
      </c>
      <c r="I1134">
        <f>-571.325236393849 -3.70479927427505 -927.154859967445</f>
        <v>-1502.1848956355689</v>
      </c>
      <c r="J1134" t="s">
        <v>24022</v>
      </c>
      <c r="K1134" t="s">
        <v>24023</v>
      </c>
      <c r="L1134" t="s">
        <v>24024</v>
      </c>
      <c r="M1134" t="s">
        <v>24025</v>
      </c>
      <c r="N1134">
        <f>-634.157299701446 -2.05853964549346 -768.113312370234</f>
        <v>-1404.3291517171735</v>
      </c>
      <c r="O1134">
        <f>-660.208476187746 -139.483720796308 -722.72761009207</f>
        <v>-1522.419807076124</v>
      </c>
      <c r="P1134">
        <f>-668.131519494703 -119.039218290635 -406.965796752721</f>
        <v>-1194.1365345380589</v>
      </c>
      <c r="Q1134">
        <f>-422.346080174772 -44.2401702433614 -447.421695754505</f>
        <v>-914.00794617263841</v>
      </c>
      <c r="R1134" t="s">
        <v>24026</v>
      </c>
      <c r="S1134" t="s">
        <v>24027</v>
      </c>
      <c r="T1134" t="s">
        <v>24028</v>
      </c>
      <c r="U1134" t="s">
        <v>24029</v>
      </c>
      <c r="V1134">
        <f>-645.56820984637 -18.7092637332595 -236.622794814712</f>
        <v>-900.90026839434154</v>
      </c>
      <c r="W1134" t="s">
        <v>24030</v>
      </c>
      <c r="X1134" t="s">
        <v>24031</v>
      </c>
      <c r="Y1134" t="s">
        <v>24032</v>
      </c>
    </row>
    <row r="1135" spans="1:25" x14ac:dyDescent="0.3">
      <c r="A1135">
        <v>56700</v>
      </c>
      <c r="B1135" t="s">
        <v>24033</v>
      </c>
      <c r="C1135" t="s">
        <v>24034</v>
      </c>
      <c r="D1135" t="s">
        <v>24035</v>
      </c>
      <c r="E1135" t="s">
        <v>24036</v>
      </c>
      <c r="F1135" t="s">
        <v>24037</v>
      </c>
      <c r="G1135" t="s">
        <v>24038</v>
      </c>
      <c r="H1135" t="s">
        <v>24039</v>
      </c>
      <c r="I1135">
        <f>-571.777369266514 -3.61726049577496 -926.906732694992</f>
        <v>-1502.3013624572809</v>
      </c>
      <c r="J1135" t="s">
        <v>24040</v>
      </c>
      <c r="K1135" t="s">
        <v>24041</v>
      </c>
      <c r="L1135" t="s">
        <v>24042</v>
      </c>
      <c r="M1135" t="s">
        <v>24043</v>
      </c>
      <c r="N1135">
        <f>-634.509528410887 -1.94807926944671 -767.828427056528</f>
        <v>-1404.2860347368617</v>
      </c>
      <c r="O1135">
        <f>-660.584130034351 -139.367935957314 -722.440447872833</f>
        <v>-1522.3925138644981</v>
      </c>
      <c r="P1135">
        <f>-668.344548823032 -118.858975318126 -406.678926276385</f>
        <v>-1193.8824504175432</v>
      </c>
      <c r="Q1135">
        <f>-422.544883295466 -44.1254091348752 -447.169400718774</f>
        <v>-913.83969314911519</v>
      </c>
      <c r="R1135" t="s">
        <v>24044</v>
      </c>
      <c r="S1135" t="s">
        <v>24045</v>
      </c>
      <c r="T1135" t="s">
        <v>24046</v>
      </c>
      <c r="U1135" t="s">
        <v>24047</v>
      </c>
      <c r="V1135">
        <f>-645.65698491927 -18.4889881020378 -236.347841158111</f>
        <v>-900.49381417941879</v>
      </c>
      <c r="W1135" t="s">
        <v>24048</v>
      </c>
      <c r="X1135" t="s">
        <v>24049</v>
      </c>
      <c r="Y1135" t="s">
        <v>24050</v>
      </c>
    </row>
    <row r="1136" spans="1:25" x14ac:dyDescent="0.3">
      <c r="A1136">
        <v>56750</v>
      </c>
      <c r="B1136" t="s">
        <v>24051</v>
      </c>
      <c r="C1136" t="s">
        <v>24052</v>
      </c>
      <c r="D1136" t="s">
        <v>24053</v>
      </c>
      <c r="E1136" t="s">
        <v>24054</v>
      </c>
      <c r="F1136" t="s">
        <v>24055</v>
      </c>
      <c r="G1136" t="s">
        <v>24056</v>
      </c>
      <c r="H1136" t="s">
        <v>24057</v>
      </c>
      <c r="I1136">
        <f>-572.283767938949 -3.78715213337584 -926.589334217168</f>
        <v>-1502.660254289493</v>
      </c>
      <c r="J1136" t="s">
        <v>24058</v>
      </c>
      <c r="K1136" t="s">
        <v>24059</v>
      </c>
      <c r="L1136" t="s">
        <v>24060</v>
      </c>
      <c r="M1136" t="s">
        <v>24061</v>
      </c>
      <c r="N1136">
        <f>-634.922158101826 -2.00589575608353 -767.473178064938</f>
        <v>-1404.4012319228475</v>
      </c>
      <c r="O1136">
        <f>-660.963895291064 -139.415370281673 -722.043959473043</f>
        <v>-1522.4232250457799</v>
      </c>
      <c r="P1136">
        <f>-668.818260423756 -118.920729183966 -406.283815014414</f>
        <v>-1194.0228046221359</v>
      </c>
      <c r="Q1136">
        <f>-423.100832583129 -43.9549892138449 -446.84379465531</f>
        <v>-913.89961645228391</v>
      </c>
      <c r="R1136" t="s">
        <v>24062</v>
      </c>
      <c r="S1136" t="s">
        <v>24063</v>
      </c>
      <c r="T1136" t="s">
        <v>24064</v>
      </c>
      <c r="U1136" t="s">
        <v>24065</v>
      </c>
      <c r="V1136">
        <f>-645.759464874576 -18.1122989175568 -236.025766200205</f>
        <v>-899.89752999233781</v>
      </c>
      <c r="W1136" t="s">
        <v>24066</v>
      </c>
      <c r="X1136" t="s">
        <v>24067</v>
      </c>
      <c r="Y1136" t="s">
        <v>24068</v>
      </c>
    </row>
    <row r="1137" spans="1:25" x14ac:dyDescent="0.3">
      <c r="A1137">
        <v>56800</v>
      </c>
      <c r="B1137" t="s">
        <v>24069</v>
      </c>
      <c r="C1137" t="s">
        <v>24070</v>
      </c>
      <c r="D1137" t="s">
        <v>24071</v>
      </c>
      <c r="E1137" t="s">
        <v>24072</v>
      </c>
      <c r="F1137" t="s">
        <v>24073</v>
      </c>
      <c r="G1137" t="s">
        <v>24074</v>
      </c>
      <c r="H1137" t="s">
        <v>24075</v>
      </c>
      <c r="I1137">
        <f>-572.465722260825 -3.70300183666117 -926.638790286517</f>
        <v>-1502.8075143840033</v>
      </c>
      <c r="J1137" t="s">
        <v>24076</v>
      </c>
      <c r="K1137" t="s">
        <v>24077</v>
      </c>
      <c r="L1137" t="s">
        <v>24078</v>
      </c>
      <c r="M1137" t="s">
        <v>24079</v>
      </c>
      <c r="N1137">
        <f>-635.103624262552 -1.88539255908123 -767.524271733294</f>
        <v>-1404.5132885549272</v>
      </c>
      <c r="O1137">
        <f>-661.132931744696 -139.298781717469 -722.075354191283</f>
        <v>-1522.5070676534478</v>
      </c>
      <c r="P1137">
        <f>-668.984457398371 -118.700759592756 -406.321742507109</f>
        <v>-1194.006959498236</v>
      </c>
      <c r="Q1137">
        <f>-423.288726309209 -43.6528389857818 -446.861466336402</f>
        <v>-913.80303163139274</v>
      </c>
      <c r="R1137" t="s">
        <v>24080</v>
      </c>
      <c r="S1137" t="s">
        <v>24081</v>
      </c>
      <c r="T1137" t="s">
        <v>24082</v>
      </c>
      <c r="U1137" t="s">
        <v>24083</v>
      </c>
      <c r="V1137">
        <f>-645.77541930916 -17.8606796772095 -236.040514880384</f>
        <v>-899.67661386675354</v>
      </c>
      <c r="W1137" t="s">
        <v>24084</v>
      </c>
      <c r="X1137" t="s">
        <v>24085</v>
      </c>
      <c r="Y1137" t="s">
        <v>24086</v>
      </c>
    </row>
    <row r="1138" spans="1:25" x14ac:dyDescent="0.3">
      <c r="A1138">
        <v>56850</v>
      </c>
      <c r="B1138" t="s">
        <v>24087</v>
      </c>
      <c r="C1138" t="s">
        <v>24088</v>
      </c>
      <c r="D1138" t="s">
        <v>24089</v>
      </c>
      <c r="E1138" t="s">
        <v>24090</v>
      </c>
      <c r="F1138" t="s">
        <v>24091</v>
      </c>
      <c r="G1138" t="s">
        <v>24092</v>
      </c>
      <c r="H1138" t="s">
        <v>24093</v>
      </c>
      <c r="I1138">
        <f>-572.439610065396 -3.86150323227623 -926.837432254859</f>
        <v>-1503.1385455525312</v>
      </c>
      <c r="J1138" t="s">
        <v>24094</v>
      </c>
      <c r="K1138" t="s">
        <v>24095</v>
      </c>
      <c r="L1138" t="s">
        <v>24096</v>
      </c>
      <c r="M1138" t="s">
        <v>24097</v>
      </c>
      <c r="N1138">
        <f>-635.07924565802 -1.95076332356166 -767.732701881686</f>
        <v>-1404.7627108632678</v>
      </c>
      <c r="O1138">
        <f>-660.981808568707 -139.356961119585 -722.201762224462</f>
        <v>-1522.540531912754</v>
      </c>
      <c r="P1138">
        <f>-668.950467899313 -118.499443725216 -406.468230900509</f>
        <v>-1193.9181425250381</v>
      </c>
      <c r="Q1138">
        <f>-423.320253745629 -43.1857932283095 -446.912330451675</f>
        <v>-913.41837742561347</v>
      </c>
      <c r="R1138" t="s">
        <v>24098</v>
      </c>
      <c r="S1138" t="s">
        <v>24099</v>
      </c>
      <c r="T1138" t="s">
        <v>24100</v>
      </c>
      <c r="U1138" t="s">
        <v>24101</v>
      </c>
      <c r="V1138">
        <f>-645.76607507477 -17.5966225334882 -236.196470803561</f>
        <v>-899.5591684118192</v>
      </c>
      <c r="W1138" t="s">
        <v>24102</v>
      </c>
      <c r="X1138" t="s">
        <v>24103</v>
      </c>
      <c r="Y1138" t="s">
        <v>24104</v>
      </c>
    </row>
    <row r="1139" spans="1:25" x14ac:dyDescent="0.3">
      <c r="A1139">
        <v>56900</v>
      </c>
      <c r="B1139" t="s">
        <v>24105</v>
      </c>
      <c r="C1139" t="s">
        <v>24106</v>
      </c>
      <c r="D1139" t="s">
        <v>24107</v>
      </c>
      <c r="E1139" t="s">
        <v>24108</v>
      </c>
      <c r="F1139" t="s">
        <v>24109</v>
      </c>
      <c r="G1139" t="s">
        <v>24110</v>
      </c>
      <c r="H1139" t="s">
        <v>24111</v>
      </c>
      <c r="I1139">
        <f>-572.117303818014 -4.01257152650682 -926.9471499725</f>
        <v>-1503.0770253170208</v>
      </c>
      <c r="J1139" t="s">
        <v>24112</v>
      </c>
      <c r="K1139" t="s">
        <v>24113</v>
      </c>
      <c r="L1139" t="s">
        <v>24114</v>
      </c>
      <c r="M1139" t="s">
        <v>24115</v>
      </c>
      <c r="N1139">
        <f>-634.83970677349 -2.03984061339314 -767.875251564211</f>
        <v>-1404.754798951094</v>
      </c>
      <c r="O1139">
        <f>-660.708211870618 -139.442091675386 -722.31994027651</f>
        <v>-1522.470243822514</v>
      </c>
      <c r="P1139">
        <f>-668.785953616917 -118.441256489874 -406.598802886579</f>
        <v>-1193.8260129933701</v>
      </c>
      <c r="Q1139">
        <f>-423.187637469152 -42.9609062575411 -446.925631090259</f>
        <v>-913.07417481695211</v>
      </c>
      <c r="R1139" t="s">
        <v>24116</v>
      </c>
      <c r="S1139" t="s">
        <v>24117</v>
      </c>
      <c r="T1139" t="s">
        <v>24118</v>
      </c>
      <c r="U1139" t="s">
        <v>24119</v>
      </c>
      <c r="V1139">
        <f>-645.721686935157 -17.5752870062268 -236.310827167524</f>
        <v>-899.60780110890778</v>
      </c>
      <c r="W1139" t="s">
        <v>24120</v>
      </c>
      <c r="X1139" t="s">
        <v>24121</v>
      </c>
      <c r="Y1139" t="s">
        <v>24122</v>
      </c>
    </row>
    <row r="1140" spans="1:25" x14ac:dyDescent="0.3">
      <c r="A1140">
        <v>56950</v>
      </c>
      <c r="B1140" t="s">
        <v>24123</v>
      </c>
      <c r="C1140" t="s">
        <v>24124</v>
      </c>
      <c r="D1140" t="s">
        <v>24125</v>
      </c>
      <c r="E1140" t="s">
        <v>24126</v>
      </c>
      <c r="F1140" t="s">
        <v>24127</v>
      </c>
      <c r="G1140" t="s">
        <v>24128</v>
      </c>
      <c r="H1140" t="s">
        <v>24129</v>
      </c>
      <c r="I1140">
        <f>-571.209695316649 -4.34957505095085 -927.092451678958</f>
        <v>-1502.651722046558</v>
      </c>
      <c r="J1140" t="s">
        <v>24130</v>
      </c>
      <c r="K1140" t="s">
        <v>24131</v>
      </c>
      <c r="L1140" t="s">
        <v>24132</v>
      </c>
      <c r="M1140" t="s">
        <v>24133</v>
      </c>
      <c r="N1140">
        <f>-634.134406941756 -2.33119930928243 -768.094382692092</f>
        <v>-1404.5599889431305</v>
      </c>
      <c r="O1140">
        <f>-659.939708290867 -139.716154190404 -722.480733739614</f>
        <v>-1522.1365962208852</v>
      </c>
      <c r="P1140">
        <f>-668.244097854923 -118.591433540954 -406.77363911031</f>
        <v>-1193.609170506187</v>
      </c>
      <c r="Q1140">
        <f>-422.650001407634 -42.9389895558102 -446.80224486814</f>
        <v>-912.39123583158425</v>
      </c>
      <c r="R1140" t="s">
        <v>24134</v>
      </c>
      <c r="S1140" t="s">
        <v>24135</v>
      </c>
      <c r="T1140" t="s">
        <v>24136</v>
      </c>
      <c r="U1140" t="s">
        <v>24137</v>
      </c>
      <c r="V1140">
        <f>-645.570768500395 -17.6289517116351 -236.509791687493</f>
        <v>-899.70951189952314</v>
      </c>
      <c r="W1140" t="s">
        <v>24138</v>
      </c>
      <c r="X1140" t="s">
        <v>24139</v>
      </c>
      <c r="Y1140" t="s">
        <v>24140</v>
      </c>
    </row>
    <row r="1141" spans="1:25" x14ac:dyDescent="0.3">
      <c r="A1141">
        <v>57000</v>
      </c>
      <c r="B1141" t="s">
        <v>24141</v>
      </c>
      <c r="C1141" t="s">
        <v>24142</v>
      </c>
      <c r="D1141" t="s">
        <v>24143</v>
      </c>
      <c r="E1141" t="s">
        <v>24144</v>
      </c>
      <c r="F1141" t="s">
        <v>24145</v>
      </c>
      <c r="G1141" t="s">
        <v>24146</v>
      </c>
      <c r="H1141" t="s">
        <v>24147</v>
      </c>
      <c r="I1141">
        <f>-570.667949663126 -4.73878983561106 -927.091005900098</f>
        <v>-1502.4977453988351</v>
      </c>
      <c r="J1141" t="s">
        <v>24148</v>
      </c>
      <c r="K1141" t="s">
        <v>24149</v>
      </c>
      <c r="L1141" t="s">
        <v>24150</v>
      </c>
      <c r="M1141" t="s">
        <v>24151</v>
      </c>
      <c r="N1141">
        <f>-633.700005612308 -2.66198906521269 -768.124578682529</f>
        <v>-1404.4865733600495</v>
      </c>
      <c r="O1141">
        <f>-659.520117498648 -140.045182874798 -722.492738936769</f>
        <v>-1522.058039310215</v>
      </c>
      <c r="P1141">
        <f>-668.061928302074 -118.834002140714 -406.797786076173</f>
        <v>-1193.6937165189611</v>
      </c>
      <c r="Q1141">
        <f>-422.474279398907 -43.1035758043606 -446.718473762491</f>
        <v>-912.29632896575868</v>
      </c>
      <c r="R1141" t="s">
        <v>24152</v>
      </c>
      <c r="S1141" t="s">
        <v>24153</v>
      </c>
      <c r="T1141" t="s">
        <v>24154</v>
      </c>
      <c r="U1141" t="s">
        <v>24155</v>
      </c>
      <c r="V1141">
        <f>-645.498952429636 -17.7661987770784 -236.557334354293</f>
        <v>-899.8224855610074</v>
      </c>
      <c r="W1141" t="s">
        <v>24156</v>
      </c>
      <c r="X1141" t="s">
        <v>24157</v>
      </c>
      <c r="Y1141" t="s">
        <v>24158</v>
      </c>
    </row>
    <row r="1142" spans="1:25" x14ac:dyDescent="0.3">
      <c r="A1142">
        <v>57050</v>
      </c>
      <c r="B1142" t="s">
        <v>24159</v>
      </c>
      <c r="C1142" t="s">
        <v>24160</v>
      </c>
      <c r="D1142" t="s">
        <v>24161</v>
      </c>
      <c r="E1142" t="s">
        <v>24162</v>
      </c>
      <c r="F1142" t="s">
        <v>24163</v>
      </c>
      <c r="G1142" t="s">
        <v>24164</v>
      </c>
      <c r="H1142" t="s">
        <v>24165</v>
      </c>
      <c r="I1142">
        <f>-569.660173886534 -5.40821123549976 -927.186852160405</f>
        <v>-1502.2552372824389</v>
      </c>
      <c r="J1142" t="s">
        <v>24166</v>
      </c>
      <c r="K1142" t="s">
        <v>24167</v>
      </c>
      <c r="L1142" t="s">
        <v>24168</v>
      </c>
      <c r="M1142" t="s">
        <v>24169</v>
      </c>
      <c r="N1142">
        <f>-632.813068539888 -3.31462484101267 -768.253755385454</f>
        <v>-1404.3814487663549</v>
      </c>
      <c r="O1142">
        <f>-658.699244949348 -140.679749746304 -722.58840336317</f>
        <v>-1521.9673980588218</v>
      </c>
      <c r="P1142">
        <f>-667.485769456252 -119.399715333619 -406.904785462141</f>
        <v>-1193.7902702520121</v>
      </c>
      <c r="Q1142">
        <f>-421.868504835255 -43.5623444656738 -446.438383400699</f>
        <v>-911.86923270162788</v>
      </c>
      <c r="R1142" t="s">
        <v>24170</v>
      </c>
      <c r="S1142" t="s">
        <v>24171</v>
      </c>
      <c r="T1142" t="s">
        <v>24172</v>
      </c>
      <c r="U1142" t="s">
        <v>24173</v>
      </c>
      <c r="V1142">
        <f>-645.097201636269 -18.1363513384973 -236.651161984668</f>
        <v>-899.88471495943429</v>
      </c>
      <c r="W1142" t="s">
        <v>24174</v>
      </c>
      <c r="X1142" t="s">
        <v>24175</v>
      </c>
      <c r="Y1142" t="s">
        <v>24176</v>
      </c>
    </row>
    <row r="1143" spans="1:25" x14ac:dyDescent="0.3">
      <c r="A1143">
        <v>57100</v>
      </c>
      <c r="B1143" t="s">
        <v>24177</v>
      </c>
      <c r="C1143" t="s">
        <v>24178</v>
      </c>
      <c r="D1143" t="s">
        <v>24179</v>
      </c>
      <c r="E1143" t="s">
        <v>24180</v>
      </c>
      <c r="F1143" t="s">
        <v>24181</v>
      </c>
      <c r="G1143" t="s">
        <v>24182</v>
      </c>
      <c r="H1143" t="s">
        <v>24183</v>
      </c>
      <c r="I1143">
        <f>-569.083927228279 -5.6622840044145 -927.209704394643</f>
        <v>-1501.9559156273365</v>
      </c>
      <c r="J1143" t="s">
        <v>24184</v>
      </c>
      <c r="K1143" t="s">
        <v>24185</v>
      </c>
      <c r="L1143" t="s">
        <v>24186</v>
      </c>
      <c r="M1143" t="s">
        <v>24187</v>
      </c>
      <c r="N1143">
        <f>-632.281417426761 -3.57478281910603 -768.287607627968</f>
        <v>-1404.1438078738352</v>
      </c>
      <c r="O1143">
        <f>-658.214357693207 -140.932418182203 -722.62727999829</f>
        <v>-1521.7740558737</v>
      </c>
      <c r="P1143">
        <f>-667.128995563297 -119.553509019973 -406.953939546645</f>
        <v>-1193.6364441299152</v>
      </c>
      <c r="Q1143">
        <f>-421.473334276483 -43.7745786069008 -446.360872818783</f>
        <v>-911.60878570216687</v>
      </c>
      <c r="R1143" t="s">
        <v>24188</v>
      </c>
      <c r="S1143" t="s">
        <v>24189</v>
      </c>
      <c r="T1143" t="s">
        <v>24190</v>
      </c>
      <c r="U1143" t="s">
        <v>24191</v>
      </c>
      <c r="V1143">
        <f>-644.774713947883 -18.3286322131546 -236.679484749719</f>
        <v>-899.78283091075662</v>
      </c>
      <c r="W1143" t="s">
        <v>24192</v>
      </c>
      <c r="X1143" t="s">
        <v>24193</v>
      </c>
      <c r="Y1143" t="s">
        <v>24194</v>
      </c>
    </row>
    <row r="1144" spans="1:25" x14ac:dyDescent="0.3">
      <c r="A1144">
        <v>57150</v>
      </c>
      <c r="B1144" t="s">
        <v>24195</v>
      </c>
      <c r="C1144" t="s">
        <v>24196</v>
      </c>
      <c r="D1144" t="s">
        <v>24197</v>
      </c>
      <c r="E1144" t="s">
        <v>24198</v>
      </c>
      <c r="F1144" t="s">
        <v>24199</v>
      </c>
      <c r="G1144" t="s">
        <v>24200</v>
      </c>
      <c r="H1144" t="s">
        <v>24201</v>
      </c>
      <c r="I1144">
        <f>-568.016239241059 -5.9395600764169 -927.143475660619</f>
        <v>-1501.0992749780949</v>
      </c>
      <c r="J1144" t="s">
        <v>24202</v>
      </c>
      <c r="K1144" t="s">
        <v>24203</v>
      </c>
      <c r="L1144" t="s">
        <v>24204</v>
      </c>
      <c r="M1144" t="s">
        <v>24205</v>
      </c>
      <c r="N1144">
        <f>-631.241180328685 -3.9233106492155 -768.226622054572</f>
        <v>-1403.3911130324725</v>
      </c>
      <c r="O1144">
        <f>-657.259593172248 -141.282640315489 -722.603830584301</f>
        <v>-1521.1460640720379</v>
      </c>
      <c r="P1144">
        <f>-666.073936163181 -119.881307370991 -406.929166127308</f>
        <v>-1192.8844096614798</v>
      </c>
      <c r="Q1144">
        <f>-420.227947638182 -44.6142382177 -446.13012150397</f>
        <v>-910.97230735985204</v>
      </c>
      <c r="R1144" t="s">
        <v>24206</v>
      </c>
      <c r="S1144" t="s">
        <v>24207</v>
      </c>
      <c r="T1144" t="s">
        <v>24208</v>
      </c>
      <c r="U1144" t="s">
        <v>24209</v>
      </c>
      <c r="V1144">
        <f>-644.065962964666 -18.7428813730632 -236.627548798186</f>
        <v>-899.43639313591518</v>
      </c>
      <c r="W1144" t="s">
        <v>24210</v>
      </c>
      <c r="X1144" t="s">
        <v>24211</v>
      </c>
      <c r="Y1144" t="s">
        <v>24212</v>
      </c>
    </row>
    <row r="1145" spans="1:25" x14ac:dyDescent="0.3">
      <c r="A1145">
        <v>57200</v>
      </c>
      <c r="B1145" t="s">
        <v>24213</v>
      </c>
      <c r="C1145" t="s">
        <v>24214</v>
      </c>
      <c r="D1145" t="s">
        <v>24215</v>
      </c>
      <c r="E1145" t="s">
        <v>24216</v>
      </c>
      <c r="F1145" t="s">
        <v>24217</v>
      </c>
      <c r="G1145" t="s">
        <v>24218</v>
      </c>
      <c r="H1145" t="s">
        <v>24219</v>
      </c>
      <c r="I1145">
        <f>-567.415036806619 -5.86221629853136 -927.08915280351</f>
        <v>-1500.3664059086605</v>
      </c>
      <c r="J1145" t="s">
        <v>24220</v>
      </c>
      <c r="K1145" t="s">
        <v>24221</v>
      </c>
      <c r="L1145" t="s">
        <v>24222</v>
      </c>
      <c r="M1145" t="s">
        <v>24223</v>
      </c>
      <c r="N1145">
        <f>-630.658959129773 -3.91137737242624 -768.168939500987</f>
        <v>-1402.7392760031862</v>
      </c>
      <c r="O1145">
        <f>-656.761189483375 -141.261123532071 -722.584139519646</f>
        <v>-1520.6064525350921</v>
      </c>
      <c r="P1145">
        <f>-665.569829186227 -119.909041071663 -406.905906232369</f>
        <v>-1192.3847764902589</v>
      </c>
      <c r="Q1145">
        <f>-419.640963760777 -44.8881644145074 -446.058540402584</f>
        <v>-910.5876685778685</v>
      </c>
      <c r="R1145" t="s">
        <v>24224</v>
      </c>
      <c r="S1145" t="s">
        <v>24225</v>
      </c>
      <c r="T1145" t="s">
        <v>24226</v>
      </c>
      <c r="U1145" t="s">
        <v>24227</v>
      </c>
      <c r="V1145">
        <f>-643.675455080299 -18.8719112947769 -236.573654735714</f>
        <v>-899.1210211107898</v>
      </c>
      <c r="W1145" t="s">
        <v>24228</v>
      </c>
      <c r="X1145" t="s">
        <v>24229</v>
      </c>
      <c r="Y1145" t="s">
        <v>24230</v>
      </c>
    </row>
    <row r="1146" spans="1:25" x14ac:dyDescent="0.3">
      <c r="A1146">
        <v>57250</v>
      </c>
      <c r="B1146" t="s">
        <v>24231</v>
      </c>
      <c r="C1146" t="s">
        <v>24232</v>
      </c>
      <c r="D1146" t="s">
        <v>24233</v>
      </c>
      <c r="E1146" t="s">
        <v>24234</v>
      </c>
      <c r="F1146" t="s">
        <v>24235</v>
      </c>
      <c r="G1146" t="s">
        <v>24236</v>
      </c>
      <c r="H1146" t="s">
        <v>24237</v>
      </c>
      <c r="I1146">
        <f>-566.493831151182 -5.52185809717702 -927.033983059351</f>
        <v>-1499.0496723077101</v>
      </c>
      <c r="J1146" t="s">
        <v>24238</v>
      </c>
      <c r="K1146" t="s">
        <v>24239</v>
      </c>
      <c r="L1146" t="s">
        <v>24240</v>
      </c>
      <c r="M1146" t="s">
        <v>24241</v>
      </c>
      <c r="N1146">
        <f>-629.61500301273 -3.77646207527747 -768.047921089959</f>
        <v>-1401.4393861779663</v>
      </c>
      <c r="O1146">
        <f>-655.806148065296 -141.138351275961 -722.54683293657</f>
        <v>-1519.491332277827</v>
      </c>
      <c r="P1146">
        <f>-664.462733499316 -120.060446999829 -406.846204348632</f>
        <v>-1191.3693848477769</v>
      </c>
      <c r="Q1146">
        <f>-418.397182801433 -45.4793899651847 -445.980293014404</f>
        <v>-909.85686578102172</v>
      </c>
      <c r="R1146" t="s">
        <v>24242</v>
      </c>
      <c r="S1146" t="s">
        <v>24243</v>
      </c>
      <c r="T1146" t="s">
        <v>24244</v>
      </c>
      <c r="U1146" t="s">
        <v>24245</v>
      </c>
      <c r="V1146">
        <f>-642.7174929048 -19.1831516695397 -236.426888266623</f>
        <v>-898.3275328409627</v>
      </c>
      <c r="W1146" t="s">
        <v>24246</v>
      </c>
      <c r="X1146" t="s">
        <v>24247</v>
      </c>
      <c r="Y1146" t="s">
        <v>24248</v>
      </c>
    </row>
    <row r="1147" spans="1:25" x14ac:dyDescent="0.3">
      <c r="A1147">
        <v>57300</v>
      </c>
      <c r="B1147" t="s">
        <v>24249</v>
      </c>
      <c r="C1147" t="s">
        <v>24250</v>
      </c>
      <c r="D1147" t="s">
        <v>24251</v>
      </c>
      <c r="E1147" t="s">
        <v>24252</v>
      </c>
      <c r="F1147" t="s">
        <v>24253</v>
      </c>
      <c r="G1147" t="s">
        <v>24254</v>
      </c>
      <c r="H1147" t="s">
        <v>24255</v>
      </c>
      <c r="I1147">
        <f>-566.172103235234 -5.38496885504839 -927.028162544958</f>
        <v>-1498.5852346352403</v>
      </c>
      <c r="J1147" t="s">
        <v>24256</v>
      </c>
      <c r="K1147" t="s">
        <v>24257</v>
      </c>
      <c r="L1147" t="s">
        <v>24258</v>
      </c>
      <c r="M1147" t="s">
        <v>24259</v>
      </c>
      <c r="N1147">
        <f>-629.203690165471 -3.77299096555999 -767.996644654189</f>
        <v>-1400.9733257852199</v>
      </c>
      <c r="O1147">
        <f>-655.438348389506 -141.144683058703 -722.553787681552</f>
        <v>-1519.1368191297611</v>
      </c>
      <c r="P1147">
        <f>-664.01830410603 -120.209404528562 -406.841480793618</f>
        <v>-1191.0691894282099</v>
      </c>
      <c r="Q1147">
        <f>-417.906118938501 -45.7877233399961 -445.985526383237</f>
        <v>-909.67936866173409</v>
      </c>
      <c r="R1147" t="s">
        <v>24260</v>
      </c>
      <c r="S1147" t="s">
        <v>24261</v>
      </c>
      <c r="T1147" t="s">
        <v>24262</v>
      </c>
      <c r="U1147" t="s">
        <v>24263</v>
      </c>
      <c r="V1147">
        <f>-642.205322820259 -19.4599774638205 -236.330507410554</f>
        <v>-897.99580769463341</v>
      </c>
      <c r="W1147" t="s">
        <v>24264</v>
      </c>
      <c r="X1147" t="s">
        <v>24265</v>
      </c>
      <c r="Y1147" t="s">
        <v>24266</v>
      </c>
    </row>
    <row r="1148" spans="1:25" x14ac:dyDescent="0.3">
      <c r="A1148">
        <v>57350</v>
      </c>
      <c r="B1148" t="s">
        <v>24267</v>
      </c>
      <c r="C1148" t="s">
        <v>24268</v>
      </c>
      <c r="D1148" t="s">
        <v>24269</v>
      </c>
      <c r="E1148" t="s">
        <v>24270</v>
      </c>
      <c r="F1148" t="s">
        <v>24271</v>
      </c>
      <c r="G1148" t="s">
        <v>24272</v>
      </c>
      <c r="H1148" t="s">
        <v>24273</v>
      </c>
      <c r="I1148">
        <f>-565.543304193584 -4.8006137024806 -926.932321907493</f>
        <v>-1497.2762398035577</v>
      </c>
      <c r="J1148" t="s">
        <v>24274</v>
      </c>
      <c r="K1148" t="s">
        <v>24275</v>
      </c>
      <c r="L1148" t="s">
        <v>24276</v>
      </c>
      <c r="M1148" t="s">
        <v>24277</v>
      </c>
      <c r="N1148">
        <f>-628.364847124415 -3.53250606470505 -767.798582843597</f>
        <v>-1399.6959360327171</v>
      </c>
      <c r="O1148">
        <f>-654.568970037989 -140.94282597839 -722.454327874177</f>
        <v>-1517.966123890556</v>
      </c>
      <c r="P1148">
        <f>-662.831991490292 -120.193809750416 -406.721179801628</f>
        <v>-1189.7469810423361</v>
      </c>
      <c r="Q1148">
        <f>-416.666805583264 -45.9627095136139 -445.893581062508</f>
        <v>-908.52309615938589</v>
      </c>
      <c r="R1148" t="s">
        <v>24278</v>
      </c>
      <c r="S1148" t="s">
        <v>24279</v>
      </c>
      <c r="T1148" t="s">
        <v>24280</v>
      </c>
      <c r="U1148" t="s">
        <v>24281</v>
      </c>
      <c r="V1148">
        <f>-641.171780093954 -19.7823510295918 -236.064662055491</f>
        <v>-897.01879317903683</v>
      </c>
      <c r="W1148" t="s">
        <v>24282</v>
      </c>
      <c r="X1148" t="s">
        <v>24283</v>
      </c>
      <c r="Y1148" t="s">
        <v>24284</v>
      </c>
    </row>
    <row r="1149" spans="1:25" x14ac:dyDescent="0.3">
      <c r="A1149">
        <v>57400</v>
      </c>
      <c r="B1149" t="s">
        <v>24285</v>
      </c>
      <c r="C1149" t="s">
        <v>24286</v>
      </c>
      <c r="D1149" t="s">
        <v>24287</v>
      </c>
      <c r="E1149" t="s">
        <v>24288</v>
      </c>
      <c r="F1149" t="s">
        <v>24289</v>
      </c>
      <c r="G1149" t="s">
        <v>24290</v>
      </c>
      <c r="H1149" t="s">
        <v>24291</v>
      </c>
      <c r="I1149">
        <f>-565.231443129012 -4.60116589154455 -926.841790458797</f>
        <v>-1496.6743994793535</v>
      </c>
      <c r="J1149" t="s">
        <v>24292</v>
      </c>
      <c r="K1149" t="s">
        <v>24293</v>
      </c>
      <c r="L1149" t="s">
        <v>24294</v>
      </c>
      <c r="M1149" t="s">
        <v>24295</v>
      </c>
      <c r="N1149">
        <f>-627.949756153465 -3.49409172743398 -767.655678147629</f>
        <v>-1399.0995260285281</v>
      </c>
      <c r="O1149">
        <f>-654.11112347144 -140.920813954887 -722.34257331312</f>
        <v>-1517.374510739447</v>
      </c>
      <c r="P1149">
        <f>-662.280581252566 -120.292169290176 -406.5991262909</f>
        <v>-1189.171876833642</v>
      </c>
      <c r="Q1149">
        <f>-416.119924905183 -46.0931456143505 -445.861244638054</f>
        <v>-908.07431515758753</v>
      </c>
      <c r="R1149" t="s">
        <v>24296</v>
      </c>
      <c r="S1149" t="s">
        <v>24297</v>
      </c>
      <c r="T1149" t="s">
        <v>24298</v>
      </c>
      <c r="U1149" t="s">
        <v>24299</v>
      </c>
      <c r="V1149">
        <f>-640.660713835054 -19.9552194028624 -235.909934241851</f>
        <v>-896.5258674797675</v>
      </c>
      <c r="W1149" t="s">
        <v>24300</v>
      </c>
      <c r="X1149" t="s">
        <v>24301</v>
      </c>
      <c r="Y1149" t="s">
        <v>24302</v>
      </c>
    </row>
    <row r="1150" spans="1:25" x14ac:dyDescent="0.3">
      <c r="A1150">
        <v>57450</v>
      </c>
      <c r="B1150" t="s">
        <v>24303</v>
      </c>
      <c r="C1150" t="s">
        <v>24304</v>
      </c>
      <c r="D1150" t="s">
        <v>24305</v>
      </c>
      <c r="E1150" t="s">
        <v>24306</v>
      </c>
      <c r="F1150" t="s">
        <v>24307</v>
      </c>
      <c r="G1150" t="s">
        <v>24308</v>
      </c>
      <c r="H1150" t="s">
        <v>24309</v>
      </c>
      <c r="I1150">
        <f>-564.744886089976 -4.07608020829086 -926.784373120056</f>
        <v>-1495.6053394183227</v>
      </c>
      <c r="J1150" t="s">
        <v>24310</v>
      </c>
      <c r="K1150" t="s">
        <v>24311</v>
      </c>
      <c r="L1150" t="s">
        <v>24312</v>
      </c>
      <c r="M1150" t="s">
        <v>24313</v>
      </c>
      <c r="N1150">
        <f>-627.319487178174 -3.28809908892299 -767.511554238768</f>
        <v>-1398.1191405058648</v>
      </c>
      <c r="O1150">
        <f>-653.353134069826 -140.772486614405 -722.309512679864</f>
        <v>-1516.435133364095</v>
      </c>
      <c r="P1150">
        <f>-661.336139378066 -120.472857805828 -406.539990353331</f>
        <v>-1188.348987537225</v>
      </c>
      <c r="Q1150">
        <f>-415.373622791188 -45.7559278073579 -446.060254716414</f>
        <v>-907.18980531495993</v>
      </c>
      <c r="R1150" t="s">
        <v>24314</v>
      </c>
      <c r="S1150" t="s">
        <v>24315</v>
      </c>
      <c r="T1150" t="s">
        <v>24316</v>
      </c>
      <c r="U1150" t="s">
        <v>24317</v>
      </c>
      <c r="V1150">
        <f>-639.834502882361 -20.0015315882696 -235.690501033098</f>
        <v>-895.52653550372861</v>
      </c>
      <c r="W1150" t="s">
        <v>24318</v>
      </c>
      <c r="X1150" t="s">
        <v>24319</v>
      </c>
      <c r="Y1150" t="s">
        <v>24320</v>
      </c>
    </row>
    <row r="1151" spans="1:25" x14ac:dyDescent="0.3">
      <c r="A1151">
        <v>57500</v>
      </c>
      <c r="B1151" t="s">
        <v>24321</v>
      </c>
      <c r="C1151" t="s">
        <v>24322</v>
      </c>
      <c r="D1151" t="s">
        <v>24323</v>
      </c>
      <c r="E1151" t="s">
        <v>24324</v>
      </c>
      <c r="F1151" t="s">
        <v>24325</v>
      </c>
      <c r="G1151" t="s">
        <v>24326</v>
      </c>
      <c r="H1151" t="s">
        <v>24327</v>
      </c>
      <c r="I1151">
        <f>-564.618420150567 -3.92234329180862 -926.852658340898</f>
        <v>-1495.3934217832734</v>
      </c>
      <c r="J1151" t="s">
        <v>24328</v>
      </c>
      <c r="K1151" t="s">
        <v>24329</v>
      </c>
      <c r="L1151" t="s">
        <v>24330</v>
      </c>
      <c r="M1151" t="s">
        <v>24331</v>
      </c>
      <c r="N1151">
        <f>-627.111462801687 -3.26242910324543 -767.5374104174</f>
        <v>-1397.9113023223324</v>
      </c>
      <c r="O1151">
        <f>-653.08556819403 -140.758818280617 -722.345709080378</f>
        <v>-1516.190095555025</v>
      </c>
      <c r="P1151">
        <f>-660.896771040183 -120.586813665867 -406.563801724684</f>
        <v>-1188.0473864307342</v>
      </c>
      <c r="Q1151">
        <f>-415.004811524634 -45.6896737981111 -446.18240090369</f>
        <v>-906.87688622643509</v>
      </c>
      <c r="R1151" t="s">
        <v>24332</v>
      </c>
      <c r="S1151" t="s">
        <v>24333</v>
      </c>
      <c r="T1151" t="s">
        <v>24334</v>
      </c>
      <c r="U1151" t="s">
        <v>24335</v>
      </c>
      <c r="V1151">
        <f>-639.515563966079 -20.072964170885 -235.6783978384</f>
        <v>-895.26692597536396</v>
      </c>
      <c r="W1151" t="s">
        <v>24336</v>
      </c>
      <c r="X1151" t="s">
        <v>24337</v>
      </c>
      <c r="Y1151" t="s">
        <v>24338</v>
      </c>
    </row>
    <row r="1152" spans="1:25" x14ac:dyDescent="0.3">
      <c r="A1152">
        <v>57550</v>
      </c>
      <c r="B1152" t="s">
        <v>24339</v>
      </c>
      <c r="C1152" t="s">
        <v>24340</v>
      </c>
      <c r="D1152" t="s">
        <v>24341</v>
      </c>
      <c r="E1152" t="s">
        <v>24342</v>
      </c>
      <c r="F1152" t="s">
        <v>24343</v>
      </c>
      <c r="G1152" t="s">
        <v>24344</v>
      </c>
      <c r="H1152" t="s">
        <v>24345</v>
      </c>
      <c r="I1152">
        <f>-564.184297491346 -3.94108948144964 -927.075077996903</f>
        <v>-1495.2004649696987</v>
      </c>
      <c r="J1152" t="s">
        <v>24346</v>
      </c>
      <c r="K1152" t="s">
        <v>24347</v>
      </c>
      <c r="L1152" t="s">
        <v>24348</v>
      </c>
      <c r="M1152" t="s">
        <v>24349</v>
      </c>
      <c r="N1152">
        <f>-626.61774966281 -3.51528304366589 -767.710745834677</f>
        <v>-1397.8437785411529</v>
      </c>
      <c r="O1152">
        <f>-652.418350471606 -141.069494458478 -722.564137573056</f>
        <v>-1516.0519825031402</v>
      </c>
      <c r="P1152">
        <f>-660.138545825727 -120.929049613728 -406.77779765618</f>
        <v>-1187.845393095635</v>
      </c>
      <c r="Q1152">
        <f>-414.297459857191 -45.9172796442791 -446.494795944705</f>
        <v>-906.7095354461751</v>
      </c>
      <c r="R1152" t="s">
        <v>24350</v>
      </c>
      <c r="S1152" t="s">
        <v>24351</v>
      </c>
      <c r="T1152" t="s">
        <v>24352</v>
      </c>
      <c r="U1152" t="s">
        <v>24353</v>
      </c>
      <c r="V1152">
        <f>-639.116246540776 -20.3804161800905 -235.738605107049</f>
        <v>-895.23526782791555</v>
      </c>
      <c r="W1152" t="s">
        <v>24354</v>
      </c>
      <c r="X1152" t="s">
        <v>24355</v>
      </c>
      <c r="Y1152" t="s">
        <v>24356</v>
      </c>
    </row>
    <row r="1153" spans="1:25" x14ac:dyDescent="0.3">
      <c r="A1153">
        <v>57600</v>
      </c>
      <c r="B1153" t="s">
        <v>24357</v>
      </c>
      <c r="C1153" t="s">
        <v>24358</v>
      </c>
      <c r="D1153" t="s">
        <v>24359</v>
      </c>
      <c r="E1153" t="s">
        <v>24360</v>
      </c>
      <c r="F1153" t="s">
        <v>24361</v>
      </c>
      <c r="G1153" t="s">
        <v>24362</v>
      </c>
      <c r="H1153" t="s">
        <v>24363</v>
      </c>
      <c r="I1153">
        <f>-564.306602786448 -3.69566098396108 -927.267276224606</f>
        <v>-1495.2695399950151</v>
      </c>
      <c r="J1153" t="s">
        <v>24364</v>
      </c>
      <c r="K1153" t="s">
        <v>24365</v>
      </c>
      <c r="L1153" t="s">
        <v>24366</v>
      </c>
      <c r="M1153" t="s">
        <v>24367</v>
      </c>
      <c r="N1153">
        <f>-626.663331179633 -3.42424481931882 -767.868989242431</f>
        <v>-1397.9565652413828</v>
      </c>
      <c r="O1153">
        <f>-652.380361828536 -140.998520137684 -722.737273803383</f>
        <v>-1516.116155769603</v>
      </c>
      <c r="P1153">
        <f>-660.107625180873 -120.897384701754 -406.948749834472</f>
        <v>-1187.953759717099</v>
      </c>
      <c r="Q1153">
        <f>-414.327781321495 -45.7068628946281 -446.706947688315</f>
        <v>-906.74159190443811</v>
      </c>
      <c r="R1153" t="s">
        <v>24368</v>
      </c>
      <c r="S1153" t="s">
        <v>24369</v>
      </c>
      <c r="T1153" t="s">
        <v>24370</v>
      </c>
      <c r="U1153" t="s">
        <v>24371</v>
      </c>
      <c r="V1153">
        <f>-638.989634885767 -20.4484016258267 -235.806980839712</f>
        <v>-895.24501735130571</v>
      </c>
      <c r="W1153" t="s">
        <v>24372</v>
      </c>
      <c r="X1153" t="s">
        <v>24373</v>
      </c>
      <c r="Y1153" t="s">
        <v>24374</v>
      </c>
    </row>
    <row r="1154" spans="1:25" x14ac:dyDescent="0.3">
      <c r="A1154">
        <v>57650</v>
      </c>
      <c r="B1154" t="s">
        <v>24375</v>
      </c>
      <c r="C1154" t="s">
        <v>24376</v>
      </c>
      <c r="D1154" t="s">
        <v>24377</v>
      </c>
      <c r="E1154" t="s">
        <v>24378</v>
      </c>
      <c r="F1154" t="s">
        <v>24379</v>
      </c>
      <c r="G1154" t="s">
        <v>24380</v>
      </c>
      <c r="H1154" t="s">
        <v>24381</v>
      </c>
      <c r="I1154">
        <f>-563.700543122109 -3.23509534439676 -927.506183033258</f>
        <v>-1494.4418214997638</v>
      </c>
      <c r="J1154" t="s">
        <v>24382</v>
      </c>
      <c r="K1154" t="s">
        <v>24383</v>
      </c>
      <c r="L1154" t="s">
        <v>24384</v>
      </c>
      <c r="M1154" t="s">
        <v>24385</v>
      </c>
      <c r="N1154">
        <f>-626.086171234885 -3.23678074308318 -768.106328269561</f>
        <v>-1397.4292802475293</v>
      </c>
      <c r="O1154">
        <f>-651.614980034351 -140.885721470284 -723.085786810515</f>
        <v>-1515.5864883151498</v>
      </c>
      <c r="P1154">
        <f>-659.513086385899 -120.817869895322 -407.29927767476</f>
        <v>-1187.6302339559811</v>
      </c>
      <c r="Q1154">
        <f>-413.740523598408 -45.5747580105021 -447.002790341244</f>
        <v>-906.31807195015404</v>
      </c>
      <c r="R1154" t="s">
        <v>24386</v>
      </c>
      <c r="S1154" t="s">
        <v>24387</v>
      </c>
      <c r="T1154" t="s">
        <v>24388</v>
      </c>
      <c r="U1154" t="s">
        <v>24389</v>
      </c>
      <c r="V1154">
        <f>-638.827443393409 -20.5970417995989 -235.944640664305</f>
        <v>-895.36912585731284</v>
      </c>
      <c r="W1154" t="s">
        <v>24390</v>
      </c>
      <c r="X1154" t="s">
        <v>24391</v>
      </c>
      <c r="Y1154" t="s">
        <v>24392</v>
      </c>
    </row>
    <row r="1155" spans="1:25" x14ac:dyDescent="0.3">
      <c r="A1155">
        <v>57700</v>
      </c>
      <c r="B1155" t="s">
        <v>24393</v>
      </c>
      <c r="C1155" t="s">
        <v>24394</v>
      </c>
      <c r="D1155" t="s">
        <v>24395</v>
      </c>
      <c r="E1155" t="s">
        <v>24396</v>
      </c>
      <c r="F1155" t="s">
        <v>24397</v>
      </c>
      <c r="G1155" t="s">
        <v>24398</v>
      </c>
      <c r="H1155" t="s">
        <v>24399</v>
      </c>
      <c r="I1155">
        <f>-563.458696035472 -2.93670052627217 -927.602191267076</f>
        <v>-1493.9975878288201</v>
      </c>
      <c r="J1155" t="s">
        <v>24400</v>
      </c>
      <c r="K1155" t="s">
        <v>24401</v>
      </c>
      <c r="L1155" t="s">
        <v>24402</v>
      </c>
      <c r="M1155" t="s">
        <v>24403</v>
      </c>
      <c r="N1155">
        <f>-625.904374791408 -3.07599133761401 -768.220948621697</f>
        <v>-1397.2013147507191</v>
      </c>
      <c r="O1155">
        <f>-651.371673562809 -140.74198377594 -723.243070893839</f>
        <v>-1515.356728232588</v>
      </c>
      <c r="P1155">
        <f>-659.252374997981 -120.8922494277 -407.442437257076</f>
        <v>-1187.5870616827569</v>
      </c>
      <c r="Q1155">
        <f>-413.502100506868 -45.5632310120087 -447.120999334007</f>
        <v>-906.18633085288366</v>
      </c>
      <c r="R1155" t="s">
        <v>24404</v>
      </c>
      <c r="S1155" t="s">
        <v>24405</v>
      </c>
      <c r="T1155" t="s">
        <v>24406</v>
      </c>
      <c r="U1155" t="s">
        <v>24407</v>
      </c>
      <c r="V1155">
        <f>-638.870707670533 -20.6585946547719 -236.014079689501</f>
        <v>-895.54338201480596</v>
      </c>
      <c r="W1155" t="s">
        <v>24408</v>
      </c>
      <c r="X1155" t="s">
        <v>24409</v>
      </c>
      <c r="Y1155" t="s">
        <v>24410</v>
      </c>
    </row>
    <row r="1156" spans="1:25" x14ac:dyDescent="0.3">
      <c r="A1156">
        <v>57750</v>
      </c>
      <c r="B1156" t="s">
        <v>24411</v>
      </c>
      <c r="C1156" t="s">
        <v>24412</v>
      </c>
      <c r="D1156" t="s">
        <v>24413</v>
      </c>
      <c r="E1156" t="s">
        <v>24414</v>
      </c>
      <c r="F1156" t="s">
        <v>24415</v>
      </c>
      <c r="G1156" t="s">
        <v>24416</v>
      </c>
      <c r="H1156" t="s">
        <v>24417</v>
      </c>
      <c r="I1156">
        <f>-563.113227145967 -3.16439332279471 -927.711214315176</f>
        <v>-1493.9888347839378</v>
      </c>
      <c r="J1156" t="s">
        <v>24418</v>
      </c>
      <c r="K1156" t="s">
        <v>24419</v>
      </c>
      <c r="L1156" t="s">
        <v>24420</v>
      </c>
      <c r="M1156" t="s">
        <v>24421</v>
      </c>
      <c r="N1156">
        <f>-625.650009289754 -3.36359102735584 -768.346340991548</f>
        <v>-1397.3599413086579</v>
      </c>
      <c r="O1156">
        <f>-651.053545686999 -141.033769557682 -723.369245094584</f>
        <v>-1515.456560339265</v>
      </c>
      <c r="P1156">
        <f>-659.202790082989 -121.153751479321 -407.577316918436</f>
        <v>-1187.933858480746</v>
      </c>
      <c r="Q1156">
        <f>-413.371524326542 -45.969255028054 -447.027801794148</f>
        <v>-906.36858114874394</v>
      </c>
      <c r="R1156" t="s">
        <v>24422</v>
      </c>
      <c r="S1156" t="s">
        <v>24423</v>
      </c>
      <c r="T1156" t="s">
        <v>24424</v>
      </c>
      <c r="U1156" t="s">
        <v>24425</v>
      </c>
      <c r="V1156">
        <f>-638.846509918732 -20.8653834803967 -236.121184083291</f>
        <v>-895.83307748241975</v>
      </c>
      <c r="W1156" t="s">
        <v>24426</v>
      </c>
      <c r="X1156" t="s">
        <v>24427</v>
      </c>
      <c r="Y1156" t="s">
        <v>24428</v>
      </c>
    </row>
    <row r="1157" spans="1:25" x14ac:dyDescent="0.3">
      <c r="A1157">
        <v>57800</v>
      </c>
      <c r="B1157" t="s">
        <v>24429</v>
      </c>
      <c r="C1157" t="s">
        <v>24430</v>
      </c>
      <c r="D1157" t="s">
        <v>24431</v>
      </c>
      <c r="E1157" t="s">
        <v>24432</v>
      </c>
      <c r="F1157" t="s">
        <v>24433</v>
      </c>
      <c r="G1157" t="s">
        <v>24434</v>
      </c>
      <c r="H1157" t="s">
        <v>24435</v>
      </c>
      <c r="I1157">
        <f>-562.914015891579 -3.22941292807517 -927.724163209987</f>
        <v>-1493.8675920296409</v>
      </c>
      <c r="J1157" t="s">
        <v>24436</v>
      </c>
      <c r="K1157" t="s">
        <v>24437</v>
      </c>
      <c r="L1157" t="s">
        <v>24438</v>
      </c>
      <c r="M1157" t="s">
        <v>24439</v>
      </c>
      <c r="N1157">
        <f>-625.454489047708 -3.43798859022024 -768.352334194025</f>
        <v>-1397.2448118319533</v>
      </c>
      <c r="O1157">
        <f>-650.818224158477 -141.123423473431 -723.377722785331</f>
        <v>-1515.319370417239</v>
      </c>
      <c r="P1157">
        <f>-659.056797584385 -121.15918595422 -407.593404076111</f>
        <v>-1187.8093876147159</v>
      </c>
      <c r="Q1157">
        <f>-413.104002347802 -46.2916091395076 -446.888649786188</f>
        <v>-906.28426127349758</v>
      </c>
      <c r="R1157" t="s">
        <v>24440</v>
      </c>
      <c r="S1157" t="s">
        <v>24441</v>
      </c>
      <c r="T1157" t="s">
        <v>24442</v>
      </c>
      <c r="U1157" t="s">
        <v>24443</v>
      </c>
      <c r="V1157">
        <f>-638.830702618777 -20.8699284952215 -236.144473352411</f>
        <v>-895.84510446640957</v>
      </c>
      <c r="W1157" t="s">
        <v>24444</v>
      </c>
      <c r="X1157" t="s">
        <v>24445</v>
      </c>
      <c r="Y1157" t="s">
        <v>24446</v>
      </c>
    </row>
    <row r="1158" spans="1:25" x14ac:dyDescent="0.3">
      <c r="A1158">
        <v>57850</v>
      </c>
      <c r="B1158" t="s">
        <v>24447</v>
      </c>
      <c r="C1158" t="s">
        <v>24448</v>
      </c>
      <c r="D1158" t="s">
        <v>24449</v>
      </c>
      <c r="E1158" t="s">
        <v>24450</v>
      </c>
      <c r="F1158" t="s">
        <v>24451</v>
      </c>
      <c r="G1158" t="s">
        <v>24452</v>
      </c>
      <c r="H1158" t="s">
        <v>24453</v>
      </c>
      <c r="I1158">
        <f>-562.997635859317 -3.48119234939851 -927.713384293727</f>
        <v>-1494.1922125024425</v>
      </c>
      <c r="J1158" t="s">
        <v>24454</v>
      </c>
      <c r="K1158" t="s">
        <v>24455</v>
      </c>
      <c r="L1158" t="s">
        <v>24456</v>
      </c>
      <c r="M1158" t="s">
        <v>24457</v>
      </c>
      <c r="N1158">
        <f>-625.555132543745 -3.66226539653348 -768.334423144622</f>
        <v>-1397.5518210849004</v>
      </c>
      <c r="O1158">
        <f>-650.958165944665 -141.322434693846 -723.318979924831</f>
        <v>-1515.599580563342</v>
      </c>
      <c r="P1158">
        <f>-659.495714469526 -120.770887951209 -407.580215573648</f>
        <v>-1187.8468179943829</v>
      </c>
      <c r="Q1158">
        <f>-413.36961811335 -46.8666145303288 -447.60770408465</f>
        <v>-907.8439367283288</v>
      </c>
      <c r="R1158" t="s">
        <v>24458</v>
      </c>
      <c r="S1158" t="s">
        <v>24459</v>
      </c>
      <c r="T1158" t="s">
        <v>24460</v>
      </c>
      <c r="U1158" t="s">
        <v>24461</v>
      </c>
      <c r="V1158">
        <f>-638.907022607131 -21.0445231328518 -236.177619722725</f>
        <v>-896.12916546270787</v>
      </c>
      <c r="W1158" t="s">
        <v>24462</v>
      </c>
      <c r="X1158" t="s">
        <v>24463</v>
      </c>
      <c r="Y1158" t="s">
        <v>24464</v>
      </c>
    </row>
    <row r="1159" spans="1:25" x14ac:dyDescent="0.3">
      <c r="A1159">
        <v>57900</v>
      </c>
      <c r="B1159" t="s">
        <v>24465</v>
      </c>
      <c r="C1159" t="s">
        <v>24466</v>
      </c>
      <c r="D1159" t="s">
        <v>24467</v>
      </c>
      <c r="E1159" t="s">
        <v>24468</v>
      </c>
      <c r="F1159" t="s">
        <v>24469</v>
      </c>
      <c r="G1159" t="s">
        <v>24470</v>
      </c>
      <c r="H1159" t="s">
        <v>24471</v>
      </c>
      <c r="I1159">
        <f>-562.868424699275 -3.56061173613573 -927.676740297446</f>
        <v>-1494.1057767328566</v>
      </c>
      <c r="J1159" t="s">
        <v>24472</v>
      </c>
      <c r="K1159" t="s">
        <v>24473</v>
      </c>
      <c r="L1159" t="s">
        <v>24474</v>
      </c>
      <c r="M1159" t="s">
        <v>24475</v>
      </c>
      <c r="N1159">
        <f>-625.455821664987 -3.69346281598497 -768.304509345592</f>
        <v>-1397.4537938265639</v>
      </c>
      <c r="O1159">
        <f>-650.952968557124 -141.338488820009 -723.273929132466</f>
        <v>-1515.565386509599</v>
      </c>
      <c r="P1159">
        <f>-659.497478320632 -120.695202208943 -407.541315270329</f>
        <v>-1187.7339957999041</v>
      </c>
      <c r="Q1159">
        <f>-413.355792484964 -47.1862247104384 -448.195407040823</f>
        <v>-908.73742423622548</v>
      </c>
      <c r="R1159" t="s">
        <v>24476</v>
      </c>
      <c r="S1159" t="s">
        <v>24477</v>
      </c>
      <c r="T1159" t="s">
        <v>24478</v>
      </c>
      <c r="U1159" t="s">
        <v>24479</v>
      </c>
      <c r="V1159">
        <f>-638.902931643159 -21.0446845599196 -236.190343389725</f>
        <v>-896.13795959280355</v>
      </c>
      <c r="W1159" t="s">
        <v>24480</v>
      </c>
      <c r="X1159" t="s">
        <v>24481</v>
      </c>
      <c r="Y1159" t="s">
        <v>24482</v>
      </c>
    </row>
    <row r="1160" spans="1:25" x14ac:dyDescent="0.3">
      <c r="A1160">
        <v>57950</v>
      </c>
      <c r="B1160" t="s">
        <v>24483</v>
      </c>
      <c r="C1160" t="s">
        <v>24484</v>
      </c>
      <c r="D1160" t="s">
        <v>24485</v>
      </c>
      <c r="E1160" t="s">
        <v>24486</v>
      </c>
      <c r="F1160" t="s">
        <v>24487</v>
      </c>
      <c r="G1160" t="s">
        <v>24488</v>
      </c>
      <c r="H1160" t="s">
        <v>24489</v>
      </c>
      <c r="I1160">
        <f>-562.977323063477 -3.35201252251604 -927.652858166951</f>
        <v>-1493.9821937529441</v>
      </c>
      <c r="J1160" t="s">
        <v>24490</v>
      </c>
      <c r="K1160" t="s">
        <v>24491</v>
      </c>
      <c r="L1160" t="s">
        <v>24492</v>
      </c>
      <c r="M1160" t="s">
        <v>24493</v>
      </c>
      <c r="N1160">
        <f>-625.58814658979 -3.40386313135583 -768.292171431707</f>
        <v>-1397.2841811528529</v>
      </c>
      <c r="O1160">
        <f>-651.36714840152 -140.995937723968 -723.256334061192</f>
        <v>-1515.6194201866801</v>
      </c>
      <c r="P1160">
        <f>-659.612438927295 -120.309013252448 -407.518746500799</f>
        <v>-1187.4401986805419</v>
      </c>
      <c r="Q1160">
        <f>-413.35951848433 -47.271880130046 -448.349088966221</f>
        <v>-908.98048758059701</v>
      </c>
      <c r="R1160" t="s">
        <v>24494</v>
      </c>
      <c r="S1160" t="s">
        <v>24495</v>
      </c>
      <c r="T1160" t="s">
        <v>24496</v>
      </c>
      <c r="U1160" t="s">
        <v>24497</v>
      </c>
      <c r="V1160">
        <f>-639.100078084512 -20.9147292335017 -236.180884586188</f>
        <v>-896.19569190420168</v>
      </c>
      <c r="W1160" t="s">
        <v>24498</v>
      </c>
      <c r="X1160" t="s">
        <v>24499</v>
      </c>
      <c r="Y1160" t="s">
        <v>24500</v>
      </c>
    </row>
    <row r="1161" spans="1:25" x14ac:dyDescent="0.3">
      <c r="A1161">
        <v>58000</v>
      </c>
      <c r="B1161" t="s">
        <v>24501</v>
      </c>
      <c r="C1161" t="s">
        <v>24502</v>
      </c>
      <c r="D1161" t="s">
        <v>24503</v>
      </c>
      <c r="E1161" t="s">
        <v>24504</v>
      </c>
      <c r="F1161" t="s">
        <v>24505</v>
      </c>
      <c r="G1161" t="s">
        <v>24506</v>
      </c>
      <c r="H1161" t="s">
        <v>24507</v>
      </c>
      <c r="I1161">
        <f>-562.952885619539 -3.47014797754623 -927.610019617651</f>
        <v>-1494.0330532147364</v>
      </c>
      <c r="J1161" t="s">
        <v>24508</v>
      </c>
      <c r="K1161" t="s">
        <v>24509</v>
      </c>
      <c r="L1161" t="s">
        <v>24510</v>
      </c>
      <c r="M1161" t="s">
        <v>24511</v>
      </c>
      <c r="N1161">
        <f>-625.562317488787 -3.43154761064354 -768.248168545763</f>
        <v>-1397.2420336451935</v>
      </c>
      <c r="O1161">
        <f>-651.429680089946 -141.000961378312 -723.213462265765</f>
        <v>-1515.644103734023</v>
      </c>
      <c r="P1161">
        <f>-659.732125434467 -120.272925767779 -407.480012796624</f>
        <v>-1187.4850639988699</v>
      </c>
      <c r="Q1161">
        <f>-413.417552920204 -47.4682507842706 -448.353874468421</f>
        <v>-909.23967817289554</v>
      </c>
      <c r="R1161" t="s">
        <v>24512</v>
      </c>
      <c r="S1161" t="s">
        <v>24513</v>
      </c>
      <c r="T1161" t="s">
        <v>24514</v>
      </c>
      <c r="U1161" t="s">
        <v>24515</v>
      </c>
      <c r="V1161">
        <f>-639.105658477715 -20.8418795790983 -236.170860804095</f>
        <v>-896.11839886090831</v>
      </c>
      <c r="W1161" t="s">
        <v>24516</v>
      </c>
      <c r="X1161" t="s">
        <v>24517</v>
      </c>
      <c r="Y1161" t="s">
        <v>24518</v>
      </c>
    </row>
    <row r="1162" spans="1:25" x14ac:dyDescent="0.3">
      <c r="A1162">
        <v>58050</v>
      </c>
      <c r="B1162" t="s">
        <v>24519</v>
      </c>
      <c r="C1162" t="s">
        <v>24520</v>
      </c>
      <c r="D1162" t="s">
        <v>24521</v>
      </c>
      <c r="E1162" t="s">
        <v>24522</v>
      </c>
      <c r="F1162" t="s">
        <v>24523</v>
      </c>
      <c r="G1162" t="s">
        <v>24524</v>
      </c>
      <c r="H1162" t="s">
        <v>24525</v>
      </c>
      <c r="I1162">
        <f>-563.147550754985 -3.36795441611464 -927.577244095603</f>
        <v>-1494.0927492667026</v>
      </c>
      <c r="J1162" t="s">
        <v>24526</v>
      </c>
      <c r="K1162" t="s">
        <v>24527</v>
      </c>
      <c r="L1162" t="s">
        <v>24528</v>
      </c>
      <c r="M1162" t="s">
        <v>24529</v>
      </c>
      <c r="N1162">
        <f>-625.737147507861 -3.2508604437176 -768.210549263217</f>
        <v>-1397.1985572147955</v>
      </c>
      <c r="O1162">
        <f>-651.861306603558 -140.770954903756 -723.160132095019</f>
        <v>-1515.792393602333</v>
      </c>
      <c r="P1162">
        <f>-660.119208272304 -120.384477955008 -407.403284254257</f>
        <v>-1187.906970481569</v>
      </c>
      <c r="Q1162">
        <f>-413.806564020052 -47.4948137464494 -448.137056634431</f>
        <v>-909.43843440093246</v>
      </c>
      <c r="R1162" t="s">
        <v>24530</v>
      </c>
      <c r="S1162" t="s">
        <v>24531</v>
      </c>
      <c r="T1162" t="s">
        <v>24532</v>
      </c>
      <c r="U1162" t="s">
        <v>24533</v>
      </c>
      <c r="V1162">
        <f>-639.247646278239 -20.7636331893895 -236.129444681521</f>
        <v>-896.14072414914949</v>
      </c>
      <c r="W1162" t="s">
        <v>24534</v>
      </c>
      <c r="X1162" t="s">
        <v>24535</v>
      </c>
      <c r="Y1162" t="s">
        <v>24536</v>
      </c>
    </row>
    <row r="1163" spans="1:25" x14ac:dyDescent="0.3">
      <c r="A1163">
        <v>58100</v>
      </c>
      <c r="B1163" t="s">
        <v>24537</v>
      </c>
      <c r="C1163" t="s">
        <v>24538</v>
      </c>
      <c r="D1163" t="s">
        <v>24539</v>
      </c>
      <c r="E1163" t="s">
        <v>24540</v>
      </c>
      <c r="F1163" t="s">
        <v>24541</v>
      </c>
      <c r="G1163" t="s">
        <v>24542</v>
      </c>
      <c r="H1163" t="s">
        <v>24543</v>
      </c>
      <c r="I1163">
        <f>-563.244811587788 -3.33060486840137 -927.570725367661</f>
        <v>-1494.1461418238505</v>
      </c>
      <c r="J1163" t="s">
        <v>24544</v>
      </c>
      <c r="K1163" t="s">
        <v>24545</v>
      </c>
      <c r="L1163" t="s">
        <v>24546</v>
      </c>
      <c r="M1163" t="s">
        <v>24547</v>
      </c>
      <c r="N1163">
        <f>-625.82062119755 -3.16315422469588 -768.201953993736</f>
        <v>-1397.1857294159818</v>
      </c>
      <c r="O1163">
        <f>-652.00955623306 -140.677319913327 -723.162369330894</f>
        <v>-1515.8492454772809</v>
      </c>
      <c r="P1163">
        <f>-660.302699697435 -120.144087700679 -407.415814449523</f>
        <v>-1187.8626018476368</v>
      </c>
      <c r="Q1163">
        <f>-413.997754205424 -47.1302261523857 -447.973109986821</f>
        <v>-909.10109034463062</v>
      </c>
      <c r="R1163" t="s">
        <v>24548</v>
      </c>
      <c r="S1163" t="s">
        <v>24549</v>
      </c>
      <c r="T1163" t="s">
        <v>24550</v>
      </c>
      <c r="U1163" t="s">
        <v>24551</v>
      </c>
      <c r="V1163">
        <f>-639.267633084086 -20.6954521967808 -236.12589003855</f>
        <v>-896.08897531941682</v>
      </c>
      <c r="W1163" t="s">
        <v>24552</v>
      </c>
      <c r="X1163" t="s">
        <v>24553</v>
      </c>
      <c r="Y1163" t="s">
        <v>24554</v>
      </c>
    </row>
    <row r="1164" spans="1:25" x14ac:dyDescent="0.3">
      <c r="A1164">
        <v>58150</v>
      </c>
      <c r="B1164" t="s">
        <v>24555</v>
      </c>
      <c r="C1164" t="s">
        <v>24556</v>
      </c>
      <c r="D1164" t="s">
        <v>24557</v>
      </c>
      <c r="E1164" t="s">
        <v>24558</v>
      </c>
      <c r="F1164" t="s">
        <v>24559</v>
      </c>
      <c r="G1164" t="s">
        <v>24560</v>
      </c>
      <c r="H1164" t="s">
        <v>24561</v>
      </c>
      <c r="I1164">
        <f>-563.502524035748 -3.12051537111829 -927.618409453179</f>
        <v>-1494.2414488600452</v>
      </c>
      <c r="J1164" t="s">
        <v>24562</v>
      </c>
      <c r="K1164" t="s">
        <v>24563</v>
      </c>
      <c r="L1164" t="s">
        <v>24564</v>
      </c>
      <c r="M1164" t="s">
        <v>24565</v>
      </c>
      <c r="N1164">
        <f>-626.074119084753 -2.91515757575361 -768.252176917557</f>
        <v>-1397.2414535780636</v>
      </c>
      <c r="O1164">
        <f>-652.350490899496 -140.400159909691 -723.171273149066</f>
        <v>-1515.921923958253</v>
      </c>
      <c r="P1164">
        <f>-660.568490209429 -119.693159995945 -407.434274029114</f>
        <v>-1187.6959242344881</v>
      </c>
      <c r="Q1164">
        <f>-414.21904044428 -46.5946058662582 -447.566825045528</f>
        <v>-908.38047135606621</v>
      </c>
      <c r="R1164" t="s">
        <v>24566</v>
      </c>
      <c r="S1164" t="s">
        <v>24567</v>
      </c>
      <c r="T1164" t="s">
        <v>24568</v>
      </c>
      <c r="U1164" t="s">
        <v>24569</v>
      </c>
      <c r="V1164">
        <f>-639.42870668183 -20.4262335573713 -236.155668702246</f>
        <v>-896.01060894144734</v>
      </c>
      <c r="W1164" t="s">
        <v>24570</v>
      </c>
      <c r="X1164" t="s">
        <v>24571</v>
      </c>
      <c r="Y1164" t="s">
        <v>24572</v>
      </c>
    </row>
    <row r="1165" spans="1:25" x14ac:dyDescent="0.3">
      <c r="A1165">
        <v>58200</v>
      </c>
      <c r="B1165" t="s">
        <v>24573</v>
      </c>
      <c r="C1165" t="s">
        <v>24574</v>
      </c>
      <c r="D1165" t="s">
        <v>24575</v>
      </c>
      <c r="E1165" t="s">
        <v>24576</v>
      </c>
      <c r="F1165" t="s">
        <v>24577</v>
      </c>
      <c r="G1165" t="s">
        <v>24578</v>
      </c>
      <c r="H1165" t="s">
        <v>24579</v>
      </c>
      <c r="I1165">
        <f>-563.531688654253 -2.9533320061385 -927.647251908418</f>
        <v>-1494.1322725688094</v>
      </c>
      <c r="J1165" t="s">
        <v>24580</v>
      </c>
      <c r="K1165" t="s">
        <v>24581</v>
      </c>
      <c r="L1165" t="s">
        <v>24582</v>
      </c>
      <c r="M1165" t="s">
        <v>24583</v>
      </c>
      <c r="N1165">
        <f>-626.124857394799 -2.74486238134979 -768.2924374359</f>
        <v>-1397.1621572120489</v>
      </c>
      <c r="O1165">
        <f>-652.416674827133 -140.228907107076 -723.221647097407</f>
        <v>-1515.8672290316158</v>
      </c>
      <c r="P1165">
        <f>-660.641265516714 -119.544723783351 -407.48337193038</f>
        <v>-1187.669361230445</v>
      </c>
      <c r="Q1165">
        <f>-414.300842634588 -46.2872684483197 -447.380378126057</f>
        <v>-907.96848920896468</v>
      </c>
      <c r="R1165" t="s">
        <v>24584</v>
      </c>
      <c r="S1165" t="s">
        <v>24585</v>
      </c>
      <c r="T1165" t="s">
        <v>24586</v>
      </c>
      <c r="U1165" t="s">
        <v>24587</v>
      </c>
      <c r="V1165">
        <f>-639.529773708677 -20.2669251247819 -236.18534971827</f>
        <v>-895.98204855172889</v>
      </c>
      <c r="W1165" t="s">
        <v>24588</v>
      </c>
      <c r="X1165" t="s">
        <v>24589</v>
      </c>
      <c r="Y1165" t="s">
        <v>24590</v>
      </c>
    </row>
    <row r="1166" spans="1:25" x14ac:dyDescent="0.3">
      <c r="A1166">
        <v>58250</v>
      </c>
      <c r="B1166" t="s">
        <v>24591</v>
      </c>
      <c r="C1166" t="s">
        <v>24592</v>
      </c>
      <c r="D1166" t="s">
        <v>24593</v>
      </c>
      <c r="E1166" t="s">
        <v>24594</v>
      </c>
      <c r="F1166" t="s">
        <v>24595</v>
      </c>
      <c r="G1166" t="s">
        <v>24596</v>
      </c>
      <c r="H1166" t="s">
        <v>24597</v>
      </c>
      <c r="I1166">
        <f>-563.973906728359 -2.8026188047893 -927.728092273106</f>
        <v>-1494.5046178062544</v>
      </c>
      <c r="J1166" t="s">
        <v>24598</v>
      </c>
      <c r="K1166" t="s">
        <v>24599</v>
      </c>
      <c r="L1166" t="s">
        <v>24600</v>
      </c>
      <c r="M1166" t="s">
        <v>24601</v>
      </c>
      <c r="N1166">
        <f>-626.571159157899 -2.60218433142425 -768.383935254906</f>
        <v>-1397.5572787442293</v>
      </c>
      <c r="O1166">
        <f>-652.809728173731 -140.092867351317 -723.319852920169</f>
        <v>-1516.2224484452167</v>
      </c>
      <c r="P1166">
        <f>-661.077426566607 -119.31071754525 -407.589060823687</f>
        <v>-1187.977204935544</v>
      </c>
      <c r="Q1166">
        <f>-414.792217529954 -45.9007120671225 -447.546630933736</f>
        <v>-908.23956053081247</v>
      </c>
      <c r="R1166" t="s">
        <v>24602</v>
      </c>
      <c r="S1166" t="s">
        <v>24603</v>
      </c>
      <c r="T1166" t="s">
        <v>24604</v>
      </c>
      <c r="U1166" t="s">
        <v>24605</v>
      </c>
      <c r="V1166">
        <f>-639.885082749873 -20.1457861269068 -236.236004740138</f>
        <v>-896.26687361691791</v>
      </c>
      <c r="W1166" t="s">
        <v>24606</v>
      </c>
      <c r="X1166" t="s">
        <v>24607</v>
      </c>
      <c r="Y1166" t="s">
        <v>24608</v>
      </c>
    </row>
    <row r="1167" spans="1:25" x14ac:dyDescent="0.3">
      <c r="A1167">
        <v>58300</v>
      </c>
      <c r="B1167" t="s">
        <v>24609</v>
      </c>
      <c r="C1167" t="s">
        <v>24610</v>
      </c>
      <c r="D1167" t="s">
        <v>24611</v>
      </c>
      <c r="E1167" t="s">
        <v>24612</v>
      </c>
      <c r="F1167" t="s">
        <v>24613</v>
      </c>
      <c r="G1167" t="s">
        <v>24614</v>
      </c>
      <c r="H1167" t="s">
        <v>24615</v>
      </c>
      <c r="I1167">
        <f>-564.155801087612 -2.71867590628527 -927.73954703422</f>
        <v>-1494.6140240281172</v>
      </c>
      <c r="J1167" t="s">
        <v>24616</v>
      </c>
      <c r="K1167" t="s">
        <v>24617</v>
      </c>
      <c r="L1167" t="s">
        <v>24618</v>
      </c>
      <c r="M1167" t="s">
        <v>24619</v>
      </c>
      <c r="N1167">
        <f>-626.775668500926 -2.50927657336305 -768.403493506721</f>
        <v>-1397.6884385810101</v>
      </c>
      <c r="O1167">
        <f>-653.002487421588 -139.997866632641 -723.322156575171</f>
        <v>-1516.3225106293999</v>
      </c>
      <c r="P1167">
        <f>-661.217259934078 -119.292882354599 -407.584854457928</f>
        <v>-1188.0949967466049</v>
      </c>
      <c r="Q1167">
        <f>-414.947338478563 -45.8583457029735 -447.591850430276</f>
        <v>-908.39753461181249</v>
      </c>
      <c r="R1167" t="s">
        <v>24620</v>
      </c>
      <c r="S1167" t="s">
        <v>24621</v>
      </c>
      <c r="T1167" t="s">
        <v>24622</v>
      </c>
      <c r="U1167" t="s">
        <v>24623</v>
      </c>
      <c r="V1167">
        <f>-640.074482453466 -19.942825928083 -236.268185532303</f>
        <v>-896.28549391385195</v>
      </c>
      <c r="W1167" t="s">
        <v>24624</v>
      </c>
      <c r="X1167" t="s">
        <v>24625</v>
      </c>
      <c r="Y1167" t="s">
        <v>24626</v>
      </c>
    </row>
    <row r="1168" spans="1:25" x14ac:dyDescent="0.3">
      <c r="A1168">
        <v>58350</v>
      </c>
      <c r="B1168" t="s">
        <v>24627</v>
      </c>
      <c r="C1168" t="s">
        <v>24628</v>
      </c>
      <c r="D1168" t="s">
        <v>24629</v>
      </c>
      <c r="E1168" t="s">
        <v>24630</v>
      </c>
      <c r="F1168" t="s">
        <v>24631</v>
      </c>
      <c r="G1168" t="s">
        <v>24632</v>
      </c>
      <c r="H1168" t="s">
        <v>24633</v>
      </c>
      <c r="I1168">
        <f>-564.817734303503 -2.52915733831589 -927.807426092807</f>
        <v>-1495.1543177346259</v>
      </c>
      <c r="J1168" t="s">
        <v>24634</v>
      </c>
      <c r="K1168" t="s">
        <v>24635</v>
      </c>
      <c r="L1168" t="s">
        <v>24636</v>
      </c>
      <c r="M1168" t="s">
        <v>24637</v>
      </c>
      <c r="N1168">
        <f>-627.410043531172 -2.31084732520926 -768.461801103989</f>
        <v>-1398.1826919603704</v>
      </c>
      <c r="O1168">
        <f>-653.651666314499 -139.789029908481 -723.351610567045</f>
        <v>-1516.7923067900251</v>
      </c>
      <c r="P1168">
        <f>-661.746569732814 -119.120105847195 -407.608819620153</f>
        <v>-1188.475495200162</v>
      </c>
      <c r="Q1168">
        <f>-415.531671699903 -45.5956923652614 -447.789217731661</f>
        <v>-908.91658179682531</v>
      </c>
      <c r="R1168" t="s">
        <v>24638</v>
      </c>
      <c r="S1168" t="s">
        <v>24639</v>
      </c>
      <c r="T1168" t="s">
        <v>24640</v>
      </c>
      <c r="U1168" t="s">
        <v>24641</v>
      </c>
      <c r="V1168">
        <f>-640.468207045436 -19.6953024354253 -236.329258406232</f>
        <v>-896.49276788709335</v>
      </c>
      <c r="W1168" t="s">
        <v>24642</v>
      </c>
      <c r="X1168" t="s">
        <v>24643</v>
      </c>
      <c r="Y1168" t="s">
        <v>24644</v>
      </c>
    </row>
    <row r="1169" spans="1:25" x14ac:dyDescent="0.3">
      <c r="A1169">
        <v>58400</v>
      </c>
      <c r="B1169" t="s">
        <v>24645</v>
      </c>
      <c r="C1169" t="s">
        <v>24646</v>
      </c>
      <c r="D1169" t="s">
        <v>24647</v>
      </c>
      <c r="E1169" t="s">
        <v>24648</v>
      </c>
      <c r="F1169" t="s">
        <v>24649</v>
      </c>
      <c r="G1169" t="s">
        <v>24650</v>
      </c>
      <c r="H1169" t="s">
        <v>24651</v>
      </c>
      <c r="I1169">
        <f>-565.289896639864 -2.40133283634545 -927.834612193404</f>
        <v>-1495.5258416696133</v>
      </c>
      <c r="J1169" t="s">
        <v>24652</v>
      </c>
      <c r="K1169" t="s">
        <v>24653</v>
      </c>
      <c r="L1169" t="s">
        <v>24654</v>
      </c>
      <c r="M1169" t="s">
        <v>24655</v>
      </c>
      <c r="N1169">
        <f>-627.85423629909 -2.17479248013804 -768.479169147155</f>
        <v>-1398.508197926383</v>
      </c>
      <c r="O1169">
        <f>-654.083798599098 -139.655157287749 -723.353341028658</f>
        <v>-1517.0922969155049</v>
      </c>
      <c r="P1169">
        <f>-662.053398055814 -118.947240250074 -407.610015721687</f>
        <v>-1188.610654027575</v>
      </c>
      <c r="Q1169">
        <f>-415.87369296965 -45.339146433551 -447.852561867771</f>
        <v>-909.06540127097196</v>
      </c>
      <c r="R1169" t="s">
        <v>24656</v>
      </c>
      <c r="S1169" t="s">
        <v>24657</v>
      </c>
      <c r="T1169" t="s">
        <v>24658</v>
      </c>
      <c r="U1169" t="s">
        <v>24659</v>
      </c>
      <c r="V1169">
        <f>-640.664984687362 -19.5928789376388 -236.353106738973</f>
        <v>-896.61097036397382</v>
      </c>
      <c r="W1169" t="s">
        <v>24660</v>
      </c>
      <c r="X1169" t="s">
        <v>24661</v>
      </c>
      <c r="Y1169" t="s">
        <v>24662</v>
      </c>
    </row>
    <row r="1170" spans="1:25" x14ac:dyDescent="0.3">
      <c r="A1170">
        <v>58450</v>
      </c>
      <c r="B1170" t="s">
        <v>24663</v>
      </c>
      <c r="C1170" t="s">
        <v>24664</v>
      </c>
      <c r="D1170" t="s">
        <v>24665</v>
      </c>
      <c r="E1170" t="s">
        <v>24666</v>
      </c>
      <c r="F1170" t="s">
        <v>24667</v>
      </c>
      <c r="G1170" t="s">
        <v>24668</v>
      </c>
      <c r="H1170" t="s">
        <v>24669</v>
      </c>
      <c r="I1170">
        <f>-565.506333740126 -2.14887883563279 -928.031878868217</f>
        <v>-1495.6870914439758</v>
      </c>
      <c r="J1170" t="s">
        <v>24670</v>
      </c>
      <c r="K1170" t="s">
        <v>24671</v>
      </c>
      <c r="L1170" t="s">
        <v>24672</v>
      </c>
      <c r="M1170" t="s">
        <v>24673</v>
      </c>
      <c r="N1170">
        <f>-628.126883348831 -1.99299487969945 -768.695961248617</f>
        <v>-1398.8158394771476</v>
      </c>
      <c r="O1170">
        <f>-654.315835708825 -139.49441719715 -723.618077827994</f>
        <v>-1517.4283307339692</v>
      </c>
      <c r="P1170">
        <f>-662.132714258942 -119.014384856046 -407.856076444836</f>
        <v>-1189.0031755598241</v>
      </c>
      <c r="Q1170">
        <f>-416.058849074294 -45.0982239452281 -448.18088518387</f>
        <v>-909.33795820339208</v>
      </c>
      <c r="R1170" t="s">
        <v>24674</v>
      </c>
      <c r="S1170" t="s">
        <v>24675</v>
      </c>
      <c r="T1170" t="s">
        <v>24676</v>
      </c>
      <c r="U1170" t="s">
        <v>24677</v>
      </c>
      <c r="V1170">
        <f>-641.027174117476 -19.4744412763544 -236.471388121784</f>
        <v>-896.97300351561432</v>
      </c>
      <c r="W1170" t="s">
        <v>24678</v>
      </c>
      <c r="X1170" t="s">
        <v>24679</v>
      </c>
      <c r="Y1170" t="s">
        <v>24680</v>
      </c>
    </row>
    <row r="1171" spans="1:25" x14ac:dyDescent="0.3">
      <c r="A1171">
        <v>58500</v>
      </c>
      <c r="B1171" t="s">
        <v>24681</v>
      </c>
      <c r="C1171" t="s">
        <v>24682</v>
      </c>
      <c r="D1171" t="s">
        <v>24683</v>
      </c>
      <c r="E1171" t="s">
        <v>24684</v>
      </c>
      <c r="F1171" t="s">
        <v>24685</v>
      </c>
      <c r="G1171" t="s">
        <v>24686</v>
      </c>
      <c r="H1171" t="s">
        <v>24687</v>
      </c>
      <c r="I1171">
        <f>-565.652584151632 -2.16904393450478 -928.212969052676</f>
        <v>-1496.0345971388128</v>
      </c>
      <c r="J1171" t="s">
        <v>24688</v>
      </c>
      <c r="K1171" t="s">
        <v>24689</v>
      </c>
      <c r="L1171" t="s">
        <v>24690</v>
      </c>
      <c r="M1171" t="s">
        <v>24691</v>
      </c>
      <c r="N1171">
        <f>-628.295934955509 -2.0393842210989 -768.87830249669</f>
        <v>-1399.2136216732979</v>
      </c>
      <c r="O1171">
        <f>-654.476005539095 -139.540028479074 -723.807590566396</f>
        <v>-1517.8236245845651</v>
      </c>
      <c r="P1171">
        <f>-662.244383934666 -119.136010173647 -408.039441351752</f>
        <v>-1189.4198354600649</v>
      </c>
      <c r="Q1171">
        <f>-416.219683798644 -45.0976401729696 -448.440412586048</f>
        <v>-909.75773655766159</v>
      </c>
      <c r="R1171" t="s">
        <v>24692</v>
      </c>
      <c r="S1171" t="s">
        <v>24693</v>
      </c>
      <c r="T1171" t="s">
        <v>24694</v>
      </c>
      <c r="U1171" t="s">
        <v>24695</v>
      </c>
      <c r="V1171">
        <f>-641.141803907373 -19.5127878160368 -236.591926599424</f>
        <v>-897.24651832283382</v>
      </c>
      <c r="W1171" t="s">
        <v>24696</v>
      </c>
      <c r="X1171" t="s">
        <v>24697</v>
      </c>
      <c r="Y1171" t="s">
        <v>24698</v>
      </c>
    </row>
    <row r="1172" spans="1:25" x14ac:dyDescent="0.3">
      <c r="A1172">
        <v>58550</v>
      </c>
      <c r="B1172" t="s">
        <v>24699</v>
      </c>
      <c r="C1172" t="s">
        <v>24700</v>
      </c>
      <c r="D1172" t="s">
        <v>24701</v>
      </c>
      <c r="E1172" t="s">
        <v>24702</v>
      </c>
      <c r="F1172" t="s">
        <v>24703</v>
      </c>
      <c r="G1172" t="s">
        <v>24704</v>
      </c>
      <c r="H1172" t="s">
        <v>24705</v>
      </c>
      <c r="I1172">
        <f>-565.555884134388 -2.18273782910848 -928.659775662029</f>
        <v>-1496.3983976255254</v>
      </c>
      <c r="J1172" t="s">
        <v>24706</v>
      </c>
      <c r="K1172" t="s">
        <v>24707</v>
      </c>
      <c r="L1172" t="s">
        <v>24708</v>
      </c>
      <c r="M1172" t="s">
        <v>24709</v>
      </c>
      <c r="N1172">
        <f>-628.214203496473 -2.08598604693256 -769.319872915236</f>
        <v>-1399.6200624586418</v>
      </c>
      <c r="O1172">
        <f>-654.359600295921 -139.609508879992 -724.284635686705</f>
        <v>-1518.2537448626181</v>
      </c>
      <c r="P1172">
        <f>-662.201136555021 -119.442064027476 -408.503023266435</f>
        <v>-1190.1462238489321</v>
      </c>
      <c r="Q1172">
        <f>-416.254278403272 -45.1175294641472 -448.852301446353</f>
        <v>-910.22410931377226</v>
      </c>
      <c r="R1172" t="s">
        <v>24710</v>
      </c>
      <c r="S1172" t="s">
        <v>24711</v>
      </c>
      <c r="T1172" t="s">
        <v>24712</v>
      </c>
      <c r="U1172" t="s">
        <v>24713</v>
      </c>
      <c r="V1172">
        <f>-641.164606383132 -19.5122039759092 -236.924576459975</f>
        <v>-897.60138681901617</v>
      </c>
      <c r="W1172" t="s">
        <v>24714</v>
      </c>
      <c r="X1172" t="s">
        <v>24715</v>
      </c>
      <c r="Y1172" t="s">
        <v>24716</v>
      </c>
    </row>
    <row r="1173" spans="1:25" x14ac:dyDescent="0.3">
      <c r="A1173">
        <v>58600</v>
      </c>
      <c r="B1173" t="s">
        <v>24717</v>
      </c>
      <c r="C1173" t="s">
        <v>24718</v>
      </c>
      <c r="D1173" t="s">
        <v>24719</v>
      </c>
      <c r="E1173" t="s">
        <v>24720</v>
      </c>
      <c r="F1173" t="s">
        <v>24721</v>
      </c>
      <c r="G1173" t="s">
        <v>24722</v>
      </c>
      <c r="H1173" t="s">
        <v>24723</v>
      </c>
      <c r="I1173">
        <f>-565.658378038441 -2.17033904302696 -928.799571089835</f>
        <v>-1496.628288171303</v>
      </c>
      <c r="J1173" t="s">
        <v>24724</v>
      </c>
      <c r="K1173" t="s">
        <v>24725</v>
      </c>
      <c r="L1173" t="s">
        <v>24726</v>
      </c>
      <c r="M1173" t="s">
        <v>24727</v>
      </c>
      <c r="N1173">
        <f>-628.281434848227 -2.07983651452922 -769.445230938761</f>
        <v>-1399.8065023015174</v>
      </c>
      <c r="O1173">
        <f>-654.432833854234 -139.602133268818 -724.421176757326</f>
        <v>-1518.456143880378</v>
      </c>
      <c r="P1173">
        <f>-662.227663654385 -119.425903776932 -408.638967205738</f>
        <v>-1190.292534637055</v>
      </c>
      <c r="Q1173">
        <f>-416.254732988423 -45.1479154473783 -448.915200156944</f>
        <v>-910.31784859274535</v>
      </c>
      <c r="R1173" t="s">
        <v>24728</v>
      </c>
      <c r="S1173" t="s">
        <v>24729</v>
      </c>
      <c r="T1173" t="s">
        <v>24730</v>
      </c>
      <c r="U1173" t="s">
        <v>24731</v>
      </c>
      <c r="V1173">
        <f>-641.184384467535 -19.5688902315591 -237.036863092899</f>
        <v>-897.79013779199306</v>
      </c>
      <c r="W1173" t="s">
        <v>24732</v>
      </c>
      <c r="X1173" t="s">
        <v>24733</v>
      </c>
      <c r="Y1173" t="s">
        <v>24734</v>
      </c>
    </row>
    <row r="1174" spans="1:25" x14ac:dyDescent="0.3">
      <c r="A1174">
        <v>58650</v>
      </c>
      <c r="B1174" t="s">
        <v>24735</v>
      </c>
      <c r="C1174" t="s">
        <v>24736</v>
      </c>
      <c r="D1174" t="s">
        <v>24737</v>
      </c>
      <c r="E1174" t="s">
        <v>24738</v>
      </c>
      <c r="F1174" t="s">
        <v>24739</v>
      </c>
      <c r="G1174" t="s">
        <v>24740</v>
      </c>
      <c r="H1174" t="s">
        <v>24741</v>
      </c>
      <c r="I1174">
        <f>-566.097641829939 -1.88502307433929 -928.745125019577</f>
        <v>-1496.7277899238552</v>
      </c>
      <c r="J1174" t="s">
        <v>24742</v>
      </c>
      <c r="K1174" t="s">
        <v>24743</v>
      </c>
      <c r="L1174" t="s">
        <v>24744</v>
      </c>
      <c r="M1174" t="s">
        <v>24745</v>
      </c>
      <c r="N1174">
        <f>-628.640274130969 -1.77570658969744 -769.363997825241</f>
        <v>-1399.7799785459074</v>
      </c>
      <c r="O1174">
        <f>-654.789842115431 -139.301417848055 -724.339313362865</f>
        <v>-1518.4305733263509</v>
      </c>
      <c r="P1174">
        <f>-662.364094121494 -119.080148698177 -408.554670196879</f>
        <v>-1189.99891301655</v>
      </c>
      <c r="Q1174">
        <f>-416.344569743111 -44.9108909383353 -448.74618280093</f>
        <v>-910.00164348237627</v>
      </c>
      <c r="R1174" t="s">
        <v>24746</v>
      </c>
      <c r="S1174" t="s">
        <v>24747</v>
      </c>
      <c r="T1174" t="s">
        <v>24748</v>
      </c>
      <c r="U1174" t="s">
        <v>24749</v>
      </c>
      <c r="V1174">
        <f>-641.216099016488 -19.4731306607521 -237.048722371159</f>
        <v>-897.73795204839905</v>
      </c>
      <c r="W1174" t="s">
        <v>24750</v>
      </c>
      <c r="X1174" t="s">
        <v>24751</v>
      </c>
      <c r="Y1174" t="s">
        <v>24752</v>
      </c>
    </row>
    <row r="1175" spans="1:25" x14ac:dyDescent="0.3">
      <c r="A1175">
        <v>58700</v>
      </c>
      <c r="B1175" t="s">
        <v>24753</v>
      </c>
      <c r="C1175" t="s">
        <v>24754</v>
      </c>
      <c r="D1175" t="s">
        <v>24755</v>
      </c>
      <c r="E1175" t="s">
        <v>24756</v>
      </c>
      <c r="F1175" t="s">
        <v>24757</v>
      </c>
      <c r="G1175" t="s">
        <v>24758</v>
      </c>
      <c r="H1175" t="s">
        <v>24759</v>
      </c>
      <c r="I1175">
        <f>-566.430331742535 -1.85723382091291 -928.703144392094</f>
        <v>-1496.9907099555421</v>
      </c>
      <c r="J1175" t="s">
        <v>24760</v>
      </c>
      <c r="K1175" t="s">
        <v>24761</v>
      </c>
      <c r="L1175" t="s">
        <v>24762</v>
      </c>
      <c r="M1175" t="s">
        <v>24763</v>
      </c>
      <c r="N1175">
        <f>-628.899295491308 -1.73823433071473 -769.295992989574</f>
        <v>-1399.9335228115965</v>
      </c>
      <c r="O1175">
        <f>-655.116751557598 -139.257278029994 -724.290969546639</f>
        <v>-1518.664999134231</v>
      </c>
      <c r="P1175">
        <f>-662.64106849336 -119.109341869922 -408.500538501241</f>
        <v>-1190.250948864523</v>
      </c>
      <c r="Q1175">
        <f>-416.611716093721 -44.9231701376167 -448.600682834254</f>
        <v>-910.13556906559165</v>
      </c>
      <c r="R1175" t="s">
        <v>24764</v>
      </c>
      <c r="S1175" t="s">
        <v>24765</v>
      </c>
      <c r="T1175" t="s">
        <v>24766</v>
      </c>
      <c r="U1175" t="s">
        <v>24767</v>
      </c>
      <c r="V1175">
        <f>-641.236759715085 -19.5691709038919 -236.99824959127</f>
        <v>-897.80418021024684</v>
      </c>
      <c r="W1175" t="s">
        <v>24768</v>
      </c>
      <c r="X1175" t="s">
        <v>24769</v>
      </c>
      <c r="Y1175" t="s">
        <v>24770</v>
      </c>
    </row>
    <row r="1176" spans="1:25" x14ac:dyDescent="0.3">
      <c r="A1176">
        <v>58750</v>
      </c>
      <c r="B1176" t="s">
        <v>24771</v>
      </c>
      <c r="C1176" t="s">
        <v>24772</v>
      </c>
      <c r="D1176" t="s">
        <v>24773</v>
      </c>
      <c r="E1176" t="s">
        <v>24774</v>
      </c>
      <c r="F1176" t="s">
        <v>24775</v>
      </c>
      <c r="G1176" t="s">
        <v>24776</v>
      </c>
      <c r="H1176" t="s">
        <v>24777</v>
      </c>
      <c r="I1176">
        <f>-567.037404352911 -1.52138731334483 -928.608146967003</f>
        <v>-1497.1669386332587</v>
      </c>
      <c r="J1176" t="s">
        <v>24778</v>
      </c>
      <c r="K1176" t="s">
        <v>24779</v>
      </c>
      <c r="L1176" t="s">
        <v>24780</v>
      </c>
      <c r="M1176" t="s">
        <v>24781</v>
      </c>
      <c r="N1176">
        <f>-629.308788077383 -1.38830824234238 -769.118684424346</f>
        <v>-1399.8157807440716</v>
      </c>
      <c r="O1176">
        <f>-655.687959553598 -138.879264328862 -724.120425316036</f>
        <v>-1518.6876491984958</v>
      </c>
      <c r="P1176">
        <f>-663.03160850514 -118.932861484536 -408.312938029947</f>
        <v>-1190.277408019623</v>
      </c>
      <c r="Q1176">
        <f>-416.985254622426 -44.7565089067962 -448.326810288005</f>
        <v>-910.06857381722716</v>
      </c>
      <c r="R1176" t="s">
        <v>24782</v>
      </c>
      <c r="S1176" t="s">
        <v>24783</v>
      </c>
      <c r="T1176" t="s">
        <v>24784</v>
      </c>
      <c r="U1176" t="s">
        <v>24785</v>
      </c>
      <c r="V1176">
        <f>-641.169219293969 -19.3960122596427 -236.874102965419</f>
        <v>-897.43933451903081</v>
      </c>
      <c r="W1176" t="s">
        <v>24786</v>
      </c>
      <c r="X1176" t="s">
        <v>24787</v>
      </c>
      <c r="Y1176" t="s">
        <v>24788</v>
      </c>
    </row>
    <row r="1177" spans="1:25" x14ac:dyDescent="0.3">
      <c r="A1177">
        <v>58800</v>
      </c>
      <c r="B1177" t="s">
        <v>24789</v>
      </c>
      <c r="C1177" t="s">
        <v>24790</v>
      </c>
      <c r="D1177" t="s">
        <v>24791</v>
      </c>
      <c r="E1177" t="s">
        <v>24792</v>
      </c>
      <c r="F1177" t="s">
        <v>24793</v>
      </c>
      <c r="G1177" t="s">
        <v>24794</v>
      </c>
      <c r="H1177" t="s">
        <v>24795</v>
      </c>
      <c r="I1177">
        <f>-567.450483473339 -1.44017648945037 -928.557086247891</f>
        <v>-1497.4477462106802</v>
      </c>
      <c r="J1177" t="s">
        <v>24796</v>
      </c>
      <c r="K1177" t="s">
        <v>24797</v>
      </c>
      <c r="L1177" t="s">
        <v>24798</v>
      </c>
      <c r="M1177" t="s">
        <v>24799</v>
      </c>
      <c r="N1177">
        <f>-629.58008605542 -1.27142665470794 -769.011991568833</f>
        <v>-1399.863504278961</v>
      </c>
      <c r="O1177">
        <f>-656.023765035123 -138.748234117847 -724.020009945233</f>
        <v>-1518.7920090982029</v>
      </c>
      <c r="P1177">
        <f>-663.28332548744 -118.801820573837 -408.2104517534</f>
        <v>-1190.295597814677</v>
      </c>
      <c r="Q1177">
        <f>-417.214036187455 -44.7367284535449 -448.289364593665</f>
        <v>-910.24012923466489</v>
      </c>
      <c r="R1177" t="s">
        <v>24800</v>
      </c>
      <c r="S1177" t="s">
        <v>24801</v>
      </c>
      <c r="T1177" t="s">
        <v>24802</v>
      </c>
      <c r="U1177" t="s">
        <v>24803</v>
      </c>
      <c r="V1177">
        <f>-641.156364199564 -19.415719392435 -236.789521697707</f>
        <v>-897.36160528970595</v>
      </c>
      <c r="W1177" t="s">
        <v>24804</v>
      </c>
      <c r="X1177" t="s">
        <v>24805</v>
      </c>
      <c r="Y1177" t="s">
        <v>24806</v>
      </c>
    </row>
    <row r="1178" spans="1:25" x14ac:dyDescent="0.3">
      <c r="A1178">
        <v>58850</v>
      </c>
      <c r="B1178" t="s">
        <v>24807</v>
      </c>
      <c r="C1178" t="s">
        <v>24808</v>
      </c>
      <c r="D1178" t="s">
        <v>24809</v>
      </c>
      <c r="E1178" t="s">
        <v>24810</v>
      </c>
      <c r="F1178" t="s">
        <v>24811</v>
      </c>
      <c r="G1178" t="s">
        <v>24812</v>
      </c>
      <c r="H1178" t="s">
        <v>24813</v>
      </c>
      <c r="I1178">
        <f>-568.217050267546 -1.23047917586649 -928.566942417257</f>
        <v>-1498.0144718606693</v>
      </c>
      <c r="J1178" t="s">
        <v>24814</v>
      </c>
      <c r="K1178" t="s">
        <v>24815</v>
      </c>
      <c r="L1178" t="s">
        <v>24816</v>
      </c>
      <c r="M1178" t="s">
        <v>24817</v>
      </c>
      <c r="N1178">
        <f>-630.06544044909 -0.988453635864467 -768.912747833023</f>
        <v>-1399.9666419179775</v>
      </c>
      <c r="O1178">
        <f>-656.720836557831 -138.411863247654 -723.887791992593</f>
        <v>-1519.020491798078</v>
      </c>
      <c r="P1178">
        <f>-663.579414580713 -118.569558094027 -408.062701569047</f>
        <v>-1190.211674243787</v>
      </c>
      <c r="Q1178">
        <f>-417.555781146101 -44.6150172477442 -448.623112567677</f>
        <v>-910.79391096152222</v>
      </c>
      <c r="R1178" t="s">
        <v>24818</v>
      </c>
      <c r="S1178" t="s">
        <v>24819</v>
      </c>
      <c r="T1178" t="s">
        <v>24820</v>
      </c>
      <c r="U1178" t="s">
        <v>24821</v>
      </c>
      <c r="V1178">
        <f>-641.124334343437 -19.1380986689712 -236.724231720368</f>
        <v>-896.98666473277626</v>
      </c>
      <c r="W1178" t="s">
        <v>24822</v>
      </c>
      <c r="X1178" t="s">
        <v>24823</v>
      </c>
      <c r="Y1178" t="s">
        <v>24824</v>
      </c>
    </row>
    <row r="1179" spans="1:25" x14ac:dyDescent="0.3">
      <c r="A1179">
        <v>58900</v>
      </c>
      <c r="B1179" t="s">
        <v>24825</v>
      </c>
      <c r="C1179" t="s">
        <v>24826</v>
      </c>
      <c r="D1179" t="s">
        <v>24827</v>
      </c>
      <c r="E1179" t="s">
        <v>24828</v>
      </c>
      <c r="F1179" t="s">
        <v>24829</v>
      </c>
      <c r="G1179" t="s">
        <v>24830</v>
      </c>
      <c r="H1179" t="s">
        <v>24831</v>
      </c>
      <c r="I1179">
        <f>-568.53433609959 -1.14344020810938 -928.534766056934</f>
        <v>-1498.2125423646335</v>
      </c>
      <c r="J1179" t="s">
        <v>24832</v>
      </c>
      <c r="K1179" t="s">
        <v>24833</v>
      </c>
      <c r="L1179" t="s">
        <v>24834</v>
      </c>
      <c r="M1179" t="s">
        <v>24835</v>
      </c>
      <c r="N1179">
        <f>-630.260768571041 -0.853268673764639 -768.834692240535</f>
        <v>-1399.9487294853407</v>
      </c>
      <c r="O1179">
        <f>-656.986699347432 -138.262759366848 -723.788917818196</f>
        <v>-1519.0383765324759</v>
      </c>
      <c r="P1179">
        <f>-663.58340698331 -118.533643733031 -407.951276509482</f>
        <v>-1190.0683272258229</v>
      </c>
      <c r="Q1179">
        <f>-417.571368027713 -44.6710957113687 -448.749000416642</f>
        <v>-910.99146415572363</v>
      </c>
      <c r="R1179" t="s">
        <v>24836</v>
      </c>
      <c r="S1179" t="s">
        <v>24837</v>
      </c>
      <c r="T1179" t="s">
        <v>24838</v>
      </c>
      <c r="U1179" t="s">
        <v>24839</v>
      </c>
      <c r="V1179">
        <f>-641.055648799858 -18.9885560134433 -236.666870408126</f>
        <v>-896.71107522142722</v>
      </c>
      <c r="W1179" t="s">
        <v>24840</v>
      </c>
      <c r="X1179" t="s">
        <v>24841</v>
      </c>
      <c r="Y1179" t="s">
        <v>24842</v>
      </c>
    </row>
    <row r="1180" spans="1:25" x14ac:dyDescent="0.3">
      <c r="A1180">
        <v>58950</v>
      </c>
      <c r="B1180" t="s">
        <v>24843</v>
      </c>
      <c r="C1180" t="s">
        <v>24844</v>
      </c>
      <c r="D1180" t="s">
        <v>24845</v>
      </c>
      <c r="E1180" t="s">
        <v>24846</v>
      </c>
      <c r="F1180" t="s">
        <v>24847</v>
      </c>
      <c r="G1180" t="s">
        <v>24848</v>
      </c>
      <c r="H1180" t="s">
        <v>24849</v>
      </c>
      <c r="I1180">
        <f>-569.34843875909 -0.907513724505087 -928.134538997131</f>
        <v>-1498.390491480726</v>
      </c>
      <c r="J1180" t="s">
        <v>24850</v>
      </c>
      <c r="K1180" t="s">
        <v>24851</v>
      </c>
      <c r="L1180" t="s">
        <v>24852</v>
      </c>
      <c r="M1180" t="s">
        <v>24853</v>
      </c>
      <c r="N1180">
        <f>-630.826107636606 -0.499052461563714 -768.347933839849</f>
        <v>-1399.6730939380186</v>
      </c>
      <c r="O1180">
        <f>-657.608653727563 -137.874540844571 -723.251283477815</f>
        <v>-1518.7344780499491</v>
      </c>
      <c r="P1180">
        <f>-663.910818708806 -117.981908332472 -407.417784990992</f>
        <v>-1189.31051203227</v>
      </c>
      <c r="Q1180">
        <f>-417.969568200424 -44.1407010178602 -448.678635521973</f>
        <v>-910.78890474025718</v>
      </c>
      <c r="R1180" t="s">
        <v>24854</v>
      </c>
      <c r="S1180" t="s">
        <v>24855</v>
      </c>
      <c r="T1180" t="s">
        <v>24856</v>
      </c>
      <c r="U1180" t="s">
        <v>24857</v>
      </c>
      <c r="V1180">
        <f>-640.980943907557 -18.5140119056657 -236.251232133615</f>
        <v>-895.74618794683772</v>
      </c>
      <c r="W1180" t="s">
        <v>24858</v>
      </c>
      <c r="X1180" t="s">
        <v>24859</v>
      </c>
      <c r="Y1180" t="s">
        <v>24860</v>
      </c>
    </row>
    <row r="1181" spans="1:25" x14ac:dyDescent="0.3">
      <c r="A1181">
        <v>59000</v>
      </c>
      <c r="B1181" t="s">
        <v>24861</v>
      </c>
      <c r="C1181" t="s">
        <v>24862</v>
      </c>
      <c r="D1181" t="s">
        <v>24863</v>
      </c>
      <c r="E1181" t="s">
        <v>24864</v>
      </c>
      <c r="F1181" t="s">
        <v>24865</v>
      </c>
      <c r="G1181" t="s">
        <v>24866</v>
      </c>
      <c r="H1181" t="s">
        <v>24867</v>
      </c>
      <c r="I1181">
        <f>-569.759424613699 -0.829347011345725 -927.862451391938</f>
        <v>-1498.4512230169826</v>
      </c>
      <c r="J1181" t="s">
        <v>24868</v>
      </c>
      <c r="K1181" t="s">
        <v>24869</v>
      </c>
      <c r="L1181" t="s">
        <v>24870</v>
      </c>
      <c r="M1181" t="s">
        <v>24871</v>
      </c>
      <c r="N1181">
        <f>-631.136065525073 -0.377457465726934 -768.038650626013</f>
        <v>-1399.552173616813</v>
      </c>
      <c r="O1181">
        <f>-657.940216424077 -137.742410699593 -722.895073684275</f>
        <v>-1518.5777008079449</v>
      </c>
      <c r="P1181">
        <f>-664.011501483508 -117.960607597988 -407.050198304957</f>
        <v>-1189.0223073864531</v>
      </c>
      <c r="Q1181">
        <f>-418.109473471117 -44.0657199247595 -448.448320383341</f>
        <v>-910.62351377921755</v>
      </c>
      <c r="R1181" t="s">
        <v>24872</v>
      </c>
      <c r="S1181" t="s">
        <v>24873</v>
      </c>
      <c r="T1181" t="s">
        <v>24874</v>
      </c>
      <c r="U1181" t="s">
        <v>24875</v>
      </c>
      <c r="V1181">
        <f>-640.904753908973 -18.3299476306789 -235.9876343678</f>
        <v>-895.22233590745191</v>
      </c>
      <c r="W1181" t="s">
        <v>24876</v>
      </c>
      <c r="X1181" t="s">
        <v>24877</v>
      </c>
      <c r="Y1181" t="s">
        <v>24878</v>
      </c>
    </row>
    <row r="1182" spans="1:25" x14ac:dyDescent="0.3">
      <c r="A1182">
        <v>59050</v>
      </c>
      <c r="B1182" t="s">
        <v>24879</v>
      </c>
      <c r="C1182" t="s">
        <v>24880</v>
      </c>
      <c r="D1182" t="s">
        <v>24881</v>
      </c>
      <c r="E1182" t="s">
        <v>24882</v>
      </c>
      <c r="F1182" t="s">
        <v>24883</v>
      </c>
      <c r="G1182" t="s">
        <v>24884</v>
      </c>
      <c r="H1182" t="s">
        <v>24885</v>
      </c>
      <c r="I1182">
        <f>-570.427706657363 -0.611297756827838 -927.596150909414</f>
        <v>-1498.635155323605</v>
      </c>
      <c r="J1182" t="s">
        <v>24886</v>
      </c>
      <c r="K1182" t="s">
        <v>24887</v>
      </c>
      <c r="L1182" t="s">
        <v>24888</v>
      </c>
      <c r="M1182" t="s">
        <v>24889</v>
      </c>
      <c r="N1182">
        <f>-631.603906178575 -0.117327679708602 -767.703895935552</f>
        <v>-1399.4251297938358</v>
      </c>
      <c r="O1182">
        <f>-658.248381883439 -137.490298196906 -722.50681140266</f>
        <v>-1518.245491483005</v>
      </c>
      <c r="P1182">
        <f>-664.361991150912 -117.479389207634 -406.677168576219</f>
        <v>-1188.518548934765</v>
      </c>
      <c r="Q1182">
        <f>-418.556955642157 -43.2879492657624 -448.120804766426</f>
        <v>-909.96570967434536</v>
      </c>
      <c r="R1182" t="s">
        <v>24890</v>
      </c>
      <c r="S1182" t="s">
        <v>24891</v>
      </c>
      <c r="T1182" t="s">
        <v>24892</v>
      </c>
      <c r="U1182" t="s">
        <v>24893</v>
      </c>
      <c r="V1182">
        <f>-640.756356588746 -17.9458070420246 -235.716476816991</f>
        <v>-894.41864044776162</v>
      </c>
      <c r="W1182" t="s">
        <v>24894</v>
      </c>
      <c r="X1182" t="s">
        <v>24895</v>
      </c>
      <c r="Y1182" t="s">
        <v>24896</v>
      </c>
    </row>
    <row r="1183" spans="1:25" x14ac:dyDescent="0.3">
      <c r="A1183">
        <v>59100</v>
      </c>
      <c r="B1183" t="s">
        <v>24897</v>
      </c>
      <c r="C1183" t="s">
        <v>24898</v>
      </c>
      <c r="D1183" t="s">
        <v>24899</v>
      </c>
      <c r="E1183" t="s">
        <v>24900</v>
      </c>
      <c r="F1183" t="s">
        <v>24901</v>
      </c>
      <c r="G1183" t="s">
        <v>24902</v>
      </c>
      <c r="H1183" t="s">
        <v>24903</v>
      </c>
      <c r="I1183">
        <f>-570.532698852257 -0.477429056483238 -927.617009773863</f>
        <v>-1498.6271376826032</v>
      </c>
      <c r="J1183" t="s">
        <v>24904</v>
      </c>
      <c r="K1183" t="s">
        <v>24905</v>
      </c>
      <c r="L1183" t="s">
        <v>24906</v>
      </c>
      <c r="M1183" t="s">
        <v>24907</v>
      </c>
      <c r="N1183">
        <f>-631.647537799409 -0.00624312949967276 -767.701173360426</f>
        <v>-1399.3549542893347</v>
      </c>
      <c r="O1183">
        <f>-658.226373568822 -137.391861383727 -722.490801045533</f>
        <v>-1518.1090359980822</v>
      </c>
      <c r="P1183">
        <f>-664.194350640258 -117.343787113265 -406.66067865404</f>
        <v>-1188.1988164075628</v>
      </c>
      <c r="Q1183">
        <f>-418.437182783609 -42.9809712858201 -448.081045668742</f>
        <v>-909.499199738171</v>
      </c>
      <c r="R1183" t="s">
        <v>24908</v>
      </c>
      <c r="S1183" t="s">
        <v>24909</v>
      </c>
      <c r="T1183" t="s">
        <v>24910</v>
      </c>
      <c r="U1183" t="s">
        <v>24911</v>
      </c>
      <c r="V1183">
        <f>-640.650609571613 -17.809616229802 -235.692706945976</f>
        <v>-894.15293274739111</v>
      </c>
      <c r="W1183" t="s">
        <v>24912</v>
      </c>
      <c r="X1183" t="s">
        <v>24913</v>
      </c>
      <c r="Y1183" t="s">
        <v>24914</v>
      </c>
    </row>
    <row r="1184" spans="1:25" x14ac:dyDescent="0.3">
      <c r="A1184">
        <v>59150</v>
      </c>
      <c r="B1184" t="s">
        <v>24915</v>
      </c>
      <c r="C1184" t="s">
        <v>24916</v>
      </c>
      <c r="D1184" t="s">
        <v>24917</v>
      </c>
      <c r="E1184" t="s">
        <v>24918</v>
      </c>
      <c r="F1184" t="s">
        <v>24919</v>
      </c>
      <c r="G1184" t="s">
        <v>24920</v>
      </c>
      <c r="H1184" t="s">
        <v>24921</v>
      </c>
      <c r="I1184">
        <f>-570.739561787735 -0.339296347897374 -927.71993992726</f>
        <v>-1498.7987980628925</v>
      </c>
      <c r="J1184" t="s">
        <v>24922</v>
      </c>
      <c r="K1184" t="s">
        <v>24923</v>
      </c>
      <c r="L1184" t="s">
        <v>24924</v>
      </c>
      <c r="M1184" t="s">
        <v>24925</v>
      </c>
      <c r="N1184" t="s">
        <v>24926</v>
      </c>
      <c r="O1184">
        <f>-658.248201465726 -137.271535766837 -722.534639513668</f>
        <v>-1518.0543767462309</v>
      </c>
      <c r="P1184">
        <f>-664.200735833275 -117.137969944876 -406.709831751391</f>
        <v>-1188.048537529542</v>
      </c>
      <c r="Q1184">
        <f>-418.512826339316 -42.5689962204285 -448.170321092106</f>
        <v>-909.25214365185047</v>
      </c>
      <c r="R1184" t="s">
        <v>24927</v>
      </c>
      <c r="S1184" t="s">
        <v>24928</v>
      </c>
      <c r="T1184" t="s">
        <v>24929</v>
      </c>
      <c r="U1184" t="s">
        <v>24930</v>
      </c>
      <c r="V1184">
        <f>-640.585575848622 -17.6212310174688 -235.725541780335</f>
        <v>-893.93234864642579</v>
      </c>
      <c r="W1184" t="s">
        <v>24931</v>
      </c>
      <c r="X1184" t="s">
        <v>24932</v>
      </c>
      <c r="Y1184" t="s">
        <v>24933</v>
      </c>
    </row>
    <row r="1185" spans="1:25" x14ac:dyDescent="0.3">
      <c r="A1185">
        <v>59200</v>
      </c>
      <c r="B1185" t="s">
        <v>24934</v>
      </c>
      <c r="C1185" t="s">
        <v>24935</v>
      </c>
      <c r="D1185" t="s">
        <v>24936</v>
      </c>
      <c r="E1185" t="s">
        <v>24937</v>
      </c>
      <c r="F1185" t="s">
        <v>24938</v>
      </c>
      <c r="G1185" t="s">
        <v>24939</v>
      </c>
      <c r="H1185" t="s">
        <v>24940</v>
      </c>
      <c r="I1185">
        <f>-570.766174041123 -0.21710497507717 -927.934099482059</f>
        <v>-1498.917378498259</v>
      </c>
      <c r="J1185" t="s">
        <v>24941</v>
      </c>
      <c r="K1185" t="s">
        <v>24942</v>
      </c>
      <c r="L1185" t="s">
        <v>24943</v>
      </c>
      <c r="M1185" t="s">
        <v>24944</v>
      </c>
      <c r="N1185" t="s">
        <v>24945</v>
      </c>
      <c r="O1185">
        <f>-658.117973830783 -137.174624382031 -722.733013686744</f>
        <v>-1518.025611899558</v>
      </c>
      <c r="P1185">
        <f>-664.054319263046 -117.121730583391 -406.902648064529</f>
        <v>-1188.078697910966</v>
      </c>
      <c r="Q1185">
        <f>-418.578482493348 -41.9920102679447 -448.606691930638</f>
        <v>-909.17718469193073</v>
      </c>
      <c r="R1185" t="s">
        <v>24946</v>
      </c>
      <c r="S1185" t="s">
        <v>24947</v>
      </c>
      <c r="T1185" t="s">
        <v>24948</v>
      </c>
      <c r="U1185" t="s">
        <v>24949</v>
      </c>
      <c r="V1185">
        <f>-640.386935262244 -17.5266139654581 -235.843167273689</f>
        <v>-893.75671650139111</v>
      </c>
      <c r="W1185" t="s">
        <v>24950</v>
      </c>
      <c r="X1185" t="s">
        <v>24951</v>
      </c>
      <c r="Y1185" t="s">
        <v>24952</v>
      </c>
    </row>
    <row r="1186" spans="1:25" x14ac:dyDescent="0.3">
      <c r="A1186">
        <v>59250</v>
      </c>
      <c r="B1186" t="s">
        <v>24953</v>
      </c>
      <c r="C1186" t="s">
        <v>24954</v>
      </c>
      <c r="D1186" t="s">
        <v>24955</v>
      </c>
      <c r="E1186" t="s">
        <v>24956</v>
      </c>
      <c r="F1186" t="s">
        <v>24957</v>
      </c>
      <c r="G1186" t="s">
        <v>24958</v>
      </c>
      <c r="H1186" t="s">
        <v>24959</v>
      </c>
      <c r="I1186">
        <f>-570.453810181487 -0.0900044681721468 -928.066999320898</f>
        <v>-1498.6108139705573</v>
      </c>
      <c r="J1186" t="s">
        <v>24960</v>
      </c>
      <c r="K1186" t="s">
        <v>24961</v>
      </c>
      <c r="L1186" t="s">
        <v>24962</v>
      </c>
      <c r="M1186" t="s">
        <v>24963</v>
      </c>
      <c r="N1186" t="s">
        <v>24964</v>
      </c>
      <c r="O1186">
        <f>-657.819792257923 -137.051943653144 -722.898665521192</f>
        <v>-1517.770401432259</v>
      </c>
      <c r="P1186">
        <f>-663.84255771049 -117.052353453249 -407.066544715182</f>
        <v>-1187.961455878921</v>
      </c>
      <c r="Q1186">
        <f>-418.510681655403 -41.6280786912367 -449.084433097424</f>
        <v>-909.22319344406367</v>
      </c>
      <c r="R1186" t="s">
        <v>24965</v>
      </c>
      <c r="S1186" t="s">
        <v>24966</v>
      </c>
      <c r="T1186" t="s">
        <v>24967</v>
      </c>
      <c r="U1186" t="s">
        <v>24968</v>
      </c>
      <c r="V1186">
        <f>-640.212013594867 -17.3746987370395 -235.936071244216</f>
        <v>-893.52278357612249</v>
      </c>
      <c r="W1186" t="s">
        <v>24969</v>
      </c>
      <c r="X1186" t="s">
        <v>24970</v>
      </c>
      <c r="Y1186" t="s">
        <v>24971</v>
      </c>
    </row>
    <row r="1187" spans="1:25" x14ac:dyDescent="0.3">
      <c r="A1187">
        <v>59300</v>
      </c>
      <c r="B1187" t="s">
        <v>24972</v>
      </c>
      <c r="C1187" t="s">
        <v>24973</v>
      </c>
      <c r="D1187" t="s">
        <v>24974</v>
      </c>
      <c r="E1187" t="s">
        <v>24975</v>
      </c>
      <c r="F1187" t="s">
        <v>24976</v>
      </c>
      <c r="G1187" t="s">
        <v>24977</v>
      </c>
      <c r="H1187" t="s">
        <v>24978</v>
      </c>
      <c r="I1187">
        <f>-570.401030295591 -0.177090081991302 -928.149189911256</f>
        <v>-1498.7273102888385</v>
      </c>
      <c r="J1187" t="s">
        <v>24979</v>
      </c>
      <c r="K1187" t="s">
        <v>24980</v>
      </c>
      <c r="L1187" t="s">
        <v>24981</v>
      </c>
      <c r="M1187" t="s">
        <v>24982</v>
      </c>
      <c r="N1187" t="s">
        <v>24983</v>
      </c>
      <c r="O1187">
        <f>-657.835114204923 -137.08598082808 -722.969019552158</f>
        <v>-1517.890114585161</v>
      </c>
      <c r="P1187">
        <f>-663.946079623818 -117.333054398782 -407.123030148732</f>
        <v>-1188.4021641713321</v>
      </c>
      <c r="Q1187">
        <f>-418.700624150274 -41.6338381437116 -449.150964130317</f>
        <v>-909.48542642430266</v>
      </c>
      <c r="R1187" t="s">
        <v>24984</v>
      </c>
      <c r="S1187" t="s">
        <v>24985</v>
      </c>
      <c r="T1187" t="s">
        <v>24986</v>
      </c>
      <c r="U1187" t="s">
        <v>24987</v>
      </c>
      <c r="V1187">
        <f>-640.114293524936 -17.3421774326643 -235.986708582832</f>
        <v>-893.4431795404322</v>
      </c>
      <c r="W1187" t="s">
        <v>24988</v>
      </c>
      <c r="X1187" t="s">
        <v>24989</v>
      </c>
      <c r="Y1187" t="s">
        <v>24990</v>
      </c>
    </row>
    <row r="1188" spans="1:25" x14ac:dyDescent="0.3">
      <c r="A1188">
        <v>59350</v>
      </c>
      <c r="B1188" t="s">
        <v>24991</v>
      </c>
      <c r="C1188" t="s">
        <v>24992</v>
      </c>
      <c r="D1188" t="s">
        <v>24993</v>
      </c>
      <c r="E1188" t="s">
        <v>24994</v>
      </c>
      <c r="F1188" t="s">
        <v>24995</v>
      </c>
      <c r="G1188" t="s">
        <v>24996</v>
      </c>
      <c r="H1188" t="s">
        <v>24997</v>
      </c>
      <c r="I1188">
        <f>-570.174949984016 -0.317353468144773 -928.437614592352</f>
        <v>-1498.9299180445128</v>
      </c>
      <c r="J1188" t="s">
        <v>24998</v>
      </c>
      <c r="K1188" t="s">
        <v>24999</v>
      </c>
      <c r="L1188" t="s">
        <v>25000</v>
      </c>
      <c r="M1188" t="s">
        <v>25001</v>
      </c>
      <c r="N1188" t="s">
        <v>25002</v>
      </c>
      <c r="O1188">
        <f>-657.672963919953 -137.169466819186 -723.300826000682</f>
        <v>-1518.143256739821</v>
      </c>
      <c r="P1188">
        <f>-663.846311841485 -117.507108987604 -407.450445818734</f>
        <v>-1188.8038666478228</v>
      </c>
      <c r="Q1188">
        <f>-418.669960011457 -41.5458838721437 -449.408686123195</f>
        <v>-909.62453000679579</v>
      </c>
      <c r="R1188" t="s">
        <v>25003</v>
      </c>
      <c r="S1188" t="s">
        <v>25004</v>
      </c>
      <c r="T1188" t="s">
        <v>25005</v>
      </c>
      <c r="U1188" t="s">
        <v>25006</v>
      </c>
      <c r="V1188">
        <f>-639.740186824352 -17.2094029756252 -236.157459100449</f>
        <v>-893.10704890042621</v>
      </c>
      <c r="W1188" t="s">
        <v>25007</v>
      </c>
      <c r="X1188" t="s">
        <v>25008</v>
      </c>
      <c r="Y1188" t="s">
        <v>25009</v>
      </c>
    </row>
    <row r="1189" spans="1:25" x14ac:dyDescent="0.3">
      <c r="A1189">
        <v>59400</v>
      </c>
      <c r="B1189" t="s">
        <v>25010</v>
      </c>
      <c r="C1189" t="s">
        <v>25011</v>
      </c>
      <c r="D1189" t="s">
        <v>25012</v>
      </c>
      <c r="E1189" t="s">
        <v>25013</v>
      </c>
      <c r="F1189" t="s">
        <v>25014</v>
      </c>
      <c r="G1189" t="s">
        <v>25015</v>
      </c>
      <c r="H1189" t="s">
        <v>25016</v>
      </c>
      <c r="I1189">
        <f>-570.221446095927 -0.37944384313505 -928.473694291955</f>
        <v>-1499.0745842310171</v>
      </c>
      <c r="J1189" t="s">
        <v>25017</v>
      </c>
      <c r="K1189" t="s">
        <v>25018</v>
      </c>
      <c r="L1189" t="s">
        <v>25019</v>
      </c>
      <c r="M1189" t="s">
        <v>25020</v>
      </c>
      <c r="N1189" t="s">
        <v>25021</v>
      </c>
      <c r="O1189">
        <f>-657.71968550237 -137.22033254947 -723.343525260391</f>
        <v>-1518.2835433122309</v>
      </c>
      <c r="P1189">
        <f>-663.911679965476 -117.582622065083 -407.492014007106</f>
        <v>-1188.9863160376649</v>
      </c>
      <c r="Q1189">
        <f>-418.726394801211 -41.6052461326347 -449.369099364991</f>
        <v>-909.70074029883665</v>
      </c>
      <c r="R1189" t="s">
        <v>25022</v>
      </c>
      <c r="S1189" t="s">
        <v>25023</v>
      </c>
      <c r="T1189" t="s">
        <v>25024</v>
      </c>
      <c r="U1189" t="s">
        <v>25025</v>
      </c>
      <c r="V1189">
        <f>-639.689378707737 -17.2543830615027 -236.179640282816</f>
        <v>-893.12340205205567</v>
      </c>
      <c r="W1189" t="s">
        <v>25026</v>
      </c>
      <c r="X1189" t="s">
        <v>25027</v>
      </c>
      <c r="Y1189" t="s">
        <v>25028</v>
      </c>
    </row>
    <row r="1190" spans="1:25" x14ac:dyDescent="0.3">
      <c r="A1190">
        <v>59450</v>
      </c>
      <c r="B1190" t="s">
        <v>25029</v>
      </c>
      <c r="C1190" t="s">
        <v>25030</v>
      </c>
      <c r="D1190" t="s">
        <v>25031</v>
      </c>
      <c r="E1190" t="s">
        <v>25032</v>
      </c>
      <c r="F1190" t="s">
        <v>25033</v>
      </c>
      <c r="G1190" t="s">
        <v>25034</v>
      </c>
      <c r="H1190" t="s">
        <v>25035</v>
      </c>
      <c r="I1190">
        <f>-570.207303667957 -0.308564319385823 -928.622047455069</f>
        <v>-1499.1379154424119</v>
      </c>
      <c r="J1190" t="s">
        <v>25036</v>
      </c>
      <c r="K1190" t="s">
        <v>25037</v>
      </c>
      <c r="L1190" t="s">
        <v>25038</v>
      </c>
      <c r="M1190" t="s">
        <v>25039</v>
      </c>
      <c r="N1190" t="s">
        <v>25040</v>
      </c>
      <c r="O1190">
        <f>-657.741895106478 -137.198601222826 -723.567237775736</f>
        <v>-1518.5077341050401</v>
      </c>
      <c r="P1190">
        <f>-664.037526974249 -117.694146448867 -407.709463014607</f>
        <v>-1189.4411364377231</v>
      </c>
      <c r="Q1190">
        <f>-418.875895176201 -41.5155444526024 -449.358612216565</f>
        <v>-909.75005184536849</v>
      </c>
      <c r="R1190" t="s">
        <v>25041</v>
      </c>
      <c r="S1190" t="s">
        <v>25042</v>
      </c>
      <c r="T1190" t="s">
        <v>25043</v>
      </c>
      <c r="U1190" t="s">
        <v>25044</v>
      </c>
      <c r="V1190">
        <f>-639.567509197378 -17.249863535915 -236.241678544162</f>
        <v>-893.05905127745496</v>
      </c>
      <c r="W1190" t="s">
        <v>25045</v>
      </c>
      <c r="X1190" t="s">
        <v>25046</v>
      </c>
      <c r="Y1190" t="s">
        <v>25047</v>
      </c>
    </row>
    <row r="1191" spans="1:25" x14ac:dyDescent="0.3">
      <c r="A1191">
        <v>59500</v>
      </c>
      <c r="B1191" t="s">
        <v>25048</v>
      </c>
      <c r="C1191" t="s">
        <v>25049</v>
      </c>
      <c r="D1191" t="s">
        <v>25050</v>
      </c>
      <c r="E1191" t="s">
        <v>25051</v>
      </c>
      <c r="F1191" t="s">
        <v>25052</v>
      </c>
      <c r="G1191" t="s">
        <v>25053</v>
      </c>
      <c r="H1191" t="s">
        <v>25054</v>
      </c>
      <c r="I1191">
        <f>-570.091154013845 -0.260200975400181 -928.681046377704</f>
        <v>-1499.0324013669492</v>
      </c>
      <c r="J1191" t="s">
        <v>25055</v>
      </c>
      <c r="K1191" t="s">
        <v>25056</v>
      </c>
      <c r="L1191" t="s">
        <v>25057</v>
      </c>
      <c r="M1191" t="s">
        <v>25058</v>
      </c>
      <c r="N1191" t="s">
        <v>25059</v>
      </c>
      <c r="O1191">
        <f>-657.696407056648 -137.171852595425 -723.679809820461</f>
        <v>-1518.5480694725338</v>
      </c>
      <c r="P1191">
        <f>-664.010630244321 -117.641882679774 -407.824085393136</f>
        <v>-1189.476598317231</v>
      </c>
      <c r="Q1191">
        <f>-418.766999582667 -41.5747772080855 -449.193460927356</f>
        <v>-909.53523771810842</v>
      </c>
      <c r="R1191" t="s">
        <v>25060</v>
      </c>
      <c r="S1191" t="s">
        <v>25061</v>
      </c>
      <c r="T1191" t="s">
        <v>25062</v>
      </c>
      <c r="U1191" t="s">
        <v>25063</v>
      </c>
      <c r="V1191">
        <f>-639.551559583129 -17.2192890006303 -236.269129023082</f>
        <v>-893.03997760684126</v>
      </c>
      <c r="W1191" t="s">
        <v>25064</v>
      </c>
      <c r="X1191" t="s">
        <v>25065</v>
      </c>
      <c r="Y1191" t="s">
        <v>25066</v>
      </c>
    </row>
    <row r="1192" spans="1:25" x14ac:dyDescent="0.3">
      <c r="A1192">
        <v>59550</v>
      </c>
      <c r="B1192" t="s">
        <v>25067</v>
      </c>
      <c r="C1192" t="s">
        <v>25068</v>
      </c>
      <c r="D1192" t="s">
        <v>25069</v>
      </c>
      <c r="E1192" t="s">
        <v>25070</v>
      </c>
      <c r="F1192" t="s">
        <v>25071</v>
      </c>
      <c r="G1192" t="s">
        <v>25072</v>
      </c>
      <c r="H1192" t="s">
        <v>25073</v>
      </c>
      <c r="I1192">
        <f>-570.077944481259 -0.211988199648452 -928.80559917762</f>
        <v>-1499.0955318585275</v>
      </c>
      <c r="J1192" t="s">
        <v>25074</v>
      </c>
      <c r="K1192" t="s">
        <v>25075</v>
      </c>
      <c r="L1192" t="s">
        <v>25076</v>
      </c>
      <c r="M1192" t="s">
        <v>25077</v>
      </c>
      <c r="N1192" t="s">
        <v>25078</v>
      </c>
      <c r="O1192">
        <f>-657.838895618506 -137.186510648622 -723.886335211146</f>
        <v>-1518.9117414782741</v>
      </c>
      <c r="P1192">
        <f>-664.495136559322 -117.572446292437 -408.042827556438</f>
        <v>-1190.1104104081969</v>
      </c>
      <c r="Q1192">
        <f>-419.15692304714 -41.5607672347227 -448.950599651822</f>
        <v>-909.66828993368472</v>
      </c>
      <c r="R1192" t="s">
        <v>25079</v>
      </c>
      <c r="S1192" t="s">
        <v>25080</v>
      </c>
      <c r="T1192" t="s">
        <v>25081</v>
      </c>
      <c r="U1192" t="s">
        <v>25082</v>
      </c>
      <c r="V1192">
        <f>-639.595841837625 -17.2698256501254 -236.332936711879</f>
        <v>-893.19860419962947</v>
      </c>
      <c r="W1192" t="s">
        <v>25083</v>
      </c>
      <c r="X1192" t="s">
        <v>25084</v>
      </c>
      <c r="Y1192" t="s">
        <v>25085</v>
      </c>
    </row>
    <row r="1193" spans="1:25" x14ac:dyDescent="0.3">
      <c r="A1193">
        <v>59600</v>
      </c>
      <c r="B1193" t="s">
        <v>25086</v>
      </c>
      <c r="C1193" t="s">
        <v>25087</v>
      </c>
      <c r="D1193" t="s">
        <v>25088</v>
      </c>
      <c r="E1193" t="s">
        <v>25089</v>
      </c>
      <c r="F1193" t="s">
        <v>25090</v>
      </c>
      <c r="G1193" t="s">
        <v>25091</v>
      </c>
      <c r="H1193" t="s">
        <v>25092</v>
      </c>
      <c r="I1193">
        <f>-569.885320359385 -0.164481171140281 -928.851854577119</f>
        <v>-1498.9016561076442</v>
      </c>
      <c r="J1193" t="s">
        <v>25093</v>
      </c>
      <c r="K1193" t="s">
        <v>25094</v>
      </c>
      <c r="L1193" t="s">
        <v>25095</v>
      </c>
      <c r="M1193" t="s">
        <v>25096</v>
      </c>
      <c r="N1193" t="s">
        <v>25097</v>
      </c>
      <c r="O1193">
        <f>-657.770536062447 -137.175325142809 -723.981488063647</f>
        <v>-1518.9273492689031</v>
      </c>
      <c r="P1193">
        <f>-664.66007631101 -117.581011491105 -408.141686491697</f>
        <v>-1190.382774293812</v>
      </c>
      <c r="Q1193">
        <f>-419.250845545342 -41.6904100784765 -448.847629783578</f>
        <v>-909.78888540739649</v>
      </c>
      <c r="R1193" t="s">
        <v>25098</v>
      </c>
      <c r="S1193" t="s">
        <v>25099</v>
      </c>
      <c r="T1193" t="s">
        <v>25100</v>
      </c>
      <c r="U1193" t="s">
        <v>25101</v>
      </c>
      <c r="V1193">
        <f>-639.551688262815 -17.3256254368045 -236.367816800462</f>
        <v>-893.24513050008147</v>
      </c>
      <c r="W1193" t="s">
        <v>25102</v>
      </c>
      <c r="X1193" t="s">
        <v>25103</v>
      </c>
      <c r="Y1193" t="s">
        <v>25104</v>
      </c>
    </row>
    <row r="1194" spans="1:25" x14ac:dyDescent="0.3">
      <c r="A1194">
        <v>59650</v>
      </c>
      <c r="B1194" t="s">
        <v>25105</v>
      </c>
      <c r="C1194" t="s">
        <v>25106</v>
      </c>
      <c r="D1194" t="s">
        <v>25107</v>
      </c>
      <c r="E1194" t="s">
        <v>25108</v>
      </c>
      <c r="F1194" t="s">
        <v>25109</v>
      </c>
      <c r="G1194" t="s">
        <v>25110</v>
      </c>
      <c r="H1194" t="s">
        <v>25111</v>
      </c>
      <c r="I1194">
        <f>-569.129147965805 -0.293628247348863 -928.852520835229</f>
        <v>-1498.275297048383</v>
      </c>
      <c r="J1194" t="s">
        <v>25112</v>
      </c>
      <c r="K1194" t="s">
        <v>25113</v>
      </c>
      <c r="L1194" t="s">
        <v>25114</v>
      </c>
      <c r="M1194" t="s">
        <v>25115</v>
      </c>
      <c r="N1194" t="s">
        <v>25116</v>
      </c>
      <c r="O1194">
        <f>-657.283211758873 -137.366042276993 -724.085862969313</f>
        <v>-1518.7351170051788</v>
      </c>
      <c r="P1194">
        <f>-664.500622965337 -117.617814548057 -408.262920568605</f>
        <v>-1190.381358081999</v>
      </c>
      <c r="Q1194">
        <f>-418.975122533622 -42.0330649102816 -448.836192428074</f>
        <v>-909.84437987197771</v>
      </c>
      <c r="R1194" t="s">
        <v>25117</v>
      </c>
      <c r="S1194" t="s">
        <v>25118</v>
      </c>
      <c r="T1194" t="s">
        <v>25119</v>
      </c>
      <c r="U1194" t="s">
        <v>25120</v>
      </c>
      <c r="V1194">
        <f>-639.42909075529 -17.5011173629421 -236.381622987121</f>
        <v>-893.31183110535301</v>
      </c>
      <c r="W1194" t="s">
        <v>25121</v>
      </c>
      <c r="X1194" t="s">
        <v>25122</v>
      </c>
      <c r="Y1194" t="s">
        <v>25123</v>
      </c>
    </row>
    <row r="1195" spans="1:25" x14ac:dyDescent="0.3">
      <c r="A1195">
        <v>59700</v>
      </c>
      <c r="B1195" t="s">
        <v>25124</v>
      </c>
      <c r="C1195" t="s">
        <v>25125</v>
      </c>
      <c r="D1195" t="s">
        <v>25126</v>
      </c>
      <c r="E1195" t="s">
        <v>25127</v>
      </c>
      <c r="F1195" t="s">
        <v>25128</v>
      </c>
      <c r="G1195" t="s">
        <v>25129</v>
      </c>
      <c r="H1195" t="s">
        <v>25130</v>
      </c>
      <c r="I1195">
        <f>-568.692970676205 -0.400081892554383 -928.801628979791</f>
        <v>-1497.8946815485504</v>
      </c>
      <c r="J1195" t="s">
        <v>25131</v>
      </c>
      <c r="K1195" t="s">
        <v>25132</v>
      </c>
      <c r="L1195" t="s">
        <v>25133</v>
      </c>
      <c r="M1195" t="s">
        <v>25134</v>
      </c>
      <c r="N1195">
        <f>-629.998903425372 -0.0529394559581888 -768.930579896938</f>
        <v>-1398.9824227782681</v>
      </c>
      <c r="O1195">
        <f>-656.983395308964 -137.467660462644 -724.068200531682</f>
        <v>-1518.5192563032901</v>
      </c>
      <c r="P1195">
        <f>-664.423755184431 -117.672763818958 -408.253390963312</f>
        <v>-1190.349909966701</v>
      </c>
      <c r="Q1195">
        <f>-418.898765248028 -42.0686311019375 -448.793884893303</f>
        <v>-909.76128124326851</v>
      </c>
      <c r="R1195" t="s">
        <v>25135</v>
      </c>
      <c r="S1195" t="s">
        <v>25136</v>
      </c>
      <c r="T1195" t="s">
        <v>25137</v>
      </c>
      <c r="U1195" t="s">
        <v>25138</v>
      </c>
      <c r="V1195">
        <f>-639.337678867959 -17.661854269393 -236.373562333004</f>
        <v>-893.37309547035591</v>
      </c>
      <c r="W1195" t="s">
        <v>25139</v>
      </c>
      <c r="X1195" t="s">
        <v>25140</v>
      </c>
      <c r="Y1195" t="s">
        <v>25141</v>
      </c>
    </row>
    <row r="1196" spans="1:25" x14ac:dyDescent="0.3">
      <c r="A1196">
        <v>59750</v>
      </c>
      <c r="B1196" t="s">
        <v>25142</v>
      </c>
      <c r="C1196" t="s">
        <v>25143</v>
      </c>
      <c r="D1196" t="s">
        <v>25144</v>
      </c>
      <c r="E1196" t="s">
        <v>25145</v>
      </c>
      <c r="F1196" t="s">
        <v>25146</v>
      </c>
      <c r="G1196" t="s">
        <v>25147</v>
      </c>
      <c r="H1196" t="s">
        <v>25148</v>
      </c>
      <c r="I1196">
        <f>-567.695091124989 -0.7420806330571 -928.680187037282</f>
        <v>-1497.1173587953281</v>
      </c>
      <c r="J1196" t="s">
        <v>25149</v>
      </c>
      <c r="K1196" t="s">
        <v>25150</v>
      </c>
      <c r="L1196" t="s">
        <v>25151</v>
      </c>
      <c r="M1196" t="s">
        <v>25152</v>
      </c>
      <c r="N1196">
        <f>-629.111978636563 -0.391684389804411 -768.844927048132</f>
        <v>-1398.3485900744995</v>
      </c>
      <c r="O1196">
        <f>-656.095420692617 -137.797738841324 -723.944186689958</f>
        <v>-1517.837346223899</v>
      </c>
      <c r="P1196">
        <f>-663.646549755451 -117.829174304626 -408.142941753204</f>
        <v>-1189.618665813281</v>
      </c>
      <c r="Q1196">
        <f>-418.259673898681 -41.8726041686623 -448.860588474376</f>
        <v>-908.99286654171931</v>
      </c>
      <c r="R1196" t="s">
        <v>25153</v>
      </c>
      <c r="S1196" t="s">
        <v>25154</v>
      </c>
      <c r="T1196" t="s">
        <v>25155</v>
      </c>
      <c r="U1196" t="s">
        <v>25156</v>
      </c>
      <c r="V1196">
        <f>-638.966816007475 -17.9337923945766 -236.333331569402</f>
        <v>-893.23393997145354</v>
      </c>
      <c r="W1196" t="s">
        <v>25157</v>
      </c>
      <c r="X1196" t="s">
        <v>25158</v>
      </c>
      <c r="Y1196" t="s">
        <v>25159</v>
      </c>
    </row>
    <row r="1197" spans="1:25" x14ac:dyDescent="0.3">
      <c r="A1197">
        <v>59800</v>
      </c>
      <c r="B1197" t="s">
        <v>25160</v>
      </c>
      <c r="C1197" t="s">
        <v>25161</v>
      </c>
      <c r="D1197" t="s">
        <v>25162</v>
      </c>
      <c r="E1197" t="s">
        <v>25163</v>
      </c>
      <c r="F1197" t="s">
        <v>25164</v>
      </c>
      <c r="G1197" t="s">
        <v>25165</v>
      </c>
      <c r="H1197" t="s">
        <v>25166</v>
      </c>
      <c r="I1197">
        <f>-567.330394883511 -0.873543313140139 -928.644880648466</f>
        <v>-1496.848818845117</v>
      </c>
      <c r="J1197" t="s">
        <v>25167</v>
      </c>
      <c r="K1197" t="s">
        <v>25168</v>
      </c>
      <c r="L1197" t="s">
        <v>25169</v>
      </c>
      <c r="M1197" t="s">
        <v>25170</v>
      </c>
      <c r="N1197">
        <f>-628.755081403659 -0.520357378498289 -768.811248962533</f>
        <v>-1398.0866877446902</v>
      </c>
      <c r="O1197">
        <f>-655.728154458245 -137.915040489307 -723.876326892184</f>
        <v>-1517.5195218397359</v>
      </c>
      <c r="P1197">
        <f>-663.305507983995 -117.8436893966 -408.082295187597</f>
        <v>-1189.2314925681919</v>
      </c>
      <c r="Q1197">
        <f>-418.031758041235 -41.6272504904613 -448.995501391207</f>
        <v>-908.65450992290323</v>
      </c>
      <c r="R1197" t="s">
        <v>25171</v>
      </c>
      <c r="S1197" t="s">
        <v>25172</v>
      </c>
      <c r="T1197" t="s">
        <v>25173</v>
      </c>
      <c r="U1197" t="s">
        <v>25174</v>
      </c>
      <c r="V1197">
        <f>-638.756762761797 -18.0163958254457 -236.31128623883</f>
        <v>-893.08444482607263</v>
      </c>
      <c r="W1197" t="s">
        <v>25175</v>
      </c>
      <c r="X1197" t="s">
        <v>25176</v>
      </c>
      <c r="Y1197" t="s">
        <v>25177</v>
      </c>
    </row>
    <row r="1198" spans="1:25" x14ac:dyDescent="0.3">
      <c r="A1198">
        <v>59850</v>
      </c>
      <c r="B1198" t="s">
        <v>25178</v>
      </c>
      <c r="C1198" t="s">
        <v>25179</v>
      </c>
      <c r="D1198" t="s">
        <v>25180</v>
      </c>
      <c r="E1198" t="s">
        <v>25181</v>
      </c>
      <c r="F1198" t="s">
        <v>25182</v>
      </c>
      <c r="G1198" t="s">
        <v>25183</v>
      </c>
      <c r="H1198" t="s">
        <v>25184</v>
      </c>
      <c r="I1198">
        <f>-566.538355514356 -1.25450570020148 -928.622447827657</f>
        <v>-1496.4153090422144</v>
      </c>
      <c r="J1198" t="s">
        <v>25185</v>
      </c>
      <c r="K1198" t="s">
        <v>25186</v>
      </c>
      <c r="L1198" t="s">
        <v>25187</v>
      </c>
      <c r="M1198" t="s">
        <v>25188</v>
      </c>
      <c r="N1198">
        <f>-627.904734322634 -0.853704647254069 -768.763914281211</f>
        <v>-1397.522353251099</v>
      </c>
      <c r="O1198">
        <f>-654.89422912473 -138.214977674265 -723.737353776633</f>
        <v>-1516.846560575628</v>
      </c>
      <c r="P1198">
        <f>-662.279615305896 -117.910149753387 -407.953652491582</f>
        <v>-1188.143417550865</v>
      </c>
      <c r="Q1198">
        <f>-417.267070912602 -41.1198304639794 -449.356189507276</f>
        <v>-907.74309088385735</v>
      </c>
      <c r="R1198" t="s">
        <v>25189</v>
      </c>
      <c r="S1198" t="s">
        <v>25190</v>
      </c>
      <c r="T1198" t="s">
        <v>25191</v>
      </c>
      <c r="U1198" t="s">
        <v>25192</v>
      </c>
      <c r="V1198">
        <f>-638.094927428161 -18.1593646278583 -236.277895598854</f>
        <v>-892.53218765487327</v>
      </c>
      <c r="W1198" t="s">
        <v>25193</v>
      </c>
      <c r="X1198" t="s">
        <v>25194</v>
      </c>
      <c r="Y1198" t="s">
        <v>25195</v>
      </c>
    </row>
    <row r="1199" spans="1:25" x14ac:dyDescent="0.3">
      <c r="A1199">
        <v>59900</v>
      </c>
      <c r="B1199" t="s">
        <v>25196</v>
      </c>
      <c r="C1199" t="s">
        <v>25197</v>
      </c>
      <c r="D1199" t="s">
        <v>25198</v>
      </c>
      <c r="E1199" t="s">
        <v>25199</v>
      </c>
      <c r="F1199" t="s">
        <v>25200</v>
      </c>
      <c r="G1199" t="s">
        <v>25201</v>
      </c>
      <c r="H1199" t="s">
        <v>25202</v>
      </c>
      <c r="I1199">
        <f>-566.312698525531 -1.33857551366214 -928.645019331285</f>
        <v>-1496.296293370478</v>
      </c>
      <c r="J1199" t="s">
        <v>25203</v>
      </c>
      <c r="K1199" t="s">
        <v>25204</v>
      </c>
      <c r="L1199" t="s">
        <v>25205</v>
      </c>
      <c r="M1199" t="s">
        <v>25206</v>
      </c>
      <c r="N1199">
        <f>-627.581386622548 -0.920952345904006 -768.748768411305</f>
        <v>-1397.2511073797571</v>
      </c>
      <c r="O1199">
        <f>-654.561617554007 -138.260847194153 -723.644857556112</f>
        <v>-1516.4673223042719</v>
      </c>
      <c r="P1199">
        <f>-661.736379194743 -117.708998722634 -407.872224889085</f>
        <v>-1187.317602806462</v>
      </c>
      <c r="Q1199">
        <f>-416.736956389241 -40.871156398275 -449.263734154844</f>
        <v>-906.87184694235998</v>
      </c>
      <c r="R1199" t="s">
        <v>25207</v>
      </c>
      <c r="S1199" t="s">
        <v>25208</v>
      </c>
      <c r="T1199" t="s">
        <v>25209</v>
      </c>
      <c r="U1199" t="s">
        <v>25210</v>
      </c>
      <c r="V1199">
        <f>-637.720609800808 -18.1417940254788 -236.249984708759</f>
        <v>-892.11238853504585</v>
      </c>
      <c r="W1199" t="s">
        <v>25211</v>
      </c>
      <c r="X1199" t="s">
        <v>25212</v>
      </c>
      <c r="Y1199" t="s">
        <v>25213</v>
      </c>
    </row>
    <row r="1200" spans="1:25" x14ac:dyDescent="0.3">
      <c r="A1200">
        <v>59950</v>
      </c>
      <c r="B1200" t="s">
        <v>25214</v>
      </c>
      <c r="C1200" t="s">
        <v>25215</v>
      </c>
      <c r="D1200" t="s">
        <v>25216</v>
      </c>
      <c r="E1200" t="s">
        <v>25217</v>
      </c>
      <c r="F1200" t="s">
        <v>25218</v>
      </c>
      <c r="G1200" t="s">
        <v>25219</v>
      </c>
      <c r="H1200" t="s">
        <v>25220</v>
      </c>
      <c r="I1200">
        <f>-565.551716743356 -1.70828349718951 -928.597584156761</f>
        <v>-1495.8575843973065</v>
      </c>
      <c r="J1200" t="s">
        <v>25221</v>
      </c>
      <c r="K1200" t="s">
        <v>25222</v>
      </c>
      <c r="L1200" t="s">
        <v>25223</v>
      </c>
      <c r="M1200" t="s">
        <v>25224</v>
      </c>
      <c r="N1200">
        <f>-626.66083581355 -1.16035384443121 -768.639224970637</f>
        <v>-1396.4604146286183</v>
      </c>
      <c r="O1200">
        <f>-653.615981947167 -138.460395275167 -723.395066862447</f>
        <v>-1515.4714440847811</v>
      </c>
      <c r="P1200">
        <f>-660.463051010154 -117.510301639579 -407.641285187238</f>
        <v>-1185.614637836971</v>
      </c>
      <c r="Q1200">
        <f>-415.560278524146 -40.448566780772 -449.188586859925</f>
        <v>-905.19743216484301</v>
      </c>
      <c r="R1200" t="s">
        <v>25225</v>
      </c>
      <c r="S1200" t="s">
        <v>25226</v>
      </c>
      <c r="T1200" t="s">
        <v>25227</v>
      </c>
      <c r="U1200" t="s">
        <v>25228</v>
      </c>
      <c r="V1200">
        <f>-636.811090003899 -18.1408072149444 -236.198950849104</f>
        <v>-891.15084806794744</v>
      </c>
      <c r="W1200" t="s">
        <v>25229</v>
      </c>
      <c r="X1200" t="s">
        <v>25230</v>
      </c>
      <c r="Y1200" t="s">
        <v>25231</v>
      </c>
    </row>
    <row r="1201" spans="1:25" x14ac:dyDescent="0.3">
      <c r="A1201">
        <v>60000</v>
      </c>
      <c r="B1201" t="s">
        <v>25232</v>
      </c>
      <c r="C1201" t="s">
        <v>25233</v>
      </c>
      <c r="D1201" t="s">
        <v>25234</v>
      </c>
      <c r="E1201" t="s">
        <v>25235</v>
      </c>
      <c r="F1201" t="s">
        <v>25236</v>
      </c>
      <c r="G1201" t="s">
        <v>25237</v>
      </c>
      <c r="H1201" t="s">
        <v>25238</v>
      </c>
      <c r="I1201">
        <f>-564.983712800042 -1.83953215571373 -928.611173024026</f>
        <v>-1495.4344179797818</v>
      </c>
      <c r="J1201" t="s">
        <v>25239</v>
      </c>
      <c r="K1201" t="s">
        <v>25240</v>
      </c>
      <c r="L1201" t="s">
        <v>25241</v>
      </c>
      <c r="M1201" t="s">
        <v>25242</v>
      </c>
      <c r="N1201">
        <f>-626.03534779346 -1.25146493297544 -768.631366088857</f>
        <v>-1395.9181788152923</v>
      </c>
      <c r="O1201">
        <f>-653.004561887932 -138.519488443232 -723.317854778725</f>
        <v>-1514.841905109889</v>
      </c>
      <c r="P1201">
        <f>-659.573573258153 -117.433797511297 -407.567202683714</f>
        <v>-1184.574573453164</v>
      </c>
      <c r="Q1201">
        <f>-414.636628938323 -40.5439854481933 -449.23123892601</f>
        <v>-904.41185331252632</v>
      </c>
      <c r="R1201" t="s">
        <v>25243</v>
      </c>
      <c r="S1201" t="s">
        <v>25244</v>
      </c>
      <c r="T1201" t="s">
        <v>25245</v>
      </c>
      <c r="U1201" t="s">
        <v>25246</v>
      </c>
      <c r="V1201">
        <f>-636.37215179597 -18.2716067999354 -236.171997360684</f>
        <v>-890.81575595658944</v>
      </c>
      <c r="W1201" t="s">
        <v>25247</v>
      </c>
      <c r="X1201" t="s">
        <v>25248</v>
      </c>
      <c r="Y1201" t="s">
        <v>25249</v>
      </c>
    </row>
    <row r="1202" spans="1:25" x14ac:dyDescent="0.3">
      <c r="A1202">
        <v>60050</v>
      </c>
      <c r="B1202" t="s">
        <v>25250</v>
      </c>
      <c r="C1202" t="s">
        <v>25251</v>
      </c>
      <c r="D1202" t="s">
        <v>25252</v>
      </c>
      <c r="E1202" t="s">
        <v>25253</v>
      </c>
      <c r="F1202" t="s">
        <v>25254</v>
      </c>
      <c r="G1202" t="s">
        <v>25255</v>
      </c>
      <c r="H1202" t="s">
        <v>25256</v>
      </c>
      <c r="I1202">
        <f>-563.963776765991 -2.64048829023179 -928.565801887744</f>
        <v>-1495.170066943967</v>
      </c>
      <c r="J1202" t="s">
        <v>25257</v>
      </c>
      <c r="K1202" t="s">
        <v>25258</v>
      </c>
      <c r="L1202" t="s">
        <v>25259</v>
      </c>
      <c r="M1202" t="s">
        <v>25260</v>
      </c>
      <c r="N1202">
        <f>-624.880640784173 -1.75293371683524 -768.53215968672</f>
        <v>-1395.1657341877283</v>
      </c>
      <c r="O1202">
        <f>-651.8244685698 -138.956434632663 -723.017068040582</f>
        <v>-1513.7979712430451</v>
      </c>
      <c r="P1202">
        <f>-658.147404262526 -117.542393730747 -407.283518911387</f>
        <v>-1182.9733169046599</v>
      </c>
      <c r="Q1202">
        <f>-413.279497670225 -40.8927504224339 -449.787705722912</f>
        <v>-903.95995381557088</v>
      </c>
      <c r="R1202" t="s">
        <v>25261</v>
      </c>
      <c r="S1202" t="s">
        <v>25262</v>
      </c>
      <c r="T1202" t="s">
        <v>25263</v>
      </c>
      <c r="U1202" t="s">
        <v>25264</v>
      </c>
      <c r="V1202">
        <f>-635.346381983614 -18.1522411241006 -236.145509540826</f>
        <v>-889.64413264854056</v>
      </c>
      <c r="W1202" t="s">
        <v>25265</v>
      </c>
      <c r="X1202" t="s">
        <v>25266</v>
      </c>
      <c r="Y1202" t="s">
        <v>25267</v>
      </c>
    </row>
    <row r="1203" spans="1:25" x14ac:dyDescent="0.3">
      <c r="A1203">
        <v>60100</v>
      </c>
      <c r="B1203" t="s">
        <v>25268</v>
      </c>
      <c r="C1203" t="s">
        <v>25269</v>
      </c>
      <c r="D1203" t="s">
        <v>25270</v>
      </c>
      <c r="E1203" t="s">
        <v>25271</v>
      </c>
      <c r="F1203" t="s">
        <v>25272</v>
      </c>
      <c r="G1203" t="s">
        <v>25273</v>
      </c>
      <c r="H1203" t="s">
        <v>25274</v>
      </c>
      <c r="I1203">
        <f>-563.431719005639 -3.113522783304 -928.545599090595</f>
        <v>-1495.0908408795381</v>
      </c>
      <c r="J1203" t="s">
        <v>25275</v>
      </c>
      <c r="K1203" t="s">
        <v>25276</v>
      </c>
      <c r="L1203" t="s">
        <v>25277</v>
      </c>
      <c r="M1203" t="s">
        <v>25278</v>
      </c>
      <c r="N1203">
        <f>-624.244192927989 -2.08225772055764 -768.472806169084</f>
        <v>-1394.7992568176307</v>
      </c>
      <c r="O1203">
        <f>-651.191080616159 -139.254189597916 -722.846093787176</f>
        <v>-1513.2913640012509</v>
      </c>
      <c r="P1203">
        <f>-657.336261769296 -117.53304803388 -407.130040462719</f>
        <v>-1181.9993502658951</v>
      </c>
      <c r="Q1203">
        <f>-412.461947552953 -41.1941231222132 -450.153344464847</f>
        <v>-903.80941514001324</v>
      </c>
      <c r="R1203" t="s">
        <v>25279</v>
      </c>
      <c r="S1203" t="s">
        <v>25280</v>
      </c>
      <c r="T1203" t="s">
        <v>25281</v>
      </c>
      <c r="U1203" t="s">
        <v>25282</v>
      </c>
      <c r="V1203">
        <f>-634.76602945991 -18.1391505903076 -236.133363514579</f>
        <v>-889.03854356479656</v>
      </c>
      <c r="W1203" t="s">
        <v>25283</v>
      </c>
      <c r="X1203" t="s">
        <v>25284</v>
      </c>
      <c r="Y1203" t="s">
        <v>25285</v>
      </c>
    </row>
    <row r="1204" spans="1:25" x14ac:dyDescent="0.3">
      <c r="A1204">
        <v>60150</v>
      </c>
      <c r="B1204" t="s">
        <v>25286</v>
      </c>
      <c r="C1204" t="s">
        <v>25287</v>
      </c>
      <c r="D1204" t="s">
        <v>25288</v>
      </c>
      <c r="E1204" t="s">
        <v>25289</v>
      </c>
      <c r="F1204" t="s">
        <v>25290</v>
      </c>
      <c r="G1204" t="s">
        <v>25291</v>
      </c>
      <c r="H1204" t="s">
        <v>25292</v>
      </c>
      <c r="I1204">
        <f>-562.4832408875 -3.95990452273031 -928.47023096807</f>
        <v>-1494.9133763783002</v>
      </c>
      <c r="J1204" t="s">
        <v>25293</v>
      </c>
      <c r="K1204" t="s">
        <v>25294</v>
      </c>
      <c r="L1204" t="s">
        <v>25295</v>
      </c>
      <c r="M1204" t="s">
        <v>25296</v>
      </c>
      <c r="N1204">
        <f>-623.144985047743 -2.5765554389579 -768.341778986256</f>
        <v>-1394.0633194729571</v>
      </c>
      <c r="O1204">
        <f>-650.226965632793 -139.63399490092 -722.457538151652</f>
        <v>-1512.3184986853651</v>
      </c>
      <c r="P1204">
        <f>-655.888906006254 -117.886509604191 -406.73433297224</f>
        <v>-1180.509748582685</v>
      </c>
      <c r="Q1204">
        <f>-411.290461373383 -41.7042913891007 -451.566381655633</f>
        <v>-904.56113441811669</v>
      </c>
      <c r="R1204" t="s">
        <v>25297</v>
      </c>
      <c r="S1204" t="s">
        <v>25298</v>
      </c>
      <c r="T1204" t="s">
        <v>25299</v>
      </c>
      <c r="U1204" t="s">
        <v>25300</v>
      </c>
      <c r="V1204">
        <f>-633.564905836849 -18.028640640995 -236.108999187722</f>
        <v>-887.70254566556605</v>
      </c>
      <c r="W1204" t="s">
        <v>25301</v>
      </c>
      <c r="X1204" t="s">
        <v>25302</v>
      </c>
      <c r="Y1204" t="s">
        <v>25303</v>
      </c>
    </row>
    <row r="1205" spans="1:25" x14ac:dyDescent="0.3">
      <c r="A1205">
        <v>60200</v>
      </c>
      <c r="B1205" t="s">
        <v>25304</v>
      </c>
      <c r="C1205" t="s">
        <v>25305</v>
      </c>
      <c r="D1205" t="s">
        <v>25306</v>
      </c>
      <c r="E1205" t="s">
        <v>25307</v>
      </c>
      <c r="F1205" t="s">
        <v>25308</v>
      </c>
      <c r="G1205" t="s">
        <v>25309</v>
      </c>
      <c r="H1205" t="s">
        <v>25310</v>
      </c>
      <c r="I1205">
        <f>-561.979804038757 -4.10388246479066 -928.499335762656</f>
        <v>-1494.5830222662037</v>
      </c>
      <c r="J1205" t="s">
        <v>25311</v>
      </c>
      <c r="K1205" t="s">
        <v>25312</v>
      </c>
      <c r="L1205" t="s">
        <v>25313</v>
      </c>
      <c r="M1205" t="s">
        <v>25314</v>
      </c>
      <c r="N1205">
        <f>-622.590338252602 -2.55774447807781 -768.35856440801</f>
        <v>-1393.5066471386899</v>
      </c>
      <c r="O1205">
        <f>-649.720120092035 -139.587756742311 -722.387918207411</f>
        <v>-1511.6957950417568</v>
      </c>
      <c r="P1205">
        <f>-654.911783858139 -118.014018284499 -406.644648288612</f>
        <v>-1179.57045043125</v>
      </c>
      <c r="Q1205">
        <f>-410.49458037142 -41.7660893166317 -452.345319025692</f>
        <v>-904.60598871374373</v>
      </c>
      <c r="R1205" t="s">
        <v>25315</v>
      </c>
      <c r="S1205" t="s">
        <v>25316</v>
      </c>
      <c r="T1205" t="s">
        <v>25317</v>
      </c>
      <c r="U1205" t="s">
        <v>25318</v>
      </c>
      <c r="V1205">
        <f>-632.987109058192 -17.795935211242 -236.125461742861</f>
        <v>-886.90850601229499</v>
      </c>
      <c r="W1205" t="s">
        <v>25319</v>
      </c>
      <c r="X1205" t="s">
        <v>25320</v>
      </c>
      <c r="Y1205" t="s">
        <v>25321</v>
      </c>
    </row>
    <row r="1206" spans="1:25" x14ac:dyDescent="0.3">
      <c r="A1206">
        <v>60250</v>
      </c>
      <c r="B1206" t="s">
        <v>25322</v>
      </c>
      <c r="C1206" t="s">
        <v>25323</v>
      </c>
      <c r="D1206" t="s">
        <v>25324</v>
      </c>
      <c r="E1206" t="s">
        <v>25325</v>
      </c>
      <c r="F1206" t="s">
        <v>25326</v>
      </c>
      <c r="G1206" t="s">
        <v>25327</v>
      </c>
      <c r="H1206" t="s">
        <v>25328</v>
      </c>
      <c r="I1206">
        <f>-560.543712831771 -4.41094538846159 -928.546907511667</f>
        <v>-1493.5015657318995</v>
      </c>
      <c r="J1206" t="s">
        <v>25329</v>
      </c>
      <c r="K1206" t="s">
        <v>25330</v>
      </c>
      <c r="L1206" t="s">
        <v>25331</v>
      </c>
      <c r="M1206" t="s">
        <v>25332</v>
      </c>
      <c r="N1206">
        <f>-621.04219794992 -2.58238852877672 -768.381879905239</f>
        <v>-1392.0064663839357</v>
      </c>
      <c r="O1206">
        <f>-648.216253307904 -139.522508480873 -722.20356227183</f>
        <v>-1509.942324060607</v>
      </c>
      <c r="P1206">
        <f>-652.702646611518 -118.299329862723 -406.42567313095</f>
        <v>-1177.4276496051909</v>
      </c>
      <c r="Q1206">
        <f>-408.798868777176 -41.3549438662254 -453.67576228151</f>
        <v>-903.82957492491141</v>
      </c>
      <c r="R1206" t="s">
        <v>25333</v>
      </c>
      <c r="S1206" t="s">
        <v>25334</v>
      </c>
      <c r="T1206" t="s">
        <v>25335</v>
      </c>
      <c r="U1206" t="s">
        <v>25336</v>
      </c>
      <c r="V1206">
        <f>-631.807767568573 -17.3837448519353 -236.149609116125</f>
        <v>-885.3411215366333</v>
      </c>
      <c r="W1206" t="s">
        <v>25337</v>
      </c>
      <c r="X1206" t="s">
        <v>25338</v>
      </c>
      <c r="Y1206" t="s">
        <v>25339</v>
      </c>
    </row>
    <row r="1207" spans="1:25" x14ac:dyDescent="0.3">
      <c r="A1207">
        <v>60300</v>
      </c>
      <c r="B1207" t="s">
        <v>25340</v>
      </c>
      <c r="C1207" t="s">
        <v>25341</v>
      </c>
      <c r="D1207" t="s">
        <v>25342</v>
      </c>
      <c r="E1207" t="s">
        <v>25343</v>
      </c>
      <c r="F1207" t="s">
        <v>25344</v>
      </c>
      <c r="G1207" t="s">
        <v>25345</v>
      </c>
      <c r="H1207" t="s">
        <v>25346</v>
      </c>
      <c r="I1207">
        <f>-559.92376991179 -4.44313977477049 -928.527097591856</f>
        <v>-1492.8940072784167</v>
      </c>
      <c r="J1207" t="s">
        <v>25347</v>
      </c>
      <c r="K1207" t="s">
        <v>25348</v>
      </c>
      <c r="L1207" t="s">
        <v>25349</v>
      </c>
      <c r="M1207" t="s">
        <v>25350</v>
      </c>
      <c r="N1207">
        <f>-620.355911786256 -2.5306062955645 -768.338947476568</f>
        <v>-1391.2254655583886</v>
      </c>
      <c r="O1207">
        <f>-647.4318549395 -139.466902600168 -722.073126507019</f>
        <v>-1508.9718840466869</v>
      </c>
      <c r="P1207">
        <f>-651.578749905519 -118.096707306228 -406.300548244669</f>
        <v>-1175.976005456416</v>
      </c>
      <c r="Q1207">
        <f>-407.858673449087 -40.9597432951703 -454.18035189736</f>
        <v>-902.99876864161729</v>
      </c>
      <c r="R1207" t="s">
        <v>25351</v>
      </c>
      <c r="S1207" t="s">
        <v>25352</v>
      </c>
      <c r="T1207" t="s">
        <v>25353</v>
      </c>
      <c r="U1207" t="s">
        <v>25354</v>
      </c>
      <c r="V1207">
        <f>-631.220275251687 -17.0793880287952 -236.147999734755</f>
        <v>-884.44766301523714</v>
      </c>
      <c r="W1207" t="s">
        <v>25355</v>
      </c>
      <c r="X1207" t="s">
        <v>25356</v>
      </c>
      <c r="Y1207" t="s">
        <v>25357</v>
      </c>
    </row>
    <row r="1208" spans="1:25" x14ac:dyDescent="0.3">
      <c r="A1208">
        <v>60350</v>
      </c>
      <c r="B1208" t="s">
        <v>25358</v>
      </c>
      <c r="C1208" t="s">
        <v>25359</v>
      </c>
      <c r="D1208" t="s">
        <v>25360</v>
      </c>
      <c r="E1208" t="s">
        <v>25361</v>
      </c>
      <c r="F1208" t="s">
        <v>25362</v>
      </c>
      <c r="G1208" t="s">
        <v>25363</v>
      </c>
      <c r="H1208" t="s">
        <v>25364</v>
      </c>
      <c r="I1208">
        <f>-558.977768939469 -4.77421771097218 -928.524457925702</f>
        <v>-1492.2764445761431</v>
      </c>
      <c r="J1208" t="s">
        <v>25365</v>
      </c>
      <c r="K1208" t="s">
        <v>25366</v>
      </c>
      <c r="L1208" t="s">
        <v>25367</v>
      </c>
      <c r="M1208" t="s">
        <v>25368</v>
      </c>
      <c r="N1208">
        <f>-619.229478451651 -2.66478025950643 -768.269712207602</f>
        <v>-1390.1639709187593</v>
      </c>
      <c r="O1208">
        <f>-646.147178145613 -139.527496053294 -721.71981485524</f>
        <v>-1507.394489054147</v>
      </c>
      <c r="P1208">
        <f>-649.990267168824 -117.575796042398 -405.983288805092</f>
        <v>-1173.5493520163141</v>
      </c>
      <c r="Q1208">
        <f>-406.569202615695 -40.2125684305972 -455.005448916878</f>
        <v>-901.78721996317017</v>
      </c>
      <c r="R1208" t="s">
        <v>25369</v>
      </c>
      <c r="S1208" t="s">
        <v>25370</v>
      </c>
      <c r="T1208" t="s">
        <v>25371</v>
      </c>
      <c r="U1208" t="s">
        <v>25372</v>
      </c>
      <c r="V1208">
        <f>-630.019870685486 -16.5187965557362 -236.168808489674</f>
        <v>-882.70747573089625</v>
      </c>
      <c r="W1208" t="s">
        <v>25373</v>
      </c>
      <c r="X1208" t="s">
        <v>25374</v>
      </c>
      <c r="Y1208" t="s">
        <v>25375</v>
      </c>
    </row>
    <row r="1209" spans="1:25" x14ac:dyDescent="0.3">
      <c r="A1209">
        <v>60400</v>
      </c>
      <c r="B1209" t="s">
        <v>25376</v>
      </c>
      <c r="C1209" t="s">
        <v>25377</v>
      </c>
      <c r="D1209" t="s">
        <v>25378</v>
      </c>
      <c r="E1209" t="s">
        <v>25379</v>
      </c>
      <c r="F1209" t="s">
        <v>25380</v>
      </c>
      <c r="G1209" t="s">
        <v>25381</v>
      </c>
      <c r="H1209" t="s">
        <v>25382</v>
      </c>
      <c r="I1209">
        <f>-558.266575727793 -4.74731435791285 -928.539702332007</f>
        <v>-1491.5535924177129</v>
      </c>
      <c r="J1209" t="s">
        <v>25383</v>
      </c>
      <c r="K1209" t="s">
        <v>25384</v>
      </c>
      <c r="L1209" t="s">
        <v>25385</v>
      </c>
      <c r="M1209" t="s">
        <v>25386</v>
      </c>
      <c r="N1209">
        <f>-618.478051145454 -2.59394712597499 -768.26898556074</f>
        <v>-1389.3409838321691</v>
      </c>
      <c r="O1209">
        <f>-645.341638349025 -139.452636697797 -721.634328699021</f>
        <v>-1506.4286037458428</v>
      </c>
      <c r="P1209">
        <f>-648.837247182862 -117.592226730536 -405.887433804154</f>
        <v>-1172.3169077175521</v>
      </c>
      <c r="Q1209">
        <f>-405.560590767871 -40.1015068892867 -455.422653889188</f>
        <v>-901.08475154634573</v>
      </c>
      <c r="R1209" t="s">
        <v>25387</v>
      </c>
      <c r="S1209" t="s">
        <v>25388</v>
      </c>
      <c r="T1209" t="s">
        <v>25389</v>
      </c>
      <c r="U1209" t="s">
        <v>25390</v>
      </c>
      <c r="V1209">
        <f>-629.397943644334 -16.2500172963851 -236.170832707386</f>
        <v>-881.81879364810504</v>
      </c>
      <c r="W1209" t="s">
        <v>25391</v>
      </c>
      <c r="X1209" t="s">
        <v>25392</v>
      </c>
      <c r="Y1209" t="s">
        <v>25393</v>
      </c>
    </row>
    <row r="1210" spans="1:25" x14ac:dyDescent="0.3">
      <c r="A1210">
        <v>60450</v>
      </c>
      <c r="B1210" t="s">
        <v>25394</v>
      </c>
      <c r="C1210" t="s">
        <v>25395</v>
      </c>
      <c r="D1210" t="s">
        <v>25396</v>
      </c>
      <c r="E1210" t="s">
        <v>25397</v>
      </c>
      <c r="F1210" t="s">
        <v>25398</v>
      </c>
      <c r="G1210" t="s">
        <v>25399</v>
      </c>
      <c r="H1210" t="s">
        <v>25400</v>
      </c>
      <c r="I1210">
        <f>-557.06467913269 -4.65109960750557 -928.481416218659</f>
        <v>-1490.1971949588547</v>
      </c>
      <c r="J1210" t="s">
        <v>25401</v>
      </c>
      <c r="K1210" t="s">
        <v>25402</v>
      </c>
      <c r="L1210" t="s">
        <v>25403</v>
      </c>
      <c r="M1210" t="s">
        <v>25404</v>
      </c>
      <c r="N1210">
        <f>-617.25134381825 -2.36119101751667 -768.209645881798</f>
        <v>-1387.8221807175646</v>
      </c>
      <c r="O1210">
        <f>-644.030130621085 -139.172295380188 -721.438727664564</f>
        <v>-1504.641153665837</v>
      </c>
      <c r="P1210">
        <f>-647.55483364534 -117.436986771143 -405.683485805877</f>
        <v>-1170.6753062223599</v>
      </c>
      <c r="Q1210">
        <f>-404.734043873743 -39.2608972867925 -456.364712168242</f>
        <v>-900.35965332877754</v>
      </c>
      <c r="R1210" t="s">
        <v>25405</v>
      </c>
      <c r="S1210" t="s">
        <v>25406</v>
      </c>
      <c r="T1210" t="s">
        <v>25407</v>
      </c>
      <c r="U1210" t="s">
        <v>25408</v>
      </c>
      <c r="V1210">
        <f>-628.308351481513 -15.5930644593576 -236.14693075608</f>
        <v>-880.0483466969506</v>
      </c>
      <c r="W1210" t="s">
        <v>25409</v>
      </c>
      <c r="X1210" t="s">
        <v>25410</v>
      </c>
      <c r="Y1210" t="s">
        <v>25411</v>
      </c>
    </row>
    <row r="1211" spans="1:25" x14ac:dyDescent="0.3">
      <c r="A1211">
        <v>60500</v>
      </c>
      <c r="B1211" t="s">
        <v>25412</v>
      </c>
      <c r="C1211" t="s">
        <v>25413</v>
      </c>
      <c r="D1211" t="s">
        <v>25414</v>
      </c>
      <c r="E1211" t="s">
        <v>25415</v>
      </c>
      <c r="F1211" t="s">
        <v>25416</v>
      </c>
      <c r="G1211" t="s">
        <v>25417</v>
      </c>
      <c r="H1211" t="s">
        <v>25418</v>
      </c>
      <c r="I1211">
        <f>-556.296896766728 -4.51842087381822 -928.437075092213</f>
        <v>-1489.2523927327593</v>
      </c>
      <c r="J1211" t="s">
        <v>25419</v>
      </c>
      <c r="K1211" t="s">
        <v>25420</v>
      </c>
      <c r="L1211" t="s">
        <v>25421</v>
      </c>
      <c r="M1211" t="s">
        <v>25422</v>
      </c>
      <c r="N1211">
        <f>-616.555799322864 -2.16970842560922 -768.197205029935</f>
        <v>-1386.9227127784084</v>
      </c>
      <c r="O1211">
        <f>-643.363828797226 -138.989736329908 -721.440319802812</f>
        <v>-1503.7938849299462</v>
      </c>
      <c r="P1211">
        <f>-646.889014051624 -117.788763831075 -405.648802350381</f>
        <v>-1170.32658023308</v>
      </c>
      <c r="Q1211">
        <f>-404.327150875956 -39.0271554891967 -456.662598307552</f>
        <v>-900.01690467270475</v>
      </c>
      <c r="R1211" t="s">
        <v>25423</v>
      </c>
      <c r="S1211" t="s">
        <v>25424</v>
      </c>
      <c r="T1211" t="s">
        <v>25425</v>
      </c>
      <c r="U1211" t="s">
        <v>25426</v>
      </c>
      <c r="V1211">
        <f>-627.781917235858 -15.2542627468169 -236.146655625028</f>
        <v>-879.18283560770294</v>
      </c>
      <c r="W1211" t="s">
        <v>25427</v>
      </c>
      <c r="X1211" t="s">
        <v>25428</v>
      </c>
      <c r="Y1211" t="s">
        <v>25429</v>
      </c>
    </row>
    <row r="1212" spans="1:25" x14ac:dyDescent="0.3">
      <c r="A1212">
        <v>60550</v>
      </c>
      <c r="B1212" t="s">
        <v>25430</v>
      </c>
      <c r="C1212" t="s">
        <v>25431</v>
      </c>
      <c r="D1212" t="s">
        <v>25432</v>
      </c>
      <c r="E1212" t="s">
        <v>25433</v>
      </c>
      <c r="F1212" t="s">
        <v>25434</v>
      </c>
      <c r="G1212" t="s">
        <v>25435</v>
      </c>
      <c r="H1212" t="s">
        <v>25436</v>
      </c>
      <c r="I1212">
        <f>-554.876730023097 -3.81715097382744 -928.441872935739</f>
        <v>-1487.1357539326634</v>
      </c>
      <c r="J1212" t="s">
        <v>25437</v>
      </c>
      <c r="K1212" t="s">
        <v>25438</v>
      </c>
      <c r="L1212" t="s">
        <v>25439</v>
      </c>
      <c r="M1212" t="s">
        <v>25440</v>
      </c>
      <c r="N1212">
        <f>-615.222934156909 -1.4287550372474 -768.257468427322</f>
        <v>-1384.9091576214782</v>
      </c>
      <c r="O1212">
        <f>-642.106225372534 -138.2344856159 -721.512597593283</f>
        <v>-1501.8533085817171</v>
      </c>
      <c r="P1212">
        <f>-645.52329665528 -117.178252112731 -405.710206027324</f>
        <v>-1168.4117547953349</v>
      </c>
      <c r="Q1212">
        <f>-403.191693824675 -37.9619646847512 -457.112903936824</f>
        <v>-898.26656244625019</v>
      </c>
      <c r="R1212" t="s">
        <v>25441</v>
      </c>
      <c r="S1212" t="s">
        <v>25442</v>
      </c>
      <c r="T1212" t="s">
        <v>25443</v>
      </c>
      <c r="U1212" t="s">
        <v>25444</v>
      </c>
      <c r="V1212">
        <f>-626.835444477956 -14.3896687283155 -236.14377577507</f>
        <v>-877.36888898134157</v>
      </c>
      <c r="W1212" t="s">
        <v>25445</v>
      </c>
      <c r="X1212" t="s">
        <v>25446</v>
      </c>
      <c r="Y1212" t="s">
        <v>25447</v>
      </c>
    </row>
    <row r="1213" spans="1:25" x14ac:dyDescent="0.3">
      <c r="A1213">
        <v>60600</v>
      </c>
      <c r="B1213" t="s">
        <v>25448</v>
      </c>
      <c r="C1213" t="s">
        <v>25449</v>
      </c>
      <c r="D1213" t="s">
        <v>25450</v>
      </c>
      <c r="E1213" t="s">
        <v>25451</v>
      </c>
      <c r="F1213" t="s">
        <v>25452</v>
      </c>
      <c r="G1213" t="s">
        <v>25453</v>
      </c>
      <c r="H1213" t="s">
        <v>25454</v>
      </c>
      <c r="I1213">
        <f>-554.053669888716 -3.41943886910631 -928.399702161684</f>
        <v>-1485.8728109195063</v>
      </c>
      <c r="J1213" t="s">
        <v>25455</v>
      </c>
      <c r="K1213" t="s">
        <v>25456</v>
      </c>
      <c r="L1213" t="s">
        <v>25457</v>
      </c>
      <c r="M1213" t="s">
        <v>25458</v>
      </c>
      <c r="N1213">
        <f>-614.486702459665 -1.05234708598505 -768.253529527448</f>
        <v>-1383.7925790730981</v>
      </c>
      <c r="O1213">
        <f>-641.394830862035 -137.865284325227 -721.552088831918</f>
        <v>-1500.8122040191799</v>
      </c>
      <c r="P1213">
        <f>-644.83080420555 -116.979967152209 -405.738510916172</f>
        <v>-1167.5492822739311</v>
      </c>
      <c r="Q1213">
        <f>-402.393611408292 -37.8763742328392 -456.816045766032</f>
        <v>-897.08603140716309</v>
      </c>
      <c r="R1213" t="s">
        <v>25459</v>
      </c>
      <c r="S1213" t="s">
        <v>25460</v>
      </c>
      <c r="T1213" t="s">
        <v>25461</v>
      </c>
      <c r="U1213" t="s">
        <v>25462</v>
      </c>
      <c r="V1213">
        <f>-626.434325981513 -14.0739322464087 -236.129334050491</f>
        <v>-876.63759227841274</v>
      </c>
      <c r="W1213" t="s">
        <v>25463</v>
      </c>
      <c r="X1213" t="s">
        <v>25464</v>
      </c>
      <c r="Y1213" t="s">
        <v>25465</v>
      </c>
    </row>
    <row r="1214" spans="1:25" x14ac:dyDescent="0.3">
      <c r="A1214">
        <v>60650</v>
      </c>
      <c r="B1214" t="s">
        <v>25466</v>
      </c>
      <c r="C1214" t="s">
        <v>25467</v>
      </c>
      <c r="D1214" t="s">
        <v>25468</v>
      </c>
      <c r="E1214" t="s">
        <v>25469</v>
      </c>
      <c r="F1214" t="s">
        <v>25470</v>
      </c>
      <c r="G1214" t="s">
        <v>25471</v>
      </c>
      <c r="H1214" t="s">
        <v>25472</v>
      </c>
      <c r="I1214">
        <f>-552.788350081756 -2.8820673572351 -928.463998321883</f>
        <v>-1484.1344157608742</v>
      </c>
      <c r="J1214" t="s">
        <v>25473</v>
      </c>
      <c r="K1214" t="s">
        <v>25474</v>
      </c>
      <c r="L1214" t="s">
        <v>25475</v>
      </c>
      <c r="M1214" t="s">
        <v>25476</v>
      </c>
      <c r="N1214">
        <f>-613.331446944729 -0.523448475434378 -768.367043911581</f>
        <v>-1382.2219393317446</v>
      </c>
      <c r="O1214">
        <f>-640.371819068511 -137.316644496529 -721.690787697499</f>
        <v>-1499.3792512625389</v>
      </c>
      <c r="P1214">
        <f>-643.995130000619 -116.31055037004 -405.887418644941</f>
        <v>-1166.1930990156002</v>
      </c>
      <c r="Q1214">
        <f>-401.300795812605 -37.5630111829495 -456.288973880496</f>
        <v>-895.15278087605043</v>
      </c>
      <c r="R1214" t="s">
        <v>25477</v>
      </c>
      <c r="S1214" t="s">
        <v>25478</v>
      </c>
      <c r="T1214" t="s">
        <v>25479</v>
      </c>
      <c r="U1214" t="s">
        <v>25480</v>
      </c>
      <c r="V1214">
        <f>-625.645710334871 -13.4051045738501 -236.160694225884</f>
        <v>-875.21150913460497</v>
      </c>
      <c r="W1214" t="s">
        <v>25481</v>
      </c>
      <c r="X1214" t="s">
        <v>25482</v>
      </c>
      <c r="Y1214" t="s">
        <v>25483</v>
      </c>
    </row>
    <row r="1215" spans="1:25" x14ac:dyDescent="0.3">
      <c r="A1215">
        <v>60700</v>
      </c>
      <c r="B1215" t="s">
        <v>25484</v>
      </c>
      <c r="C1215" t="s">
        <v>25485</v>
      </c>
      <c r="D1215" t="s">
        <v>25486</v>
      </c>
      <c r="E1215" t="s">
        <v>25487</v>
      </c>
      <c r="F1215" t="s">
        <v>25488</v>
      </c>
      <c r="G1215" t="s">
        <v>25489</v>
      </c>
      <c r="H1215" t="s">
        <v>25490</v>
      </c>
      <c r="I1215">
        <f>-552.085843540709 -2.47313366246302 -928.483500332613</f>
        <v>-1483.0424775357851</v>
      </c>
      <c r="J1215" t="s">
        <v>25491</v>
      </c>
      <c r="K1215" t="s">
        <v>25492</v>
      </c>
      <c r="L1215" t="s">
        <v>25493</v>
      </c>
      <c r="M1215" t="s">
        <v>25494</v>
      </c>
      <c r="N1215">
        <f>-612.704725582866 -0.136404579557393 -768.41451961757</f>
        <v>-1381.2556497799933</v>
      </c>
      <c r="O1215">
        <f>-639.794295766079 -136.941831420448 -721.774244060494</f>
        <v>-1498.5103712470209</v>
      </c>
      <c r="P1215">
        <f>-643.566483625289 -116.004000457811 -405.968038402944</f>
        <v>-1165.538522486044</v>
      </c>
      <c r="Q1215">
        <f>-400.692929097715 -37.4876410252939 -455.864871160174</f>
        <v>-894.04544128318298</v>
      </c>
      <c r="R1215" t="s">
        <v>25495</v>
      </c>
      <c r="S1215" t="s">
        <v>25496</v>
      </c>
      <c r="T1215" t="s">
        <v>25497</v>
      </c>
      <c r="U1215" t="s">
        <v>25498</v>
      </c>
      <c r="V1215">
        <f>-625.288415147934 -12.9660250377368 -236.184508811154</f>
        <v>-874.43894899682482</v>
      </c>
      <c r="W1215" t="s">
        <v>25499</v>
      </c>
      <c r="X1215" t="s">
        <v>25500</v>
      </c>
      <c r="Y1215" t="s">
        <v>25501</v>
      </c>
    </row>
    <row r="1216" spans="1:25" x14ac:dyDescent="0.3">
      <c r="A1216">
        <v>60750</v>
      </c>
      <c r="B1216" t="s">
        <v>25502</v>
      </c>
      <c r="C1216" t="s">
        <v>25503</v>
      </c>
      <c r="D1216" t="s">
        <v>25504</v>
      </c>
      <c r="E1216" t="s">
        <v>25505</v>
      </c>
      <c r="F1216" t="s">
        <v>25506</v>
      </c>
      <c r="G1216" t="s">
        <v>25507</v>
      </c>
      <c r="H1216" t="s">
        <v>25508</v>
      </c>
      <c r="I1216">
        <f>-550.24753611842 -1.6989602441424 -928.437977870714</f>
        <v>-1480.3844742332765</v>
      </c>
      <c r="J1216" t="s">
        <v>25509</v>
      </c>
      <c r="K1216" t="s">
        <v>25510</v>
      </c>
      <c r="L1216" t="s">
        <v>25511</v>
      </c>
      <c r="M1216" t="s">
        <v>25512</v>
      </c>
      <c r="N1216" t="s">
        <v>25513</v>
      </c>
      <c r="O1216">
        <f>-638.573111047328 -136.227632342203 -721.987565629562</f>
        <v>-1496.788309019093</v>
      </c>
      <c r="P1216">
        <f>-642.742909932285 -114.822506074759 -406.217727775138</f>
        <v>-1163.7831437821819</v>
      </c>
      <c r="Q1216">
        <f>-399.3988632759 -37.558376666075 -455.775673475592</f>
        <v>-892.73291341756703</v>
      </c>
      <c r="R1216" t="s">
        <v>25514</v>
      </c>
      <c r="S1216" t="s">
        <v>25515</v>
      </c>
      <c r="T1216" t="s">
        <v>25516</v>
      </c>
      <c r="U1216" t="s">
        <v>25517</v>
      </c>
      <c r="V1216">
        <f>-624.694231915015 -12.3187342646148 -236.219851030099</f>
        <v>-873.23281720972886</v>
      </c>
      <c r="W1216" t="s">
        <v>25518</v>
      </c>
      <c r="X1216" t="s">
        <v>25519</v>
      </c>
      <c r="Y1216" t="s">
        <v>25520</v>
      </c>
    </row>
    <row r="1217" spans="1:25" x14ac:dyDescent="0.3">
      <c r="A1217">
        <v>60800</v>
      </c>
      <c r="B1217" t="s">
        <v>25521</v>
      </c>
      <c r="C1217" t="s">
        <v>25522</v>
      </c>
      <c r="D1217" t="s">
        <v>25523</v>
      </c>
      <c r="E1217" t="s">
        <v>25524</v>
      </c>
      <c r="F1217" t="s">
        <v>25525</v>
      </c>
      <c r="G1217" t="s">
        <v>25526</v>
      </c>
      <c r="H1217" t="s">
        <v>25527</v>
      </c>
      <c r="I1217">
        <f>-549.448474926116 -1.5922928876128 -928.380410419083</f>
        <v>-1479.4211782328116</v>
      </c>
      <c r="J1217" t="s">
        <v>25528</v>
      </c>
      <c r="K1217" t="s">
        <v>25529</v>
      </c>
      <c r="L1217" t="s">
        <v>25530</v>
      </c>
      <c r="M1217" t="s">
        <v>25531</v>
      </c>
      <c r="N1217" t="s">
        <v>25532</v>
      </c>
      <c r="O1217">
        <f>-637.981899954764 -136.058078213479 -722.036310707891</f>
        <v>-1496.076288876134</v>
      </c>
      <c r="P1217">
        <f>-642.340683805937 -114.42128346192 -406.284829412247</f>
        <v>-1163.0467966801041</v>
      </c>
      <c r="Q1217">
        <f>-398.66179877744 -37.9745379656569 -455.463701233415</f>
        <v>-892.10003797651189</v>
      </c>
      <c r="R1217" t="s">
        <v>25533</v>
      </c>
      <c r="S1217" t="s">
        <v>25534</v>
      </c>
      <c r="T1217" t="s">
        <v>25535</v>
      </c>
      <c r="U1217" t="s">
        <v>25536</v>
      </c>
      <c r="V1217">
        <f>-624.409554179612 -11.9874179477295 -236.238375262563</f>
        <v>-872.63534738990438</v>
      </c>
      <c r="W1217" t="s">
        <v>25537</v>
      </c>
      <c r="X1217" t="s">
        <v>25538</v>
      </c>
      <c r="Y1217" t="s">
        <v>25539</v>
      </c>
    </row>
    <row r="1218" spans="1:25" x14ac:dyDescent="0.3">
      <c r="A1218">
        <v>60850</v>
      </c>
      <c r="B1218" t="s">
        <v>25540</v>
      </c>
      <c r="C1218" t="s">
        <v>25541</v>
      </c>
      <c r="D1218" t="s">
        <v>25542</v>
      </c>
      <c r="E1218" t="s">
        <v>25543</v>
      </c>
      <c r="F1218" t="s">
        <v>25544</v>
      </c>
      <c r="G1218" t="s">
        <v>25545</v>
      </c>
      <c r="H1218" t="s">
        <v>25546</v>
      </c>
      <c r="I1218">
        <f>-547.732291836218 -1.85916369595921 -928.163231937466</f>
        <v>-1477.7546874696432</v>
      </c>
      <c r="J1218" t="s">
        <v>25547</v>
      </c>
      <c r="K1218" t="s">
        <v>25548</v>
      </c>
      <c r="L1218" t="s">
        <v>25549</v>
      </c>
      <c r="M1218" t="s">
        <v>25550</v>
      </c>
      <c r="N1218" t="s">
        <v>25551</v>
      </c>
      <c r="O1218">
        <f>-636.930856042073 -136.098349984492 -721.972109476353</f>
        <v>-1495.0013155029178</v>
      </c>
      <c r="P1218">
        <f>-641.599948897515 -114.546108661896 -406.21920610823</f>
        <v>-1162.3652636676411</v>
      </c>
      <c r="Q1218">
        <f>-397.49971834921 -38.7818089342669 -454.353202406709</f>
        <v>-890.63472969018585</v>
      </c>
      <c r="R1218" t="s">
        <v>25552</v>
      </c>
      <c r="S1218" t="s">
        <v>25553</v>
      </c>
      <c r="T1218" t="s">
        <v>25554</v>
      </c>
      <c r="U1218" t="s">
        <v>25555</v>
      </c>
      <c r="V1218">
        <f>-623.950395557948 -11.5701126861204 -236.226791676142</f>
        <v>-871.74729992021048</v>
      </c>
      <c r="W1218" t="s">
        <v>25556</v>
      </c>
      <c r="X1218" t="s">
        <v>25557</v>
      </c>
      <c r="Y1218" t="s">
        <v>25558</v>
      </c>
    </row>
    <row r="1219" spans="1:25" x14ac:dyDescent="0.3">
      <c r="A1219">
        <v>60900</v>
      </c>
      <c r="B1219" t="s">
        <v>25559</v>
      </c>
      <c r="C1219" t="s">
        <v>25560</v>
      </c>
      <c r="D1219" t="s">
        <v>25561</v>
      </c>
      <c r="E1219" t="s">
        <v>25562</v>
      </c>
      <c r="F1219" t="s">
        <v>25563</v>
      </c>
      <c r="G1219" t="s">
        <v>25564</v>
      </c>
      <c r="H1219" t="s">
        <v>25565</v>
      </c>
      <c r="I1219">
        <f>-547.196455380429 -2.25476793902596 -928.003932181945</f>
        <v>-1477.4551555014</v>
      </c>
      <c r="J1219" t="s">
        <v>25566</v>
      </c>
      <c r="K1219" t="s">
        <v>25567</v>
      </c>
      <c r="L1219" t="s">
        <v>25568</v>
      </c>
      <c r="M1219" t="s">
        <v>25569</v>
      </c>
      <c r="N1219" t="s">
        <v>25570</v>
      </c>
      <c r="O1219">
        <f>-636.67208352911 -136.230778297388 -721.820060704694</f>
        <v>-1494.7229225311921</v>
      </c>
      <c r="P1219">
        <f>-641.555554391095 -114.548735856371 -406.07920744465</f>
        <v>-1162.1834976921159</v>
      </c>
      <c r="Q1219">
        <f>-397.355232548852 -38.7932942176763 -453.717008357777</f>
        <v>-889.86553512430532</v>
      </c>
      <c r="R1219" t="s">
        <v>25571</v>
      </c>
      <c r="S1219" t="s">
        <v>25572</v>
      </c>
      <c r="T1219" t="s">
        <v>25573</v>
      </c>
      <c r="U1219" t="s">
        <v>25574</v>
      </c>
      <c r="V1219">
        <f>-623.777190690927 -11.3101918706855 -236.216035794359</f>
        <v>-871.30341835597142</v>
      </c>
      <c r="W1219" t="s">
        <v>25575</v>
      </c>
      <c r="X1219" t="s">
        <v>25576</v>
      </c>
      <c r="Y1219" t="s">
        <v>25577</v>
      </c>
    </row>
    <row r="1220" spans="1:25" x14ac:dyDescent="0.3">
      <c r="A1220">
        <v>60950</v>
      </c>
      <c r="B1220" t="s">
        <v>25578</v>
      </c>
      <c r="C1220" t="s">
        <v>25579</v>
      </c>
      <c r="D1220" t="s">
        <v>25580</v>
      </c>
      <c r="E1220" t="s">
        <v>25581</v>
      </c>
      <c r="F1220" t="s">
        <v>25582</v>
      </c>
      <c r="G1220" t="s">
        <v>25583</v>
      </c>
      <c r="H1220" t="s">
        <v>25584</v>
      </c>
      <c r="I1220">
        <f>-546.143786393444 -3.00323202397824 -927.622422271479</f>
        <v>-1476.7694406889013</v>
      </c>
      <c r="J1220" t="s">
        <v>25585</v>
      </c>
      <c r="K1220" t="s">
        <v>25586</v>
      </c>
      <c r="L1220" t="s">
        <v>25587</v>
      </c>
      <c r="M1220" t="s">
        <v>25588</v>
      </c>
      <c r="N1220" t="s">
        <v>25589</v>
      </c>
      <c r="O1220">
        <f>-636.009124515999 -136.472979424132 -721.352620814386</f>
        <v>-1493.8347247545171</v>
      </c>
      <c r="P1220">
        <f>-641.046197275024 -113.711044202287 -405.69031021432</f>
        <v>-1160.4475516916309</v>
      </c>
      <c r="Q1220">
        <f>-396.700567432395 -38.0452724629332 -452.72180425059</f>
        <v>-887.46764414591826</v>
      </c>
      <c r="R1220" t="s">
        <v>25590</v>
      </c>
      <c r="S1220" t="s">
        <v>25591</v>
      </c>
      <c r="T1220" t="s">
        <v>25592</v>
      </c>
      <c r="U1220" t="s">
        <v>25593</v>
      </c>
      <c r="V1220">
        <f>-623.494889243851 -10.8128445226895 -236.177439597695</f>
        <v>-870.48517336423561</v>
      </c>
      <c r="W1220" t="s">
        <v>25594</v>
      </c>
      <c r="X1220" t="s">
        <v>25595</v>
      </c>
      <c r="Y1220" t="s">
        <v>25596</v>
      </c>
    </row>
    <row r="1221" spans="1:25" x14ac:dyDescent="0.3">
      <c r="A1221">
        <v>61000</v>
      </c>
      <c r="B1221" t="s">
        <v>25597</v>
      </c>
      <c r="C1221" t="s">
        <v>25598</v>
      </c>
      <c r="D1221" t="s">
        <v>25599</v>
      </c>
      <c r="E1221" t="s">
        <v>25600</v>
      </c>
      <c r="F1221" t="s">
        <v>25601</v>
      </c>
      <c r="G1221" t="s">
        <v>25602</v>
      </c>
      <c r="H1221" t="s">
        <v>25603</v>
      </c>
      <c r="I1221">
        <f>-545.766620474282 -3.54743599496979 -927.39127159244</f>
        <v>-1476.7053280616919</v>
      </c>
      <c r="J1221" t="s">
        <v>25604</v>
      </c>
      <c r="K1221" t="s">
        <v>25605</v>
      </c>
      <c r="L1221" t="s">
        <v>25606</v>
      </c>
      <c r="M1221" t="s">
        <v>25607</v>
      </c>
      <c r="N1221">
        <f>-607.7031196689 -0.135797845381965 -767.867578830195</f>
        <v>-1375.7064963444768</v>
      </c>
      <c r="O1221">
        <f>-635.859761269795 -136.651098500315 -721.012239679889</f>
        <v>-1493.5230994499989</v>
      </c>
      <c r="P1221">
        <f>-641.012692115351 -113.550488412622 -405.376385482674</f>
        <v>-1159.939566010647</v>
      </c>
      <c r="Q1221">
        <f>-396.675227582171 -37.6017838148371 -451.992731857382</f>
        <v>-886.26974325439005</v>
      </c>
      <c r="R1221" t="s">
        <v>25608</v>
      </c>
      <c r="S1221" t="s">
        <v>25609</v>
      </c>
      <c r="T1221" t="s">
        <v>25610</v>
      </c>
      <c r="U1221" t="s">
        <v>25611</v>
      </c>
      <c r="V1221">
        <f>-623.417273192514 -10.6411187199242 -236.149400089122</f>
        <v>-870.20779200156016</v>
      </c>
      <c r="W1221" t="s">
        <v>25612</v>
      </c>
      <c r="X1221" t="s">
        <v>25613</v>
      </c>
      <c r="Y1221" t="s">
        <v>25614</v>
      </c>
    </row>
    <row r="1222" spans="1:25" x14ac:dyDescent="0.3">
      <c r="A1222">
        <v>61050</v>
      </c>
      <c r="B1222" t="s">
        <v>25615</v>
      </c>
      <c r="C1222" t="s">
        <v>25616</v>
      </c>
      <c r="D1222" t="s">
        <v>25617</v>
      </c>
      <c r="E1222" t="s">
        <v>25618</v>
      </c>
      <c r="F1222" t="s">
        <v>25619</v>
      </c>
      <c r="G1222" t="s">
        <v>25620</v>
      </c>
      <c r="H1222" t="s">
        <v>25621</v>
      </c>
      <c r="I1222">
        <f>-545.421655841832 -4.29721645346407 -927.038393768706</f>
        <v>-1476.7572660640021</v>
      </c>
      <c r="J1222" t="s">
        <v>25622</v>
      </c>
      <c r="K1222" t="s">
        <v>25623</v>
      </c>
      <c r="L1222" t="s">
        <v>25624</v>
      </c>
      <c r="M1222" t="s">
        <v>25625</v>
      </c>
      <c r="N1222">
        <f>-607.483992629861 -0.397003196934584 -767.598105624956</f>
        <v>-1375.4791014517516</v>
      </c>
      <c r="O1222">
        <f>-635.70563551754 -136.832136485088 -720.551849622923</f>
        <v>-1493.089621625551</v>
      </c>
      <c r="P1222">
        <f>-641.490573954565 -112.982251868629 -404.982701486977</f>
        <v>-1159.455527310171</v>
      </c>
      <c r="Q1222">
        <f>-397.048519775501 -36.9940977305472 -450.981763434443</f>
        <v>-885.02438094049126</v>
      </c>
      <c r="R1222" t="s">
        <v>25626</v>
      </c>
      <c r="S1222" t="s">
        <v>25627</v>
      </c>
      <c r="T1222" t="s">
        <v>25628</v>
      </c>
      <c r="U1222" t="s">
        <v>25629</v>
      </c>
      <c r="V1222">
        <f>-623.458646974779 -10.263937382515 -236.114643171849</f>
        <v>-869.83722752914298</v>
      </c>
      <c r="W1222" t="s">
        <v>25630</v>
      </c>
      <c r="X1222" t="s">
        <v>25631</v>
      </c>
      <c r="Y1222" t="s">
        <v>25632</v>
      </c>
    </row>
    <row r="1223" spans="1:25" x14ac:dyDescent="0.3">
      <c r="A1223">
        <v>61100</v>
      </c>
      <c r="B1223" t="s">
        <v>25633</v>
      </c>
      <c r="C1223" t="s">
        <v>25634</v>
      </c>
      <c r="D1223" t="s">
        <v>25635</v>
      </c>
      <c r="E1223" t="s">
        <v>25636</v>
      </c>
      <c r="F1223" t="s">
        <v>25637</v>
      </c>
      <c r="G1223" t="s">
        <v>25638</v>
      </c>
      <c r="H1223" t="s">
        <v>25639</v>
      </c>
      <c r="I1223">
        <f>-545.587795779864 -4.52721816205968 -926.940835861349</f>
        <v>-1477.0558498032726</v>
      </c>
      <c r="J1223" t="s">
        <v>25640</v>
      </c>
      <c r="K1223" t="s">
        <v>25641</v>
      </c>
      <c r="L1223" t="s">
        <v>25642</v>
      </c>
      <c r="M1223" t="s">
        <v>25643</v>
      </c>
      <c r="N1223">
        <f>-607.672639429641 -0.411276472553467 -767.519322874623</f>
        <v>-1375.6032387768173</v>
      </c>
      <c r="O1223">
        <f>-635.990417424643 -136.791876953208 -720.368651128619</f>
        <v>-1493.1509455064702</v>
      </c>
      <c r="P1223">
        <f>-641.99478031092 -112.784120348405 -404.815605291008</f>
        <v>-1159.5945059503331</v>
      </c>
      <c r="Q1223">
        <f>-397.491283363649 -36.8270893482268 -450.538703185831</f>
        <v>-884.85707589770686</v>
      </c>
      <c r="R1223" t="s">
        <v>25644</v>
      </c>
      <c r="S1223" t="s">
        <v>25645</v>
      </c>
      <c r="T1223" t="s">
        <v>25646</v>
      </c>
      <c r="U1223" t="s">
        <v>25647</v>
      </c>
      <c r="V1223">
        <f>-623.498300457877 -9.93294093696203 -236.100689318445</f>
        <v>-869.53193071328405</v>
      </c>
      <c r="W1223" t="s">
        <v>25648</v>
      </c>
      <c r="X1223" t="s">
        <v>25649</v>
      </c>
      <c r="Y1223" t="s">
        <v>25650</v>
      </c>
    </row>
    <row r="1224" spans="1:25" x14ac:dyDescent="0.3">
      <c r="A1224">
        <v>61150</v>
      </c>
      <c r="B1224" t="s">
        <v>25651</v>
      </c>
      <c r="C1224" t="s">
        <v>25652</v>
      </c>
      <c r="D1224" t="s">
        <v>25653</v>
      </c>
      <c r="E1224" t="s">
        <v>25654</v>
      </c>
      <c r="F1224" t="s">
        <v>25655</v>
      </c>
      <c r="G1224" t="s">
        <v>25656</v>
      </c>
      <c r="H1224" t="s">
        <v>25657</v>
      </c>
      <c r="I1224">
        <f>-546.223752166687 -4.38628305492851 -926.960663752123</f>
        <v>-1477.5706989737384</v>
      </c>
      <c r="J1224" t="s">
        <v>25658</v>
      </c>
      <c r="K1224" t="s">
        <v>25659</v>
      </c>
      <c r="L1224" t="s">
        <v>25660</v>
      </c>
      <c r="M1224" t="s">
        <v>25661</v>
      </c>
      <c r="N1224">
        <f>-608.244641905261 -0.0864194426200555 -767.5364674642</f>
        <v>-1375.867528812081</v>
      </c>
      <c r="O1224">
        <f>-636.845451892751 -136.383687916936 -720.310740559599</f>
        <v>-1493.539880369286</v>
      </c>
      <c r="P1224">
        <f>-642.682280960589 -112.203382734582 -404.767638879096</f>
        <v>-1159.6533025742669</v>
      </c>
      <c r="Q1224">
        <f>-398.015107506716 -36.745639424696 -450.442114822906</f>
        <v>-885.20286175431795</v>
      </c>
      <c r="R1224" t="s">
        <v>25662</v>
      </c>
      <c r="S1224" t="s">
        <v>25663</v>
      </c>
      <c r="T1224" t="s">
        <v>25664</v>
      </c>
      <c r="U1224" t="s">
        <v>25665</v>
      </c>
      <c r="V1224">
        <f>-623.682288176361 -9.51710631890811 -236.098730348055</f>
        <v>-869.2981248433241</v>
      </c>
      <c r="W1224" t="s">
        <v>25666</v>
      </c>
      <c r="X1224" t="s">
        <v>25667</v>
      </c>
      <c r="Y1224" t="s">
        <v>25668</v>
      </c>
    </row>
    <row r="1225" spans="1:25" x14ac:dyDescent="0.3">
      <c r="A1225">
        <v>61200</v>
      </c>
      <c r="B1225" t="s">
        <v>25669</v>
      </c>
      <c r="C1225" t="s">
        <v>25670</v>
      </c>
      <c r="D1225" t="s">
        <v>25671</v>
      </c>
      <c r="E1225" t="s">
        <v>25672</v>
      </c>
      <c r="F1225" t="s">
        <v>25673</v>
      </c>
      <c r="G1225" t="s">
        <v>25674</v>
      </c>
      <c r="H1225" t="s">
        <v>25675</v>
      </c>
      <c r="I1225">
        <f>-546.66628267464 -4.23696228749662 -927.032784344929</f>
        <v>-1477.9360293070656</v>
      </c>
      <c r="J1225" t="s">
        <v>25676</v>
      </c>
      <c r="K1225" t="s">
        <v>25677</v>
      </c>
      <c r="L1225" t="s">
        <v>25678</v>
      </c>
      <c r="M1225" t="s">
        <v>25679</v>
      </c>
      <c r="N1225" t="s">
        <v>25680</v>
      </c>
      <c r="O1225">
        <f>-637.243924717469 -136.184888276818 -720.363005011084</f>
        <v>-1493.7918180053712</v>
      </c>
      <c r="P1225">
        <f>-642.917481744259 -112.099365246604 -404.809854691441</f>
        <v>-1159.826701682304</v>
      </c>
      <c r="Q1225">
        <f>-398.168494758021 -36.8595021203491 -450.405629423724</f>
        <v>-885.43362630209413</v>
      </c>
      <c r="R1225" t="s">
        <v>25681</v>
      </c>
      <c r="S1225" t="s">
        <v>25682</v>
      </c>
      <c r="T1225" t="s">
        <v>25683</v>
      </c>
      <c r="U1225" t="s">
        <v>25684</v>
      </c>
      <c r="V1225">
        <f>-623.71921144585 -9.38664520464494 -236.108261323546</f>
        <v>-869.21411797404096</v>
      </c>
      <c r="W1225" t="s">
        <v>25685</v>
      </c>
      <c r="X1225" t="s">
        <v>25686</v>
      </c>
      <c r="Y1225" t="s">
        <v>25687</v>
      </c>
    </row>
    <row r="1226" spans="1:25" x14ac:dyDescent="0.3">
      <c r="A1226">
        <v>61250</v>
      </c>
      <c r="B1226" t="s">
        <v>25688</v>
      </c>
      <c r="C1226" t="s">
        <v>25689</v>
      </c>
      <c r="D1226" t="s">
        <v>25690</v>
      </c>
      <c r="E1226" t="s">
        <v>25691</v>
      </c>
      <c r="F1226" t="s">
        <v>25692</v>
      </c>
      <c r="G1226" t="s">
        <v>25693</v>
      </c>
      <c r="H1226" t="s">
        <v>25694</v>
      </c>
      <c r="I1226">
        <f>-547.609476214722 -4.04214868487012 -927.209236096034</f>
        <v>-1478.8608609956261</v>
      </c>
      <c r="J1226" t="s">
        <v>25695</v>
      </c>
      <c r="K1226" t="s">
        <v>25696</v>
      </c>
      <c r="L1226" t="s">
        <v>25697</v>
      </c>
      <c r="M1226" t="s">
        <v>25698</v>
      </c>
      <c r="N1226" t="s">
        <v>25699</v>
      </c>
      <c r="O1226">
        <f>-638.029500612107 -135.96576632575 -720.49680745136</f>
        <v>-1494.4920743892171</v>
      </c>
      <c r="P1226">
        <f>-643.34266288384 -112.183641542789 -404.914144148001</f>
        <v>-1160.44044857463</v>
      </c>
      <c r="Q1226">
        <f>-398.644589348398 -37.2562359534396 -451.290779796362</f>
        <v>-887.1916050981996</v>
      </c>
      <c r="R1226" t="s">
        <v>25700</v>
      </c>
      <c r="S1226" t="s">
        <v>25701</v>
      </c>
      <c r="T1226" t="s">
        <v>25702</v>
      </c>
      <c r="U1226" t="s">
        <v>25703</v>
      </c>
      <c r="V1226">
        <f>-623.811424513092 -9.26830452058295 -236.125094580428</f>
        <v>-869.20482361410302</v>
      </c>
      <c r="W1226" t="s">
        <v>25704</v>
      </c>
      <c r="X1226" t="s">
        <v>25705</v>
      </c>
      <c r="Y1226" t="s">
        <v>25706</v>
      </c>
    </row>
    <row r="1227" spans="1:25" x14ac:dyDescent="0.3">
      <c r="A1227">
        <v>61300</v>
      </c>
      <c r="B1227" t="s">
        <v>25707</v>
      </c>
      <c r="C1227" t="s">
        <v>25708</v>
      </c>
      <c r="D1227" t="s">
        <v>25709</v>
      </c>
      <c r="E1227" t="s">
        <v>25710</v>
      </c>
      <c r="F1227" t="s">
        <v>25711</v>
      </c>
      <c r="G1227" t="s">
        <v>25712</v>
      </c>
      <c r="H1227" t="s">
        <v>25713</v>
      </c>
      <c r="I1227">
        <f>-548.246234474618 -3.92248018841603 -927.338479845537</f>
        <v>-1479.507194508571</v>
      </c>
      <c r="J1227" t="s">
        <v>25714</v>
      </c>
      <c r="K1227" t="s">
        <v>25715</v>
      </c>
      <c r="L1227" t="s">
        <v>25716</v>
      </c>
      <c r="M1227" t="s">
        <v>25717</v>
      </c>
      <c r="N1227" t="s">
        <v>25718</v>
      </c>
      <c r="O1227">
        <f>-638.517257660978 -135.881288813783 -720.583358836709</f>
        <v>-1494.9819053114697</v>
      </c>
      <c r="P1227">
        <f>-643.527883914834 -112.565252756201 -404.961035029079</f>
        <v>-1161.054171700114</v>
      </c>
      <c r="Q1227">
        <f>-398.803120490109 -37.9248998739686 -451.658552479801</f>
        <v>-888.38657284387864</v>
      </c>
      <c r="R1227" t="s">
        <v>25719</v>
      </c>
      <c r="S1227" t="s">
        <v>25720</v>
      </c>
      <c r="T1227" t="s">
        <v>25721</v>
      </c>
      <c r="U1227" t="s">
        <v>25722</v>
      </c>
      <c r="V1227">
        <f>-623.792899320177 -9.33554281553712 -236.129720794782</f>
        <v>-869.25816293049604</v>
      </c>
      <c r="W1227" t="s">
        <v>25723</v>
      </c>
      <c r="X1227" t="s">
        <v>25724</v>
      </c>
      <c r="Y1227" t="s">
        <v>25725</v>
      </c>
    </row>
    <row r="1228" spans="1:25" x14ac:dyDescent="0.3">
      <c r="A1228">
        <v>61350</v>
      </c>
      <c r="B1228" t="s">
        <v>25726</v>
      </c>
      <c r="C1228" t="s">
        <v>25727</v>
      </c>
      <c r="D1228" t="s">
        <v>25728</v>
      </c>
      <c r="E1228" t="s">
        <v>25729</v>
      </c>
      <c r="F1228" t="s">
        <v>25730</v>
      </c>
      <c r="G1228" t="s">
        <v>25731</v>
      </c>
      <c r="H1228" t="s">
        <v>25732</v>
      </c>
      <c r="I1228">
        <f>-549.164988904049 -3.40187564493713 -927.561614994592</f>
        <v>-1480.1284795435781</v>
      </c>
      <c r="J1228" t="s">
        <v>25733</v>
      </c>
      <c r="K1228" t="s">
        <v>25734</v>
      </c>
      <c r="L1228" t="s">
        <v>25735</v>
      </c>
      <c r="M1228" t="s">
        <v>25736</v>
      </c>
      <c r="N1228" t="s">
        <v>25737</v>
      </c>
      <c r="O1228">
        <f>-639.18042463184 -135.511261778846 -720.770085140655</f>
        <v>-1495.4617715513409</v>
      </c>
      <c r="P1228">
        <f>-643.77871217956 -112.428343438316 -405.124344906823</f>
        <v>-1161.3314005246989</v>
      </c>
      <c r="Q1228">
        <f>-399.17872722015 -38.0764842016793 -452.923285517997</f>
        <v>-890.17849693982635</v>
      </c>
      <c r="R1228" t="s">
        <v>25738</v>
      </c>
      <c r="S1228" t="s">
        <v>25739</v>
      </c>
      <c r="T1228" t="s">
        <v>25740</v>
      </c>
      <c r="U1228" t="s">
        <v>25741</v>
      </c>
      <c r="V1228">
        <f>-623.653525110196 -9.24020563115243 -236.116758374873</f>
        <v>-869.01048911622149</v>
      </c>
      <c r="W1228" t="s">
        <v>25742</v>
      </c>
      <c r="X1228" t="s">
        <v>25743</v>
      </c>
      <c r="Y1228" t="s">
        <v>25744</v>
      </c>
    </row>
    <row r="1229" spans="1:25" x14ac:dyDescent="0.3">
      <c r="A1229">
        <v>61400</v>
      </c>
      <c r="B1229" t="s">
        <v>25745</v>
      </c>
      <c r="C1229" t="s">
        <v>25746</v>
      </c>
      <c r="D1229" t="s">
        <v>25747</v>
      </c>
      <c r="E1229" t="s">
        <v>25748</v>
      </c>
      <c r="F1229" t="s">
        <v>25749</v>
      </c>
      <c r="G1229" t="s">
        <v>25750</v>
      </c>
      <c r="H1229" t="s">
        <v>25751</v>
      </c>
      <c r="I1229">
        <f>-549.701318310683 -3.45203424739589 -927.589911391511</f>
        <v>-1480.7432639495898</v>
      </c>
      <c r="J1229" t="s">
        <v>25752</v>
      </c>
      <c r="K1229" t="s">
        <v>25753</v>
      </c>
      <c r="L1229" t="s">
        <v>25754</v>
      </c>
      <c r="M1229" t="s">
        <v>25755</v>
      </c>
      <c r="N1229" t="s">
        <v>25756</v>
      </c>
      <c r="O1229">
        <f>-639.534850002231 -135.580873436073 -720.761743780146</f>
        <v>-1495.87746721845</v>
      </c>
      <c r="P1229">
        <f>-643.735619060565 -112.477038932951 -405.111955082225</f>
        <v>-1161.3246130757411</v>
      </c>
      <c r="Q1229">
        <f>-398.965019029221 -38.7208179845873 -452.959741706938</f>
        <v>-890.64557872074636</v>
      </c>
      <c r="R1229" t="s">
        <v>25757</v>
      </c>
      <c r="S1229" t="s">
        <v>25758</v>
      </c>
      <c r="T1229" t="s">
        <v>25759</v>
      </c>
      <c r="U1229" t="s">
        <v>25760</v>
      </c>
      <c r="V1229">
        <f>-623.582977288019 -9.4230370244999 -236.093500651323</f>
        <v>-869.0995149638419</v>
      </c>
      <c r="W1229" t="s">
        <v>25761</v>
      </c>
      <c r="X1229" t="s">
        <v>25762</v>
      </c>
      <c r="Y1229" t="s">
        <v>25763</v>
      </c>
    </row>
    <row r="1230" spans="1:25" x14ac:dyDescent="0.3">
      <c r="A1230">
        <v>61450</v>
      </c>
      <c r="B1230" t="s">
        <v>25764</v>
      </c>
      <c r="C1230" t="s">
        <v>25765</v>
      </c>
      <c r="D1230" t="s">
        <v>25766</v>
      </c>
      <c r="E1230" t="s">
        <v>25767</v>
      </c>
      <c r="F1230" t="s">
        <v>25768</v>
      </c>
      <c r="G1230" t="s">
        <v>25769</v>
      </c>
      <c r="H1230" t="s">
        <v>25770</v>
      </c>
      <c r="I1230">
        <f>-550.707144331041 -3.67869177557679 -927.709778170054</f>
        <v>-1482.0956142766718</v>
      </c>
      <c r="J1230" t="s">
        <v>25771</v>
      </c>
      <c r="K1230" t="s">
        <v>25772</v>
      </c>
      <c r="L1230" t="s">
        <v>25773</v>
      </c>
      <c r="M1230" t="s">
        <v>25774</v>
      </c>
      <c r="N1230" t="s">
        <v>25775</v>
      </c>
      <c r="O1230">
        <f>-640.172528040592 -135.720146139335 -720.714924434619</f>
        <v>-1496.6075986145461</v>
      </c>
      <c r="P1230">
        <f>-643.849772297084 -113.277297590401 -405.010967351204</f>
        <v>-1162.1380372386889</v>
      </c>
      <c r="Q1230">
        <f>-399.096757839392 -39.6659206422639 -453.170686188981</f>
        <v>-891.93336467063693</v>
      </c>
      <c r="R1230" t="s">
        <v>25776</v>
      </c>
      <c r="S1230" t="s">
        <v>25777</v>
      </c>
      <c r="T1230" t="s">
        <v>25778</v>
      </c>
      <c r="U1230" t="s">
        <v>25779</v>
      </c>
      <c r="V1230">
        <f>-623.413561267973 -9.43564354206627 -236.085000790187</f>
        <v>-868.93420560022628</v>
      </c>
      <c r="W1230" t="s">
        <v>25780</v>
      </c>
      <c r="X1230" t="s">
        <v>25781</v>
      </c>
      <c r="Y1230" t="s">
        <v>25782</v>
      </c>
    </row>
    <row r="1231" spans="1:25" x14ac:dyDescent="0.3">
      <c r="A1231">
        <v>61500</v>
      </c>
      <c r="B1231" t="s">
        <v>25783</v>
      </c>
      <c r="C1231" t="s">
        <v>25784</v>
      </c>
      <c r="D1231" t="s">
        <v>25785</v>
      </c>
      <c r="E1231" t="s">
        <v>25786</v>
      </c>
      <c r="F1231" t="s">
        <v>25787</v>
      </c>
      <c r="G1231" t="s">
        <v>25788</v>
      </c>
      <c r="H1231" t="s">
        <v>25789</v>
      </c>
      <c r="I1231">
        <f>-550.894462676367 -3.83383017752418 -927.731945720454</f>
        <v>-1482.4602385743451</v>
      </c>
      <c r="J1231" t="s">
        <v>25790</v>
      </c>
      <c r="K1231" t="s">
        <v>25791</v>
      </c>
      <c r="L1231" t="s">
        <v>25792</v>
      </c>
      <c r="M1231" t="s">
        <v>25793</v>
      </c>
      <c r="N1231" t="s">
        <v>25794</v>
      </c>
      <c r="O1231">
        <f>-640.237550603881 -135.868372901023 -720.715509444277</f>
        <v>-1496.8214329491811</v>
      </c>
      <c r="P1231">
        <f>-643.771745683099 -113.759677268419 -404.986400835195</f>
        <v>-1162.5178237867131</v>
      </c>
      <c r="Q1231">
        <f>-399.107508576004 -39.9465682787543 -453.288572810418</f>
        <v>-892.34264966517628</v>
      </c>
      <c r="R1231" t="s">
        <v>25795</v>
      </c>
      <c r="S1231" t="s">
        <v>25796</v>
      </c>
      <c r="T1231" t="s">
        <v>25797</v>
      </c>
      <c r="U1231" t="s">
        <v>25798</v>
      </c>
      <c r="V1231">
        <f>-623.362994245861 -9.51228753256341 -236.067119319752</f>
        <v>-868.94240109817645</v>
      </c>
      <c r="W1231" t="s">
        <v>25799</v>
      </c>
      <c r="X1231" t="s">
        <v>25800</v>
      </c>
      <c r="Y1231" t="s">
        <v>25801</v>
      </c>
    </row>
    <row r="1232" spans="1:25" x14ac:dyDescent="0.3">
      <c r="A1232">
        <v>61550</v>
      </c>
      <c r="B1232" t="s">
        <v>25802</v>
      </c>
      <c r="C1232" t="s">
        <v>25803</v>
      </c>
      <c r="D1232" t="s">
        <v>25804</v>
      </c>
      <c r="E1232" t="s">
        <v>25805</v>
      </c>
      <c r="F1232" t="s">
        <v>25806</v>
      </c>
      <c r="G1232" t="s">
        <v>25807</v>
      </c>
      <c r="H1232" t="s">
        <v>25808</v>
      </c>
      <c r="I1232">
        <f>-551.641969413594 -4.58783676505747 -927.796160249681</f>
        <v>-1484.0259664283324</v>
      </c>
      <c r="J1232" t="s">
        <v>25809</v>
      </c>
      <c r="K1232" t="s">
        <v>25810</v>
      </c>
      <c r="L1232" t="s">
        <v>25811</v>
      </c>
      <c r="M1232" t="s">
        <v>25812</v>
      </c>
      <c r="N1232">
        <f>-612.013830456012 -0.161160310084966 -767.759462706899</f>
        <v>-1379.9344534729958</v>
      </c>
      <c r="O1232">
        <f>-640.60335290615 -136.460131312376 -720.569643371615</f>
        <v>-1497.6331275901412</v>
      </c>
      <c r="P1232">
        <f>-644.27677587331 -114.180560645004 -404.854014246058</f>
        <v>-1163.311350764372</v>
      </c>
      <c r="Q1232">
        <f>-399.958731979606 -39.5606011800123 -453.66619529801</f>
        <v>-893.18552845762838</v>
      </c>
      <c r="R1232" t="s">
        <v>25813</v>
      </c>
      <c r="S1232" t="s">
        <v>25814</v>
      </c>
      <c r="T1232" t="s">
        <v>25815</v>
      </c>
      <c r="U1232" t="s">
        <v>25816</v>
      </c>
      <c r="V1232">
        <f>-623.368742558079 -9.68947700405711 -236.05404019246</f>
        <v>-869.11225975459615</v>
      </c>
      <c r="W1232" t="s">
        <v>25817</v>
      </c>
      <c r="X1232" t="s">
        <v>25818</v>
      </c>
      <c r="Y1232" t="s">
        <v>25819</v>
      </c>
    </row>
    <row r="1233" spans="1:25" x14ac:dyDescent="0.3">
      <c r="A1233">
        <v>61600</v>
      </c>
      <c r="B1233" t="s">
        <v>25820</v>
      </c>
      <c r="C1233" t="s">
        <v>25821</v>
      </c>
      <c r="D1233" t="s">
        <v>25822</v>
      </c>
      <c r="E1233" t="s">
        <v>25823</v>
      </c>
      <c r="F1233" t="s">
        <v>25824</v>
      </c>
      <c r="G1233" t="s">
        <v>25825</v>
      </c>
      <c r="H1233" t="s">
        <v>25826</v>
      </c>
      <c r="I1233">
        <f>-552.015922007589 -5.13274619718023 -927.805956600935</f>
        <v>-1484.9546248057043</v>
      </c>
      <c r="J1233" t="s">
        <v>25827</v>
      </c>
      <c r="K1233" t="s">
        <v>25828</v>
      </c>
      <c r="L1233" t="s">
        <v>25829</v>
      </c>
      <c r="M1233" t="s">
        <v>25830</v>
      </c>
      <c r="N1233">
        <f>-612.275416053528 -0.633894750980431 -767.721432042647</f>
        <v>-1380.6307428471555</v>
      </c>
      <c r="O1233">
        <f>-640.821153921591 -136.92338309615 -720.450901859475</f>
        <v>-1498.195438877216</v>
      </c>
      <c r="P1233">
        <f>-644.371470866673 -114.569166822051 -404.73919736651</f>
        <v>-1163.679835055234</v>
      </c>
      <c r="Q1233">
        <f>-400.063459369296 -39.7579596158021 -453.307791069454</f>
        <v>-893.12921005455223</v>
      </c>
      <c r="R1233" t="s">
        <v>25831</v>
      </c>
      <c r="S1233" t="s">
        <v>25832</v>
      </c>
      <c r="T1233" t="s">
        <v>25833</v>
      </c>
      <c r="U1233" t="s">
        <v>25834</v>
      </c>
      <c r="V1233">
        <f>-623.405123374872 -9.92283537715812 -236.040352200122</f>
        <v>-869.36831095215211</v>
      </c>
      <c r="W1233" t="s">
        <v>25835</v>
      </c>
      <c r="X1233" t="s">
        <v>25836</v>
      </c>
      <c r="Y1233" t="s">
        <v>25837</v>
      </c>
    </row>
    <row r="1234" spans="1:25" x14ac:dyDescent="0.3">
      <c r="A1234">
        <v>61650</v>
      </c>
      <c r="B1234" t="s">
        <v>25838</v>
      </c>
      <c r="C1234" t="s">
        <v>25839</v>
      </c>
      <c r="D1234" t="s">
        <v>25840</v>
      </c>
      <c r="E1234" t="s">
        <v>25841</v>
      </c>
      <c r="F1234" t="s">
        <v>25842</v>
      </c>
      <c r="G1234" t="s">
        <v>25843</v>
      </c>
      <c r="H1234" t="s">
        <v>25844</v>
      </c>
      <c r="I1234">
        <f>-553.371394846121 -6.19803550877922 -927.824955914481</f>
        <v>-1487.3943862693814</v>
      </c>
      <c r="J1234" t="s">
        <v>25845</v>
      </c>
      <c r="K1234" t="s">
        <v>25846</v>
      </c>
      <c r="L1234" t="s">
        <v>25847</v>
      </c>
      <c r="M1234" t="s">
        <v>25848</v>
      </c>
      <c r="N1234">
        <f>-613.338220132086 -1.48266093400571 -767.635717474862</f>
        <v>-1382.4565985409536</v>
      </c>
      <c r="O1234">
        <f>-641.788053373736 -137.735854421241 -720.209855881006</f>
        <v>-1499.733763675983</v>
      </c>
      <c r="P1234">
        <f>-644.848620849314 -115.079414379099 -404.51445625957</f>
        <v>-1164.442491487983</v>
      </c>
      <c r="Q1234">
        <f>-400.627015663033 -39.9542395907733 -453.033202556276</f>
        <v>-893.61445781008229</v>
      </c>
      <c r="R1234" t="s">
        <v>25849</v>
      </c>
      <c r="S1234" t="s">
        <v>25850</v>
      </c>
      <c r="T1234" t="s">
        <v>25851</v>
      </c>
      <c r="U1234" t="s">
        <v>25852</v>
      </c>
      <c r="V1234">
        <f>-623.544535612039 -10.1783758475517 -236.014825107657</f>
        <v>-869.73773656724768</v>
      </c>
      <c r="W1234" t="s">
        <v>25853</v>
      </c>
      <c r="X1234" t="s">
        <v>25854</v>
      </c>
      <c r="Y1234" t="s">
        <v>25855</v>
      </c>
    </row>
    <row r="1235" spans="1:25" x14ac:dyDescent="0.3">
      <c r="A1235">
        <v>61700</v>
      </c>
      <c r="B1235" t="s">
        <v>25856</v>
      </c>
      <c r="C1235" t="s">
        <v>25857</v>
      </c>
      <c r="D1235" t="s">
        <v>25858</v>
      </c>
      <c r="E1235" t="s">
        <v>25859</v>
      </c>
      <c r="F1235" t="s">
        <v>25860</v>
      </c>
      <c r="G1235" t="s">
        <v>25861</v>
      </c>
      <c r="H1235" t="s">
        <v>25862</v>
      </c>
      <c r="I1235">
        <f>-554.060194578052 -6.65012155227326 -927.798525989339</f>
        <v>-1488.5088421196642</v>
      </c>
      <c r="J1235" t="s">
        <v>25863</v>
      </c>
      <c r="K1235" t="s">
        <v>25864</v>
      </c>
      <c r="L1235" t="s">
        <v>25865</v>
      </c>
      <c r="M1235" t="s">
        <v>25866</v>
      </c>
      <c r="N1235">
        <f>-613.876404599943 -1.81359660593255 -767.559716279993</f>
        <v>-1383.2497174858686</v>
      </c>
      <c r="O1235">
        <f>-642.289218700017 -138.04621178386 -720.048657603458</f>
        <v>-1500.3840880873349</v>
      </c>
      <c r="P1235">
        <f>-644.98557686864 -115.398366587558 -404.349280082268</f>
        <v>-1164.7332235384661</v>
      </c>
      <c r="Q1235">
        <f>-400.786717755059 -40.2832402421468 -452.997964472542</f>
        <v>-894.06792246974783</v>
      </c>
      <c r="R1235" t="s">
        <v>25867</v>
      </c>
      <c r="S1235" t="s">
        <v>25868</v>
      </c>
      <c r="T1235" t="s">
        <v>25869</v>
      </c>
      <c r="U1235" t="s">
        <v>25870</v>
      </c>
      <c r="V1235">
        <f>-623.607211628084 -10.2718052567338 -235.994837227143</f>
        <v>-869.87385411196078</v>
      </c>
      <c r="W1235" t="s">
        <v>25871</v>
      </c>
      <c r="X1235" t="s">
        <v>25872</v>
      </c>
      <c r="Y1235" t="s">
        <v>25873</v>
      </c>
    </row>
    <row r="1236" spans="1:25" x14ac:dyDescent="0.3">
      <c r="A1236">
        <v>61750</v>
      </c>
      <c r="B1236" t="s">
        <v>25874</v>
      </c>
      <c r="C1236" t="s">
        <v>25875</v>
      </c>
      <c r="D1236" t="s">
        <v>25876</v>
      </c>
      <c r="E1236" t="s">
        <v>25877</v>
      </c>
      <c r="F1236" t="s">
        <v>25878</v>
      </c>
      <c r="G1236" t="s">
        <v>25879</v>
      </c>
      <c r="H1236" t="s">
        <v>25880</v>
      </c>
      <c r="I1236">
        <f>-555.642972130046 -7.21566597791642 -927.75885929112</f>
        <v>-1490.6174973990824</v>
      </c>
      <c r="J1236" t="s">
        <v>25881</v>
      </c>
      <c r="K1236" t="s">
        <v>25882</v>
      </c>
      <c r="L1236" t="s">
        <v>25883</v>
      </c>
      <c r="M1236" t="s">
        <v>25884</v>
      </c>
      <c r="N1236">
        <f>-615.177379031388 -2.18533825766445 -767.429429656642</f>
        <v>-1384.7921469456944</v>
      </c>
      <c r="O1236">
        <f>-643.595587482162 -138.366671536216 -719.795542697255</f>
        <v>-1501.7578017156329</v>
      </c>
      <c r="P1236">
        <f>-645.369069440976 -115.664635621761 -404.093692231209</f>
        <v>-1165.1273972939459</v>
      </c>
      <c r="Q1236">
        <f>-401.077823544555 -41.0255871577486 -453.010723058301</f>
        <v>-895.11413376060455</v>
      </c>
      <c r="R1236" t="s">
        <v>25885</v>
      </c>
      <c r="S1236" t="s">
        <v>25886</v>
      </c>
      <c r="T1236" t="s">
        <v>25887</v>
      </c>
      <c r="U1236" t="s">
        <v>25888</v>
      </c>
      <c r="V1236">
        <f>-623.935271551168 -10.5757908428565 -235.950661541689</f>
        <v>-870.46172393571339</v>
      </c>
      <c r="W1236" t="s">
        <v>25889</v>
      </c>
      <c r="X1236" t="s">
        <v>25890</v>
      </c>
      <c r="Y1236" t="s">
        <v>25891</v>
      </c>
    </row>
    <row r="1237" spans="1:25" x14ac:dyDescent="0.3">
      <c r="A1237">
        <v>61800</v>
      </c>
      <c r="B1237" t="s">
        <v>25892</v>
      </c>
      <c r="C1237" t="s">
        <v>25893</v>
      </c>
      <c r="D1237" t="s">
        <v>25894</v>
      </c>
      <c r="E1237" t="s">
        <v>25895</v>
      </c>
      <c r="F1237" t="s">
        <v>25896</v>
      </c>
      <c r="G1237" t="s">
        <v>25897</v>
      </c>
      <c r="H1237" t="s">
        <v>25898</v>
      </c>
      <c r="I1237">
        <f>-556.513233428065 -7.82601439802446 -927.666754869212</f>
        <v>-1492.0060026953015</v>
      </c>
      <c r="J1237" t="s">
        <v>25899</v>
      </c>
      <c r="K1237" t="s">
        <v>25900</v>
      </c>
      <c r="L1237" t="s">
        <v>25901</v>
      </c>
      <c r="M1237" t="s">
        <v>25902</v>
      </c>
      <c r="N1237">
        <f>-615.915881957518 -2.57511450232872 -767.290255250976</f>
        <v>-1385.7812517108227</v>
      </c>
      <c r="O1237">
        <f>-644.379056494237 -138.708409573852 -719.541486037784</f>
        <v>-1502.6289521058729</v>
      </c>
      <c r="P1237">
        <f>-645.746077196659 -116.064997740488 -403.83334693148</f>
        <v>-1165.644421868627</v>
      </c>
      <c r="Q1237">
        <f>-401.427481412272 -41.7306336653593 -453.076228165669</f>
        <v>-896.23434324330037</v>
      </c>
      <c r="R1237" t="s">
        <v>25903</v>
      </c>
      <c r="S1237" t="s">
        <v>25904</v>
      </c>
      <c r="T1237" t="s">
        <v>25905</v>
      </c>
      <c r="U1237" t="s">
        <v>25906</v>
      </c>
      <c r="V1237">
        <f>-624.110817180005 -10.7462725755795 -235.923077073161</f>
        <v>-870.78016682874556</v>
      </c>
      <c r="W1237" t="s">
        <v>25907</v>
      </c>
      <c r="X1237" t="s">
        <v>25908</v>
      </c>
      <c r="Y1237" t="s">
        <v>25909</v>
      </c>
    </row>
    <row r="1238" spans="1:25" x14ac:dyDescent="0.3">
      <c r="A1238">
        <v>61850</v>
      </c>
      <c r="B1238" t="s">
        <v>25910</v>
      </c>
      <c r="C1238" t="s">
        <v>25911</v>
      </c>
      <c r="D1238" t="s">
        <v>25912</v>
      </c>
      <c r="E1238" t="s">
        <v>25913</v>
      </c>
      <c r="F1238" t="s">
        <v>25914</v>
      </c>
      <c r="G1238" t="s">
        <v>25915</v>
      </c>
      <c r="H1238" t="s">
        <v>25916</v>
      </c>
      <c r="I1238">
        <f>-558.204468818081 -8.85281404924461 -927.511483033907</f>
        <v>-1494.5687659012324</v>
      </c>
      <c r="J1238" t="s">
        <v>25917</v>
      </c>
      <c r="K1238" t="s">
        <v>25918</v>
      </c>
      <c r="L1238" t="s">
        <v>25919</v>
      </c>
      <c r="M1238" t="s">
        <v>25920</v>
      </c>
      <c r="N1238">
        <f>-617.331590703697 -3.20893758609729 -767.040820308927</f>
        <v>-1387.5813485987212</v>
      </c>
      <c r="O1238">
        <f>-645.924960904575 -139.221870603803 -719.00844592498</f>
        <v>-1504.1552774333582</v>
      </c>
      <c r="P1238">
        <f>-646.495030038849 -116.033491930396 -403.337548327365</f>
        <v>-1165.8660702966101</v>
      </c>
      <c r="Q1238">
        <f>-401.896134500358 -43.0996993984925 -453.278245719028</f>
        <v>-898.27407961787844</v>
      </c>
      <c r="R1238" t="s">
        <v>25921</v>
      </c>
      <c r="S1238" t="s">
        <v>25922</v>
      </c>
      <c r="T1238" t="s">
        <v>25923</v>
      </c>
      <c r="U1238" t="s">
        <v>25924</v>
      </c>
      <c r="V1238">
        <f>-624.327963853903 -11.0021317081533 -235.887617279193</f>
        <v>-871.21771284124941</v>
      </c>
      <c r="W1238" t="s">
        <v>25925</v>
      </c>
      <c r="X1238" t="s">
        <v>25926</v>
      </c>
      <c r="Y1238" t="s">
        <v>25927</v>
      </c>
    </row>
    <row r="1239" spans="1:25" x14ac:dyDescent="0.3">
      <c r="A1239">
        <v>61900</v>
      </c>
      <c r="B1239" t="s">
        <v>25928</v>
      </c>
      <c r="C1239" t="s">
        <v>25929</v>
      </c>
      <c r="D1239" t="s">
        <v>25930</v>
      </c>
      <c r="E1239" t="s">
        <v>25931</v>
      </c>
      <c r="F1239" t="s">
        <v>25932</v>
      </c>
      <c r="G1239" t="s">
        <v>25933</v>
      </c>
      <c r="H1239" t="s">
        <v>25934</v>
      </c>
      <c r="I1239">
        <f>-558.681968784685 -9.3558432845126 -927.491803716357</f>
        <v>-1495.5296157855546</v>
      </c>
      <c r="J1239" t="s">
        <v>25935</v>
      </c>
      <c r="K1239" t="s">
        <v>25936</v>
      </c>
      <c r="L1239" t="s">
        <v>25937</v>
      </c>
      <c r="M1239" t="s">
        <v>25938</v>
      </c>
      <c r="N1239">
        <f>-617.703208067475 -3.53819291986268 -766.984731235539</f>
        <v>-1388.2261322228767</v>
      </c>
      <c r="O1239">
        <f>-646.403516734228 -139.494230729774 -718.85140889883</f>
        <v>-1504.7491563628319</v>
      </c>
      <c r="P1239">
        <f>-646.78108793705 -116.418633890536 -403.171899743284</f>
        <v>-1166.37162157087</v>
      </c>
      <c r="Q1239">
        <f>-401.973914232978 -44.0800219014002 -452.957750380203</f>
        <v>-899.01168651458124</v>
      </c>
      <c r="R1239" t="s">
        <v>25939</v>
      </c>
      <c r="S1239" t="s">
        <v>25940</v>
      </c>
      <c r="T1239" t="s">
        <v>25941</v>
      </c>
      <c r="U1239" t="s">
        <v>25942</v>
      </c>
      <c r="V1239">
        <f>-624.313441269597 -11.1687278215755 -235.885768291857</f>
        <v>-871.36793738302958</v>
      </c>
      <c r="W1239" t="s">
        <v>25943</v>
      </c>
      <c r="X1239" t="s">
        <v>25944</v>
      </c>
      <c r="Y1239" t="s">
        <v>25945</v>
      </c>
    </row>
    <row r="1240" spans="1:25" x14ac:dyDescent="0.3">
      <c r="A1240">
        <v>61950</v>
      </c>
      <c r="B1240" t="s">
        <v>25946</v>
      </c>
      <c r="C1240" t="s">
        <v>25947</v>
      </c>
      <c r="D1240" t="s">
        <v>25948</v>
      </c>
      <c r="E1240" t="s">
        <v>25949</v>
      </c>
      <c r="F1240" t="s">
        <v>25950</v>
      </c>
      <c r="G1240" t="s">
        <v>25951</v>
      </c>
      <c r="H1240" t="s">
        <v>25952</v>
      </c>
      <c r="I1240">
        <f>-559.541081471451 -10.1250518434808 -927.559933481089</f>
        <v>-1497.2260667960209</v>
      </c>
      <c r="J1240" t="s">
        <v>25953</v>
      </c>
      <c r="K1240" t="s">
        <v>25954</v>
      </c>
      <c r="L1240" t="s">
        <v>25955</v>
      </c>
      <c r="M1240" t="s">
        <v>25956</v>
      </c>
      <c r="N1240">
        <f>-618.306774068335 -4.06206568656795 -766.973944492682</f>
        <v>-1389.3427842475849</v>
      </c>
      <c r="O1240">
        <f>-647.294945980143 -139.898548121182 -718.689430524811</f>
        <v>-1505.8829246261359</v>
      </c>
      <c r="P1240">
        <f>-647.143801535982 -116.274107703759 -403.050347168008</f>
        <v>-1166.4682564077489</v>
      </c>
      <c r="Q1240">
        <f>-401.845424152331 -45.7135798448959 -452.970134222087</f>
        <v>-900.52913821931384</v>
      </c>
      <c r="R1240" t="s">
        <v>25957</v>
      </c>
      <c r="S1240" t="s">
        <v>25958</v>
      </c>
      <c r="T1240" t="s">
        <v>25959</v>
      </c>
      <c r="U1240" t="s">
        <v>25960</v>
      </c>
      <c r="V1240">
        <f>-624.280427330197 -11.4701513387238 -235.874554040193</f>
        <v>-871.62513270911381</v>
      </c>
      <c r="W1240" t="s">
        <v>25961</v>
      </c>
      <c r="X1240" t="s">
        <v>25962</v>
      </c>
      <c r="Y1240" t="s">
        <v>25963</v>
      </c>
    </row>
    <row r="1241" spans="1:25" x14ac:dyDescent="0.3">
      <c r="A1241">
        <v>62000</v>
      </c>
      <c r="B1241" t="s">
        <v>25964</v>
      </c>
      <c r="C1241" t="s">
        <v>25965</v>
      </c>
      <c r="D1241" t="s">
        <v>25966</v>
      </c>
      <c r="E1241" t="s">
        <v>25967</v>
      </c>
      <c r="F1241" t="s">
        <v>25968</v>
      </c>
      <c r="G1241" t="s">
        <v>25969</v>
      </c>
      <c r="H1241" t="s">
        <v>25970</v>
      </c>
      <c r="I1241">
        <f>-559.822635563202 -10.6595841921897 -927.587018263473</f>
        <v>-1498.0692380188648</v>
      </c>
      <c r="J1241" t="s">
        <v>25971</v>
      </c>
      <c r="K1241" t="s">
        <v>25972</v>
      </c>
      <c r="L1241" t="s">
        <v>25973</v>
      </c>
      <c r="M1241" t="s">
        <v>25974</v>
      </c>
      <c r="N1241">
        <f>-618.501496541315 -4.44568445516317 -766.964251027866</f>
        <v>-1389.9114320243441</v>
      </c>
      <c r="O1241">
        <f>-647.700231893213 -140.202472797744 -718.599916634336</f>
        <v>-1506.5026213252929</v>
      </c>
      <c r="P1241">
        <f>-647.319773251526 -116.627876135714 -402.957243889395</f>
        <v>-1166.904893276635</v>
      </c>
      <c r="Q1241">
        <f>-401.903300030243 -46.8264038739563 -453.361492955026</f>
        <v>-902.09119685922519</v>
      </c>
      <c r="R1241" t="s">
        <v>25975</v>
      </c>
      <c r="S1241" t="s">
        <v>25976</v>
      </c>
      <c r="T1241" t="s">
        <v>25977</v>
      </c>
      <c r="U1241" t="s">
        <v>25978</v>
      </c>
      <c r="V1241">
        <f>-624.24881973766 -11.6386580181784 -235.883946255664</f>
        <v>-871.7714240115024</v>
      </c>
      <c r="W1241" t="s">
        <v>25979</v>
      </c>
      <c r="X1241" t="s">
        <v>25980</v>
      </c>
      <c r="Y1241" t="s">
        <v>25981</v>
      </c>
    </row>
    <row r="1242" spans="1:25" x14ac:dyDescent="0.3">
      <c r="A1242">
        <v>62050</v>
      </c>
      <c r="B1242" t="s">
        <v>25982</v>
      </c>
      <c r="C1242" t="s">
        <v>25983</v>
      </c>
      <c r="D1242" t="s">
        <v>25984</v>
      </c>
      <c r="E1242" t="s">
        <v>25985</v>
      </c>
      <c r="F1242" t="s">
        <v>25986</v>
      </c>
      <c r="G1242" t="s">
        <v>25987</v>
      </c>
      <c r="H1242" t="s">
        <v>25988</v>
      </c>
      <c r="I1242">
        <f>-559.972504575399 -11.7577150200697 -927.635124512956</f>
        <v>-1499.3653441084248</v>
      </c>
      <c r="J1242" t="s">
        <v>25989</v>
      </c>
      <c r="K1242" t="s">
        <v>25990</v>
      </c>
      <c r="L1242" t="s">
        <v>25991</v>
      </c>
      <c r="M1242" t="s">
        <v>25992</v>
      </c>
      <c r="N1242">
        <f>-618.512755082362 -5.25231069325999 -766.959683107783</f>
        <v>-1390.724748883405</v>
      </c>
      <c r="O1242">
        <f>-648.20608726016 -140.843238444202 -718.424501603244</f>
        <v>-1507.4738273076059</v>
      </c>
      <c r="P1242">
        <f>-646.446342229062 -116.682115755069 -402.830903009963</f>
        <v>-1165.9593609940939</v>
      </c>
      <c r="Q1242">
        <f>-400.817101984587 -48.4317391906989 -454.311071409108</f>
        <v>-903.55991258439394</v>
      </c>
      <c r="R1242" t="s">
        <v>25993</v>
      </c>
      <c r="S1242" t="s">
        <v>25994</v>
      </c>
      <c r="T1242" t="s">
        <v>25995</v>
      </c>
      <c r="U1242" t="s">
        <v>25996</v>
      </c>
      <c r="V1242">
        <f>-624.230596693927 -12.0274413171916 -235.899650368914</f>
        <v>-872.1576883800326</v>
      </c>
      <c r="W1242" t="s">
        <v>25997</v>
      </c>
      <c r="X1242" t="s">
        <v>25998</v>
      </c>
      <c r="Y1242" t="s">
        <v>25999</v>
      </c>
    </row>
    <row r="1243" spans="1:25" x14ac:dyDescent="0.3">
      <c r="A1243">
        <v>62100</v>
      </c>
      <c r="B1243" t="s">
        <v>26000</v>
      </c>
      <c r="C1243" t="s">
        <v>26001</v>
      </c>
      <c r="D1243" t="s">
        <v>26002</v>
      </c>
      <c r="E1243" t="s">
        <v>26003</v>
      </c>
      <c r="F1243" t="s">
        <v>26004</v>
      </c>
      <c r="G1243" t="s">
        <v>26005</v>
      </c>
      <c r="H1243" t="s">
        <v>26006</v>
      </c>
      <c r="I1243">
        <f>-560.000137223299 -12.5018019778572 -927.575552192002</f>
        <v>-1500.0774913931582</v>
      </c>
      <c r="J1243" t="s">
        <v>26007</v>
      </c>
      <c r="K1243" t="s">
        <v>26008</v>
      </c>
      <c r="L1243" t="s">
        <v>26009</v>
      </c>
      <c r="M1243" t="s">
        <v>26010</v>
      </c>
      <c r="N1243">
        <f>-618.496789323771 -5.78605047902741 -766.876590515458</f>
        <v>-1391.1594303182565</v>
      </c>
      <c r="O1243">
        <f>-648.288983741467 -141.326414102503 -718.237289814578</f>
        <v>-1507.8526876585479</v>
      </c>
      <c r="P1243">
        <f>-646.299271029675 -117.021259909743 -402.656098256878</f>
        <v>-1165.976629196296</v>
      </c>
      <c r="Q1243">
        <f>-400.675231811405 -49.2017449760182 -454.727064481818</f>
        <v>-904.60404126924118</v>
      </c>
      <c r="R1243" t="s">
        <v>26011</v>
      </c>
      <c r="S1243" t="s">
        <v>26012</v>
      </c>
      <c r="T1243" t="s">
        <v>26013</v>
      </c>
      <c r="U1243" t="s">
        <v>26014</v>
      </c>
      <c r="V1243">
        <f>-624.198770675445 -12.213627615597 -235.905075364618</f>
        <v>-872.31747365566002</v>
      </c>
      <c r="W1243" t="s">
        <v>26015</v>
      </c>
      <c r="X1243" t="s">
        <v>26016</v>
      </c>
      <c r="Y1243" t="s">
        <v>26017</v>
      </c>
    </row>
    <row r="1244" spans="1:25" x14ac:dyDescent="0.3">
      <c r="A1244">
        <v>62150</v>
      </c>
      <c r="B1244" t="s">
        <v>26018</v>
      </c>
      <c r="C1244" t="s">
        <v>26019</v>
      </c>
      <c r="D1244" t="s">
        <v>26020</v>
      </c>
      <c r="E1244" t="s">
        <v>26021</v>
      </c>
      <c r="F1244" t="s">
        <v>26022</v>
      </c>
      <c r="G1244" t="s">
        <v>26023</v>
      </c>
      <c r="H1244" t="s">
        <v>26024</v>
      </c>
      <c r="I1244">
        <f>-559.336911733692 -13.4555285947635 -927.460349711946</f>
        <v>-1500.2527900404016</v>
      </c>
      <c r="J1244" t="s">
        <v>26025</v>
      </c>
      <c r="K1244" t="s">
        <v>26026</v>
      </c>
      <c r="L1244" t="s">
        <v>26027</v>
      </c>
      <c r="M1244" t="s">
        <v>26028</v>
      </c>
      <c r="N1244">
        <f>-617.85641441111 -6.53835069709028 -766.746935306206</f>
        <v>-1391.1417004144064</v>
      </c>
      <c r="O1244">
        <f>-647.741002014842 -142.002075379749 -717.947075033936</f>
        <v>-1507.690152428527</v>
      </c>
      <c r="P1244">
        <f>-645.355674409592 -117.440754413649 -402.388404460352</f>
        <v>-1165.184833283593</v>
      </c>
      <c r="Q1244">
        <f>-400.041531196856 -49.801353758404 -456.12767935293</f>
        <v>-905.97056430818998</v>
      </c>
      <c r="R1244" t="s">
        <v>26029</v>
      </c>
      <c r="S1244" t="s">
        <v>26030</v>
      </c>
      <c r="T1244" t="s">
        <v>26031</v>
      </c>
      <c r="U1244" t="s">
        <v>26032</v>
      </c>
      <c r="V1244">
        <f>-624.07326214491 -12.4520256732737 -235.914270882057</f>
        <v>-872.4395587002407</v>
      </c>
      <c r="W1244" t="s">
        <v>26033</v>
      </c>
      <c r="X1244" t="s">
        <v>26034</v>
      </c>
      <c r="Y1244" t="s">
        <v>26035</v>
      </c>
    </row>
    <row r="1245" spans="1:25" x14ac:dyDescent="0.3">
      <c r="A1245">
        <v>62200</v>
      </c>
      <c r="B1245" t="s">
        <v>26036</v>
      </c>
      <c r="C1245" t="s">
        <v>26037</v>
      </c>
      <c r="D1245" t="s">
        <v>26038</v>
      </c>
      <c r="E1245" t="s">
        <v>26039</v>
      </c>
      <c r="F1245" t="s">
        <v>26040</v>
      </c>
      <c r="G1245" t="s">
        <v>26041</v>
      </c>
      <c r="H1245" t="s">
        <v>26042</v>
      </c>
      <c r="I1245">
        <f>-558.976025083418 -13.6335683097052 -927.389806796215</f>
        <v>-1499.9994001893383</v>
      </c>
      <c r="J1245" t="s">
        <v>26043</v>
      </c>
      <c r="K1245" t="s">
        <v>26044</v>
      </c>
      <c r="L1245" t="s">
        <v>26045</v>
      </c>
      <c r="M1245" t="s">
        <v>26046</v>
      </c>
      <c r="N1245">
        <f>-617.487965998992 -6.70603764431874 -766.66456905402</f>
        <v>-1390.8585726973306</v>
      </c>
      <c r="O1245">
        <f>-647.292829322252 -142.171140231426 -717.814434285035</f>
        <v>-1507.2784038387131</v>
      </c>
      <c r="P1245">
        <f>-644.83553361814 -117.394524661863 -402.273308764132</f>
        <v>-1164.5033670441348</v>
      </c>
      <c r="Q1245">
        <f>-399.671473667018 -49.7476568845802 -456.6841609227</f>
        <v>-906.1032914742982</v>
      </c>
      <c r="R1245" t="s">
        <v>26047</v>
      </c>
      <c r="S1245" t="s">
        <v>26048</v>
      </c>
      <c r="T1245" t="s">
        <v>26049</v>
      </c>
      <c r="U1245" t="s">
        <v>26050</v>
      </c>
      <c r="V1245">
        <f>-623.956019576013 -12.5840333486042 -235.897489851953</f>
        <v>-872.43754277657013</v>
      </c>
      <c r="W1245" t="s">
        <v>26051</v>
      </c>
      <c r="X1245" t="s">
        <v>26052</v>
      </c>
      <c r="Y1245" t="s">
        <v>26053</v>
      </c>
    </row>
    <row r="1246" spans="1:25" x14ac:dyDescent="0.3">
      <c r="A1246">
        <v>62250</v>
      </c>
      <c r="B1246" t="s">
        <v>26054</v>
      </c>
      <c r="C1246" t="s">
        <v>26055</v>
      </c>
      <c r="D1246" t="s">
        <v>26056</v>
      </c>
      <c r="E1246" t="s">
        <v>26057</v>
      </c>
      <c r="F1246" t="s">
        <v>26058</v>
      </c>
      <c r="G1246" t="s">
        <v>26059</v>
      </c>
      <c r="H1246" t="s">
        <v>26060</v>
      </c>
      <c r="I1246">
        <f>-558.149701874631 -13.259176112607 -927.342049143001</f>
        <v>-1498.7509271302388</v>
      </c>
      <c r="J1246" t="s">
        <v>26061</v>
      </c>
      <c r="K1246" t="s">
        <v>26062</v>
      </c>
      <c r="L1246" t="s">
        <v>26063</v>
      </c>
      <c r="M1246" t="s">
        <v>26064</v>
      </c>
      <c r="N1246">
        <f>-616.781557728268 -6.49111537142633 -766.645382610702</f>
        <v>-1389.9180557103964</v>
      </c>
      <c r="O1246">
        <f>-646.443844202116 -141.97568108606 -717.743917902686</f>
        <v>-1506.1634431908619</v>
      </c>
      <c r="P1246">
        <f>-643.624573354531 -117.181006204101 -402.207206695797</f>
        <v>-1163.0127862544291</v>
      </c>
      <c r="Q1246">
        <f>-398.691442608314 -49.1445812569178 -457.169436961889</f>
        <v>-905.00546082712083</v>
      </c>
      <c r="R1246" t="s">
        <v>26065</v>
      </c>
      <c r="S1246" t="s">
        <v>26066</v>
      </c>
      <c r="T1246" t="s">
        <v>26067</v>
      </c>
      <c r="U1246" t="s">
        <v>26068</v>
      </c>
      <c r="V1246">
        <f>-623.642356387749 -12.6892237674697 -235.896535232303</f>
        <v>-872.22811538752171</v>
      </c>
      <c r="W1246" t="s">
        <v>26069</v>
      </c>
      <c r="X1246" t="s">
        <v>26070</v>
      </c>
      <c r="Y1246" t="s">
        <v>26071</v>
      </c>
    </row>
    <row r="1247" spans="1:25" x14ac:dyDescent="0.3">
      <c r="A1247">
        <v>62300</v>
      </c>
      <c r="B1247" t="s">
        <v>26072</v>
      </c>
      <c r="C1247" t="s">
        <v>26073</v>
      </c>
      <c r="D1247" t="s">
        <v>26074</v>
      </c>
      <c r="E1247" t="s">
        <v>26075</v>
      </c>
      <c r="F1247" t="s">
        <v>26076</v>
      </c>
      <c r="G1247" t="s">
        <v>26077</v>
      </c>
      <c r="H1247" t="s">
        <v>26078</v>
      </c>
      <c r="I1247">
        <f>-557.515538224657 -13.0610888192024 -927.348273343466</f>
        <v>-1497.9249003873254</v>
      </c>
      <c r="J1247" t="s">
        <v>26079</v>
      </c>
      <c r="K1247" t="s">
        <v>26080</v>
      </c>
      <c r="L1247" t="s">
        <v>26081</v>
      </c>
      <c r="M1247" t="s">
        <v>26082</v>
      </c>
      <c r="N1247">
        <f>-616.206418221362 -6.39933737277509 -766.672973703765</f>
        <v>-1389.2787292979021</v>
      </c>
      <c r="O1247">
        <f>-645.712423254946 -141.913288308247 -717.793846585425</f>
        <v>-1505.4195581486179</v>
      </c>
      <c r="P1247">
        <f>-642.939145341898 -117.059610652103 -402.261244999857</f>
        <v>-1162.2600009938578</v>
      </c>
      <c r="Q1247">
        <f>-398.091069039628 -48.4410392586925 -456.877823566622</f>
        <v>-903.40993186494256</v>
      </c>
      <c r="R1247" t="s">
        <v>26083</v>
      </c>
      <c r="S1247" t="s">
        <v>26084</v>
      </c>
      <c r="T1247" t="s">
        <v>26085</v>
      </c>
      <c r="U1247" t="s">
        <v>26086</v>
      </c>
      <c r="V1247">
        <f>-623.377928978436 -12.649136576545 -235.905715058263</f>
        <v>-871.93278061324395</v>
      </c>
      <c r="W1247" t="s">
        <v>26087</v>
      </c>
      <c r="X1247" t="s">
        <v>26088</v>
      </c>
      <c r="Y1247" t="s">
        <v>26089</v>
      </c>
    </row>
    <row r="1248" spans="1:25" x14ac:dyDescent="0.3">
      <c r="A1248">
        <v>62350</v>
      </c>
      <c r="B1248" t="s">
        <v>26090</v>
      </c>
      <c r="C1248" t="s">
        <v>26091</v>
      </c>
      <c r="D1248" t="s">
        <v>26092</v>
      </c>
      <c r="E1248" t="s">
        <v>26093</v>
      </c>
      <c r="F1248" t="s">
        <v>26094</v>
      </c>
      <c r="G1248" t="s">
        <v>26095</v>
      </c>
      <c r="H1248" t="s">
        <v>26096</v>
      </c>
      <c r="I1248">
        <f>-556.03941162396 -12.8281690051718 -927.406516401135</f>
        <v>-1496.2740970302668</v>
      </c>
      <c r="J1248" t="s">
        <v>26097</v>
      </c>
      <c r="K1248" t="s">
        <v>26098</v>
      </c>
      <c r="L1248" t="s">
        <v>26099</v>
      </c>
      <c r="M1248" t="s">
        <v>26100</v>
      </c>
      <c r="N1248">
        <f>-614.841023141332 -6.39013582827437 -766.762938940569</f>
        <v>-1387.9940979101755</v>
      </c>
      <c r="O1248">
        <f>-644.000159178641 -141.989768769693 -717.921820083261</f>
        <v>-1503.9117480315949</v>
      </c>
      <c r="P1248">
        <f>-641.427260861611 -117.380150759058 -402.368316928293</f>
        <v>-1161.1757285489621</v>
      </c>
      <c r="Q1248">
        <f>-396.854974662323 -47.1261484526993 -456.134990112793</f>
        <v>-900.11611322781528</v>
      </c>
      <c r="R1248" t="s">
        <v>26101</v>
      </c>
      <c r="S1248" t="s">
        <v>26102</v>
      </c>
      <c r="T1248" t="s">
        <v>26103</v>
      </c>
      <c r="U1248" t="s">
        <v>26104</v>
      </c>
      <c r="V1248">
        <f>-622.497702615892 -12.6502633438325 -235.925692900086</f>
        <v>-871.07365885981051</v>
      </c>
      <c r="W1248" t="s">
        <v>26105</v>
      </c>
      <c r="X1248" t="s">
        <v>26106</v>
      </c>
      <c r="Y1248" t="s">
        <v>26107</v>
      </c>
    </row>
    <row r="1249" spans="1:25" x14ac:dyDescent="0.3">
      <c r="A1249">
        <v>62400</v>
      </c>
      <c r="B1249" t="s">
        <v>26108</v>
      </c>
      <c r="C1249" t="s">
        <v>26109</v>
      </c>
      <c r="D1249" t="s">
        <v>26110</v>
      </c>
      <c r="E1249" t="s">
        <v>26111</v>
      </c>
      <c r="F1249" t="s">
        <v>26112</v>
      </c>
      <c r="G1249" t="s">
        <v>26113</v>
      </c>
      <c r="H1249" t="s">
        <v>26114</v>
      </c>
      <c r="I1249">
        <f>-555.252653995761 -12.6626449261684 -927.453443296538</f>
        <v>-1495.3687422184673</v>
      </c>
      <c r="J1249" t="s">
        <v>26115</v>
      </c>
      <c r="K1249" t="s">
        <v>26116</v>
      </c>
      <c r="L1249" t="s">
        <v>26117</v>
      </c>
      <c r="M1249" t="s">
        <v>26118</v>
      </c>
      <c r="N1249">
        <f>-614.085698306977 -6.32839690825346 -766.814908733848</f>
        <v>-1387.2290039490786</v>
      </c>
      <c r="O1249">
        <f>-643.084948203437 -141.963176848294 -717.98817099035</f>
        <v>-1503.0362960420809</v>
      </c>
      <c r="P1249">
        <f>-640.734608914823 -117.271479474561 -402.439524570486</f>
        <v>-1160.44561295987</v>
      </c>
      <c r="Q1249">
        <f>-396.336935086489 -46.2946129478891 -456.050232707379</f>
        <v>-898.68178074175717</v>
      </c>
      <c r="R1249" t="s">
        <v>26119</v>
      </c>
      <c r="S1249" t="s">
        <v>26120</v>
      </c>
      <c r="T1249" t="s">
        <v>26121</v>
      </c>
      <c r="U1249" t="s">
        <v>26122</v>
      </c>
      <c r="V1249">
        <f>-621.896399860356 -12.5079444942551 -235.935821939557</f>
        <v>-870.34016629416806</v>
      </c>
      <c r="W1249" t="s">
        <v>26123</v>
      </c>
      <c r="X1249" t="s">
        <v>26124</v>
      </c>
      <c r="Y1249" t="s">
        <v>26125</v>
      </c>
    </row>
    <row r="1250" spans="1:25" x14ac:dyDescent="0.3">
      <c r="A1250">
        <v>62450</v>
      </c>
      <c r="B1250" t="s">
        <v>26126</v>
      </c>
      <c r="C1250" t="s">
        <v>26127</v>
      </c>
      <c r="D1250" t="s">
        <v>26128</v>
      </c>
      <c r="E1250" t="s">
        <v>26129</v>
      </c>
      <c r="F1250" t="s">
        <v>26130</v>
      </c>
      <c r="G1250" t="s">
        <v>26131</v>
      </c>
      <c r="H1250" t="s">
        <v>26132</v>
      </c>
      <c r="I1250">
        <f>-553.771679042249 -12.6034292275004 -927.524842810423</f>
        <v>-1493.8999510801725</v>
      </c>
      <c r="J1250" t="s">
        <v>26133</v>
      </c>
      <c r="K1250" t="s">
        <v>26134</v>
      </c>
      <c r="L1250" t="s">
        <v>26135</v>
      </c>
      <c r="M1250" t="s">
        <v>26136</v>
      </c>
      <c r="N1250">
        <f>-612.647787142747 -6.35253376064477 -766.892054440632</f>
        <v>-1385.8923753440238</v>
      </c>
      <c r="O1250">
        <f>-641.46049106943 -142.015478620976 -718.004925319677</f>
        <v>-1501.4808950100828</v>
      </c>
      <c r="P1250">
        <f>-639.213794698642 -117.230063218598 -402.462764817391</f>
        <v>-1158.9066227346311</v>
      </c>
      <c r="Q1250">
        <f>-395.107845751121 -45.2169736267121 -456.020765311714</f>
        <v>-896.34558468954708</v>
      </c>
      <c r="R1250" t="s">
        <v>26137</v>
      </c>
      <c r="S1250" t="s">
        <v>26138</v>
      </c>
      <c r="T1250" t="s">
        <v>26139</v>
      </c>
      <c r="U1250" t="s">
        <v>26140</v>
      </c>
      <c r="V1250">
        <f>-620.856053631531 -12.2623298836732 -235.967234995976</f>
        <v>-869.0856185111802</v>
      </c>
      <c r="W1250" t="s">
        <v>26141</v>
      </c>
      <c r="X1250" t="s">
        <v>26142</v>
      </c>
      <c r="Y1250" t="s">
        <v>26143</v>
      </c>
    </row>
    <row r="1251" spans="1:25" x14ac:dyDescent="0.3">
      <c r="A1251">
        <v>62500</v>
      </c>
      <c r="B1251" t="s">
        <v>26144</v>
      </c>
      <c r="C1251" t="s">
        <v>26145</v>
      </c>
      <c r="D1251" t="s">
        <v>26146</v>
      </c>
      <c r="E1251" t="s">
        <v>26147</v>
      </c>
      <c r="F1251" t="s">
        <v>26148</v>
      </c>
      <c r="G1251" t="s">
        <v>26149</v>
      </c>
      <c r="H1251" t="s">
        <v>26150</v>
      </c>
      <c r="I1251">
        <f>-552.945986765116 -12.5893968547605 -927.536320838134</f>
        <v>-1493.0717044580106</v>
      </c>
      <c r="J1251" t="s">
        <v>26151</v>
      </c>
      <c r="K1251" t="s">
        <v>26152</v>
      </c>
      <c r="L1251" t="s">
        <v>26153</v>
      </c>
      <c r="M1251" t="s">
        <v>26154</v>
      </c>
      <c r="N1251">
        <f>-611.852002284565 -6.34657527842445 -766.917685153548</f>
        <v>-1385.1162627165372</v>
      </c>
      <c r="O1251">
        <f>-640.576985260517 -142.030167734545 -718.024442304374</f>
        <v>-1500.631595299436</v>
      </c>
      <c r="P1251">
        <f>-638.50270684573 -117.444255890124 -402.465522073784</f>
        <v>-1158.412484809638</v>
      </c>
      <c r="Q1251">
        <f>-394.577227730499 -44.8023977972353 -455.996767051529</f>
        <v>-895.37639257926321</v>
      </c>
      <c r="R1251" t="s">
        <v>26155</v>
      </c>
      <c r="S1251" t="s">
        <v>26156</v>
      </c>
      <c r="T1251" t="s">
        <v>26157</v>
      </c>
      <c r="U1251" t="s">
        <v>26158</v>
      </c>
      <c r="V1251">
        <f>-620.384310530245 -12.048595963517 -235.981178082025</f>
        <v>-868.414084575787</v>
      </c>
      <c r="W1251" t="s">
        <v>26159</v>
      </c>
      <c r="X1251" t="s">
        <v>26160</v>
      </c>
      <c r="Y1251" t="s">
        <v>26161</v>
      </c>
    </row>
    <row r="1252" spans="1:25" x14ac:dyDescent="0.3">
      <c r="A1252">
        <v>62550</v>
      </c>
      <c r="B1252" t="s">
        <v>26162</v>
      </c>
      <c r="C1252" t="s">
        <v>26163</v>
      </c>
      <c r="D1252" t="s">
        <v>26164</v>
      </c>
      <c r="E1252" t="s">
        <v>26165</v>
      </c>
      <c r="F1252" t="s">
        <v>26166</v>
      </c>
      <c r="G1252" t="s">
        <v>26167</v>
      </c>
      <c r="H1252" t="s">
        <v>26168</v>
      </c>
      <c r="I1252">
        <f>-551.44515833118 -12.3855177967114 -927.548411430921</f>
        <v>-1491.3790875588124</v>
      </c>
      <c r="J1252" t="s">
        <v>26169</v>
      </c>
      <c r="K1252" t="s">
        <v>26170</v>
      </c>
      <c r="L1252" t="s">
        <v>26171</v>
      </c>
      <c r="M1252" t="s">
        <v>26172</v>
      </c>
      <c r="N1252">
        <f>-610.464487778184 -6.1360640134304 -766.976683364628</f>
        <v>-1383.5772351562423</v>
      </c>
      <c r="O1252">
        <f>-639.075535920165 -141.842059793111 -718.088829664924</f>
        <v>-1499.0064253781998</v>
      </c>
      <c r="P1252">
        <f>-637.005448925619 -117.331219856259 -402.524142688919</f>
        <v>-1156.860811470797</v>
      </c>
      <c r="Q1252">
        <f>-393.366394599596 -44.0290296196004 -456.457977299764</f>
        <v>-893.85340151896048</v>
      </c>
      <c r="R1252" t="s">
        <v>26173</v>
      </c>
      <c r="S1252" t="s">
        <v>26174</v>
      </c>
      <c r="T1252" t="s">
        <v>26175</v>
      </c>
      <c r="U1252" t="s">
        <v>26176</v>
      </c>
      <c r="V1252">
        <f>-619.641614264014 -11.5819039981057 -236.003005703529</f>
        <v>-867.22652396564865</v>
      </c>
      <c r="W1252" t="s">
        <v>26177</v>
      </c>
      <c r="X1252" t="s">
        <v>26178</v>
      </c>
      <c r="Y1252" t="s">
        <v>26179</v>
      </c>
    </row>
    <row r="1253" spans="1:25" x14ac:dyDescent="0.3">
      <c r="A1253">
        <v>62600</v>
      </c>
      <c r="B1253" t="s">
        <v>26180</v>
      </c>
      <c r="C1253" t="s">
        <v>26181</v>
      </c>
      <c r="D1253" t="s">
        <v>26182</v>
      </c>
      <c r="E1253" t="s">
        <v>26183</v>
      </c>
      <c r="F1253" t="s">
        <v>26184</v>
      </c>
      <c r="G1253" t="s">
        <v>26185</v>
      </c>
      <c r="H1253" t="s">
        <v>26186</v>
      </c>
      <c r="I1253">
        <f>-550.714832696144 -12.3236314898128 -927.513251390046</f>
        <v>-1490.5517155760026</v>
      </c>
      <c r="J1253" t="s">
        <v>26187</v>
      </c>
      <c r="K1253" t="s">
        <v>26188</v>
      </c>
      <c r="L1253" t="s">
        <v>26189</v>
      </c>
      <c r="M1253" t="s">
        <v>26190</v>
      </c>
      <c r="N1253">
        <f>-609.808247872964 -6.04286841706987 -766.971832558364</f>
        <v>-1382.8229488483978</v>
      </c>
      <c r="O1253">
        <f>-638.381899506886 -141.745363877345 -718.056536282345</f>
        <v>-1498.1837996665759</v>
      </c>
      <c r="P1253">
        <f>-636.41235453184 -116.990648079238 -402.510173217433</f>
        <v>-1155.9131758285112</v>
      </c>
      <c r="Q1253">
        <f>-392.728392940406 -44.0373721969563 -456.713433011831</f>
        <v>-893.47919814919328</v>
      </c>
      <c r="R1253" t="s">
        <v>26191</v>
      </c>
      <c r="S1253" t="s">
        <v>26192</v>
      </c>
      <c r="T1253" t="s">
        <v>26193</v>
      </c>
      <c r="U1253" t="s">
        <v>26194</v>
      </c>
      <c r="V1253">
        <f>-619.294731988759 -11.3346175290618 -236.016398372989</f>
        <v>-866.64574789080984</v>
      </c>
      <c r="W1253" t="s">
        <v>26195</v>
      </c>
      <c r="X1253" t="s">
        <v>26196</v>
      </c>
      <c r="Y1253" t="s">
        <v>26197</v>
      </c>
    </row>
    <row r="1254" spans="1:25" x14ac:dyDescent="0.3">
      <c r="A1254">
        <v>62650</v>
      </c>
      <c r="B1254" t="s">
        <v>26198</v>
      </c>
      <c r="C1254" t="s">
        <v>26199</v>
      </c>
      <c r="D1254" t="s">
        <v>26200</v>
      </c>
      <c r="E1254" t="s">
        <v>26201</v>
      </c>
      <c r="F1254" t="s">
        <v>26202</v>
      </c>
      <c r="G1254" t="s">
        <v>26203</v>
      </c>
      <c r="H1254" t="s">
        <v>26204</v>
      </c>
      <c r="I1254">
        <f>-549.567047481391 -12.1370596920147 -927.451859233367</f>
        <v>-1489.1559664067727</v>
      </c>
      <c r="J1254" t="s">
        <v>26205</v>
      </c>
      <c r="K1254" t="s">
        <v>26206</v>
      </c>
      <c r="L1254" t="s">
        <v>26207</v>
      </c>
      <c r="M1254" t="s">
        <v>26208</v>
      </c>
      <c r="N1254">
        <f>-608.797520352008 -5.77890277619098 -766.972296634859</f>
        <v>-1381.548719763058</v>
      </c>
      <c r="O1254">
        <f>-637.52096827732 -141.425292458829 -718.010616727654</f>
        <v>-1496.956877463803</v>
      </c>
      <c r="P1254">
        <f>-635.586522420422 -116.705048534638 -402.461330409961</f>
        <v>-1154.752901365021</v>
      </c>
      <c r="Q1254">
        <f>-391.674571427292 -44.7277947137239 -456.943430822784</f>
        <v>-893.3457969637999</v>
      </c>
      <c r="R1254" t="s">
        <v>26209</v>
      </c>
      <c r="S1254" t="s">
        <v>26210</v>
      </c>
      <c r="T1254" t="s">
        <v>26211</v>
      </c>
      <c r="U1254" t="s">
        <v>26212</v>
      </c>
      <c r="V1254">
        <f>-618.729909482906 -10.7837727887814 -236.022030155183</f>
        <v>-865.53571242687042</v>
      </c>
      <c r="W1254" t="s">
        <v>26213</v>
      </c>
      <c r="X1254" t="s">
        <v>26214</v>
      </c>
      <c r="Y1254" t="s">
        <v>26215</v>
      </c>
    </row>
    <row r="1255" spans="1:25" x14ac:dyDescent="0.3">
      <c r="A1255">
        <v>62700</v>
      </c>
      <c r="B1255" t="s">
        <v>26216</v>
      </c>
      <c r="C1255" t="s">
        <v>26217</v>
      </c>
      <c r="D1255" t="s">
        <v>26218</v>
      </c>
      <c r="E1255" t="s">
        <v>26219</v>
      </c>
      <c r="F1255" t="s">
        <v>26220</v>
      </c>
      <c r="G1255" t="s">
        <v>26221</v>
      </c>
      <c r="H1255" t="s">
        <v>26222</v>
      </c>
      <c r="I1255">
        <f>-549.154030746604 -12.2300400330433 -927.380449293754</f>
        <v>-1488.7645200734014</v>
      </c>
      <c r="J1255" t="s">
        <v>26223</v>
      </c>
      <c r="K1255" t="s">
        <v>26224</v>
      </c>
      <c r="L1255" t="s">
        <v>26225</v>
      </c>
      <c r="M1255" t="s">
        <v>26226</v>
      </c>
      <c r="N1255">
        <f>-608.488080371791 -5.75048456229237 -766.952891152774</f>
        <v>-1381.1914560868574</v>
      </c>
      <c r="O1255">
        <f>-637.396275925159 -141.363696427113 -717.997295040545</f>
        <v>-1496.7572673928171</v>
      </c>
      <c r="P1255">
        <f>-635.449646357306 -116.834852893258 -402.433132185313</f>
        <v>-1154.7176314358771</v>
      </c>
      <c r="Q1255">
        <f>-391.494340699893 -45.1448909936818 -457.099359246645</f>
        <v>-893.73859094021975</v>
      </c>
      <c r="R1255" t="s">
        <v>26227</v>
      </c>
      <c r="S1255" t="s">
        <v>26228</v>
      </c>
      <c r="T1255" t="s">
        <v>26229</v>
      </c>
      <c r="U1255" t="s">
        <v>26230</v>
      </c>
      <c r="V1255">
        <f>-618.503329539071 -10.587434717756 -236.0107318677</f>
        <v>-865.10149612452699</v>
      </c>
      <c r="W1255" t="s">
        <v>26231</v>
      </c>
      <c r="X1255" t="s">
        <v>26232</v>
      </c>
      <c r="Y1255" t="s">
        <v>26233</v>
      </c>
    </row>
    <row r="1256" spans="1:25" x14ac:dyDescent="0.3">
      <c r="A1256">
        <v>62750</v>
      </c>
      <c r="B1256" t="s">
        <v>26234</v>
      </c>
      <c r="C1256" t="s">
        <v>26235</v>
      </c>
      <c r="D1256" t="s">
        <v>26236</v>
      </c>
      <c r="E1256" t="s">
        <v>26237</v>
      </c>
      <c r="F1256" t="s">
        <v>26238</v>
      </c>
      <c r="G1256" t="s">
        <v>26239</v>
      </c>
      <c r="H1256" t="s">
        <v>26240</v>
      </c>
      <c r="I1256">
        <f>-548.31980534909 -12.2327442910377 -927.252896934049</f>
        <v>-1487.8054465741766</v>
      </c>
      <c r="J1256" t="s">
        <v>26241</v>
      </c>
      <c r="K1256" t="s">
        <v>26242</v>
      </c>
      <c r="L1256" t="s">
        <v>26243</v>
      </c>
      <c r="M1256" t="s">
        <v>26244</v>
      </c>
      <c r="N1256">
        <f>-607.846516302715 -5.53214508312805 -766.926879429843</f>
        <v>-1380.3055408156861</v>
      </c>
      <c r="O1256">
        <f>-637.192462480012 -141.06297686996 -717.99477483416</f>
        <v>-1496.2502141841319</v>
      </c>
      <c r="P1256">
        <f>-635.161813937402 -116.638617066457 -402.422933175294</f>
        <v>-1154.2233641791531</v>
      </c>
      <c r="Q1256">
        <f>-391.062946544775 -45.5575389856676 -457.243157376346</f>
        <v>-893.86364290678853</v>
      </c>
      <c r="R1256" t="s">
        <v>26245</v>
      </c>
      <c r="S1256" t="s">
        <v>26246</v>
      </c>
      <c r="T1256" t="s">
        <v>26247</v>
      </c>
      <c r="U1256" t="s">
        <v>26248</v>
      </c>
      <c r="V1256">
        <f>-618.306511568401 -10.2422816622892 -235.980705912941</f>
        <v>-864.52949914363126</v>
      </c>
      <c r="W1256" t="s">
        <v>26249</v>
      </c>
      <c r="X1256" t="s">
        <v>26250</v>
      </c>
      <c r="Y1256" t="s">
        <v>26251</v>
      </c>
    </row>
    <row r="1257" spans="1:25" x14ac:dyDescent="0.3">
      <c r="A1257">
        <v>62800</v>
      </c>
      <c r="B1257" t="s">
        <v>26252</v>
      </c>
      <c r="C1257" t="s">
        <v>26253</v>
      </c>
      <c r="D1257" t="s">
        <v>26254</v>
      </c>
      <c r="E1257" t="s">
        <v>26255</v>
      </c>
      <c r="F1257" t="s">
        <v>26256</v>
      </c>
      <c r="G1257" t="s">
        <v>26257</v>
      </c>
      <c r="H1257" t="s">
        <v>26258</v>
      </c>
      <c r="I1257">
        <f>-548.141070820573 -12.4721101123885 -927.145535131517</f>
        <v>-1487.7587160644784</v>
      </c>
      <c r="J1257" t="s">
        <v>26259</v>
      </c>
      <c r="K1257" t="s">
        <v>26260</v>
      </c>
      <c r="L1257" t="s">
        <v>26261</v>
      </c>
      <c r="M1257" t="s">
        <v>26262</v>
      </c>
      <c r="N1257">
        <f>-607.73390434731 -5.6080836515855 -766.847343528513</f>
        <v>-1380.1893315274085</v>
      </c>
      <c r="O1257">
        <f>-637.241772803746 -141.083847167743 -717.881113102275</f>
        <v>-1496.2067330737641</v>
      </c>
      <c r="P1257">
        <f>-635.318183944957 -116.577274937958 -402.315234912421</f>
        <v>-1154.2106937953361</v>
      </c>
      <c r="Q1257">
        <f>-391.132905375127 -45.7358449669605 -457.060785673674</f>
        <v>-893.92953601576141</v>
      </c>
      <c r="R1257" t="s">
        <v>26263</v>
      </c>
      <c r="S1257" t="s">
        <v>26264</v>
      </c>
      <c r="T1257" t="s">
        <v>26265</v>
      </c>
      <c r="U1257" t="s">
        <v>26266</v>
      </c>
      <c r="V1257">
        <f>-618.293520254012 -10.0534452702125 -235.958462285557</f>
        <v>-864.30542780978158</v>
      </c>
      <c r="W1257" t="s">
        <v>26267</v>
      </c>
      <c r="X1257" t="s">
        <v>26268</v>
      </c>
      <c r="Y1257" t="s">
        <v>26269</v>
      </c>
    </row>
    <row r="1258" spans="1:25" x14ac:dyDescent="0.3">
      <c r="A1258">
        <v>62850</v>
      </c>
      <c r="B1258" t="s">
        <v>26270</v>
      </c>
      <c r="C1258" t="s">
        <v>26271</v>
      </c>
      <c r="D1258" t="s">
        <v>26272</v>
      </c>
      <c r="E1258" t="s">
        <v>26273</v>
      </c>
      <c r="F1258" t="s">
        <v>26274</v>
      </c>
      <c r="G1258" t="s">
        <v>26275</v>
      </c>
      <c r="H1258" t="s">
        <v>26276</v>
      </c>
      <c r="I1258">
        <f>-547.565264289567 -13.0201227129028 -926.923431731585</f>
        <v>-1487.5088187340548</v>
      </c>
      <c r="J1258" t="s">
        <v>26277</v>
      </c>
      <c r="K1258" t="s">
        <v>26278</v>
      </c>
      <c r="L1258" t="s">
        <v>26279</v>
      </c>
      <c r="M1258" t="s">
        <v>26280</v>
      </c>
      <c r="N1258">
        <f>-607.281640625966 -5.95858254966822 -766.667530938181</f>
        <v>-1379.9077541138154</v>
      </c>
      <c r="O1258">
        <f>-636.874693001484 -141.411041841155 -717.664193433084</f>
        <v>-1495.9499282757231</v>
      </c>
      <c r="P1258">
        <f>-635.542197050019 -116.672083186279 -402.113268441303</f>
        <v>-1154.327548677601</v>
      </c>
      <c r="Q1258">
        <f>-391.140274922193 -45.9717341158275 -456.068889817453</f>
        <v>-893.18089885547352</v>
      </c>
      <c r="R1258" t="s">
        <v>26281</v>
      </c>
      <c r="S1258" t="s">
        <v>26282</v>
      </c>
      <c r="T1258" t="s">
        <v>26283</v>
      </c>
      <c r="U1258" t="s">
        <v>26284</v>
      </c>
      <c r="V1258">
        <f>-618.390686316905 -10.0810609644907 -235.915722565677</f>
        <v>-864.38746984707268</v>
      </c>
      <c r="W1258" t="s">
        <v>26285</v>
      </c>
      <c r="X1258" t="s">
        <v>26286</v>
      </c>
      <c r="Y1258" t="s">
        <v>26287</v>
      </c>
    </row>
    <row r="1259" spans="1:25" x14ac:dyDescent="0.3">
      <c r="A1259">
        <v>62900</v>
      </c>
      <c r="B1259" t="s">
        <v>26288</v>
      </c>
      <c r="C1259" t="s">
        <v>26289</v>
      </c>
      <c r="D1259" t="s">
        <v>26290</v>
      </c>
      <c r="E1259" t="s">
        <v>26291</v>
      </c>
      <c r="F1259" t="s">
        <v>26292</v>
      </c>
      <c r="G1259" t="s">
        <v>26293</v>
      </c>
      <c r="H1259" t="s">
        <v>26294</v>
      </c>
      <c r="I1259">
        <f>-547.410189302234 -13.0091233669227 -926.821477353261</f>
        <v>-1487.2407900224177</v>
      </c>
      <c r="J1259" t="s">
        <v>26295</v>
      </c>
      <c r="K1259" t="s">
        <v>26296</v>
      </c>
      <c r="L1259" t="s">
        <v>26297</v>
      </c>
      <c r="M1259" t="s">
        <v>26298</v>
      </c>
      <c r="N1259">
        <f>-607.209561818182 -5.92228466914388 -766.592739719985</f>
        <v>-1379.7245862073109</v>
      </c>
      <c r="O1259">
        <f>-636.783466205926 -141.387317866475 -717.586098901489</f>
        <v>-1495.7568829738898</v>
      </c>
      <c r="P1259">
        <f>-635.776170180485 -116.508547739248 -402.044939992828</f>
        <v>-1154.3296579125611</v>
      </c>
      <c r="Q1259">
        <f>-391.306733801501 -45.6672849029681 -455.507617009346</f>
        <v>-892.48163571381519</v>
      </c>
      <c r="R1259" t="s">
        <v>26299</v>
      </c>
      <c r="S1259" t="s">
        <v>26300</v>
      </c>
      <c r="T1259" t="s">
        <v>26301</v>
      </c>
      <c r="U1259" t="s">
        <v>26302</v>
      </c>
      <c r="V1259">
        <f>-618.448613594065 -10.0147855827136 -235.896317201107</f>
        <v>-864.35971637788555</v>
      </c>
      <c r="W1259" t="s">
        <v>26303</v>
      </c>
      <c r="X1259" t="s">
        <v>26304</v>
      </c>
      <c r="Y1259" t="s">
        <v>26305</v>
      </c>
    </row>
    <row r="1260" spans="1:25" x14ac:dyDescent="0.3">
      <c r="A1260">
        <v>62950</v>
      </c>
      <c r="B1260" t="s">
        <v>26306</v>
      </c>
      <c r="C1260" t="s">
        <v>26307</v>
      </c>
      <c r="D1260" t="s">
        <v>26308</v>
      </c>
      <c r="E1260" t="s">
        <v>26309</v>
      </c>
      <c r="F1260" t="s">
        <v>26310</v>
      </c>
      <c r="G1260" t="s">
        <v>26311</v>
      </c>
      <c r="H1260" t="s">
        <v>26312</v>
      </c>
      <c r="I1260">
        <f>-547.625807242101 -12.4671260387356 -926.702794058711</f>
        <v>-1486.7957273395477</v>
      </c>
      <c r="J1260" t="s">
        <v>26313</v>
      </c>
      <c r="K1260" t="s">
        <v>26314</v>
      </c>
      <c r="L1260" t="s">
        <v>26315</v>
      </c>
      <c r="M1260" t="s">
        <v>26316</v>
      </c>
      <c r="N1260">
        <f>-607.504392968848 -5.56929644280714 -766.487200825086</f>
        <v>-1379.5608902367412</v>
      </c>
      <c r="O1260">
        <f>-637.052137183501 -141.058019425605 -717.54980596159</f>
        <v>-1495.6599625706961</v>
      </c>
      <c r="P1260">
        <f>-636.505558318228 -116.198756968718 -402.00587869919</f>
        <v>-1154.7101939861361</v>
      </c>
      <c r="Q1260">
        <f>-392.039149307758 -44.6495018571738 -454.531620915116</f>
        <v>-891.22027208004783</v>
      </c>
      <c r="R1260" t="s">
        <v>26317</v>
      </c>
      <c r="S1260" t="s">
        <v>26318</v>
      </c>
      <c r="T1260" t="s">
        <v>26319</v>
      </c>
      <c r="U1260" t="s">
        <v>26320</v>
      </c>
      <c r="V1260">
        <f>-618.639379349252 -10.0853452414246 -235.827571363378</f>
        <v>-864.55229595405467</v>
      </c>
      <c r="W1260" t="s">
        <v>26321</v>
      </c>
      <c r="X1260" t="s">
        <v>26322</v>
      </c>
      <c r="Y1260" t="s">
        <v>26323</v>
      </c>
    </row>
    <row r="1261" spans="1:25" x14ac:dyDescent="0.3">
      <c r="A1261">
        <v>63000</v>
      </c>
      <c r="B1261" t="s">
        <v>26324</v>
      </c>
      <c r="C1261" t="s">
        <v>26325</v>
      </c>
      <c r="D1261" t="s">
        <v>26326</v>
      </c>
      <c r="E1261" t="s">
        <v>26327</v>
      </c>
      <c r="F1261" t="s">
        <v>26328</v>
      </c>
      <c r="G1261" t="s">
        <v>26329</v>
      </c>
      <c r="H1261" t="s">
        <v>26330</v>
      </c>
      <c r="I1261">
        <f>-547.473216138106 -12.0229237621924 -926.660078608971</f>
        <v>-1486.1562185092694</v>
      </c>
      <c r="J1261" t="s">
        <v>26331</v>
      </c>
      <c r="K1261" t="s">
        <v>26332</v>
      </c>
      <c r="L1261" t="s">
        <v>26333</v>
      </c>
      <c r="M1261" t="s">
        <v>26334</v>
      </c>
      <c r="N1261">
        <f>-607.467419433191 -5.25590512813191 -766.480748519384</f>
        <v>-1379.2040730807068</v>
      </c>
      <c r="O1261">
        <f>-637.01659943378 -140.773738671687 -717.617978608026</f>
        <v>-1495.4083167134932</v>
      </c>
      <c r="P1261">
        <f>-636.657020224368 -115.973955248215 -402.069241809897</f>
        <v>-1154.70021728248</v>
      </c>
      <c r="Q1261">
        <f>-392.255143240718 -44.0579583706431 -454.39372975992</f>
        <v>-890.70683137128117</v>
      </c>
      <c r="R1261" t="s">
        <v>26335</v>
      </c>
      <c r="S1261" t="s">
        <v>26336</v>
      </c>
      <c r="T1261" t="s">
        <v>26337</v>
      </c>
      <c r="U1261" t="s">
        <v>26338</v>
      </c>
      <c r="V1261">
        <f>-618.723188080963 -10.1140848741782 -235.812028617744</f>
        <v>-864.64930157288518</v>
      </c>
      <c r="W1261" t="s">
        <v>26339</v>
      </c>
      <c r="X1261" t="s">
        <v>26340</v>
      </c>
      <c r="Y1261" t="s">
        <v>26341</v>
      </c>
    </row>
    <row r="1262" spans="1:25" x14ac:dyDescent="0.3">
      <c r="A1262">
        <v>63050</v>
      </c>
      <c r="B1262" t="s">
        <v>26342</v>
      </c>
      <c r="C1262" t="s">
        <v>26343</v>
      </c>
      <c r="D1262" t="s">
        <v>26344</v>
      </c>
      <c r="E1262" t="s">
        <v>26345</v>
      </c>
      <c r="F1262" t="s">
        <v>26346</v>
      </c>
      <c r="G1262" t="s">
        <v>26347</v>
      </c>
      <c r="H1262" t="s">
        <v>26348</v>
      </c>
      <c r="I1262">
        <f>-546.702099994429 -10.8829771459524 -926.699334922698</f>
        <v>-1484.2844120630793</v>
      </c>
      <c r="J1262" t="s">
        <v>26349</v>
      </c>
      <c r="K1262" t="s">
        <v>26350</v>
      </c>
      <c r="L1262" t="s">
        <v>26351</v>
      </c>
      <c r="M1262" t="s">
        <v>26352</v>
      </c>
      <c r="N1262">
        <f>-606.947796704346 -4.50945278280062 -766.595201734409</f>
        <v>-1378.0524512215557</v>
      </c>
      <c r="O1262">
        <f>-636.388297421935 -140.120028532886 -717.967209137109</f>
        <v>-1494.4755350919299</v>
      </c>
      <c r="P1262">
        <f>-636.350980233187 -115.830191434697 -402.378634877521</f>
        <v>-1154.5598065454051</v>
      </c>
      <c r="Q1262">
        <f>-392.103005097669 -43.3347346942004 -454.622087857296</f>
        <v>-890.0598276491653</v>
      </c>
      <c r="R1262" t="s">
        <v>26353</v>
      </c>
      <c r="S1262" t="s">
        <v>26354</v>
      </c>
      <c r="T1262" t="s">
        <v>26355</v>
      </c>
      <c r="U1262" t="s">
        <v>26356</v>
      </c>
      <c r="V1262">
        <f>-618.74804889542 -10.1955594071947 -235.804589152723</f>
        <v>-864.74819745533762</v>
      </c>
      <c r="W1262" t="s">
        <v>26357</v>
      </c>
      <c r="X1262" t="s">
        <v>26358</v>
      </c>
      <c r="Y1262" t="s">
        <v>26359</v>
      </c>
    </row>
    <row r="1263" spans="1:25" x14ac:dyDescent="0.3">
      <c r="A1263">
        <v>63100</v>
      </c>
      <c r="B1263" t="s">
        <v>26360</v>
      </c>
      <c r="C1263" t="s">
        <v>26361</v>
      </c>
      <c r="D1263" t="s">
        <v>26362</v>
      </c>
      <c r="E1263" t="s">
        <v>26363</v>
      </c>
      <c r="F1263" t="s">
        <v>26364</v>
      </c>
      <c r="G1263" t="s">
        <v>26365</v>
      </c>
      <c r="H1263" t="s">
        <v>26366</v>
      </c>
      <c r="I1263">
        <f>-546.109946029153 -10.438809863964 -926.727692642938</f>
        <v>-1483.2764485360549</v>
      </c>
      <c r="J1263" t="s">
        <v>26367</v>
      </c>
      <c r="K1263" t="s">
        <v>26368</v>
      </c>
      <c r="L1263" t="s">
        <v>26369</v>
      </c>
      <c r="M1263" t="s">
        <v>26370</v>
      </c>
      <c r="N1263">
        <f>-606.470156071903 -4.22316935832529 -766.655534839536</f>
        <v>-1377.3488602697644</v>
      </c>
      <c r="O1263">
        <f>-635.861295854093 -139.869414499594 -718.109891100141</f>
        <v>-1493.840601453828</v>
      </c>
      <c r="P1263">
        <f>-635.901690556967 -115.963028827246 -402.492012955824</f>
        <v>-1154.3567323400371</v>
      </c>
      <c r="Q1263">
        <f>-391.704096009035 -43.3240511269763 -454.771786444227</f>
        <v>-889.7999335802383</v>
      </c>
      <c r="R1263" t="s">
        <v>26371</v>
      </c>
      <c r="S1263" t="s">
        <v>26372</v>
      </c>
      <c r="T1263" t="s">
        <v>26373</v>
      </c>
      <c r="U1263" t="s">
        <v>26374</v>
      </c>
      <c r="V1263">
        <f>-618.589825181304 -10.0730364345653 -235.820317625872</f>
        <v>-864.48317924174137</v>
      </c>
      <c r="W1263" t="s">
        <v>26375</v>
      </c>
      <c r="X1263" t="s">
        <v>26376</v>
      </c>
      <c r="Y1263" t="s">
        <v>26377</v>
      </c>
    </row>
    <row r="1264" spans="1:25" x14ac:dyDescent="0.3">
      <c r="A1264">
        <v>63150</v>
      </c>
      <c r="B1264" t="s">
        <v>26378</v>
      </c>
      <c r="C1264" t="s">
        <v>26379</v>
      </c>
      <c r="D1264" t="s">
        <v>26380</v>
      </c>
      <c r="E1264" t="s">
        <v>26381</v>
      </c>
      <c r="F1264" t="s">
        <v>26382</v>
      </c>
      <c r="G1264" t="s">
        <v>26383</v>
      </c>
      <c r="H1264" t="s">
        <v>26384</v>
      </c>
      <c r="I1264">
        <f>-545.4826746442 -9.50761275774882 -926.873753997336</f>
        <v>-1481.8640413992848</v>
      </c>
      <c r="J1264" t="s">
        <v>26385</v>
      </c>
      <c r="K1264" t="s">
        <v>26386</v>
      </c>
      <c r="L1264" t="s">
        <v>26387</v>
      </c>
      <c r="M1264" t="s">
        <v>26388</v>
      </c>
      <c r="N1264">
        <f>-605.928507878471 -3.63989490712528 -766.811492450678</f>
        <v>-1376.3798952362743</v>
      </c>
      <c r="O1264">
        <f>-635.221209097848 -139.406006917181 -718.499361654034</f>
        <v>-1493.126577669063</v>
      </c>
      <c r="P1264">
        <f>-635.367811201102 -115.974263029489 -402.845903234483</f>
        <v>-1154.1879774650738</v>
      </c>
      <c r="Q1264">
        <f>-391.171510883413 -43.3482654334476 -455.149750858082</f>
        <v>-889.66952717494257</v>
      </c>
      <c r="R1264" t="s">
        <v>26389</v>
      </c>
      <c r="S1264" t="s">
        <v>26390</v>
      </c>
      <c r="T1264" t="s">
        <v>26391</v>
      </c>
      <c r="U1264" t="s">
        <v>26392</v>
      </c>
      <c r="V1264">
        <f>-618.150410296285 -9.9481141454969 -235.851367249626</f>
        <v>-863.94989169140797</v>
      </c>
      <c r="W1264" t="s">
        <v>26393</v>
      </c>
      <c r="X1264" t="s">
        <v>26394</v>
      </c>
      <c r="Y1264" t="s">
        <v>26395</v>
      </c>
    </row>
    <row r="1265" spans="1:25" x14ac:dyDescent="0.3">
      <c r="A1265">
        <v>63200</v>
      </c>
      <c r="B1265" t="s">
        <v>26396</v>
      </c>
      <c r="C1265" t="s">
        <v>26397</v>
      </c>
      <c r="D1265" t="s">
        <v>26398</v>
      </c>
      <c r="E1265" t="s">
        <v>26399</v>
      </c>
      <c r="F1265" t="s">
        <v>26400</v>
      </c>
      <c r="G1265" t="s">
        <v>26401</v>
      </c>
      <c r="H1265" t="s">
        <v>26402</v>
      </c>
      <c r="I1265">
        <f>-545.171591037061 -8.93565642618225 -927.00940505655</f>
        <v>-1481.1166525197932</v>
      </c>
      <c r="J1265" t="s">
        <v>26403</v>
      </c>
      <c r="K1265" t="s">
        <v>26404</v>
      </c>
      <c r="L1265" t="s">
        <v>26405</v>
      </c>
      <c r="M1265" t="s">
        <v>26406</v>
      </c>
      <c r="N1265">
        <f>-605.644170159491 -3.27848611538677 -766.942657367409</f>
        <v>-1375.8653136422868</v>
      </c>
      <c r="O1265">
        <f>-634.933449571001 -139.080329676323 -718.722631532023</f>
        <v>-1492.7364107793469</v>
      </c>
      <c r="P1265">
        <f>-635.086551354644 -115.947136647735 -403.047118154524</f>
        <v>-1154.080806156903</v>
      </c>
      <c r="Q1265">
        <f>-390.875202353198 -43.2914541190978 -455.239198719104</f>
        <v>-889.40585519139984</v>
      </c>
      <c r="R1265" t="s">
        <v>26407</v>
      </c>
      <c r="S1265" t="s">
        <v>26408</v>
      </c>
      <c r="T1265" t="s">
        <v>26409</v>
      </c>
      <c r="U1265" t="s">
        <v>26410</v>
      </c>
      <c r="V1265">
        <f>-617.908146856872 -9.77602884101438 -235.874174552736</f>
        <v>-863.55835025062242</v>
      </c>
      <c r="W1265" t="s">
        <v>26411</v>
      </c>
      <c r="X1265" t="s">
        <v>26412</v>
      </c>
      <c r="Y1265" t="s">
        <v>26413</v>
      </c>
    </row>
    <row r="1266" spans="1:25" x14ac:dyDescent="0.3">
      <c r="A1266">
        <v>63250</v>
      </c>
      <c r="B1266" t="s">
        <v>26414</v>
      </c>
      <c r="C1266" t="s">
        <v>26415</v>
      </c>
      <c r="D1266" t="s">
        <v>26416</v>
      </c>
      <c r="E1266" t="s">
        <v>26417</v>
      </c>
      <c r="F1266" t="s">
        <v>26418</v>
      </c>
      <c r="G1266" t="s">
        <v>26419</v>
      </c>
      <c r="H1266" t="s">
        <v>26420</v>
      </c>
      <c r="I1266">
        <f>-544.597457371997 -7.58697831549821 -927.211329750453</f>
        <v>-1479.3957654379483</v>
      </c>
      <c r="J1266" t="s">
        <v>26421</v>
      </c>
      <c r="K1266" t="s">
        <v>26422</v>
      </c>
      <c r="L1266" t="s">
        <v>26423</v>
      </c>
      <c r="M1266" t="s">
        <v>26424</v>
      </c>
      <c r="N1266">
        <f>-605.150723181895 -2.36437143307712 -767.147159748336</f>
        <v>-1374.6622543633082</v>
      </c>
      <c r="O1266">
        <f>-634.287942238798 -138.286970455976 -719.184247087775</f>
        <v>-1491.759159782549</v>
      </c>
      <c r="P1266">
        <f>-634.738367156161 -115.582833539279 -403.477851441841</f>
        <v>-1153.799052137281</v>
      </c>
      <c r="Q1266">
        <f>-390.599082777828 -42.4787452495529 -455.380116254755</f>
        <v>-888.45794428213594</v>
      </c>
      <c r="R1266" t="s">
        <v>26425</v>
      </c>
      <c r="S1266" t="s">
        <v>26426</v>
      </c>
      <c r="T1266" t="s">
        <v>26427</v>
      </c>
      <c r="U1266" t="s">
        <v>26428</v>
      </c>
      <c r="V1266">
        <f>-617.546185248797 -9.377423355697 -235.896553227664</f>
        <v>-862.82016183215796</v>
      </c>
      <c r="W1266" t="s">
        <v>26429</v>
      </c>
      <c r="X1266" t="s">
        <v>26430</v>
      </c>
      <c r="Y1266" t="s">
        <v>26431</v>
      </c>
    </row>
    <row r="1267" spans="1:25" x14ac:dyDescent="0.3">
      <c r="A1267">
        <v>63300</v>
      </c>
      <c r="B1267" t="s">
        <v>26432</v>
      </c>
      <c r="C1267" t="s">
        <v>26433</v>
      </c>
      <c r="D1267" t="s">
        <v>26434</v>
      </c>
      <c r="E1267" t="s">
        <v>26435</v>
      </c>
      <c r="F1267" t="s">
        <v>26436</v>
      </c>
      <c r="G1267" t="s">
        <v>26437</v>
      </c>
      <c r="H1267" t="s">
        <v>26438</v>
      </c>
      <c r="I1267">
        <f>-544.205260186395 -7.05128812808739 -927.241776906159</f>
        <v>-1478.4983252206414</v>
      </c>
      <c r="J1267" t="s">
        <v>26439</v>
      </c>
      <c r="K1267" t="s">
        <v>26440</v>
      </c>
      <c r="L1267" t="s">
        <v>26441</v>
      </c>
      <c r="M1267" t="s">
        <v>26442</v>
      </c>
      <c r="N1267">
        <f>-604.826840843147 -2.01695195259364 -767.186629442508</f>
        <v>-1374.0304222382488</v>
      </c>
      <c r="O1267">
        <f>-633.882566763744 -137.984212971542 -719.316499019663</f>
        <v>-1491.1832787549488</v>
      </c>
      <c r="P1267">
        <f>-634.529502139997 -115.479074972774 -403.596301728965</f>
        <v>-1153.6048788417361</v>
      </c>
      <c r="Q1267">
        <f>-390.436607580812 -42.1218797989519 -455.359683783441</f>
        <v>-887.91817116320499</v>
      </c>
      <c r="R1267" t="s">
        <v>26443</v>
      </c>
      <c r="S1267" t="s">
        <v>26444</v>
      </c>
      <c r="T1267" t="s">
        <v>26445</v>
      </c>
      <c r="U1267" t="s">
        <v>26446</v>
      </c>
      <c r="V1267">
        <f>-617.446305667599 -9.2542794768672 -235.903477115577</f>
        <v>-862.60406226004307</v>
      </c>
      <c r="W1267" t="s">
        <v>26447</v>
      </c>
      <c r="X1267" t="s">
        <v>26448</v>
      </c>
      <c r="Y1267" t="s">
        <v>26449</v>
      </c>
    </row>
    <row r="1268" spans="1:25" x14ac:dyDescent="0.3">
      <c r="A1268">
        <v>63350</v>
      </c>
      <c r="B1268" t="s">
        <v>26450</v>
      </c>
      <c r="C1268" t="s">
        <v>26451</v>
      </c>
      <c r="D1268" t="s">
        <v>26452</v>
      </c>
      <c r="E1268" t="s">
        <v>26453</v>
      </c>
      <c r="F1268" t="s">
        <v>26454</v>
      </c>
      <c r="G1268" t="s">
        <v>26455</v>
      </c>
      <c r="H1268" t="s">
        <v>26456</v>
      </c>
      <c r="I1268">
        <f>-543.909632736546 -6.36297214877585 -927.23922015185</f>
        <v>-1477.5118250371718</v>
      </c>
      <c r="J1268" t="s">
        <v>26457</v>
      </c>
      <c r="K1268" t="s">
        <v>26458</v>
      </c>
      <c r="L1268" t="s">
        <v>26459</v>
      </c>
      <c r="M1268" t="s">
        <v>26460</v>
      </c>
      <c r="N1268">
        <f>-604.686969838586 -1.55980892881679 -767.22381409226</f>
        <v>-1373.4705928596627</v>
      </c>
      <c r="O1268">
        <f>-633.645576476195 -137.572046666348 -719.424645088267</f>
        <v>-1490.6422682308098</v>
      </c>
      <c r="P1268">
        <f>-634.575816749336 -115.254375170788 -403.691804668799</f>
        <v>-1153.521996588923</v>
      </c>
      <c r="Q1268">
        <f>-390.552399440997 -41.4611382575391 -455.161982837631</f>
        <v>-887.17552053616714</v>
      </c>
      <c r="R1268" t="s">
        <v>26461</v>
      </c>
      <c r="S1268" t="s">
        <v>26462</v>
      </c>
      <c r="T1268" t="s">
        <v>26463</v>
      </c>
      <c r="U1268" t="s">
        <v>26464</v>
      </c>
      <c r="V1268">
        <f>-617.508279339535 -8.9634097496625 -235.921669029345</f>
        <v>-862.39335811854244</v>
      </c>
      <c r="W1268" t="s">
        <v>26465</v>
      </c>
      <c r="X1268" t="s">
        <v>26466</v>
      </c>
      <c r="Y1268" t="s">
        <v>26467</v>
      </c>
    </row>
    <row r="1269" spans="1:25" x14ac:dyDescent="0.3">
      <c r="A1269">
        <v>63400</v>
      </c>
      <c r="B1269" t="s">
        <v>26468</v>
      </c>
      <c r="C1269" t="s">
        <v>26469</v>
      </c>
      <c r="D1269" t="s">
        <v>26470</v>
      </c>
      <c r="E1269" t="s">
        <v>26471</v>
      </c>
      <c r="F1269" t="s">
        <v>26472</v>
      </c>
      <c r="G1269" t="s">
        <v>26473</v>
      </c>
      <c r="H1269" t="s">
        <v>26474</v>
      </c>
      <c r="I1269">
        <f>-543.829718142227 -6.13373156912174 -927.22427223275</f>
        <v>-1477.1877219440987</v>
      </c>
      <c r="J1269" t="s">
        <v>26475</v>
      </c>
      <c r="K1269" t="s">
        <v>26476</v>
      </c>
      <c r="L1269" t="s">
        <v>26477</v>
      </c>
      <c r="M1269" t="s">
        <v>26478</v>
      </c>
      <c r="N1269">
        <f>-604.681204273443 -1.40922890584427 -767.239665299521</f>
        <v>-1373.3300984788084</v>
      </c>
      <c r="O1269">
        <f>-633.608725158712 -137.441320215326 -719.466511520328</f>
        <v>-1490.516556894366</v>
      </c>
      <c r="P1269">
        <f>-634.661015643664 -115.09115972706 -403.736430731058</f>
        <v>-1153.4886061017819</v>
      </c>
      <c r="Q1269">
        <f>-390.65876054305 -41.1612622654365 -455.110849792425</f>
        <v>-886.93087260091147</v>
      </c>
      <c r="R1269" t="s">
        <v>26479</v>
      </c>
      <c r="S1269" t="s">
        <v>26480</v>
      </c>
      <c r="T1269" t="s">
        <v>26481</v>
      </c>
      <c r="U1269" t="s">
        <v>26482</v>
      </c>
      <c r="V1269">
        <f>-617.579739160595 -8.89912874523108 -235.921718736487</f>
        <v>-862.4005866423131</v>
      </c>
      <c r="W1269" t="s">
        <v>26483</v>
      </c>
      <c r="X1269" t="s">
        <v>26484</v>
      </c>
      <c r="Y1269" t="s">
        <v>26485</v>
      </c>
    </row>
    <row r="1270" spans="1:25" x14ac:dyDescent="0.3">
      <c r="A1270">
        <v>63450</v>
      </c>
      <c r="B1270" t="s">
        <v>26486</v>
      </c>
      <c r="C1270" t="s">
        <v>26487</v>
      </c>
      <c r="D1270" t="s">
        <v>26488</v>
      </c>
      <c r="E1270" t="s">
        <v>26489</v>
      </c>
      <c r="F1270" t="s">
        <v>26490</v>
      </c>
      <c r="G1270" t="s">
        <v>26491</v>
      </c>
      <c r="H1270" t="s">
        <v>26492</v>
      </c>
      <c r="I1270">
        <f>-543.78139016513 -5.65655141853158 -927.264978531814</f>
        <v>-1476.7029201154755</v>
      </c>
      <c r="J1270" t="s">
        <v>26493</v>
      </c>
      <c r="K1270" t="s">
        <v>26494</v>
      </c>
      <c r="L1270" t="s">
        <v>26495</v>
      </c>
      <c r="M1270" t="s">
        <v>26496</v>
      </c>
      <c r="N1270">
        <f>-604.78506508242 -1.04878888392152 -767.338792592756</f>
        <v>-1373.1726465590975</v>
      </c>
      <c r="O1270">
        <f>-633.820468762974 -137.08659635839 -719.629540120329</f>
        <v>-1490.536605241693</v>
      </c>
      <c r="P1270">
        <f>-635.103662288134 -114.802029305464 -403.895532240567</f>
        <v>-1153.8012238341651</v>
      </c>
      <c r="Q1270">
        <f>-391.075344181909 -40.6873516958012 -454.87803977013</f>
        <v>-886.64073564784007</v>
      </c>
      <c r="R1270" t="s">
        <v>26497</v>
      </c>
      <c r="S1270" t="s">
        <v>26498</v>
      </c>
      <c r="T1270" t="s">
        <v>26499</v>
      </c>
      <c r="U1270" t="s">
        <v>26500</v>
      </c>
      <c r="V1270">
        <f>-617.789588805619 -8.77796076147463 -235.944407174285</f>
        <v>-862.51195674137875</v>
      </c>
      <c r="W1270" t="s">
        <v>26501</v>
      </c>
      <c r="X1270" t="s">
        <v>26502</v>
      </c>
      <c r="Y1270" t="s">
        <v>26503</v>
      </c>
    </row>
    <row r="1271" spans="1:25" x14ac:dyDescent="0.3">
      <c r="A1271">
        <v>63500</v>
      </c>
      <c r="B1271" t="s">
        <v>26504</v>
      </c>
      <c r="C1271" t="s">
        <v>26505</v>
      </c>
      <c r="D1271" t="s">
        <v>26506</v>
      </c>
      <c r="E1271" t="s">
        <v>26507</v>
      </c>
      <c r="F1271" t="s">
        <v>26508</v>
      </c>
      <c r="G1271" t="s">
        <v>26509</v>
      </c>
      <c r="H1271" t="s">
        <v>26510</v>
      </c>
      <c r="I1271">
        <f>-543.770343455942 -5.48069452685059 -927.283586238008</f>
        <v>-1476.5346242208007</v>
      </c>
      <c r="J1271" t="s">
        <v>26511</v>
      </c>
      <c r="K1271" t="s">
        <v>26512</v>
      </c>
      <c r="L1271" t="s">
        <v>26513</v>
      </c>
      <c r="M1271" t="s">
        <v>26514</v>
      </c>
      <c r="N1271">
        <f>-604.82691549909 -0.922115290548462 -767.377443508497</f>
        <v>-1373.1264742981355</v>
      </c>
      <c r="O1271">
        <f>-633.903737355484 -136.971392378146 -719.735618319754</f>
        <v>-1490.6107480533842</v>
      </c>
      <c r="P1271">
        <f>-635.420993817865 -114.722472056501 -404.000258898521</f>
        <v>-1154.143724772887</v>
      </c>
      <c r="Q1271">
        <f>-391.371034447827 -40.5299701024486 -454.765862948798</f>
        <v>-886.66686749907353</v>
      </c>
      <c r="R1271" t="s">
        <v>26515</v>
      </c>
      <c r="S1271" t="s">
        <v>26516</v>
      </c>
      <c r="T1271" t="s">
        <v>26517</v>
      </c>
      <c r="U1271" t="s">
        <v>26518</v>
      </c>
      <c r="V1271">
        <f>-617.986479080376 -8.69238630407398 -235.942976383265</f>
        <v>-862.62184176771495</v>
      </c>
      <c r="W1271" t="s">
        <v>26519</v>
      </c>
      <c r="X1271" t="s">
        <v>26520</v>
      </c>
      <c r="Y1271" t="s">
        <v>26521</v>
      </c>
    </row>
    <row r="1272" spans="1:25" x14ac:dyDescent="0.3">
      <c r="A1272">
        <v>63550</v>
      </c>
      <c r="B1272" t="s">
        <v>26522</v>
      </c>
      <c r="C1272" t="s">
        <v>26523</v>
      </c>
      <c r="D1272" t="s">
        <v>26524</v>
      </c>
      <c r="E1272" t="s">
        <v>26525</v>
      </c>
      <c r="F1272" t="s">
        <v>26526</v>
      </c>
      <c r="G1272" t="s">
        <v>26527</v>
      </c>
      <c r="H1272" t="s">
        <v>26528</v>
      </c>
      <c r="I1272">
        <f>-544.113960680057 -5.03624496690494 -927.363435503185</f>
        <v>-1476.5136411501469</v>
      </c>
      <c r="J1272" t="s">
        <v>26529</v>
      </c>
      <c r="K1272" t="s">
        <v>26530</v>
      </c>
      <c r="L1272" t="s">
        <v>26531</v>
      </c>
      <c r="M1272" t="s">
        <v>26532</v>
      </c>
      <c r="N1272">
        <f>-605.229898604559 -0.590312053154712 -767.474461046016</f>
        <v>-1373.2946717037298</v>
      </c>
      <c r="O1272">
        <f>-634.429899018434 -136.646473943302 -719.946190619501</f>
        <v>-1491.0225635812369</v>
      </c>
      <c r="P1272">
        <f>-636.265935393043 -114.566865930058 -404.200568378617</f>
        <v>-1155.0333697017181</v>
      </c>
      <c r="Q1272">
        <f>-392.170101126759 -40.3250146030363 -454.672690828103</f>
        <v>-887.1678065578983</v>
      </c>
      <c r="R1272" t="s">
        <v>26533</v>
      </c>
      <c r="S1272" t="s">
        <v>26534</v>
      </c>
      <c r="T1272" t="s">
        <v>26535</v>
      </c>
      <c r="U1272" t="s">
        <v>26536</v>
      </c>
      <c r="V1272">
        <f>-618.360184085407 -8.63609192323841 -235.977110408816</f>
        <v>-862.97338641746137</v>
      </c>
      <c r="W1272" t="s">
        <v>26537</v>
      </c>
      <c r="X1272" t="s">
        <v>26538</v>
      </c>
      <c r="Y1272" t="s">
        <v>26539</v>
      </c>
    </row>
    <row r="1273" spans="1:25" x14ac:dyDescent="0.3">
      <c r="A1273">
        <v>63600</v>
      </c>
      <c r="B1273" t="s">
        <v>26540</v>
      </c>
      <c r="C1273" t="s">
        <v>26541</v>
      </c>
      <c r="D1273" t="s">
        <v>26542</v>
      </c>
      <c r="E1273" t="s">
        <v>26543</v>
      </c>
      <c r="F1273" t="s">
        <v>26544</v>
      </c>
      <c r="G1273" t="s">
        <v>26545</v>
      </c>
      <c r="H1273" t="s">
        <v>26546</v>
      </c>
      <c r="I1273">
        <f>-544.444959999114 -4.94792097609659 -927.397033518029</f>
        <v>-1476.7899144932396</v>
      </c>
      <c r="J1273" t="s">
        <v>26547</v>
      </c>
      <c r="K1273" t="s">
        <v>26548</v>
      </c>
      <c r="L1273" t="s">
        <v>26549</v>
      </c>
      <c r="M1273" t="s">
        <v>26550</v>
      </c>
      <c r="N1273">
        <f>-605.56800002543 -0.538422426203482 -767.508876351166</f>
        <v>-1373.6152988027995</v>
      </c>
      <c r="O1273">
        <f>-634.855279850377 -136.585989060569 -720.003546219403</f>
        <v>-1491.4448151303491</v>
      </c>
      <c r="P1273">
        <f>-636.71704594086 -114.521684652867 -404.257017867182</f>
        <v>-1155.495748460909</v>
      </c>
      <c r="Q1273">
        <f>-392.551975624729 -40.4351615374392 -454.622203170215</f>
        <v>-887.60934033238323</v>
      </c>
      <c r="R1273" t="s">
        <v>26551</v>
      </c>
      <c r="S1273" t="s">
        <v>26552</v>
      </c>
      <c r="T1273" t="s">
        <v>26553</v>
      </c>
      <c r="U1273" t="s">
        <v>26554</v>
      </c>
      <c r="V1273">
        <f>-618.63153474992 -8.70486432082737 -235.978839970401</f>
        <v>-863.31523904114829</v>
      </c>
      <c r="W1273" t="s">
        <v>26555</v>
      </c>
      <c r="X1273" t="s">
        <v>26556</v>
      </c>
      <c r="Y1273" t="s">
        <v>26557</v>
      </c>
    </row>
    <row r="1274" spans="1:25" x14ac:dyDescent="0.3">
      <c r="A1274">
        <v>63650</v>
      </c>
      <c r="B1274" t="s">
        <v>26558</v>
      </c>
      <c r="C1274" t="s">
        <v>26559</v>
      </c>
      <c r="D1274" t="s">
        <v>26560</v>
      </c>
      <c r="E1274" t="s">
        <v>26561</v>
      </c>
      <c r="F1274" t="s">
        <v>26562</v>
      </c>
      <c r="G1274" t="s">
        <v>26563</v>
      </c>
      <c r="H1274" t="s">
        <v>26564</v>
      </c>
      <c r="I1274">
        <f>-545.408272002582 -4.90536091284478 -927.437476327208</f>
        <v>-1477.7511092426348</v>
      </c>
      <c r="J1274" t="s">
        <v>26565</v>
      </c>
      <c r="K1274" t="s">
        <v>26566</v>
      </c>
      <c r="L1274" t="s">
        <v>26567</v>
      </c>
      <c r="M1274" t="s">
        <v>26568</v>
      </c>
      <c r="N1274">
        <f>-606.488354234668 -0.49705014887941 -767.533808034575</f>
        <v>-1374.5192124181226</v>
      </c>
      <c r="O1274">
        <f>-635.894173115139 -136.550101261859 -720.120114175967</f>
        <v>-1492.5643885529651</v>
      </c>
      <c r="P1274">
        <f>-637.842656730107 -114.456387933806 -404.376160881498</f>
        <v>-1156.675205545411</v>
      </c>
      <c r="Q1274">
        <f>-393.57213791104 -40.7097702487586 -454.728791199831</f>
        <v>-889.0106993596296</v>
      </c>
      <c r="R1274" t="s">
        <v>26569</v>
      </c>
      <c r="S1274" t="s">
        <v>26570</v>
      </c>
      <c r="T1274" t="s">
        <v>26571</v>
      </c>
      <c r="U1274" t="s">
        <v>26572</v>
      </c>
      <c r="V1274">
        <f>-619.20207827648 -8.84943118944979 -235.989585293848</f>
        <v>-864.04109475977782</v>
      </c>
      <c r="W1274" t="s">
        <v>26573</v>
      </c>
      <c r="X1274" t="s">
        <v>26574</v>
      </c>
      <c r="Y1274" t="s">
        <v>26575</v>
      </c>
    </row>
    <row r="1275" spans="1:25" x14ac:dyDescent="0.3">
      <c r="A1275">
        <v>63700</v>
      </c>
      <c r="B1275" t="s">
        <v>26576</v>
      </c>
      <c r="C1275" t="s">
        <v>26577</v>
      </c>
      <c r="D1275" t="s">
        <v>26578</v>
      </c>
      <c r="E1275" t="s">
        <v>26579</v>
      </c>
      <c r="F1275" t="s">
        <v>26580</v>
      </c>
      <c r="G1275" t="s">
        <v>26581</v>
      </c>
      <c r="H1275" t="s">
        <v>26582</v>
      </c>
      <c r="I1275">
        <f>-546.060500813005 -4.90274140154726 -927.468387312893</f>
        <v>-1478.4316295274452</v>
      </c>
      <c r="J1275" t="s">
        <v>26583</v>
      </c>
      <c r="K1275" t="s">
        <v>26584</v>
      </c>
      <c r="L1275" t="s">
        <v>26585</v>
      </c>
      <c r="M1275" t="s">
        <v>26586</v>
      </c>
      <c r="N1275">
        <f>-607.075949800338 -0.510304432478094 -767.540931908292</f>
        <v>-1375.127186141108</v>
      </c>
      <c r="O1275">
        <f>-636.568432558757 -136.560930757338 -720.149927036802</f>
        <v>-1493.2792903528971</v>
      </c>
      <c r="P1275">
        <f>-638.445133763383 -114.616588983861 -404.395061015773</f>
        <v>-1157.456783763017</v>
      </c>
      <c r="Q1275">
        <f>-394.150005741455 -40.9560243169954 -454.754514453124</f>
        <v>-889.8605445115744</v>
      </c>
      <c r="R1275" t="s">
        <v>26587</v>
      </c>
      <c r="S1275" t="s">
        <v>26588</v>
      </c>
      <c r="T1275" t="s">
        <v>26589</v>
      </c>
      <c r="U1275" t="s">
        <v>26590</v>
      </c>
      <c r="V1275">
        <f>-619.459614533271 -9.04705966271675 -235.975211976522</f>
        <v>-864.48188617250969</v>
      </c>
      <c r="W1275" t="s">
        <v>26591</v>
      </c>
      <c r="X1275" t="s">
        <v>26592</v>
      </c>
      <c r="Y1275" t="s">
        <v>26593</v>
      </c>
    </row>
    <row r="1276" spans="1:25" x14ac:dyDescent="0.3">
      <c r="A1276">
        <v>63750</v>
      </c>
      <c r="B1276" t="s">
        <v>26594</v>
      </c>
      <c r="C1276" t="s">
        <v>26595</v>
      </c>
      <c r="D1276" t="s">
        <v>26596</v>
      </c>
      <c r="E1276" t="s">
        <v>26597</v>
      </c>
      <c r="F1276" t="s">
        <v>26598</v>
      </c>
      <c r="G1276" t="s">
        <v>26599</v>
      </c>
      <c r="H1276" t="s">
        <v>26600</v>
      </c>
      <c r="I1276">
        <f>-547.031800702035 -4.73412915335849 -927.546694210082</f>
        <v>-1479.3126240654756</v>
      </c>
      <c r="J1276" t="s">
        <v>26601</v>
      </c>
      <c r="K1276" t="s">
        <v>26602</v>
      </c>
      <c r="L1276" t="s">
        <v>26603</v>
      </c>
      <c r="M1276" t="s">
        <v>26604</v>
      </c>
      <c r="N1276">
        <f>-607.925298151145 -0.422357854514793 -767.574979845955</f>
        <v>-1375.9226358516148</v>
      </c>
      <c r="O1276">
        <f>-637.571946152929 -136.48364376006 -720.320424522739</f>
        <v>-1494.3760144357279</v>
      </c>
      <c r="P1276">
        <f>-639.463705199411 -114.833181615721 -404.545517796278</f>
        <v>-1158.8424046114101</v>
      </c>
      <c r="Q1276">
        <f>-395.144111297185 -41.21502173475 -454.848343242323</f>
        <v>-891.20747627425794</v>
      </c>
      <c r="R1276" t="s">
        <v>26605</v>
      </c>
      <c r="S1276" t="s">
        <v>26606</v>
      </c>
      <c r="T1276" t="s">
        <v>26607</v>
      </c>
      <c r="U1276" t="s">
        <v>26608</v>
      </c>
      <c r="V1276">
        <f>-619.86946351536 -9.32287849058777 -235.957700744854</f>
        <v>-865.15004275080184</v>
      </c>
      <c r="W1276" t="s">
        <v>26609</v>
      </c>
      <c r="X1276" t="s">
        <v>26610</v>
      </c>
      <c r="Y1276" t="s">
        <v>26611</v>
      </c>
    </row>
    <row r="1277" spans="1:25" x14ac:dyDescent="0.3">
      <c r="A1277">
        <v>63800</v>
      </c>
      <c r="B1277" t="s">
        <v>26612</v>
      </c>
      <c r="C1277" t="s">
        <v>26613</v>
      </c>
      <c r="D1277" t="s">
        <v>26614</v>
      </c>
      <c r="E1277" t="s">
        <v>26615</v>
      </c>
      <c r="F1277" t="s">
        <v>26616</v>
      </c>
      <c r="G1277" t="s">
        <v>26617</v>
      </c>
      <c r="H1277" t="s">
        <v>26618</v>
      </c>
      <c r="I1277">
        <f>-547.611424234835 -4.49720649545126 -927.603578328856</f>
        <v>-1479.7122090591422</v>
      </c>
      <c r="J1277" t="s">
        <v>26619</v>
      </c>
      <c r="K1277" t="s">
        <v>26620</v>
      </c>
      <c r="L1277" t="s">
        <v>26621</v>
      </c>
      <c r="M1277" t="s">
        <v>26622</v>
      </c>
      <c r="N1277">
        <f>-608.455503919228 -0.269043245925872 -767.610045803005</f>
        <v>-1376.3345929681591</v>
      </c>
      <c r="O1277">
        <f>-638.157357087705 -136.344029777696 -720.429956779746</f>
        <v>-1494.9313436451471</v>
      </c>
      <c r="P1277">
        <f>-640.012558837002 -114.873182940909 -404.642534700715</f>
        <v>-1159.5282764786259</v>
      </c>
      <c r="Q1277">
        <f>-395.717273316137 -41.1431889705656 -454.899590216517</f>
        <v>-891.76005250321964</v>
      </c>
      <c r="R1277" t="s">
        <v>26623</v>
      </c>
      <c r="S1277" t="s">
        <v>26624</v>
      </c>
      <c r="T1277" t="s">
        <v>26625</v>
      </c>
      <c r="U1277" t="s">
        <v>26626</v>
      </c>
      <c r="V1277">
        <f>-620.109249913436 -9.42219508954113 -235.946103299</f>
        <v>-865.47754830197709</v>
      </c>
      <c r="W1277" t="s">
        <v>26627</v>
      </c>
      <c r="X1277" t="s">
        <v>26628</v>
      </c>
      <c r="Y1277" t="s">
        <v>26629</v>
      </c>
    </row>
    <row r="1278" spans="1:25" x14ac:dyDescent="0.3">
      <c r="A1278">
        <v>63850</v>
      </c>
      <c r="B1278" t="s">
        <v>26630</v>
      </c>
      <c r="C1278" t="s">
        <v>26631</v>
      </c>
      <c r="D1278" t="s">
        <v>26632</v>
      </c>
      <c r="E1278" t="s">
        <v>26633</v>
      </c>
      <c r="F1278" t="s">
        <v>26634</v>
      </c>
      <c r="G1278" t="s">
        <v>26635</v>
      </c>
      <c r="H1278" t="s">
        <v>26636</v>
      </c>
      <c r="I1278">
        <f>-548.762442580375 -4.46351373388737 -927.75698327859</f>
        <v>-1480.9829395928523</v>
      </c>
      <c r="J1278" t="s">
        <v>26637</v>
      </c>
      <c r="K1278" t="s">
        <v>26638</v>
      </c>
      <c r="L1278" t="s">
        <v>26639</v>
      </c>
      <c r="M1278" t="s">
        <v>26640</v>
      </c>
      <c r="N1278">
        <f>-609.485315126351 -0.330293592237084 -767.710508919481</f>
        <v>-1377.5261176380691</v>
      </c>
      <c r="O1278">
        <f>-639.283076849573 -136.408751096841 -720.607256900935</f>
        <v>-1496.2990848473491</v>
      </c>
      <c r="P1278">
        <f>-640.969726802679 -115.379657280126 -404.789160049116</f>
        <v>-1161.138544131921</v>
      </c>
      <c r="Q1278">
        <f>-396.655766820853 -41.5893854157612 -454.866411867578</f>
        <v>-893.11156410419221</v>
      </c>
      <c r="R1278" t="s">
        <v>26641</v>
      </c>
      <c r="S1278" t="s">
        <v>26642</v>
      </c>
      <c r="T1278" t="s">
        <v>26643</v>
      </c>
      <c r="U1278" t="s">
        <v>26644</v>
      </c>
      <c r="V1278">
        <f>-620.583174643419 -9.84306335978162 -235.96264318283</f>
        <v>-866.38888118603063</v>
      </c>
      <c r="W1278" t="s">
        <v>26645</v>
      </c>
      <c r="X1278" t="s">
        <v>26646</v>
      </c>
      <c r="Y1278" t="s">
        <v>26647</v>
      </c>
    </row>
    <row r="1279" spans="1:25" x14ac:dyDescent="0.3">
      <c r="A1279">
        <v>63900</v>
      </c>
      <c r="B1279" t="s">
        <v>26648</v>
      </c>
      <c r="C1279" t="s">
        <v>26649</v>
      </c>
      <c r="D1279" t="s">
        <v>26650</v>
      </c>
      <c r="E1279" t="s">
        <v>26651</v>
      </c>
      <c r="F1279" t="s">
        <v>26652</v>
      </c>
      <c r="G1279" t="s">
        <v>26653</v>
      </c>
      <c r="H1279" t="s">
        <v>26654</v>
      </c>
      <c r="I1279">
        <f>-549.396356975414 -4.56902714912385 -927.855171169172</f>
        <v>-1481.8205552937097</v>
      </c>
      <c r="J1279" t="s">
        <v>26655</v>
      </c>
      <c r="K1279" t="s">
        <v>26656</v>
      </c>
      <c r="L1279" t="s">
        <v>26657</v>
      </c>
      <c r="M1279" t="s">
        <v>26658</v>
      </c>
      <c r="N1279">
        <f>-609.990756494697 -0.43688929031255 -767.760255113296</f>
        <v>-1378.1879008983055</v>
      </c>
      <c r="O1279">
        <f>-639.780851089843 -136.527891895201 -720.692152923408</f>
        <v>-1497.0008959084521</v>
      </c>
      <c r="P1279">
        <f>-641.350180222774 -115.515317717075 -404.872131937684</f>
        <v>-1161.737629877533</v>
      </c>
      <c r="Q1279">
        <f>-397.034213056926 -41.7512938623153 -454.978747504252</f>
        <v>-893.7642544234933</v>
      </c>
      <c r="R1279" t="s">
        <v>26659</v>
      </c>
      <c r="S1279" t="s">
        <v>26660</v>
      </c>
      <c r="T1279" t="s">
        <v>26661</v>
      </c>
      <c r="U1279" t="s">
        <v>26662</v>
      </c>
      <c r="V1279">
        <f>-620.808797386115 -10.0034254809476 -235.96746120948</f>
        <v>-866.77968407654259</v>
      </c>
      <c r="W1279" t="s">
        <v>26663</v>
      </c>
      <c r="X1279" t="s">
        <v>26664</v>
      </c>
      <c r="Y1279" t="s">
        <v>26665</v>
      </c>
    </row>
    <row r="1280" spans="1:25" x14ac:dyDescent="0.3">
      <c r="A1280">
        <v>63950</v>
      </c>
      <c r="B1280" t="s">
        <v>26666</v>
      </c>
      <c r="C1280" t="s">
        <v>26667</v>
      </c>
      <c r="D1280" t="s">
        <v>26668</v>
      </c>
      <c r="E1280" t="s">
        <v>26669</v>
      </c>
      <c r="F1280" t="s">
        <v>26670</v>
      </c>
      <c r="G1280" t="s">
        <v>26671</v>
      </c>
      <c r="H1280" t="s">
        <v>26672</v>
      </c>
      <c r="I1280">
        <f>-551.080724968901 -5.3270656594484 -928.018751030004</f>
        <v>-1484.4265416583535</v>
      </c>
      <c r="J1280" t="s">
        <v>26673</v>
      </c>
      <c r="K1280" t="s">
        <v>26674</v>
      </c>
      <c r="L1280" t="s">
        <v>26675</v>
      </c>
      <c r="M1280" t="s">
        <v>26676</v>
      </c>
      <c r="N1280">
        <f>-611.34316615648 -1.08571836117559 -767.795759414149</f>
        <v>-1380.2246439318046</v>
      </c>
      <c r="O1280">
        <f>-641.258125426661 -137.123980111959 -720.661169642157</f>
        <v>-1499.0432751807771</v>
      </c>
      <c r="P1280">
        <f>-642.35224007656 -116.128506167103 -404.838153931883</f>
        <v>-1163.3189001755459</v>
      </c>
      <c r="Q1280">
        <f>-398.183890909294 -42.3899426941867 -455.695902095253</f>
        <v>-896.26973569873371</v>
      </c>
      <c r="R1280" t="s">
        <v>26677</v>
      </c>
      <c r="S1280" t="s">
        <v>26678</v>
      </c>
      <c r="T1280" t="s">
        <v>26679</v>
      </c>
      <c r="U1280" t="s">
        <v>26680</v>
      </c>
      <c r="V1280">
        <f>-621.231444018802 -10.5304889946604 -235.971654297433</f>
        <v>-867.73358731089536</v>
      </c>
      <c r="W1280" t="s">
        <v>26681</v>
      </c>
      <c r="X1280" t="s">
        <v>26682</v>
      </c>
      <c r="Y1280" t="s">
        <v>26683</v>
      </c>
    </row>
    <row r="1281" spans="1:25" x14ac:dyDescent="0.3">
      <c r="A1281">
        <v>64000</v>
      </c>
      <c r="B1281" t="s">
        <v>26684</v>
      </c>
      <c r="C1281" t="s">
        <v>26685</v>
      </c>
      <c r="D1281" t="s">
        <v>26686</v>
      </c>
      <c r="E1281" t="s">
        <v>26687</v>
      </c>
      <c r="F1281" t="s">
        <v>26688</v>
      </c>
      <c r="G1281" t="s">
        <v>26689</v>
      </c>
      <c r="H1281" t="s">
        <v>26690</v>
      </c>
      <c r="I1281">
        <f>-551.804023917136 -5.64605258498251 -928.116179475296</f>
        <v>-1485.5662559774146</v>
      </c>
      <c r="J1281" t="s">
        <v>26691</v>
      </c>
      <c r="K1281" t="s">
        <v>26692</v>
      </c>
      <c r="L1281" t="s">
        <v>26693</v>
      </c>
      <c r="M1281" t="s">
        <v>26694</v>
      </c>
      <c r="N1281">
        <f>-611.875992092969 -1.30492642485972 -767.826160418663</f>
        <v>-1381.0070789364918</v>
      </c>
      <c r="O1281">
        <f>-641.841749789285 -137.324793018935 -720.642471856973</f>
        <v>-1499.809014665193</v>
      </c>
      <c r="P1281">
        <f>-642.583232933106 -116.291742058605 -404.820965912081</f>
        <v>-1163.695940903792</v>
      </c>
      <c r="Q1281">
        <f>-398.471584105633 -42.5980997795248 -456.014688915663</f>
        <v>-897.0843728008208</v>
      </c>
      <c r="R1281" t="s">
        <v>26695</v>
      </c>
      <c r="S1281" t="s">
        <v>26696</v>
      </c>
      <c r="T1281" t="s">
        <v>26697</v>
      </c>
      <c r="U1281" t="s">
        <v>26698</v>
      </c>
      <c r="V1281">
        <f>-621.373819732552 -10.7132557796451 -235.988975270517</f>
        <v>-868.07605078271411</v>
      </c>
      <c r="W1281" t="s">
        <v>26699</v>
      </c>
      <c r="X1281" t="s">
        <v>26700</v>
      </c>
      <c r="Y1281" t="s">
        <v>26701</v>
      </c>
    </row>
    <row r="1282" spans="1:25" x14ac:dyDescent="0.3">
      <c r="A1282">
        <v>64050</v>
      </c>
      <c r="B1282" t="s">
        <v>26702</v>
      </c>
      <c r="C1282" t="s">
        <v>26703</v>
      </c>
      <c r="D1282" t="s">
        <v>26704</v>
      </c>
      <c r="E1282" t="s">
        <v>26705</v>
      </c>
      <c r="F1282" t="s">
        <v>26706</v>
      </c>
      <c r="G1282" t="s">
        <v>26707</v>
      </c>
      <c r="H1282" t="s">
        <v>26708</v>
      </c>
      <c r="I1282">
        <f>-553.445989440235 -6.19914779862309 -928.280868130531</f>
        <v>-1487.9260053693893</v>
      </c>
      <c r="J1282" t="s">
        <v>26709</v>
      </c>
      <c r="K1282" t="s">
        <v>26710</v>
      </c>
      <c r="L1282" t="s">
        <v>26711</v>
      </c>
      <c r="M1282" t="s">
        <v>26712</v>
      </c>
      <c r="N1282">
        <f>-613.12237666165 -1.66396971357249 -767.855338447022</f>
        <v>-1382.6416848222443</v>
      </c>
      <c r="O1282">
        <f>-643.218859314837 -137.613792445524 -720.576789543861</f>
        <v>-1501.4094413042221</v>
      </c>
      <c r="P1282">
        <f>-643.417248310076 -116.375747442831 -404.768024344721</f>
        <v>-1164.561020097628</v>
      </c>
      <c r="Q1282">
        <f>-399.360323925072 -42.9549166321289 -456.610509845958</f>
        <v>-898.92575040315887</v>
      </c>
      <c r="R1282" t="s">
        <v>26713</v>
      </c>
      <c r="S1282" t="s">
        <v>26714</v>
      </c>
      <c r="T1282" t="s">
        <v>26715</v>
      </c>
      <c r="U1282" t="s">
        <v>26716</v>
      </c>
      <c r="V1282">
        <f>-621.690809382133 -11.1197247118649 -235.983981795014</f>
        <v>-868.7945158890119</v>
      </c>
      <c r="W1282" t="s">
        <v>26717</v>
      </c>
      <c r="X1282" t="s">
        <v>26718</v>
      </c>
      <c r="Y1282" t="s">
        <v>26719</v>
      </c>
    </row>
    <row r="1283" spans="1:25" x14ac:dyDescent="0.3">
      <c r="A1283">
        <v>64100</v>
      </c>
      <c r="B1283" t="s">
        <v>26720</v>
      </c>
      <c r="C1283" t="s">
        <v>26721</v>
      </c>
      <c r="D1283" t="s">
        <v>26722</v>
      </c>
      <c r="E1283" t="s">
        <v>26723</v>
      </c>
      <c r="F1283" t="s">
        <v>26724</v>
      </c>
      <c r="G1283" t="s">
        <v>26725</v>
      </c>
      <c r="H1283" t="s">
        <v>26726</v>
      </c>
      <c r="I1283">
        <f>-554.251316306737 -6.66239400366302 -928.340752434272</f>
        <v>-1489.2544627446719</v>
      </c>
      <c r="J1283" t="s">
        <v>26727</v>
      </c>
      <c r="K1283" t="s">
        <v>26728</v>
      </c>
      <c r="L1283" t="s">
        <v>26729</v>
      </c>
      <c r="M1283" t="s">
        <v>26730</v>
      </c>
      <c r="N1283">
        <f>-613.720902072461 -1.96894682919029 -767.845306495416</f>
        <v>-1383.5351553970672</v>
      </c>
      <c r="O1283">
        <f>-643.947553355665 -137.853822244319 -720.471303547674</f>
        <v>-1502.272679147658</v>
      </c>
      <c r="P1283">
        <f>-643.851609976924 -116.560679409 -404.666348516634</f>
        <v>-1165.0786379025581</v>
      </c>
      <c r="Q1283">
        <f>-399.815366109884 -43.2562555141265 -456.770647116915</f>
        <v>-899.84226874092542</v>
      </c>
      <c r="R1283" t="s">
        <v>26731</v>
      </c>
      <c r="S1283" t="s">
        <v>26732</v>
      </c>
      <c r="T1283" t="s">
        <v>26733</v>
      </c>
      <c r="U1283" t="s">
        <v>26734</v>
      </c>
      <c r="V1283">
        <f>-621.773852891557 -11.2377017147122 -235.983759212805</f>
        <v>-868.99531381907423</v>
      </c>
      <c r="W1283" t="s">
        <v>26735</v>
      </c>
      <c r="X1283" t="s">
        <v>26736</v>
      </c>
      <c r="Y1283" t="s">
        <v>26737</v>
      </c>
    </row>
    <row r="1284" spans="1:25" x14ac:dyDescent="0.3">
      <c r="A1284">
        <v>64150</v>
      </c>
      <c r="B1284" t="s">
        <v>26738</v>
      </c>
      <c r="C1284" t="s">
        <v>26739</v>
      </c>
      <c r="D1284" t="s">
        <v>26740</v>
      </c>
      <c r="E1284" t="s">
        <v>26741</v>
      </c>
      <c r="F1284" t="s">
        <v>26742</v>
      </c>
      <c r="G1284" t="s">
        <v>26743</v>
      </c>
      <c r="H1284" t="s">
        <v>26744</v>
      </c>
      <c r="I1284">
        <f>-556.159519138579 -7.82242747968984 -928.378567041493</f>
        <v>-1492.3605136597619</v>
      </c>
      <c r="J1284" t="s">
        <v>26745</v>
      </c>
      <c r="K1284" t="s">
        <v>26746</v>
      </c>
      <c r="L1284" t="s">
        <v>26747</v>
      </c>
      <c r="M1284" t="s">
        <v>26748</v>
      </c>
      <c r="N1284">
        <f>-615.155077421178 -2.75217597465265 -767.732698191514</f>
        <v>-1385.6399515873447</v>
      </c>
      <c r="O1284">
        <f>-645.585315411665 -138.509675214086 -720.124746011973</f>
        <v>-1504.2197366377241</v>
      </c>
      <c r="P1284">
        <f>-644.792875453319 -116.850896066352 -404.345601235949</f>
        <v>-1165.98937275562</v>
      </c>
      <c r="Q1284">
        <f>-400.766425770762 -44.0187099637265 -457.153155560119</f>
        <v>-901.93829129460755</v>
      </c>
      <c r="R1284" t="s">
        <v>26749</v>
      </c>
      <c r="S1284" t="s">
        <v>26750</v>
      </c>
      <c r="T1284" t="s">
        <v>26751</v>
      </c>
      <c r="U1284" t="s">
        <v>26752</v>
      </c>
      <c r="V1284">
        <f>-622.011737363264 -11.7385334624909 -235.941289013925</f>
        <v>-869.69155983967994</v>
      </c>
      <c r="W1284" t="s">
        <v>26753</v>
      </c>
      <c r="X1284" t="s">
        <v>26754</v>
      </c>
      <c r="Y1284" t="s">
        <v>26755</v>
      </c>
    </row>
    <row r="1285" spans="1:25" x14ac:dyDescent="0.3">
      <c r="A1285">
        <v>64200</v>
      </c>
      <c r="B1285" t="s">
        <v>26756</v>
      </c>
      <c r="C1285" t="s">
        <v>26757</v>
      </c>
      <c r="D1285" t="s">
        <v>26758</v>
      </c>
      <c r="E1285" t="s">
        <v>26759</v>
      </c>
      <c r="F1285" t="s">
        <v>26760</v>
      </c>
      <c r="G1285" t="s">
        <v>26761</v>
      </c>
      <c r="H1285" t="s">
        <v>26762</v>
      </c>
      <c r="I1285">
        <f>-556.948641748644 -8.41465351936856 -928.395549097365</f>
        <v>-1493.7588443653776</v>
      </c>
      <c r="J1285" t="s">
        <v>26763</v>
      </c>
      <c r="K1285" t="s">
        <v>26764</v>
      </c>
      <c r="L1285" t="s">
        <v>26765</v>
      </c>
      <c r="M1285" t="s">
        <v>26766</v>
      </c>
      <c r="N1285">
        <f>-615.729250227779 -3.1410308793503 -767.683593379114</f>
        <v>-1386.5538744862433</v>
      </c>
      <c r="O1285">
        <f>-646.293233158171 -138.841449902597 -719.962886955486</f>
        <v>-1505.0975700162539</v>
      </c>
      <c r="P1285">
        <f>-645.181282315445 -116.932087105157 -404.20212361177</f>
        <v>-1166.3154930323719</v>
      </c>
      <c r="Q1285">
        <f>-401.095539763416 -44.4341996008981 -457.195046685538</f>
        <v>-902.72478604985213</v>
      </c>
      <c r="R1285" t="s">
        <v>26767</v>
      </c>
      <c r="S1285" t="s">
        <v>26768</v>
      </c>
      <c r="T1285" t="s">
        <v>26769</v>
      </c>
      <c r="U1285" t="s">
        <v>26770</v>
      </c>
      <c r="V1285">
        <f>-622.036774125198 -11.9138669052335 -235.922205239158</f>
        <v>-869.87284626958945</v>
      </c>
      <c r="W1285" t="s">
        <v>26771</v>
      </c>
      <c r="X1285" t="s">
        <v>26772</v>
      </c>
      <c r="Y1285" t="s">
        <v>26773</v>
      </c>
    </row>
    <row r="1286" spans="1:25" x14ac:dyDescent="0.3">
      <c r="A1286">
        <v>64250</v>
      </c>
      <c r="B1286" t="s">
        <v>26774</v>
      </c>
      <c r="C1286" t="s">
        <v>26775</v>
      </c>
      <c r="D1286" t="s">
        <v>26776</v>
      </c>
      <c r="E1286" t="s">
        <v>26777</v>
      </c>
      <c r="F1286" t="s">
        <v>26778</v>
      </c>
      <c r="G1286" t="s">
        <v>26779</v>
      </c>
      <c r="H1286" t="s">
        <v>26780</v>
      </c>
      <c r="I1286">
        <f>-558.482197125993 -9.63368915573134 -928.402373217817</f>
        <v>-1496.5182594995413</v>
      </c>
      <c r="J1286" t="s">
        <v>26781</v>
      </c>
      <c r="K1286" t="s">
        <v>26782</v>
      </c>
      <c r="L1286" t="s">
        <v>26783</v>
      </c>
      <c r="M1286" t="s">
        <v>26784</v>
      </c>
      <c r="N1286">
        <f>-616.859927656684 -3.97465299006056 -767.575106051443</f>
        <v>-1388.4096866981877</v>
      </c>
      <c r="O1286">
        <f>-647.550858965314 -139.587123824061 -719.682278935241</f>
        <v>-1506.8202617246161</v>
      </c>
      <c r="P1286">
        <f>-645.8285549971 -117.38795654679 -403.944419456973</f>
        <v>-1167.160931000863</v>
      </c>
      <c r="Q1286">
        <f>-401.664711842382 -45.2213163148655 -457.029852191006</f>
        <v>-903.91588034825349</v>
      </c>
      <c r="R1286" t="s">
        <v>26785</v>
      </c>
      <c r="S1286" t="s">
        <v>26786</v>
      </c>
      <c r="T1286" t="s">
        <v>26787</v>
      </c>
      <c r="U1286" t="s">
        <v>26788</v>
      </c>
      <c r="V1286">
        <f>-622.156844546818 -12.4083779240182 -235.879302083501</f>
        <v>-870.44452455433714</v>
      </c>
      <c r="W1286" t="s">
        <v>26789</v>
      </c>
      <c r="X1286" t="s">
        <v>26790</v>
      </c>
      <c r="Y1286" t="s">
        <v>26791</v>
      </c>
    </row>
    <row r="1287" spans="1:25" x14ac:dyDescent="0.3">
      <c r="A1287">
        <v>64300</v>
      </c>
      <c r="B1287" t="s">
        <v>26792</v>
      </c>
      <c r="C1287" t="s">
        <v>26793</v>
      </c>
      <c r="D1287" t="s">
        <v>26794</v>
      </c>
      <c r="E1287" t="s">
        <v>26795</v>
      </c>
      <c r="F1287" t="s">
        <v>26796</v>
      </c>
      <c r="G1287" t="s">
        <v>26797</v>
      </c>
      <c r="H1287" t="s">
        <v>26798</v>
      </c>
      <c r="I1287">
        <f>-559.073721747543 -10.0974624705429 -928.402515796561</f>
        <v>-1497.5737000146469</v>
      </c>
      <c r="J1287" t="s">
        <v>26799</v>
      </c>
      <c r="K1287" t="s">
        <v>26800</v>
      </c>
      <c r="L1287" t="s">
        <v>26801</v>
      </c>
      <c r="M1287" t="s">
        <v>26802</v>
      </c>
      <c r="N1287">
        <f>-617.279408282008 -4.2622147103781 -767.525937582008</f>
        <v>-1389.0675605743941</v>
      </c>
      <c r="O1287">
        <f>-648.024591932948 -139.827227931807 -719.567250741809</f>
        <v>-1507.419070606564</v>
      </c>
      <c r="P1287">
        <f>-646.160985966288 -117.521337259094 -403.837789327208</f>
        <v>-1167.52011255259</v>
      </c>
      <c r="Q1287">
        <f>-401.97155748068 -45.6114780097438 -457.153290579127</f>
        <v>-904.73632606955084</v>
      </c>
      <c r="R1287" t="s">
        <v>26803</v>
      </c>
      <c r="S1287" t="s">
        <v>26804</v>
      </c>
      <c r="T1287" t="s">
        <v>26805</v>
      </c>
      <c r="U1287" t="s">
        <v>26806</v>
      </c>
      <c r="V1287">
        <f>-622.165829380277 -12.5176087755015 -235.863187090511</f>
        <v>-870.54662524628952</v>
      </c>
      <c r="W1287" t="s">
        <v>26807</v>
      </c>
      <c r="X1287" t="s">
        <v>26808</v>
      </c>
      <c r="Y1287" t="s">
        <v>26809</v>
      </c>
    </row>
    <row r="1288" spans="1:25" x14ac:dyDescent="0.3">
      <c r="A1288">
        <v>64350</v>
      </c>
      <c r="B1288" t="s">
        <v>26810</v>
      </c>
      <c r="C1288" t="s">
        <v>26811</v>
      </c>
      <c r="D1288" t="s">
        <v>26812</v>
      </c>
      <c r="E1288" t="s">
        <v>26813</v>
      </c>
      <c r="F1288" t="s">
        <v>26814</v>
      </c>
      <c r="G1288" t="s">
        <v>26815</v>
      </c>
      <c r="H1288" t="s">
        <v>26816</v>
      </c>
      <c r="I1288">
        <f>-560.178363900611 -10.9929648704802 -928.398259005952</f>
        <v>-1499.5695877770431</v>
      </c>
      <c r="J1288" t="s">
        <v>26817</v>
      </c>
      <c r="K1288" t="s">
        <v>26818</v>
      </c>
      <c r="L1288" t="s">
        <v>26819</v>
      </c>
      <c r="M1288" t="s">
        <v>26820</v>
      </c>
      <c r="N1288">
        <f>-618.121595549713 -4.88434295216021 -767.451387564798</f>
        <v>-1390.4573260666712</v>
      </c>
      <c r="O1288">
        <f>-648.978484843794 -140.369032612453 -719.32618030681</f>
        <v>-1508.6736977630571</v>
      </c>
      <c r="P1288">
        <f>-646.561381936684 -118.466310111195 -403.572128679287</f>
        <v>-1168.5998207271659</v>
      </c>
      <c r="Q1288">
        <f>-402.350295457917 -46.8673609195289 -457.205676416386</f>
        <v>-906.42333279383183</v>
      </c>
      <c r="R1288" t="s">
        <v>26821</v>
      </c>
      <c r="S1288" t="s">
        <v>26822</v>
      </c>
      <c r="T1288" t="s">
        <v>26823</v>
      </c>
      <c r="U1288" t="s">
        <v>26824</v>
      </c>
      <c r="V1288">
        <f>-622.195335543653 -12.843602246762 -235.842040826924</f>
        <v>-870.880978617339</v>
      </c>
      <c r="W1288" t="s">
        <v>26825</v>
      </c>
      <c r="X1288" t="s">
        <v>26826</v>
      </c>
      <c r="Y1288" t="s">
        <v>26827</v>
      </c>
    </row>
    <row r="1289" spans="1:25" x14ac:dyDescent="0.3">
      <c r="A1289">
        <v>64400</v>
      </c>
      <c r="B1289" t="s">
        <v>26828</v>
      </c>
      <c r="C1289" t="s">
        <v>26829</v>
      </c>
      <c r="D1289" t="s">
        <v>26830</v>
      </c>
      <c r="E1289" t="s">
        <v>26831</v>
      </c>
      <c r="F1289" t="s">
        <v>26832</v>
      </c>
      <c r="G1289" t="s">
        <v>26833</v>
      </c>
      <c r="H1289" t="s">
        <v>26834</v>
      </c>
      <c r="I1289">
        <f>-560.536879206223 -11.3933348838651 -928.392940858443</f>
        <v>-1500.3231549485313</v>
      </c>
      <c r="J1289" t="s">
        <v>26835</v>
      </c>
      <c r="K1289" t="s">
        <v>26836</v>
      </c>
      <c r="L1289" t="s">
        <v>26837</v>
      </c>
      <c r="M1289" t="s">
        <v>26838</v>
      </c>
      <c r="N1289">
        <f>-618.385935916345 -5.17536608998698 -767.425638391191</f>
        <v>-1390.9869403975231</v>
      </c>
      <c r="O1289">
        <f>-649.264061368915 -140.647691693181 -719.266635466713</f>
        <v>-1509.1783885288091</v>
      </c>
      <c r="P1289">
        <f>-646.659966905537 -118.67782182133 -403.518679923357</f>
        <v>-1168.8564686502241</v>
      </c>
      <c r="Q1289">
        <f>-402.443292012784 -47.4771538424778 -457.654883428721</f>
        <v>-907.5753292839828</v>
      </c>
      <c r="R1289" t="s">
        <v>26839</v>
      </c>
      <c r="S1289" t="s">
        <v>26840</v>
      </c>
      <c r="T1289" t="s">
        <v>26841</v>
      </c>
      <c r="U1289" t="s">
        <v>26842</v>
      </c>
      <c r="V1289">
        <f>-622.191942167711 -12.94655862216 -235.830360239559</f>
        <v>-870.96886102942995</v>
      </c>
      <c r="W1289" t="s">
        <v>26843</v>
      </c>
      <c r="X1289" t="s">
        <v>26844</v>
      </c>
      <c r="Y1289" t="s">
        <v>26845</v>
      </c>
    </row>
    <row r="1290" spans="1:25" x14ac:dyDescent="0.3">
      <c r="A1290">
        <v>64450</v>
      </c>
      <c r="B1290" t="s">
        <v>26846</v>
      </c>
      <c r="C1290" t="s">
        <v>26847</v>
      </c>
      <c r="D1290" t="s">
        <v>26848</v>
      </c>
      <c r="E1290" t="s">
        <v>26849</v>
      </c>
      <c r="F1290" t="s">
        <v>26850</v>
      </c>
      <c r="G1290" t="s">
        <v>26851</v>
      </c>
      <c r="H1290" t="s">
        <v>26852</v>
      </c>
      <c r="I1290">
        <f>-560.934417995055 -11.7257149062942 -928.274168260412</f>
        <v>-1500.9343011617611</v>
      </c>
      <c r="J1290" t="s">
        <v>26853</v>
      </c>
      <c r="K1290" t="s">
        <v>26854</v>
      </c>
      <c r="L1290" t="s">
        <v>26855</v>
      </c>
      <c r="M1290" t="s">
        <v>26856</v>
      </c>
      <c r="N1290">
        <f>-618.774428913721 -5.41957007425757 -767.313122063074</f>
        <v>-1391.5071210510525</v>
      </c>
      <c r="O1290">
        <f>-649.808926769035 -140.833950150477 -719.13406394561</f>
        <v>-1509.776940865122</v>
      </c>
      <c r="P1290">
        <f>-646.674487223171 -119.354881428214 -403.357348080125</f>
        <v>-1169.38671673151</v>
      </c>
      <c r="Q1290">
        <f>-402.352867136754 -48.6008674980198 -457.605319268785</f>
        <v>-908.55905390355883</v>
      </c>
      <c r="R1290" t="s">
        <v>26857</v>
      </c>
      <c r="S1290" t="s">
        <v>26858</v>
      </c>
      <c r="T1290" t="s">
        <v>26859</v>
      </c>
      <c r="U1290" t="s">
        <v>26860</v>
      </c>
      <c r="V1290">
        <f>-622.175566768204 -13.1182554658507 -235.794485111915</f>
        <v>-871.08830734596972</v>
      </c>
      <c r="W1290" t="s">
        <v>26861</v>
      </c>
      <c r="X1290" t="s">
        <v>26862</v>
      </c>
      <c r="Y1290" t="s">
        <v>26863</v>
      </c>
    </row>
    <row r="1291" spans="1:25" x14ac:dyDescent="0.3">
      <c r="A1291">
        <v>64500</v>
      </c>
      <c r="B1291" t="s">
        <v>26864</v>
      </c>
      <c r="C1291" t="s">
        <v>26865</v>
      </c>
      <c r="D1291" t="s">
        <v>26866</v>
      </c>
      <c r="E1291" t="s">
        <v>26867</v>
      </c>
      <c r="F1291" t="s">
        <v>26868</v>
      </c>
      <c r="G1291" t="s">
        <v>26869</v>
      </c>
      <c r="H1291" t="s">
        <v>26870</v>
      </c>
      <c r="I1291">
        <f>-561.119075777913 -12.157620141632 -928.149652680348</f>
        <v>-1501.4263485998931</v>
      </c>
      <c r="J1291" t="s">
        <v>26871</v>
      </c>
      <c r="K1291" t="s">
        <v>26872</v>
      </c>
      <c r="L1291" t="s">
        <v>26873</v>
      </c>
      <c r="M1291" t="s">
        <v>26874</v>
      </c>
      <c r="N1291">
        <f>-618.955214346902 -5.70131017262531 -767.199860705467</f>
        <v>-1391.8563852249945</v>
      </c>
      <c r="O1291">
        <f>-649.982472485265 -141.105959305734 -718.97242065187</f>
        <v>-1510.060852442869</v>
      </c>
      <c r="P1291">
        <f>-646.785967031727 -119.752404241992 -403.187600769351</f>
        <v>-1169.7259720430698</v>
      </c>
      <c r="Q1291">
        <f>-402.536931482015 -48.9077746451485 -457.644177584515</f>
        <v>-909.08888371167848</v>
      </c>
      <c r="R1291" t="s">
        <v>26875</v>
      </c>
      <c r="S1291" t="s">
        <v>26876</v>
      </c>
      <c r="T1291" t="s">
        <v>26877</v>
      </c>
      <c r="U1291" t="s">
        <v>26878</v>
      </c>
      <c r="V1291">
        <f>-622.248416335828 -13.296195660539 -235.786068390283</f>
        <v>-871.33068038664987</v>
      </c>
      <c r="W1291" t="s">
        <v>26879</v>
      </c>
      <c r="X1291" t="s">
        <v>26880</v>
      </c>
      <c r="Y1291" t="s">
        <v>26881</v>
      </c>
    </row>
    <row r="1292" spans="1:25" x14ac:dyDescent="0.3">
      <c r="A1292">
        <v>64550</v>
      </c>
      <c r="B1292" t="s">
        <v>26882</v>
      </c>
      <c r="C1292" t="s">
        <v>26883</v>
      </c>
      <c r="D1292" t="s">
        <v>26884</v>
      </c>
      <c r="E1292" t="s">
        <v>26885</v>
      </c>
      <c r="F1292" t="s">
        <v>26886</v>
      </c>
      <c r="G1292" t="s">
        <v>26887</v>
      </c>
      <c r="H1292" t="s">
        <v>26888</v>
      </c>
      <c r="I1292">
        <f>-560.606489304384 -12.8293438067858 -927.784133264161</f>
        <v>-1501.2199663753308</v>
      </c>
      <c r="J1292" t="s">
        <v>26889</v>
      </c>
      <c r="K1292" t="s">
        <v>26890</v>
      </c>
      <c r="L1292" t="s">
        <v>26891</v>
      </c>
      <c r="M1292" t="s">
        <v>26892</v>
      </c>
      <c r="N1292">
        <f>-618.698878744266 -6.16903977051294 -766.931411012399</f>
        <v>-1391.7993295271781</v>
      </c>
      <c r="O1292">
        <f>-649.581705093144 -141.556542696407 -718.531907116297</f>
        <v>-1509.670154905848</v>
      </c>
      <c r="P1292">
        <f>-646.338332724957 -119.511275327518 -402.795178943725</f>
        <v>-1168.6447869961999</v>
      </c>
      <c r="Q1292">
        <f>-401.999703069102 -48.8672853095213 -457.110090917282</f>
        <v>-907.97707929590524</v>
      </c>
      <c r="R1292" t="s">
        <v>26893</v>
      </c>
      <c r="S1292" t="s">
        <v>26894</v>
      </c>
      <c r="T1292" t="s">
        <v>26895</v>
      </c>
      <c r="U1292" t="s">
        <v>26896</v>
      </c>
      <c r="V1292">
        <f>-622.50027947843 -13.5776543016001 -235.777422058151</f>
        <v>-871.85535583818114</v>
      </c>
      <c r="W1292" t="s">
        <v>26897</v>
      </c>
      <c r="X1292" t="s">
        <v>26898</v>
      </c>
      <c r="Y1292" t="s">
        <v>26899</v>
      </c>
    </row>
    <row r="1293" spans="1:25" x14ac:dyDescent="0.3">
      <c r="A1293">
        <v>64600</v>
      </c>
      <c r="B1293" t="s">
        <v>26900</v>
      </c>
      <c r="C1293" t="s">
        <v>26901</v>
      </c>
      <c r="D1293" t="s">
        <v>26902</v>
      </c>
      <c r="E1293" t="s">
        <v>26903</v>
      </c>
      <c r="F1293" t="s">
        <v>26904</v>
      </c>
      <c r="G1293" t="s">
        <v>26905</v>
      </c>
      <c r="H1293" t="s">
        <v>26906</v>
      </c>
      <c r="I1293">
        <f>-559.958022179327 -13.1493509261574 -927.62511644378</f>
        <v>-1500.7324895492643</v>
      </c>
      <c r="J1293" t="s">
        <v>26907</v>
      </c>
      <c r="K1293" t="s">
        <v>26908</v>
      </c>
      <c r="L1293" t="s">
        <v>26909</v>
      </c>
      <c r="M1293" t="s">
        <v>26910</v>
      </c>
      <c r="N1293">
        <f>-618.22878215366 -6.38223591831059 -766.840489315211</f>
        <v>-1391.4515073871817</v>
      </c>
      <c r="O1293">
        <f>-648.989076312212 -141.749949077432 -718.326990022902</f>
        <v>-1509.066015412546</v>
      </c>
      <c r="P1293">
        <f>-645.801364371566 -119.240965521927 -402.622485148866</f>
        <v>-1167.6648150423591</v>
      </c>
      <c r="Q1293">
        <f>-401.419748051035 -48.6836745343255 -456.85638746585</f>
        <v>-906.95981005121052</v>
      </c>
      <c r="R1293" t="s">
        <v>26911</v>
      </c>
      <c r="S1293" t="s">
        <v>26912</v>
      </c>
      <c r="T1293" t="s">
        <v>26913</v>
      </c>
      <c r="U1293" t="s">
        <v>26914</v>
      </c>
      <c r="V1293">
        <f>-622.471417976778 -13.4915364730066 -235.792140086826</f>
        <v>-871.75509453661061</v>
      </c>
      <c r="W1293" t="s">
        <v>26915</v>
      </c>
      <c r="X1293" t="s">
        <v>26916</v>
      </c>
      <c r="Y1293" t="s">
        <v>26917</v>
      </c>
    </row>
    <row r="1294" spans="1:25" x14ac:dyDescent="0.3">
      <c r="A1294">
        <v>64650</v>
      </c>
      <c r="B1294" t="s">
        <v>26918</v>
      </c>
      <c r="C1294" t="s">
        <v>26919</v>
      </c>
      <c r="D1294" t="s">
        <v>26920</v>
      </c>
      <c r="E1294" t="s">
        <v>26921</v>
      </c>
      <c r="F1294" t="s">
        <v>26922</v>
      </c>
      <c r="G1294" t="s">
        <v>26923</v>
      </c>
      <c r="H1294" t="s">
        <v>26924</v>
      </c>
      <c r="I1294">
        <f>-558.395476434149 -14.0692671557505 -927.345574343765</f>
        <v>-1499.8103179336645</v>
      </c>
      <c r="J1294" t="s">
        <v>26925</v>
      </c>
      <c r="K1294" t="s">
        <v>26926</v>
      </c>
      <c r="L1294" t="s">
        <v>26927</v>
      </c>
      <c r="M1294" t="s">
        <v>26928</v>
      </c>
      <c r="N1294">
        <f>-617.03905492095 -7.0112093671189 -766.706771566884</f>
        <v>-1390.7570358549528</v>
      </c>
      <c r="O1294">
        <f>-647.723617368899 -142.339467518088 -718.036946574979</f>
        <v>-1508.100031461966</v>
      </c>
      <c r="P1294">
        <f>-645.223744610114 -119.363532716878 -402.359881625332</f>
        <v>-1166.9471589523239</v>
      </c>
      <c r="Q1294">
        <f>-400.714086731717 -48.8763719301299 -456.10586646448</f>
        <v>-905.69632512632688</v>
      </c>
      <c r="R1294" t="s">
        <v>26929</v>
      </c>
      <c r="S1294" t="s">
        <v>26930</v>
      </c>
      <c r="T1294" t="s">
        <v>26931</v>
      </c>
      <c r="U1294" t="s">
        <v>26932</v>
      </c>
      <c r="V1294">
        <f>-622.196898478365 -13.3191333309968 -235.843023201244</f>
        <v>-871.35905501060586</v>
      </c>
      <c r="W1294" t="s">
        <v>26933</v>
      </c>
      <c r="X1294" t="s">
        <v>26934</v>
      </c>
      <c r="Y1294" t="s">
        <v>26935</v>
      </c>
    </row>
    <row r="1295" spans="1:25" x14ac:dyDescent="0.3">
      <c r="A1295">
        <v>64700</v>
      </c>
      <c r="B1295" t="s">
        <v>26936</v>
      </c>
      <c r="C1295" t="s">
        <v>26937</v>
      </c>
      <c r="D1295" t="s">
        <v>26938</v>
      </c>
      <c r="E1295" t="s">
        <v>26939</v>
      </c>
      <c r="F1295" t="s">
        <v>26940</v>
      </c>
      <c r="G1295" t="s">
        <v>26941</v>
      </c>
      <c r="H1295" t="s">
        <v>26942</v>
      </c>
      <c r="I1295">
        <f>-557.693382443374 -14.1524475284279 -927.339486240302</f>
        <v>-1499.185316212104</v>
      </c>
      <c r="J1295" t="s">
        <v>26943</v>
      </c>
      <c r="K1295" t="s">
        <v>26944</v>
      </c>
      <c r="L1295" t="s">
        <v>26945</v>
      </c>
      <c r="M1295" t="s">
        <v>26946</v>
      </c>
      <c r="N1295">
        <f>-616.520331172854 -7.02773336532629 -766.771289056886</f>
        <v>-1390.3193535950663</v>
      </c>
      <c r="O1295">
        <f>-647.296304565161 -142.324005695203 -718.047979060049</f>
        <v>-1507.6682893204129</v>
      </c>
      <c r="P1295">
        <f>-645.133780939623 -119.564390543436 -402.352745825303</f>
        <v>-1167.0509173083619</v>
      </c>
      <c r="Q1295">
        <f>-400.660422125704 -48.8087235357407 -455.910848702087</f>
        <v>-905.37999436353164</v>
      </c>
      <c r="R1295" t="s">
        <v>26947</v>
      </c>
      <c r="S1295" t="s">
        <v>26948</v>
      </c>
      <c r="T1295" t="s">
        <v>26949</v>
      </c>
      <c r="U1295" t="s">
        <v>26950</v>
      </c>
      <c r="V1295">
        <f>-621.980431245978 -13.1725832021024 -235.87566859876</f>
        <v>-871.02868304684034</v>
      </c>
      <c r="W1295" t="s">
        <v>26951</v>
      </c>
      <c r="X1295" t="s">
        <v>26952</v>
      </c>
      <c r="Y1295" t="s">
        <v>26953</v>
      </c>
    </row>
    <row r="1296" spans="1:25" x14ac:dyDescent="0.3">
      <c r="A1296">
        <v>64750</v>
      </c>
      <c r="B1296" t="s">
        <v>26954</v>
      </c>
      <c r="C1296" t="s">
        <v>26955</v>
      </c>
      <c r="D1296" t="s">
        <v>26956</v>
      </c>
      <c r="E1296" t="s">
        <v>26957</v>
      </c>
      <c r="F1296" t="s">
        <v>26958</v>
      </c>
      <c r="G1296" t="s">
        <v>26959</v>
      </c>
      <c r="H1296" t="s">
        <v>26960</v>
      </c>
      <c r="I1296">
        <f>-556.082995747653 -13.9586872521178 -927.386314244033</f>
        <v>-1497.4279972438037</v>
      </c>
      <c r="J1296" t="s">
        <v>26961</v>
      </c>
      <c r="K1296" t="s">
        <v>26962</v>
      </c>
      <c r="L1296" t="s">
        <v>26963</v>
      </c>
      <c r="M1296" t="s">
        <v>26964</v>
      </c>
      <c r="N1296">
        <f>-615.183021316779 -6.75389553808136 -766.928312585929</f>
        <v>-1388.8652294407893</v>
      </c>
      <c r="O1296">
        <f>-646.064560449987 -141.999767041204 -718.157459408189</f>
        <v>-1506.2217868993798</v>
      </c>
      <c r="P1296">
        <f>-644.746108669885 -118.632338153261 -402.501940901095</f>
        <v>-1165.880387724241</v>
      </c>
      <c r="Q1296">
        <f>-399.994194725845 -48.1932056174245 -455.197984723741</f>
        <v>-903.38538506701047</v>
      </c>
      <c r="R1296" t="s">
        <v>26965</v>
      </c>
      <c r="S1296" t="s">
        <v>26966</v>
      </c>
      <c r="T1296" t="s">
        <v>26967</v>
      </c>
      <c r="U1296" t="s">
        <v>26968</v>
      </c>
      <c r="V1296">
        <f>-621.554383261074 -12.4591313826002 -235.96393167491</f>
        <v>-869.97744631858416</v>
      </c>
      <c r="W1296" t="s">
        <v>26969</v>
      </c>
      <c r="X1296" t="s">
        <v>26970</v>
      </c>
      <c r="Y1296" t="s">
        <v>26971</v>
      </c>
    </row>
    <row r="1297" spans="1:25" x14ac:dyDescent="0.3">
      <c r="A1297">
        <v>64800</v>
      </c>
      <c r="B1297" t="s">
        <v>26972</v>
      </c>
      <c r="C1297" t="s">
        <v>26973</v>
      </c>
      <c r="D1297" t="s">
        <v>26974</v>
      </c>
      <c r="E1297" t="s">
        <v>26975</v>
      </c>
      <c r="F1297" t="s">
        <v>26976</v>
      </c>
      <c r="G1297" t="s">
        <v>26977</v>
      </c>
      <c r="H1297" t="s">
        <v>26978</v>
      </c>
      <c r="I1297">
        <f>-555.443146751561 -13.8452323363128 -927.413030193626</f>
        <v>-1496.7014092814998</v>
      </c>
      <c r="J1297" t="s">
        <v>26979</v>
      </c>
      <c r="K1297" t="s">
        <v>26980</v>
      </c>
      <c r="L1297" t="s">
        <v>26981</v>
      </c>
      <c r="M1297" t="s">
        <v>26982</v>
      </c>
      <c r="N1297">
        <f>-614.654304633086 -6.59413486534329 -766.997849295058</f>
        <v>-1388.2462887934873</v>
      </c>
      <c r="O1297">
        <f>-645.666240211503 -141.793612984272 -718.164192263954</f>
        <v>-1505.6240454597289</v>
      </c>
      <c r="P1297">
        <f>-644.318946054324 -117.902097857003 -402.548011544486</f>
        <v>-1164.769055455813</v>
      </c>
      <c r="Q1297">
        <f>-399.531881341278 -47.7498737915959 -455.463215067024</f>
        <v>-902.74497019989792</v>
      </c>
      <c r="R1297" t="s">
        <v>26983</v>
      </c>
      <c r="S1297" t="s">
        <v>26984</v>
      </c>
      <c r="T1297" t="s">
        <v>26985</v>
      </c>
      <c r="U1297" t="s">
        <v>26986</v>
      </c>
      <c r="V1297">
        <f>-621.4335297979 -12.2019261146198 -236.010782437226</f>
        <v>-869.64623834974577</v>
      </c>
      <c r="W1297" t="s">
        <v>26987</v>
      </c>
      <c r="X1297" t="s">
        <v>26988</v>
      </c>
      <c r="Y1297" t="s">
        <v>26989</v>
      </c>
    </row>
    <row r="1298" spans="1:25" x14ac:dyDescent="0.3">
      <c r="A1298">
        <v>64850</v>
      </c>
      <c r="B1298" t="s">
        <v>26990</v>
      </c>
      <c r="C1298" t="s">
        <v>26991</v>
      </c>
      <c r="D1298" t="s">
        <v>26992</v>
      </c>
      <c r="E1298" t="s">
        <v>26993</v>
      </c>
      <c r="F1298" t="s">
        <v>26994</v>
      </c>
      <c r="G1298" t="s">
        <v>26995</v>
      </c>
      <c r="H1298" t="s">
        <v>26996</v>
      </c>
      <c r="I1298">
        <f>-554.182500265652 -13.7731525017023 -927.324929383844</f>
        <v>-1495.2805821511984</v>
      </c>
      <c r="J1298" t="s">
        <v>26997</v>
      </c>
      <c r="K1298" t="s">
        <v>26998</v>
      </c>
      <c r="L1298" t="s">
        <v>26999</v>
      </c>
      <c r="M1298" t="s">
        <v>27000</v>
      </c>
      <c r="N1298">
        <f>-613.675626262839 -6.38885632538111 -767.021663218889</f>
        <v>-1387.086145807109</v>
      </c>
      <c r="O1298">
        <f>-644.963943021237 -141.510156578599 -718.154354832839</f>
        <v>-1504.628454432675</v>
      </c>
      <c r="P1298">
        <f>-643.632186939846 -118.210935930266 -402.493848481478</f>
        <v>-1164.3369713515899</v>
      </c>
      <c r="Q1298">
        <f>-399.480025662667 -47.6818988709102 -457.78800628939</f>
        <v>-904.94993082296719</v>
      </c>
      <c r="R1298" t="s">
        <v>27001</v>
      </c>
      <c r="S1298" t="s">
        <v>27002</v>
      </c>
      <c r="T1298" t="s">
        <v>27003</v>
      </c>
      <c r="U1298" t="s">
        <v>27004</v>
      </c>
      <c r="V1298">
        <f>-621.224225773892 -11.8047263249493 -236.07532103251</f>
        <v>-869.10427313135142</v>
      </c>
      <c r="W1298" t="s">
        <v>27005</v>
      </c>
      <c r="X1298" t="s">
        <v>27006</v>
      </c>
      <c r="Y1298" t="s">
        <v>27007</v>
      </c>
    </row>
    <row r="1299" spans="1:25" x14ac:dyDescent="0.3">
      <c r="A1299">
        <v>64900</v>
      </c>
      <c r="B1299" t="s">
        <v>27008</v>
      </c>
      <c r="C1299" t="s">
        <v>27009</v>
      </c>
      <c r="D1299" t="s">
        <v>27010</v>
      </c>
      <c r="E1299" t="s">
        <v>27011</v>
      </c>
      <c r="F1299" t="s">
        <v>27012</v>
      </c>
      <c r="G1299" t="s">
        <v>27013</v>
      </c>
      <c r="H1299" t="s">
        <v>27014</v>
      </c>
      <c r="I1299">
        <f>-553.718835091746 -13.1842561004415 -927.357828696499</f>
        <v>-1494.2609198886867</v>
      </c>
      <c r="J1299" t="s">
        <v>27015</v>
      </c>
      <c r="K1299" t="s">
        <v>27016</v>
      </c>
      <c r="L1299" t="s">
        <v>27017</v>
      </c>
      <c r="M1299" t="s">
        <v>27018</v>
      </c>
      <c r="N1299">
        <f>-613.315070912154 -5.85039983935991 -767.109963580522</f>
        <v>-1386.2754343320362</v>
      </c>
      <c r="O1299">
        <f>-644.773778954615 -140.958395455178 -718.298361038041</f>
        <v>-1504.0305354478339</v>
      </c>
      <c r="P1299">
        <f>-642.9783932749 -117.469456073926 -402.654287984998</f>
        <v>-1163.102137333824</v>
      </c>
      <c r="Q1299">
        <f>-398.499148962597 -47.8115919412984 -457.606397060653</f>
        <v>-903.91713796454837</v>
      </c>
      <c r="R1299" t="s">
        <v>27019</v>
      </c>
      <c r="S1299" t="s">
        <v>27020</v>
      </c>
      <c r="T1299" t="s">
        <v>27021</v>
      </c>
      <c r="U1299" t="s">
        <v>27022</v>
      </c>
      <c r="V1299">
        <f>-621.163533638586 -11.5301623256135 -236.087565551518</f>
        <v>-868.78126151571746</v>
      </c>
      <c r="W1299" t="s">
        <v>27023</v>
      </c>
      <c r="X1299" t="s">
        <v>27024</v>
      </c>
      <c r="Y1299" t="s">
        <v>27025</v>
      </c>
    </row>
    <row r="1300" spans="1:25" x14ac:dyDescent="0.3">
      <c r="A1300">
        <v>64950</v>
      </c>
      <c r="B1300" t="s">
        <v>27026</v>
      </c>
      <c r="C1300" t="s">
        <v>27027</v>
      </c>
      <c r="D1300" t="s">
        <v>27028</v>
      </c>
      <c r="E1300" t="s">
        <v>27029</v>
      </c>
      <c r="F1300" t="s">
        <v>27030</v>
      </c>
      <c r="G1300" t="s">
        <v>27031</v>
      </c>
      <c r="H1300" t="s">
        <v>27032</v>
      </c>
      <c r="I1300">
        <f>-552.811562658676 -13.1618511818988 -927.254212548668</f>
        <v>-1493.2276263892427</v>
      </c>
      <c r="J1300" t="s">
        <v>27033</v>
      </c>
      <c r="K1300" t="s">
        <v>27034</v>
      </c>
      <c r="L1300" t="s">
        <v>27035</v>
      </c>
      <c r="M1300" t="s">
        <v>27036</v>
      </c>
      <c r="N1300">
        <f>-612.54931735323 -5.76422236661393 -767.059773480125</f>
        <v>-1385.3733131999688</v>
      </c>
      <c r="O1300">
        <f>-644.090006159082 -140.821764954696 -718.196321539974</f>
        <v>-1503.108092653752</v>
      </c>
      <c r="P1300">
        <f>-642.485021856744 -115.903607809505 -402.660758770894</f>
        <v>-1161.0493884371431</v>
      </c>
      <c r="Q1300">
        <f>-396.395244613376 -49.2926419800734 -454.089140537267</f>
        <v>-899.77702713071642</v>
      </c>
      <c r="R1300" t="s">
        <v>27037</v>
      </c>
      <c r="S1300" t="s">
        <v>27038</v>
      </c>
      <c r="T1300" t="s">
        <v>27039</v>
      </c>
      <c r="U1300" t="s">
        <v>27040</v>
      </c>
      <c r="V1300">
        <f>-621.004591630571 -11.3052202309385 -236.099832523562</f>
        <v>-868.40964438507149</v>
      </c>
      <c r="W1300" t="s">
        <v>27041</v>
      </c>
      <c r="X1300" t="s">
        <v>27042</v>
      </c>
      <c r="Y1300" t="s">
        <v>27043</v>
      </c>
    </row>
    <row r="1301" spans="1:25" x14ac:dyDescent="0.3">
      <c r="A1301">
        <v>65000</v>
      </c>
      <c r="B1301" t="s">
        <v>27044</v>
      </c>
      <c r="C1301" t="s">
        <v>27045</v>
      </c>
      <c r="D1301" t="s">
        <v>27046</v>
      </c>
      <c r="E1301" t="s">
        <v>27047</v>
      </c>
      <c r="F1301" t="s">
        <v>27048</v>
      </c>
      <c r="G1301" t="s">
        <v>27049</v>
      </c>
      <c r="H1301" t="s">
        <v>27050</v>
      </c>
      <c r="I1301">
        <f>-551.81227667196 -13.2133614144789 -927.154817317207</f>
        <v>-1492.1804554036457</v>
      </c>
      <c r="J1301" t="s">
        <v>27051</v>
      </c>
      <c r="K1301" t="s">
        <v>27052</v>
      </c>
      <c r="L1301" t="s">
        <v>27053</v>
      </c>
      <c r="M1301" t="s">
        <v>27054</v>
      </c>
      <c r="N1301">
        <f>-611.69948313781 -5.82539442257131 -766.995117768237</f>
        <v>-1384.5199953286183</v>
      </c>
      <c r="O1301">
        <f>-643.133911911184 -140.903950546816 -718.098089301362</f>
        <v>-1502.1359517593619</v>
      </c>
      <c r="P1301">
        <f>-642.515652892189 -115.013442275641 -402.637434133825</f>
        <v>-1160.1665293016549</v>
      </c>
      <c r="Q1301">
        <f>-395.645748317672 -49.8402847619169 -452.13240034489</f>
        <v>-897.61843342447889</v>
      </c>
      <c r="R1301" t="s">
        <v>27055</v>
      </c>
      <c r="S1301" t="s">
        <v>27056</v>
      </c>
      <c r="T1301" t="s">
        <v>27057</v>
      </c>
      <c r="U1301" t="s">
        <v>27058</v>
      </c>
      <c r="V1301">
        <f>-620.825214220574 -11.1700255306221 -236.092112181734</f>
        <v>-868.08735193293012</v>
      </c>
      <c r="W1301" t="s">
        <v>27059</v>
      </c>
      <c r="X1301" t="s">
        <v>27060</v>
      </c>
      <c r="Y1301" t="s">
        <v>27061</v>
      </c>
    </row>
    <row r="1302" spans="1:25" x14ac:dyDescent="0.3">
      <c r="A1302">
        <v>65050</v>
      </c>
      <c r="B1302" t="s">
        <v>27062</v>
      </c>
      <c r="C1302" t="s">
        <v>27063</v>
      </c>
      <c r="D1302" t="s">
        <v>27064</v>
      </c>
      <c r="E1302" t="s">
        <v>27065</v>
      </c>
      <c r="F1302" t="s">
        <v>27066</v>
      </c>
      <c r="G1302" t="s">
        <v>27067</v>
      </c>
      <c r="H1302" t="s">
        <v>27068</v>
      </c>
      <c r="I1302">
        <f>-549.849022247987 -12.9886670706003 -927.01019930269</f>
        <v>-1489.8478886212774</v>
      </c>
      <c r="J1302" t="s">
        <v>27069</v>
      </c>
      <c r="K1302" t="s">
        <v>27070</v>
      </c>
      <c r="L1302" t="s">
        <v>27071</v>
      </c>
      <c r="M1302" t="s">
        <v>27072</v>
      </c>
      <c r="N1302">
        <f>-610.130373203165 -5.68102460107393 -766.949005853218</f>
        <v>-1382.7604036574569</v>
      </c>
      <c r="O1302">
        <f>-641.674152426771 -140.716775410568 -718.014868477099</f>
        <v>-1500.4057963144378</v>
      </c>
      <c r="P1302">
        <f>-643.049359062677 -113.280928694616 -402.687104182877</f>
        <v>-1159.01739194017</v>
      </c>
      <c r="Q1302">
        <f>-395.107540738282 -50.1518834026491 -449.395134671084</f>
        <v>-894.65455881201513</v>
      </c>
      <c r="R1302" t="s">
        <v>27073</v>
      </c>
      <c r="S1302" t="s">
        <v>27074</v>
      </c>
      <c r="T1302" t="s">
        <v>27075</v>
      </c>
      <c r="U1302" t="s">
        <v>27076</v>
      </c>
      <c r="V1302">
        <f>-620.441797970487 -10.7805992141053 -236.088991864413</f>
        <v>-867.31138904900536</v>
      </c>
      <c r="W1302" t="s">
        <v>27077</v>
      </c>
      <c r="X1302" t="s">
        <v>27078</v>
      </c>
      <c r="Y1302" t="s">
        <v>27079</v>
      </c>
    </row>
    <row r="1303" spans="1:25" x14ac:dyDescent="0.3">
      <c r="A1303">
        <v>65100</v>
      </c>
      <c r="B1303" t="s">
        <v>27080</v>
      </c>
      <c r="C1303" t="s">
        <v>27081</v>
      </c>
      <c r="D1303" t="s">
        <v>27082</v>
      </c>
      <c r="E1303" t="s">
        <v>27083</v>
      </c>
      <c r="F1303" t="s">
        <v>27084</v>
      </c>
      <c r="G1303" t="s">
        <v>27085</v>
      </c>
      <c r="H1303" t="s">
        <v>27086</v>
      </c>
      <c r="I1303">
        <f>-549.009820029725 -12.976273788054 -926.941592003679</f>
        <v>-1488.927685821458</v>
      </c>
      <c r="J1303" t="s">
        <v>27087</v>
      </c>
      <c r="K1303" t="s">
        <v>27088</v>
      </c>
      <c r="L1303" t="s">
        <v>27089</v>
      </c>
      <c r="M1303" t="s">
        <v>27090</v>
      </c>
      <c r="N1303">
        <f>-609.435638313469 -5.70955585734349 -766.914304688394</f>
        <v>-1382.0594988592065</v>
      </c>
      <c r="O1303">
        <f>-641.142217748089 -140.691856560103 -717.926788859698</f>
        <v>-1499.76086316789</v>
      </c>
      <c r="P1303">
        <f>-643.123748108701 -112.946807850737 -402.629371631802</f>
        <v>-1158.6999275912399</v>
      </c>
      <c r="Q1303">
        <f>-394.932430497906 -49.959658720802 -448.189510467037</f>
        <v>-893.081599685745</v>
      </c>
      <c r="R1303" t="s">
        <v>27091</v>
      </c>
      <c r="S1303" t="s">
        <v>27092</v>
      </c>
      <c r="T1303" t="s">
        <v>27093</v>
      </c>
      <c r="U1303" t="s">
        <v>27094</v>
      </c>
      <c r="V1303">
        <f>-620.182129352576 -10.7027971409568 -236.074306606357</f>
        <v>-866.95923309988984</v>
      </c>
      <c r="W1303" t="s">
        <v>27095</v>
      </c>
      <c r="X1303" t="s">
        <v>27096</v>
      </c>
      <c r="Y1303" t="s">
        <v>27097</v>
      </c>
    </row>
    <row r="1304" spans="1:25" x14ac:dyDescent="0.3">
      <c r="A1304">
        <v>65150</v>
      </c>
      <c r="B1304" t="s">
        <v>27098</v>
      </c>
      <c r="C1304" t="s">
        <v>27099</v>
      </c>
      <c r="D1304" t="s">
        <v>27100</v>
      </c>
      <c r="E1304" t="s">
        <v>27101</v>
      </c>
      <c r="F1304" t="s">
        <v>27102</v>
      </c>
      <c r="G1304" t="s">
        <v>27103</v>
      </c>
      <c r="H1304" t="s">
        <v>27104</v>
      </c>
      <c r="I1304">
        <f>-548.132588954063 -13.0553376924766 -926.861451094676</f>
        <v>-1488.0493777412157</v>
      </c>
      <c r="J1304" t="s">
        <v>27105</v>
      </c>
      <c r="K1304" t="s">
        <v>27106</v>
      </c>
      <c r="L1304" t="s">
        <v>27107</v>
      </c>
      <c r="M1304" t="s">
        <v>27108</v>
      </c>
      <c r="N1304">
        <f>-608.686531993238 -5.8020690666061 -766.868334245388</f>
        <v>-1381.3569353052321</v>
      </c>
      <c r="O1304">
        <f>-640.496015112907 -140.753826509214 -717.887742827973</f>
        <v>-1499.137584450094</v>
      </c>
      <c r="P1304">
        <f>-643.061833337984 -112.757926994802 -402.616841462606</f>
        <v>-1158.4366017953921</v>
      </c>
      <c r="Q1304">
        <f>-394.801281593722 -49.8186627243474 -447.864835862324</f>
        <v>-892.4847801803935</v>
      </c>
      <c r="R1304" t="s">
        <v>27109</v>
      </c>
      <c r="S1304" t="s">
        <v>27110</v>
      </c>
      <c r="T1304" t="s">
        <v>27111</v>
      </c>
      <c r="U1304" t="s">
        <v>27112</v>
      </c>
      <c r="V1304">
        <f>-619.924721370409 -10.5574405070754 -236.040542896083</f>
        <v>-866.5227047735674</v>
      </c>
      <c r="W1304" t="s">
        <v>27113</v>
      </c>
      <c r="X1304" t="s">
        <v>27114</v>
      </c>
      <c r="Y1304" t="s">
        <v>27115</v>
      </c>
    </row>
    <row r="1305" spans="1:25" x14ac:dyDescent="0.3">
      <c r="A1305">
        <v>65200</v>
      </c>
      <c r="B1305" t="s">
        <v>27116</v>
      </c>
      <c r="C1305" t="s">
        <v>27117</v>
      </c>
      <c r="D1305" t="s">
        <v>27118</v>
      </c>
      <c r="E1305" t="s">
        <v>27119</v>
      </c>
      <c r="F1305" t="s">
        <v>27120</v>
      </c>
      <c r="G1305" t="s">
        <v>27121</v>
      </c>
      <c r="H1305" t="s">
        <v>27122</v>
      </c>
      <c r="I1305">
        <f>-547.014753276075 -12.7174112969273 -926.795743000524</f>
        <v>-1486.5279075735261</v>
      </c>
      <c r="J1305" t="s">
        <v>27123</v>
      </c>
      <c r="K1305" t="s">
        <v>27124</v>
      </c>
      <c r="L1305" t="s">
        <v>27125</v>
      </c>
      <c r="M1305" t="s">
        <v>27126</v>
      </c>
      <c r="N1305">
        <f>-607.7746466652 -5.69527447857134 -766.848434254554</f>
        <v>-1380.3183553983254</v>
      </c>
      <c r="O1305">
        <f>-639.791073419132 -140.632415818766 -717.943807350727</f>
        <v>-1498.3672965886249</v>
      </c>
      <c r="P1305">
        <f>-642.016613553054 -112.639832813001 -402.669809080536</f>
        <v>-1157.3262554465909</v>
      </c>
      <c r="Q1305">
        <f>-393.542470811327 -50.7032308639846 -448.128779722451</f>
        <v>-892.37448139776257</v>
      </c>
      <c r="R1305" t="s">
        <v>27127</v>
      </c>
      <c r="S1305" t="s">
        <v>27128</v>
      </c>
      <c r="T1305" t="s">
        <v>27129</v>
      </c>
      <c r="U1305" t="s">
        <v>27130</v>
      </c>
      <c r="V1305">
        <f>-619.478807509192 -10.6750123553915 -235.97737954367</f>
        <v>-866.13119940825345</v>
      </c>
      <c r="W1305" t="s">
        <v>27131</v>
      </c>
      <c r="X1305" t="s">
        <v>27132</v>
      </c>
      <c r="Y1305" t="s">
        <v>27133</v>
      </c>
    </row>
    <row r="1306" spans="1:25" x14ac:dyDescent="0.3">
      <c r="A1306">
        <v>65250</v>
      </c>
      <c r="B1306" t="s">
        <v>27134</v>
      </c>
      <c r="C1306" t="s">
        <v>27135</v>
      </c>
      <c r="D1306" t="s">
        <v>27136</v>
      </c>
      <c r="E1306" t="s">
        <v>27137</v>
      </c>
      <c r="F1306" t="s">
        <v>27138</v>
      </c>
      <c r="G1306" t="s">
        <v>27139</v>
      </c>
      <c r="H1306" t="s">
        <v>27140</v>
      </c>
      <c r="I1306">
        <f>-545.69418503342 -12.237099958425 -926.683414032825</f>
        <v>-1484.61469902467</v>
      </c>
      <c r="J1306" t="s">
        <v>27141</v>
      </c>
      <c r="K1306" t="s">
        <v>27142</v>
      </c>
      <c r="L1306" t="s">
        <v>27143</v>
      </c>
      <c r="M1306" t="s">
        <v>27144</v>
      </c>
      <c r="N1306">
        <f>-606.635873702042 -5.49439433988922 -766.784877224773</f>
        <v>-1378.9151452667043</v>
      </c>
      <c r="O1306">
        <f>-638.552196050612 -140.521259094968 -718.052489311833</f>
        <v>-1497.125944457413</v>
      </c>
      <c r="P1306">
        <f>-640.994621943002 -113.238112243772 -402.717916715702</f>
        <v>-1156.9506509024759</v>
      </c>
      <c r="Q1306">
        <f>-392.854662373328 -50.4473613683102 -448.825680195978</f>
        <v>-892.12770393761616</v>
      </c>
      <c r="R1306" t="s">
        <v>27145</v>
      </c>
      <c r="S1306" t="s">
        <v>27146</v>
      </c>
      <c r="T1306" t="s">
        <v>27147</v>
      </c>
      <c r="U1306" t="s">
        <v>27148</v>
      </c>
      <c r="V1306">
        <f>-618.948138679987 -10.7383321291333 -235.892599747027</f>
        <v>-865.57907055614726</v>
      </c>
      <c r="W1306" t="s">
        <v>27149</v>
      </c>
      <c r="X1306" t="s">
        <v>27150</v>
      </c>
      <c r="Y1306" t="s">
        <v>27151</v>
      </c>
    </row>
    <row r="1307" spans="1:25" x14ac:dyDescent="0.3">
      <c r="A1307">
        <v>65300</v>
      </c>
      <c r="B1307" t="s">
        <v>27152</v>
      </c>
      <c r="C1307" t="s">
        <v>27153</v>
      </c>
      <c r="D1307" t="s">
        <v>27154</v>
      </c>
      <c r="E1307" t="s">
        <v>27155</v>
      </c>
      <c r="F1307" t="s">
        <v>27156</v>
      </c>
      <c r="G1307" t="s">
        <v>27157</v>
      </c>
      <c r="H1307" t="s">
        <v>27158</v>
      </c>
      <c r="I1307">
        <f>-544.994485968603 -11.6353309276028 -926.702638232979</f>
        <v>-1483.3324551291848</v>
      </c>
      <c r="J1307" t="s">
        <v>27159</v>
      </c>
      <c r="K1307" t="s">
        <v>27160</v>
      </c>
      <c r="L1307" t="s">
        <v>27161</v>
      </c>
      <c r="M1307" t="s">
        <v>27162</v>
      </c>
      <c r="N1307">
        <f>-606.08839079619 -5.13854477781089 -766.853625395482</f>
        <v>-1378.080560969483</v>
      </c>
      <c r="O1307">
        <f>-637.921208199273 -140.245052172499 -718.272982649898</f>
        <v>-1496.4392430216699</v>
      </c>
      <c r="P1307">
        <f>-640.482312470099 -113.485729509327 -402.894473396944</f>
        <v>-1156.8625153763701</v>
      </c>
      <c r="Q1307">
        <f>-392.579110428445 -49.7449866818672 -448.972070534047</f>
        <v>-891.29616764435923</v>
      </c>
      <c r="R1307" t="s">
        <v>27163</v>
      </c>
      <c r="S1307" t="s">
        <v>27164</v>
      </c>
      <c r="T1307" t="s">
        <v>27165</v>
      </c>
      <c r="U1307" t="s">
        <v>27166</v>
      </c>
      <c r="V1307">
        <f>-618.626710683831 -10.7507932988711 -235.863329431915</f>
        <v>-865.2408334146171</v>
      </c>
      <c r="W1307" t="s">
        <v>27167</v>
      </c>
      <c r="X1307" t="s">
        <v>27168</v>
      </c>
      <c r="Y1307" t="s">
        <v>27169</v>
      </c>
    </row>
    <row r="1308" spans="1:25" x14ac:dyDescent="0.3">
      <c r="A1308">
        <v>65350</v>
      </c>
      <c r="B1308" t="s">
        <v>27170</v>
      </c>
      <c r="C1308" t="s">
        <v>27171</v>
      </c>
      <c r="D1308" t="s">
        <v>27172</v>
      </c>
      <c r="E1308" t="s">
        <v>27173</v>
      </c>
      <c r="F1308" t="s">
        <v>27174</v>
      </c>
      <c r="G1308" t="s">
        <v>27175</v>
      </c>
      <c r="H1308" t="s">
        <v>27176</v>
      </c>
      <c r="I1308">
        <f>-543.32730759012 -10.7184020439938 -926.658042146445</f>
        <v>-1480.7037517805588</v>
      </c>
      <c r="J1308" t="s">
        <v>27177</v>
      </c>
      <c r="K1308" t="s">
        <v>27178</v>
      </c>
      <c r="L1308" t="s">
        <v>27179</v>
      </c>
      <c r="M1308" t="s">
        <v>27180</v>
      </c>
      <c r="N1308">
        <f>-604.743704541904 -4.71173797197977 -766.908343376111</f>
        <v>-1376.3637858899947</v>
      </c>
      <c r="O1308">
        <f>-636.262304261859 -139.959692237781 -718.571403325204</f>
        <v>-1494.7933998248441</v>
      </c>
      <c r="P1308">
        <f>-639.365724557541 -113.807301217912 -403.146909550014</f>
        <v>-1156.319935325467</v>
      </c>
      <c r="Q1308">
        <f>-391.998590116721 -48.3752224308056 -449.732123599493</f>
        <v>-890.10593614701952</v>
      </c>
      <c r="R1308" t="s">
        <v>27181</v>
      </c>
      <c r="S1308" t="s">
        <v>27182</v>
      </c>
      <c r="T1308" t="s">
        <v>27183</v>
      </c>
      <c r="U1308" t="s">
        <v>27184</v>
      </c>
      <c r="V1308">
        <f>-617.952908598471 -10.8519532876451 -235.805414089003</f>
        <v>-864.61027597511907</v>
      </c>
      <c r="W1308" t="s">
        <v>27185</v>
      </c>
      <c r="X1308" t="s">
        <v>27186</v>
      </c>
      <c r="Y1308" t="s">
        <v>27187</v>
      </c>
    </row>
    <row r="1309" spans="1:25" x14ac:dyDescent="0.3">
      <c r="A1309">
        <v>65400</v>
      </c>
      <c r="B1309" t="s">
        <v>27188</v>
      </c>
      <c r="C1309" t="s">
        <v>27189</v>
      </c>
      <c r="D1309" t="s">
        <v>27190</v>
      </c>
      <c r="E1309" t="s">
        <v>27191</v>
      </c>
      <c r="F1309" t="s">
        <v>27192</v>
      </c>
      <c r="G1309" t="s">
        <v>27193</v>
      </c>
      <c r="H1309" t="s">
        <v>27194</v>
      </c>
      <c r="I1309">
        <f>-542.690866522157 -10.5435335935916 -926.628468747425</f>
        <v>-1479.8628688631736</v>
      </c>
      <c r="J1309" t="s">
        <v>27195</v>
      </c>
      <c r="K1309" t="s">
        <v>27196</v>
      </c>
      <c r="L1309" t="s">
        <v>27197</v>
      </c>
      <c r="M1309" t="s">
        <v>27198</v>
      </c>
      <c r="N1309">
        <f>-604.219746135184 -4.7120746807784 -766.913692358783</f>
        <v>-1375.8455131747455</v>
      </c>
      <c r="O1309">
        <f>-635.513630435438 -140.034205151115 -718.625801384737</f>
        <v>-1494.1736369712899</v>
      </c>
      <c r="P1309">
        <f>-638.774135470153 -114.003135090109 -403.192856967195</f>
        <v>-1155.970127527457</v>
      </c>
      <c r="Q1309">
        <f>-391.694771660735 -47.8044323436619 -450.220107150415</f>
        <v>-889.71931115481198</v>
      </c>
      <c r="R1309" t="s">
        <v>27199</v>
      </c>
      <c r="S1309" t="s">
        <v>27200</v>
      </c>
      <c r="T1309" t="s">
        <v>27201</v>
      </c>
      <c r="U1309" t="s">
        <v>27202</v>
      </c>
      <c r="V1309">
        <f>-617.573007637513 -10.9985238368852 -235.786825721391</f>
        <v>-864.35835719578915</v>
      </c>
      <c r="W1309" t="s">
        <v>27203</v>
      </c>
      <c r="X1309" t="s">
        <v>27204</v>
      </c>
      <c r="Y1309" t="s">
        <v>27205</v>
      </c>
    </row>
    <row r="1310" spans="1:25" x14ac:dyDescent="0.3">
      <c r="A1310">
        <v>65450</v>
      </c>
      <c r="B1310" t="s">
        <v>27206</v>
      </c>
      <c r="C1310" t="s">
        <v>27207</v>
      </c>
      <c r="D1310" t="s">
        <v>27208</v>
      </c>
      <c r="E1310" t="s">
        <v>27209</v>
      </c>
      <c r="F1310" t="s">
        <v>27210</v>
      </c>
      <c r="G1310" t="s">
        <v>27211</v>
      </c>
      <c r="H1310" t="s">
        <v>27212</v>
      </c>
      <c r="I1310">
        <f>-541.231403744712 -10.2754682181579 -926.581300808016</f>
        <v>-1478.0881727708859</v>
      </c>
      <c r="J1310" t="s">
        <v>27213</v>
      </c>
      <c r="K1310" t="s">
        <v>27214</v>
      </c>
      <c r="L1310" t="s">
        <v>27215</v>
      </c>
      <c r="M1310" t="s">
        <v>27216</v>
      </c>
      <c r="N1310">
        <f>-602.959547917421 -4.7466995583565 -766.939287451288</f>
        <v>-1374.6455349270655</v>
      </c>
      <c r="O1310">
        <f>-633.880053343916 -140.224549865002 -718.830717968994</f>
        <v>-1492.9353211779121</v>
      </c>
      <c r="P1310">
        <f>-637.494980471262 -114.858289921799 -403.347411437246</f>
        <v>-1155.7006818303071</v>
      </c>
      <c r="Q1310">
        <f>-390.943166824488 -47.2359843424869 -451.112216377208</f>
        <v>-889.29136754418289</v>
      </c>
      <c r="R1310" t="s">
        <v>27217</v>
      </c>
      <c r="S1310" t="s">
        <v>27218</v>
      </c>
      <c r="T1310" t="s">
        <v>27219</v>
      </c>
      <c r="U1310" t="s">
        <v>27220</v>
      </c>
      <c r="V1310">
        <f>-616.83455103268 -11.3336525799167 -235.766144200115</f>
        <v>-863.93434781271174</v>
      </c>
      <c r="W1310" t="s">
        <v>27221</v>
      </c>
      <c r="X1310" t="s">
        <v>27222</v>
      </c>
      <c r="Y1310" t="s">
        <v>27223</v>
      </c>
    </row>
    <row r="1311" spans="1:25" x14ac:dyDescent="0.3">
      <c r="A1311">
        <v>65500</v>
      </c>
      <c r="B1311" t="s">
        <v>27224</v>
      </c>
      <c r="C1311" t="s">
        <v>27225</v>
      </c>
      <c r="D1311" t="s">
        <v>27226</v>
      </c>
      <c r="E1311" t="s">
        <v>27227</v>
      </c>
      <c r="F1311" t="s">
        <v>27228</v>
      </c>
      <c r="G1311" t="s">
        <v>27229</v>
      </c>
      <c r="H1311" t="s">
        <v>27230</v>
      </c>
      <c r="I1311">
        <f>-540.479312042432 -9.86885977415141 -926.615552066678</f>
        <v>-1476.9637238832613</v>
      </c>
      <c r="J1311" t="s">
        <v>27231</v>
      </c>
      <c r="K1311" t="s">
        <v>27232</v>
      </c>
      <c r="L1311" t="s">
        <v>27233</v>
      </c>
      <c r="M1311" t="s">
        <v>27234</v>
      </c>
      <c r="N1311">
        <f>-602.294715837779 -4.50702201371023 -767.008933534265</f>
        <v>-1373.8106713857542</v>
      </c>
      <c r="O1311">
        <f>-633.072570670522 -140.05604535326 -719.006609843505</f>
        <v>-1492.1352258672871</v>
      </c>
      <c r="P1311">
        <f>-636.539980916913 -114.885738053872 -403.506080193981</f>
        <v>-1154.9317991647661</v>
      </c>
      <c r="Q1311">
        <f>-390.086044571623 -46.8409320987051 -451.175880138131</f>
        <v>-888.10285680845914</v>
      </c>
      <c r="R1311" t="s">
        <v>27235</v>
      </c>
      <c r="S1311" t="s">
        <v>27236</v>
      </c>
      <c r="T1311" t="s">
        <v>27237</v>
      </c>
      <c r="U1311" t="s">
        <v>27238</v>
      </c>
      <c r="V1311">
        <f>-616.439342076055 -11.3471725633329 -235.763129271479</f>
        <v>-863.54964391086696</v>
      </c>
      <c r="W1311" t="s">
        <v>27239</v>
      </c>
      <c r="X1311" t="s">
        <v>27240</v>
      </c>
      <c r="Y1311" t="s">
        <v>27241</v>
      </c>
    </row>
    <row r="1312" spans="1:25" x14ac:dyDescent="0.3">
      <c r="A1312">
        <v>65550</v>
      </c>
      <c r="B1312" t="s">
        <v>27242</v>
      </c>
      <c r="C1312" t="s">
        <v>27243</v>
      </c>
      <c r="D1312" t="s">
        <v>27244</v>
      </c>
      <c r="E1312" t="s">
        <v>27245</v>
      </c>
      <c r="F1312" t="s">
        <v>27246</v>
      </c>
      <c r="G1312" t="s">
        <v>27247</v>
      </c>
      <c r="H1312" t="s">
        <v>27248</v>
      </c>
      <c r="I1312">
        <f>-539.330019686757 -9.55722934214428 -926.623121175054</f>
        <v>-1475.5103702039555</v>
      </c>
      <c r="J1312" t="s">
        <v>27249</v>
      </c>
      <c r="K1312" t="s">
        <v>27250</v>
      </c>
      <c r="L1312" t="s">
        <v>27251</v>
      </c>
      <c r="M1312" t="s">
        <v>27252</v>
      </c>
      <c r="N1312">
        <f>-601.277953704177 -4.45594102189644 -767.05291741126</f>
        <v>-1372.7868121373335</v>
      </c>
      <c r="O1312">
        <f>-631.819294196352 -140.109609731337 -719.207685949334</f>
        <v>-1491.1365898770227</v>
      </c>
      <c r="P1312">
        <f>-635.542169235203 -115.293685691573 -403.681881036638</f>
        <v>-1154.517735963414</v>
      </c>
      <c r="Q1312">
        <f>-389.073970350477 -46.906871558436 -450.785177445941</f>
        <v>-886.76601935485405</v>
      </c>
      <c r="R1312" t="s">
        <v>27253</v>
      </c>
      <c r="S1312" t="s">
        <v>27254</v>
      </c>
      <c r="T1312" t="s">
        <v>27255</v>
      </c>
      <c r="U1312" t="s">
        <v>27256</v>
      </c>
      <c r="V1312">
        <f>-615.749473949714 -11.4703077090536 -235.737616860916</f>
        <v>-862.95739851968358</v>
      </c>
      <c r="W1312" t="s">
        <v>27257</v>
      </c>
      <c r="X1312" t="s">
        <v>27258</v>
      </c>
      <c r="Y1312" t="s">
        <v>27259</v>
      </c>
    </row>
    <row r="1313" spans="1:25" x14ac:dyDescent="0.3">
      <c r="A1313">
        <v>65600</v>
      </c>
      <c r="B1313" t="s">
        <v>27260</v>
      </c>
      <c r="C1313" t="s">
        <v>27261</v>
      </c>
      <c r="D1313" t="s">
        <v>27262</v>
      </c>
      <c r="E1313" t="s">
        <v>27263</v>
      </c>
      <c r="F1313" t="s">
        <v>27264</v>
      </c>
      <c r="G1313" t="s">
        <v>27265</v>
      </c>
      <c r="H1313" t="s">
        <v>27266</v>
      </c>
      <c r="I1313">
        <f>-538.749271462931 -9.30452468509596 -926.662289876028</f>
        <v>-1474.7160860240551</v>
      </c>
      <c r="J1313" t="s">
        <v>27267</v>
      </c>
      <c r="K1313" t="s">
        <v>27268</v>
      </c>
      <c r="L1313" t="s">
        <v>27269</v>
      </c>
      <c r="M1313" t="s">
        <v>27270</v>
      </c>
      <c r="N1313">
        <f>-600.774943363562 -4.38890677256135 -767.106585379965</f>
        <v>-1372.2704355160884</v>
      </c>
      <c r="O1313">
        <f>-631.280539052181 -140.076813329945 -719.33507580403</f>
        <v>-1490.6924281861561</v>
      </c>
      <c r="P1313">
        <f>-635.189740999089 -115.428111581447 -403.798555721177</f>
        <v>-1154.4164083017131</v>
      </c>
      <c r="Q1313">
        <f>-388.627263891629 -47.0392725088579 -450.402786952929</f>
        <v>-886.06932335341594</v>
      </c>
      <c r="R1313" t="s">
        <v>27271</v>
      </c>
      <c r="S1313" t="s">
        <v>27272</v>
      </c>
      <c r="T1313" t="s">
        <v>27273</v>
      </c>
      <c r="U1313" t="s">
        <v>27274</v>
      </c>
      <c r="V1313">
        <f>-615.440851005102 -11.5494856052285 -235.730095729085</f>
        <v>-862.72043233941554</v>
      </c>
      <c r="W1313" t="s">
        <v>27275</v>
      </c>
      <c r="X1313" t="s">
        <v>27276</v>
      </c>
      <c r="Y1313" t="s">
        <v>27277</v>
      </c>
    </row>
    <row r="1314" spans="1:25" x14ac:dyDescent="0.3">
      <c r="A1314">
        <v>65650</v>
      </c>
      <c r="B1314" t="s">
        <v>27278</v>
      </c>
      <c r="C1314" t="s">
        <v>27279</v>
      </c>
      <c r="D1314" t="s">
        <v>27280</v>
      </c>
      <c r="E1314" t="s">
        <v>27281</v>
      </c>
      <c r="F1314" t="s">
        <v>27282</v>
      </c>
      <c r="G1314" t="s">
        <v>27283</v>
      </c>
      <c r="H1314" t="s">
        <v>27284</v>
      </c>
      <c r="I1314">
        <f>-537.709270132599 -9.00183754577511 -926.701376476856</f>
        <v>-1473.4124841552302</v>
      </c>
      <c r="J1314" t="s">
        <v>27285</v>
      </c>
      <c r="K1314" t="s">
        <v>27286</v>
      </c>
      <c r="L1314" t="s">
        <v>27287</v>
      </c>
      <c r="M1314" t="s">
        <v>27288</v>
      </c>
      <c r="N1314">
        <f>-599.879300863131 -4.3518706291368 -767.183015062216</f>
        <v>-1371.4141865544839</v>
      </c>
      <c r="O1314">
        <f>-630.338841997631 -140.108625508932 -719.568070252869</f>
        <v>-1490.0155377594319</v>
      </c>
      <c r="P1314">
        <f>-634.935942802537 -115.60635861539 -404.029229981056</f>
        <v>-1154.5715313989831</v>
      </c>
      <c r="Q1314">
        <f>-388.266524518835 -47.1314740901607 -449.936390354503</f>
        <v>-885.33438896349867</v>
      </c>
      <c r="R1314" t="s">
        <v>27289</v>
      </c>
      <c r="S1314" t="s">
        <v>27290</v>
      </c>
      <c r="T1314" t="s">
        <v>27291</v>
      </c>
      <c r="U1314" t="s">
        <v>27292</v>
      </c>
      <c r="V1314">
        <f>-614.914043324236 -11.6969773073015 -235.698229894571</f>
        <v>-862.30925052610849</v>
      </c>
      <c r="W1314" t="s">
        <v>27293</v>
      </c>
      <c r="X1314" t="s">
        <v>27294</v>
      </c>
      <c r="Y1314" t="s">
        <v>27295</v>
      </c>
    </row>
    <row r="1315" spans="1:25" x14ac:dyDescent="0.3">
      <c r="A1315">
        <v>65700</v>
      </c>
      <c r="B1315" t="s">
        <v>27296</v>
      </c>
      <c r="C1315" t="s">
        <v>27297</v>
      </c>
      <c r="D1315" t="s">
        <v>27298</v>
      </c>
      <c r="E1315" t="s">
        <v>27299</v>
      </c>
      <c r="F1315" t="s">
        <v>27300</v>
      </c>
      <c r="G1315" t="s">
        <v>27301</v>
      </c>
      <c r="H1315" t="s">
        <v>27302</v>
      </c>
      <c r="I1315">
        <f>-537.126672609961 -8.72789403512974 -926.736729762462</f>
        <v>-1472.5912964075528</v>
      </c>
      <c r="J1315" t="s">
        <v>27303</v>
      </c>
      <c r="K1315" t="s">
        <v>27304</v>
      </c>
      <c r="L1315" t="s">
        <v>27305</v>
      </c>
      <c r="M1315" t="s">
        <v>27306</v>
      </c>
      <c r="N1315">
        <f>-599.369998136622 -4.19075625499676 -767.243720308753</f>
        <v>-1370.8044747003719</v>
      </c>
      <c r="O1315">
        <f>-629.812805827176 -139.980846998741 -719.705153992084</f>
        <v>-1489.498806818001</v>
      </c>
      <c r="P1315">
        <f>-634.671413139315 -115.460405189595 -404.171792739006</f>
        <v>-1154.3036110679159</v>
      </c>
      <c r="Q1315">
        <f>-387.99946381091 -46.887388968307 -449.918080955112</f>
        <v>-884.80493373432898</v>
      </c>
      <c r="R1315" t="s">
        <v>27307</v>
      </c>
      <c r="S1315" t="s">
        <v>27308</v>
      </c>
      <c r="T1315" t="s">
        <v>27309</v>
      </c>
      <c r="U1315" t="s">
        <v>27310</v>
      </c>
      <c r="V1315">
        <f>-614.623286424845 -11.7229471284109 -235.699997177039</f>
        <v>-862.04623073029484</v>
      </c>
      <c r="W1315" t="s">
        <v>27311</v>
      </c>
      <c r="X1315" t="s">
        <v>27312</v>
      </c>
      <c r="Y1315" t="s">
        <v>27313</v>
      </c>
    </row>
    <row r="1316" spans="1:25" x14ac:dyDescent="0.3">
      <c r="A1316">
        <v>65750</v>
      </c>
      <c r="B1316" t="s">
        <v>27314</v>
      </c>
      <c r="C1316" t="s">
        <v>27315</v>
      </c>
      <c r="D1316" t="s">
        <v>27316</v>
      </c>
      <c r="E1316" t="s">
        <v>27317</v>
      </c>
      <c r="F1316" t="s">
        <v>27318</v>
      </c>
      <c r="G1316" t="s">
        <v>27319</v>
      </c>
      <c r="H1316" t="s">
        <v>27320</v>
      </c>
      <c r="I1316">
        <f>-536.137162000988 -8.44256101941679 -926.779859679013</f>
        <v>-1471.3595826994178</v>
      </c>
      <c r="J1316" t="s">
        <v>27321</v>
      </c>
      <c r="K1316" t="s">
        <v>27322</v>
      </c>
      <c r="L1316" t="s">
        <v>27323</v>
      </c>
      <c r="M1316" t="s">
        <v>27324</v>
      </c>
      <c r="N1316">
        <f>-598.521392735581 -4.06927485990281 -767.343660132097</f>
        <v>-1369.9343277275809</v>
      </c>
      <c r="O1316">
        <f>-628.978894782287 -139.900041980852 -719.952648372008</f>
        <v>-1488.8315851351467</v>
      </c>
      <c r="P1316">
        <f>-634.113407826921 -115.499170601291 -404.414302542711</f>
        <v>-1154.026880970923</v>
      </c>
      <c r="Q1316">
        <f>-387.418292061985 -46.820229431145 -449.875638578111</f>
        <v>-884.11416007124103</v>
      </c>
      <c r="R1316" t="s">
        <v>27325</v>
      </c>
      <c r="S1316" t="s">
        <v>27326</v>
      </c>
      <c r="T1316" t="s">
        <v>27327</v>
      </c>
      <c r="U1316" t="s">
        <v>27328</v>
      </c>
      <c r="V1316">
        <f>-614.158996951226 -11.764614219841 -235.7051845613</f>
        <v>-861.62879573236694</v>
      </c>
      <c r="W1316" t="s">
        <v>27329</v>
      </c>
      <c r="X1316" t="s">
        <v>27330</v>
      </c>
      <c r="Y1316" t="s">
        <v>27331</v>
      </c>
    </row>
    <row r="1317" spans="1:25" x14ac:dyDescent="0.3">
      <c r="A1317">
        <v>65800</v>
      </c>
      <c r="B1317" t="s">
        <v>27332</v>
      </c>
      <c r="C1317" t="s">
        <v>27333</v>
      </c>
      <c r="D1317" t="s">
        <v>27334</v>
      </c>
      <c r="E1317" t="s">
        <v>27335</v>
      </c>
      <c r="F1317" t="s">
        <v>27336</v>
      </c>
      <c r="G1317" t="s">
        <v>27337</v>
      </c>
      <c r="H1317" t="s">
        <v>27338</v>
      </c>
      <c r="I1317">
        <f>-535.655116022423 -8.35846588931864 -926.766500681905</f>
        <v>-1470.7800825936465</v>
      </c>
      <c r="J1317" t="s">
        <v>27339</v>
      </c>
      <c r="K1317" t="s">
        <v>27340</v>
      </c>
      <c r="L1317" t="s">
        <v>27341</v>
      </c>
      <c r="M1317" t="s">
        <v>27342</v>
      </c>
      <c r="N1317">
        <f>-598.100174379065 -4.03119277421375 -767.35429878564</f>
        <v>-1369.4856659389188</v>
      </c>
      <c r="O1317">
        <f>-628.584240693299 -139.872156379714 -720.012326341847</f>
        <v>-1488.4687234148601</v>
      </c>
      <c r="P1317">
        <f>-633.814400367362 -115.557051076937 -404.468911186602</f>
        <v>-1153.8403626309009</v>
      </c>
      <c r="Q1317">
        <f>-387.06195247347 -46.992193628505 -449.791889528394</f>
        <v>-883.84603563036899</v>
      </c>
      <c r="R1317" t="s">
        <v>27343</v>
      </c>
      <c r="S1317" t="s">
        <v>27344</v>
      </c>
      <c r="T1317" t="s">
        <v>27345</v>
      </c>
      <c r="U1317" t="s">
        <v>27346</v>
      </c>
      <c r="V1317">
        <f>-613.944048739621 -11.8195210302564 -235.694188535347</f>
        <v>-861.45775830522439</v>
      </c>
      <c r="W1317" t="s">
        <v>27347</v>
      </c>
      <c r="X1317" t="s">
        <v>27348</v>
      </c>
      <c r="Y1317" t="s">
        <v>27349</v>
      </c>
    </row>
    <row r="1318" spans="1:25" x14ac:dyDescent="0.3">
      <c r="A1318">
        <v>65850</v>
      </c>
      <c r="B1318" t="s">
        <v>27350</v>
      </c>
      <c r="C1318" t="s">
        <v>27351</v>
      </c>
      <c r="D1318" t="s">
        <v>27352</v>
      </c>
      <c r="E1318" t="s">
        <v>27353</v>
      </c>
      <c r="F1318" t="s">
        <v>27354</v>
      </c>
      <c r="G1318" t="s">
        <v>27355</v>
      </c>
      <c r="H1318" t="s">
        <v>27356</v>
      </c>
      <c r="I1318">
        <f>-534.97421949975 -8.29725641096842 -926.729719123618</f>
        <v>-1470.0011950343364</v>
      </c>
      <c r="J1318" t="s">
        <v>27357</v>
      </c>
      <c r="K1318" t="s">
        <v>27358</v>
      </c>
      <c r="L1318" t="s">
        <v>27359</v>
      </c>
      <c r="M1318" t="s">
        <v>27360</v>
      </c>
      <c r="N1318">
        <f>-597.551433631277 -4.067639619881 -767.36855142123</f>
        <v>-1368.9876246723879</v>
      </c>
      <c r="O1318">
        <f>-628.040643909872 -139.939576194665 -720.113857912819</f>
        <v>-1488.094078017356</v>
      </c>
      <c r="P1318">
        <f>-633.451575378347 -115.778902247427 -404.561577944562</f>
        <v>-1153.7920555703361</v>
      </c>
      <c r="Q1318">
        <f>-386.612048677768 -47.513281127404 -449.861844661768</f>
        <v>-883.9871744669399</v>
      </c>
      <c r="R1318" t="s">
        <v>27361</v>
      </c>
      <c r="S1318" t="s">
        <v>27362</v>
      </c>
      <c r="T1318" t="s">
        <v>27363</v>
      </c>
      <c r="U1318" t="s">
        <v>27364</v>
      </c>
      <c r="V1318">
        <f>-613.587465378954 -12.0390545436384 -235.662374445246</f>
        <v>-861.28889436783834</v>
      </c>
      <c r="W1318" t="s">
        <v>27365</v>
      </c>
      <c r="X1318" t="s">
        <v>27366</v>
      </c>
      <c r="Y1318" t="s">
        <v>27367</v>
      </c>
    </row>
    <row r="1319" spans="1:25" x14ac:dyDescent="0.3">
      <c r="A1319">
        <v>65900</v>
      </c>
      <c r="B1319" t="s">
        <v>27368</v>
      </c>
      <c r="C1319" t="s">
        <v>27369</v>
      </c>
      <c r="D1319" t="s">
        <v>27370</v>
      </c>
      <c r="E1319" t="s">
        <v>27371</v>
      </c>
      <c r="F1319" t="s">
        <v>27372</v>
      </c>
      <c r="G1319" t="s">
        <v>27373</v>
      </c>
      <c r="H1319" t="s">
        <v>27374</v>
      </c>
      <c r="I1319">
        <f>-534.479231798362 -8.2708457291931 -926.698909681286</f>
        <v>-1469.4489872088411</v>
      </c>
      <c r="J1319" t="s">
        <v>27375</v>
      </c>
      <c r="K1319" t="s">
        <v>27376</v>
      </c>
      <c r="L1319" t="s">
        <v>27377</v>
      </c>
      <c r="M1319" t="s">
        <v>27378</v>
      </c>
      <c r="N1319">
        <f>-597.128078897402 -4.07075292479235 -767.367018388106</f>
        <v>-1368.5658502103004</v>
      </c>
      <c r="O1319">
        <f>-627.598791090531 -139.958941208383 -720.136522015735</f>
        <v>-1487.694254314649</v>
      </c>
      <c r="P1319">
        <f>-633.141136082175 -115.773403124123 -404.588565440524</f>
        <v>-1153.5031046468221</v>
      </c>
      <c r="Q1319">
        <f>-386.291742501348 -47.6309170486308 -450.020448026572</f>
        <v>-883.9431075765508</v>
      </c>
      <c r="R1319" t="s">
        <v>27379</v>
      </c>
      <c r="S1319" t="s">
        <v>27380</v>
      </c>
      <c r="T1319" t="s">
        <v>27381</v>
      </c>
      <c r="U1319" t="s">
        <v>27382</v>
      </c>
      <c r="V1319">
        <f>-613.384195664926 -11.9414141738806 -235.654938719157</f>
        <v>-860.98054855796363</v>
      </c>
      <c r="W1319" t="s">
        <v>27383</v>
      </c>
      <c r="X1319" t="s">
        <v>27384</v>
      </c>
      <c r="Y1319" t="s">
        <v>27385</v>
      </c>
    </row>
    <row r="1320" spans="1:25" x14ac:dyDescent="0.3">
      <c r="A1320">
        <v>65950</v>
      </c>
      <c r="B1320" t="s">
        <v>27386</v>
      </c>
      <c r="C1320" t="s">
        <v>27387</v>
      </c>
      <c r="D1320" t="s">
        <v>27388</v>
      </c>
      <c r="E1320" t="s">
        <v>27389</v>
      </c>
      <c r="F1320" t="s">
        <v>27390</v>
      </c>
      <c r="G1320" t="s">
        <v>27391</v>
      </c>
      <c r="H1320" t="s">
        <v>27392</v>
      </c>
      <c r="I1320">
        <f>-533.907161296987 -8.2962443809248 -926.699341125684</f>
        <v>-1468.9027468035958</v>
      </c>
      <c r="J1320" t="s">
        <v>27393</v>
      </c>
      <c r="K1320" t="s">
        <v>27394</v>
      </c>
      <c r="L1320" t="s">
        <v>27395</v>
      </c>
      <c r="M1320" t="s">
        <v>27396</v>
      </c>
      <c r="N1320">
        <f>-596.655555376916 -4.15312058536662 -767.40839860969</f>
        <v>-1368.2170745719727</v>
      </c>
      <c r="O1320">
        <f>-627.122967562754 -140.055058544684 -720.218123851444</f>
        <v>-1487.396149958882</v>
      </c>
      <c r="P1320">
        <f>-632.915740219003 -115.970228031715 -404.666899994314</f>
        <v>-1153.5528682450322</v>
      </c>
      <c r="Q1320">
        <f>-386.09202306382 -47.8718099170603 -450.303662288355</f>
        <v>-884.26749526923527</v>
      </c>
      <c r="R1320" t="s">
        <v>27397</v>
      </c>
      <c r="S1320" t="s">
        <v>27398</v>
      </c>
      <c r="T1320" t="s">
        <v>27399</v>
      </c>
      <c r="U1320" t="s">
        <v>27400</v>
      </c>
      <c r="V1320">
        <f>-613.06084496594 -11.9553778894661 -235.637122845949</f>
        <v>-860.65334570135508</v>
      </c>
      <c r="W1320" t="s">
        <v>27401</v>
      </c>
      <c r="X1320" t="s">
        <v>27402</v>
      </c>
      <c r="Y1320" t="s">
        <v>27403</v>
      </c>
    </row>
    <row r="1321" spans="1:25" x14ac:dyDescent="0.3">
      <c r="A1321">
        <v>66000</v>
      </c>
      <c r="B1321" t="s">
        <v>27404</v>
      </c>
      <c r="C1321" t="s">
        <v>27405</v>
      </c>
      <c r="D1321" t="s">
        <v>27406</v>
      </c>
      <c r="E1321" t="s">
        <v>27407</v>
      </c>
      <c r="F1321" t="s">
        <v>27408</v>
      </c>
      <c r="G1321" t="s">
        <v>27409</v>
      </c>
      <c r="H1321" t="s">
        <v>27410</v>
      </c>
      <c r="I1321">
        <f>-533.749043615615 -8.2187914074059 -926.723495766078</f>
        <v>-1468.6913307890991</v>
      </c>
      <c r="J1321" t="s">
        <v>27411</v>
      </c>
      <c r="K1321" t="s">
        <v>27412</v>
      </c>
      <c r="L1321" t="s">
        <v>27413</v>
      </c>
      <c r="M1321" t="s">
        <v>27414</v>
      </c>
      <c r="N1321">
        <f>-596.508079064035 -4.09779374357677 -767.437994686874</f>
        <v>-1368.0438674944858</v>
      </c>
      <c r="O1321">
        <f>-627.037462016601 -139.97470792053 -720.227349503703</f>
        <v>-1487.2395194408341</v>
      </c>
      <c r="P1321">
        <f>-632.738692350616 -115.875663864979 -404.675517186719</f>
        <v>-1153.289873402314</v>
      </c>
      <c r="Q1321">
        <f>-385.803129433157 -48.11640561019 -450.211995798742</f>
        <v>-884.13153084208898</v>
      </c>
      <c r="R1321" t="s">
        <v>27415</v>
      </c>
      <c r="S1321" t="s">
        <v>27416</v>
      </c>
      <c r="T1321" t="s">
        <v>27417</v>
      </c>
      <c r="U1321" t="s">
        <v>27418</v>
      </c>
      <c r="V1321">
        <f>-612.945852258413 -11.9237242790596 -235.638003913525</f>
        <v>-860.50758045099758</v>
      </c>
      <c r="W1321" t="s">
        <v>27419</v>
      </c>
      <c r="X1321" t="s">
        <v>27420</v>
      </c>
      <c r="Y1321" t="s">
        <v>27421</v>
      </c>
    </row>
    <row r="1322" spans="1:25" x14ac:dyDescent="0.3">
      <c r="A1322">
        <v>66050</v>
      </c>
      <c r="B1322" t="s">
        <v>27422</v>
      </c>
      <c r="C1322" t="s">
        <v>27423</v>
      </c>
      <c r="D1322" t="s">
        <v>27424</v>
      </c>
      <c r="E1322" t="s">
        <v>27425</v>
      </c>
      <c r="F1322" t="s">
        <v>27426</v>
      </c>
      <c r="G1322" t="s">
        <v>27427</v>
      </c>
      <c r="H1322" t="s">
        <v>27428</v>
      </c>
      <c r="I1322">
        <f>-533.359341385553 -8.38178825609039 -926.663246192275</f>
        <v>-1468.4043758339185</v>
      </c>
      <c r="J1322" t="s">
        <v>27429</v>
      </c>
      <c r="K1322" t="s">
        <v>27430</v>
      </c>
      <c r="L1322" t="s">
        <v>27431</v>
      </c>
      <c r="M1322" t="s">
        <v>27432</v>
      </c>
      <c r="N1322">
        <f>-596.195821118796 -4.21028114274566 -767.412437687954</f>
        <v>-1367.8185399494955</v>
      </c>
      <c r="O1322">
        <f>-626.711069207256 -140.079213155628 -720.160817499004</f>
        <v>-1486.951099861888</v>
      </c>
      <c r="P1322">
        <f>-632.310049916476 -116.070544024329 -404.600332931022</f>
        <v>-1152.980926871827</v>
      </c>
      <c r="Q1322">
        <f>-385.211623118444 -48.9219208199781 -450.157896389414</f>
        <v>-884.29144032783609</v>
      </c>
      <c r="R1322" t="s">
        <v>27433</v>
      </c>
      <c r="S1322" t="s">
        <v>27434</v>
      </c>
      <c r="T1322" t="s">
        <v>27435</v>
      </c>
      <c r="U1322" t="s">
        <v>27436</v>
      </c>
      <c r="V1322">
        <f>-612.823421815923 -11.9241403548139 -235.623394790238</f>
        <v>-860.37095696097481</v>
      </c>
      <c r="W1322" t="s">
        <v>27437</v>
      </c>
      <c r="X1322" t="s">
        <v>27438</v>
      </c>
      <c r="Y1322" t="s">
        <v>27439</v>
      </c>
    </row>
    <row r="1323" spans="1:25" x14ac:dyDescent="0.3">
      <c r="A1323">
        <v>66100</v>
      </c>
      <c r="B1323" t="s">
        <v>27440</v>
      </c>
      <c r="C1323" t="s">
        <v>27441</v>
      </c>
      <c r="D1323" t="s">
        <v>27442</v>
      </c>
      <c r="E1323" t="s">
        <v>27443</v>
      </c>
      <c r="F1323" t="s">
        <v>27444</v>
      </c>
      <c r="G1323" t="s">
        <v>27445</v>
      </c>
      <c r="H1323" t="s">
        <v>27446</v>
      </c>
      <c r="I1323">
        <f>-533.35162417714 -8.70597409082575 -926.635686230357</f>
        <v>-1468.6932844983228</v>
      </c>
      <c r="J1323" t="s">
        <v>27447</v>
      </c>
      <c r="K1323" t="s">
        <v>27448</v>
      </c>
      <c r="L1323" t="s">
        <v>27449</v>
      </c>
      <c r="M1323" t="s">
        <v>27450</v>
      </c>
      <c r="N1323">
        <f>-596.218053627578 -4.43269712653245 -767.400366468539</f>
        <v>-1368.0511172226495</v>
      </c>
      <c r="O1323">
        <f>-626.759952152251 -140.261733918604 -720.080245347483</f>
        <v>-1487.1019314183382</v>
      </c>
      <c r="P1323">
        <f>-632.307617640012 -116.604200895114 -404.492455418798</f>
        <v>-1153.4042739539241</v>
      </c>
      <c r="Q1323">
        <f>-385.415266081707 -49.0665368264468 -450.588690731057</f>
        <v>-885.07049363921078</v>
      </c>
      <c r="R1323" t="s">
        <v>27451</v>
      </c>
      <c r="S1323" t="s">
        <v>27452</v>
      </c>
      <c r="T1323" t="s">
        <v>27453</v>
      </c>
      <c r="U1323" t="s">
        <v>27454</v>
      </c>
      <c r="V1323">
        <f>-612.852521092717 -11.9665854623221 -235.632582477297</f>
        <v>-860.45168903233605</v>
      </c>
      <c r="W1323" t="s">
        <v>27455</v>
      </c>
      <c r="X1323" t="s">
        <v>27456</v>
      </c>
      <c r="Y1323" t="s">
        <v>27457</v>
      </c>
    </row>
    <row r="1324" spans="1:25" x14ac:dyDescent="0.3">
      <c r="A1324">
        <v>66150</v>
      </c>
      <c r="B1324" t="s">
        <v>27458</v>
      </c>
      <c r="C1324" t="s">
        <v>27459</v>
      </c>
      <c r="D1324" t="s">
        <v>27460</v>
      </c>
      <c r="E1324" t="s">
        <v>27461</v>
      </c>
      <c r="F1324" t="s">
        <v>27462</v>
      </c>
      <c r="G1324" t="s">
        <v>27463</v>
      </c>
      <c r="H1324" t="s">
        <v>27464</v>
      </c>
      <c r="I1324">
        <f>-533.475164655697 -9.48645407445418 -926.655934855402</f>
        <v>-1469.6175535855532</v>
      </c>
      <c r="J1324" t="s">
        <v>27465</v>
      </c>
      <c r="K1324" t="s">
        <v>27466</v>
      </c>
      <c r="L1324" t="s">
        <v>27467</v>
      </c>
      <c r="M1324" t="s">
        <v>27468</v>
      </c>
      <c r="N1324">
        <f>-596.289058167246 -4.93178879544429 -767.417224204283</f>
        <v>-1368.6380711669733</v>
      </c>
      <c r="O1324">
        <f>-626.933958039595 -140.700826170087 -719.961913396917</f>
        <v>-1487.596697606599</v>
      </c>
      <c r="P1324">
        <f>-632.066097840718 -117.181074480884 -404.356689028058</f>
        <v>-1153.6038613496601</v>
      </c>
      <c r="Q1324">
        <f>-385.321514971038 -49.4039864134139 -450.890769990777</f>
        <v>-885.61627137522896</v>
      </c>
      <c r="R1324" t="s">
        <v>27469</v>
      </c>
      <c r="S1324" t="s">
        <v>27470</v>
      </c>
      <c r="T1324" t="s">
        <v>27471</v>
      </c>
      <c r="U1324" t="s">
        <v>27472</v>
      </c>
      <c r="V1324">
        <f>-612.850189351023 -11.9070989225468 -235.658674564745</f>
        <v>-860.41596283831473</v>
      </c>
      <c r="W1324" t="s">
        <v>27473</v>
      </c>
      <c r="X1324" t="s">
        <v>27474</v>
      </c>
      <c r="Y1324" t="s">
        <v>27475</v>
      </c>
    </row>
    <row r="1325" spans="1:25" x14ac:dyDescent="0.3">
      <c r="A1325">
        <v>66200</v>
      </c>
      <c r="B1325" t="s">
        <v>27476</v>
      </c>
      <c r="C1325" t="s">
        <v>27477</v>
      </c>
      <c r="D1325" t="s">
        <v>27478</v>
      </c>
      <c r="E1325" t="s">
        <v>27479</v>
      </c>
      <c r="F1325" t="s">
        <v>27480</v>
      </c>
      <c r="G1325" t="s">
        <v>27481</v>
      </c>
      <c r="H1325" t="s">
        <v>27482</v>
      </c>
      <c r="I1325">
        <f>-533.805606769198 -9.76646364325931 -926.690945904142</f>
        <v>-1470.2630163165993</v>
      </c>
      <c r="J1325" t="s">
        <v>27483</v>
      </c>
      <c r="K1325" t="s">
        <v>27484</v>
      </c>
      <c r="L1325" t="s">
        <v>27485</v>
      </c>
      <c r="M1325" t="s">
        <v>27486</v>
      </c>
      <c r="N1325">
        <f>-596.532875423111 -5.05612401350113 -767.429494654109</f>
        <v>-1369.0184940907211</v>
      </c>
      <c r="O1325">
        <f>-627.190524488909 -140.79404205092 -719.874431680828</f>
        <v>-1487.858998220657</v>
      </c>
      <c r="P1325">
        <f>-632.032733552124 -116.586066625389 -404.316665704894</f>
        <v>-1152.935465882407</v>
      </c>
      <c r="Q1325">
        <f>-384.990090456532 -49.1035204713321 -449.682864804321</f>
        <v>-883.77647573218519</v>
      </c>
      <c r="R1325" t="s">
        <v>27487</v>
      </c>
      <c r="S1325" t="s">
        <v>27488</v>
      </c>
      <c r="T1325" t="s">
        <v>27489</v>
      </c>
      <c r="U1325" t="s">
        <v>27490</v>
      </c>
      <c r="V1325">
        <f>-612.821665659361 -11.8099301448334 -235.674933469718</f>
        <v>-860.30652927391236</v>
      </c>
      <c r="W1325" t="s">
        <v>27491</v>
      </c>
      <c r="X1325" t="s">
        <v>27492</v>
      </c>
      <c r="Y1325" t="s">
        <v>27493</v>
      </c>
    </row>
    <row r="1326" spans="1:25" x14ac:dyDescent="0.3">
      <c r="A1326">
        <v>66250</v>
      </c>
      <c r="B1326" t="s">
        <v>27494</v>
      </c>
      <c r="C1326" t="s">
        <v>27495</v>
      </c>
      <c r="D1326" t="s">
        <v>27496</v>
      </c>
      <c r="E1326" t="s">
        <v>27497</v>
      </c>
      <c r="F1326" t="s">
        <v>27498</v>
      </c>
      <c r="G1326" t="s">
        <v>27499</v>
      </c>
      <c r="H1326" t="s">
        <v>27500</v>
      </c>
      <c r="I1326">
        <f>-534.364993260316 -11.0880852195803 -926.60284805128</f>
        <v>-1472.0559265311763</v>
      </c>
      <c r="J1326" t="s">
        <v>27501</v>
      </c>
      <c r="K1326" t="s">
        <v>27502</v>
      </c>
      <c r="L1326" t="s">
        <v>27503</v>
      </c>
      <c r="M1326" t="s">
        <v>27504</v>
      </c>
      <c r="N1326">
        <f>-596.873033103024 -5.90687978126308 -767.267694391607</f>
        <v>-1370.0476072758943</v>
      </c>
      <c r="O1326">
        <f>-627.512370725203 -141.511211162304 -719.358785977162</f>
        <v>-1488.382367864669</v>
      </c>
      <c r="P1326">
        <f>-632.656100862226 -115.986664171452 -403.909617509124</f>
        <v>-1152.5523825428022</v>
      </c>
      <c r="Q1326">
        <f>-385.322160000817 -48.6480765621992 -447.88106303577</f>
        <v>-881.85129959878623</v>
      </c>
      <c r="R1326" t="s">
        <v>27505</v>
      </c>
      <c r="S1326" t="s">
        <v>27506</v>
      </c>
      <c r="T1326" t="s">
        <v>27507</v>
      </c>
      <c r="U1326" t="s">
        <v>27508</v>
      </c>
      <c r="V1326">
        <f>-612.828022691094 -11.8130180800609 -235.65533133285</f>
        <v>-860.29637210400494</v>
      </c>
      <c r="W1326" t="s">
        <v>27509</v>
      </c>
      <c r="X1326" t="s">
        <v>27510</v>
      </c>
      <c r="Y1326" t="s">
        <v>27511</v>
      </c>
    </row>
    <row r="1327" spans="1:25" x14ac:dyDescent="0.3">
      <c r="A1327">
        <v>66300</v>
      </c>
      <c r="B1327" t="s">
        <v>27512</v>
      </c>
      <c r="C1327" t="s">
        <v>27513</v>
      </c>
      <c r="D1327" t="s">
        <v>27514</v>
      </c>
      <c r="E1327" t="s">
        <v>27515</v>
      </c>
      <c r="F1327" t="s">
        <v>27516</v>
      </c>
      <c r="G1327" t="s">
        <v>27517</v>
      </c>
      <c r="H1327" t="s">
        <v>27518</v>
      </c>
      <c r="I1327">
        <f>-534.650156023216 -11.5767122577771 -926.561528489373</f>
        <v>-1472.788396770366</v>
      </c>
      <c r="J1327" t="s">
        <v>27519</v>
      </c>
      <c r="K1327" t="s">
        <v>27520</v>
      </c>
      <c r="L1327" t="s">
        <v>27521</v>
      </c>
      <c r="M1327" t="s">
        <v>27522</v>
      </c>
      <c r="N1327">
        <f>-597.058413475456 -6.1804551772226 -767.200289728434</f>
        <v>-1370.4391583811125</v>
      </c>
      <c r="O1327">
        <f>-627.728604026085 -141.747420330738 -719.156693972257</f>
        <v>-1488.63271832908</v>
      </c>
      <c r="P1327">
        <f>-632.874030522297 -115.638888033756 -403.755322417564</f>
        <v>-1152.2682409736169</v>
      </c>
      <c r="Q1327">
        <f>-385.377565266292 -48.3970068273738 -446.953624867676</f>
        <v>-880.72819696134184</v>
      </c>
      <c r="R1327" t="s">
        <v>27523</v>
      </c>
      <c r="S1327" t="s">
        <v>27524</v>
      </c>
      <c r="T1327" t="s">
        <v>27525</v>
      </c>
      <c r="U1327" t="s">
        <v>27526</v>
      </c>
      <c r="V1327">
        <f>-612.78906552463 -11.8004801538979 -235.639465674929</f>
        <v>-860.22901135345683</v>
      </c>
      <c r="W1327" t="s">
        <v>27527</v>
      </c>
      <c r="X1327" t="s">
        <v>27528</v>
      </c>
      <c r="Y1327" t="s">
        <v>27529</v>
      </c>
    </row>
    <row r="1328" spans="1:25" x14ac:dyDescent="0.3">
      <c r="A1328">
        <v>66350</v>
      </c>
      <c r="B1328" t="s">
        <v>27530</v>
      </c>
      <c r="C1328" t="s">
        <v>27531</v>
      </c>
      <c r="D1328" t="s">
        <v>27532</v>
      </c>
      <c r="E1328" t="s">
        <v>27533</v>
      </c>
      <c r="F1328" t="s">
        <v>27534</v>
      </c>
      <c r="G1328" t="s">
        <v>27535</v>
      </c>
      <c r="H1328" t="s">
        <v>27536</v>
      </c>
      <c r="I1328">
        <f>-535.200564969665 -12.4097865565711 -926.442418720719</f>
        <v>-1474.0527702469553</v>
      </c>
      <c r="J1328" t="s">
        <v>27537</v>
      </c>
      <c r="K1328" t="s">
        <v>27538</v>
      </c>
      <c r="L1328" t="s">
        <v>27539</v>
      </c>
      <c r="M1328" t="s">
        <v>27540</v>
      </c>
      <c r="N1328">
        <f>-597.456866525912 -6.60895825495947 -767.047982412473</f>
        <v>-1371.1138071933444</v>
      </c>
      <c r="O1328">
        <f>-628.326684799323 -142.034867238952 -718.768954821512</f>
        <v>-1489.1305068597869</v>
      </c>
      <c r="P1328">
        <f>-633.534075530745 -115.357103744546 -403.416212982156</f>
        <v>-1152.307392257447</v>
      </c>
      <c r="Q1328">
        <f>-385.933887009025 -48.2575354218791 -446.240058175495</f>
        <v>-880.43148060639908</v>
      </c>
      <c r="R1328" t="s">
        <v>27541</v>
      </c>
      <c r="S1328" t="s">
        <v>27542</v>
      </c>
      <c r="T1328" t="s">
        <v>27543</v>
      </c>
      <c r="U1328" t="s">
        <v>27544</v>
      </c>
      <c r="V1328">
        <f>-612.768489776216 -11.6960337576424 -235.58304891338</f>
        <v>-860.04757244723851</v>
      </c>
      <c r="W1328" t="s">
        <v>27545</v>
      </c>
      <c r="X1328" t="s">
        <v>27546</v>
      </c>
      <c r="Y1328" t="s">
        <v>27547</v>
      </c>
    </row>
    <row r="1329" spans="1:25" x14ac:dyDescent="0.3">
      <c r="A1329">
        <v>66400</v>
      </c>
      <c r="B1329" t="s">
        <v>27548</v>
      </c>
      <c r="C1329" t="s">
        <v>27549</v>
      </c>
      <c r="D1329" t="s">
        <v>27550</v>
      </c>
      <c r="E1329" t="s">
        <v>27551</v>
      </c>
      <c r="F1329" t="s">
        <v>27552</v>
      </c>
      <c r="G1329" t="s">
        <v>27553</v>
      </c>
      <c r="H1329" t="s">
        <v>27554</v>
      </c>
      <c r="I1329">
        <f>-535.78671794227 -12.7074869671863 -926.469162356235</f>
        <v>-1474.9633672656914</v>
      </c>
      <c r="J1329" t="s">
        <v>27555</v>
      </c>
      <c r="K1329" t="s">
        <v>27556</v>
      </c>
      <c r="L1329" t="s">
        <v>27557</v>
      </c>
      <c r="M1329" t="s">
        <v>27558</v>
      </c>
      <c r="N1329">
        <f>-597.886975998657 -6.74864328892026 -767.038462526269</f>
        <v>-1371.6740818138462</v>
      </c>
      <c r="O1329">
        <f>-628.876189374197 -142.112700831815 -718.660371970251</f>
        <v>-1489.6492621762632</v>
      </c>
      <c r="P1329">
        <f>-633.723562870498 -114.934305543775 -403.34452748661</f>
        <v>-1152.0023959008831</v>
      </c>
      <c r="Q1329">
        <f>-386.000597646776 -48.309935270844 -446.199915778041</f>
        <v>-880.5104486956609</v>
      </c>
      <c r="R1329" t="s">
        <v>27559</v>
      </c>
      <c r="S1329" t="s">
        <v>27560</v>
      </c>
      <c r="T1329" t="s">
        <v>27561</v>
      </c>
      <c r="U1329" t="s">
        <v>27562</v>
      </c>
      <c r="V1329">
        <f>-612.678408322307 -11.7893569972479 -235.560154121071</f>
        <v>-860.02791944062585</v>
      </c>
      <c r="W1329" t="s">
        <v>27563</v>
      </c>
      <c r="X1329" t="s">
        <v>27564</v>
      </c>
      <c r="Y1329" t="s">
        <v>27565</v>
      </c>
    </row>
    <row r="1330" spans="1:25" x14ac:dyDescent="0.3">
      <c r="A1330">
        <v>66450</v>
      </c>
      <c r="B1330" t="s">
        <v>27566</v>
      </c>
      <c r="C1330" t="s">
        <v>27567</v>
      </c>
      <c r="D1330" t="s">
        <v>27568</v>
      </c>
      <c r="E1330" t="s">
        <v>27569</v>
      </c>
      <c r="F1330" t="s">
        <v>27570</v>
      </c>
      <c r="G1330" t="s">
        <v>27571</v>
      </c>
      <c r="H1330" t="s">
        <v>27572</v>
      </c>
      <c r="I1330">
        <f>-536.634133360088 -13.5832252188977 -926.468267133785</f>
        <v>-1476.6856257127706</v>
      </c>
      <c r="J1330" t="s">
        <v>27573</v>
      </c>
      <c r="K1330" t="s">
        <v>27574</v>
      </c>
      <c r="L1330" t="s">
        <v>27575</v>
      </c>
      <c r="M1330" t="s">
        <v>27576</v>
      </c>
      <c r="N1330">
        <f>-598.439542755897 -7.25124820102306 -766.943594939262</f>
        <v>-1372.634385896182</v>
      </c>
      <c r="O1330">
        <f>-629.741980823371 -142.485297009894 -718.383136460085</f>
        <v>-1490.61041429335</v>
      </c>
      <c r="P1330">
        <f>-633.723731311039 -115.653692507178 -403.025661040149</f>
        <v>-1152.4030848583661</v>
      </c>
      <c r="Q1330">
        <f>-385.951480765109 -49.929152442654 -446.971431377166</f>
        <v>-882.85206458492905</v>
      </c>
      <c r="R1330" t="s">
        <v>27577</v>
      </c>
      <c r="S1330" t="s">
        <v>27578</v>
      </c>
      <c r="T1330" t="s">
        <v>27579</v>
      </c>
      <c r="U1330" t="s">
        <v>27580</v>
      </c>
      <c r="V1330">
        <f>-612.56846937587 -11.8157839261897 -235.523275100569</f>
        <v>-859.90752840262871</v>
      </c>
      <c r="W1330" t="s">
        <v>27581</v>
      </c>
      <c r="X1330" t="s">
        <v>27582</v>
      </c>
      <c r="Y1330" t="s">
        <v>27583</v>
      </c>
    </row>
    <row r="1331" spans="1:25" x14ac:dyDescent="0.3">
      <c r="A1331">
        <v>66500</v>
      </c>
      <c r="B1331" t="s">
        <v>27584</v>
      </c>
      <c r="C1331" t="s">
        <v>27585</v>
      </c>
      <c r="D1331" t="s">
        <v>27586</v>
      </c>
      <c r="E1331" t="s">
        <v>27587</v>
      </c>
      <c r="F1331" t="s">
        <v>27588</v>
      </c>
      <c r="G1331" t="s">
        <v>27589</v>
      </c>
      <c r="H1331" t="s">
        <v>27590</v>
      </c>
      <c r="I1331">
        <f>-537.165838278158 -13.9712745944782 -926.523053730596</f>
        <v>-1477.6601666032323</v>
      </c>
      <c r="J1331" t="s">
        <v>27591</v>
      </c>
      <c r="K1331" t="s">
        <v>27592</v>
      </c>
      <c r="L1331" t="s">
        <v>27593</v>
      </c>
      <c r="M1331" t="s">
        <v>27594</v>
      </c>
      <c r="N1331">
        <f>-598.771241565073 -7.47473430567457 -766.934857090747</f>
        <v>-1373.1808329614946</v>
      </c>
      <c r="O1331">
        <f>-630.189176766648 -142.662118771596 -718.344744361201</f>
        <v>-1491.1960398994449</v>
      </c>
      <c r="P1331">
        <f>-633.879065997443 -116.38372903542 -402.937044539027</f>
        <v>-1153.1998395718902</v>
      </c>
      <c r="Q1331">
        <f>-386.289264564223 -50.4517312366236 -447.594919939857</f>
        <v>-884.33591574070351</v>
      </c>
      <c r="R1331" t="s">
        <v>27595</v>
      </c>
      <c r="S1331" t="s">
        <v>27596</v>
      </c>
      <c r="T1331" t="s">
        <v>27597</v>
      </c>
      <c r="U1331" t="s">
        <v>27598</v>
      </c>
      <c r="V1331">
        <f>-612.560762335811 -11.9326419715925 -235.512322231578</f>
        <v>-860.00572653898143</v>
      </c>
      <c r="W1331" t="s">
        <v>27599</v>
      </c>
      <c r="X1331" t="s">
        <v>27600</v>
      </c>
      <c r="Y1331" t="s">
        <v>27601</v>
      </c>
    </row>
    <row r="1332" spans="1:25" x14ac:dyDescent="0.3">
      <c r="A1332">
        <v>66550</v>
      </c>
      <c r="B1332" t="s">
        <v>27602</v>
      </c>
      <c r="C1332" t="s">
        <v>27603</v>
      </c>
      <c r="D1332" t="s">
        <v>27604</v>
      </c>
      <c r="E1332" t="s">
        <v>27605</v>
      </c>
      <c r="F1332" t="s">
        <v>27606</v>
      </c>
      <c r="G1332" t="s">
        <v>27607</v>
      </c>
      <c r="H1332" t="s">
        <v>27608</v>
      </c>
      <c r="I1332">
        <f>-538.48244114642 -14.4841925670073 -926.646210287376</f>
        <v>-1479.6128440008033</v>
      </c>
      <c r="J1332" t="s">
        <v>27609</v>
      </c>
      <c r="K1332" t="s">
        <v>27610</v>
      </c>
      <c r="L1332" t="s">
        <v>27611</v>
      </c>
      <c r="M1332" t="s">
        <v>27612</v>
      </c>
      <c r="N1332">
        <f>-599.663722161477 -7.76337530013553 -766.909698627331</f>
        <v>-1374.3367960889436</v>
      </c>
      <c r="O1332">
        <f>-631.243109151608 -142.894824590686 -718.269003213937</f>
        <v>-1492.406936956231</v>
      </c>
      <c r="P1332">
        <f>-633.931639006694 -116.921790559057 -402.825793485752</f>
        <v>-1153.679223051503</v>
      </c>
      <c r="Q1332">
        <f>-386.553096707787 -50.8850306535564 -448.488060815804</f>
        <v>-885.92618817714742</v>
      </c>
      <c r="R1332" t="s">
        <v>27613</v>
      </c>
      <c r="S1332" t="s">
        <v>27614</v>
      </c>
      <c r="T1332" t="s">
        <v>27615</v>
      </c>
      <c r="U1332" t="s">
        <v>27616</v>
      </c>
      <c r="V1332">
        <f>-612.553858741427 -12.0635890329384 -235.475156029128</f>
        <v>-860.09260380349338</v>
      </c>
      <c r="W1332" t="s">
        <v>27617</v>
      </c>
      <c r="X1332" t="s">
        <v>27618</v>
      </c>
      <c r="Y1332" t="s">
        <v>27619</v>
      </c>
    </row>
    <row r="1333" spans="1:25" x14ac:dyDescent="0.3">
      <c r="A1333">
        <v>66600</v>
      </c>
      <c r="B1333" t="s">
        <v>27620</v>
      </c>
      <c r="C1333" t="s">
        <v>27621</v>
      </c>
      <c r="D1333" t="s">
        <v>27622</v>
      </c>
      <c r="E1333" t="s">
        <v>27623</v>
      </c>
      <c r="F1333" t="s">
        <v>27624</v>
      </c>
      <c r="G1333" t="s">
        <v>27625</v>
      </c>
      <c r="H1333" t="s">
        <v>27626</v>
      </c>
      <c r="I1333">
        <f>-539.23751360022 -14.6592374383531 -926.746042430724</f>
        <v>-1480.642793469297</v>
      </c>
      <c r="J1333" t="s">
        <v>27627</v>
      </c>
      <c r="K1333" t="s">
        <v>27628</v>
      </c>
      <c r="L1333" t="s">
        <v>27629</v>
      </c>
      <c r="M1333" t="s">
        <v>27630</v>
      </c>
      <c r="N1333">
        <f>-600.150237460279 -7.85037954019406 -766.912078495534</f>
        <v>-1374.912695496007</v>
      </c>
      <c r="O1333">
        <f>-631.754248743324 -142.949580270233 -718.19775684914</f>
        <v>-1492.9015858626969</v>
      </c>
      <c r="P1333">
        <f>-633.883323286108 -116.434089703691 -402.795524574496</f>
        <v>-1153.112937564295</v>
      </c>
      <c r="Q1333">
        <f>-386.287217069067 -51.2775512722036 -448.543483623594</f>
        <v>-886.10825196486462</v>
      </c>
      <c r="R1333" t="s">
        <v>27631</v>
      </c>
      <c r="S1333" t="s">
        <v>27632</v>
      </c>
      <c r="T1333" t="s">
        <v>27633</v>
      </c>
      <c r="U1333" t="s">
        <v>27634</v>
      </c>
      <c r="V1333">
        <f>-612.50159649122 -12.0900807541189 -235.463567549213</f>
        <v>-860.05524479455175</v>
      </c>
      <c r="W1333" t="s">
        <v>27635</v>
      </c>
      <c r="X1333" t="s">
        <v>27636</v>
      </c>
      <c r="Y1333" t="s">
        <v>27637</v>
      </c>
    </row>
    <row r="1334" spans="1:25" x14ac:dyDescent="0.3">
      <c r="A1334">
        <v>66650</v>
      </c>
      <c r="B1334" t="s">
        <v>27638</v>
      </c>
      <c r="C1334" t="s">
        <v>27639</v>
      </c>
      <c r="D1334" t="s">
        <v>27640</v>
      </c>
      <c r="E1334" t="s">
        <v>27641</v>
      </c>
      <c r="F1334" t="s">
        <v>27642</v>
      </c>
      <c r="G1334" t="s">
        <v>27643</v>
      </c>
      <c r="H1334" t="s">
        <v>27644</v>
      </c>
      <c r="I1334">
        <f>-540.411436959646 -15.1767319420673 -926.850736238584</f>
        <v>-1482.4389051402973</v>
      </c>
      <c r="J1334" t="s">
        <v>27645</v>
      </c>
      <c r="K1334" t="s">
        <v>27646</v>
      </c>
      <c r="L1334" t="s">
        <v>27647</v>
      </c>
      <c r="M1334" t="s">
        <v>27648</v>
      </c>
      <c r="N1334">
        <f>-600.890951780472 -8.2237598757241 -766.839449266736</f>
        <v>-1375.9541609229323</v>
      </c>
      <c r="O1334">
        <f>-632.535587029804 -143.26500342185 -717.973007438114</f>
        <v>-1493.7735978897681</v>
      </c>
      <c r="P1334">
        <f>-634.603233962985 -116.305815348199 -402.607945100837</f>
        <v>-1153.5169944120209</v>
      </c>
      <c r="Q1334">
        <f>-386.94840343941 -51.8711750820196 -449.054848413451</f>
        <v>-887.8744269348806</v>
      </c>
      <c r="R1334" t="s">
        <v>27649</v>
      </c>
      <c r="S1334" t="s">
        <v>27650</v>
      </c>
      <c r="T1334" t="s">
        <v>27651</v>
      </c>
      <c r="U1334" t="s">
        <v>27652</v>
      </c>
      <c r="V1334">
        <f>-612.296534014182 -12.2420065851 -235.437639526977</f>
        <v>-859.97618012625901</v>
      </c>
      <c r="W1334" t="s">
        <v>27653</v>
      </c>
      <c r="X1334" t="s">
        <v>27654</v>
      </c>
      <c r="Y1334" t="s">
        <v>27655</v>
      </c>
    </row>
    <row r="1335" spans="1:25" x14ac:dyDescent="0.3">
      <c r="A1335">
        <v>66700</v>
      </c>
      <c r="B1335" t="s">
        <v>27656</v>
      </c>
      <c r="C1335" t="s">
        <v>27657</v>
      </c>
      <c r="D1335" t="s">
        <v>27658</v>
      </c>
      <c r="E1335" t="s">
        <v>27659</v>
      </c>
      <c r="F1335" t="s">
        <v>27660</v>
      </c>
      <c r="G1335" t="s">
        <v>27661</v>
      </c>
      <c r="H1335" t="s">
        <v>27662</v>
      </c>
      <c r="I1335">
        <f>-540.662907087148 -15.0912235129969 -926.935306024196</f>
        <v>-1482.6894366243409</v>
      </c>
      <c r="J1335" t="s">
        <v>27663</v>
      </c>
      <c r="K1335" t="s">
        <v>27664</v>
      </c>
      <c r="L1335" t="s">
        <v>27665</v>
      </c>
      <c r="M1335" t="s">
        <v>27666</v>
      </c>
      <c r="N1335">
        <f>-601.023786060051 -8.1511533541546 -766.875800345172</f>
        <v>-1376.0507397593776</v>
      </c>
      <c r="O1335">
        <f>-632.702357791014 -143.193249883763 -718.025623774293</f>
        <v>-1493.9212314490701</v>
      </c>
      <c r="P1335">
        <f>-634.797479053812 -116.395173876475 -402.646993452598</f>
        <v>-1153.8396463828851</v>
      </c>
      <c r="Q1335">
        <f>-387.163959598043 -51.8512123586187 -449.055867637635</f>
        <v>-888.07103959429674</v>
      </c>
      <c r="R1335" t="s">
        <v>27667</v>
      </c>
      <c r="S1335" t="s">
        <v>27668</v>
      </c>
      <c r="T1335" t="s">
        <v>27669</v>
      </c>
      <c r="U1335" t="s">
        <v>27670</v>
      </c>
      <c r="V1335">
        <f>-612.220670858473 -12.2849251478866 -235.426719068069</f>
        <v>-859.93231507442863</v>
      </c>
      <c r="W1335" t="s">
        <v>27671</v>
      </c>
      <c r="X1335" t="s">
        <v>27672</v>
      </c>
      <c r="Y1335" t="s">
        <v>27673</v>
      </c>
    </row>
    <row r="1336" spans="1:25" x14ac:dyDescent="0.3">
      <c r="A1336">
        <v>66750</v>
      </c>
      <c r="B1336" t="s">
        <v>27674</v>
      </c>
      <c r="C1336" t="s">
        <v>27675</v>
      </c>
      <c r="D1336" t="s">
        <v>27676</v>
      </c>
      <c r="E1336" t="s">
        <v>27677</v>
      </c>
      <c r="F1336" t="s">
        <v>27678</v>
      </c>
      <c r="G1336" t="s">
        <v>27679</v>
      </c>
      <c r="H1336" t="s">
        <v>27680</v>
      </c>
      <c r="I1336">
        <f>-541.573000561018 -14.9954951225352 -927.0936344851</f>
        <v>-1483.6621301686532</v>
      </c>
      <c r="J1336" t="s">
        <v>27681</v>
      </c>
      <c r="K1336" t="s">
        <v>27682</v>
      </c>
      <c r="L1336" t="s">
        <v>27683</v>
      </c>
      <c r="M1336" t="s">
        <v>27684</v>
      </c>
      <c r="N1336">
        <f>-601.622831468674 -8.08438945149923 -766.925286060536</f>
        <v>-1376.6325069807092</v>
      </c>
      <c r="O1336">
        <f>-633.2903607823 -143.114545325751 -718.072854489011</f>
        <v>-1494.4777605970621</v>
      </c>
      <c r="P1336">
        <f>-635.165083432439 -116.289425947468 -402.695254759893</f>
        <v>-1154.1497641398</v>
      </c>
      <c r="Q1336">
        <f>-387.495629772956 -51.6601013042925 -448.792363268372</f>
        <v>-887.94809434562058</v>
      </c>
      <c r="R1336" t="s">
        <v>27685</v>
      </c>
      <c r="S1336" t="s">
        <v>27686</v>
      </c>
      <c r="T1336" t="s">
        <v>27687</v>
      </c>
      <c r="U1336" t="s">
        <v>27688</v>
      </c>
      <c r="V1336">
        <f>-612.103589850281 -12.3975974170773 -235.39109978944</f>
        <v>-859.8922870567983</v>
      </c>
      <c r="W1336" t="s">
        <v>27689</v>
      </c>
      <c r="X1336" t="s">
        <v>27690</v>
      </c>
      <c r="Y1336" t="s">
        <v>27691</v>
      </c>
    </row>
    <row r="1337" spans="1:25" x14ac:dyDescent="0.3">
      <c r="A1337">
        <v>66800</v>
      </c>
      <c r="B1337" t="s">
        <v>27692</v>
      </c>
      <c r="C1337" t="s">
        <v>27693</v>
      </c>
      <c r="D1337" t="s">
        <v>27694</v>
      </c>
      <c r="E1337" t="s">
        <v>27695</v>
      </c>
      <c r="F1337" t="s">
        <v>27696</v>
      </c>
      <c r="G1337" t="s">
        <v>27697</v>
      </c>
      <c r="H1337" t="s">
        <v>27698</v>
      </c>
      <c r="I1337">
        <f>-541.846779810535 -15.1290187616742 -927.12760373686</f>
        <v>-1484.1034023090692</v>
      </c>
      <c r="J1337" t="s">
        <v>27699</v>
      </c>
      <c r="K1337" t="s">
        <v>27700</v>
      </c>
      <c r="L1337" t="s">
        <v>27701</v>
      </c>
      <c r="M1337" t="s">
        <v>27702</v>
      </c>
      <c r="N1337">
        <f>-601.808280206933 -8.1777640184663 -766.926911941339</f>
        <v>-1376.9129561667382</v>
      </c>
      <c r="O1337">
        <f>-633.431223594292 -143.205291553994 -718.027718737188</f>
        <v>-1494.664233885474</v>
      </c>
      <c r="P1337">
        <f>-635.225660188419 -116.620053387166 -402.629107741922</f>
        <v>-1154.4748213175071</v>
      </c>
      <c r="Q1337">
        <f>-387.732348432841 -51.3717273277022 -448.800172982407</f>
        <v>-887.90424874295013</v>
      </c>
      <c r="R1337" t="s">
        <v>27703</v>
      </c>
      <c r="S1337" t="s">
        <v>27704</v>
      </c>
      <c r="T1337" t="s">
        <v>27705</v>
      </c>
      <c r="U1337" t="s">
        <v>27706</v>
      </c>
      <c r="V1337">
        <f>-612.033138895492 -12.4624836795454 -235.391610960121</f>
        <v>-859.88723353515843</v>
      </c>
      <c r="W1337" t="s">
        <v>27707</v>
      </c>
      <c r="X1337" t="s">
        <v>27708</v>
      </c>
      <c r="Y1337" t="s">
        <v>27709</v>
      </c>
    </row>
    <row r="1338" spans="1:25" x14ac:dyDescent="0.3">
      <c r="A1338">
        <v>66850</v>
      </c>
      <c r="B1338" t="s">
        <v>27710</v>
      </c>
      <c r="C1338" t="s">
        <v>27711</v>
      </c>
      <c r="D1338" t="s">
        <v>27712</v>
      </c>
      <c r="E1338" t="s">
        <v>27713</v>
      </c>
      <c r="F1338" t="s">
        <v>27714</v>
      </c>
      <c r="G1338" t="s">
        <v>27715</v>
      </c>
      <c r="H1338" t="s">
        <v>27716</v>
      </c>
      <c r="I1338">
        <f>-542.23484107684 -15.2681565864725 -927.234783310664</f>
        <v>-1484.7377809739764</v>
      </c>
      <c r="J1338" t="s">
        <v>27717</v>
      </c>
      <c r="K1338" t="s">
        <v>27718</v>
      </c>
      <c r="L1338" t="s">
        <v>27719</v>
      </c>
      <c r="M1338" t="s">
        <v>27720</v>
      </c>
      <c r="N1338">
        <f>-602.050230054276 -8.35331370568098 -766.982226964408</f>
        <v>-1377.3857707243651</v>
      </c>
      <c r="O1338">
        <f>-633.566788514268 -143.399023097757 -718.059671761409</f>
        <v>-1495.0254833734339</v>
      </c>
      <c r="P1338">
        <f>-634.79938209958 -116.609338063819 -402.675665097374</f>
        <v>-1154.0843852607732</v>
      </c>
      <c r="Q1338">
        <f>-387.287421255961 -51.4863999208519 -448.92373874087</f>
        <v>-887.69755991768295</v>
      </c>
      <c r="R1338" t="s">
        <v>27721</v>
      </c>
      <c r="S1338" t="s">
        <v>27722</v>
      </c>
      <c r="T1338" t="s">
        <v>27723</v>
      </c>
      <c r="U1338" t="s">
        <v>27724</v>
      </c>
      <c r="V1338">
        <f>-611.974527094926 -12.6999193029284 -235.395743359085</f>
        <v>-860.07018975693939</v>
      </c>
      <c r="W1338" t="s">
        <v>27725</v>
      </c>
      <c r="X1338" t="s">
        <v>27726</v>
      </c>
      <c r="Y1338" t="s">
        <v>27727</v>
      </c>
    </row>
    <row r="1339" spans="1:25" x14ac:dyDescent="0.3">
      <c r="A1339">
        <v>66900</v>
      </c>
      <c r="B1339" t="s">
        <v>27728</v>
      </c>
      <c r="C1339" t="s">
        <v>27729</v>
      </c>
      <c r="D1339" t="s">
        <v>27730</v>
      </c>
      <c r="E1339" t="s">
        <v>27731</v>
      </c>
      <c r="F1339" t="s">
        <v>27732</v>
      </c>
      <c r="G1339" t="s">
        <v>27733</v>
      </c>
      <c r="H1339" t="s">
        <v>27734</v>
      </c>
      <c r="I1339">
        <f>-542.114549637708 -15.621124838405 -927.231469488412</f>
        <v>-1484.9671439645249</v>
      </c>
      <c r="J1339" t="s">
        <v>27735</v>
      </c>
      <c r="K1339" t="s">
        <v>27736</v>
      </c>
      <c r="L1339" t="s">
        <v>27737</v>
      </c>
      <c r="M1339" t="s">
        <v>27738</v>
      </c>
      <c r="N1339">
        <f>-601.928097228601 -8.64222150465106 -766.969300675121</f>
        <v>-1377.539619408373</v>
      </c>
      <c r="O1339">
        <f>-633.418390446022 -143.683991092154 -718.045437982095</f>
        <v>-1495.147819520271</v>
      </c>
      <c r="P1339">
        <f>-635.004716087167 -117.147600158397 -402.641787945132</f>
        <v>-1154.7941041906961</v>
      </c>
      <c r="Q1339">
        <f>-387.617901803934 -51.8157967769783 -449.263117872483</f>
        <v>-888.69681645339529</v>
      </c>
      <c r="R1339" t="s">
        <v>27739</v>
      </c>
      <c r="S1339" t="s">
        <v>27740</v>
      </c>
      <c r="T1339" t="s">
        <v>27741</v>
      </c>
      <c r="U1339" t="s">
        <v>27742</v>
      </c>
      <c r="V1339">
        <f>-611.921315522017 -12.7708716336579 -235.408394169196</f>
        <v>-860.10058132487086</v>
      </c>
      <c r="W1339" t="s">
        <v>27743</v>
      </c>
      <c r="X1339" t="s">
        <v>27744</v>
      </c>
      <c r="Y1339" t="s">
        <v>27745</v>
      </c>
    </row>
    <row r="1340" spans="1:25" x14ac:dyDescent="0.3">
      <c r="A1340">
        <v>66950</v>
      </c>
      <c r="B1340" t="s">
        <v>27746</v>
      </c>
      <c r="C1340" t="s">
        <v>27747</v>
      </c>
      <c r="D1340" t="s">
        <v>27748</v>
      </c>
      <c r="E1340" t="s">
        <v>27749</v>
      </c>
      <c r="F1340" t="s">
        <v>27750</v>
      </c>
      <c r="G1340" t="s">
        <v>27751</v>
      </c>
      <c r="H1340" t="s">
        <v>27752</v>
      </c>
      <c r="I1340">
        <f>-542.153694923027 -15.8126923901104 -927.302154836389</f>
        <v>-1485.2685421495266</v>
      </c>
      <c r="J1340" t="s">
        <v>27753</v>
      </c>
      <c r="K1340" t="s">
        <v>27754</v>
      </c>
      <c r="L1340" t="s">
        <v>27755</v>
      </c>
      <c r="M1340" t="s">
        <v>27756</v>
      </c>
      <c r="N1340">
        <f>-601.920857848749 -8.80163124916253 -767.025164317866</f>
        <v>-1377.7476534157777</v>
      </c>
      <c r="O1340">
        <f>-633.526138433745 -143.834898607223 -718.121805290036</f>
        <v>-1495.4828423310041</v>
      </c>
      <c r="P1340">
        <f>-634.932634028991 -117.706537117366 -402.683199685019</f>
        <v>-1155.322370831376</v>
      </c>
      <c r="Q1340">
        <f>-387.649847162417 -52.1186837286544 -449.496526178503</f>
        <v>-889.26505706957437</v>
      </c>
      <c r="R1340" t="s">
        <v>27757</v>
      </c>
      <c r="S1340" t="s">
        <v>27758</v>
      </c>
      <c r="T1340" t="s">
        <v>27759</v>
      </c>
      <c r="U1340" t="s">
        <v>27760</v>
      </c>
      <c r="V1340">
        <f>-611.747665095872 -12.7833569365167 -235.418800035719</f>
        <v>-859.94982206810766</v>
      </c>
      <c r="W1340" t="s">
        <v>27761</v>
      </c>
      <c r="X1340" t="s">
        <v>27762</v>
      </c>
      <c r="Y1340" t="s">
        <v>27763</v>
      </c>
    </row>
    <row r="1341" spans="1:25" x14ac:dyDescent="0.3">
      <c r="A1341">
        <v>67000</v>
      </c>
      <c r="B1341" t="s">
        <v>27764</v>
      </c>
      <c r="C1341" t="s">
        <v>27765</v>
      </c>
      <c r="D1341" t="s">
        <v>27766</v>
      </c>
      <c r="E1341" t="s">
        <v>27767</v>
      </c>
      <c r="F1341" t="s">
        <v>27768</v>
      </c>
      <c r="G1341" t="s">
        <v>27769</v>
      </c>
      <c r="H1341" t="s">
        <v>27770</v>
      </c>
      <c r="I1341">
        <f>-542.167603007315 -16.1004020100047 -927.273996611067</f>
        <v>-1485.5420016283867</v>
      </c>
      <c r="J1341" t="s">
        <v>27771</v>
      </c>
      <c r="K1341" t="s">
        <v>27772</v>
      </c>
      <c r="L1341" t="s">
        <v>27773</v>
      </c>
      <c r="M1341" t="s">
        <v>27774</v>
      </c>
      <c r="N1341">
        <f>-601.905064799881 -8.99301242054494 -766.990498839809</f>
        <v>-1377.8885760602348</v>
      </c>
      <c r="O1341">
        <f>-633.540748849448 -144.004916379813 -718.068271793426</f>
        <v>-1495.613937022687</v>
      </c>
      <c r="P1341">
        <f>-634.957227740576 -117.991185748265 -402.620287716068</f>
        <v>-1155.5687012049088</v>
      </c>
      <c r="Q1341">
        <f>-387.735572837643 -52.2336918748331 -449.51858041262</f>
        <v>-889.4878451250961</v>
      </c>
      <c r="R1341" t="s">
        <v>27775</v>
      </c>
      <c r="S1341" t="s">
        <v>27776</v>
      </c>
      <c r="T1341" t="s">
        <v>27777</v>
      </c>
      <c r="U1341" t="s">
        <v>27778</v>
      </c>
      <c r="V1341">
        <f>-611.661547723834 -12.8256019231933 -235.418761907691</f>
        <v>-859.90591155471827</v>
      </c>
      <c r="W1341" t="s">
        <v>27779</v>
      </c>
      <c r="X1341" t="s">
        <v>27780</v>
      </c>
      <c r="Y1341" t="s">
        <v>27781</v>
      </c>
    </row>
    <row r="1342" spans="1:25" x14ac:dyDescent="0.3">
      <c r="A1342">
        <v>67050</v>
      </c>
      <c r="B1342" t="s">
        <v>27782</v>
      </c>
      <c r="C1342" t="s">
        <v>27783</v>
      </c>
      <c r="D1342" t="s">
        <v>27784</v>
      </c>
      <c r="E1342" t="s">
        <v>27785</v>
      </c>
      <c r="F1342" t="s">
        <v>27786</v>
      </c>
      <c r="G1342" t="s">
        <v>27787</v>
      </c>
      <c r="H1342" t="s">
        <v>27788</v>
      </c>
      <c r="I1342">
        <f>-542.355463658073 -16.3418926062929 -927.28585102676</f>
        <v>-1485.9832072911258</v>
      </c>
      <c r="J1342" t="s">
        <v>27789</v>
      </c>
      <c r="K1342" t="s">
        <v>27790</v>
      </c>
      <c r="L1342" t="s">
        <v>27791</v>
      </c>
      <c r="M1342" t="s">
        <v>27792</v>
      </c>
      <c r="N1342">
        <f>-601.995247063014 -9.12417084004261 -766.970583673019</f>
        <v>-1378.0900015760753</v>
      </c>
      <c r="O1342">
        <f>-633.621003559256 -144.122171501444 -717.969380814499</f>
        <v>-1495.7125558751991</v>
      </c>
      <c r="P1342">
        <f>-634.705335774035 -117.602593719956 -402.56209042885</f>
        <v>-1154.870019922841</v>
      </c>
      <c r="Q1342">
        <f>-387.477040708645 -51.7895846191436 -449.347364471221</f>
        <v>-888.61398979900957</v>
      </c>
      <c r="R1342" t="s">
        <v>27793</v>
      </c>
      <c r="S1342" t="s">
        <v>27794</v>
      </c>
      <c r="T1342" t="s">
        <v>27795</v>
      </c>
      <c r="U1342" t="s">
        <v>27796</v>
      </c>
      <c r="V1342">
        <f>-611.61681540911 -12.8737500172593 -235.422265183992</f>
        <v>-859.91283061036142</v>
      </c>
      <c r="W1342" t="s">
        <v>27797</v>
      </c>
      <c r="X1342" t="s">
        <v>27798</v>
      </c>
      <c r="Y1342" t="s">
        <v>27799</v>
      </c>
    </row>
    <row r="1343" spans="1:25" x14ac:dyDescent="0.3">
      <c r="A1343">
        <v>67100</v>
      </c>
      <c r="B1343" t="s">
        <v>27800</v>
      </c>
      <c r="C1343" t="s">
        <v>27801</v>
      </c>
      <c r="D1343" t="s">
        <v>27802</v>
      </c>
      <c r="E1343" t="s">
        <v>27803</v>
      </c>
      <c r="F1343" t="s">
        <v>27804</v>
      </c>
      <c r="G1343" t="s">
        <v>27805</v>
      </c>
      <c r="H1343" t="s">
        <v>27806</v>
      </c>
      <c r="I1343">
        <f>-542.225348440768 -16.5500597363831 -927.254526104006</f>
        <v>-1486.0299342811572</v>
      </c>
      <c r="J1343" t="s">
        <v>27807</v>
      </c>
      <c r="K1343" t="s">
        <v>27808</v>
      </c>
      <c r="L1343" t="s">
        <v>27809</v>
      </c>
      <c r="M1343" t="s">
        <v>27810</v>
      </c>
      <c r="N1343">
        <f>-601.841364821393 -9.2558103725852 -766.925218617706</f>
        <v>-1378.0223938116842</v>
      </c>
      <c r="O1343">
        <f>-633.46828897375 -144.224125958614 -717.874605361399</f>
        <v>-1495.5670202937629</v>
      </c>
      <c r="P1343">
        <f>-634.560473038514 -117.382104443652 -402.494705523265</f>
        <v>-1154.437283005431</v>
      </c>
      <c r="Q1343">
        <f>-387.33571458033 -51.6344600740697 -449.390422594433</f>
        <v>-888.36059724883262</v>
      </c>
      <c r="R1343" t="s">
        <v>27811</v>
      </c>
      <c r="S1343" t="s">
        <v>27812</v>
      </c>
      <c r="T1343" t="s">
        <v>27813</v>
      </c>
      <c r="U1343" t="s">
        <v>27814</v>
      </c>
      <c r="V1343">
        <f>-611.51822420878 -12.8902901205121 -235.413821395534</f>
        <v>-859.82233572482608</v>
      </c>
      <c r="W1343" t="s">
        <v>27815</v>
      </c>
      <c r="X1343" t="s">
        <v>27816</v>
      </c>
      <c r="Y1343" t="s">
        <v>27817</v>
      </c>
    </row>
    <row r="1344" spans="1:25" x14ac:dyDescent="0.3">
      <c r="A1344">
        <v>67150</v>
      </c>
      <c r="B1344" t="s">
        <v>27818</v>
      </c>
      <c r="C1344" t="s">
        <v>27819</v>
      </c>
      <c r="D1344" t="s">
        <v>27820</v>
      </c>
      <c r="E1344" t="s">
        <v>27821</v>
      </c>
      <c r="F1344" t="s">
        <v>27822</v>
      </c>
      <c r="G1344" t="s">
        <v>27823</v>
      </c>
      <c r="H1344" t="s">
        <v>27824</v>
      </c>
      <c r="I1344">
        <f>-541.527825228782 -16.9156226659062 -927.158179335801</f>
        <v>-1485.6016272304892</v>
      </c>
      <c r="J1344" t="s">
        <v>27825</v>
      </c>
      <c r="K1344" t="s">
        <v>27826</v>
      </c>
      <c r="L1344" t="s">
        <v>27827</v>
      </c>
      <c r="M1344" t="s">
        <v>27828</v>
      </c>
      <c r="N1344">
        <f>-601.210278608096 -9.49744674897001 -766.836540022719</f>
        <v>-1377.544265379785</v>
      </c>
      <c r="O1344">
        <f>-632.890385054795 -144.429822382481 -717.687445253934</f>
        <v>-1495.0076526912101</v>
      </c>
      <c r="P1344">
        <f>-634.265953403145 -117.382354425258 -402.326239631142</f>
        <v>-1153.974547459545</v>
      </c>
      <c r="Q1344">
        <f>-387.080750755539 -51.6224151315202 -449.413065633483</f>
        <v>-888.11623152054221</v>
      </c>
      <c r="R1344" t="s">
        <v>27829</v>
      </c>
      <c r="S1344" t="s">
        <v>27830</v>
      </c>
      <c r="T1344" t="s">
        <v>27831</v>
      </c>
      <c r="U1344" t="s">
        <v>27832</v>
      </c>
      <c r="V1344">
        <f>-611.298026942135 -12.8036849117997 -235.40573031819</f>
        <v>-859.50744217212468</v>
      </c>
      <c r="W1344" t="s">
        <v>27833</v>
      </c>
      <c r="X1344" t="s">
        <v>27834</v>
      </c>
      <c r="Y1344" t="s">
        <v>27835</v>
      </c>
    </row>
    <row r="1345" spans="1:25" x14ac:dyDescent="0.3">
      <c r="A1345">
        <v>67200</v>
      </c>
      <c r="B1345" t="s">
        <v>27836</v>
      </c>
      <c r="C1345" t="s">
        <v>27837</v>
      </c>
      <c r="D1345" t="s">
        <v>27838</v>
      </c>
      <c r="E1345" t="s">
        <v>27839</v>
      </c>
      <c r="F1345" t="s">
        <v>27840</v>
      </c>
      <c r="G1345" t="s">
        <v>27841</v>
      </c>
      <c r="H1345" t="s">
        <v>27842</v>
      </c>
      <c r="I1345">
        <f>-541.166901268348 -17.0402835664281 -927.113132687865</f>
        <v>-1485.3203175226413</v>
      </c>
      <c r="J1345" t="s">
        <v>27843</v>
      </c>
      <c r="K1345" t="s">
        <v>27844</v>
      </c>
      <c r="L1345" t="s">
        <v>27845</v>
      </c>
      <c r="M1345" t="s">
        <v>27846</v>
      </c>
      <c r="N1345">
        <f>-600.894395432433 -9.57111520677012 -766.805581752907</f>
        <v>-1377.2710923921102</v>
      </c>
      <c r="O1345">
        <f>-632.646251194037 -144.464685719931 -717.622427015551</f>
        <v>-1494.7333639295189</v>
      </c>
      <c r="P1345">
        <f>-634.049312964553 -117.229394940538 -402.277430533257</f>
        <v>-1153.5561384383479</v>
      </c>
      <c r="Q1345">
        <f>-386.780521057839 -51.9104694425667 -449.538583339799</f>
        <v>-888.22957384020469</v>
      </c>
      <c r="R1345" t="s">
        <v>27847</v>
      </c>
      <c r="S1345" t="s">
        <v>27848</v>
      </c>
      <c r="T1345" t="s">
        <v>27849</v>
      </c>
      <c r="U1345" t="s">
        <v>27850</v>
      </c>
      <c r="V1345">
        <f>-611.180279929418 -12.7297863121897 -235.402118588087</f>
        <v>-859.31218482969473</v>
      </c>
      <c r="W1345" t="s">
        <v>27851</v>
      </c>
      <c r="X1345" t="s">
        <v>27852</v>
      </c>
      <c r="Y1345" t="s">
        <v>27853</v>
      </c>
    </row>
    <row r="1346" spans="1:25" x14ac:dyDescent="0.3">
      <c r="A1346">
        <v>67250</v>
      </c>
      <c r="B1346" t="s">
        <v>27854</v>
      </c>
      <c r="C1346" t="s">
        <v>27855</v>
      </c>
      <c r="D1346" t="s">
        <v>27856</v>
      </c>
      <c r="E1346" t="s">
        <v>27857</v>
      </c>
      <c r="F1346" t="s">
        <v>27858</v>
      </c>
      <c r="G1346" t="s">
        <v>27859</v>
      </c>
      <c r="H1346" t="s">
        <v>27860</v>
      </c>
      <c r="I1346">
        <f>-539.963588415199 -17.0466312441547 -926.990446439372</f>
        <v>-1484.0006660987256</v>
      </c>
      <c r="J1346" t="s">
        <v>27861</v>
      </c>
      <c r="K1346" t="s">
        <v>27862</v>
      </c>
      <c r="L1346" t="s">
        <v>27863</v>
      </c>
      <c r="M1346" t="s">
        <v>27864</v>
      </c>
      <c r="N1346">
        <f>-599.931186333923 -9.60121336815914 -766.754809809663</f>
        <v>-1376.2872095117452</v>
      </c>
      <c r="O1346">
        <f>-631.686934638602 -144.495852771557 -717.555609412573</f>
        <v>-1493.7383968227318</v>
      </c>
      <c r="P1346">
        <f>-633.174183307441 -116.856492187659 -402.246248039082</f>
        <v>-1152.2769235341821</v>
      </c>
      <c r="Q1346">
        <f>-385.546306691689 -52.6654583241529 -449.171932652432</f>
        <v>-887.38369766827395</v>
      </c>
      <c r="R1346" t="s">
        <v>27865</v>
      </c>
      <c r="S1346" t="s">
        <v>27866</v>
      </c>
      <c r="T1346" t="s">
        <v>27867</v>
      </c>
      <c r="U1346" t="s">
        <v>27868</v>
      </c>
      <c r="V1346">
        <f>-610.971397997151 -12.5581847940845 -235.397356517981</f>
        <v>-858.92693930921655</v>
      </c>
      <c r="W1346" t="s">
        <v>27869</v>
      </c>
      <c r="X1346" t="s">
        <v>27870</v>
      </c>
      <c r="Y1346" t="s">
        <v>27871</v>
      </c>
    </row>
    <row r="1347" spans="1:25" x14ac:dyDescent="0.3">
      <c r="A1347">
        <v>67300</v>
      </c>
      <c r="B1347" t="s">
        <v>27872</v>
      </c>
      <c r="C1347" t="s">
        <v>27873</v>
      </c>
      <c r="D1347" t="s">
        <v>27874</v>
      </c>
      <c r="E1347" t="s">
        <v>27875</v>
      </c>
      <c r="F1347" t="s">
        <v>27876</v>
      </c>
      <c r="G1347" t="s">
        <v>27877</v>
      </c>
      <c r="H1347" t="s">
        <v>27878</v>
      </c>
      <c r="I1347">
        <f>-539.732672563406 -17.081771259704 -926.915062902799</f>
        <v>-1483.729506725909</v>
      </c>
      <c r="J1347" t="s">
        <v>27879</v>
      </c>
      <c r="K1347" t="s">
        <v>27880</v>
      </c>
      <c r="L1347" t="s">
        <v>27881</v>
      </c>
      <c r="M1347" t="s">
        <v>27882</v>
      </c>
      <c r="N1347">
        <f>-599.824675489512 -9.64403360401927 -766.716311175562</f>
        <v>-1376.1850202690932</v>
      </c>
      <c r="O1347">
        <f>-631.576801818895 -144.534001755509 -717.538855258803</f>
        <v>-1493.649658833207</v>
      </c>
      <c r="P1347">
        <f>-633.193180404015 -116.945038962403 -402.225584162129</f>
        <v>-1152.3638035285471</v>
      </c>
      <c r="Q1347">
        <f>-385.423086573446 -52.9844677790383 -448.713081364844</f>
        <v>-887.12063571732835</v>
      </c>
      <c r="R1347" t="s">
        <v>27883</v>
      </c>
      <c r="S1347" t="s">
        <v>27884</v>
      </c>
      <c r="T1347" t="s">
        <v>27885</v>
      </c>
      <c r="U1347" t="s">
        <v>27886</v>
      </c>
      <c r="V1347">
        <f>-610.949515047158 -12.5576543952341 -235.394224313609</f>
        <v>-858.90139375600108</v>
      </c>
      <c r="W1347" t="s">
        <v>27887</v>
      </c>
      <c r="X1347" t="s">
        <v>27888</v>
      </c>
      <c r="Y1347" t="s">
        <v>27889</v>
      </c>
    </row>
    <row r="1348" spans="1:25" x14ac:dyDescent="0.3">
      <c r="A1348">
        <v>67350</v>
      </c>
      <c r="B1348" t="s">
        <v>27890</v>
      </c>
      <c r="C1348" t="s">
        <v>27891</v>
      </c>
      <c r="D1348" t="s">
        <v>27892</v>
      </c>
      <c r="E1348" t="s">
        <v>27893</v>
      </c>
      <c r="F1348" t="s">
        <v>27894</v>
      </c>
      <c r="G1348" t="s">
        <v>27895</v>
      </c>
      <c r="H1348" t="s">
        <v>27896</v>
      </c>
      <c r="I1348">
        <f>-538.781671655761 -17.3219236550086 -926.770399509954</f>
        <v>-1482.8739948207235</v>
      </c>
      <c r="J1348" t="s">
        <v>27897</v>
      </c>
      <c r="K1348" t="s">
        <v>27898</v>
      </c>
      <c r="L1348" t="s">
        <v>27899</v>
      </c>
      <c r="M1348" t="s">
        <v>27900</v>
      </c>
      <c r="N1348">
        <f>-599.138181644615 -9.88295606543024 -766.653948963827</f>
        <v>-1375.6750866738721</v>
      </c>
      <c r="O1348">
        <f>-630.846569514484 -144.77806117542 -717.43378857438</f>
        <v>-1493.0584192642841</v>
      </c>
      <c r="P1348">
        <f>-632.968239355322 -117.684462410666 -402.080627383975</f>
        <v>-1152.7333291499631</v>
      </c>
      <c r="Q1348">
        <f>-385.273843924294 -52.8627310639945 -447.771553986241</f>
        <v>-885.90812897452952</v>
      </c>
      <c r="R1348" t="s">
        <v>27901</v>
      </c>
      <c r="S1348" t="s">
        <v>27902</v>
      </c>
      <c r="T1348" t="s">
        <v>27903</v>
      </c>
      <c r="U1348" t="s">
        <v>27904</v>
      </c>
      <c r="V1348">
        <f>-610.928734841833 -12.4585282156988 -235.418141111226</f>
        <v>-858.80540416875783</v>
      </c>
      <c r="W1348" t="s">
        <v>27905</v>
      </c>
      <c r="X1348" t="s">
        <v>27906</v>
      </c>
      <c r="Y1348" t="s">
        <v>27907</v>
      </c>
    </row>
    <row r="1349" spans="1:25" x14ac:dyDescent="0.3">
      <c r="A1349">
        <v>67400</v>
      </c>
      <c r="B1349" t="s">
        <v>27908</v>
      </c>
      <c r="C1349" t="s">
        <v>27909</v>
      </c>
      <c r="D1349" t="s">
        <v>27910</v>
      </c>
      <c r="E1349" t="s">
        <v>27911</v>
      </c>
      <c r="F1349" t="s">
        <v>27912</v>
      </c>
      <c r="G1349" t="s">
        <v>27913</v>
      </c>
      <c r="H1349" t="s">
        <v>27914</v>
      </c>
      <c r="I1349">
        <f>-538.554750105775 -17.1584977016019 -926.759348241489</f>
        <v>-1482.4725960488659</v>
      </c>
      <c r="J1349" t="s">
        <v>27915</v>
      </c>
      <c r="K1349" t="s">
        <v>27916</v>
      </c>
      <c r="L1349" t="s">
        <v>27917</v>
      </c>
      <c r="M1349" t="s">
        <v>27918</v>
      </c>
      <c r="N1349">
        <f>-598.962725903628 -9.79225372921621 -766.663638059142</f>
        <v>-1375.4186176919861</v>
      </c>
      <c r="O1349">
        <f>-630.52473934723 -144.729310207527 -717.45208893236</f>
        <v>-1492.706138487117</v>
      </c>
      <c r="P1349">
        <f>-632.932029180805 -117.295155904408 -402.130494458729</f>
        <v>-1152.3576795439421</v>
      </c>
      <c r="Q1349">
        <f>-385.311409344429 -52.0564046447125 -447.62766898499</f>
        <v>-884.99548297413151</v>
      </c>
      <c r="R1349" t="s">
        <v>27919</v>
      </c>
      <c r="S1349" t="s">
        <v>27920</v>
      </c>
      <c r="T1349" t="s">
        <v>27921</v>
      </c>
      <c r="U1349" t="s">
        <v>27922</v>
      </c>
      <c r="V1349">
        <f>-610.933242581971 -12.3727071740756 -235.412075814655</f>
        <v>-858.71802557070146</v>
      </c>
      <c r="W1349" t="s">
        <v>27923</v>
      </c>
      <c r="X1349" t="s">
        <v>27924</v>
      </c>
      <c r="Y1349" t="s">
        <v>27925</v>
      </c>
    </row>
    <row r="1350" spans="1:25" x14ac:dyDescent="0.3">
      <c r="A1350">
        <v>67450</v>
      </c>
      <c r="B1350" t="s">
        <v>27926</v>
      </c>
      <c r="C1350" t="s">
        <v>27927</v>
      </c>
      <c r="D1350" t="s">
        <v>27928</v>
      </c>
      <c r="E1350" t="s">
        <v>27929</v>
      </c>
      <c r="F1350" t="s">
        <v>27930</v>
      </c>
      <c r="G1350" t="s">
        <v>27931</v>
      </c>
      <c r="H1350" t="s">
        <v>27932</v>
      </c>
      <c r="I1350">
        <f>-537.814647035432 -16.7234187178677 -926.755388551255</f>
        <v>-1481.2934543045549</v>
      </c>
      <c r="J1350" t="s">
        <v>27933</v>
      </c>
      <c r="K1350" t="s">
        <v>27934</v>
      </c>
      <c r="L1350" t="s">
        <v>27935</v>
      </c>
      <c r="M1350" t="s">
        <v>27936</v>
      </c>
      <c r="N1350">
        <f>-598.350777992272 -9.57843662158047 -766.692440043986</f>
        <v>-1374.6216546578385</v>
      </c>
      <c r="O1350">
        <f>-629.798730502974 -144.536063624554 -717.482785961938</f>
        <v>-1491.817580089466</v>
      </c>
      <c r="P1350">
        <f>-632.453320152443 -116.579902766785 -402.209034406304</f>
        <v>-1151.2422573255321</v>
      </c>
      <c r="Q1350">
        <f>-384.98327370794 -50.8071302457423 -447.756503205451</f>
        <v>-883.5469071591333</v>
      </c>
      <c r="R1350" t="s">
        <v>27937</v>
      </c>
      <c r="S1350" t="s">
        <v>27938</v>
      </c>
      <c r="T1350" t="s">
        <v>27939</v>
      </c>
      <c r="U1350" t="s">
        <v>27940</v>
      </c>
      <c r="V1350">
        <f>-611.003242514104 -12.5145565254365 -235.419423643686</f>
        <v>-858.93722268322654</v>
      </c>
      <c r="W1350" t="s">
        <v>27941</v>
      </c>
      <c r="X1350" t="s">
        <v>27942</v>
      </c>
      <c r="Y1350" t="s">
        <v>27943</v>
      </c>
    </row>
    <row r="1351" spans="1:25" x14ac:dyDescent="0.3">
      <c r="A1351">
        <v>67500</v>
      </c>
      <c r="B1351" t="s">
        <v>27944</v>
      </c>
      <c r="C1351" t="s">
        <v>27945</v>
      </c>
      <c r="D1351" t="s">
        <v>27946</v>
      </c>
      <c r="E1351" t="s">
        <v>27947</v>
      </c>
      <c r="F1351" t="s">
        <v>27948</v>
      </c>
      <c r="G1351" t="s">
        <v>27949</v>
      </c>
      <c r="H1351" t="s">
        <v>27950</v>
      </c>
      <c r="I1351">
        <f>-537.669875891306 -16.4351615971058 -926.782023763981</f>
        <v>-1480.8870612523929</v>
      </c>
      <c r="J1351" t="s">
        <v>27951</v>
      </c>
      <c r="K1351" t="s">
        <v>27952</v>
      </c>
      <c r="L1351" t="s">
        <v>27953</v>
      </c>
      <c r="M1351" t="s">
        <v>27954</v>
      </c>
      <c r="N1351">
        <f>-598.216652918855 -9.38726529158905 -766.718165895669</f>
        <v>-1374.3220841061129</v>
      </c>
      <c r="O1351">
        <f>-629.67390920019 -144.36164786951 -717.567890806466</f>
        <v>-1491.603447876166</v>
      </c>
      <c r="P1351">
        <f>-632.436077006515 -116.452358034192 -402.290824333414</f>
        <v>-1151.1792593741211</v>
      </c>
      <c r="Q1351">
        <f>-384.99176674873 -50.5390643067038 -447.774724272075</f>
        <v>-883.30555532750873</v>
      </c>
      <c r="R1351" t="s">
        <v>27955</v>
      </c>
      <c r="S1351" t="s">
        <v>27956</v>
      </c>
      <c r="T1351" t="s">
        <v>27957</v>
      </c>
      <c r="U1351" t="s">
        <v>27958</v>
      </c>
      <c r="V1351">
        <f>-610.980922807311 -12.5741535748291 -235.417282480202</f>
        <v>-858.97235886234216</v>
      </c>
      <c r="W1351" t="s">
        <v>27959</v>
      </c>
      <c r="X1351" t="s">
        <v>27960</v>
      </c>
      <c r="Y1351" t="s">
        <v>27961</v>
      </c>
    </row>
    <row r="1352" spans="1:25" x14ac:dyDescent="0.3">
      <c r="A1352">
        <v>67550</v>
      </c>
      <c r="B1352" t="s">
        <v>27962</v>
      </c>
      <c r="C1352" t="s">
        <v>27963</v>
      </c>
      <c r="D1352" t="s">
        <v>27964</v>
      </c>
      <c r="E1352" t="s">
        <v>27965</v>
      </c>
      <c r="F1352" t="s">
        <v>27966</v>
      </c>
      <c r="G1352" t="s">
        <v>27967</v>
      </c>
      <c r="H1352" t="s">
        <v>27968</v>
      </c>
      <c r="I1352">
        <f>-537.216893986796 -15.714480618144 -926.871526638924</f>
        <v>-1479.802901243864</v>
      </c>
      <c r="J1352" t="s">
        <v>27969</v>
      </c>
      <c r="K1352" t="s">
        <v>27970</v>
      </c>
      <c r="L1352" t="s">
        <v>27971</v>
      </c>
      <c r="M1352" t="s">
        <v>27972</v>
      </c>
      <c r="N1352">
        <f>-597.831612347245 -8.85530416044092 -766.820358830829</f>
        <v>-1373.507275338515</v>
      </c>
      <c r="O1352">
        <f>-629.438005022413 -143.86073695423 -717.831991454515</f>
        <v>-1491.130733431158</v>
      </c>
      <c r="P1352">
        <f>-632.331671305713 -116.437807430978 -402.513532014185</f>
        <v>-1151.283010750876</v>
      </c>
      <c r="Q1352">
        <f>-384.813679943667 -50.4640910779537 -447.506403546811</f>
        <v>-882.78417456843169</v>
      </c>
      <c r="R1352" t="s">
        <v>27973</v>
      </c>
      <c r="S1352" t="s">
        <v>27974</v>
      </c>
      <c r="T1352" t="s">
        <v>27975</v>
      </c>
      <c r="U1352" t="s">
        <v>27976</v>
      </c>
      <c r="V1352">
        <f>-610.886870694256 -12.5109662883829 -235.423944152575</f>
        <v>-858.82178113521388</v>
      </c>
      <c r="W1352" t="s">
        <v>27977</v>
      </c>
      <c r="X1352" t="s">
        <v>27978</v>
      </c>
      <c r="Y1352" t="s">
        <v>27979</v>
      </c>
    </row>
    <row r="1353" spans="1:25" x14ac:dyDescent="0.3">
      <c r="A1353">
        <v>67600</v>
      </c>
      <c r="B1353" t="s">
        <v>27980</v>
      </c>
      <c r="C1353" t="s">
        <v>27981</v>
      </c>
      <c r="D1353" t="s">
        <v>27982</v>
      </c>
      <c r="E1353" t="s">
        <v>27983</v>
      </c>
      <c r="F1353" t="s">
        <v>27984</v>
      </c>
      <c r="G1353" t="s">
        <v>27985</v>
      </c>
      <c r="H1353" t="s">
        <v>27986</v>
      </c>
      <c r="I1353">
        <f>-536.880479225229 -15.4772395666064 -926.886507577572</f>
        <v>-1479.2442263694074</v>
      </c>
      <c r="J1353" t="s">
        <v>27987</v>
      </c>
      <c r="K1353" t="s">
        <v>27988</v>
      </c>
      <c r="L1353" t="s">
        <v>27989</v>
      </c>
      <c r="M1353" t="s">
        <v>27990</v>
      </c>
      <c r="N1353">
        <f>-597.548045088901 -8.70501262738835 -766.84334427075</f>
        <v>-1373.0964019870394</v>
      </c>
      <c r="O1353">
        <f>-629.23019902376 -143.711151702925 -717.931730119667</f>
        <v>-1490.873080846352</v>
      </c>
      <c r="P1353">
        <f>-632.189769515761 -116.468163160829 -402.598144566668</f>
        <v>-1151.256077243258</v>
      </c>
      <c r="Q1353">
        <f>-384.622505125464 -50.6445254802376 -447.539835062491</f>
        <v>-882.80686566819259</v>
      </c>
      <c r="R1353" t="s">
        <v>27991</v>
      </c>
      <c r="S1353" t="s">
        <v>27992</v>
      </c>
      <c r="T1353" t="s">
        <v>27993</v>
      </c>
      <c r="U1353" t="s">
        <v>27994</v>
      </c>
      <c r="V1353">
        <f>-610.84935147562 -12.5248999336877 -235.414651798691</f>
        <v>-858.78890320799871</v>
      </c>
      <c r="W1353" t="s">
        <v>27995</v>
      </c>
      <c r="X1353" t="s">
        <v>27996</v>
      </c>
      <c r="Y1353" t="s">
        <v>27997</v>
      </c>
    </row>
    <row r="1354" spans="1:25" x14ac:dyDescent="0.3">
      <c r="A1354">
        <v>67650</v>
      </c>
      <c r="B1354" t="s">
        <v>27998</v>
      </c>
      <c r="C1354" t="s">
        <v>27999</v>
      </c>
      <c r="D1354" t="s">
        <v>28000</v>
      </c>
      <c r="E1354" t="s">
        <v>28001</v>
      </c>
      <c r="F1354" t="s">
        <v>28002</v>
      </c>
      <c r="G1354" t="s">
        <v>28003</v>
      </c>
      <c r="H1354" t="s">
        <v>28004</v>
      </c>
      <c r="I1354">
        <f>-536.571042841482 -15.3952421803572 -926.95405894803</f>
        <v>-1478.9203439698692</v>
      </c>
      <c r="J1354" t="s">
        <v>28005</v>
      </c>
      <c r="K1354" t="s">
        <v>28006</v>
      </c>
      <c r="L1354" t="s">
        <v>28007</v>
      </c>
      <c r="M1354" t="s">
        <v>28008</v>
      </c>
      <c r="N1354">
        <f>-597.247223397714 -8.65045497058554 -766.894163388666</f>
        <v>-1372.7918417569656</v>
      </c>
      <c r="O1354">
        <f>-629.153979110601 -143.614566551232 -718.013358875618</f>
        <v>-1490.7819045374508</v>
      </c>
      <c r="P1354">
        <f>-632.025158390331 -116.809179905706 -402.641511632081</f>
        <v>-1151.4758499281179</v>
      </c>
      <c r="Q1354">
        <f>-384.376447389592 -51.3057178013876 -447.60217938934</f>
        <v>-883.28434458031961</v>
      </c>
      <c r="R1354" t="s">
        <v>28009</v>
      </c>
      <c r="S1354" t="s">
        <v>28010</v>
      </c>
      <c r="T1354" t="s">
        <v>28011</v>
      </c>
      <c r="U1354" t="s">
        <v>28012</v>
      </c>
      <c r="V1354">
        <f>-610.747229981578 -12.5483665426039 -235.41776948626</f>
        <v>-858.71336601044186</v>
      </c>
      <c r="W1354" t="s">
        <v>28013</v>
      </c>
      <c r="X1354" t="s">
        <v>28014</v>
      </c>
      <c r="Y1354" t="s">
        <v>28015</v>
      </c>
    </row>
    <row r="1355" spans="1:25" x14ac:dyDescent="0.3">
      <c r="A1355">
        <v>67700</v>
      </c>
      <c r="B1355" t="s">
        <v>28016</v>
      </c>
      <c r="C1355" t="s">
        <v>28017</v>
      </c>
      <c r="D1355" t="s">
        <v>28018</v>
      </c>
      <c r="E1355" t="s">
        <v>28019</v>
      </c>
      <c r="F1355" t="s">
        <v>28020</v>
      </c>
      <c r="G1355" t="s">
        <v>28021</v>
      </c>
      <c r="H1355" t="s">
        <v>28022</v>
      </c>
      <c r="I1355">
        <f>-536.363097342943 -15.4635537092728 -926.94890550202</f>
        <v>-1478.7755565542357</v>
      </c>
      <c r="J1355" t="s">
        <v>28023</v>
      </c>
      <c r="K1355" t="s">
        <v>28024</v>
      </c>
      <c r="L1355" t="s">
        <v>28025</v>
      </c>
      <c r="M1355" t="s">
        <v>28026</v>
      </c>
      <c r="N1355">
        <f>-597.016805882715 -8.69508711317241 -766.874856229479</f>
        <v>-1372.5867492253665</v>
      </c>
      <c r="O1355">
        <f>-629.007121166343 -143.655246168994 -718.023362072585</f>
        <v>-1490.6857294079221</v>
      </c>
      <c r="P1355">
        <f>-631.88654593674 -116.769428396281 -402.658321821095</f>
        <v>-1151.3142961541162</v>
      </c>
      <c r="Q1355">
        <f>-384.150923520239 -51.6349553566463 -447.676430663031</f>
        <v>-883.4623095399163</v>
      </c>
      <c r="R1355" t="s">
        <v>28027</v>
      </c>
      <c r="S1355" t="s">
        <v>28028</v>
      </c>
      <c r="T1355" t="s">
        <v>28029</v>
      </c>
      <c r="U1355" t="s">
        <v>28030</v>
      </c>
      <c r="V1355">
        <f>-610.669232390359 -12.5483658897071 -235.411758978483</f>
        <v>-858.62935725854913</v>
      </c>
      <c r="W1355" t="s">
        <v>28031</v>
      </c>
      <c r="X1355" t="s">
        <v>28032</v>
      </c>
      <c r="Y1355" t="s">
        <v>28033</v>
      </c>
    </row>
    <row r="1356" spans="1:25" x14ac:dyDescent="0.3">
      <c r="A1356">
        <v>67750</v>
      </c>
      <c r="B1356" t="s">
        <v>28034</v>
      </c>
      <c r="C1356" t="s">
        <v>28035</v>
      </c>
      <c r="D1356" t="s">
        <v>28036</v>
      </c>
      <c r="E1356" t="s">
        <v>28037</v>
      </c>
      <c r="F1356" t="s">
        <v>28038</v>
      </c>
      <c r="G1356" t="s">
        <v>28039</v>
      </c>
      <c r="H1356" t="s">
        <v>28040</v>
      </c>
      <c r="I1356">
        <f>-536.485822862864 -15.1403287771786 -927.026305221833</f>
        <v>-1478.6524568618756</v>
      </c>
      <c r="J1356" t="s">
        <v>28041</v>
      </c>
      <c r="K1356" t="s">
        <v>28042</v>
      </c>
      <c r="L1356" t="s">
        <v>28043</v>
      </c>
      <c r="M1356" t="s">
        <v>28044</v>
      </c>
      <c r="N1356">
        <f>-597.005306609061 -8.3595437134208 -766.898599860927</f>
        <v>-1372.2634501834086</v>
      </c>
      <c r="O1356">
        <f>-629.207446569487 -143.287322657769 -718.104395240911</f>
        <v>-1490.5991644681671</v>
      </c>
      <c r="P1356">
        <f>-631.789391497152 -116.453675486045 -402.732592522285</f>
        <v>-1150.9756595054819</v>
      </c>
      <c r="Q1356">
        <f>-383.95611957157 -51.8280900459657 -447.945977308886</f>
        <v>-883.73018692642177</v>
      </c>
      <c r="R1356" t="s">
        <v>28045</v>
      </c>
      <c r="S1356" t="s">
        <v>28046</v>
      </c>
      <c r="T1356" t="s">
        <v>28047</v>
      </c>
      <c r="U1356" t="s">
        <v>28048</v>
      </c>
      <c r="V1356">
        <f>-610.496788660253 -12.4133175904364 -235.407030583435</f>
        <v>-858.31713683412431</v>
      </c>
      <c r="W1356" t="s">
        <v>28049</v>
      </c>
      <c r="X1356" t="s">
        <v>28050</v>
      </c>
      <c r="Y1356" t="s">
        <v>28051</v>
      </c>
    </row>
    <row r="1357" spans="1:25" x14ac:dyDescent="0.3">
      <c r="A1357">
        <v>67800</v>
      </c>
      <c r="B1357" t="s">
        <v>28052</v>
      </c>
      <c r="C1357" t="s">
        <v>28053</v>
      </c>
      <c r="D1357" t="s">
        <v>28054</v>
      </c>
      <c r="E1357" t="s">
        <v>28055</v>
      </c>
      <c r="F1357" t="s">
        <v>28056</v>
      </c>
      <c r="G1357" t="s">
        <v>28057</v>
      </c>
      <c r="H1357" t="s">
        <v>28058</v>
      </c>
      <c r="I1357">
        <f>-536.757183310079 -14.9533822854641 -927.098483302829</f>
        <v>-1478.8090488983721</v>
      </c>
      <c r="J1357" t="s">
        <v>28059</v>
      </c>
      <c r="K1357" t="s">
        <v>28060</v>
      </c>
      <c r="L1357" t="s">
        <v>28061</v>
      </c>
      <c r="M1357" t="s">
        <v>28062</v>
      </c>
      <c r="N1357">
        <f>-597.161974805079 -8.18133760762723 -766.933519331931</f>
        <v>-1372.2768317446373</v>
      </c>
      <c r="O1357">
        <f>-629.510049916576 -143.09357428283 -718.180412731725</f>
        <v>-1490.7840369311311</v>
      </c>
      <c r="P1357">
        <f>-631.868163846871 -116.220147279704 -402.810071466801</f>
        <v>-1150.898382593376</v>
      </c>
      <c r="Q1357">
        <f>-383.987594671055 -51.7635133035801 -448.005223089093</f>
        <v>-883.75633106372811</v>
      </c>
      <c r="R1357" t="s">
        <v>28063</v>
      </c>
      <c r="S1357" t="s">
        <v>28064</v>
      </c>
      <c r="T1357" t="s">
        <v>28065</v>
      </c>
      <c r="U1357" t="s">
        <v>28066</v>
      </c>
      <c r="V1357">
        <f>-610.461514835572 -12.4133854674663 -235.398792441447</f>
        <v>-858.27369274448529</v>
      </c>
      <c r="W1357" t="s">
        <v>28067</v>
      </c>
      <c r="X1357" t="s">
        <v>28068</v>
      </c>
      <c r="Y1357" t="s">
        <v>28069</v>
      </c>
    </row>
    <row r="1358" spans="1:25" x14ac:dyDescent="0.3">
      <c r="A1358">
        <v>67850</v>
      </c>
      <c r="B1358" t="s">
        <v>28070</v>
      </c>
      <c r="C1358" t="s">
        <v>28071</v>
      </c>
      <c r="D1358" t="s">
        <v>28072</v>
      </c>
      <c r="E1358" t="s">
        <v>28073</v>
      </c>
      <c r="F1358" t="s">
        <v>28074</v>
      </c>
      <c r="G1358" t="s">
        <v>28075</v>
      </c>
      <c r="H1358" t="s">
        <v>28076</v>
      </c>
      <c r="I1358">
        <f>-537.114226281934 -14.9891215531762 -927.109326731589</f>
        <v>-1479.2126745666992</v>
      </c>
      <c r="J1358" t="s">
        <v>28077</v>
      </c>
      <c r="K1358" t="s">
        <v>28078</v>
      </c>
      <c r="L1358" t="s">
        <v>28079</v>
      </c>
      <c r="M1358" t="s">
        <v>28080</v>
      </c>
      <c r="N1358">
        <f>-597.395275161069 -8.11998932228828 -766.873105176325</f>
        <v>-1372.3883696596822</v>
      </c>
      <c r="O1358">
        <f>-630.093990057418 -142.894893508152 -717.990017413523</f>
        <v>-1490.9789009790929</v>
      </c>
      <c r="P1358">
        <f>-631.93647064928 -115.991887011861 -402.618622408338</f>
        <v>-1150.5469800694789</v>
      </c>
      <c r="Q1358">
        <f>-384.071240476479 -51.9090919239153 -448.425647371393</f>
        <v>-884.40597977178732</v>
      </c>
      <c r="R1358" t="s">
        <v>28081</v>
      </c>
      <c r="S1358" t="s">
        <v>28082</v>
      </c>
      <c r="T1358" t="s">
        <v>28083</v>
      </c>
      <c r="U1358" t="s">
        <v>28084</v>
      </c>
      <c r="V1358">
        <f>-610.393739828275 -12.2811341034082 -235.363030893429</f>
        <v>-858.03790482511226</v>
      </c>
      <c r="W1358" t="s">
        <v>28085</v>
      </c>
      <c r="X1358" t="s">
        <v>28086</v>
      </c>
      <c r="Y1358" t="s">
        <v>28087</v>
      </c>
    </row>
    <row r="1359" spans="1:25" x14ac:dyDescent="0.3">
      <c r="A1359">
        <v>67900</v>
      </c>
      <c r="B1359" t="s">
        <v>28088</v>
      </c>
      <c r="C1359" t="s">
        <v>28089</v>
      </c>
      <c r="D1359" t="s">
        <v>28090</v>
      </c>
      <c r="E1359" t="s">
        <v>28091</v>
      </c>
      <c r="F1359" t="s">
        <v>28092</v>
      </c>
      <c r="G1359" t="s">
        <v>28093</v>
      </c>
      <c r="H1359" t="s">
        <v>28094</v>
      </c>
      <c r="I1359">
        <f>-537.234577698067 -15.1031784141544 -927.140090953345</f>
        <v>-1479.4778470655665</v>
      </c>
      <c r="J1359" t="s">
        <v>28095</v>
      </c>
      <c r="K1359" t="s">
        <v>28096</v>
      </c>
      <c r="L1359" t="s">
        <v>28097</v>
      </c>
      <c r="M1359" t="s">
        <v>28098</v>
      </c>
      <c r="N1359">
        <f>-597.397961160746 -8.1503425342244 -766.852721346545</f>
        <v>-1372.4010250415154</v>
      </c>
      <c r="O1359">
        <f>-630.179342676329 -142.885436166554 -717.910047363601</f>
        <v>-1490.9748262064841</v>
      </c>
      <c r="P1359">
        <f>-632.042478106049 -116.051207275983 -402.532952722815</f>
        <v>-1150.626638104847</v>
      </c>
      <c r="Q1359">
        <f>-384.260061095957 -52.0193224332703 -448.85608853208</f>
        <v>-885.13547206130727</v>
      </c>
      <c r="R1359" t="s">
        <v>28099</v>
      </c>
      <c r="S1359" t="s">
        <v>28100</v>
      </c>
      <c r="T1359" t="s">
        <v>28101</v>
      </c>
      <c r="U1359" t="s">
        <v>28102</v>
      </c>
      <c r="V1359">
        <f>-610.344343525985 -12.1897059485943 -235.357397664635</f>
        <v>-857.89144713921428</v>
      </c>
      <c r="W1359" t="s">
        <v>28103</v>
      </c>
      <c r="X1359" t="s">
        <v>28104</v>
      </c>
      <c r="Y1359" t="s">
        <v>28105</v>
      </c>
    </row>
    <row r="1360" spans="1:25" x14ac:dyDescent="0.3">
      <c r="A1360">
        <v>67950</v>
      </c>
      <c r="B1360" t="s">
        <v>28106</v>
      </c>
      <c r="C1360" t="s">
        <v>28107</v>
      </c>
      <c r="D1360" t="s">
        <v>28108</v>
      </c>
      <c r="E1360" t="s">
        <v>28109</v>
      </c>
      <c r="F1360" t="s">
        <v>28110</v>
      </c>
      <c r="G1360" t="s">
        <v>28111</v>
      </c>
      <c r="H1360" t="s">
        <v>28112</v>
      </c>
      <c r="I1360">
        <f>-537.435876791703 -15.1432834480256 -927.166533098578</f>
        <v>-1479.7456933383066</v>
      </c>
      <c r="J1360" t="s">
        <v>28113</v>
      </c>
      <c r="K1360" t="s">
        <v>28114</v>
      </c>
      <c r="L1360" t="s">
        <v>28115</v>
      </c>
      <c r="M1360" t="s">
        <v>28116</v>
      </c>
      <c r="N1360">
        <f>-597.424160275111 -8.13674042612141 -766.811573797254</f>
        <v>-1372.3724744984866</v>
      </c>
      <c r="O1360">
        <f>-630.21171662195 -142.857689648808 -717.816002723666</f>
        <v>-1490.8854089944239</v>
      </c>
      <c r="P1360">
        <f>-632.018686208512 -116.065416914688 -402.435081349108</f>
        <v>-1150.5191844723081</v>
      </c>
      <c r="Q1360">
        <f>-384.34448844808 -51.9795406358541 -449.25975104026</f>
        <v>-885.58378012419416</v>
      </c>
      <c r="R1360" t="s">
        <v>28117</v>
      </c>
      <c r="S1360" t="s">
        <v>28118</v>
      </c>
      <c r="T1360" t="s">
        <v>28119</v>
      </c>
      <c r="U1360" t="s">
        <v>28120</v>
      </c>
      <c r="V1360">
        <f>-610.267207374577 -12.1268815528897 -235.345315490317</f>
        <v>-857.7394044177837</v>
      </c>
      <c r="W1360" t="s">
        <v>28121</v>
      </c>
      <c r="X1360" t="s">
        <v>28122</v>
      </c>
      <c r="Y1360" t="s">
        <v>28123</v>
      </c>
    </row>
    <row r="1361" spans="1:25" x14ac:dyDescent="0.3">
      <c r="A1361">
        <v>68000</v>
      </c>
      <c r="B1361" t="s">
        <v>28124</v>
      </c>
      <c r="C1361" t="s">
        <v>28125</v>
      </c>
      <c r="D1361" t="s">
        <v>28126</v>
      </c>
      <c r="E1361" t="s">
        <v>28127</v>
      </c>
      <c r="F1361" t="s">
        <v>28128</v>
      </c>
      <c r="G1361" t="s">
        <v>28129</v>
      </c>
      <c r="H1361" t="s">
        <v>28130</v>
      </c>
      <c r="I1361">
        <f>-538.247099883968 -14.8868345698237 -927.336394036727</f>
        <v>-1480.4703284905186</v>
      </c>
      <c r="J1361" t="s">
        <v>28131</v>
      </c>
      <c r="K1361" t="s">
        <v>28132</v>
      </c>
      <c r="L1361" t="s">
        <v>28133</v>
      </c>
      <c r="M1361" t="s">
        <v>28134</v>
      </c>
      <c r="N1361">
        <f>-597.812169950721 -7.87548687289547 -766.787899096654</f>
        <v>-1372.4755559202704</v>
      </c>
      <c r="O1361">
        <f>-630.594425032461 -142.548551252962 -717.647187027486</f>
        <v>-1490.790163312909</v>
      </c>
      <c r="P1361">
        <f>-631.896700287788 -115.835374182852 -402.257167248796</f>
        <v>-1149.989241719436</v>
      </c>
      <c r="Q1361">
        <f>-384.439534230644 -51.6601279975892 -450.09579243993</f>
        <v>-886.19545466816317</v>
      </c>
      <c r="R1361" t="s">
        <v>28135</v>
      </c>
      <c r="S1361" t="s">
        <v>28136</v>
      </c>
      <c r="T1361" t="s">
        <v>28137</v>
      </c>
      <c r="U1361" t="s">
        <v>28138</v>
      </c>
      <c r="V1361">
        <f>-610.04802002406 -11.8511674321733 -235.336796262212</f>
        <v>-857.23598371844525</v>
      </c>
      <c r="W1361" t="s">
        <v>28139</v>
      </c>
      <c r="X1361" t="s">
        <v>28140</v>
      </c>
      <c r="Y1361" t="s">
        <v>28141</v>
      </c>
    </row>
    <row r="1362" spans="1:25" x14ac:dyDescent="0.3">
      <c r="A1362">
        <v>68050</v>
      </c>
      <c r="B1362" t="s">
        <v>28142</v>
      </c>
      <c r="C1362" t="s">
        <v>28143</v>
      </c>
      <c r="D1362" t="s">
        <v>28144</v>
      </c>
      <c r="E1362" t="s">
        <v>28145</v>
      </c>
      <c r="F1362" t="s">
        <v>28146</v>
      </c>
      <c r="G1362" t="s">
        <v>28147</v>
      </c>
      <c r="H1362" t="s">
        <v>28148</v>
      </c>
      <c r="I1362">
        <f>-538.903025151946 -14.2858503193336 -927.6922455872</f>
        <v>-1480.8811210584795</v>
      </c>
      <c r="J1362" t="s">
        <v>28149</v>
      </c>
      <c r="K1362" t="s">
        <v>28150</v>
      </c>
      <c r="L1362" t="s">
        <v>28151</v>
      </c>
      <c r="M1362" t="s">
        <v>28152</v>
      </c>
      <c r="N1362">
        <f>-597.882601768636 -7.60961809351223 -766.832003897936</f>
        <v>-1372.3242237600844</v>
      </c>
      <c r="O1362">
        <f>-630.389919691618 -142.304670879427 -717.593209152623</f>
        <v>-1490.2877997236681</v>
      </c>
      <c r="P1362">
        <f>-631.329324555333 -115.464539815946 -402.212736952706</f>
        <v>-1149.0066013239848</v>
      </c>
      <c r="Q1362">
        <f>-384.072696126941 -51.1496894915598 -450.89386743273</f>
        <v>-886.11625305123084</v>
      </c>
      <c r="R1362" t="s">
        <v>28153</v>
      </c>
      <c r="S1362" t="s">
        <v>28154</v>
      </c>
      <c r="T1362" t="s">
        <v>28155</v>
      </c>
      <c r="U1362" t="s">
        <v>28156</v>
      </c>
      <c r="V1362">
        <f>-609.73025695598 -11.6761968751193 -235.322908721092</f>
        <v>-856.72936255219133</v>
      </c>
      <c r="W1362" t="s">
        <v>28157</v>
      </c>
      <c r="X1362" t="s">
        <v>28158</v>
      </c>
      <c r="Y1362" t="s">
        <v>28159</v>
      </c>
    </row>
    <row r="1363" spans="1:25" x14ac:dyDescent="0.3">
      <c r="A1363">
        <v>68100</v>
      </c>
      <c r="B1363" t="s">
        <v>28160</v>
      </c>
      <c r="C1363" t="s">
        <v>28161</v>
      </c>
      <c r="D1363" t="s">
        <v>28162</v>
      </c>
      <c r="E1363" t="s">
        <v>28163</v>
      </c>
      <c r="F1363" t="s">
        <v>28164</v>
      </c>
      <c r="G1363" t="s">
        <v>28165</v>
      </c>
      <c r="H1363" t="s">
        <v>28166</v>
      </c>
      <c r="I1363">
        <f>-539.174269377055 -13.7106802397368 -927.924554492481</f>
        <v>-1480.8095041092729</v>
      </c>
      <c r="J1363" t="s">
        <v>28167</v>
      </c>
      <c r="K1363" t="s">
        <v>28168</v>
      </c>
      <c r="L1363" t="s">
        <v>28169</v>
      </c>
      <c r="M1363" t="s">
        <v>28170</v>
      </c>
      <c r="N1363">
        <f>-597.855275731346 -7.32028851696762 -766.892315446673</f>
        <v>-1372.0678796949865</v>
      </c>
      <c r="O1363">
        <f>-630.194166480771 -142.065604818644 -717.666487239742</f>
        <v>-1489.9262585391571</v>
      </c>
      <c r="P1363">
        <f>-630.954625477356 -115.561636416465 -402.256937162484</f>
        <v>-1148.773199056305</v>
      </c>
      <c r="Q1363">
        <f>-383.821807314042 -51.0710578226438 -451.332432100768</f>
        <v>-886.22529723745379</v>
      </c>
      <c r="R1363" t="s">
        <v>28171</v>
      </c>
      <c r="S1363" t="s">
        <v>28172</v>
      </c>
      <c r="T1363" t="s">
        <v>28173</v>
      </c>
      <c r="U1363" t="s">
        <v>28174</v>
      </c>
      <c r="V1363">
        <f>-609.526686467477 -11.5030371348281 -235.324474697042</f>
        <v>-856.3541982993471</v>
      </c>
      <c r="W1363" t="s">
        <v>28175</v>
      </c>
      <c r="X1363" t="s">
        <v>28176</v>
      </c>
      <c r="Y1363" t="s">
        <v>28177</v>
      </c>
    </row>
    <row r="1364" spans="1:25" x14ac:dyDescent="0.3">
      <c r="A1364">
        <v>68150</v>
      </c>
      <c r="B1364" t="s">
        <v>28178</v>
      </c>
      <c r="C1364" t="s">
        <v>28179</v>
      </c>
      <c r="D1364" t="s">
        <v>28180</v>
      </c>
      <c r="E1364" t="s">
        <v>28181</v>
      </c>
      <c r="F1364" t="s">
        <v>28182</v>
      </c>
      <c r="G1364" t="s">
        <v>28183</v>
      </c>
      <c r="H1364" t="s">
        <v>28184</v>
      </c>
      <c r="I1364">
        <f>-539.859722560333 -12.2440828597197 -928.45115515947</f>
        <v>-1480.5549605795227</v>
      </c>
      <c r="J1364" t="s">
        <v>28185</v>
      </c>
      <c r="K1364" t="s">
        <v>28186</v>
      </c>
      <c r="L1364" t="s">
        <v>28187</v>
      </c>
      <c r="M1364" t="s">
        <v>28188</v>
      </c>
      <c r="N1364">
        <f>-597.902378883617 -6.51964907880757 -767.083467804111</f>
        <v>-1371.5054957665357</v>
      </c>
      <c r="O1364">
        <f>-629.712180460409 -141.424425392856 -717.964359107341</f>
        <v>-1489.1009649606058</v>
      </c>
      <c r="P1364">
        <f>-630.113904141879 -115.682513676261 -402.491071139233</f>
        <v>-1148.2874889573729</v>
      </c>
      <c r="Q1364">
        <f>-383.402816864022 -50.0046222473001 -452.110714367058</f>
        <v>-885.5181534783801</v>
      </c>
      <c r="R1364" t="s">
        <v>28189</v>
      </c>
      <c r="S1364" t="s">
        <v>28190</v>
      </c>
      <c r="T1364" t="s">
        <v>28191</v>
      </c>
      <c r="U1364" t="s">
        <v>28192</v>
      </c>
      <c r="V1364">
        <f>-609.06011891054 -11.2466533832525 -235.32052330532</f>
        <v>-855.62729559911247</v>
      </c>
      <c r="W1364" t="s">
        <v>28193</v>
      </c>
      <c r="X1364" t="s">
        <v>28194</v>
      </c>
      <c r="Y1364" t="s">
        <v>28195</v>
      </c>
    </row>
    <row r="1365" spans="1:25" x14ac:dyDescent="0.3">
      <c r="A1365">
        <v>68200</v>
      </c>
      <c r="B1365" t="s">
        <v>28196</v>
      </c>
      <c r="C1365" t="s">
        <v>28197</v>
      </c>
      <c r="D1365" t="s">
        <v>28198</v>
      </c>
      <c r="E1365" t="s">
        <v>28199</v>
      </c>
      <c r="F1365" t="s">
        <v>28200</v>
      </c>
      <c r="G1365" t="s">
        <v>28201</v>
      </c>
      <c r="H1365" t="s">
        <v>28202</v>
      </c>
      <c r="I1365">
        <f>-540.07090736197 -11.4371251671012 -928.694397846963</f>
        <v>-1480.202430376034</v>
      </c>
      <c r="J1365" t="s">
        <v>28203</v>
      </c>
      <c r="K1365" t="s">
        <v>28204</v>
      </c>
      <c r="L1365" t="s">
        <v>28205</v>
      </c>
      <c r="M1365" t="s">
        <v>28206</v>
      </c>
      <c r="N1365">
        <f>-597.824795688709 -6.06167933976087 -767.182274710328</f>
        <v>-1371.0687497387978</v>
      </c>
      <c r="O1365">
        <f>-629.352658953809 -141.069406586491 -718.166783130792</f>
        <v>-1488.5888486710921</v>
      </c>
      <c r="P1365">
        <f>-629.597245703707 -115.778389980539 -402.656944557801</f>
        <v>-1148.0325802420471</v>
      </c>
      <c r="Q1365">
        <f>-383.192196513693 -49.3551550931691 -452.802015467176</f>
        <v>-885.34936707403813</v>
      </c>
      <c r="R1365" t="s">
        <v>28207</v>
      </c>
      <c r="S1365" t="s">
        <v>28208</v>
      </c>
      <c r="T1365" t="s">
        <v>28209</v>
      </c>
      <c r="U1365" t="s">
        <v>28210</v>
      </c>
      <c r="V1365">
        <f>-608.789117341126 -11.1353540772425 -235.318414637811</f>
        <v>-855.24288605617949</v>
      </c>
      <c r="W1365" t="s">
        <v>28211</v>
      </c>
      <c r="X1365" t="s">
        <v>28212</v>
      </c>
      <c r="Y1365" t="s">
        <v>28213</v>
      </c>
    </row>
    <row r="1366" spans="1:25" x14ac:dyDescent="0.3">
      <c r="A1366">
        <v>68250</v>
      </c>
      <c r="B1366" t="s">
        <v>28214</v>
      </c>
      <c r="C1366" t="s">
        <v>28215</v>
      </c>
      <c r="D1366" t="s">
        <v>28216</v>
      </c>
      <c r="E1366" t="s">
        <v>28217</v>
      </c>
      <c r="F1366" t="s">
        <v>28218</v>
      </c>
      <c r="G1366" t="s">
        <v>28219</v>
      </c>
      <c r="H1366" t="s">
        <v>28220</v>
      </c>
      <c r="I1366">
        <f>-540.542230658588 -9.75344735331637 -929.208122111802</f>
        <v>-1479.5038001237062</v>
      </c>
      <c r="J1366" t="s">
        <v>28221</v>
      </c>
      <c r="K1366" t="s">
        <v>28222</v>
      </c>
      <c r="L1366" t="s">
        <v>28223</v>
      </c>
      <c r="M1366" t="s">
        <v>28224</v>
      </c>
      <c r="N1366">
        <f>-597.664114134876 -5.06248851459874 -767.418767932982</f>
        <v>-1370.1453705824565</v>
      </c>
      <c r="O1366">
        <f>-628.467067863089 -140.296148606003 -718.567509100005</f>
        <v>-1487.330725569097</v>
      </c>
      <c r="P1366">
        <f>-628.142927134128 -115.698275462817 -403.002830425454</f>
        <v>-1146.8440330223989</v>
      </c>
      <c r="Q1366">
        <f>-382.327439543932 -47.8894115524328 -454.176574464517</f>
        <v>-884.39342556088172</v>
      </c>
      <c r="R1366" t="s">
        <v>28225</v>
      </c>
      <c r="S1366" t="s">
        <v>28226</v>
      </c>
      <c r="T1366" t="s">
        <v>28227</v>
      </c>
      <c r="U1366" t="s">
        <v>28228</v>
      </c>
      <c r="V1366">
        <f>-608.029752736724 -10.9370297316577 -235.314602080137</f>
        <v>-854.28138454851876</v>
      </c>
      <c r="W1366" t="s">
        <v>28229</v>
      </c>
      <c r="X1366" t="s">
        <v>28230</v>
      </c>
      <c r="Y1366" t="s">
        <v>28231</v>
      </c>
    </row>
    <row r="1367" spans="1:25" x14ac:dyDescent="0.3">
      <c r="A1367">
        <v>68300</v>
      </c>
      <c r="B1367" t="s">
        <v>28232</v>
      </c>
      <c r="C1367" t="s">
        <v>28233</v>
      </c>
      <c r="D1367" t="s">
        <v>28234</v>
      </c>
      <c r="E1367" t="s">
        <v>28235</v>
      </c>
      <c r="F1367" t="s">
        <v>28236</v>
      </c>
      <c r="G1367" t="s">
        <v>28237</v>
      </c>
      <c r="H1367" t="s">
        <v>28238</v>
      </c>
      <c r="I1367">
        <f>-540.6233878594 -8.99499190076765 -929.427355659652</f>
        <v>-1479.0457354198197</v>
      </c>
      <c r="J1367" t="s">
        <v>28239</v>
      </c>
      <c r="K1367" t="s">
        <v>28240</v>
      </c>
      <c r="L1367" t="s">
        <v>28241</v>
      </c>
      <c r="M1367" t="s">
        <v>28242</v>
      </c>
      <c r="N1367">
        <f>-597.480922377406 -4.57734805204381 -767.525471615029</f>
        <v>-1369.5837420444789</v>
      </c>
      <c r="O1367">
        <f>-627.951437110454 -139.92222631178 -718.771939646173</f>
        <v>-1486.6456030684071</v>
      </c>
      <c r="P1367">
        <f>-627.436540790109 -115.753668933568 -403.174366784011</f>
        <v>-1146.3645765076881</v>
      </c>
      <c r="Q1367">
        <f>-381.954964110273 -47.1886975329379 -454.940026970304</f>
        <v>-884.08368861351494</v>
      </c>
      <c r="R1367" t="s">
        <v>28243</v>
      </c>
      <c r="S1367" t="s">
        <v>28244</v>
      </c>
      <c r="T1367" t="s">
        <v>28245</v>
      </c>
      <c r="U1367" t="s">
        <v>28246</v>
      </c>
      <c r="V1367">
        <f>-607.62696449678 -10.7417746444805 -235.316521016432</f>
        <v>-853.6852601576926</v>
      </c>
      <c r="W1367" t="s">
        <v>28247</v>
      </c>
      <c r="X1367" t="s">
        <v>28248</v>
      </c>
      <c r="Y1367" t="s">
        <v>28249</v>
      </c>
    </row>
    <row r="1368" spans="1:25" x14ac:dyDescent="0.3">
      <c r="A1368">
        <v>68350</v>
      </c>
      <c r="B1368" t="s">
        <v>28250</v>
      </c>
      <c r="C1368" t="s">
        <v>28251</v>
      </c>
      <c r="D1368" t="s">
        <v>28252</v>
      </c>
      <c r="E1368" t="s">
        <v>28253</v>
      </c>
      <c r="F1368" t="s">
        <v>28254</v>
      </c>
      <c r="G1368" t="s">
        <v>28255</v>
      </c>
      <c r="H1368" t="s">
        <v>28256</v>
      </c>
      <c r="I1368">
        <f>-540.545081323892 -7.36879135539591 -929.765347250364</f>
        <v>-1477.6792199296519</v>
      </c>
      <c r="J1368" t="s">
        <v>28257</v>
      </c>
      <c r="K1368" t="s">
        <v>28258</v>
      </c>
      <c r="L1368" t="s">
        <v>28259</v>
      </c>
      <c r="M1368" t="s">
        <v>28260</v>
      </c>
      <c r="N1368">
        <f>-597.045110475826 -3.45596180217829 -767.708583807985</f>
        <v>-1368.2096560859893</v>
      </c>
      <c r="O1368">
        <f>-627.129599564329 -138.950062907809 -719.131919317292</f>
        <v>-1485.2115817894301</v>
      </c>
      <c r="P1368">
        <f>-625.902703521316 -115.598706295739 -403.474886345821</f>
        <v>-1144.976296162876</v>
      </c>
      <c r="Q1368">
        <f>-380.789201168879 -45.9249402471353 -455.503636247054</f>
        <v>-882.21777766306832</v>
      </c>
      <c r="R1368" t="s">
        <v>28261</v>
      </c>
      <c r="S1368" t="s">
        <v>28262</v>
      </c>
      <c r="T1368" t="s">
        <v>28263</v>
      </c>
      <c r="U1368" t="s">
        <v>28264</v>
      </c>
      <c r="V1368">
        <f>-606.809379583183 -10.2122734629013 -235.294603730105</f>
        <v>-852.31625677618933</v>
      </c>
      <c r="W1368" t="s">
        <v>28265</v>
      </c>
      <c r="X1368" t="s">
        <v>28266</v>
      </c>
      <c r="Y1368" t="s">
        <v>28267</v>
      </c>
    </row>
    <row r="1369" spans="1:25" x14ac:dyDescent="0.3">
      <c r="A1369">
        <v>68400</v>
      </c>
      <c r="B1369" t="s">
        <v>28268</v>
      </c>
      <c r="C1369" t="s">
        <v>28269</v>
      </c>
      <c r="D1369" t="s">
        <v>28270</v>
      </c>
      <c r="E1369" t="s">
        <v>28271</v>
      </c>
      <c r="F1369" t="s">
        <v>28272</v>
      </c>
      <c r="G1369" t="s">
        <v>28273</v>
      </c>
      <c r="H1369" t="s">
        <v>28274</v>
      </c>
      <c r="I1369">
        <f>-540.415587552755 -6.94295557659139 -929.86774938425</f>
        <v>-1477.2262925135965</v>
      </c>
      <c r="J1369" t="s">
        <v>28275</v>
      </c>
      <c r="K1369" t="s">
        <v>28276</v>
      </c>
      <c r="L1369" t="s">
        <v>28277</v>
      </c>
      <c r="M1369" t="s">
        <v>28278</v>
      </c>
      <c r="N1369">
        <f>-596.791165936594 -3.14698534876019 -767.748703201253</f>
        <v>-1367.686854486607</v>
      </c>
      <c r="O1369">
        <f>-626.715181508826 -138.689127669508 -719.229499883876</f>
        <v>-1484.63380906221</v>
      </c>
      <c r="P1369">
        <f>-625.485898465436 -115.82714612099 -403.536656088069</f>
        <v>-1144.8497006744951</v>
      </c>
      <c r="Q1369">
        <f>-380.537013102578 -45.8225304182496 -455.895542683058</f>
        <v>-882.25508620388564</v>
      </c>
      <c r="R1369" t="s">
        <v>28279</v>
      </c>
      <c r="S1369" t="s">
        <v>28280</v>
      </c>
      <c r="T1369" t="s">
        <v>28281</v>
      </c>
      <c r="U1369" t="s">
        <v>28282</v>
      </c>
      <c r="V1369">
        <f>-606.42859115227 -9.98516138461632 -235.289628402499</f>
        <v>-851.70338093938528</v>
      </c>
      <c r="W1369" t="s">
        <v>28283</v>
      </c>
      <c r="X1369" t="s">
        <v>28284</v>
      </c>
      <c r="Y1369" t="s">
        <v>28285</v>
      </c>
    </row>
    <row r="1370" spans="1:25" x14ac:dyDescent="0.3">
      <c r="A1370">
        <v>68450</v>
      </c>
      <c r="B1370" t="s">
        <v>28286</v>
      </c>
      <c r="C1370" t="s">
        <v>28287</v>
      </c>
      <c r="D1370" t="s">
        <v>28288</v>
      </c>
      <c r="E1370" t="s">
        <v>28289</v>
      </c>
      <c r="F1370" t="s">
        <v>28290</v>
      </c>
      <c r="G1370" t="s">
        <v>28291</v>
      </c>
      <c r="H1370" t="s">
        <v>28292</v>
      </c>
      <c r="I1370">
        <f>-539.875655429211 -6.38940940404736 -930.014124255348</f>
        <v>-1476.2791890886062</v>
      </c>
      <c r="J1370" t="s">
        <v>28293</v>
      </c>
      <c r="K1370" t="s">
        <v>28294</v>
      </c>
      <c r="L1370" t="s">
        <v>28295</v>
      </c>
      <c r="M1370" t="s">
        <v>28296</v>
      </c>
      <c r="N1370">
        <f>-595.970032323349 -2.7287299302917 -767.766468841786</f>
        <v>-1366.4652310954266</v>
      </c>
      <c r="O1370">
        <f>-625.705171441714 -138.330358471856 -719.275505384983</f>
        <v>-1483.3110352985532</v>
      </c>
      <c r="P1370">
        <f>-624.304329241795 -115.517239452629 -403.579766036155</f>
        <v>-1143.401334730579</v>
      </c>
      <c r="Q1370">
        <f>-379.532534343451 -45.3042324500592 -456.485167897122</f>
        <v>-881.32193469063213</v>
      </c>
      <c r="R1370" t="s">
        <v>28297</v>
      </c>
      <c r="S1370" t="s">
        <v>28298</v>
      </c>
      <c r="T1370" t="s">
        <v>28299</v>
      </c>
      <c r="U1370" t="s">
        <v>28300</v>
      </c>
      <c r="V1370">
        <f>-605.632414912202 -9.52770343926625 -235.260744697429</f>
        <v>-850.42086304889722</v>
      </c>
      <c r="W1370" t="s">
        <v>28301</v>
      </c>
      <c r="X1370" t="s">
        <v>28302</v>
      </c>
      <c r="Y1370" t="s">
        <v>28303</v>
      </c>
    </row>
    <row r="1371" spans="1:25" x14ac:dyDescent="0.3">
      <c r="A1371">
        <v>68500</v>
      </c>
      <c r="B1371" t="s">
        <v>28304</v>
      </c>
      <c r="C1371" t="s">
        <v>28305</v>
      </c>
      <c r="D1371" t="s">
        <v>28306</v>
      </c>
      <c r="E1371" t="s">
        <v>28307</v>
      </c>
      <c r="F1371" t="s">
        <v>28308</v>
      </c>
      <c r="G1371" t="s">
        <v>28309</v>
      </c>
      <c r="H1371" t="s">
        <v>28310</v>
      </c>
      <c r="I1371">
        <f>-539.54111522447 -6.27859824576457 -930.040004093006</f>
        <v>-1475.8597175632406</v>
      </c>
      <c r="J1371" t="s">
        <v>28311</v>
      </c>
      <c r="K1371" t="s">
        <v>28312</v>
      </c>
      <c r="L1371" t="s">
        <v>28313</v>
      </c>
      <c r="M1371" t="s">
        <v>28314</v>
      </c>
      <c r="N1371">
        <f>-595.553023309435 -2.61598559657303 -767.747382522802</f>
        <v>-1365.9163914288101</v>
      </c>
      <c r="O1371">
        <f>-625.275830054878 -138.225868950934 -719.276441819231</f>
        <v>-1482.778140825043</v>
      </c>
      <c r="P1371">
        <f>-624.044363051814 -115.500978679768 -403.573607672134</f>
        <v>-1143.118949403716</v>
      </c>
      <c r="Q1371">
        <f>-379.3810652989 -45.3955739832669 -457.119785163164</f>
        <v>-881.89642444533092</v>
      </c>
      <c r="R1371" t="s">
        <v>28315</v>
      </c>
      <c r="S1371" t="s">
        <v>28316</v>
      </c>
      <c r="T1371" t="s">
        <v>28317</v>
      </c>
      <c r="U1371" t="s">
        <v>28318</v>
      </c>
      <c r="V1371">
        <f>-605.281422977394 -9.31070530645248 -235.239758473028</f>
        <v>-849.8318867568745</v>
      </c>
      <c r="W1371" t="s">
        <v>28319</v>
      </c>
      <c r="X1371" t="s">
        <v>28320</v>
      </c>
      <c r="Y1371" t="s">
        <v>28321</v>
      </c>
    </row>
    <row r="1372" spans="1:25" x14ac:dyDescent="0.3">
      <c r="A1372">
        <v>68550</v>
      </c>
      <c r="B1372" t="s">
        <v>28322</v>
      </c>
      <c r="C1372" t="s">
        <v>28323</v>
      </c>
      <c r="D1372" t="s">
        <v>28324</v>
      </c>
      <c r="E1372" t="s">
        <v>28325</v>
      </c>
      <c r="F1372" t="s">
        <v>28326</v>
      </c>
      <c r="G1372" t="s">
        <v>28327</v>
      </c>
      <c r="H1372" t="s">
        <v>28328</v>
      </c>
      <c r="I1372">
        <f>-539.703202103834 -5.99109205434849 -930.132261818359</f>
        <v>-1475.8265559765414</v>
      </c>
      <c r="J1372" t="s">
        <v>28329</v>
      </c>
      <c r="K1372" t="s">
        <v>28330</v>
      </c>
      <c r="L1372" t="s">
        <v>28331</v>
      </c>
      <c r="M1372" t="s">
        <v>28332</v>
      </c>
      <c r="N1372">
        <f>-595.505033178563 -2.26897574054796 -767.752032540874</f>
        <v>-1365.526041459985</v>
      </c>
      <c r="O1372">
        <f>-625.408697272445 -137.842090487944 -719.263085176746</f>
        <v>-1482.5138729371351</v>
      </c>
      <c r="P1372">
        <f>-623.82267495127 -115.076410171529 -403.564716621591</f>
        <v>-1142.4638017443899</v>
      </c>
      <c r="Q1372">
        <f>-379.029175165327 -45.6124985208461 -457.350743534387</f>
        <v>-881.99241722056013</v>
      </c>
      <c r="R1372" t="s">
        <v>28333</v>
      </c>
      <c r="S1372" t="s">
        <v>28334</v>
      </c>
      <c r="T1372" t="s">
        <v>28335</v>
      </c>
      <c r="U1372" t="s">
        <v>28336</v>
      </c>
      <c r="V1372">
        <f>-604.756989142307 -8.83707127595599 -235.204951018891</f>
        <v>-848.79901143715392</v>
      </c>
      <c r="W1372" t="s">
        <v>28337</v>
      </c>
      <c r="X1372" t="s">
        <v>28338</v>
      </c>
      <c r="Y1372" t="s">
        <v>28339</v>
      </c>
    </row>
    <row r="1373" spans="1:25" x14ac:dyDescent="0.3">
      <c r="A1373">
        <v>68600</v>
      </c>
      <c r="B1373" t="s">
        <v>28340</v>
      </c>
      <c r="C1373" t="s">
        <v>28341</v>
      </c>
      <c r="D1373" t="s">
        <v>28342</v>
      </c>
      <c r="E1373" t="s">
        <v>28343</v>
      </c>
      <c r="F1373" t="s">
        <v>28344</v>
      </c>
      <c r="G1373" t="s">
        <v>28345</v>
      </c>
      <c r="H1373" t="s">
        <v>28346</v>
      </c>
      <c r="I1373">
        <f>-539.504032768861 -5.96716663889201 -930.161309244695</f>
        <v>-1475.632508652448</v>
      </c>
      <c r="J1373" t="s">
        <v>28347</v>
      </c>
      <c r="K1373" t="s">
        <v>28348</v>
      </c>
      <c r="L1373" t="s">
        <v>28349</v>
      </c>
      <c r="M1373" t="s">
        <v>28350</v>
      </c>
      <c r="N1373">
        <f>-595.224927744553 -2.15933610069785 -767.74959056305</f>
        <v>-1365.133854408301</v>
      </c>
      <c r="O1373">
        <f>-625.243797197521 -137.721043968316 -719.320552489054</f>
        <v>-1482.2853936548909</v>
      </c>
      <c r="P1373">
        <f>-623.760281796359 -115.053813524329 -403.614732535577</f>
        <v>-1142.4288278562649</v>
      </c>
      <c r="Q1373">
        <f>-378.886281527679 -45.7878025942641 -457.289755547811</f>
        <v>-881.96383966975418</v>
      </c>
      <c r="R1373" t="s">
        <v>28351</v>
      </c>
      <c r="S1373" t="s">
        <v>28352</v>
      </c>
      <c r="T1373" t="s">
        <v>28353</v>
      </c>
      <c r="U1373" t="s">
        <v>28354</v>
      </c>
      <c r="V1373">
        <f>-604.596002482603 -8.55005517359847 -235.192902393903</f>
        <v>-848.33896005010456</v>
      </c>
      <c r="W1373" t="s">
        <v>28355</v>
      </c>
      <c r="X1373" t="s">
        <v>28356</v>
      </c>
      <c r="Y1373" t="s">
        <v>28357</v>
      </c>
    </row>
    <row r="1374" spans="1:25" x14ac:dyDescent="0.3">
      <c r="A1374">
        <v>68650</v>
      </c>
      <c r="B1374" t="s">
        <v>28358</v>
      </c>
      <c r="C1374" t="s">
        <v>28359</v>
      </c>
      <c r="D1374" t="s">
        <v>28360</v>
      </c>
      <c r="E1374" t="s">
        <v>28361</v>
      </c>
      <c r="F1374" t="s">
        <v>28362</v>
      </c>
      <c r="G1374" t="s">
        <v>28363</v>
      </c>
      <c r="H1374" t="s">
        <v>28364</v>
      </c>
      <c r="I1374">
        <f>-539.350300147644 -6.07686664584289 -930.220328538592</f>
        <v>-1475.647495332079</v>
      </c>
      <c r="J1374" t="s">
        <v>28365</v>
      </c>
      <c r="K1374" t="s">
        <v>28366</v>
      </c>
      <c r="L1374" t="s">
        <v>28367</v>
      </c>
      <c r="M1374" t="s">
        <v>28368</v>
      </c>
      <c r="N1374">
        <f>-594.954384715355 -2.1122991206592 -767.758115203759</f>
        <v>-1364.8247990397731</v>
      </c>
      <c r="O1374">
        <f>-625.24415102928 -137.626479149228 -719.381129073958</f>
        <v>-1482.2517592524659</v>
      </c>
      <c r="P1374">
        <f>-623.997614074993 -114.762012902265 -403.688460104895</f>
        <v>-1142.4480870821531</v>
      </c>
      <c r="Q1374">
        <f>-378.995464604834 -45.5212376554681 -456.807999563518</f>
        <v>-881.32470182382008</v>
      </c>
      <c r="R1374" t="s">
        <v>28369</v>
      </c>
      <c r="S1374" t="s">
        <v>28370</v>
      </c>
      <c r="T1374" t="s">
        <v>28371</v>
      </c>
      <c r="U1374" t="s">
        <v>28372</v>
      </c>
      <c r="V1374">
        <f>-604.318141868807 -8.22214240858543 -235.15618490009</f>
        <v>-847.69646917748241</v>
      </c>
      <c r="W1374" t="s">
        <v>28373</v>
      </c>
      <c r="X1374" t="s">
        <v>28374</v>
      </c>
      <c r="Y1374" t="s">
        <v>28375</v>
      </c>
    </row>
    <row r="1375" spans="1:25" x14ac:dyDescent="0.3">
      <c r="A1375">
        <v>68700</v>
      </c>
      <c r="B1375" t="s">
        <v>28376</v>
      </c>
      <c r="C1375" t="s">
        <v>28377</v>
      </c>
      <c r="D1375" t="s">
        <v>28378</v>
      </c>
      <c r="E1375" t="s">
        <v>28379</v>
      </c>
      <c r="F1375" t="s">
        <v>28380</v>
      </c>
      <c r="G1375" t="s">
        <v>28381</v>
      </c>
      <c r="H1375" t="s">
        <v>28382</v>
      </c>
      <c r="I1375">
        <f>-539.437020807144 -6.17178650654512 -930.271795339525</f>
        <v>-1475.8806026532143</v>
      </c>
      <c r="J1375" t="s">
        <v>28383</v>
      </c>
      <c r="K1375" t="s">
        <v>28384</v>
      </c>
      <c r="L1375" t="s">
        <v>28385</v>
      </c>
      <c r="M1375" t="s">
        <v>28386</v>
      </c>
      <c r="N1375">
        <f>-594.938042197706 -2.09041380280291 -767.771316455453</f>
        <v>-1364.7997724559618</v>
      </c>
      <c r="O1375">
        <f>-625.345035156431 -137.575167161831 -719.368959897457</f>
        <v>-1482.289162215719</v>
      </c>
      <c r="P1375">
        <f>-624.296704272128 -114.555703119977 -403.686955426138</f>
        <v>-1142.539362818243</v>
      </c>
      <c r="Q1375">
        <f>-379.221599160587 -45.4427381166818 -456.636580919397</f>
        <v>-881.30091819666586</v>
      </c>
      <c r="R1375" t="s">
        <v>28387</v>
      </c>
      <c r="S1375" t="s">
        <v>28388</v>
      </c>
      <c r="T1375" t="s">
        <v>28389</v>
      </c>
      <c r="U1375" t="s">
        <v>28390</v>
      </c>
      <c r="V1375">
        <f>-604.228392977002 -8.01557450206899 -235.163325187255</f>
        <v>-847.40729266632593</v>
      </c>
      <c r="W1375" t="s">
        <v>28391</v>
      </c>
      <c r="X1375" t="s">
        <v>28392</v>
      </c>
      <c r="Y1375" t="s">
        <v>28393</v>
      </c>
    </row>
    <row r="1376" spans="1:25" x14ac:dyDescent="0.3">
      <c r="A1376">
        <v>68750</v>
      </c>
      <c r="B1376" t="s">
        <v>28394</v>
      </c>
      <c r="C1376" t="s">
        <v>28395</v>
      </c>
      <c r="D1376" t="s">
        <v>28396</v>
      </c>
      <c r="E1376" t="s">
        <v>28397</v>
      </c>
      <c r="F1376" t="s">
        <v>28398</v>
      </c>
      <c r="G1376" t="s">
        <v>28399</v>
      </c>
      <c r="H1376" t="s">
        <v>28400</v>
      </c>
      <c r="I1376">
        <f>-539.819266937285 -6.21225205644621 -930.383786177368</f>
        <v>-1476.4153051710991</v>
      </c>
      <c r="J1376" t="s">
        <v>28401</v>
      </c>
      <c r="K1376" t="s">
        <v>28402</v>
      </c>
      <c r="L1376" t="s">
        <v>28403</v>
      </c>
      <c r="M1376" t="s">
        <v>28404</v>
      </c>
      <c r="N1376">
        <f>-595.087012648037 -1.94694518066331 -767.80687869775</f>
        <v>-1364.8408365264504</v>
      </c>
      <c r="O1376">
        <f>-625.672385423262 -137.366280991622 -719.319124347469</f>
        <v>-1482.357790762353</v>
      </c>
      <c r="P1376">
        <f>-624.500018564789 -114.01733238566 -403.661715561469</f>
        <v>-1142.1790665119179</v>
      </c>
      <c r="Q1376">
        <f>-379.25579275852 -45.255598431038 -456.284407430397</f>
        <v>-880.79579861995489</v>
      </c>
      <c r="R1376" t="s">
        <v>28405</v>
      </c>
      <c r="S1376" t="s">
        <v>28406</v>
      </c>
      <c r="T1376" t="s">
        <v>28407</v>
      </c>
      <c r="U1376" t="s">
        <v>28408</v>
      </c>
      <c r="V1376">
        <f>-604.038902057553 -7.56437156549826 -235.149438589678</f>
        <v>-846.75271221272919</v>
      </c>
      <c r="W1376" t="s">
        <v>28409</v>
      </c>
      <c r="X1376" t="s">
        <v>28410</v>
      </c>
      <c r="Y1376" t="s">
        <v>28411</v>
      </c>
    </row>
    <row r="1377" spans="1:25" x14ac:dyDescent="0.3">
      <c r="A1377">
        <v>68800</v>
      </c>
      <c r="B1377" t="s">
        <v>28412</v>
      </c>
      <c r="C1377" t="s">
        <v>28413</v>
      </c>
      <c r="D1377" t="s">
        <v>28414</v>
      </c>
      <c r="E1377" t="s">
        <v>28415</v>
      </c>
      <c r="F1377" t="s">
        <v>28416</v>
      </c>
      <c r="G1377" t="s">
        <v>28417</v>
      </c>
      <c r="H1377" t="s">
        <v>28418</v>
      </c>
      <c r="I1377">
        <f>-539.969255767729 -6.10820213826385 -930.484450544401</f>
        <v>-1476.561908450394</v>
      </c>
      <c r="J1377" t="s">
        <v>28419</v>
      </c>
      <c r="K1377" t="s">
        <v>28420</v>
      </c>
      <c r="L1377" t="s">
        <v>28421</v>
      </c>
      <c r="M1377" t="s">
        <v>28422</v>
      </c>
      <c r="N1377">
        <f>-595.085983230583 -1.75948591829575 -767.861340875135</f>
        <v>-1364.7068100240137</v>
      </c>
      <c r="O1377">
        <f>-625.735209005323 -137.161613508847 -719.356380607393</f>
        <v>-1482.253203121563</v>
      </c>
      <c r="P1377">
        <f>-624.532328961515 -113.849743715465 -403.696322685444</f>
        <v>-1142.0783953624241</v>
      </c>
      <c r="Q1377">
        <f>-379.267867131544 -45.1329379569867 -456.283192318719</f>
        <v>-880.68399740724976</v>
      </c>
      <c r="R1377" t="s">
        <v>28423</v>
      </c>
      <c r="S1377" t="s">
        <v>28424</v>
      </c>
      <c r="T1377" t="s">
        <v>28425</v>
      </c>
      <c r="U1377" t="s">
        <v>28426</v>
      </c>
      <c r="V1377">
        <f>-603.810604713341 -7.33921970177576 -235.160407604638</f>
        <v>-846.31023201975472</v>
      </c>
      <c r="W1377" t="s">
        <v>28427</v>
      </c>
      <c r="X1377" t="s">
        <v>28428</v>
      </c>
      <c r="Y1377" t="s">
        <v>28429</v>
      </c>
    </row>
    <row r="1378" spans="1:25" x14ac:dyDescent="0.3">
      <c r="A1378">
        <v>68850</v>
      </c>
      <c r="B1378" t="s">
        <v>28430</v>
      </c>
      <c r="C1378" t="s">
        <v>28431</v>
      </c>
      <c r="D1378" t="s">
        <v>28432</v>
      </c>
      <c r="E1378" t="s">
        <v>28433</v>
      </c>
      <c r="F1378" t="s">
        <v>28434</v>
      </c>
      <c r="G1378" t="s">
        <v>28435</v>
      </c>
      <c r="H1378" t="s">
        <v>28436</v>
      </c>
      <c r="I1378">
        <f>-540.01051541361 -5.23698716716273 -930.826102282157</f>
        <v>-1476.0736048629296</v>
      </c>
      <c r="J1378" t="s">
        <v>28437</v>
      </c>
      <c r="K1378" t="s">
        <v>28438</v>
      </c>
      <c r="L1378" t="s">
        <v>28439</v>
      </c>
      <c r="M1378" t="s">
        <v>28440</v>
      </c>
      <c r="N1378">
        <f>-594.848035079208 -0.887939021427705 -768.124908675088</f>
        <v>-1363.8608827757237</v>
      </c>
      <c r="O1378">
        <f>-625.535221723371 -136.294810855924 -719.674709476135</f>
        <v>-1481.5047420554301</v>
      </c>
      <c r="P1378">
        <f>-624.090173154768 -113.112316377494 -404.005904352514</f>
        <v>-1141.2083938847759</v>
      </c>
      <c r="Q1378">
        <f>-378.780489043692 -44.5016761230638 -456.520775176867</f>
        <v>-879.80294034362282</v>
      </c>
      <c r="R1378" t="s">
        <v>28441</v>
      </c>
      <c r="S1378" t="s">
        <v>28442</v>
      </c>
      <c r="T1378" t="s">
        <v>28443</v>
      </c>
      <c r="U1378" t="s">
        <v>28444</v>
      </c>
      <c r="V1378">
        <f>-603.166799963808 -6.56085998795088 -235.238865016514</f>
        <v>-844.96652496827278</v>
      </c>
      <c r="W1378" t="s">
        <v>28445</v>
      </c>
      <c r="X1378" t="s">
        <v>28446</v>
      </c>
      <c r="Y1378" t="s">
        <v>28447</v>
      </c>
    </row>
    <row r="1379" spans="1:25" x14ac:dyDescent="0.3">
      <c r="A1379">
        <v>68900</v>
      </c>
      <c r="B1379" t="s">
        <v>28448</v>
      </c>
      <c r="C1379" t="s">
        <v>28449</v>
      </c>
      <c r="D1379" t="s">
        <v>28450</v>
      </c>
      <c r="E1379" t="s">
        <v>28451</v>
      </c>
      <c r="F1379" t="s">
        <v>28452</v>
      </c>
      <c r="G1379" t="s">
        <v>28453</v>
      </c>
      <c r="H1379" t="s">
        <v>28454</v>
      </c>
      <c r="I1379">
        <f>-540.042841301589 -4.77832370459396 -931.060494330286</f>
        <v>-1475.8816593364691</v>
      </c>
      <c r="J1379" t="s">
        <v>28455</v>
      </c>
      <c r="K1379" t="s">
        <v>28456</v>
      </c>
      <c r="L1379" t="s">
        <v>28457</v>
      </c>
      <c r="M1379" t="s">
        <v>28458</v>
      </c>
      <c r="N1379">
        <f>-594.707414306425 -0.434446255253782 -768.308281260009</f>
        <v>-1363.4501418216878</v>
      </c>
      <c r="O1379">
        <f>-625.421109814653 -135.838339181189 -719.860160845189</f>
        <v>-1481.119609841031</v>
      </c>
      <c r="P1379">
        <f>-623.802886483215 -112.693474434439 -404.189646107318</f>
        <v>-1140.6860070249722</v>
      </c>
      <c r="Q1379">
        <f>-378.472125404432 -44.20209345423 -456.76135553095</f>
        <v>-879.43557438961204</v>
      </c>
      <c r="R1379" t="s">
        <v>28459</v>
      </c>
      <c r="S1379" t="s">
        <v>28460</v>
      </c>
      <c r="T1379" t="s">
        <v>28461</v>
      </c>
      <c r="U1379" t="s">
        <v>28462</v>
      </c>
      <c r="V1379">
        <f>-602.826755770095 -6.1032816434664 -235.326001518116</f>
        <v>-844.25603893167738</v>
      </c>
      <c r="W1379" t="s">
        <v>28463</v>
      </c>
      <c r="X1379" t="s">
        <v>28464</v>
      </c>
      <c r="Y1379" t="s">
        <v>28465</v>
      </c>
    </row>
    <row r="1380" spans="1:25" x14ac:dyDescent="0.3">
      <c r="A1380">
        <v>68950</v>
      </c>
      <c r="B1380" t="s">
        <v>28466</v>
      </c>
      <c r="C1380" t="s">
        <v>28467</v>
      </c>
      <c r="D1380" t="s">
        <v>28468</v>
      </c>
      <c r="E1380" t="s">
        <v>28469</v>
      </c>
      <c r="F1380" t="s">
        <v>28470</v>
      </c>
      <c r="G1380" t="s">
        <v>28471</v>
      </c>
      <c r="H1380" t="s">
        <v>28472</v>
      </c>
      <c r="I1380">
        <f>-540.323763917585 -3.86290731325527 -931.551609130976</f>
        <v>-1475.7382803618161</v>
      </c>
      <c r="J1380" t="s">
        <v>28473</v>
      </c>
      <c r="K1380" t="s">
        <v>28474</v>
      </c>
      <c r="L1380" t="s">
        <v>28475</v>
      </c>
      <c r="M1380" t="s">
        <v>28476</v>
      </c>
      <c r="N1380" t="s">
        <v>28477</v>
      </c>
      <c r="O1380">
        <f>-625.255355481563 -135.050885790098 -720.239868091243</f>
        <v>-1480.5461093629042</v>
      </c>
      <c r="P1380">
        <f>-622.970526323886 -111.938851935596 -404.571073941549</f>
        <v>-1139.4804522010311</v>
      </c>
      <c r="Q1380">
        <f>-377.539256019466 -44.0724992175627 -457.483163187958</f>
        <v>-879.09491842498664</v>
      </c>
      <c r="R1380" t="s">
        <v>28478</v>
      </c>
      <c r="S1380" t="s">
        <v>28479</v>
      </c>
      <c r="T1380" t="s">
        <v>28480</v>
      </c>
      <c r="U1380" t="s">
        <v>28481</v>
      </c>
      <c r="V1380">
        <f>-602.133151562602 -5.29421452558445 -235.48563334831</f>
        <v>-842.91299943649653</v>
      </c>
      <c r="W1380" t="s">
        <v>28482</v>
      </c>
      <c r="X1380" t="s">
        <v>28483</v>
      </c>
      <c r="Y1380" t="s">
        <v>28484</v>
      </c>
    </row>
    <row r="1381" spans="1:25" x14ac:dyDescent="0.3">
      <c r="A1381">
        <v>69000</v>
      </c>
      <c r="B1381" t="s">
        <v>28485</v>
      </c>
      <c r="C1381" t="s">
        <v>28486</v>
      </c>
      <c r="D1381" t="s">
        <v>28487</v>
      </c>
      <c r="E1381" t="s">
        <v>28488</v>
      </c>
      <c r="F1381" t="s">
        <v>28489</v>
      </c>
      <c r="G1381" t="s">
        <v>28490</v>
      </c>
      <c r="H1381" t="s">
        <v>28491</v>
      </c>
      <c r="I1381">
        <f>-540.727413151269 -3.52090685201465 -931.834934234117</f>
        <v>-1476.0832542374005</v>
      </c>
      <c r="J1381" t="s">
        <v>28492</v>
      </c>
      <c r="K1381" t="s">
        <v>28493</v>
      </c>
      <c r="L1381" t="s">
        <v>28494</v>
      </c>
      <c r="M1381" t="s">
        <v>28495</v>
      </c>
      <c r="N1381" t="s">
        <v>28496</v>
      </c>
      <c r="O1381">
        <f>-625.378633401071 -134.711656560197 -720.395712969623</f>
        <v>-1480.4860029308911</v>
      </c>
      <c r="P1381">
        <f>-622.603761341329 -111.703317558368 -404.723183539512</f>
        <v>-1139.0302624392089</v>
      </c>
      <c r="Q1381">
        <f>-377.174443247543 -44.0725050198767 -457.945292811298</f>
        <v>-879.19224107871764</v>
      </c>
      <c r="R1381" t="s">
        <v>28497</v>
      </c>
      <c r="S1381" t="s">
        <v>28498</v>
      </c>
      <c r="T1381" t="s">
        <v>28499</v>
      </c>
      <c r="U1381" t="s">
        <v>28500</v>
      </c>
      <c r="V1381">
        <f>-601.657553846012 -4.93153218465444 -235.56333823275</f>
        <v>-842.15242426341638</v>
      </c>
      <c r="W1381" t="s">
        <v>28501</v>
      </c>
      <c r="X1381" t="s">
        <v>28502</v>
      </c>
      <c r="Y1381" t="s">
        <v>28503</v>
      </c>
    </row>
    <row r="1382" spans="1:25" x14ac:dyDescent="0.3">
      <c r="A1382">
        <v>69050</v>
      </c>
      <c r="B1382" t="s">
        <v>28504</v>
      </c>
      <c r="C1382" t="s">
        <v>28505</v>
      </c>
      <c r="D1382" t="s">
        <v>28506</v>
      </c>
      <c r="E1382" t="s">
        <v>28507</v>
      </c>
      <c r="F1382" t="s">
        <v>28508</v>
      </c>
      <c r="G1382" t="s">
        <v>28509</v>
      </c>
      <c r="H1382" t="s">
        <v>28510</v>
      </c>
      <c r="I1382">
        <f>-540.692003465346 -3.37090095471227 -932.088105626141</f>
        <v>-1476.1510100461992</v>
      </c>
      <c r="J1382" t="s">
        <v>28511</v>
      </c>
      <c r="K1382" t="s">
        <v>28512</v>
      </c>
      <c r="L1382" t="s">
        <v>28513</v>
      </c>
      <c r="M1382" t="s">
        <v>28514</v>
      </c>
      <c r="N1382" t="s">
        <v>28515</v>
      </c>
      <c r="O1382">
        <f>-625.105294811569 -134.553375034383 -720.54658190242</f>
        <v>-1480.2052517483721</v>
      </c>
      <c r="P1382">
        <f>-621.825421654759 -111.625183114926 -404.873125257543</f>
        <v>-1138.3237300272281</v>
      </c>
      <c r="Q1382">
        <f>-376.385556063534 -44.2760279806453 -458.402732784911</f>
        <v>-879.06431682909033</v>
      </c>
      <c r="R1382" t="s">
        <v>28516</v>
      </c>
      <c r="S1382" t="s">
        <v>28517</v>
      </c>
      <c r="T1382" t="s">
        <v>28518</v>
      </c>
      <c r="U1382" t="s">
        <v>28519</v>
      </c>
      <c r="V1382">
        <f>-601.189301068196 -4.68837931438411 -235.622290390993</f>
        <v>-841.49997077357307</v>
      </c>
      <c r="W1382" t="s">
        <v>28520</v>
      </c>
      <c r="X1382" t="s">
        <v>28521</v>
      </c>
      <c r="Y1382" t="s">
        <v>28522</v>
      </c>
    </row>
    <row r="1383" spans="1:25" x14ac:dyDescent="0.3">
      <c r="A1383">
        <v>69100</v>
      </c>
      <c r="B1383" t="s">
        <v>28523</v>
      </c>
      <c r="C1383" t="s">
        <v>28524</v>
      </c>
      <c r="D1383" t="s">
        <v>28525</v>
      </c>
      <c r="E1383" t="s">
        <v>28526</v>
      </c>
      <c r="F1383" t="s">
        <v>28527</v>
      </c>
      <c r="G1383" t="s">
        <v>28528</v>
      </c>
      <c r="H1383" t="s">
        <v>28529</v>
      </c>
      <c r="I1383">
        <f>-540.504043700108 -3.28853161025385 -932.490718461169</f>
        <v>-1476.2832937715307</v>
      </c>
      <c r="J1383" t="s">
        <v>28530</v>
      </c>
      <c r="K1383" t="s">
        <v>28531</v>
      </c>
      <c r="L1383" t="s">
        <v>28532</v>
      </c>
      <c r="M1383" t="s">
        <v>28533</v>
      </c>
      <c r="N1383" t="s">
        <v>28534</v>
      </c>
      <c r="O1383">
        <f>-624.63955009008 -134.388058429654 -720.849985665583</f>
        <v>-1479.8775941853169</v>
      </c>
      <c r="P1383">
        <f>-620.160871341362 -111.518832196445 -405.186922211659</f>
        <v>-1136.866625749466</v>
      </c>
      <c r="Q1383">
        <f>-374.763355126393 -44.5138458189465 -459.338935525754</f>
        <v>-878.61613647109345</v>
      </c>
      <c r="R1383" t="s">
        <v>28535</v>
      </c>
      <c r="S1383" t="s">
        <v>28536</v>
      </c>
      <c r="T1383" t="s">
        <v>28537</v>
      </c>
      <c r="U1383" t="s">
        <v>28538</v>
      </c>
      <c r="V1383">
        <f>-600.561781074864 -4.19287311060147 -235.803908734372</f>
        <v>-840.55856291983741</v>
      </c>
      <c r="W1383" t="s">
        <v>28539</v>
      </c>
      <c r="X1383" t="s">
        <v>28540</v>
      </c>
      <c r="Y1383" t="s">
        <v>28541</v>
      </c>
    </row>
    <row r="1384" spans="1:25" x14ac:dyDescent="0.3">
      <c r="A1384">
        <v>69150</v>
      </c>
      <c r="B1384" t="s">
        <v>28542</v>
      </c>
      <c r="C1384" t="s">
        <v>28543</v>
      </c>
      <c r="D1384" t="s">
        <v>28544</v>
      </c>
      <c r="E1384" t="s">
        <v>28545</v>
      </c>
      <c r="F1384" t="s">
        <v>28546</v>
      </c>
      <c r="G1384" t="s">
        <v>28547</v>
      </c>
      <c r="H1384" t="s">
        <v>28548</v>
      </c>
      <c r="I1384">
        <f>-540.778353960043 -3.11687571627273 -932.886322443519</f>
        <v>-1476.7815521198347</v>
      </c>
      <c r="J1384" t="s">
        <v>28549</v>
      </c>
      <c r="K1384" t="s">
        <v>28550</v>
      </c>
      <c r="L1384" t="s">
        <v>28551</v>
      </c>
      <c r="M1384" t="s">
        <v>28552</v>
      </c>
      <c r="N1384" t="s">
        <v>28553</v>
      </c>
      <c r="O1384">
        <f>-624.529311153752 -134.139805710868 -721.070660582933</f>
        <v>-1479.739777447553</v>
      </c>
      <c r="P1384">
        <f>-619.369495717875 -111.482641698235 -405.402762043862</f>
        <v>-1136.254899459972</v>
      </c>
      <c r="Q1384">
        <f>-373.922801818063 -44.9969047148306 -459.970718694272</f>
        <v>-878.89042522716568</v>
      </c>
      <c r="R1384" t="s">
        <v>28554</v>
      </c>
      <c r="S1384" t="s">
        <v>28555</v>
      </c>
      <c r="T1384" t="s">
        <v>28556</v>
      </c>
      <c r="U1384" t="s">
        <v>28557</v>
      </c>
      <c r="V1384">
        <f>-600.175013328625 -3.77285470258489 -236.011070853495</f>
        <v>-839.95893888470493</v>
      </c>
      <c r="W1384" t="s">
        <v>28558</v>
      </c>
      <c r="X1384" t="s">
        <v>28559</v>
      </c>
      <c r="Y1384" t="s">
        <v>28560</v>
      </c>
    </row>
    <row r="1385" spans="1:25" x14ac:dyDescent="0.3">
      <c r="A1385">
        <v>69200</v>
      </c>
      <c r="B1385" t="s">
        <v>28561</v>
      </c>
      <c r="C1385" t="s">
        <v>28562</v>
      </c>
      <c r="D1385" t="s">
        <v>28563</v>
      </c>
      <c r="E1385" t="s">
        <v>28564</v>
      </c>
      <c r="F1385" t="s">
        <v>28565</v>
      </c>
      <c r="G1385" t="s">
        <v>28566</v>
      </c>
      <c r="H1385" t="s">
        <v>28567</v>
      </c>
      <c r="I1385">
        <f>-540.788876137287 -3.14269908103503 -933.019112736303</f>
        <v>-1476.9506879546252</v>
      </c>
      <c r="J1385" t="s">
        <v>28568</v>
      </c>
      <c r="K1385" t="s">
        <v>28569</v>
      </c>
      <c r="L1385" t="s">
        <v>28570</v>
      </c>
      <c r="M1385" t="s">
        <v>28571</v>
      </c>
      <c r="N1385" t="s">
        <v>28572</v>
      </c>
      <c r="O1385">
        <f>-624.398723939586 -134.078888613716 -721.112387642985</f>
        <v>-1479.5900001962871</v>
      </c>
      <c r="P1385">
        <f>-619.016557306995 -111.534968576323 -405.440086121312</f>
        <v>-1135.99161200463</v>
      </c>
      <c r="Q1385">
        <f>-373.520456113647 -45.3231415062644 -460.118054910324</f>
        <v>-878.96165253023537</v>
      </c>
      <c r="R1385" t="s">
        <v>28573</v>
      </c>
      <c r="S1385" t="s">
        <v>28574</v>
      </c>
      <c r="T1385" t="s">
        <v>28575</v>
      </c>
      <c r="U1385" t="s">
        <v>28576</v>
      </c>
      <c r="V1385">
        <f>-599.948844206516 -3.56866232900881 -236.127262719348</f>
        <v>-839.64476925487281</v>
      </c>
      <c r="W1385" t="s">
        <v>28577</v>
      </c>
      <c r="X1385" t="s">
        <v>28578</v>
      </c>
      <c r="Y1385" t="s">
        <v>28579</v>
      </c>
    </row>
    <row r="1386" spans="1:25" x14ac:dyDescent="0.3">
      <c r="A1386">
        <v>69250</v>
      </c>
      <c r="B1386" t="s">
        <v>28580</v>
      </c>
      <c r="C1386" t="s">
        <v>28581</v>
      </c>
      <c r="D1386" t="s">
        <v>28582</v>
      </c>
      <c r="E1386" t="s">
        <v>28583</v>
      </c>
      <c r="F1386" t="s">
        <v>28584</v>
      </c>
      <c r="G1386" t="s">
        <v>28585</v>
      </c>
      <c r="H1386" t="s">
        <v>28586</v>
      </c>
      <c r="I1386">
        <f>-540.86892494006 -3.11257773802831 -933.217794605307</f>
        <v>-1477.1992972833953</v>
      </c>
      <c r="J1386" t="s">
        <v>28587</v>
      </c>
      <c r="K1386" t="s">
        <v>28588</v>
      </c>
      <c r="L1386" t="s">
        <v>28589</v>
      </c>
      <c r="M1386" t="s">
        <v>28590</v>
      </c>
      <c r="N1386" t="s">
        <v>28591</v>
      </c>
      <c r="O1386">
        <f>-624.47261061659 -133.820868597439 -721.216781972139</f>
        <v>-1479.510261186168</v>
      </c>
      <c r="P1386">
        <f>-618.893454956123 -110.997369945467 -405.567963358787</f>
        <v>-1135.4587882603769</v>
      </c>
      <c r="Q1386">
        <f>-373.145601701662 -45.5985113718746 -460.093641214573</f>
        <v>-878.83775428810964</v>
      </c>
      <c r="R1386" t="s">
        <v>28592</v>
      </c>
      <c r="S1386" t="s">
        <v>28593</v>
      </c>
      <c r="T1386" t="s">
        <v>28594</v>
      </c>
      <c r="U1386" t="s">
        <v>28595</v>
      </c>
      <c r="V1386">
        <f>-599.721552540908 -3.09810302406328 -236.34774134122</f>
        <v>-839.16739690619124</v>
      </c>
      <c r="W1386" t="s">
        <v>28596</v>
      </c>
      <c r="X1386" t="s">
        <v>28597</v>
      </c>
      <c r="Y1386" t="s">
        <v>28598</v>
      </c>
    </row>
    <row r="1387" spans="1:25" x14ac:dyDescent="0.3">
      <c r="A1387">
        <v>69300</v>
      </c>
      <c r="B1387" t="s">
        <v>28599</v>
      </c>
      <c r="C1387" t="s">
        <v>28600</v>
      </c>
      <c r="D1387" t="s">
        <v>28601</v>
      </c>
      <c r="E1387" t="s">
        <v>28602</v>
      </c>
      <c r="F1387" t="s">
        <v>28603</v>
      </c>
      <c r="G1387" t="s">
        <v>28604</v>
      </c>
      <c r="H1387" t="s">
        <v>28605</v>
      </c>
      <c r="I1387">
        <f>-540.961781301955 -3.10491700688742 -933.278393373038</f>
        <v>-1477.3450916818806</v>
      </c>
      <c r="J1387" t="s">
        <v>28606</v>
      </c>
      <c r="K1387" t="s">
        <v>28607</v>
      </c>
      <c r="L1387" t="s">
        <v>28608</v>
      </c>
      <c r="M1387" t="s">
        <v>28609</v>
      </c>
      <c r="N1387" t="s">
        <v>28610</v>
      </c>
      <c r="O1387">
        <f>-624.640152266285 -133.667131183423 -721.213947634135</f>
        <v>-1479.5212310838428</v>
      </c>
      <c r="P1387">
        <f>-619.118075050997 -110.730240095799 -405.572378319374</f>
        <v>-1135.4206934661702</v>
      </c>
      <c r="Q1387">
        <f>-373.291201245155 -45.5074638938031 -459.952222841226</f>
        <v>-878.75088798018407</v>
      </c>
      <c r="R1387" t="s">
        <v>28611</v>
      </c>
      <c r="S1387" t="s">
        <v>28612</v>
      </c>
      <c r="T1387" t="s">
        <v>28613</v>
      </c>
      <c r="U1387" t="s">
        <v>28614</v>
      </c>
      <c r="V1387">
        <f>-599.761585659329 -2.88602749239925 -236.471073980444</f>
        <v>-839.11868713217211</v>
      </c>
      <c r="W1387" t="s">
        <v>28615</v>
      </c>
      <c r="X1387" t="s">
        <v>28616</v>
      </c>
      <c r="Y1387" t="s">
        <v>28617</v>
      </c>
    </row>
    <row r="1388" spans="1:25" x14ac:dyDescent="0.3">
      <c r="A1388">
        <v>69350</v>
      </c>
      <c r="B1388" t="s">
        <v>28618</v>
      </c>
      <c r="C1388" t="s">
        <v>28619</v>
      </c>
      <c r="D1388" t="s">
        <v>28620</v>
      </c>
      <c r="E1388" t="s">
        <v>28621</v>
      </c>
      <c r="F1388" t="s">
        <v>28622</v>
      </c>
      <c r="G1388" t="s">
        <v>28623</v>
      </c>
      <c r="H1388" t="s">
        <v>28624</v>
      </c>
      <c r="I1388">
        <f>-541.600569426096 -3.24122476206446 -933.394719466469</f>
        <v>-1478.2365136546296</v>
      </c>
      <c r="J1388" t="s">
        <v>28625</v>
      </c>
      <c r="K1388" t="s">
        <v>28626</v>
      </c>
      <c r="L1388" t="s">
        <v>28627</v>
      </c>
      <c r="M1388" t="s">
        <v>28628</v>
      </c>
      <c r="N1388" t="s">
        <v>28629</v>
      </c>
      <c r="O1388">
        <f>-625.3709443085 -133.557648168714 -721.222729591046</f>
        <v>-1480.15132206826</v>
      </c>
      <c r="P1388">
        <f>-619.890572765097 -110.467472060116 -405.591508958752</f>
        <v>-1135.949553783965</v>
      </c>
      <c r="Q1388">
        <f>-374.110051135258 -45.1268488142889 -460.03956600211</f>
        <v>-879.27646595165697</v>
      </c>
      <c r="R1388" t="s">
        <v>28630</v>
      </c>
      <c r="S1388" t="s">
        <v>28631</v>
      </c>
      <c r="T1388" t="s">
        <v>28632</v>
      </c>
      <c r="U1388" t="s">
        <v>28633</v>
      </c>
      <c r="V1388">
        <f>-600.305464625314 -2.97305047609034 -236.727479580925</f>
        <v>-840.00599468232929</v>
      </c>
      <c r="W1388" t="s">
        <v>28634</v>
      </c>
      <c r="X1388" t="s">
        <v>28635</v>
      </c>
      <c r="Y1388" t="s">
        <v>28636</v>
      </c>
    </row>
    <row r="1389" spans="1:25" x14ac:dyDescent="0.3">
      <c r="A1389">
        <v>69400</v>
      </c>
      <c r="B1389" t="s">
        <v>28637</v>
      </c>
      <c r="C1389" t="s">
        <v>28638</v>
      </c>
      <c r="D1389" t="s">
        <v>28639</v>
      </c>
      <c r="E1389" t="s">
        <v>28640</v>
      </c>
      <c r="F1389" t="s">
        <v>28641</v>
      </c>
      <c r="G1389" t="s">
        <v>28642</v>
      </c>
      <c r="H1389" t="s">
        <v>28643</v>
      </c>
      <c r="I1389">
        <f>-541.701573329554 -3.52956269552269 -933.409076131128</f>
        <v>-1478.6402121562046</v>
      </c>
      <c r="J1389" t="s">
        <v>28644</v>
      </c>
      <c r="K1389" t="s">
        <v>28645</v>
      </c>
      <c r="L1389" t="s">
        <v>28646</v>
      </c>
      <c r="M1389" t="s">
        <v>28647</v>
      </c>
      <c r="N1389" t="s">
        <v>28648</v>
      </c>
      <c r="O1389">
        <f>-625.566054798159 -133.712779387481 -721.225442598015</f>
        <v>-1480.5042767836549</v>
      </c>
      <c r="P1389">
        <f>-620.075534028544 -110.696704315995 -405.589102200283</f>
        <v>-1136.361340544822</v>
      </c>
      <c r="Q1389">
        <f>-374.499008997508 -44.8749292821691 -460.377042173611</f>
        <v>-879.75098045328809</v>
      </c>
      <c r="R1389" t="s">
        <v>28649</v>
      </c>
      <c r="S1389" t="s">
        <v>28650</v>
      </c>
      <c r="T1389" t="s">
        <v>28651</v>
      </c>
      <c r="U1389" t="s">
        <v>28652</v>
      </c>
      <c r="V1389">
        <f>-600.526395980963 -3.18917905048673 -236.811495356699</f>
        <v>-840.52707038814867</v>
      </c>
      <c r="W1389" t="s">
        <v>28653</v>
      </c>
      <c r="X1389" t="s">
        <v>28654</v>
      </c>
      <c r="Y1389" t="s">
        <v>28655</v>
      </c>
    </row>
    <row r="1390" spans="1:25" x14ac:dyDescent="0.3">
      <c r="A1390">
        <v>69450</v>
      </c>
      <c r="B1390" t="s">
        <v>28656</v>
      </c>
      <c r="C1390" t="s">
        <v>28657</v>
      </c>
      <c r="D1390" t="s">
        <v>28658</v>
      </c>
      <c r="E1390" t="s">
        <v>28659</v>
      </c>
      <c r="F1390" t="s">
        <v>28660</v>
      </c>
      <c r="G1390" t="s">
        <v>28661</v>
      </c>
      <c r="H1390" t="s">
        <v>28662</v>
      </c>
      <c r="I1390">
        <f>-541.652319185322 -4.33638210967501 -933.375339581703</f>
        <v>-1479.3640408767001</v>
      </c>
      <c r="J1390" t="s">
        <v>28663</v>
      </c>
      <c r="K1390" t="s">
        <v>28664</v>
      </c>
      <c r="L1390" t="s">
        <v>28665</v>
      </c>
      <c r="M1390" t="s">
        <v>28666</v>
      </c>
      <c r="N1390" t="s">
        <v>28667</v>
      </c>
      <c r="O1390">
        <f>-625.508510753541 -134.286824122379 -721.104820580898</f>
        <v>-1480.9001554568181</v>
      </c>
      <c r="P1390">
        <f>-619.918687412003 -110.850117920837 -405.501156674603</f>
        <v>-1136.2699620074429</v>
      </c>
      <c r="Q1390">
        <f>-374.614476307626 -44.3288998346119 -460.662833205685</f>
        <v>-879.60620934792291</v>
      </c>
      <c r="R1390" t="s">
        <v>28668</v>
      </c>
      <c r="S1390" t="s">
        <v>28669</v>
      </c>
      <c r="T1390" t="s">
        <v>28670</v>
      </c>
      <c r="U1390" t="s">
        <v>28671</v>
      </c>
      <c r="V1390">
        <f>-600.494032943237 -3.58716960706541 -236.891674985937</f>
        <v>-840.97287753623948</v>
      </c>
      <c r="W1390" t="s">
        <v>28672</v>
      </c>
      <c r="X1390" t="s">
        <v>28673</v>
      </c>
      <c r="Y1390" t="s">
        <v>28674</v>
      </c>
    </row>
    <row r="1391" spans="1:25" x14ac:dyDescent="0.3">
      <c r="A1391">
        <v>69500</v>
      </c>
      <c r="B1391" t="s">
        <v>28675</v>
      </c>
      <c r="C1391" t="s">
        <v>28676</v>
      </c>
      <c r="D1391" t="s">
        <v>28677</v>
      </c>
      <c r="E1391" t="s">
        <v>28678</v>
      </c>
      <c r="F1391" t="s">
        <v>28679</v>
      </c>
      <c r="G1391" t="s">
        <v>28680</v>
      </c>
      <c r="H1391" t="s">
        <v>28681</v>
      </c>
      <c r="I1391">
        <f>-541.540407902987 -4.55881527005501 -933.352438252311</f>
        <v>-1479.451661425353</v>
      </c>
      <c r="J1391" t="s">
        <v>28682</v>
      </c>
      <c r="K1391" t="s">
        <v>28683</v>
      </c>
      <c r="L1391" t="s">
        <v>28684</v>
      </c>
      <c r="M1391" t="s">
        <v>28685</v>
      </c>
      <c r="N1391" t="s">
        <v>28686</v>
      </c>
      <c r="O1391">
        <f>-625.391880263412 -134.441270413397 -721.05820799957</f>
        <v>-1480.8913586763788</v>
      </c>
      <c r="P1391">
        <f>-619.806570925433 -110.882770581283 -405.463468671956</f>
        <v>-1136.1528101786721</v>
      </c>
      <c r="Q1391">
        <f>-374.533167131436 -44.2642186066345 -460.644772028041</f>
        <v>-879.44215776611145</v>
      </c>
      <c r="R1391" t="s">
        <v>28687</v>
      </c>
      <c r="S1391" t="s">
        <v>28688</v>
      </c>
      <c r="T1391" t="s">
        <v>28689</v>
      </c>
      <c r="U1391" t="s">
        <v>28690</v>
      </c>
      <c r="V1391">
        <f>-600.236700011978 -3.60117723456294 -236.901424509678</f>
        <v>-840.73930175621888</v>
      </c>
      <c r="W1391" t="s">
        <v>28691</v>
      </c>
      <c r="X1391" t="s">
        <v>28692</v>
      </c>
      <c r="Y1391" t="s">
        <v>28693</v>
      </c>
    </row>
    <row r="1392" spans="1:25" x14ac:dyDescent="0.3">
      <c r="A1392">
        <v>69550</v>
      </c>
      <c r="B1392" t="s">
        <v>28694</v>
      </c>
      <c r="C1392" t="s">
        <v>28695</v>
      </c>
      <c r="D1392" t="s">
        <v>28696</v>
      </c>
      <c r="E1392" t="s">
        <v>28697</v>
      </c>
      <c r="F1392" t="s">
        <v>28698</v>
      </c>
      <c r="G1392" t="s">
        <v>28699</v>
      </c>
      <c r="H1392" t="s">
        <v>28700</v>
      </c>
      <c r="I1392">
        <f>-540.932937561247 -4.64451694957355 -933.280547641153</f>
        <v>-1478.8580021519736</v>
      </c>
      <c r="J1392" t="s">
        <v>28701</v>
      </c>
      <c r="K1392" t="s">
        <v>28702</v>
      </c>
      <c r="L1392" t="s">
        <v>28703</v>
      </c>
      <c r="M1392" t="s">
        <v>28704</v>
      </c>
      <c r="N1392" t="s">
        <v>28705</v>
      </c>
      <c r="O1392">
        <f>-624.750686253841 -134.572017051688 -721.028548629966</f>
        <v>-1480.3512519354949</v>
      </c>
      <c r="P1392">
        <f>-619.507879755192 -111.14812151131 -405.417944510776</f>
        <v>-1136.0739457772779</v>
      </c>
      <c r="Q1392">
        <f>-374.144533306573 -44.5539767965613 -460.227676142404</f>
        <v>-878.92618624553825</v>
      </c>
      <c r="R1392" t="s">
        <v>28706</v>
      </c>
      <c r="S1392" t="s">
        <v>28707</v>
      </c>
      <c r="T1392" t="s">
        <v>28708</v>
      </c>
      <c r="U1392" t="s">
        <v>28709</v>
      </c>
      <c r="V1392">
        <f>-599.532573276751 -3.81648286819151 -236.895480857539</f>
        <v>-840.24453700248159</v>
      </c>
      <c r="W1392" t="s">
        <v>28710</v>
      </c>
      <c r="X1392" t="s">
        <v>28711</v>
      </c>
      <c r="Y1392" t="s">
        <v>28712</v>
      </c>
    </row>
    <row r="1393" spans="1:25" x14ac:dyDescent="0.3">
      <c r="A1393">
        <v>69600</v>
      </c>
      <c r="B1393" t="s">
        <v>28713</v>
      </c>
      <c r="C1393" t="s">
        <v>28714</v>
      </c>
      <c r="D1393" t="s">
        <v>28715</v>
      </c>
      <c r="E1393" t="s">
        <v>28716</v>
      </c>
      <c r="F1393" t="s">
        <v>28717</v>
      </c>
      <c r="G1393" t="s">
        <v>28718</v>
      </c>
      <c r="H1393" t="s">
        <v>28719</v>
      </c>
      <c r="I1393">
        <f>-540.331007940575 -4.81692309830795 -933.266337725139</f>
        <v>-1478.4142687640219</v>
      </c>
      <c r="J1393" t="s">
        <v>28720</v>
      </c>
      <c r="K1393" t="s">
        <v>28721</v>
      </c>
      <c r="L1393" t="s">
        <v>28722</v>
      </c>
      <c r="M1393" t="s">
        <v>28723</v>
      </c>
      <c r="N1393" t="s">
        <v>28724</v>
      </c>
      <c r="O1393">
        <f>-624.193159920007 -134.754571043299 -721.049315950668</f>
        <v>-1479.9970469139739</v>
      </c>
      <c r="P1393">
        <f>-619.154116555033 -111.274065023254 -405.439571611853</f>
        <v>-1135.8677531901401</v>
      </c>
      <c r="Q1393">
        <f>-373.693443331964 -44.945876655654 -460.135759733367</f>
        <v>-878.77507972098499</v>
      </c>
      <c r="R1393" t="s">
        <v>28725</v>
      </c>
      <c r="S1393" t="s">
        <v>28726</v>
      </c>
      <c r="T1393" t="s">
        <v>28727</v>
      </c>
      <c r="U1393" t="s">
        <v>28728</v>
      </c>
      <c r="V1393">
        <f>-599.127710247271 -3.92326323432069 -236.918078425795</f>
        <v>-839.96905190738664</v>
      </c>
      <c r="W1393" t="s">
        <v>28729</v>
      </c>
      <c r="X1393" t="s">
        <v>28730</v>
      </c>
      <c r="Y1393" t="s">
        <v>28731</v>
      </c>
    </row>
    <row r="1394" spans="1:25" x14ac:dyDescent="0.3">
      <c r="A1394">
        <v>69650</v>
      </c>
      <c r="B1394" t="s">
        <v>28732</v>
      </c>
      <c r="C1394" t="s">
        <v>28733</v>
      </c>
      <c r="D1394" t="s">
        <v>28734</v>
      </c>
      <c r="E1394" t="s">
        <v>28735</v>
      </c>
      <c r="F1394" t="s">
        <v>28736</v>
      </c>
      <c r="G1394" t="s">
        <v>28737</v>
      </c>
      <c r="H1394" t="s">
        <v>28738</v>
      </c>
      <c r="I1394">
        <f>-539.478447801522 -4.92358221047142 -933.270065722666</f>
        <v>-1477.6720957346593</v>
      </c>
      <c r="J1394" t="s">
        <v>28739</v>
      </c>
      <c r="K1394" t="s">
        <v>28740</v>
      </c>
      <c r="L1394" t="s">
        <v>28741</v>
      </c>
      <c r="M1394" t="s">
        <v>28742</v>
      </c>
      <c r="N1394" t="s">
        <v>28743</v>
      </c>
      <c r="O1394">
        <f>-623.339690333643 -134.973711094155 -721.087350709842</f>
        <v>-1479.40075213764</v>
      </c>
      <c r="P1394">
        <f>-618.550453883013 -111.0276684898 -405.508832664529</f>
        <v>-1135.086955037342</v>
      </c>
      <c r="Q1394">
        <f>-372.845242985662 -45.5897604147571 -460.179491535443</f>
        <v>-878.61449493586213</v>
      </c>
      <c r="R1394" t="s">
        <v>28744</v>
      </c>
      <c r="S1394" t="s">
        <v>28745</v>
      </c>
      <c r="T1394" t="s">
        <v>28746</v>
      </c>
      <c r="U1394" t="s">
        <v>28747</v>
      </c>
      <c r="V1394">
        <f>-598.354664348906 -4.07019638921891 -236.928308037802</f>
        <v>-839.35316877592697</v>
      </c>
      <c r="W1394" t="s">
        <v>28748</v>
      </c>
      <c r="X1394" t="s">
        <v>28749</v>
      </c>
      <c r="Y1394" t="s">
        <v>28750</v>
      </c>
    </row>
    <row r="1395" spans="1:25" x14ac:dyDescent="0.3">
      <c r="A1395">
        <v>69700</v>
      </c>
      <c r="B1395" t="s">
        <v>28751</v>
      </c>
      <c r="C1395" t="s">
        <v>28752</v>
      </c>
      <c r="D1395" t="s">
        <v>28753</v>
      </c>
      <c r="E1395" t="s">
        <v>28754</v>
      </c>
      <c r="F1395" t="s">
        <v>28755</v>
      </c>
      <c r="G1395" t="s">
        <v>28756</v>
      </c>
      <c r="H1395" t="s">
        <v>28757</v>
      </c>
      <c r="I1395">
        <f>-539.113086305528 -5.0815185095194 -933.236213379752</f>
        <v>-1477.4308181947995</v>
      </c>
      <c r="J1395" t="s">
        <v>28758</v>
      </c>
      <c r="K1395" t="s">
        <v>28759</v>
      </c>
      <c r="L1395" t="s">
        <v>28760</v>
      </c>
      <c r="M1395" t="s">
        <v>28761</v>
      </c>
      <c r="N1395" t="s">
        <v>28762</v>
      </c>
      <c r="O1395">
        <f>-623.009266882407 -135.139843124625 -721.068938469103</f>
        <v>-1479.2180484761352</v>
      </c>
      <c r="P1395">
        <f>-618.332774716906 -110.979103653574 -405.505162010673</f>
        <v>-1134.817040381153</v>
      </c>
      <c r="Q1395">
        <f>-372.507499853079 -45.9617014275024 -460.137739275067</f>
        <v>-878.60694055564841</v>
      </c>
      <c r="R1395" t="s">
        <v>28763</v>
      </c>
      <c r="S1395" t="s">
        <v>28764</v>
      </c>
      <c r="T1395" t="s">
        <v>28765</v>
      </c>
      <c r="U1395" t="s">
        <v>28766</v>
      </c>
      <c r="V1395">
        <f>-598.087386867243 -4.19162280808847 -236.929918023482</f>
        <v>-839.20892769881357</v>
      </c>
      <c r="W1395" t="s">
        <v>28767</v>
      </c>
      <c r="X1395" t="s">
        <v>28768</v>
      </c>
      <c r="Y1395" t="s">
        <v>28769</v>
      </c>
    </row>
    <row r="1396" spans="1:25" x14ac:dyDescent="0.3">
      <c r="A1396">
        <v>69750</v>
      </c>
      <c r="B1396" t="s">
        <v>28770</v>
      </c>
      <c r="C1396" t="s">
        <v>28771</v>
      </c>
      <c r="D1396" t="s">
        <v>28772</v>
      </c>
      <c r="E1396" t="s">
        <v>28773</v>
      </c>
      <c r="F1396" t="s">
        <v>28774</v>
      </c>
      <c r="G1396" t="s">
        <v>28775</v>
      </c>
      <c r="H1396" t="s">
        <v>28776</v>
      </c>
      <c r="I1396">
        <f>-538.659381293478 -5.62805451244807 -933.166760105209</f>
        <v>-1477.4541959111352</v>
      </c>
      <c r="J1396" t="s">
        <v>28777</v>
      </c>
      <c r="K1396" t="s">
        <v>28778</v>
      </c>
      <c r="L1396" t="s">
        <v>28779</v>
      </c>
      <c r="M1396" t="s">
        <v>28780</v>
      </c>
      <c r="N1396">
        <f>-591.870961214132 -0.47289392383724 -770.057122825843</f>
        <v>-1362.4009779638122</v>
      </c>
      <c r="O1396">
        <f>-622.62318827538 -135.644523160068 -720.995089427891</f>
        <v>-1479.2628008633392</v>
      </c>
      <c r="P1396">
        <f>-618.039961402701 -111.322660897102 -405.442128447968</f>
        <v>-1134.8047507477709</v>
      </c>
      <c r="Q1396">
        <f>-372.083169176058 -46.7443184833921 -460.004193365602</f>
        <v>-878.83168102505215</v>
      </c>
      <c r="R1396" t="s">
        <v>28781</v>
      </c>
      <c r="S1396" t="s">
        <v>28782</v>
      </c>
      <c r="T1396" t="s">
        <v>28783</v>
      </c>
      <c r="U1396" t="s">
        <v>28784</v>
      </c>
      <c r="V1396">
        <f>-597.683977788227 -4.70938448393456 -236.931374431801</f>
        <v>-839.32473670396257</v>
      </c>
      <c r="W1396" t="s">
        <v>28785</v>
      </c>
      <c r="X1396" t="s">
        <v>28786</v>
      </c>
      <c r="Y1396" t="s">
        <v>28787</v>
      </c>
    </row>
    <row r="1397" spans="1:25" x14ac:dyDescent="0.3">
      <c r="A1397">
        <v>69800</v>
      </c>
      <c r="B1397" t="s">
        <v>28788</v>
      </c>
      <c r="C1397" t="s">
        <v>28789</v>
      </c>
      <c r="D1397" t="s">
        <v>28790</v>
      </c>
      <c r="E1397" t="s">
        <v>28791</v>
      </c>
      <c r="F1397" t="s">
        <v>28792</v>
      </c>
      <c r="G1397" t="s">
        <v>28793</v>
      </c>
      <c r="H1397" t="s">
        <v>28794</v>
      </c>
      <c r="I1397">
        <f>-538.407992911752 -6.0046540921624 -933.112713082998</f>
        <v>-1477.5253600869123</v>
      </c>
      <c r="J1397" t="s">
        <v>28795</v>
      </c>
      <c r="K1397" t="s">
        <v>28796</v>
      </c>
      <c r="L1397" t="s">
        <v>28797</v>
      </c>
      <c r="M1397" t="s">
        <v>28798</v>
      </c>
      <c r="N1397">
        <f>-591.642835489731 -0.81545202313329 -770.019832795139</f>
        <v>-1362.4781203080033</v>
      </c>
      <c r="O1397">
        <f>-622.42251401256 -135.956843476599 -720.896976491233</f>
        <v>-1479.2763339803919</v>
      </c>
      <c r="P1397">
        <f>-617.734116638257 -111.540499825447 -405.353051457386</f>
        <v>-1134.6276679210901</v>
      </c>
      <c r="Q1397">
        <f>-371.708953591895 -47.1483659960343 -459.826088854577</f>
        <v>-878.68340844250633</v>
      </c>
      <c r="R1397" t="s">
        <v>28799</v>
      </c>
      <c r="S1397" t="s">
        <v>28800</v>
      </c>
      <c r="T1397" t="s">
        <v>28801</v>
      </c>
      <c r="U1397" t="s">
        <v>28802</v>
      </c>
      <c r="V1397">
        <f>-597.460477848917 -5.03325308824857 -236.909651661371</f>
        <v>-839.4033825985365</v>
      </c>
      <c r="W1397" t="s">
        <v>28803</v>
      </c>
      <c r="X1397" t="s">
        <v>28804</v>
      </c>
      <c r="Y1397" t="s">
        <v>28805</v>
      </c>
    </row>
    <row r="1398" spans="1:25" x14ac:dyDescent="0.3">
      <c r="A1398">
        <v>69850</v>
      </c>
      <c r="B1398" t="s">
        <v>28806</v>
      </c>
      <c r="C1398" t="s">
        <v>28807</v>
      </c>
      <c r="D1398" t="s">
        <v>28808</v>
      </c>
      <c r="E1398" t="s">
        <v>28809</v>
      </c>
      <c r="F1398" t="s">
        <v>28810</v>
      </c>
      <c r="G1398" t="s">
        <v>28811</v>
      </c>
      <c r="H1398" t="s">
        <v>28812</v>
      </c>
      <c r="I1398">
        <f>-537.683705384627 -7.05774816439973 -932.952744541221</f>
        <v>-1477.6941980902479</v>
      </c>
      <c r="J1398" t="s">
        <v>28813</v>
      </c>
      <c r="K1398" t="s">
        <v>28814</v>
      </c>
      <c r="L1398" t="s">
        <v>28815</v>
      </c>
      <c r="M1398" t="s">
        <v>28816</v>
      </c>
      <c r="N1398">
        <f>-591.048992146323 -1.72192299389564 -769.900060654216</f>
        <v>-1362.6709757944345</v>
      </c>
      <c r="O1398">
        <f>-621.949417504413 -136.783075384796 -720.641766505911</f>
        <v>-1479.3742593951201</v>
      </c>
      <c r="P1398">
        <f>-617.275556082162 -111.99088293755 -405.126790920515</f>
        <v>-1134.393229940227</v>
      </c>
      <c r="Q1398">
        <f>-371.252802803857 -47.7006234400785 -459.730923325132</f>
        <v>-878.68434956906754</v>
      </c>
      <c r="R1398" t="s">
        <v>28817</v>
      </c>
      <c r="S1398" t="s">
        <v>28818</v>
      </c>
      <c r="T1398" t="s">
        <v>28819</v>
      </c>
      <c r="U1398" t="s">
        <v>28820</v>
      </c>
      <c r="V1398">
        <f>-597.184819168394 -5.59460669079155 -236.866665279927</f>
        <v>-839.64609113911263</v>
      </c>
      <c r="W1398" t="s">
        <v>28821</v>
      </c>
      <c r="X1398" t="s">
        <v>28822</v>
      </c>
      <c r="Y1398" t="s">
        <v>28823</v>
      </c>
    </row>
    <row r="1399" spans="1:25" x14ac:dyDescent="0.3">
      <c r="A1399">
        <v>69900</v>
      </c>
      <c r="B1399" t="s">
        <v>28824</v>
      </c>
      <c r="C1399" t="s">
        <v>28825</v>
      </c>
      <c r="D1399" t="s">
        <v>28826</v>
      </c>
      <c r="E1399" t="s">
        <v>28827</v>
      </c>
      <c r="F1399" t="s">
        <v>28828</v>
      </c>
      <c r="G1399" t="s">
        <v>28829</v>
      </c>
      <c r="H1399" t="s">
        <v>28830</v>
      </c>
      <c r="I1399">
        <f>-537.194253995341 -7.74836584284927 -932.792319460752</f>
        <v>-1477.7349392989422</v>
      </c>
      <c r="J1399" t="s">
        <v>28831</v>
      </c>
      <c r="K1399" t="s">
        <v>28832</v>
      </c>
      <c r="L1399" t="s">
        <v>28833</v>
      </c>
      <c r="M1399" t="s">
        <v>28834</v>
      </c>
      <c r="N1399">
        <f>-590.688688368469 -2.27860194646691 -769.777734909074</f>
        <v>-1362.7450252240099</v>
      </c>
      <c r="O1399">
        <f>-621.643189382712 -137.294623713242 -720.4261618241</f>
        <v>-1479.3639749200538</v>
      </c>
      <c r="P1399">
        <f>-617.02401820612 -112.266150502262 -404.929094193946</f>
        <v>-1134.219262902328</v>
      </c>
      <c r="Q1399">
        <f>-371.007077683049 -47.9959028913427 -459.582751408514</f>
        <v>-878.58573198290571</v>
      </c>
      <c r="R1399" t="s">
        <v>28835</v>
      </c>
      <c r="S1399" t="s">
        <v>28836</v>
      </c>
      <c r="T1399" t="s">
        <v>28837</v>
      </c>
      <c r="U1399" t="s">
        <v>28838</v>
      </c>
      <c r="V1399">
        <f>-596.98569586983 -5.79227667174919 -236.839962827674</f>
        <v>-839.61793536925313</v>
      </c>
      <c r="W1399" t="s">
        <v>28839</v>
      </c>
      <c r="X1399" t="s">
        <v>28840</v>
      </c>
      <c r="Y1399" t="s">
        <v>28841</v>
      </c>
    </row>
    <row r="1400" spans="1:25" x14ac:dyDescent="0.3">
      <c r="A1400">
        <v>69950</v>
      </c>
      <c r="B1400" t="s">
        <v>28842</v>
      </c>
      <c r="C1400" t="s">
        <v>28843</v>
      </c>
      <c r="D1400" t="s">
        <v>28844</v>
      </c>
      <c r="E1400" t="s">
        <v>28845</v>
      </c>
      <c r="F1400" t="s">
        <v>28846</v>
      </c>
      <c r="G1400" t="s">
        <v>28847</v>
      </c>
      <c r="H1400" t="s">
        <v>28848</v>
      </c>
      <c r="I1400">
        <f>-536.2560984103 -9.31542065284489 -932.460499801586</f>
        <v>-1478.0320188647308</v>
      </c>
      <c r="J1400" t="s">
        <v>28849</v>
      </c>
      <c r="K1400" t="s">
        <v>28850</v>
      </c>
      <c r="L1400" t="s">
        <v>28851</v>
      </c>
      <c r="M1400" t="s">
        <v>28852</v>
      </c>
      <c r="N1400">
        <f>-589.984005979975 -3.47133696344604 -769.5269237488</f>
        <v>-1362.9822666922209</v>
      </c>
      <c r="O1400">
        <f>-621.021410873852 -138.388306493637 -719.941872410316</f>
        <v>-1479.3515897778052</v>
      </c>
      <c r="P1400">
        <f>-616.598383422686 -112.822274665261 -404.485040386191</f>
        <v>-1133.905698474138</v>
      </c>
      <c r="Q1400">
        <f>-370.572905848396 -48.6453217667413 -459.210271434425</f>
        <v>-878.42849904956233</v>
      </c>
      <c r="R1400" t="s">
        <v>28853</v>
      </c>
      <c r="S1400" t="s">
        <v>28854</v>
      </c>
      <c r="T1400" t="s">
        <v>28855</v>
      </c>
      <c r="U1400" t="s">
        <v>28856</v>
      </c>
      <c r="V1400">
        <f>-596.669639958104 -6.00464357213822 -236.790779647917</f>
        <v>-839.4650631781592</v>
      </c>
      <c r="W1400" t="s">
        <v>28857</v>
      </c>
      <c r="X1400" t="s">
        <v>28858</v>
      </c>
      <c r="Y1400" t="s">
        <v>28859</v>
      </c>
    </row>
    <row r="1401" spans="1:25" x14ac:dyDescent="0.3">
      <c r="A1401">
        <v>70000</v>
      </c>
      <c r="B1401" t="s">
        <v>28860</v>
      </c>
      <c r="C1401" t="s">
        <v>28861</v>
      </c>
      <c r="D1401" t="s">
        <v>28862</v>
      </c>
      <c r="E1401" t="s">
        <v>28863</v>
      </c>
      <c r="F1401" t="s">
        <v>28864</v>
      </c>
      <c r="G1401" t="s">
        <v>28865</v>
      </c>
      <c r="H1401" t="s">
        <v>28866</v>
      </c>
      <c r="I1401">
        <f>-536.009942337708 -10.1283430549593 -932.262074340156</f>
        <v>-1478.4003597328233</v>
      </c>
      <c r="J1401" t="s">
        <v>28867</v>
      </c>
      <c r="K1401" t="s">
        <v>28868</v>
      </c>
      <c r="L1401" t="s">
        <v>28869</v>
      </c>
      <c r="M1401" t="s">
        <v>28870</v>
      </c>
      <c r="N1401">
        <f>-589.841404093777 -4.03507775168661 -769.372993239025</f>
        <v>-1363.2494750844885</v>
      </c>
      <c r="O1401">
        <f>-620.906521913094 -138.895667921202 -719.657249503272</f>
        <v>-1479.4594393375683</v>
      </c>
      <c r="P1401">
        <f>-616.53233432957 -113.044267035907 -404.223027105916</f>
        <v>-1133.7996284713929</v>
      </c>
      <c r="Q1401">
        <f>-370.472628514372 -48.9338184222463 -458.872078338871</f>
        <v>-878.2785252754893</v>
      </c>
      <c r="R1401" t="s">
        <v>28871</v>
      </c>
      <c r="S1401" t="s">
        <v>28872</v>
      </c>
      <c r="T1401" t="s">
        <v>28873</v>
      </c>
      <c r="U1401" t="s">
        <v>28874</v>
      </c>
      <c r="V1401">
        <f>-596.528629484133 -6.14777019379467 -236.763133750953</f>
        <v>-839.43953342888074</v>
      </c>
      <c r="W1401" t="s">
        <v>28875</v>
      </c>
      <c r="X1401" t="s">
        <v>28876</v>
      </c>
      <c r="Y1401" t="s">
        <v>28877</v>
      </c>
    </row>
    <row r="1402" spans="1:25" x14ac:dyDescent="0.3">
      <c r="A1402">
        <v>70050</v>
      </c>
      <c r="B1402" t="s">
        <v>28878</v>
      </c>
      <c r="C1402" t="s">
        <v>28879</v>
      </c>
      <c r="D1402" t="s">
        <v>28880</v>
      </c>
      <c r="E1402" t="s">
        <v>28881</v>
      </c>
      <c r="F1402" t="s">
        <v>28882</v>
      </c>
      <c r="G1402" t="s">
        <v>28883</v>
      </c>
      <c r="H1402" t="s">
        <v>28884</v>
      </c>
      <c r="I1402">
        <f>-535.765627460213 -11.43767805057 -931.96068541519</f>
        <v>-1479.1639909259729</v>
      </c>
      <c r="J1402" t="s">
        <v>28885</v>
      </c>
      <c r="K1402" t="s">
        <v>28886</v>
      </c>
      <c r="L1402" t="s">
        <v>28887</v>
      </c>
      <c r="M1402" t="s">
        <v>28888</v>
      </c>
      <c r="N1402">
        <f>-589.749275936962 -4.87505248934615 -769.153496970731</f>
        <v>-1363.7778253970391</v>
      </c>
      <c r="O1402">
        <f>-620.827357810344 -139.635044530755 -719.143222388289</f>
        <v>-1479.6056247293882</v>
      </c>
      <c r="P1402">
        <f>-616.479628989608 -112.951963911586 -403.777861962597</f>
        <v>-1133.2094548637911</v>
      </c>
      <c r="Q1402">
        <f>-370.265756382281 -49.1172614231902 -458.054260052116</f>
        <v>-877.43727785758711</v>
      </c>
      <c r="R1402" t="s">
        <v>28889</v>
      </c>
      <c r="S1402" t="s">
        <v>28890</v>
      </c>
      <c r="T1402" t="s">
        <v>28891</v>
      </c>
      <c r="U1402" t="s">
        <v>28892</v>
      </c>
      <c r="V1402">
        <f>-596.426813898994 -6.05161342456547 -236.752055657613</f>
        <v>-839.2304829811726</v>
      </c>
      <c r="W1402" t="s">
        <v>28893</v>
      </c>
      <c r="X1402" t="s">
        <v>28894</v>
      </c>
      <c r="Y1402" t="s">
        <v>28895</v>
      </c>
    </row>
    <row r="1403" spans="1:25" x14ac:dyDescent="0.3">
      <c r="A1403">
        <v>70100</v>
      </c>
      <c r="B1403" t="s">
        <v>28896</v>
      </c>
      <c r="C1403" t="s">
        <v>28897</v>
      </c>
      <c r="D1403" t="s">
        <v>28898</v>
      </c>
      <c r="E1403" t="s">
        <v>28899</v>
      </c>
      <c r="F1403" t="s">
        <v>28900</v>
      </c>
      <c r="G1403" t="s">
        <v>28901</v>
      </c>
      <c r="H1403" t="s">
        <v>28902</v>
      </c>
      <c r="I1403">
        <f>-535.559816773298 -11.9931987758947 -931.800733747473</f>
        <v>-1479.3537492966657</v>
      </c>
      <c r="J1403" t="s">
        <v>28903</v>
      </c>
      <c r="K1403" t="s">
        <v>28904</v>
      </c>
      <c r="L1403" t="s">
        <v>28905</v>
      </c>
      <c r="M1403" t="s">
        <v>28906</v>
      </c>
      <c r="N1403">
        <f>-589.661655030819 -5.23071698094791 -769.04952027455</f>
        <v>-1363.9418922863169</v>
      </c>
      <c r="O1403">
        <f>-620.777089460936 -139.926869347032 -718.91853962116</f>
        <v>-1479.622498429128</v>
      </c>
      <c r="P1403">
        <f>-616.57117406107 -112.821183454162 -403.587375363603</f>
        <v>-1132.979732878835</v>
      </c>
      <c r="Q1403">
        <f>-370.319975489153 -49.0884620639461 -457.814326573471</f>
        <v>-877.22276412657015</v>
      </c>
      <c r="R1403" t="s">
        <v>28907</v>
      </c>
      <c r="S1403" t="s">
        <v>28908</v>
      </c>
      <c r="T1403" t="s">
        <v>28909</v>
      </c>
      <c r="U1403" t="s">
        <v>28910</v>
      </c>
      <c r="V1403">
        <f>-596.469341175298 -6.08661313520675 -236.737924747193</f>
        <v>-839.29387905769784</v>
      </c>
      <c r="W1403" t="s">
        <v>28911</v>
      </c>
      <c r="X1403" t="s">
        <v>28912</v>
      </c>
      <c r="Y1403" t="s">
        <v>28913</v>
      </c>
    </row>
    <row r="1404" spans="1:25" x14ac:dyDescent="0.3">
      <c r="A1404">
        <v>70150</v>
      </c>
      <c r="B1404" t="s">
        <v>28914</v>
      </c>
      <c r="C1404" t="s">
        <v>28915</v>
      </c>
      <c r="D1404" t="s">
        <v>28916</v>
      </c>
      <c r="E1404" t="s">
        <v>28917</v>
      </c>
      <c r="F1404" t="s">
        <v>28918</v>
      </c>
      <c r="G1404" t="s">
        <v>28919</v>
      </c>
      <c r="H1404" t="s">
        <v>28920</v>
      </c>
      <c r="I1404">
        <f>-535.327624673344 -12.8598396779106 -931.593544637082</f>
        <v>-1479.7810089883365</v>
      </c>
      <c r="J1404" t="s">
        <v>28921</v>
      </c>
      <c r="K1404" t="s">
        <v>28922</v>
      </c>
      <c r="L1404" t="s">
        <v>28923</v>
      </c>
      <c r="M1404" t="s">
        <v>28924</v>
      </c>
      <c r="N1404">
        <f>-589.632889934457 -5.74794970545344 -768.929035193842</f>
        <v>-1364.3098748337525</v>
      </c>
      <c r="O1404">
        <f>-620.862129041881 -140.341359169503 -718.601340611884</f>
        <v>-1479.8048288232681</v>
      </c>
      <c r="P1404">
        <f>-616.855190219324 -112.566337610122 -403.325748057861</f>
        <v>-1132.7472758873068</v>
      </c>
      <c r="Q1404">
        <f>-370.476667858463 -49.1667798374105 -457.36427710528</f>
        <v>-877.00772480115347</v>
      </c>
      <c r="R1404" t="s">
        <v>28925</v>
      </c>
      <c r="S1404" t="s">
        <v>28926</v>
      </c>
      <c r="T1404" t="s">
        <v>28927</v>
      </c>
      <c r="U1404" t="s">
        <v>28928</v>
      </c>
      <c r="V1404">
        <f>-596.608034335311 -6.03485274993017 -236.767025509648</f>
        <v>-839.40991259488919</v>
      </c>
      <c r="W1404" t="s">
        <v>28929</v>
      </c>
      <c r="X1404" t="s">
        <v>28930</v>
      </c>
      <c r="Y1404" t="s">
        <v>28931</v>
      </c>
    </row>
    <row r="1405" spans="1:25" x14ac:dyDescent="0.3">
      <c r="A1405">
        <v>70200</v>
      </c>
      <c r="B1405" t="s">
        <v>28932</v>
      </c>
      <c r="C1405" t="s">
        <v>28933</v>
      </c>
      <c r="D1405" t="s">
        <v>28934</v>
      </c>
      <c r="E1405" t="s">
        <v>28935</v>
      </c>
      <c r="F1405" t="s">
        <v>28936</v>
      </c>
      <c r="G1405" t="s">
        <v>28937</v>
      </c>
      <c r="H1405" t="s">
        <v>28938</v>
      </c>
      <c r="I1405">
        <f>-535.369313900848 -13.3724306561406 -931.50272248659</f>
        <v>-1480.2444670435787</v>
      </c>
      <c r="J1405" t="s">
        <v>28939</v>
      </c>
      <c r="K1405" t="s">
        <v>28940</v>
      </c>
      <c r="L1405" t="s">
        <v>28941</v>
      </c>
      <c r="M1405" t="s">
        <v>28942</v>
      </c>
      <c r="N1405">
        <f>-589.731264727462 -6.08355212913919 -768.868410294503</f>
        <v>-1364.6832271511041</v>
      </c>
      <c r="O1405">
        <f>-621.061857784145 -140.625748887258 -718.45546336257</f>
        <v>-1480.1430700339729</v>
      </c>
      <c r="P1405">
        <f>-617.226418231093 -112.577019613734 -403.202063892115</f>
        <v>-1133.0055017369421</v>
      </c>
      <c r="Q1405">
        <f>-370.799879817095 -49.3160215273362 -457.184517576093</f>
        <v>-877.30041892052418</v>
      </c>
      <c r="R1405" t="s">
        <v>28943</v>
      </c>
      <c r="S1405" t="s">
        <v>28944</v>
      </c>
      <c r="T1405" t="s">
        <v>28945</v>
      </c>
      <c r="U1405" t="s">
        <v>28946</v>
      </c>
      <c r="V1405">
        <f>-596.714786681999 -6.08530635292498 -236.785705688578</f>
        <v>-839.58579872350197</v>
      </c>
      <c r="W1405" t="s">
        <v>28947</v>
      </c>
      <c r="X1405" t="s">
        <v>28948</v>
      </c>
      <c r="Y1405" t="s">
        <v>28949</v>
      </c>
    </row>
    <row r="1406" spans="1:25" x14ac:dyDescent="0.3">
      <c r="A1406">
        <v>70250</v>
      </c>
      <c r="B1406" t="s">
        <v>28950</v>
      </c>
      <c r="C1406" t="s">
        <v>28951</v>
      </c>
      <c r="D1406" t="s">
        <v>28952</v>
      </c>
      <c r="E1406" t="s">
        <v>28953</v>
      </c>
      <c r="F1406" t="s">
        <v>28954</v>
      </c>
      <c r="G1406" t="s">
        <v>28955</v>
      </c>
      <c r="H1406" t="s">
        <v>28956</v>
      </c>
      <c r="I1406">
        <f>-535.483057227709 -13.9314321110473 -931.324799873612</f>
        <v>-1480.7392892123685</v>
      </c>
      <c r="J1406" t="s">
        <v>28957</v>
      </c>
      <c r="K1406" t="s">
        <v>28958</v>
      </c>
      <c r="L1406" t="s">
        <v>28959</v>
      </c>
      <c r="M1406" t="s">
        <v>28960</v>
      </c>
      <c r="N1406">
        <f>-589.982633137124 -6.42411033351495 -768.756256140556</f>
        <v>-1365.1629996111951</v>
      </c>
      <c r="O1406">
        <f>-621.466652558998 -140.908808295674 -718.307095957662</f>
        <v>-1480.682556812334</v>
      </c>
      <c r="P1406">
        <f>-617.74433902795 -112.684822679647 -403.06795062969</f>
        <v>-1133.497112337287</v>
      </c>
      <c r="Q1406">
        <f>-371.205062066519 -49.7035489084147 -456.86179962872</f>
        <v>-877.77041060365377</v>
      </c>
      <c r="R1406" t="s">
        <v>28961</v>
      </c>
      <c r="S1406" t="s">
        <v>28962</v>
      </c>
      <c r="T1406" t="s">
        <v>28963</v>
      </c>
      <c r="U1406" t="s">
        <v>28964</v>
      </c>
      <c r="V1406">
        <f>-596.936288655058 -6.14054555746099 -236.773623911425</f>
        <v>-839.85045812394401</v>
      </c>
      <c r="W1406" t="s">
        <v>28965</v>
      </c>
      <c r="X1406" t="s">
        <v>28966</v>
      </c>
      <c r="Y1406" t="s">
        <v>28967</v>
      </c>
    </row>
    <row r="1407" spans="1:25" x14ac:dyDescent="0.3">
      <c r="A1407">
        <v>70300</v>
      </c>
      <c r="B1407" t="s">
        <v>28968</v>
      </c>
      <c r="C1407" t="s">
        <v>28969</v>
      </c>
      <c r="D1407" t="s">
        <v>28970</v>
      </c>
      <c r="E1407" t="s">
        <v>28971</v>
      </c>
      <c r="F1407" t="s">
        <v>28972</v>
      </c>
      <c r="G1407" t="s">
        <v>28973</v>
      </c>
      <c r="H1407" t="s">
        <v>28974</v>
      </c>
      <c r="I1407">
        <f>-535.695469355251 -14.1829834289453 -931.274582397138</f>
        <v>-1481.1530351813344</v>
      </c>
      <c r="J1407" t="s">
        <v>28975</v>
      </c>
      <c r="K1407" t="s">
        <v>28976</v>
      </c>
      <c r="L1407" t="s">
        <v>28977</v>
      </c>
      <c r="M1407" t="s">
        <v>28978</v>
      </c>
      <c r="N1407">
        <f>-590.249403285929 -6.55611244711555 -768.732715763283</f>
        <v>-1365.5382314963276</v>
      </c>
      <c r="O1407">
        <f>-621.831955656919 -141.017939088673 -718.268941543075</f>
        <v>-1481.1188362886669</v>
      </c>
      <c r="P1407">
        <f>-618.136650151129 -112.720300403735 -403.03614867381</f>
        <v>-1133.8930992286739</v>
      </c>
      <c r="Q1407">
        <f>-371.536539122295 -49.8808898791307 -456.717230954168</f>
        <v>-878.13465995559363</v>
      </c>
      <c r="R1407" t="s">
        <v>28979</v>
      </c>
      <c r="S1407" t="s">
        <v>28980</v>
      </c>
      <c r="T1407" t="s">
        <v>28981</v>
      </c>
      <c r="U1407" t="s">
        <v>28982</v>
      </c>
      <c r="V1407">
        <f>-597.095390707543 -6.13175572420359 -236.770295059731</f>
        <v>-839.9974414914775</v>
      </c>
      <c r="W1407" t="s">
        <v>28983</v>
      </c>
      <c r="X1407" t="s">
        <v>28984</v>
      </c>
      <c r="Y1407" t="s">
        <v>28985</v>
      </c>
    </row>
    <row r="1408" spans="1:25" x14ac:dyDescent="0.3">
      <c r="A1408">
        <v>70350</v>
      </c>
      <c r="B1408" t="s">
        <v>28986</v>
      </c>
      <c r="C1408" t="s">
        <v>28987</v>
      </c>
      <c r="D1408" t="s">
        <v>28988</v>
      </c>
      <c r="E1408" t="s">
        <v>28989</v>
      </c>
      <c r="F1408" t="s">
        <v>28990</v>
      </c>
      <c r="G1408" t="s">
        <v>28991</v>
      </c>
      <c r="H1408" t="s">
        <v>28992</v>
      </c>
      <c r="I1408">
        <f>-536.320637186108 -14.1950951292852 -931.172290970106</f>
        <v>-1481.6880232854992</v>
      </c>
      <c r="J1408" t="s">
        <v>28993</v>
      </c>
      <c r="K1408" t="s">
        <v>28994</v>
      </c>
      <c r="L1408" t="s">
        <v>28995</v>
      </c>
      <c r="M1408" t="s">
        <v>28996</v>
      </c>
      <c r="N1408">
        <f>-591.036083806589 -6.59985077359826 -768.685587910963</f>
        <v>-1366.3215224911503</v>
      </c>
      <c r="O1408">
        <f>-622.670817745924 -141.091553941768 -718.333133825634</f>
        <v>-1482.0955055133259</v>
      </c>
      <c r="P1408">
        <f>-619.302700632813 -112.900272646155 -403.087044851465</f>
        <v>-1135.2900181304331</v>
      </c>
      <c r="Q1408">
        <f>-372.647616456801 -49.9876254166211 -456.42838466159</f>
        <v>-879.06362653501208</v>
      </c>
      <c r="R1408" t="s">
        <v>28997</v>
      </c>
      <c r="S1408" t="s">
        <v>28998</v>
      </c>
      <c r="T1408" t="s">
        <v>28999</v>
      </c>
      <c r="U1408" t="s">
        <v>29000</v>
      </c>
      <c r="V1408">
        <f>-597.604762724747 -6.3366675892577 -236.711817089924</f>
        <v>-840.65324740392873</v>
      </c>
      <c r="W1408" t="s">
        <v>29001</v>
      </c>
      <c r="X1408" t="s">
        <v>29002</v>
      </c>
      <c r="Y1408" t="s">
        <v>29003</v>
      </c>
    </row>
    <row r="1409" spans="1:25" x14ac:dyDescent="0.3">
      <c r="A1409">
        <v>70400</v>
      </c>
      <c r="B1409" t="s">
        <v>29004</v>
      </c>
      <c r="C1409" t="s">
        <v>29005</v>
      </c>
      <c r="D1409" t="s">
        <v>29006</v>
      </c>
      <c r="E1409" t="s">
        <v>29007</v>
      </c>
      <c r="F1409" t="s">
        <v>29008</v>
      </c>
      <c r="G1409" t="s">
        <v>29009</v>
      </c>
      <c r="H1409" t="s">
        <v>29010</v>
      </c>
      <c r="I1409">
        <f>-536.733897013354 -14.1692791763929 -931.178396400776</f>
        <v>-1482.0815725905229</v>
      </c>
      <c r="J1409" t="s">
        <v>29011</v>
      </c>
      <c r="K1409" t="s">
        <v>29012</v>
      </c>
      <c r="L1409" t="s">
        <v>29013</v>
      </c>
      <c r="M1409" t="s">
        <v>29014</v>
      </c>
      <c r="N1409">
        <f>-591.51776798405 -6.65132913097091 -768.712584819363</f>
        <v>-1366.8816819343838</v>
      </c>
      <c r="O1409">
        <f>-623.195215229837 -141.172612089058 -718.453706145926</f>
        <v>-1482.8215334648212</v>
      </c>
      <c r="P1409">
        <f>-620.080689058403 -113.048293181809 -403.199076274668</f>
        <v>-1136.32805851488</v>
      </c>
      <c r="Q1409">
        <f>-373.391475264196 -50.0714119561009 -456.306389665769</f>
        <v>-879.76927688606588</v>
      </c>
      <c r="R1409" t="s">
        <v>29015</v>
      </c>
      <c r="S1409" t="s">
        <v>29016</v>
      </c>
      <c r="T1409" t="s">
        <v>29017</v>
      </c>
      <c r="U1409" t="s">
        <v>29018</v>
      </c>
      <c r="V1409">
        <f>-597.870221400842 -6.59449558840434 -236.677981072356</f>
        <v>-841.14269806160235</v>
      </c>
      <c r="W1409" t="s">
        <v>29019</v>
      </c>
      <c r="X1409" t="s">
        <v>29020</v>
      </c>
      <c r="Y1409" t="s">
        <v>29021</v>
      </c>
    </row>
    <row r="1410" spans="1:25" x14ac:dyDescent="0.3">
      <c r="A1410">
        <v>70450</v>
      </c>
      <c r="B1410" t="s">
        <v>29022</v>
      </c>
      <c r="C1410" t="s">
        <v>29023</v>
      </c>
      <c r="D1410" t="s">
        <v>29024</v>
      </c>
      <c r="E1410" t="s">
        <v>29025</v>
      </c>
      <c r="F1410" t="s">
        <v>29026</v>
      </c>
      <c r="G1410" t="s">
        <v>29027</v>
      </c>
      <c r="H1410" t="s">
        <v>29028</v>
      </c>
      <c r="I1410">
        <f>-537.439367009409 -13.8686719282139 -931.138480502341</f>
        <v>-1482.446519439964</v>
      </c>
      <c r="J1410" t="s">
        <v>29029</v>
      </c>
      <c r="K1410" t="s">
        <v>29030</v>
      </c>
      <c r="L1410" t="s">
        <v>29031</v>
      </c>
      <c r="M1410" t="s">
        <v>29032</v>
      </c>
      <c r="N1410">
        <f>-592.43472449612 -6.65366014372897 -768.728015651884</f>
        <v>-1367.8164002917329</v>
      </c>
      <c r="O1410">
        <f>-624.046939936996 -141.265789388527 -718.65344776879</f>
        <v>-1483.966177094313</v>
      </c>
      <c r="P1410">
        <f>-621.486991991147 -113.442630919056 -403.367078141666</f>
        <v>-1138.2967010518689</v>
      </c>
      <c r="Q1410">
        <f>-374.787802408248 -50.0863607981145 -455.974628579824</f>
        <v>-880.84879178618644</v>
      </c>
      <c r="R1410" t="s">
        <v>29033</v>
      </c>
      <c r="S1410" t="s">
        <v>29034</v>
      </c>
      <c r="T1410" t="s">
        <v>29035</v>
      </c>
      <c r="U1410" t="s">
        <v>29036</v>
      </c>
      <c r="V1410">
        <f>-598.579553497448 -6.98017543130513 -236.579757027789</f>
        <v>-842.13948595654222</v>
      </c>
      <c r="W1410" t="s">
        <v>29037</v>
      </c>
      <c r="X1410" t="s">
        <v>29038</v>
      </c>
      <c r="Y1410" t="s">
        <v>29039</v>
      </c>
    </row>
    <row r="1411" spans="1:25" x14ac:dyDescent="0.3">
      <c r="A1411">
        <v>70500</v>
      </c>
      <c r="B1411" t="s">
        <v>29040</v>
      </c>
      <c r="C1411" t="s">
        <v>29041</v>
      </c>
      <c r="D1411" t="s">
        <v>29042</v>
      </c>
      <c r="E1411" t="s">
        <v>29043</v>
      </c>
      <c r="F1411" t="s">
        <v>29044</v>
      </c>
      <c r="G1411" t="s">
        <v>29045</v>
      </c>
      <c r="H1411" t="s">
        <v>29046</v>
      </c>
      <c r="I1411">
        <f>-537.989074305145 -13.6336682615929 -931.096174571444</f>
        <v>-1482.718917138182</v>
      </c>
      <c r="J1411" t="s">
        <v>29047</v>
      </c>
      <c r="K1411" t="s">
        <v>29048</v>
      </c>
      <c r="L1411" t="s">
        <v>29049</v>
      </c>
      <c r="M1411" t="s">
        <v>29050</v>
      </c>
      <c r="N1411">
        <f>-593.114349427031 -6.63859931641061 -768.723207076575</f>
        <v>-1368.4761558200166</v>
      </c>
      <c r="O1411">
        <f>-624.596115977385 -141.327740599442 -718.804532540586</f>
        <v>-1484.7283891174129</v>
      </c>
      <c r="P1411">
        <f>-622.402501082589 -113.629648928447 -403.504264070815</f>
        <v>-1139.536414081851</v>
      </c>
      <c r="Q1411">
        <f>-375.712812728274 -50.0105397483157 -455.838348502122</f>
        <v>-881.56170097871177</v>
      </c>
      <c r="R1411" t="s">
        <v>29051</v>
      </c>
      <c r="S1411" t="s">
        <v>29052</v>
      </c>
      <c r="T1411" t="s">
        <v>29053</v>
      </c>
      <c r="U1411" t="s">
        <v>29054</v>
      </c>
      <c r="V1411">
        <f>-599.021034158456 -7.32265348823043 -236.494879374949</f>
        <v>-842.83856702163553</v>
      </c>
      <c r="W1411" t="s">
        <v>29055</v>
      </c>
      <c r="X1411" t="s">
        <v>29056</v>
      </c>
      <c r="Y1411" t="s">
        <v>29057</v>
      </c>
    </row>
    <row r="1412" spans="1:25" x14ac:dyDescent="0.3">
      <c r="A1412">
        <v>70550</v>
      </c>
      <c r="B1412" t="s">
        <v>29058</v>
      </c>
      <c r="C1412" t="s">
        <v>29059</v>
      </c>
      <c r="D1412" t="s">
        <v>29060</v>
      </c>
      <c r="E1412" t="s">
        <v>29061</v>
      </c>
      <c r="F1412" t="s">
        <v>29062</v>
      </c>
      <c r="G1412" t="s">
        <v>29063</v>
      </c>
      <c r="H1412" t="s">
        <v>29064</v>
      </c>
      <c r="I1412">
        <f>-538.809643003967 -13.454417081412 -930.808333024305</f>
        <v>-1483.0723931096841</v>
      </c>
      <c r="J1412" t="s">
        <v>29065</v>
      </c>
      <c r="K1412" t="s">
        <v>29066</v>
      </c>
      <c r="L1412" t="s">
        <v>29067</v>
      </c>
      <c r="M1412" t="s">
        <v>29068</v>
      </c>
      <c r="N1412">
        <f>-594.288938860708 -6.87831254144501 -768.538736097018</f>
        <v>-1369.705987499171</v>
      </c>
      <c r="O1412">
        <f>-625.471923882032 -141.744951695992 -718.948238148506</f>
        <v>-1486.1651137265299</v>
      </c>
      <c r="P1412">
        <f>-624.149099679362 -114.43187189946 -403.609609278452</f>
        <v>-1142.1905808572742</v>
      </c>
      <c r="Q1412">
        <f>-377.538822869682 -49.9584968648093 -455.268273129515</f>
        <v>-882.76559286400629</v>
      </c>
      <c r="R1412" t="s">
        <v>29069</v>
      </c>
      <c r="S1412" t="s">
        <v>29070</v>
      </c>
      <c r="T1412" t="s">
        <v>29071</v>
      </c>
      <c r="U1412" t="s">
        <v>29072</v>
      </c>
      <c r="V1412">
        <f>-600.038238487904 -8.1519947801334 -236.251480514546</f>
        <v>-844.44171378258329</v>
      </c>
      <c r="W1412" t="s">
        <v>29073</v>
      </c>
      <c r="X1412" t="s">
        <v>29074</v>
      </c>
      <c r="Y1412" t="s">
        <v>29075</v>
      </c>
    </row>
    <row r="1413" spans="1:25" x14ac:dyDescent="0.3">
      <c r="A1413">
        <v>70600</v>
      </c>
      <c r="B1413" t="s">
        <v>29076</v>
      </c>
      <c r="C1413" t="s">
        <v>29077</v>
      </c>
      <c r="D1413" t="s">
        <v>29078</v>
      </c>
      <c r="E1413" t="s">
        <v>29079</v>
      </c>
      <c r="F1413" t="s">
        <v>29080</v>
      </c>
      <c r="G1413" t="s">
        <v>29081</v>
      </c>
      <c r="H1413" t="s">
        <v>29082</v>
      </c>
      <c r="I1413">
        <f>-538.825927856186 -13.4448494787777 -930.655026746504</f>
        <v>-1482.9258040814675</v>
      </c>
      <c r="J1413" t="s">
        <v>29083</v>
      </c>
      <c r="K1413" t="s">
        <v>29084</v>
      </c>
      <c r="L1413" t="s">
        <v>29085</v>
      </c>
      <c r="M1413" t="s">
        <v>29086</v>
      </c>
      <c r="N1413">
        <f>-594.553227228887 -7.01608180203223 -768.459304860896</f>
        <v>-1370.0286138918152</v>
      </c>
      <c r="O1413">
        <f>-625.654004598254 -141.9843150081 -719.050760518752</f>
        <v>-1486.6890801251061</v>
      </c>
      <c r="P1413">
        <f>-624.802361998398 -114.853785652288 -403.69463200918</f>
        <v>-1143.350779659866</v>
      </c>
      <c r="Q1413">
        <f>-378.268599530002 -49.897813841137 -455.113520490719</f>
        <v>-883.27993386185801</v>
      </c>
      <c r="R1413" t="s">
        <v>29087</v>
      </c>
      <c r="S1413" t="s">
        <v>29088</v>
      </c>
      <c r="T1413" t="s">
        <v>29089</v>
      </c>
      <c r="U1413" t="s">
        <v>29090</v>
      </c>
      <c r="V1413">
        <f>-600.555527267164 -8.44420522671646 -236.144227012673</f>
        <v>-845.14395950655353</v>
      </c>
      <c r="W1413" t="s">
        <v>29091</v>
      </c>
      <c r="X1413" t="s">
        <v>29092</v>
      </c>
      <c r="Y1413" t="s">
        <v>29093</v>
      </c>
    </row>
    <row r="1414" spans="1:25" x14ac:dyDescent="0.3">
      <c r="A1414">
        <v>70650</v>
      </c>
      <c r="B1414" t="s">
        <v>29094</v>
      </c>
      <c r="C1414" t="s">
        <v>29095</v>
      </c>
      <c r="D1414" t="s">
        <v>29096</v>
      </c>
      <c r="E1414" t="s">
        <v>29097</v>
      </c>
      <c r="F1414" t="s">
        <v>29098</v>
      </c>
      <c r="G1414" t="s">
        <v>29099</v>
      </c>
      <c r="H1414" t="s">
        <v>29100</v>
      </c>
      <c r="I1414">
        <f>-538.516982188215 -13.4882137438084 -930.319968225946</f>
        <v>-1482.3251641579695</v>
      </c>
      <c r="J1414" t="s">
        <v>29101</v>
      </c>
      <c r="K1414" t="s">
        <v>29102</v>
      </c>
      <c r="L1414" t="s">
        <v>29103</v>
      </c>
      <c r="M1414" t="s">
        <v>29104</v>
      </c>
      <c r="N1414">
        <f>-594.823692245718 -7.32247999501545 -768.300155418052</f>
        <v>-1370.4463276587853</v>
      </c>
      <c r="O1414">
        <f>-625.778570527416 -142.422333316081 -719.187341701507</f>
        <v>-1487.3882455450039</v>
      </c>
      <c r="P1414">
        <f>-625.879361972998 -115.663067073588 -403.798521745779</f>
        <v>-1145.340950792365</v>
      </c>
      <c r="Q1414">
        <f>-379.496009160674 -49.6703344132368 -454.61434025006</f>
        <v>-883.78068382397078</v>
      </c>
      <c r="R1414" t="s">
        <v>29105</v>
      </c>
      <c r="S1414" t="s">
        <v>29106</v>
      </c>
      <c r="T1414" t="s">
        <v>29107</v>
      </c>
      <c r="U1414" t="s">
        <v>29108</v>
      </c>
      <c r="V1414">
        <f>-601.460123029894 -8.96054375775729 -235.975632812331</f>
        <v>-846.39629959998229</v>
      </c>
      <c r="W1414" t="s">
        <v>29109</v>
      </c>
      <c r="X1414" t="s">
        <v>29110</v>
      </c>
      <c r="Y1414" t="s">
        <v>29111</v>
      </c>
    </row>
    <row r="1415" spans="1:25" x14ac:dyDescent="0.3">
      <c r="A1415">
        <v>70700</v>
      </c>
      <c r="B1415" t="s">
        <v>29112</v>
      </c>
      <c r="C1415" t="s">
        <v>29113</v>
      </c>
      <c r="D1415" t="s">
        <v>29114</v>
      </c>
      <c r="E1415" t="s">
        <v>29115</v>
      </c>
      <c r="F1415" t="s">
        <v>29116</v>
      </c>
      <c r="G1415" t="s">
        <v>29117</v>
      </c>
      <c r="H1415" t="s">
        <v>29118</v>
      </c>
      <c r="I1415">
        <f>-538.307727236789 -13.5263073776836 -930.265015221145</f>
        <v>-1482.0990498356175</v>
      </c>
      <c r="J1415" t="s">
        <v>29119</v>
      </c>
      <c r="K1415" t="s">
        <v>29120</v>
      </c>
      <c r="L1415" t="s">
        <v>29121</v>
      </c>
      <c r="M1415" t="s">
        <v>29122</v>
      </c>
      <c r="N1415">
        <f>-594.848786614152 -7.4501082565786 -768.32182091458</f>
        <v>-1370.6207157853105</v>
      </c>
      <c r="O1415">
        <f>-625.836239232053 -142.600609714931 -719.344697246832</f>
        <v>-1487.781546193816</v>
      </c>
      <c r="P1415">
        <f>-626.338168071344 -115.936206934494 -403.948219592278</f>
        <v>-1146.2225945981158</v>
      </c>
      <c r="Q1415">
        <f>-379.954102628027 -49.6558340116469 -454.384870287609</f>
        <v>-883.99480692728287</v>
      </c>
      <c r="R1415" t="s">
        <v>29123</v>
      </c>
      <c r="S1415" t="s">
        <v>29124</v>
      </c>
      <c r="T1415" t="s">
        <v>29125</v>
      </c>
      <c r="U1415" t="s">
        <v>29126</v>
      </c>
      <c r="V1415">
        <f>-601.673000892562 -9.27228940198559 -235.955941049261</f>
        <v>-846.9012313438086</v>
      </c>
      <c r="W1415" t="s">
        <v>29127</v>
      </c>
      <c r="X1415" t="s">
        <v>29128</v>
      </c>
      <c r="Y1415" t="s">
        <v>29129</v>
      </c>
    </row>
    <row r="1416" spans="1:25" x14ac:dyDescent="0.3">
      <c r="A1416">
        <v>70750</v>
      </c>
      <c r="B1416" t="s">
        <v>29130</v>
      </c>
      <c r="C1416" t="s">
        <v>29131</v>
      </c>
      <c r="D1416" t="s">
        <v>29132</v>
      </c>
      <c r="E1416" t="s">
        <v>29133</v>
      </c>
      <c r="F1416" t="s">
        <v>29134</v>
      </c>
      <c r="G1416" t="s">
        <v>29135</v>
      </c>
      <c r="H1416" t="s">
        <v>29136</v>
      </c>
      <c r="I1416">
        <f>-537.910357523876 -12.7361157417952 -930.342542385505</f>
        <v>-1480.989015651176</v>
      </c>
      <c r="J1416" t="s">
        <v>29137</v>
      </c>
      <c r="K1416" t="s">
        <v>29138</v>
      </c>
      <c r="L1416" t="s">
        <v>29139</v>
      </c>
      <c r="M1416" t="s">
        <v>29140</v>
      </c>
      <c r="N1416">
        <f>-594.863973759768 -7.05303740033926 -768.540646482374</f>
        <v>-1370.4576576424811</v>
      </c>
      <c r="O1416">
        <f>-625.956728322672 -142.321309271994 -719.924244831854</f>
        <v>-1488.20228242652</v>
      </c>
      <c r="P1416">
        <f>-627.351042660694 -115.952858506285 -404.505610268832</f>
        <v>-1147.8095114358111</v>
      </c>
      <c r="Q1416">
        <f>-380.931901658975 -49.040315261527 -453.925755383291</f>
        <v>-883.89797230379304</v>
      </c>
      <c r="R1416" t="s">
        <v>29141</v>
      </c>
      <c r="S1416" t="s">
        <v>29142</v>
      </c>
      <c r="T1416" t="s">
        <v>29143</v>
      </c>
      <c r="U1416" t="s">
        <v>29144</v>
      </c>
      <c r="V1416">
        <f>-601.882067194465 -9.70187572974186 -235.938881691516</f>
        <v>-847.52282461572293</v>
      </c>
      <c r="W1416" t="s">
        <v>29145</v>
      </c>
      <c r="X1416" t="s">
        <v>29146</v>
      </c>
      <c r="Y1416" t="s">
        <v>29147</v>
      </c>
    </row>
    <row r="1417" spans="1:25" x14ac:dyDescent="0.3">
      <c r="A1417">
        <v>70800</v>
      </c>
      <c r="B1417" t="s">
        <v>29148</v>
      </c>
      <c r="C1417" t="s">
        <v>29149</v>
      </c>
      <c r="D1417" t="s">
        <v>29150</v>
      </c>
      <c r="E1417" t="s">
        <v>29151</v>
      </c>
      <c r="F1417" t="s">
        <v>29152</v>
      </c>
      <c r="G1417" t="s">
        <v>29153</v>
      </c>
      <c r="H1417" t="s">
        <v>29154</v>
      </c>
      <c r="I1417">
        <f>-538.074340334666 -11.9549095939215 -930.471100218015</f>
        <v>-1480.5003501466024</v>
      </c>
      <c r="J1417" t="s">
        <v>29155</v>
      </c>
      <c r="K1417" t="s">
        <v>29156</v>
      </c>
      <c r="L1417" t="s">
        <v>29157</v>
      </c>
      <c r="M1417" t="s">
        <v>29158</v>
      </c>
      <c r="N1417">
        <f>-595.189292278349 -6.54294773611048 -768.732944974788</f>
        <v>-1370.4651849892475</v>
      </c>
      <c r="O1417">
        <f>-626.274540311076 -141.88545351225 -720.376094544314</f>
        <v>-1488.5360883676399</v>
      </c>
      <c r="P1417">
        <f>-628.202787484723 -115.72293857147 -404.942939283828</f>
        <v>-1148.8686653400209</v>
      </c>
      <c r="Q1417">
        <f>-381.777169230521 -48.4544168468501 -453.845155792206</f>
        <v>-884.07674186957706</v>
      </c>
      <c r="R1417" t="s">
        <v>29159</v>
      </c>
      <c r="S1417" t="s">
        <v>29160</v>
      </c>
      <c r="T1417" t="s">
        <v>29161</v>
      </c>
      <c r="U1417" t="s">
        <v>29162</v>
      </c>
      <c r="V1417">
        <f>-602.031900765675 -9.87517824351863 -235.988123485378</f>
        <v>-847.89520249457155</v>
      </c>
      <c r="W1417" t="s">
        <v>29163</v>
      </c>
      <c r="X1417" t="s">
        <v>29164</v>
      </c>
      <c r="Y1417" t="s">
        <v>29165</v>
      </c>
    </row>
    <row r="1418" spans="1:25" x14ac:dyDescent="0.3">
      <c r="A1418">
        <v>70850</v>
      </c>
      <c r="B1418" t="s">
        <v>29166</v>
      </c>
      <c r="C1418" t="s">
        <v>29167</v>
      </c>
      <c r="D1418" t="s">
        <v>29168</v>
      </c>
      <c r="E1418" t="s">
        <v>29169</v>
      </c>
      <c r="F1418" t="s">
        <v>29170</v>
      </c>
      <c r="G1418" t="s">
        <v>29171</v>
      </c>
      <c r="H1418" t="s">
        <v>29172</v>
      </c>
      <c r="I1418">
        <f>-539.184193803853 -11.2321305286718 -930.891282164674</f>
        <v>-1481.3076064971988</v>
      </c>
      <c r="J1418" t="s">
        <v>29173</v>
      </c>
      <c r="K1418" t="s">
        <v>29174</v>
      </c>
      <c r="L1418" t="s">
        <v>29175</v>
      </c>
      <c r="M1418" t="s">
        <v>29176</v>
      </c>
      <c r="N1418">
        <f>-596.390432867122 -6.19312722425758 -769.198135345723</f>
        <v>-1371.7816954371024</v>
      </c>
      <c r="O1418">
        <f>-627.218499722222 -141.792077387551 -721.397247377449</f>
        <v>-1490.4078244872221</v>
      </c>
      <c r="P1418">
        <f>-630.106115006075 -116.579504379716 -405.894183674087</f>
        <v>-1152.579803059878</v>
      </c>
      <c r="Q1418">
        <f>-383.799916687296 -48.2478338979369 -453.916362026362</f>
        <v>-885.96411261159483</v>
      </c>
      <c r="R1418" t="s">
        <v>29177</v>
      </c>
      <c r="S1418" t="s">
        <v>29178</v>
      </c>
      <c r="T1418" t="s">
        <v>29179</v>
      </c>
      <c r="U1418" t="s">
        <v>29180</v>
      </c>
      <c r="V1418">
        <f>-602.506086028093 -10.1582688839731 -236.229043437968</f>
        <v>-848.89339835003409</v>
      </c>
      <c r="W1418" t="s">
        <v>29181</v>
      </c>
      <c r="X1418" t="s">
        <v>29182</v>
      </c>
      <c r="Y1418" t="s">
        <v>29183</v>
      </c>
    </row>
    <row r="1419" spans="1:25" x14ac:dyDescent="0.3">
      <c r="A1419">
        <v>70900</v>
      </c>
      <c r="B1419" t="s">
        <v>29184</v>
      </c>
      <c r="C1419" t="s">
        <v>29185</v>
      </c>
      <c r="D1419" t="s">
        <v>29186</v>
      </c>
      <c r="E1419" t="s">
        <v>29187</v>
      </c>
      <c r="F1419" t="s">
        <v>29188</v>
      </c>
      <c r="G1419" t="s">
        <v>29189</v>
      </c>
      <c r="H1419" t="s">
        <v>29190</v>
      </c>
      <c r="I1419">
        <f>-540.112983991751 -11.191118411458 -931.140357070747</f>
        <v>-1482.4444594739559</v>
      </c>
      <c r="J1419" t="s">
        <v>29191</v>
      </c>
      <c r="K1419" t="s">
        <v>29192</v>
      </c>
      <c r="L1419" t="s">
        <v>29193</v>
      </c>
      <c r="M1419" t="s">
        <v>29194</v>
      </c>
      <c r="N1419">
        <f>-597.209763888779 -6.2637756003171 -769.404446111323</f>
        <v>-1372.8779856004189</v>
      </c>
      <c r="O1419">
        <f>-627.897211697483 -142.011052919062 -721.908837451398</f>
        <v>-1491.8171020679429</v>
      </c>
      <c r="P1419">
        <f>-630.971532322477 -117.261501377818 -406.370963244134</f>
        <v>-1154.6039969444289</v>
      </c>
      <c r="Q1419">
        <f>-384.848669508531 -48.273205395916 -454.39372367074</f>
        <v>-887.51559857518691</v>
      </c>
      <c r="R1419" t="s">
        <v>29195</v>
      </c>
      <c r="S1419" t="s">
        <v>29196</v>
      </c>
      <c r="T1419" t="s">
        <v>29197</v>
      </c>
      <c r="U1419" t="s">
        <v>29198</v>
      </c>
      <c r="V1419">
        <f>-602.848224851955 -10.2912390316686 -236.329120088308</f>
        <v>-849.46858397193159</v>
      </c>
      <c r="W1419" t="s">
        <v>29199</v>
      </c>
      <c r="X1419" t="s">
        <v>29200</v>
      </c>
      <c r="Y1419" t="s">
        <v>29201</v>
      </c>
    </row>
    <row r="1420" spans="1:25" x14ac:dyDescent="0.3">
      <c r="A1420">
        <v>70950</v>
      </c>
      <c r="B1420" t="s">
        <v>29202</v>
      </c>
      <c r="C1420" t="s">
        <v>29203</v>
      </c>
      <c r="D1420" t="s">
        <v>29204</v>
      </c>
      <c r="E1420" t="s">
        <v>29205</v>
      </c>
      <c r="F1420" t="s">
        <v>29206</v>
      </c>
      <c r="G1420" t="s">
        <v>29207</v>
      </c>
      <c r="H1420" t="s">
        <v>29208</v>
      </c>
      <c r="I1420">
        <f>-541.322682601093 -10.121172624423 -931.62075117014</f>
        <v>-1483.064606395656</v>
      </c>
      <c r="J1420" t="s">
        <v>29209</v>
      </c>
      <c r="K1420" t="s">
        <v>29210</v>
      </c>
      <c r="L1420" t="s">
        <v>29211</v>
      </c>
      <c r="M1420" t="s">
        <v>29212</v>
      </c>
      <c r="N1420">
        <f>-598.089897843453 -5.82484565712249 -769.721505115328</f>
        <v>-1373.6362486159035</v>
      </c>
      <c r="O1420">
        <f>-628.608271671101 -141.777705842586 -722.67604570945</f>
        <v>-1493.062023223137</v>
      </c>
      <c r="P1420">
        <f>-631.354502717594 -118.384884369528 -407.031476904588</f>
        <v>-1156.77086399171</v>
      </c>
      <c r="Q1420">
        <f>-385.574739509451 -48.5223132957416 -455.545107511693</f>
        <v>-889.64216031688557</v>
      </c>
      <c r="R1420" t="s">
        <v>29213</v>
      </c>
      <c r="S1420" t="s">
        <v>29214</v>
      </c>
      <c r="T1420" t="s">
        <v>29215</v>
      </c>
      <c r="U1420" t="s">
        <v>29216</v>
      </c>
      <c r="V1420">
        <f>-603.303097048442 -10.9389402271912 -236.410614755098</f>
        <v>-850.65265203073125</v>
      </c>
      <c r="W1420" t="s">
        <v>29217</v>
      </c>
      <c r="X1420" t="s">
        <v>29218</v>
      </c>
      <c r="Y1420" t="s">
        <v>29219</v>
      </c>
    </row>
    <row r="1421" spans="1:25" x14ac:dyDescent="0.3">
      <c r="A1421">
        <v>71000</v>
      </c>
      <c r="B1421" t="s">
        <v>29220</v>
      </c>
      <c r="C1421" t="s">
        <v>29221</v>
      </c>
      <c r="D1421" t="s">
        <v>29222</v>
      </c>
      <c r="E1421" t="s">
        <v>29223</v>
      </c>
      <c r="F1421" t="s">
        <v>29224</v>
      </c>
      <c r="G1421" t="s">
        <v>29225</v>
      </c>
      <c r="H1421" t="s">
        <v>29226</v>
      </c>
      <c r="I1421">
        <f>-541.667224334035 -9.32294097057554 -931.750013239151</f>
        <v>-1482.7401785437617</v>
      </c>
      <c r="J1421" t="s">
        <v>29227</v>
      </c>
      <c r="K1421" t="s">
        <v>29228</v>
      </c>
      <c r="L1421" t="s">
        <v>29229</v>
      </c>
      <c r="M1421" t="s">
        <v>29230</v>
      </c>
      <c r="N1421">
        <f>-598.346849939881 -5.39719808479766 -769.820100414256</f>
        <v>-1373.5641484389348</v>
      </c>
      <c r="O1421">
        <f>-628.451145005212 -141.542893743191 -723.135551058083</f>
        <v>-1493.1295898064859</v>
      </c>
      <c r="P1421">
        <f>-631.399178062686 -118.744673510866 -407.449499733885</f>
        <v>-1157.5933513074369</v>
      </c>
      <c r="Q1421">
        <f>-385.814077477298 -48.5163166647097 -456.418794446122</f>
        <v>-890.74918858812964</v>
      </c>
      <c r="R1421" t="s">
        <v>29231</v>
      </c>
      <c r="S1421" t="s">
        <v>29232</v>
      </c>
      <c r="T1421" t="s">
        <v>29233</v>
      </c>
      <c r="U1421" t="s">
        <v>29234</v>
      </c>
      <c r="V1421">
        <f>-603.717562606051 -11.4498311999151 -236.38604285819</f>
        <v>-851.55343666415615</v>
      </c>
      <c r="W1421" t="s">
        <v>29235</v>
      </c>
      <c r="X1421" t="s">
        <v>29236</v>
      </c>
      <c r="Y1421" t="s">
        <v>29237</v>
      </c>
    </row>
    <row r="1422" spans="1:25" x14ac:dyDescent="0.3">
      <c r="A1422">
        <v>71050</v>
      </c>
      <c r="B1422" t="s">
        <v>29238</v>
      </c>
      <c r="C1422" t="s">
        <v>29239</v>
      </c>
      <c r="D1422" t="s">
        <v>29240</v>
      </c>
      <c r="E1422" t="s">
        <v>29241</v>
      </c>
      <c r="F1422" t="s">
        <v>29242</v>
      </c>
      <c r="G1422" t="s">
        <v>29243</v>
      </c>
      <c r="H1422" t="s">
        <v>29244</v>
      </c>
      <c r="I1422">
        <f>-543.105624811825 -7.28032978035503 -932.001431975339</f>
        <v>-1482.3873865675191</v>
      </c>
      <c r="J1422" t="s">
        <v>29245</v>
      </c>
      <c r="K1422" t="s">
        <v>29246</v>
      </c>
      <c r="L1422" t="s">
        <v>29247</v>
      </c>
      <c r="M1422" t="s">
        <v>29248</v>
      </c>
      <c r="N1422">
        <f>-599.688731877891 -4.40211262627025 -770.072411572459</f>
        <v>-1374.1632560766202</v>
      </c>
      <c r="O1422">
        <f>-628.972796308716 -141.020189290833 -724.236922756285</f>
        <v>-1494.2299083558341</v>
      </c>
      <c r="P1422">
        <f>-632.232441543068 -120.123368489737 -408.422211778775</f>
        <v>-1160.7780218115799</v>
      </c>
      <c r="Q1422">
        <f>-387.066608878978 -48.5882766792905 -457.600703114626</f>
        <v>-893.25558867289453</v>
      </c>
      <c r="R1422" t="s">
        <v>29249</v>
      </c>
      <c r="S1422" t="s">
        <v>29250</v>
      </c>
      <c r="T1422" t="s">
        <v>29251</v>
      </c>
      <c r="U1422" t="s">
        <v>29252</v>
      </c>
      <c r="V1422">
        <f>-604.862064522101 -13.2259965282435 -236.308922249786</f>
        <v>-854.39698330013061</v>
      </c>
      <c r="W1422" t="s">
        <v>29253</v>
      </c>
      <c r="X1422" t="s">
        <v>29254</v>
      </c>
      <c r="Y1422" t="s">
        <v>29255</v>
      </c>
    </row>
    <row r="1423" spans="1:25" x14ac:dyDescent="0.3">
      <c r="A1423">
        <v>71100</v>
      </c>
      <c r="B1423" t="s">
        <v>29256</v>
      </c>
      <c r="C1423" t="s">
        <v>29257</v>
      </c>
      <c r="D1423" t="s">
        <v>29258</v>
      </c>
      <c r="E1423" t="s">
        <v>29259</v>
      </c>
      <c r="F1423" t="s">
        <v>29260</v>
      </c>
      <c r="G1423" t="s">
        <v>29261</v>
      </c>
      <c r="H1423" t="s">
        <v>29262</v>
      </c>
      <c r="I1423">
        <f>-543.857741506251 -5.78487346620759 -932.134694968719</f>
        <v>-1481.7773099411777</v>
      </c>
      <c r="J1423" t="s">
        <v>29263</v>
      </c>
      <c r="K1423" t="s">
        <v>29264</v>
      </c>
      <c r="L1423" t="s">
        <v>29265</v>
      </c>
      <c r="M1423" t="s">
        <v>29266</v>
      </c>
      <c r="N1423">
        <f>-600.494715408317 -3.61184988936072 -770.234960733101</f>
        <v>-1374.3415260307788</v>
      </c>
      <c r="O1423">
        <f>-629.412610030383 -140.483852384874 -724.894548181295</f>
        <v>-1494.791010596552</v>
      </c>
      <c r="P1423">
        <f>-632.887824631998 -120.65386992503 -409.013394066642</f>
        <v>-1162.5550886236699</v>
      </c>
      <c r="Q1423">
        <f>-387.924019759562 -48.3168400063669 -458.025285550087</f>
        <v>-894.26614531601592</v>
      </c>
      <c r="R1423" t="s">
        <v>29267</v>
      </c>
      <c r="S1423" t="s">
        <v>29268</v>
      </c>
      <c r="T1423" t="s">
        <v>29269</v>
      </c>
      <c r="U1423" t="s">
        <v>29270</v>
      </c>
      <c r="V1423">
        <f>-605.607760219157 -14.176034800158 -236.246905332807</f>
        <v>-856.03070035212204</v>
      </c>
      <c r="W1423" t="s">
        <v>29271</v>
      </c>
      <c r="X1423" t="s">
        <v>29272</v>
      </c>
      <c r="Y1423" t="s">
        <v>29273</v>
      </c>
    </row>
    <row r="1424" spans="1:25" x14ac:dyDescent="0.3">
      <c r="A1424">
        <v>71150</v>
      </c>
      <c r="B1424" t="s">
        <v>29274</v>
      </c>
      <c r="C1424" t="s">
        <v>29275</v>
      </c>
      <c r="D1424" t="s">
        <v>29276</v>
      </c>
      <c r="E1424" t="s">
        <v>29277</v>
      </c>
      <c r="F1424" t="s">
        <v>29278</v>
      </c>
      <c r="G1424" t="s">
        <v>29279</v>
      </c>
      <c r="H1424" t="s">
        <v>29280</v>
      </c>
      <c r="I1424">
        <f>-545.114596643856 -2.39573483758537 -932.605424082611</f>
        <v>-1480.1157555640523</v>
      </c>
      <c r="J1424" t="s">
        <v>29281</v>
      </c>
      <c r="K1424" t="s">
        <v>29282</v>
      </c>
      <c r="L1424" t="s">
        <v>29283</v>
      </c>
      <c r="M1424" t="s">
        <v>29284</v>
      </c>
      <c r="N1424">
        <f>-601.865473897497 -1.90154439896148 -770.770200079481</f>
        <v>-1374.5372183759396</v>
      </c>
      <c r="O1424">
        <f>-630.3041260264 -139.219738448538 -726.512179119396</f>
        <v>-1496.0360435943339</v>
      </c>
      <c r="P1424">
        <f>-634.339627381314 -121.41146924952 -410.517252230898</f>
        <v>-1166.268348861732</v>
      </c>
      <c r="Q1424">
        <f>-389.656185381374 -47.5325165652232 -458.620836837223</f>
        <v>-895.80953878382024</v>
      </c>
      <c r="R1424" t="s">
        <v>29285</v>
      </c>
      <c r="S1424" t="s">
        <v>29286</v>
      </c>
      <c r="T1424" t="s">
        <v>29287</v>
      </c>
      <c r="U1424" t="s">
        <v>29288</v>
      </c>
      <c r="V1424">
        <f>-607.069496093442 -15.9204967465093 -236.173524566433</f>
        <v>-859.16351740638436</v>
      </c>
      <c r="W1424" t="s">
        <v>29289</v>
      </c>
      <c r="X1424" t="s">
        <v>29290</v>
      </c>
      <c r="Y1424" t="s">
        <v>29291</v>
      </c>
    </row>
    <row r="1425" spans="1:25" x14ac:dyDescent="0.3">
      <c r="A1425">
        <v>71200</v>
      </c>
      <c r="B1425" t="s">
        <v>29292</v>
      </c>
      <c r="C1425" t="s">
        <v>29293</v>
      </c>
      <c r="D1425" t="s">
        <v>29294</v>
      </c>
      <c r="E1425" t="s">
        <v>29295</v>
      </c>
      <c r="F1425" t="s">
        <v>29296</v>
      </c>
      <c r="G1425" t="s">
        <v>29297</v>
      </c>
      <c r="H1425" t="s">
        <v>29298</v>
      </c>
      <c r="I1425">
        <f>-545.488507898552 -1.10221058113575 -932.759924107254</f>
        <v>-1479.3506425869418</v>
      </c>
      <c r="J1425" t="s">
        <v>29299</v>
      </c>
      <c r="K1425" t="s">
        <v>29300</v>
      </c>
      <c r="L1425" t="s">
        <v>29301</v>
      </c>
      <c r="M1425" t="s">
        <v>29302</v>
      </c>
      <c r="N1425">
        <f>-602.296896339754 -1.39916094549953 -770.950538955736</f>
        <v>-1374.6465962409893</v>
      </c>
      <c r="O1425">
        <f>-630.546100774326 -138.940895090909 -727.285892738113</f>
        <v>-1496.7728886033481</v>
      </c>
      <c r="P1425">
        <f>-635.282358049569 -122.03524441183 -411.251164755423</f>
        <v>-1168.5687672168219</v>
      </c>
      <c r="Q1425">
        <f>-390.72443374735 -47.404402583153 -458.829411099479</f>
        <v>-896.95824742998207</v>
      </c>
      <c r="R1425" t="s">
        <v>29303</v>
      </c>
      <c r="S1425" t="s">
        <v>29304</v>
      </c>
      <c r="T1425" t="s">
        <v>29305</v>
      </c>
      <c r="U1425" t="s">
        <v>29306</v>
      </c>
      <c r="V1425">
        <f>-607.718691418096 -16.8818288703093 -236.095971277057</f>
        <v>-860.69649156546234</v>
      </c>
      <c r="W1425" t="s">
        <v>29307</v>
      </c>
      <c r="X1425" t="s">
        <v>29308</v>
      </c>
      <c r="Y1425" t="s">
        <v>29309</v>
      </c>
    </row>
    <row r="1426" spans="1:25" x14ac:dyDescent="0.3">
      <c r="A1426">
        <v>71250</v>
      </c>
      <c r="B1426" t="s">
        <v>29310</v>
      </c>
      <c r="C1426" t="s">
        <v>29311</v>
      </c>
      <c r="D1426" t="s">
        <v>29312</v>
      </c>
      <c r="E1426" t="s">
        <v>29313</v>
      </c>
      <c r="F1426" t="s">
        <v>29314</v>
      </c>
      <c r="G1426" t="s">
        <v>29315</v>
      </c>
      <c r="H1426" t="s">
        <v>29316</v>
      </c>
      <c r="I1426" t="s">
        <v>29317</v>
      </c>
      <c r="J1426" t="s">
        <v>29318</v>
      </c>
      <c r="K1426" t="s">
        <v>29319</v>
      </c>
      <c r="L1426" t="s">
        <v>29320</v>
      </c>
      <c r="M1426" t="s">
        <v>29321</v>
      </c>
      <c r="N1426">
        <f>-602.97155748526 -0.517050251387857 -771.238679143726</f>
        <v>-1374.7272868803739</v>
      </c>
      <c r="O1426">
        <f>-631.354822605038 -138.308353440112 -728.474116522474</f>
        <v>-1498.1372925676239</v>
      </c>
      <c r="P1426">
        <f>-637.082348044 -123.325463400192 -412.358789793694</f>
        <v>-1172.7666012378859</v>
      </c>
      <c r="Q1426">
        <f>-392.84480407776 -47.2119706161527 -459.228826900627</f>
        <v>-899.28560159453968</v>
      </c>
      <c r="R1426" t="s">
        <v>29322</v>
      </c>
      <c r="S1426" t="s">
        <v>29323</v>
      </c>
      <c r="T1426" t="s">
        <v>29324</v>
      </c>
      <c r="U1426" t="s">
        <v>29325</v>
      </c>
      <c r="V1426">
        <f>-609.041672354714 -18.5833700865772 -235.998430176707</f>
        <v>-863.62347261799823</v>
      </c>
      <c r="W1426" t="s">
        <v>29326</v>
      </c>
      <c r="X1426" t="s">
        <v>29327</v>
      </c>
      <c r="Y1426" t="s">
        <v>29328</v>
      </c>
    </row>
    <row r="1427" spans="1:25" x14ac:dyDescent="0.3">
      <c r="A1427">
        <v>71300</v>
      </c>
      <c r="B1427" t="s">
        <v>29329</v>
      </c>
      <c r="C1427" t="s">
        <v>29330</v>
      </c>
      <c r="D1427" t="s">
        <v>29331</v>
      </c>
      <c r="E1427" t="s">
        <v>29332</v>
      </c>
      <c r="F1427" t="s">
        <v>29333</v>
      </c>
      <c r="G1427" t="s">
        <v>29334</v>
      </c>
      <c r="H1427" t="s">
        <v>29335</v>
      </c>
      <c r="I1427" t="s">
        <v>29336</v>
      </c>
      <c r="J1427" t="s">
        <v>29337</v>
      </c>
      <c r="K1427" t="s">
        <v>29338</v>
      </c>
      <c r="L1427" t="s">
        <v>29339</v>
      </c>
      <c r="M1427" t="s">
        <v>29340</v>
      </c>
      <c r="N1427">
        <f>-602.978893041456 -0.282403563892075 -771.319292477246</f>
        <v>-1374.5805890825941</v>
      </c>
      <c r="O1427">
        <f>-631.644110061905 -138.129220649135 -728.900902430999</f>
        <v>-1498.6742331420392</v>
      </c>
      <c r="P1427">
        <f>-637.660176709446 -123.760383164954 -412.762580059441</f>
        <v>-1174.1831399338409</v>
      </c>
      <c r="Q1427">
        <f>-393.447840610132 -47.4099847917438 -459.378006947504</f>
        <v>-900.23583234937973</v>
      </c>
      <c r="R1427" t="s">
        <v>29341</v>
      </c>
      <c r="S1427" t="s">
        <v>29342</v>
      </c>
      <c r="T1427" t="s">
        <v>29343</v>
      </c>
      <c r="U1427" t="s">
        <v>29344</v>
      </c>
      <c r="V1427">
        <f>-609.685338714581 -19.3513033686784 -235.941064020308</f>
        <v>-864.97770610356736</v>
      </c>
      <c r="W1427" t="s">
        <v>29345</v>
      </c>
      <c r="X1427" t="s">
        <v>29346</v>
      </c>
      <c r="Y1427" t="s">
        <v>29347</v>
      </c>
    </row>
    <row r="1428" spans="1:25" x14ac:dyDescent="0.3">
      <c r="A1428">
        <v>71350</v>
      </c>
      <c r="B1428" t="s">
        <v>29348</v>
      </c>
      <c r="C1428" t="s">
        <v>29349</v>
      </c>
      <c r="D1428" t="s">
        <v>29350</v>
      </c>
      <c r="E1428" t="s">
        <v>29351</v>
      </c>
      <c r="F1428" t="s">
        <v>29352</v>
      </c>
      <c r="G1428" t="s">
        <v>29353</v>
      </c>
      <c r="H1428" t="s">
        <v>29354</v>
      </c>
      <c r="I1428" t="s">
        <v>29355</v>
      </c>
      <c r="J1428" t="s">
        <v>29356</v>
      </c>
      <c r="K1428" t="s">
        <v>29357</v>
      </c>
      <c r="L1428" t="s">
        <v>29358</v>
      </c>
      <c r="M1428" t="s">
        <v>29359</v>
      </c>
      <c r="N1428">
        <f>-601.715909211398 -0.0481702842671794 -771.327967363009</f>
        <v>-1373.0920468586742</v>
      </c>
      <c r="O1428">
        <f>-630.979870689923 -137.921090769568 -729.425982102676</f>
        <v>-1498.3269435621669</v>
      </c>
      <c r="P1428">
        <f>-637.825961033441 -124.372127215416 -413.268209555164</f>
        <v>-1175.466297804021</v>
      </c>
      <c r="Q1428">
        <f>-393.502707024368 -48.1305916621504 -459.478846617151</f>
        <v>-901.11214530366942</v>
      </c>
      <c r="R1428" t="s">
        <v>29360</v>
      </c>
      <c r="S1428" t="s">
        <v>29361</v>
      </c>
      <c r="T1428" t="s">
        <v>29362</v>
      </c>
      <c r="U1428" t="s">
        <v>29363</v>
      </c>
      <c r="V1428">
        <f>-610.913569308984 -20.8798271208039 -235.772311712798</f>
        <v>-867.565708142586</v>
      </c>
      <c r="W1428" t="s">
        <v>29364</v>
      </c>
      <c r="X1428" t="s">
        <v>29365</v>
      </c>
      <c r="Y1428" t="s">
        <v>29366</v>
      </c>
    </row>
    <row r="1429" spans="1:25" x14ac:dyDescent="0.3">
      <c r="A1429">
        <v>71400</v>
      </c>
      <c r="B1429" t="s">
        <v>29367</v>
      </c>
      <c r="C1429" t="s">
        <v>29368</v>
      </c>
      <c r="D1429" t="s">
        <v>29369</v>
      </c>
      <c r="E1429" t="s">
        <v>29370</v>
      </c>
      <c r="F1429" t="s">
        <v>29371</v>
      </c>
      <c r="G1429" t="s">
        <v>29372</v>
      </c>
      <c r="H1429" t="s">
        <v>29373</v>
      </c>
      <c r="I1429" t="s">
        <v>29374</v>
      </c>
      <c r="J1429" t="s">
        <v>29375</v>
      </c>
      <c r="K1429" t="s">
        <v>29376</v>
      </c>
      <c r="L1429" t="s">
        <v>29377</v>
      </c>
      <c r="M1429" t="s">
        <v>29378</v>
      </c>
      <c r="N1429">
        <f>-601.132665745462 -0.254114858247519 -771.202933622239</f>
        <v>-1372.5897142259485</v>
      </c>
      <c r="O1429">
        <f>-630.485769778643 -138.153442005167 -729.448082586536</f>
        <v>-1498.0872943703459</v>
      </c>
      <c r="P1429">
        <f>-638.028649863951 -124.768171910529 -413.299109432355</f>
        <v>-1176.0959312068351</v>
      </c>
      <c r="Q1429">
        <f>-393.579774195589 -48.7674544722805 -459.241413473893</f>
        <v>-901.58864214176242</v>
      </c>
      <c r="R1429" t="s">
        <v>29379</v>
      </c>
      <c r="S1429" t="s">
        <v>29380</v>
      </c>
      <c r="T1429" t="s">
        <v>29381</v>
      </c>
      <c r="U1429" t="s">
        <v>29382</v>
      </c>
      <c r="V1429">
        <f>-611.524654735393 -21.5975888121818 -235.653713520947</f>
        <v>-868.77595706852185</v>
      </c>
      <c r="W1429" t="s">
        <v>29383</v>
      </c>
      <c r="X1429" t="s">
        <v>29384</v>
      </c>
      <c r="Y1429" t="s">
        <v>29385</v>
      </c>
    </row>
    <row r="1430" spans="1:25" x14ac:dyDescent="0.3">
      <c r="A1430">
        <v>71450</v>
      </c>
      <c r="B1430" t="s">
        <v>29386</v>
      </c>
      <c r="C1430" t="s">
        <v>29387</v>
      </c>
      <c r="D1430" t="s">
        <v>29388</v>
      </c>
      <c r="E1430" t="s">
        <v>29389</v>
      </c>
      <c r="F1430" t="s">
        <v>29390</v>
      </c>
      <c r="G1430" t="s">
        <v>29391</v>
      </c>
      <c r="H1430" t="s">
        <v>29392</v>
      </c>
      <c r="I1430" t="s">
        <v>29393</v>
      </c>
      <c r="J1430" t="s">
        <v>29394</v>
      </c>
      <c r="K1430" t="s">
        <v>29395</v>
      </c>
      <c r="L1430" t="s">
        <v>29396</v>
      </c>
      <c r="M1430" t="s">
        <v>29397</v>
      </c>
      <c r="N1430">
        <f>-600.118553057407 -0.916951482932362 -770.882279944531</f>
        <v>-1371.9177844848705</v>
      </c>
      <c r="O1430">
        <f>-629.525644387199 -138.87352290644 -729.299352781721</f>
        <v>-1497.6985200753602</v>
      </c>
      <c r="P1430">
        <f>-637.987884639774 -125.402567441214 -413.177283093717</f>
        <v>-1176.5677351747051</v>
      </c>
      <c r="Q1430">
        <f>-393.144042123464 -50.0118143366045 -458.007870946068</f>
        <v>-901.16372740613656</v>
      </c>
      <c r="R1430" t="s">
        <v>29398</v>
      </c>
      <c r="S1430" t="s">
        <v>29399</v>
      </c>
      <c r="T1430" t="s">
        <v>29400</v>
      </c>
      <c r="U1430" t="s">
        <v>29401</v>
      </c>
      <c r="V1430">
        <f>-612.335037723325 -23.003869147661 -235.391727764733</f>
        <v>-870.73063463571896</v>
      </c>
      <c r="W1430" t="s">
        <v>29402</v>
      </c>
      <c r="X1430" t="s">
        <v>29403</v>
      </c>
      <c r="Y1430" t="s">
        <v>29404</v>
      </c>
    </row>
    <row r="1431" spans="1:25" x14ac:dyDescent="0.3">
      <c r="A1431">
        <v>71500</v>
      </c>
      <c r="B1431" t="s">
        <v>29405</v>
      </c>
      <c r="C1431" t="s">
        <v>29406</v>
      </c>
      <c r="D1431" t="s">
        <v>29407</v>
      </c>
      <c r="E1431" t="s">
        <v>29408</v>
      </c>
      <c r="F1431" t="s">
        <v>29409</v>
      </c>
      <c r="G1431" t="s">
        <v>29410</v>
      </c>
      <c r="H1431" t="s">
        <v>29411</v>
      </c>
      <c r="I1431" t="s">
        <v>29412</v>
      </c>
      <c r="J1431" t="s">
        <v>29413</v>
      </c>
      <c r="K1431" t="s">
        <v>29414</v>
      </c>
      <c r="L1431" t="s">
        <v>29415</v>
      </c>
      <c r="M1431" t="s">
        <v>29416</v>
      </c>
      <c r="N1431">
        <f>-599.760742563714 -1.24209367745239 -770.697342314222</f>
        <v>-1371.7001785553884</v>
      </c>
      <c r="O1431">
        <f>-629.098375116722 -139.204065610367 -729.130150302357</f>
        <v>-1497.432591029446</v>
      </c>
      <c r="P1431">
        <f>-637.860839053185 -125.618162274434 -413.02128916404</f>
        <v>-1176.5002904916591</v>
      </c>
      <c r="Q1431">
        <f>-392.844128242481 -50.436123542591 -457.253768062489</f>
        <v>-900.53401984756101</v>
      </c>
      <c r="R1431" t="s">
        <v>29417</v>
      </c>
      <c r="S1431" t="s">
        <v>29418</v>
      </c>
      <c r="T1431" t="s">
        <v>29419</v>
      </c>
      <c r="U1431" t="s">
        <v>29420</v>
      </c>
      <c r="V1431">
        <f>-612.565990240206 -23.5442560875623 -235.240281649215</f>
        <v>-871.35052797698336</v>
      </c>
      <c r="W1431" t="s">
        <v>29421</v>
      </c>
      <c r="X1431" t="s">
        <v>29422</v>
      </c>
      <c r="Y1431" t="s">
        <v>29423</v>
      </c>
    </row>
    <row r="1432" spans="1:25" x14ac:dyDescent="0.3">
      <c r="A1432">
        <v>71550</v>
      </c>
      <c r="B1432" t="s">
        <v>29424</v>
      </c>
      <c r="C1432" t="s">
        <v>29425</v>
      </c>
      <c r="D1432" t="s">
        <v>29426</v>
      </c>
      <c r="E1432" t="s">
        <v>29427</v>
      </c>
      <c r="F1432" t="s">
        <v>29428</v>
      </c>
      <c r="G1432" t="s">
        <v>29429</v>
      </c>
      <c r="H1432" t="s">
        <v>29430</v>
      </c>
      <c r="I1432" t="s">
        <v>29431</v>
      </c>
      <c r="J1432" t="s">
        <v>29432</v>
      </c>
      <c r="K1432" t="s">
        <v>29433</v>
      </c>
      <c r="L1432" t="s">
        <v>29434</v>
      </c>
      <c r="M1432" t="s">
        <v>29435</v>
      </c>
      <c r="N1432">
        <f>-599.405218935899 -2.20439792078404 -770.454495562928</f>
        <v>-1372.0641124196109</v>
      </c>
      <c r="O1432">
        <f>-628.712976643111 -140.1697717476 -728.844767911901</f>
        <v>-1497.727516302612</v>
      </c>
      <c r="P1432">
        <f>-637.970929269195 -126.245072231362 -412.764740092173</f>
        <v>-1176.9807415927301</v>
      </c>
      <c r="Q1432">
        <f>-392.766065659278 -51.0990085424315 -456.004573035907</f>
        <v>-899.8696472376165</v>
      </c>
      <c r="R1432" t="s">
        <v>29436</v>
      </c>
      <c r="S1432" t="s">
        <v>29437</v>
      </c>
      <c r="T1432" t="s">
        <v>29438</v>
      </c>
      <c r="U1432" t="s">
        <v>29439</v>
      </c>
      <c r="V1432">
        <f>-612.754832284165 -24.4864321461113 -235.112509882872</f>
        <v>-872.35377431314828</v>
      </c>
      <c r="W1432" t="s">
        <v>29440</v>
      </c>
      <c r="X1432" t="s">
        <v>29441</v>
      </c>
      <c r="Y1432" t="s">
        <v>29442</v>
      </c>
    </row>
    <row r="1433" spans="1:25" x14ac:dyDescent="0.3">
      <c r="A1433">
        <v>71600</v>
      </c>
      <c r="B1433" t="s">
        <v>29443</v>
      </c>
      <c r="C1433" t="s">
        <v>29444</v>
      </c>
      <c r="D1433" t="s">
        <v>29445</v>
      </c>
      <c r="E1433" t="s">
        <v>29446</v>
      </c>
      <c r="F1433" t="s">
        <v>29447</v>
      </c>
      <c r="G1433" t="s">
        <v>29448</v>
      </c>
      <c r="H1433" t="s">
        <v>29449</v>
      </c>
      <c r="I1433" t="s">
        <v>29450</v>
      </c>
      <c r="J1433" t="s">
        <v>29451</v>
      </c>
      <c r="K1433" t="s">
        <v>29452</v>
      </c>
      <c r="L1433" t="s">
        <v>29453</v>
      </c>
      <c r="M1433" t="s">
        <v>29454</v>
      </c>
      <c r="N1433">
        <f>-599.082980181759 -2.53137093926793 -770.382265294715</f>
        <v>-1371.996616415742</v>
      </c>
      <c r="O1433">
        <f>-628.41413232641 -140.481669806895 -728.734822943597</f>
        <v>-1497.6306250769021</v>
      </c>
      <c r="P1433">
        <f>-637.794438585977 -126.429643224479 -412.664013517757</f>
        <v>-1176.888095328213</v>
      </c>
      <c r="Q1433">
        <f>-392.562227331122 -51.3069684399277 -455.789380791829</f>
        <v>-899.65857656287869</v>
      </c>
      <c r="R1433" t="s">
        <v>29455</v>
      </c>
      <c r="S1433" t="s">
        <v>29456</v>
      </c>
      <c r="T1433" t="s">
        <v>29457</v>
      </c>
      <c r="U1433" t="s">
        <v>29458</v>
      </c>
      <c r="V1433">
        <f>-612.750622158414 -24.6591899464793 -235.093166951211</f>
        <v>-872.50297905610432</v>
      </c>
      <c r="W1433" t="s">
        <v>29459</v>
      </c>
      <c r="X1433" t="s">
        <v>29460</v>
      </c>
      <c r="Y1433" t="s">
        <v>29461</v>
      </c>
    </row>
    <row r="1434" spans="1:25" x14ac:dyDescent="0.3">
      <c r="A1434">
        <v>71650</v>
      </c>
      <c r="B1434" t="s">
        <v>29462</v>
      </c>
      <c r="C1434" t="s">
        <v>29463</v>
      </c>
      <c r="D1434" t="s">
        <v>29464</v>
      </c>
      <c r="E1434" t="s">
        <v>29465</v>
      </c>
      <c r="F1434" t="s">
        <v>29466</v>
      </c>
      <c r="G1434" t="s">
        <v>29467</v>
      </c>
      <c r="H1434" t="s">
        <v>29468</v>
      </c>
      <c r="I1434">
        <f>-539.363825043633 -0.459630118944176 -931.396746743369</f>
        <v>-1471.2202019059462</v>
      </c>
      <c r="J1434" t="s">
        <v>29469</v>
      </c>
      <c r="K1434" t="s">
        <v>29470</v>
      </c>
      <c r="L1434" t="s">
        <v>29471</v>
      </c>
      <c r="M1434" t="s">
        <v>29472</v>
      </c>
      <c r="N1434">
        <f>-598.355407435589 -3.31738556302735 -770.396319732911</f>
        <v>-1372.0691127315272</v>
      </c>
      <c r="O1434">
        <f>-627.560210530928 -141.257294526572 -728.653601783191</f>
        <v>-1497.4711068406909</v>
      </c>
      <c r="P1434">
        <f>-637.121016998437 -126.842750587192 -412.604517523102</f>
        <v>-1176.5682851087308</v>
      </c>
      <c r="Q1434">
        <f>-391.895795516229 -51.8425740242294 -455.982253089864</f>
        <v>-899.7206226303224</v>
      </c>
      <c r="R1434" t="s">
        <v>29473</v>
      </c>
      <c r="S1434" t="s">
        <v>29474</v>
      </c>
      <c r="T1434" t="s">
        <v>29475</v>
      </c>
      <c r="U1434" t="s">
        <v>29476</v>
      </c>
      <c r="V1434">
        <f>-612.514805728598 -25.320604920437 -235.10542025431</f>
        <v>-872.94083090334493</v>
      </c>
      <c r="W1434" t="s">
        <v>29477</v>
      </c>
      <c r="X1434" t="s">
        <v>29478</v>
      </c>
      <c r="Y1434" t="s">
        <v>29479</v>
      </c>
    </row>
    <row r="1435" spans="1:25" x14ac:dyDescent="0.3">
      <c r="A1435">
        <v>71700</v>
      </c>
      <c r="B1435" t="s">
        <v>29480</v>
      </c>
      <c r="C1435" t="s">
        <v>29481</v>
      </c>
      <c r="D1435" t="s">
        <v>29482</v>
      </c>
      <c r="E1435" t="s">
        <v>29483</v>
      </c>
      <c r="F1435" t="s">
        <v>29484</v>
      </c>
      <c r="G1435" t="s">
        <v>29485</v>
      </c>
      <c r="H1435" t="s">
        <v>29486</v>
      </c>
      <c r="I1435">
        <f>-539.323937999184 -0.582488544894503 -931.444135895082</f>
        <v>-1471.3505624391605</v>
      </c>
      <c r="J1435" t="s">
        <v>29487</v>
      </c>
      <c r="K1435" t="s">
        <v>29488</v>
      </c>
      <c r="L1435" t="s">
        <v>29489</v>
      </c>
      <c r="M1435" t="s">
        <v>29490</v>
      </c>
      <c r="N1435">
        <f>-598.233318930433 -3.42651036210316 -770.429566750952</f>
        <v>-1372.0893960434883</v>
      </c>
      <c r="O1435">
        <f>-627.375869904906 -141.398629085982 -728.674186900038</f>
        <v>-1497.4486858909261</v>
      </c>
      <c r="P1435">
        <f>-636.700142292072 -126.957047912323 -412.619243845252</f>
        <v>-1176.2764340496469</v>
      </c>
      <c r="Q1435">
        <f>-391.503080202679 -52.0113248321702 -456.249536020939</f>
        <v>-899.76394105578811</v>
      </c>
      <c r="R1435" t="s">
        <v>29491</v>
      </c>
      <c r="S1435" t="s">
        <v>29492</v>
      </c>
      <c r="T1435" t="s">
        <v>29493</v>
      </c>
      <c r="U1435" t="s">
        <v>29494</v>
      </c>
      <c r="V1435">
        <f>-612.281926197244 -25.3896966168724 -235.12689924413</f>
        <v>-872.79852205824636</v>
      </c>
      <c r="W1435" t="s">
        <v>29495</v>
      </c>
      <c r="X1435" t="s">
        <v>29496</v>
      </c>
      <c r="Y1435" t="s">
        <v>29497</v>
      </c>
    </row>
    <row r="1436" spans="1:25" x14ac:dyDescent="0.3">
      <c r="A1436">
        <v>71750</v>
      </c>
      <c r="B1436" t="s">
        <v>29498</v>
      </c>
      <c r="C1436" t="s">
        <v>29499</v>
      </c>
      <c r="D1436" t="s">
        <v>29500</v>
      </c>
      <c r="E1436" t="s">
        <v>29501</v>
      </c>
      <c r="F1436" t="s">
        <v>29502</v>
      </c>
      <c r="G1436" t="s">
        <v>29503</v>
      </c>
      <c r="H1436" t="s">
        <v>29504</v>
      </c>
      <c r="I1436">
        <f>-539.23449516846 -0.270379639149922 -931.564843559231</f>
        <v>-1471.0697183668408</v>
      </c>
      <c r="J1436" t="s">
        <v>29505</v>
      </c>
      <c r="K1436" t="s">
        <v>29506</v>
      </c>
      <c r="L1436" t="s">
        <v>29507</v>
      </c>
      <c r="M1436" t="s">
        <v>29508</v>
      </c>
      <c r="N1436">
        <f>-598.058662426983 -3.20164793757464 -770.540736714435</f>
        <v>-1371.8010470789927</v>
      </c>
      <c r="O1436">
        <f>-627.173721499611 -141.141990045995 -728.747750902813</f>
        <v>-1497.0634624484192</v>
      </c>
      <c r="P1436">
        <f>-635.673091417911 -126.749214951747 -412.667413897704</f>
        <v>-1175.0897202673621</v>
      </c>
      <c r="Q1436">
        <f>-390.57320255065 -52.0363053181794 -457.232965287774</f>
        <v>-899.84247315660343</v>
      </c>
      <c r="R1436" t="s">
        <v>29509</v>
      </c>
      <c r="S1436" t="s">
        <v>29510</v>
      </c>
      <c r="T1436" t="s">
        <v>29511</v>
      </c>
      <c r="U1436" t="s">
        <v>29512</v>
      </c>
      <c r="V1436">
        <f>-611.706621252424 -25.3159666799667 -235.144464304024</f>
        <v>-872.16705223641475</v>
      </c>
      <c r="W1436" t="s">
        <v>29513</v>
      </c>
      <c r="X1436" t="s">
        <v>29514</v>
      </c>
      <c r="Y1436" t="s">
        <v>29515</v>
      </c>
    </row>
    <row r="1437" spans="1:25" x14ac:dyDescent="0.3">
      <c r="A1437">
        <v>71800</v>
      </c>
      <c r="B1437" t="s">
        <v>29516</v>
      </c>
      <c r="C1437" t="s">
        <v>29517</v>
      </c>
      <c r="D1437" t="s">
        <v>29518</v>
      </c>
      <c r="E1437" t="s">
        <v>29519</v>
      </c>
      <c r="F1437" t="s">
        <v>29520</v>
      </c>
      <c r="G1437" t="s">
        <v>29521</v>
      </c>
      <c r="H1437" t="s">
        <v>29522</v>
      </c>
      <c r="I1437">
        <f>-539.484050169463 -0.395224973014344 -931.628583695199</f>
        <v>-1471.5078588376764</v>
      </c>
      <c r="J1437" t="s">
        <v>29523</v>
      </c>
      <c r="K1437" t="s">
        <v>29524</v>
      </c>
      <c r="L1437" t="s">
        <v>29525</v>
      </c>
      <c r="M1437" t="s">
        <v>29526</v>
      </c>
      <c r="N1437">
        <f>-598.180366930959 -3.28508268816772 -770.567069600542</f>
        <v>-1372.0325192196688</v>
      </c>
      <c r="O1437">
        <f>-627.294893910187 -141.20375504666 -728.698145982488</f>
        <v>-1497.1967949393352</v>
      </c>
      <c r="P1437">
        <f>-635.283391011281 -126.791180380493 -412.605476020109</f>
        <v>-1174.6800474118829</v>
      </c>
      <c r="Q1437">
        <f>-390.186015200121 -52.3371211879432 -457.615591145106</f>
        <v>-900.13872753317014</v>
      </c>
      <c r="R1437" t="s">
        <v>29527</v>
      </c>
      <c r="S1437" t="s">
        <v>29528</v>
      </c>
      <c r="T1437" t="s">
        <v>29529</v>
      </c>
      <c r="U1437" t="s">
        <v>29530</v>
      </c>
      <c r="V1437">
        <f>-611.397362151171 -25.2245974044004 -235.158845101829</f>
        <v>-871.78080465740038</v>
      </c>
      <c r="W1437" t="s">
        <v>29531</v>
      </c>
      <c r="X1437" t="s">
        <v>29532</v>
      </c>
      <c r="Y1437" t="s">
        <v>29533</v>
      </c>
    </row>
    <row r="1438" spans="1:25" x14ac:dyDescent="0.3">
      <c r="A1438">
        <v>71850</v>
      </c>
      <c r="B1438" t="s">
        <v>29534</v>
      </c>
      <c r="C1438" t="s">
        <v>29535</v>
      </c>
      <c r="D1438" t="s">
        <v>29536</v>
      </c>
      <c r="E1438" t="s">
        <v>29537</v>
      </c>
      <c r="F1438" t="s">
        <v>29538</v>
      </c>
      <c r="G1438" t="s">
        <v>29539</v>
      </c>
      <c r="H1438" t="s">
        <v>29540</v>
      </c>
      <c r="I1438">
        <f>-539.526524351881 -0.549825554278208 -931.726079755416</f>
        <v>-1471.8024296615752</v>
      </c>
      <c r="J1438" t="s">
        <v>29541</v>
      </c>
      <c r="K1438" t="s">
        <v>29542</v>
      </c>
      <c r="L1438" t="s">
        <v>29543</v>
      </c>
      <c r="M1438" t="s">
        <v>29544</v>
      </c>
      <c r="N1438">
        <f>-598.122653448632 -3.36510310028734 -770.636653857299</f>
        <v>-1372.1244104062184</v>
      </c>
      <c r="O1438">
        <f>-627.335384510157 -141.23726244913 -728.667078397449</f>
        <v>-1497.239725356736</v>
      </c>
      <c r="P1438">
        <f>-634.754475220581 -126.711424553498 -412.565669353043</f>
        <v>-1174.0315691271219</v>
      </c>
      <c r="Q1438">
        <f>-389.608303344133 -52.632668961634 -457.928151057734</f>
        <v>-900.16912336350106</v>
      </c>
      <c r="R1438" t="s">
        <v>29545</v>
      </c>
      <c r="S1438" t="s">
        <v>29546</v>
      </c>
      <c r="T1438" t="s">
        <v>29547</v>
      </c>
      <c r="U1438" t="s">
        <v>29548</v>
      </c>
      <c r="V1438">
        <f>-611.0728265346 -25.188781730402 -235.189081241168</f>
        <v>-871.45068950616997</v>
      </c>
      <c r="W1438" t="s">
        <v>29549</v>
      </c>
      <c r="X1438" t="s">
        <v>29550</v>
      </c>
      <c r="Y1438" t="s">
        <v>29551</v>
      </c>
    </row>
    <row r="1439" spans="1:25" x14ac:dyDescent="0.3">
      <c r="A1439">
        <v>71900</v>
      </c>
      <c r="B1439" t="s">
        <v>29552</v>
      </c>
      <c r="C1439" t="s">
        <v>29553</v>
      </c>
      <c r="D1439" t="s">
        <v>29554</v>
      </c>
      <c r="E1439" t="s">
        <v>29555</v>
      </c>
      <c r="F1439" t="s">
        <v>29556</v>
      </c>
      <c r="G1439" t="s">
        <v>29557</v>
      </c>
      <c r="H1439" t="s">
        <v>29558</v>
      </c>
      <c r="I1439">
        <f>-539.204538213033 -1.97919484729629 -931.674945930644</f>
        <v>-1472.8586789909732</v>
      </c>
      <c r="J1439" t="s">
        <v>29559</v>
      </c>
      <c r="K1439" t="s">
        <v>29560</v>
      </c>
      <c r="L1439" t="s">
        <v>29561</v>
      </c>
      <c r="M1439" t="s">
        <v>29562</v>
      </c>
      <c r="N1439">
        <f>-597.710221559701 -4.32747023808938 -770.552796875534</f>
        <v>-1372.5904886733244</v>
      </c>
      <c r="O1439">
        <f>-627.09836076751 -142.047510795774 -728.230390211758</f>
        <v>-1497.3762617750422</v>
      </c>
      <c r="P1439">
        <f>-633.93624656941 -127.16083711531 -412.132562842647</f>
        <v>-1173.2296465273669</v>
      </c>
      <c r="Q1439">
        <f>-388.61454710578 -54.0980147306542 -458.188326358598</f>
        <v>-900.90088819503217</v>
      </c>
      <c r="R1439" t="s">
        <v>29563</v>
      </c>
      <c r="S1439" t="s">
        <v>29564</v>
      </c>
      <c r="T1439" t="s">
        <v>29565</v>
      </c>
      <c r="U1439" t="s">
        <v>29566</v>
      </c>
      <c r="V1439">
        <f>-610.672328597295 -25.2239144397255 -235.205639037213</f>
        <v>-871.10188207423346</v>
      </c>
      <c r="W1439" t="s">
        <v>29567</v>
      </c>
      <c r="X1439" t="s">
        <v>29568</v>
      </c>
      <c r="Y1439" t="s">
        <v>29569</v>
      </c>
    </row>
    <row r="1440" spans="1:25" x14ac:dyDescent="0.3">
      <c r="A1440">
        <v>71950</v>
      </c>
      <c r="B1440" t="s">
        <v>29570</v>
      </c>
      <c r="C1440" t="s">
        <v>29571</v>
      </c>
      <c r="D1440" t="s">
        <v>29572</v>
      </c>
      <c r="E1440" t="s">
        <v>29573</v>
      </c>
      <c r="F1440" t="s">
        <v>29574</v>
      </c>
      <c r="G1440" t="s">
        <v>29575</v>
      </c>
      <c r="H1440" t="s">
        <v>29576</v>
      </c>
      <c r="I1440">
        <f>-539.205859910963 -4.37351497341446 -931.364267198894</f>
        <v>-1474.9436420832715</v>
      </c>
      <c r="J1440" t="s">
        <v>29577</v>
      </c>
      <c r="K1440" t="s">
        <v>29578</v>
      </c>
      <c r="L1440" t="s">
        <v>29579</v>
      </c>
      <c r="M1440" t="s">
        <v>29580</v>
      </c>
      <c r="N1440">
        <f>-597.677590994027 -5.9899659712056 -770.23209085208</f>
        <v>-1373.8996478173126</v>
      </c>
      <c r="O1440">
        <f>-627.154523752624 -143.5082453765 -727.310253473265</f>
        <v>-1497.9730226023889</v>
      </c>
      <c r="P1440">
        <f>-633.453226397253 -127.121658990908 -411.275457909883</f>
        <v>-1171.8503432980442</v>
      </c>
      <c r="Q1440">
        <f>-387.586499542083 -55.7145779180401 -457.020520751249</f>
        <v>-900.32159821137213</v>
      </c>
      <c r="R1440" t="s">
        <v>29581</v>
      </c>
      <c r="S1440" t="s">
        <v>29582</v>
      </c>
      <c r="T1440" t="s">
        <v>29583</v>
      </c>
      <c r="U1440" t="s">
        <v>29584</v>
      </c>
      <c r="V1440">
        <f>-610.376309602371 -25.406653245418 -235.179326881797</f>
        <v>-870.9622897295859</v>
      </c>
      <c r="W1440" t="s">
        <v>29585</v>
      </c>
      <c r="X1440" t="s">
        <v>29586</v>
      </c>
      <c r="Y1440" t="s">
        <v>29587</v>
      </c>
    </row>
    <row r="1441" spans="1:25" x14ac:dyDescent="0.3">
      <c r="A1441">
        <v>72000</v>
      </c>
      <c r="B1441" t="s">
        <v>29588</v>
      </c>
      <c r="C1441" t="s">
        <v>29589</v>
      </c>
      <c r="D1441" t="s">
        <v>29590</v>
      </c>
      <c r="E1441" t="s">
        <v>29591</v>
      </c>
      <c r="F1441" t="s">
        <v>29592</v>
      </c>
      <c r="G1441" t="s">
        <v>29593</v>
      </c>
      <c r="H1441" t="s">
        <v>29594</v>
      </c>
      <c r="I1441">
        <f>-539.198147619125 -6.02065068478138 -931.098657868527</f>
        <v>-1476.3174561724334</v>
      </c>
      <c r="J1441" t="s">
        <v>29595</v>
      </c>
      <c r="K1441" t="s">
        <v>29596</v>
      </c>
      <c r="L1441" t="s">
        <v>29597</v>
      </c>
      <c r="M1441" t="s">
        <v>29598</v>
      </c>
      <c r="N1441">
        <f>-597.65986430224 -7.1108791356726 -769.967337405864</f>
        <v>-1374.7380808437765</v>
      </c>
      <c r="O1441">
        <f>-627.050929348359 -144.518196099119 -726.649355463988</f>
        <v>-1498.218480911466</v>
      </c>
      <c r="P1441">
        <f>-633.057401929524 -127.129352336037 -410.662434022088</f>
        <v>-1170.849188287649</v>
      </c>
      <c r="Q1441">
        <f>-386.860564824262 -56.5429667561406 -455.903552146763</f>
        <v>-899.3070837271656</v>
      </c>
      <c r="R1441" t="s">
        <v>29599</v>
      </c>
      <c r="S1441" t="s">
        <v>29600</v>
      </c>
      <c r="T1441" t="s">
        <v>29601</v>
      </c>
      <c r="U1441" t="s">
        <v>29602</v>
      </c>
      <c r="V1441">
        <f>-610.262395158934 -25.4812613986372 -235.166946427255</f>
        <v>-870.91060298482626</v>
      </c>
      <c r="W1441" t="s">
        <v>29603</v>
      </c>
      <c r="X1441" t="s">
        <v>29604</v>
      </c>
      <c r="Y1441" t="s">
        <v>29605</v>
      </c>
    </row>
    <row r="1442" spans="1:25" x14ac:dyDescent="0.3">
      <c r="A1442">
        <v>72050</v>
      </c>
      <c r="B1442" t="s">
        <v>29606</v>
      </c>
      <c r="C1442" t="s">
        <v>29607</v>
      </c>
      <c r="D1442" t="s">
        <v>29608</v>
      </c>
      <c r="E1442" t="s">
        <v>29609</v>
      </c>
      <c r="F1442" t="s">
        <v>29610</v>
      </c>
      <c r="G1442" t="s">
        <v>29611</v>
      </c>
      <c r="H1442" t="s">
        <v>29612</v>
      </c>
      <c r="I1442">
        <f>-539.053331474423 -7.74353557859418 -930.852606719545</f>
        <v>-1477.649473772562</v>
      </c>
      <c r="J1442" t="s">
        <v>29613</v>
      </c>
      <c r="K1442" t="s">
        <v>29614</v>
      </c>
      <c r="L1442" t="s">
        <v>29615</v>
      </c>
      <c r="M1442" t="s">
        <v>29616</v>
      </c>
      <c r="N1442">
        <f>-597.542855837758 -8.27549334301842 -769.739930083441</f>
        <v>-1375.5582792642174</v>
      </c>
      <c r="O1442">
        <f>-626.895046994449 -145.572773695475 -725.992493976118</f>
        <v>-1498.460314666042</v>
      </c>
      <c r="P1442">
        <f>-632.814188531125 -127.173414652836 -410.061150308828</f>
        <v>-1170.0487534927888</v>
      </c>
      <c r="Q1442">
        <f>-386.454667222731 -57.0521643175099 -455.13947307493</f>
        <v>-898.64630461517095</v>
      </c>
      <c r="R1442" t="s">
        <v>29617</v>
      </c>
      <c r="S1442" t="s">
        <v>29618</v>
      </c>
      <c r="T1442" t="s">
        <v>29619</v>
      </c>
      <c r="U1442" t="s">
        <v>29620</v>
      </c>
      <c r="V1442">
        <f>-610.069666699628 -25.5418460408707 -235.181854144073</f>
        <v>-870.7933668845717</v>
      </c>
      <c r="W1442" t="s">
        <v>29621</v>
      </c>
      <c r="X1442" t="s">
        <v>29622</v>
      </c>
      <c r="Y1442" t="s">
        <v>29623</v>
      </c>
    </row>
    <row r="1443" spans="1:25" x14ac:dyDescent="0.3">
      <c r="A1443">
        <v>72100</v>
      </c>
      <c r="B1443" t="s">
        <v>29624</v>
      </c>
      <c r="C1443" t="s">
        <v>29625</v>
      </c>
      <c r="D1443" t="s">
        <v>29626</v>
      </c>
      <c r="E1443" t="s">
        <v>29627</v>
      </c>
      <c r="F1443" t="s">
        <v>29628</v>
      </c>
      <c r="G1443" t="s">
        <v>29629</v>
      </c>
      <c r="H1443" t="s">
        <v>29630</v>
      </c>
      <c r="I1443">
        <f>-538.58137492651 -10.7851133383988 -930.365501835501</f>
        <v>-1479.7319901004098</v>
      </c>
      <c r="J1443" t="s">
        <v>29631</v>
      </c>
      <c r="K1443" t="s">
        <v>29632</v>
      </c>
      <c r="L1443" t="s">
        <v>29633</v>
      </c>
      <c r="M1443" t="s">
        <v>29634</v>
      </c>
      <c r="N1443">
        <f>-597.204421967813 -10.2605993642731 -769.316958159831</f>
        <v>-1376.7819794919169</v>
      </c>
      <c r="O1443">
        <f>-626.461784560089 -147.327734602592 -724.797105436115</f>
        <v>-1498.5866245987959</v>
      </c>
      <c r="P1443">
        <f>-631.994991978478 -127.473693602392 -408.946892903933</f>
        <v>-1168.4155784848031</v>
      </c>
      <c r="Q1443">
        <f>-385.680132828695 -57.5713010739908 -454.60514836802</f>
        <v>-897.85658227070576</v>
      </c>
      <c r="R1443" t="s">
        <v>29635</v>
      </c>
      <c r="S1443" t="s">
        <v>29636</v>
      </c>
      <c r="T1443" t="s">
        <v>29637</v>
      </c>
      <c r="U1443" t="s">
        <v>29638</v>
      </c>
      <c r="V1443">
        <f>-609.765580864125 -25.3809182076077 -235.199890423277</f>
        <v>-870.3463894950097</v>
      </c>
      <c r="W1443" t="s">
        <v>29639</v>
      </c>
      <c r="X1443" t="s">
        <v>29640</v>
      </c>
      <c r="Y1443" t="s">
        <v>29641</v>
      </c>
    </row>
    <row r="1444" spans="1:25" x14ac:dyDescent="0.3">
      <c r="A1444">
        <v>72150</v>
      </c>
      <c r="B1444" t="s">
        <v>29642</v>
      </c>
      <c r="C1444" t="s">
        <v>29643</v>
      </c>
      <c r="D1444" t="s">
        <v>29644</v>
      </c>
      <c r="E1444" t="s">
        <v>29645</v>
      </c>
      <c r="F1444" t="s">
        <v>29646</v>
      </c>
      <c r="G1444" t="s">
        <v>29647</v>
      </c>
      <c r="H1444" t="s">
        <v>29648</v>
      </c>
      <c r="I1444">
        <f>-538.728577116129 -13.4285798760189 -930.005034218056</f>
        <v>-1482.1621912102041</v>
      </c>
      <c r="J1444" t="s">
        <v>29649</v>
      </c>
      <c r="K1444" t="s">
        <v>29650</v>
      </c>
      <c r="L1444" t="s">
        <v>29651</v>
      </c>
      <c r="M1444" t="s">
        <v>29652</v>
      </c>
      <c r="N1444">
        <f>-597.274440310378 -11.9244383972791 -768.954267652294</f>
        <v>-1378.1531463599513</v>
      </c>
      <c r="O1444">
        <f>-626.457918739292 -148.74868765283 -723.636041633397</f>
        <v>-1498.8426480255189</v>
      </c>
      <c r="P1444">
        <f>-631.107033926147 -127.342462058925 -407.872940898935</f>
        <v>-1166.3224368840069</v>
      </c>
      <c r="Q1444">
        <f>-384.988007364448 -57.4065697172858 -454.525224077289</f>
        <v>-896.91980115902277</v>
      </c>
      <c r="R1444" t="s">
        <v>29653</v>
      </c>
      <c r="S1444" t="s">
        <v>29654</v>
      </c>
      <c r="T1444" t="s">
        <v>29655</v>
      </c>
      <c r="U1444" t="s">
        <v>29656</v>
      </c>
      <c r="V1444">
        <f>-609.551296389903 -24.8340390345598 -235.212114809254</f>
        <v>-869.59745023371681</v>
      </c>
      <c r="W1444" t="s">
        <v>29657</v>
      </c>
      <c r="X1444" t="s">
        <v>29658</v>
      </c>
      <c r="Y1444" t="s">
        <v>29659</v>
      </c>
    </row>
    <row r="1445" spans="1:25" x14ac:dyDescent="0.3">
      <c r="A1445">
        <v>72200</v>
      </c>
      <c r="B1445" t="s">
        <v>29660</v>
      </c>
      <c r="C1445" t="s">
        <v>29661</v>
      </c>
      <c r="D1445" t="s">
        <v>29662</v>
      </c>
      <c r="E1445" t="s">
        <v>29663</v>
      </c>
      <c r="F1445" t="s">
        <v>29664</v>
      </c>
      <c r="G1445" t="s">
        <v>29665</v>
      </c>
      <c r="H1445" t="s">
        <v>29666</v>
      </c>
      <c r="I1445">
        <f>-539.077546140885 -14.4965160985972 -929.814287609954</f>
        <v>-1483.3883498494363</v>
      </c>
      <c r="J1445" t="s">
        <v>29667</v>
      </c>
      <c r="K1445" t="s">
        <v>29668</v>
      </c>
      <c r="L1445" t="s">
        <v>29669</v>
      </c>
      <c r="M1445" t="s">
        <v>29670</v>
      </c>
      <c r="N1445">
        <f>-597.610550475413 -12.5511967472579 -768.770586330353</f>
        <v>-1378.9323335530239</v>
      </c>
      <c r="O1445">
        <f>-626.741205414369 -149.261766340977 -723.086772354862</f>
        <v>-1499.0897441102079</v>
      </c>
      <c r="P1445">
        <f>-630.836651077172 -127.396185210733 -407.347389942908</f>
        <v>-1165.580226230813</v>
      </c>
      <c r="Q1445">
        <f>-384.873119933906 -57.2116847445309 -454.444437311464</f>
        <v>-896.52924198990092</v>
      </c>
      <c r="R1445" t="s">
        <v>29671</v>
      </c>
      <c r="S1445" t="s">
        <v>29672</v>
      </c>
      <c r="T1445" t="s">
        <v>29673</v>
      </c>
      <c r="U1445" t="s">
        <v>29674</v>
      </c>
      <c r="V1445">
        <f>-609.500215472785 -24.5721539600696 -235.204042801363</f>
        <v>-869.27641223421767</v>
      </c>
      <c r="W1445" t="s">
        <v>29675</v>
      </c>
      <c r="X1445" t="s">
        <v>29676</v>
      </c>
      <c r="Y1445" t="s">
        <v>29677</v>
      </c>
    </row>
    <row r="1446" spans="1:25" x14ac:dyDescent="0.3">
      <c r="A1446">
        <v>72250</v>
      </c>
      <c r="B1446" t="s">
        <v>29678</v>
      </c>
      <c r="C1446" t="s">
        <v>29679</v>
      </c>
      <c r="D1446" t="s">
        <v>29680</v>
      </c>
      <c r="E1446" t="s">
        <v>29681</v>
      </c>
      <c r="F1446" t="s">
        <v>29682</v>
      </c>
      <c r="G1446" t="s">
        <v>29683</v>
      </c>
      <c r="H1446" t="s">
        <v>29684</v>
      </c>
      <c r="I1446">
        <f>-539.841516213462 -16.1549056041784 -929.489671953947</f>
        <v>-1485.4860937715875</v>
      </c>
      <c r="J1446" t="s">
        <v>29685</v>
      </c>
      <c r="K1446" t="s">
        <v>29686</v>
      </c>
      <c r="L1446" t="s">
        <v>29687</v>
      </c>
      <c r="M1446" t="s">
        <v>29688</v>
      </c>
      <c r="N1446">
        <f>-598.307815039811 -13.5064077219307 -768.455815357767</f>
        <v>-1380.2700381195086</v>
      </c>
      <c r="O1446">
        <f>-627.267037222228 -150.053255510902 -722.176947379046</f>
        <v>-1499.4972401121761</v>
      </c>
      <c r="P1446">
        <f>-630.473750705636 -127.275845554286 -406.491734493415</f>
        <v>-1164.241330753337</v>
      </c>
      <c r="Q1446">
        <f>-384.632044540409 -57.0486223505539 -454.157986681201</f>
        <v>-895.83865357216393</v>
      </c>
      <c r="R1446" t="s">
        <v>29689</v>
      </c>
      <c r="S1446" t="s">
        <v>29690</v>
      </c>
      <c r="T1446" t="s">
        <v>29691</v>
      </c>
      <c r="U1446" t="s">
        <v>29692</v>
      </c>
      <c r="V1446">
        <f>-609.578996963717 -24.0050417040291 -235.207742481955</f>
        <v>-868.79178114970114</v>
      </c>
      <c r="W1446" t="s">
        <v>29693</v>
      </c>
      <c r="X1446" t="s">
        <v>29694</v>
      </c>
      <c r="Y1446" t="s">
        <v>29695</v>
      </c>
    </row>
    <row r="1447" spans="1:25" x14ac:dyDescent="0.3">
      <c r="A1447">
        <v>72300</v>
      </c>
      <c r="B1447" t="s">
        <v>29696</v>
      </c>
      <c r="C1447" t="s">
        <v>29697</v>
      </c>
      <c r="D1447" t="s">
        <v>29698</v>
      </c>
      <c r="E1447" t="s">
        <v>29699</v>
      </c>
      <c r="F1447" t="s">
        <v>29700</v>
      </c>
      <c r="G1447" t="s">
        <v>29701</v>
      </c>
      <c r="H1447" t="s">
        <v>29702</v>
      </c>
      <c r="I1447">
        <f>-539.882890338384 -16.7081473536009 -929.30904273637</f>
        <v>-1485.9000804283548</v>
      </c>
      <c r="J1447" t="s">
        <v>29703</v>
      </c>
      <c r="K1447" t="s">
        <v>29704</v>
      </c>
      <c r="L1447" t="s">
        <v>29705</v>
      </c>
      <c r="M1447" t="s">
        <v>29706</v>
      </c>
      <c r="N1447">
        <f>-598.431949471599 -13.8286188500786 -768.320453300396</f>
        <v>-1380.5810216220734</v>
      </c>
      <c r="O1447">
        <f>-627.227241766935 -150.332161283109 -721.821358024184</f>
        <v>-1499.3807610742278</v>
      </c>
      <c r="P1447">
        <f>-630.287970283888 -127.209255015363 -406.159821578428</f>
        <v>-1163.657046877679</v>
      </c>
      <c r="Q1447">
        <f>-384.457741871679 -57.0823791370014 -454.032397149594</f>
        <v>-895.57251815827431</v>
      </c>
      <c r="R1447" t="s">
        <v>29707</v>
      </c>
      <c r="S1447" t="s">
        <v>29708</v>
      </c>
      <c r="T1447" t="s">
        <v>29709</v>
      </c>
      <c r="U1447" t="s">
        <v>29710</v>
      </c>
      <c r="V1447">
        <f>-609.611931572524 -23.7792357688505 -235.20605611875</f>
        <v>-868.5972234601245</v>
      </c>
      <c r="W1447" t="s">
        <v>29711</v>
      </c>
      <c r="X1447" t="s">
        <v>29712</v>
      </c>
      <c r="Y1447" t="s">
        <v>29713</v>
      </c>
    </row>
    <row r="1448" spans="1:25" x14ac:dyDescent="0.3">
      <c r="A1448">
        <v>72350</v>
      </c>
      <c r="B1448" t="s">
        <v>29714</v>
      </c>
      <c r="C1448" t="s">
        <v>29715</v>
      </c>
      <c r="D1448" t="s">
        <v>29716</v>
      </c>
      <c r="E1448" t="s">
        <v>29717</v>
      </c>
      <c r="F1448" t="s">
        <v>29718</v>
      </c>
      <c r="G1448" t="s">
        <v>29719</v>
      </c>
      <c r="H1448" t="s">
        <v>29720</v>
      </c>
      <c r="I1448">
        <f>-539.932689207774 -17.3128864675744 -929.183431849654</f>
        <v>-1486.4290075250024</v>
      </c>
      <c r="J1448" t="s">
        <v>29721</v>
      </c>
      <c r="K1448" t="s">
        <v>29722</v>
      </c>
      <c r="L1448" t="s">
        <v>29723</v>
      </c>
      <c r="M1448" t="s">
        <v>29724</v>
      </c>
      <c r="N1448">
        <f>-598.572052303873 -14.236768393114 -768.238883016672</f>
        <v>-1381.0477037136588</v>
      </c>
      <c r="O1448">
        <f>-627.190083666374 -150.722854505709 -721.59148211454</f>
        <v>-1499.5044202866229</v>
      </c>
      <c r="P1448">
        <f>-630.203189445676 -127.345787777688 -405.948444103624</f>
        <v>-1163.4974213269879</v>
      </c>
      <c r="Q1448">
        <f>-384.439046243408 -57.0722220043887 -453.944839220124</f>
        <v>-895.45610746792067</v>
      </c>
      <c r="R1448" t="s">
        <v>29725</v>
      </c>
      <c r="S1448" t="s">
        <v>29726</v>
      </c>
      <c r="T1448" t="s">
        <v>29727</v>
      </c>
      <c r="U1448" t="s">
        <v>29728</v>
      </c>
      <c r="V1448">
        <f>-609.693146635289 -23.6774817586998 -235.215965520385</f>
        <v>-868.58659391437391</v>
      </c>
      <c r="W1448" t="s">
        <v>29729</v>
      </c>
      <c r="X1448" t="s">
        <v>29730</v>
      </c>
      <c r="Y1448" t="s">
        <v>29731</v>
      </c>
    </row>
    <row r="1449" spans="1:25" x14ac:dyDescent="0.3">
      <c r="A1449">
        <v>72400</v>
      </c>
      <c r="B1449" t="s">
        <v>29732</v>
      </c>
      <c r="C1449" t="s">
        <v>29733</v>
      </c>
      <c r="D1449" t="s">
        <v>29734</v>
      </c>
      <c r="E1449" t="s">
        <v>29735</v>
      </c>
      <c r="F1449" t="s">
        <v>29736</v>
      </c>
      <c r="G1449" t="s">
        <v>29737</v>
      </c>
      <c r="H1449" t="s">
        <v>29738</v>
      </c>
      <c r="I1449">
        <f>-540.476939147397 -18.1391667215759 -929.009232903427</f>
        <v>-1487.6253387724</v>
      </c>
      <c r="J1449" t="s">
        <v>29739</v>
      </c>
      <c r="K1449" t="s">
        <v>29740</v>
      </c>
      <c r="L1449" t="s">
        <v>29741</v>
      </c>
      <c r="M1449" t="s">
        <v>29742</v>
      </c>
      <c r="N1449">
        <f>-599.239773847337 -14.7855592802379 -768.130189272207</f>
        <v>-1382.1555223997818</v>
      </c>
      <c r="O1449">
        <f>-627.657946946574 -151.214121282875 -721.175460088858</f>
        <v>-1500.0475283183071</v>
      </c>
      <c r="P1449">
        <f>-630.672538567924 -127.33903794811 -405.569574980547</f>
        <v>-1163.581151496581</v>
      </c>
      <c r="Q1449">
        <f>-384.969539146797 -56.8489187026594 -453.561422716767</f>
        <v>-895.37988056622339</v>
      </c>
      <c r="R1449" t="s">
        <v>29743</v>
      </c>
      <c r="S1449" t="s">
        <v>29744</v>
      </c>
      <c r="T1449" t="s">
        <v>29745</v>
      </c>
      <c r="U1449" t="s">
        <v>29746</v>
      </c>
      <c r="V1449">
        <f>-609.965549703385 -23.4464498221215 -235.262547899939</f>
        <v>-868.67454742544555</v>
      </c>
      <c r="W1449" t="s">
        <v>29747</v>
      </c>
      <c r="X1449" t="s">
        <v>29748</v>
      </c>
      <c r="Y1449" t="s">
        <v>29749</v>
      </c>
    </row>
    <row r="1450" spans="1:25" x14ac:dyDescent="0.3">
      <c r="A1450">
        <v>72450</v>
      </c>
      <c r="B1450" t="s">
        <v>29750</v>
      </c>
      <c r="C1450" t="s">
        <v>29751</v>
      </c>
      <c r="D1450" t="s">
        <v>29752</v>
      </c>
      <c r="E1450" t="s">
        <v>29753</v>
      </c>
      <c r="F1450" t="s">
        <v>29754</v>
      </c>
      <c r="G1450" t="s">
        <v>29755</v>
      </c>
      <c r="H1450" t="s">
        <v>29756</v>
      </c>
      <c r="I1450">
        <f>-540.645405250123 -18.7926358547543 -928.845907875081</f>
        <v>-1488.2839489799583</v>
      </c>
      <c r="J1450" t="s">
        <v>29757</v>
      </c>
      <c r="K1450" t="s">
        <v>29758</v>
      </c>
      <c r="L1450" t="s">
        <v>29759</v>
      </c>
      <c r="M1450" t="s">
        <v>29760</v>
      </c>
      <c r="N1450">
        <f>-599.526114705538 -15.2993443355844 -768.019059846073</f>
        <v>-1382.8445188871954</v>
      </c>
      <c r="O1450">
        <f>-627.804748780177 -151.681925219856 -720.848814561463</f>
        <v>-1500.3354885614958</v>
      </c>
      <c r="P1450">
        <f>-630.816372660577 -127.157604668427 -405.29260446596</f>
        <v>-1163.2665817949639</v>
      </c>
      <c r="Q1450">
        <f>-385.049407574165 -56.7342293180635 -453.054502108422</f>
        <v>-894.83813900065047</v>
      </c>
      <c r="R1450" t="s">
        <v>29761</v>
      </c>
      <c r="S1450" t="s">
        <v>29762</v>
      </c>
      <c r="T1450" t="s">
        <v>29763</v>
      </c>
      <c r="U1450" t="s">
        <v>29764</v>
      </c>
      <c r="V1450">
        <f>-610.198489312109 -23.526424691242 -235.262352723575</f>
        <v>-868.98726672692601</v>
      </c>
      <c r="W1450" t="s">
        <v>29765</v>
      </c>
      <c r="X1450" t="s">
        <v>29766</v>
      </c>
      <c r="Y1450" t="s">
        <v>29767</v>
      </c>
    </row>
    <row r="1451" spans="1:25" x14ac:dyDescent="0.3">
      <c r="A1451">
        <v>72500</v>
      </c>
      <c r="B1451" t="s">
        <v>29768</v>
      </c>
      <c r="C1451" t="s">
        <v>29769</v>
      </c>
      <c r="D1451" t="s">
        <v>29770</v>
      </c>
      <c r="E1451" t="s">
        <v>29771</v>
      </c>
      <c r="F1451" t="s">
        <v>29772</v>
      </c>
      <c r="G1451" t="s">
        <v>29773</v>
      </c>
      <c r="H1451" t="s">
        <v>29774</v>
      </c>
      <c r="I1451">
        <f>-540.752595531336 -18.9355865535853 -928.703051552654</f>
        <v>-1488.3912336375752</v>
      </c>
      <c r="J1451" t="s">
        <v>29775</v>
      </c>
      <c r="K1451" t="s">
        <v>29776</v>
      </c>
      <c r="L1451" t="s">
        <v>29777</v>
      </c>
      <c r="M1451" t="s">
        <v>29778</v>
      </c>
      <c r="N1451">
        <f>-599.717912897286 -15.3909370102064 -767.910177774637</f>
        <v>-1383.0190276821295</v>
      </c>
      <c r="O1451">
        <f>-627.92207331704 -151.755394180246 -720.666003093821</f>
        <v>-1500.343470591107</v>
      </c>
      <c r="P1451">
        <f>-630.982736474614 -127.010134725436 -405.127646064907</f>
        <v>-1163.120517264957</v>
      </c>
      <c r="Q1451">
        <f>-385.167336369042 -56.6891576789669 -452.790991451336</f>
        <v>-894.64748549934495</v>
      </c>
      <c r="R1451" t="s">
        <v>29779</v>
      </c>
      <c r="S1451" t="s">
        <v>29780</v>
      </c>
      <c r="T1451" t="s">
        <v>29781</v>
      </c>
      <c r="U1451" t="s">
        <v>29782</v>
      </c>
      <c r="V1451">
        <f>-610.347860771694 -23.5931113104872 -235.253367176799</f>
        <v>-869.19433925898011</v>
      </c>
      <c r="W1451" t="s">
        <v>29783</v>
      </c>
      <c r="X1451" t="s">
        <v>29784</v>
      </c>
      <c r="Y1451" t="s">
        <v>29785</v>
      </c>
    </row>
    <row r="1452" spans="1:25" x14ac:dyDescent="0.3">
      <c r="A1452">
        <v>72550</v>
      </c>
      <c r="B1452" t="s">
        <v>29786</v>
      </c>
      <c r="C1452" t="s">
        <v>29787</v>
      </c>
      <c r="D1452" t="s">
        <v>29788</v>
      </c>
      <c r="E1452" t="s">
        <v>29789</v>
      </c>
      <c r="F1452" t="s">
        <v>29790</v>
      </c>
      <c r="G1452" t="s">
        <v>29791</v>
      </c>
      <c r="H1452" t="s">
        <v>29792</v>
      </c>
      <c r="I1452">
        <f>-541.067833327738 -19.840621022024 -928.434621562701</f>
        <v>-1489.3430759124631</v>
      </c>
      <c r="J1452" t="s">
        <v>29793</v>
      </c>
      <c r="K1452" t="s">
        <v>29794</v>
      </c>
      <c r="L1452" t="s">
        <v>29795</v>
      </c>
      <c r="M1452" t="s">
        <v>29796</v>
      </c>
      <c r="N1452">
        <f>-600.170379089955 -16.0801070774425 -767.701235910419</f>
        <v>-1383.9517220778164</v>
      </c>
      <c r="O1452">
        <f>-628.286858766447 -152.407875552356 -720.316480353045</f>
        <v>-1501.0112146718479</v>
      </c>
      <c r="P1452">
        <f>-631.38977791871 -127.410672781129 -404.798436475449</f>
        <v>-1163.5988871752882</v>
      </c>
      <c r="Q1452">
        <f>-385.561976832058 -57.1511939522032 -452.488326817652</f>
        <v>-895.20149760191316</v>
      </c>
      <c r="R1452" t="s">
        <v>29797</v>
      </c>
      <c r="S1452" t="s">
        <v>29798</v>
      </c>
      <c r="T1452" t="s">
        <v>29799</v>
      </c>
      <c r="U1452" t="s">
        <v>29800</v>
      </c>
      <c r="V1452">
        <f>-610.696619218515 -23.7838201477948 -235.237319246393</f>
        <v>-869.71775861270282</v>
      </c>
      <c r="W1452" t="s">
        <v>29801</v>
      </c>
      <c r="X1452" t="s">
        <v>29802</v>
      </c>
      <c r="Y1452" t="s">
        <v>29803</v>
      </c>
    </row>
    <row r="1453" spans="1:25" x14ac:dyDescent="0.3">
      <c r="A1453">
        <v>72600</v>
      </c>
      <c r="B1453" t="s">
        <v>29804</v>
      </c>
      <c r="C1453" t="s">
        <v>29805</v>
      </c>
      <c r="D1453" t="s">
        <v>29806</v>
      </c>
      <c r="E1453" t="s">
        <v>29807</v>
      </c>
      <c r="F1453" t="s">
        <v>29808</v>
      </c>
      <c r="G1453" t="s">
        <v>29809</v>
      </c>
      <c r="H1453" t="s">
        <v>29810</v>
      </c>
      <c r="I1453">
        <f>-541.259137239827 -20.1919607677757 -928.33737639396</f>
        <v>-1489.7884744015628</v>
      </c>
      <c r="J1453" t="s">
        <v>29811</v>
      </c>
      <c r="K1453" t="s">
        <v>29812</v>
      </c>
      <c r="L1453" t="s">
        <v>29813</v>
      </c>
      <c r="M1453" t="s">
        <v>29814</v>
      </c>
      <c r="N1453">
        <f>-600.447741180841 -16.309778217957 -767.639630753095</f>
        <v>-1384.3971501518931</v>
      </c>
      <c r="O1453">
        <f>-628.651212297733 -152.608363291168 -720.184981749515</f>
        <v>-1501.444557338416</v>
      </c>
      <c r="P1453">
        <f>-631.634023423782 -127.590161870831 -404.667248845661</f>
        <v>-1163.891434140274</v>
      </c>
      <c r="Q1453">
        <f>-385.801395138685 -57.3754056175059 -452.398246404085</f>
        <v>-895.57504716027597</v>
      </c>
      <c r="R1453" t="s">
        <v>29815</v>
      </c>
      <c r="S1453" t="s">
        <v>29816</v>
      </c>
      <c r="T1453" t="s">
        <v>29817</v>
      </c>
      <c r="U1453" t="s">
        <v>29818</v>
      </c>
      <c r="V1453">
        <f>-610.905906338885 -23.8747463942974 -235.238294105107</f>
        <v>-870.01894683828937</v>
      </c>
      <c r="W1453" t="s">
        <v>29819</v>
      </c>
      <c r="X1453" t="s">
        <v>29820</v>
      </c>
      <c r="Y1453" t="s">
        <v>29821</v>
      </c>
    </row>
    <row r="1454" spans="1:25" x14ac:dyDescent="0.3">
      <c r="A1454">
        <v>72650</v>
      </c>
      <c r="B1454" t="s">
        <v>29822</v>
      </c>
      <c r="C1454" t="s">
        <v>29823</v>
      </c>
      <c r="D1454" t="s">
        <v>29824</v>
      </c>
      <c r="E1454" t="s">
        <v>29825</v>
      </c>
      <c r="F1454" t="s">
        <v>29826</v>
      </c>
      <c r="G1454" t="s">
        <v>29827</v>
      </c>
      <c r="H1454">
        <f>-585.597418856511 -0.279428198572951 -838.647159809815</f>
        <v>-1424.5240068648991</v>
      </c>
      <c r="I1454">
        <f>-541.548880884883 -20.7805836501668 -928.215137522645</f>
        <v>-1490.5446020576949</v>
      </c>
      <c r="J1454" t="s">
        <v>29828</v>
      </c>
      <c r="K1454" t="s">
        <v>29829</v>
      </c>
      <c r="L1454" t="s">
        <v>29830</v>
      </c>
      <c r="M1454" t="s">
        <v>29831</v>
      </c>
      <c r="N1454">
        <f>-600.844829625538 -16.6324925146675 -767.562651446932</f>
        <v>-1385.0399735871374</v>
      </c>
      <c r="O1454">
        <f>-629.285853006657 -152.821300005023 -719.92485246752</f>
        <v>-1502.0320054792001</v>
      </c>
      <c r="P1454">
        <f>-632.137090798601 -127.510133031785 -404.42937657717</f>
        <v>-1164.076600407556</v>
      </c>
      <c r="Q1454">
        <f>-386.280617493881 -57.6163969072997 -452.507695891063</f>
        <v>-896.40471029224364</v>
      </c>
      <c r="R1454" t="s">
        <v>29832</v>
      </c>
      <c r="S1454" t="s">
        <v>29833</v>
      </c>
      <c r="T1454" t="s">
        <v>29834</v>
      </c>
      <c r="U1454" t="s">
        <v>29835</v>
      </c>
      <c r="V1454">
        <f>-611.259519757479 -23.8417477642735 -235.26950695084</f>
        <v>-870.37077447259242</v>
      </c>
      <c r="W1454" t="s">
        <v>29836</v>
      </c>
      <c r="X1454" t="s">
        <v>29837</v>
      </c>
      <c r="Y1454" t="s">
        <v>29838</v>
      </c>
    </row>
    <row r="1455" spans="1:25" x14ac:dyDescent="0.3">
      <c r="A1455">
        <v>72700</v>
      </c>
      <c r="B1455" t="s">
        <v>29839</v>
      </c>
      <c r="C1455" t="s">
        <v>29840</v>
      </c>
      <c r="D1455" t="s">
        <v>29841</v>
      </c>
      <c r="E1455" t="s">
        <v>29842</v>
      </c>
      <c r="F1455" t="s">
        <v>29843</v>
      </c>
      <c r="G1455" t="s">
        <v>29844</v>
      </c>
      <c r="H1455">
        <f>-585.61496302062 -0.447240869411253 -838.640250834878</f>
        <v>-1424.7024547249093</v>
      </c>
      <c r="I1455">
        <f>-541.541813054846 -21.0049320997713 -928.183027794595</f>
        <v>-1490.7297729492122</v>
      </c>
      <c r="J1455" t="s">
        <v>29845</v>
      </c>
      <c r="K1455" t="s">
        <v>29846</v>
      </c>
      <c r="L1455" t="s">
        <v>29847</v>
      </c>
      <c r="M1455" t="s">
        <v>29848</v>
      </c>
      <c r="N1455">
        <f>-600.891474782307 -16.765090665365 -767.553752557924</f>
        <v>-1385.210318005596</v>
      </c>
      <c r="O1455">
        <f>-629.472444855203 -152.897312443273 -719.842068528778</f>
        <v>-1502.211825827254</v>
      </c>
      <c r="P1455">
        <f>-632.281997294557 -127.445198164357 -404.357599120579</f>
        <v>-1164.0847945794928</v>
      </c>
      <c r="Q1455">
        <f>-386.350629747117 -57.8072184168374 -452.423983528748</f>
        <v>-896.58183169270251</v>
      </c>
      <c r="R1455" t="s">
        <v>29849</v>
      </c>
      <c r="S1455" t="s">
        <v>29850</v>
      </c>
      <c r="T1455" t="s">
        <v>29851</v>
      </c>
      <c r="U1455" t="s">
        <v>29852</v>
      </c>
      <c r="V1455">
        <f>-611.399348613461 -23.8386578012952 -235.295119525445</f>
        <v>-870.53312594020122</v>
      </c>
      <c r="W1455" t="s">
        <v>29853</v>
      </c>
      <c r="X1455" t="s">
        <v>29854</v>
      </c>
      <c r="Y1455" t="s">
        <v>29855</v>
      </c>
    </row>
    <row r="1456" spans="1:25" x14ac:dyDescent="0.3">
      <c r="A1456">
        <v>72750</v>
      </c>
      <c r="B1456" t="s">
        <v>29856</v>
      </c>
      <c r="C1456" t="s">
        <v>29857</v>
      </c>
      <c r="D1456" t="s">
        <v>29858</v>
      </c>
      <c r="E1456" t="s">
        <v>29859</v>
      </c>
      <c r="F1456" t="s">
        <v>29860</v>
      </c>
      <c r="G1456" t="s">
        <v>29861</v>
      </c>
      <c r="H1456">
        <f>-584.946689644954 -0.528431041918559 -838.621544511538</f>
        <v>-1424.0966651984104</v>
      </c>
      <c r="I1456">
        <f>-540.765058316983 -21.1957690716583 -928.085773243025</f>
        <v>-1490.0466006316663</v>
      </c>
      <c r="J1456" t="s">
        <v>29862</v>
      </c>
      <c r="K1456" t="s">
        <v>29863</v>
      </c>
      <c r="L1456" t="s">
        <v>29864</v>
      </c>
      <c r="M1456" t="s">
        <v>29865</v>
      </c>
      <c r="N1456">
        <f>-600.350137707244 -16.7780933948129 -767.546937110622</f>
        <v>-1384.675168212679</v>
      </c>
      <c r="O1456">
        <f>-629.179046753809 -152.827653783628 -719.755420911897</f>
        <v>-1501.7621214493338</v>
      </c>
      <c r="P1456">
        <f>-632.200054096883 -127.088104543186 -404.296237710174</f>
        <v>-1163.584396350243</v>
      </c>
      <c r="Q1456">
        <f>-386.115522112769 -57.9013346170964 -452.229890630933</f>
        <v>-896.24674736079839</v>
      </c>
      <c r="R1456" t="s">
        <v>29866</v>
      </c>
      <c r="S1456" t="s">
        <v>29867</v>
      </c>
      <c r="T1456" t="s">
        <v>29868</v>
      </c>
      <c r="U1456" t="s">
        <v>29869</v>
      </c>
      <c r="V1456">
        <f>-611.459762229449 -23.557978942832 -235.335048687876</f>
        <v>-870.35278986015703</v>
      </c>
      <c r="W1456" t="s">
        <v>29870</v>
      </c>
      <c r="X1456" t="s">
        <v>29871</v>
      </c>
      <c r="Y1456" t="s">
        <v>29872</v>
      </c>
    </row>
    <row r="1457" spans="1:25" x14ac:dyDescent="0.3">
      <c r="A1457">
        <v>72800</v>
      </c>
      <c r="B1457" t="s">
        <v>29873</v>
      </c>
      <c r="C1457" t="s">
        <v>29874</v>
      </c>
      <c r="D1457" t="s">
        <v>29875</v>
      </c>
      <c r="E1457" t="s">
        <v>29876</v>
      </c>
      <c r="F1457" t="s">
        <v>29877</v>
      </c>
      <c r="G1457" t="s">
        <v>29878</v>
      </c>
      <c r="H1457">
        <f>-584.420378228009 -0.718277831281888 -838.601089833426</f>
        <v>-1423.7397458927169</v>
      </c>
      <c r="I1457">
        <f>-540.183449900134 -21.4556319873805 -928.021678494976</f>
        <v>-1489.6607603824905</v>
      </c>
      <c r="J1457" t="s">
        <v>29879</v>
      </c>
      <c r="K1457" t="s">
        <v>29880</v>
      </c>
      <c r="L1457" t="s">
        <v>29881</v>
      </c>
      <c r="M1457" t="s">
        <v>29882</v>
      </c>
      <c r="N1457">
        <f>-599.881682720055 -16.9166951084085 -767.527422327035</f>
        <v>-1384.3258001554984</v>
      </c>
      <c r="O1457">
        <f>-628.795364690075 -152.925001264049 -719.711469725858</f>
        <v>-1501.431835679982</v>
      </c>
      <c r="P1457">
        <f>-632.011866370569 -127.080171398114 -404.262809520022</f>
        <v>-1163.3548472887051</v>
      </c>
      <c r="Q1457">
        <f>-385.845121665136 -58.1300120517976 -452.115363029073</f>
        <v>-896.09049674600669</v>
      </c>
      <c r="R1457" t="s">
        <v>29883</v>
      </c>
      <c r="S1457" t="s">
        <v>29884</v>
      </c>
      <c r="T1457" t="s">
        <v>29885</v>
      </c>
      <c r="U1457" t="s">
        <v>29886</v>
      </c>
      <c r="V1457">
        <f>-611.326346468923 -23.4314998812353 -235.35135087925</f>
        <v>-870.10919722940821</v>
      </c>
      <c r="W1457" t="s">
        <v>29887</v>
      </c>
      <c r="X1457" t="s">
        <v>29888</v>
      </c>
      <c r="Y1457" t="s">
        <v>29889</v>
      </c>
    </row>
    <row r="1458" spans="1:25" x14ac:dyDescent="0.3">
      <c r="A1458">
        <v>72850</v>
      </c>
      <c r="B1458" t="s">
        <v>29890</v>
      </c>
      <c r="C1458" t="s">
        <v>29891</v>
      </c>
      <c r="D1458" t="s">
        <v>29892</v>
      </c>
      <c r="E1458" t="s">
        <v>29893</v>
      </c>
      <c r="F1458" t="s">
        <v>29894</v>
      </c>
      <c r="G1458" t="s">
        <v>29895</v>
      </c>
      <c r="H1458">
        <f>-583.922933762995 -1.04700338995644 -838.568416541162</f>
        <v>-1423.5383536941135</v>
      </c>
      <c r="I1458">
        <f>-539.618760119498 -21.8606927546921 -927.938053141947</f>
        <v>-1489.4175060161369</v>
      </c>
      <c r="J1458" t="s">
        <v>29896</v>
      </c>
      <c r="K1458" t="s">
        <v>29897</v>
      </c>
      <c r="L1458" t="s">
        <v>29898</v>
      </c>
      <c r="M1458" t="s">
        <v>29899</v>
      </c>
      <c r="N1458">
        <f>-599.433153015569 -17.1683727723114 -767.487956414832</f>
        <v>-1384.0894822027124</v>
      </c>
      <c r="O1458">
        <f>-628.424239529653 -153.146003530821 -719.603337048379</f>
        <v>-1501.173580108853</v>
      </c>
      <c r="P1458">
        <f>-631.838626339971 -127.191975638415 -404.165578474096</f>
        <v>-1163.1961804524819</v>
      </c>
      <c r="Q1458">
        <f>-385.604862928813 -58.4646234210108 -451.994019409944</f>
        <v>-896.06350575976785</v>
      </c>
      <c r="R1458" t="s">
        <v>29900</v>
      </c>
      <c r="S1458" t="s">
        <v>29901</v>
      </c>
      <c r="T1458" t="s">
        <v>29902</v>
      </c>
      <c r="U1458" t="s">
        <v>29903</v>
      </c>
      <c r="V1458">
        <f>-611.206271032165 -23.3135562651451 -235.366673104697</f>
        <v>-869.88650040200707</v>
      </c>
      <c r="W1458" t="s">
        <v>29904</v>
      </c>
      <c r="X1458" t="s">
        <v>29905</v>
      </c>
      <c r="Y1458" t="s">
        <v>29906</v>
      </c>
    </row>
    <row r="1459" spans="1:25" x14ac:dyDescent="0.3">
      <c r="A1459">
        <v>72900</v>
      </c>
      <c r="B1459" t="s">
        <v>29907</v>
      </c>
      <c r="C1459" t="s">
        <v>29908</v>
      </c>
      <c r="D1459" t="s">
        <v>29909</v>
      </c>
      <c r="E1459" t="s">
        <v>29910</v>
      </c>
      <c r="F1459" t="s">
        <v>29911</v>
      </c>
      <c r="G1459" t="s">
        <v>29912</v>
      </c>
      <c r="H1459">
        <f>-583.598644685017 -1.27481491760754 -838.55769216686</f>
        <v>-1423.4311517694846</v>
      </c>
      <c r="I1459">
        <f>-539.270894589384 -22.1463940337486 -927.90205877667</f>
        <v>-1489.3193473998026</v>
      </c>
      <c r="J1459" t="s">
        <v>29913</v>
      </c>
      <c r="K1459" t="s">
        <v>29914</v>
      </c>
      <c r="L1459" t="s">
        <v>29915</v>
      </c>
      <c r="M1459" t="s">
        <v>29916</v>
      </c>
      <c r="N1459">
        <f>-599.118821875231 -17.3293336193227 -767.464098681346</f>
        <v>-1383.9122541758998</v>
      </c>
      <c r="O1459">
        <f>-628.175669416775 -153.273364513846 -719.489786911659</f>
        <v>-1500.9388208422802</v>
      </c>
      <c r="P1459">
        <f>-631.6542895206 -127.146627272552 -404.067073467124</f>
        <v>-1162.867990260276</v>
      </c>
      <c r="Q1459">
        <f>-385.383897211822 -58.6335624897901 -452.014110780841</f>
        <v>-896.03157048245316</v>
      </c>
      <c r="R1459" t="s">
        <v>29917</v>
      </c>
      <c r="S1459" t="s">
        <v>29918</v>
      </c>
      <c r="T1459" t="s">
        <v>29919</v>
      </c>
      <c r="U1459" t="s">
        <v>29920</v>
      </c>
      <c r="V1459">
        <f>-610.986678683355 -23.1895633383596 -235.380610947199</f>
        <v>-869.55685296891352</v>
      </c>
      <c r="W1459" t="s">
        <v>29921</v>
      </c>
      <c r="X1459" t="s">
        <v>29922</v>
      </c>
      <c r="Y1459" t="s">
        <v>29923</v>
      </c>
    </row>
    <row r="1460" spans="1:25" x14ac:dyDescent="0.3">
      <c r="A1460">
        <v>72950</v>
      </c>
      <c r="B1460" t="s">
        <v>29924</v>
      </c>
      <c r="C1460" t="s">
        <v>29925</v>
      </c>
      <c r="D1460" t="s">
        <v>29926</v>
      </c>
      <c r="E1460" t="s">
        <v>29927</v>
      </c>
      <c r="F1460" t="s">
        <v>29928</v>
      </c>
      <c r="G1460" t="s">
        <v>29929</v>
      </c>
      <c r="H1460">
        <f>-582.965641496704 -1.46473119381847 -838.501254990685</f>
        <v>-1422.9316276812074</v>
      </c>
      <c r="I1460">
        <f>-538.572497344849 -22.4556165549492 -927.785125334377</f>
        <v>-1488.8132392341752</v>
      </c>
      <c r="J1460" t="s">
        <v>29930</v>
      </c>
      <c r="K1460" t="s">
        <v>29931</v>
      </c>
      <c r="L1460" t="s">
        <v>29932</v>
      </c>
      <c r="M1460" t="s">
        <v>29933</v>
      </c>
      <c r="N1460">
        <f>-598.437774400244 -17.4381602907849 -767.378941860644</f>
        <v>-1383.2548765516731</v>
      </c>
      <c r="O1460">
        <f>-627.349313935828 -153.348870422811 -719.245087656939</f>
        <v>-1499.943272015578</v>
      </c>
      <c r="P1460">
        <f>-630.490672286434 -126.832746512111 -403.851362174565</f>
        <v>-1161.17478097311</v>
      </c>
      <c r="Q1460">
        <f>-384.17229400547 -58.8444963136368 -452.296271063439</f>
        <v>-895.31306138254581</v>
      </c>
      <c r="R1460" t="s">
        <v>29934</v>
      </c>
      <c r="S1460" t="s">
        <v>29935</v>
      </c>
      <c r="T1460" t="s">
        <v>29936</v>
      </c>
      <c r="U1460" t="s">
        <v>29937</v>
      </c>
      <c r="V1460">
        <f>-610.496372947083 -22.7645144176573 -235.377696718075</f>
        <v>-868.63858408281533</v>
      </c>
      <c r="W1460" t="s">
        <v>29938</v>
      </c>
      <c r="X1460" t="s">
        <v>29939</v>
      </c>
      <c r="Y1460" t="s">
        <v>29940</v>
      </c>
    </row>
    <row r="1461" spans="1:25" x14ac:dyDescent="0.3">
      <c r="A1461">
        <v>73000</v>
      </c>
      <c r="B1461" t="s">
        <v>29941</v>
      </c>
      <c r="C1461" t="s">
        <v>29942</v>
      </c>
      <c r="D1461" t="s">
        <v>29943</v>
      </c>
      <c r="E1461" t="s">
        <v>29944</v>
      </c>
      <c r="F1461" t="s">
        <v>29945</v>
      </c>
      <c r="G1461" t="s">
        <v>29946</v>
      </c>
      <c r="H1461">
        <f>-583.563262218694 -1.34025807200462 -838.475713891985</f>
        <v>-1423.3792341826838</v>
      </c>
      <c r="I1461">
        <f>-539.153030704422 -22.3338064146324 -927.75046398966</f>
        <v>-1489.2373011087143</v>
      </c>
      <c r="J1461" t="s">
        <v>29947</v>
      </c>
      <c r="K1461" t="s">
        <v>29948</v>
      </c>
      <c r="L1461" t="s">
        <v>29949</v>
      </c>
      <c r="M1461" t="s">
        <v>29950</v>
      </c>
      <c r="N1461">
        <f>-598.956423063972 -17.3114946840046 -767.335687330079</f>
        <v>-1383.6036050780558</v>
      </c>
      <c r="O1461">
        <f>-627.721985251581 -153.254300812354 -719.211770735942</f>
        <v>-1500.1880567998769</v>
      </c>
      <c r="P1461">
        <f>-630.720609563595 -126.811093015137 -403.810378568299</f>
        <v>-1161.342081147031</v>
      </c>
      <c r="Q1461">
        <f>-384.485095339853 -58.6167447736928 -452.386813136851</f>
        <v>-895.48865325039674</v>
      </c>
      <c r="R1461" t="s">
        <v>29951</v>
      </c>
      <c r="S1461" t="s">
        <v>29952</v>
      </c>
      <c r="T1461" t="s">
        <v>29953</v>
      </c>
      <c r="U1461" t="s">
        <v>29954</v>
      </c>
      <c r="V1461">
        <f>-610.47071258243 -22.6123818024284 -235.358665193311</f>
        <v>-868.44175957816947</v>
      </c>
      <c r="W1461" t="s">
        <v>29955</v>
      </c>
      <c r="X1461" t="s">
        <v>29956</v>
      </c>
      <c r="Y1461" t="s">
        <v>29957</v>
      </c>
    </row>
    <row r="1462" spans="1:25" x14ac:dyDescent="0.3">
      <c r="A1462">
        <v>73050</v>
      </c>
      <c r="B1462" t="s">
        <v>29958</v>
      </c>
      <c r="C1462" t="s">
        <v>29959</v>
      </c>
      <c r="D1462" t="s">
        <v>29960</v>
      </c>
      <c r="E1462" t="s">
        <v>29961</v>
      </c>
      <c r="F1462" t="s">
        <v>29962</v>
      </c>
      <c r="G1462" t="s">
        <v>29963</v>
      </c>
      <c r="H1462">
        <f>-584.450798602026 -0.763554121979759 -838.479061859106</f>
        <v>-1423.6934145831117</v>
      </c>
      <c r="I1462">
        <f>-539.994053527708 -21.6609100928555 -927.753142639811</f>
        <v>-1489.4081062603746</v>
      </c>
      <c r="J1462" t="s">
        <v>29964</v>
      </c>
      <c r="K1462" t="s">
        <v>29965</v>
      </c>
      <c r="L1462" t="s">
        <v>29966</v>
      </c>
      <c r="M1462" t="s">
        <v>29967</v>
      </c>
      <c r="N1462">
        <f>-599.757836208443 -16.7950422722115 -767.333976001066</f>
        <v>-1383.8868544817205</v>
      </c>
      <c r="O1462">
        <f>-628.23020904419 -152.790070742282 -719.191538546204</f>
        <v>-1500.2118183326761</v>
      </c>
      <c r="P1462">
        <f>-630.692467603106 -126.632259011948 -403.761845759591</f>
        <v>-1161.0865723746451</v>
      </c>
      <c r="Q1462">
        <f>-384.526841540467 -58.1144427881791 -452.237070677868</f>
        <v>-894.87835500651408</v>
      </c>
      <c r="R1462" t="s">
        <v>29968</v>
      </c>
      <c r="S1462" t="s">
        <v>29969</v>
      </c>
      <c r="T1462" t="s">
        <v>29970</v>
      </c>
      <c r="U1462" t="s">
        <v>29971</v>
      </c>
      <c r="V1462">
        <f>-610.542088671076 -22.2912205377956 -235.329189760548</f>
        <v>-868.16249896941963</v>
      </c>
      <c r="W1462" t="s">
        <v>29972</v>
      </c>
      <c r="X1462" t="s">
        <v>29973</v>
      </c>
      <c r="Y1462" t="s">
        <v>29974</v>
      </c>
    </row>
    <row r="1463" spans="1:25" x14ac:dyDescent="0.3">
      <c r="A1463">
        <v>73100</v>
      </c>
      <c r="B1463" t="s">
        <v>29975</v>
      </c>
      <c r="C1463" t="s">
        <v>29976</v>
      </c>
      <c r="D1463" t="s">
        <v>29977</v>
      </c>
      <c r="E1463" t="s">
        <v>29978</v>
      </c>
      <c r="F1463" t="s">
        <v>29979</v>
      </c>
      <c r="G1463" t="s">
        <v>29980</v>
      </c>
      <c r="H1463">
        <f>-585.328345398129 -0.508887353693041 -838.524991524287</f>
        <v>-1424.3622242761089</v>
      </c>
      <c r="I1463">
        <f>-540.897501556231 -21.3474688100417 -927.825871016468</f>
        <v>-1490.0708413827406</v>
      </c>
      <c r="J1463" t="s">
        <v>29981</v>
      </c>
      <c r="K1463" t="s">
        <v>29982</v>
      </c>
      <c r="L1463" t="s">
        <v>29983</v>
      </c>
      <c r="M1463" t="s">
        <v>29984</v>
      </c>
      <c r="N1463">
        <f>-600.524637124236 -16.5701136557133 -767.362889536667</f>
        <v>-1384.4576403166163</v>
      </c>
      <c r="O1463">
        <f>-628.712651478358 -152.63828023477 -719.246074715055</f>
        <v>-1500.597006428183</v>
      </c>
      <c r="P1463">
        <f>-631.266072145751 -126.415687548024 -403.822353176345</f>
        <v>-1161.50411287012</v>
      </c>
      <c r="Q1463">
        <f>-385.169938250628 -57.6494384825354 -452.298893217762</f>
        <v>-895.11826995092542</v>
      </c>
      <c r="R1463" t="s">
        <v>29985</v>
      </c>
      <c r="S1463" t="s">
        <v>29986</v>
      </c>
      <c r="T1463" t="s">
        <v>29987</v>
      </c>
      <c r="U1463" t="s">
        <v>29988</v>
      </c>
      <c r="V1463">
        <f>-610.66737180558 -22.1534404923426 -235.32866429682</f>
        <v>-868.14947659474262</v>
      </c>
      <c r="W1463" t="s">
        <v>29989</v>
      </c>
      <c r="X1463" t="s">
        <v>29990</v>
      </c>
      <c r="Y1463" t="s">
        <v>29991</v>
      </c>
    </row>
    <row r="1464" spans="1:25" x14ac:dyDescent="0.3">
      <c r="A1464">
        <v>73150</v>
      </c>
      <c r="B1464" t="s">
        <v>29992</v>
      </c>
      <c r="C1464" t="s">
        <v>29993</v>
      </c>
      <c r="D1464" t="s">
        <v>29994</v>
      </c>
      <c r="E1464" t="s">
        <v>29995</v>
      </c>
      <c r="F1464" t="s">
        <v>29996</v>
      </c>
      <c r="G1464" t="s">
        <v>29997</v>
      </c>
      <c r="H1464" t="s">
        <v>29998</v>
      </c>
      <c r="I1464">
        <f>-542.257647314225 -20.4526852418547 -927.979427553671</f>
        <v>-1490.6897601097508</v>
      </c>
      <c r="J1464" t="s">
        <v>29999</v>
      </c>
      <c r="K1464" t="s">
        <v>30000</v>
      </c>
      <c r="L1464" t="s">
        <v>30001</v>
      </c>
      <c r="M1464" t="s">
        <v>30002</v>
      </c>
      <c r="N1464">
        <f>-601.734475166575 -15.9966401695265 -767.4550851726</f>
        <v>-1385.1862005087014</v>
      </c>
      <c r="O1464">
        <f>-629.664826649352 -152.146168970143 -719.414930759588</f>
        <v>-1501.2259263790829</v>
      </c>
      <c r="P1464">
        <f>-632.191029474833 -126.349901607014 -403.955972513546</f>
        <v>-1162.496903595393</v>
      </c>
      <c r="Q1464">
        <f>-386.282191745242 -56.7660225629598 -452.215494448503</f>
        <v>-895.26370875670477</v>
      </c>
      <c r="R1464" t="s">
        <v>30003</v>
      </c>
      <c r="S1464" t="s">
        <v>30004</v>
      </c>
      <c r="T1464" t="s">
        <v>30005</v>
      </c>
      <c r="U1464" t="s">
        <v>30006</v>
      </c>
      <c r="V1464">
        <f>-611.049364782649 -22.0038147554545 -235.336013481452</f>
        <v>-868.38919301955559</v>
      </c>
      <c r="W1464" t="s">
        <v>30007</v>
      </c>
      <c r="X1464" t="s">
        <v>30008</v>
      </c>
      <c r="Y1464" t="s">
        <v>30009</v>
      </c>
    </row>
    <row r="1465" spans="1:25" x14ac:dyDescent="0.3">
      <c r="A1465">
        <v>73200</v>
      </c>
      <c r="B1465" t="s">
        <v>30010</v>
      </c>
      <c r="C1465" t="s">
        <v>30011</v>
      </c>
      <c r="D1465" t="s">
        <v>30012</v>
      </c>
      <c r="E1465" t="s">
        <v>30013</v>
      </c>
      <c r="F1465" t="s">
        <v>30014</v>
      </c>
      <c r="G1465" t="s">
        <v>30015</v>
      </c>
      <c r="H1465" t="s">
        <v>30016</v>
      </c>
      <c r="I1465">
        <f>-543.030612748846 -20.197954311989 -928.022293153404</f>
        <v>-1491.2508602142389</v>
      </c>
      <c r="J1465" t="s">
        <v>30017</v>
      </c>
      <c r="K1465" t="s">
        <v>30018</v>
      </c>
      <c r="L1465" t="s">
        <v>30019</v>
      </c>
      <c r="M1465" t="s">
        <v>30020</v>
      </c>
      <c r="N1465">
        <f>-602.424353964455 -15.8568947533805 -767.469212221781</f>
        <v>-1385.7504609396165</v>
      </c>
      <c r="O1465">
        <f>-630.136105353126 -152.062613672126 -719.495071099819</f>
        <v>-1501.693790125071</v>
      </c>
      <c r="P1465">
        <f>-632.710185646101 -126.320170199923 -404.032148487214</f>
        <v>-1163.0625043332379</v>
      </c>
      <c r="Q1465">
        <f>-386.892655514424 -56.394564848198 -452.262855839256</f>
        <v>-895.55007620187803</v>
      </c>
      <c r="R1465" t="s">
        <v>30021</v>
      </c>
      <c r="S1465" t="s">
        <v>30022</v>
      </c>
      <c r="T1465" t="s">
        <v>30023</v>
      </c>
      <c r="U1465" t="s">
        <v>30024</v>
      </c>
      <c r="V1465">
        <f>-611.359665236676 -21.9906454992967 -235.338015873917</f>
        <v>-868.68832660988971</v>
      </c>
      <c r="W1465" t="s">
        <v>30025</v>
      </c>
      <c r="X1465" t="s">
        <v>30026</v>
      </c>
      <c r="Y1465" t="s">
        <v>30027</v>
      </c>
    </row>
    <row r="1466" spans="1:25" x14ac:dyDescent="0.3">
      <c r="A1466">
        <v>73250</v>
      </c>
      <c r="B1466" t="s">
        <v>30028</v>
      </c>
      <c r="C1466" t="s">
        <v>30029</v>
      </c>
      <c r="D1466" t="s">
        <v>30030</v>
      </c>
      <c r="E1466" t="s">
        <v>30031</v>
      </c>
      <c r="F1466" t="s">
        <v>30032</v>
      </c>
      <c r="G1466" t="s">
        <v>30033</v>
      </c>
      <c r="H1466" t="s">
        <v>30034</v>
      </c>
      <c r="I1466">
        <f>-544.712832153712 -19.5453211912419 -928.118853154714</f>
        <v>-1492.3770064996679</v>
      </c>
      <c r="J1466" t="s">
        <v>30035</v>
      </c>
      <c r="K1466" t="s">
        <v>30036</v>
      </c>
      <c r="L1466" t="s">
        <v>30037</v>
      </c>
      <c r="M1466" t="s">
        <v>30038</v>
      </c>
      <c r="N1466">
        <f>-603.987706338279 -15.4247115920538 -767.519703576593</f>
        <v>-1386.9321215069258</v>
      </c>
      <c r="O1466">
        <f>-631.454356838901 -151.723136077335 -719.653885007444</f>
        <v>-1502.8313779236801</v>
      </c>
      <c r="P1466">
        <f>-634.011438135232 -126.401214198655 -404.156732109171</f>
        <v>-1164.569384443058</v>
      </c>
      <c r="Q1466">
        <f>-388.38484184272 -55.9599558995857 -452.609250093508</f>
        <v>-896.95404783581375</v>
      </c>
      <c r="R1466" t="s">
        <v>30039</v>
      </c>
      <c r="S1466" t="s">
        <v>30040</v>
      </c>
      <c r="T1466" t="s">
        <v>30041</v>
      </c>
      <c r="U1466" t="s">
        <v>30042</v>
      </c>
      <c r="V1466">
        <f>-612.03147796903 -22.0345891563785 -235.364417853675</f>
        <v>-869.43048497908353</v>
      </c>
      <c r="W1466" t="s">
        <v>30043</v>
      </c>
      <c r="X1466" t="s">
        <v>30044</v>
      </c>
      <c r="Y1466" t="s">
        <v>30045</v>
      </c>
    </row>
    <row r="1467" spans="1:25" x14ac:dyDescent="0.3">
      <c r="A1467">
        <v>73300</v>
      </c>
      <c r="B1467" t="s">
        <v>30046</v>
      </c>
      <c r="C1467" t="s">
        <v>30047</v>
      </c>
      <c r="D1467" t="s">
        <v>30048</v>
      </c>
      <c r="E1467" t="s">
        <v>30049</v>
      </c>
      <c r="F1467" t="s">
        <v>30050</v>
      </c>
      <c r="G1467" t="s">
        <v>30051</v>
      </c>
      <c r="H1467" t="s">
        <v>30052</v>
      </c>
      <c r="I1467">
        <f>-545.780066855798 -19.2777732877137 -928.251448973212</f>
        <v>-1493.3092891167237</v>
      </c>
      <c r="J1467" t="s">
        <v>30053</v>
      </c>
      <c r="K1467" t="s">
        <v>30054</v>
      </c>
      <c r="L1467" t="s">
        <v>30055</v>
      </c>
      <c r="M1467" t="s">
        <v>30056</v>
      </c>
      <c r="N1467">
        <f>-604.898472388953 -15.2773715137777 -767.603027447977</f>
        <v>-1387.7788713507075</v>
      </c>
      <c r="O1467">
        <f>-632.152878655151 -151.649777277275 -719.808430454552</f>
        <v>-1503.6110863869781</v>
      </c>
      <c r="P1467">
        <f>-634.590957918001 -126.487207191502 -404.297617001343</f>
        <v>-1165.3757821108459</v>
      </c>
      <c r="Q1467">
        <f>-389.007273891145 -55.9813291749514 -452.873738186309</f>
        <v>-897.86234125240549</v>
      </c>
      <c r="R1467" t="s">
        <v>30057</v>
      </c>
      <c r="S1467" t="s">
        <v>30058</v>
      </c>
      <c r="T1467" t="s">
        <v>30059</v>
      </c>
      <c r="U1467" t="s">
        <v>30060</v>
      </c>
      <c r="V1467">
        <f>-612.459837813526 -22.1640888516038 -235.387341395207</f>
        <v>-870.01126806033676</v>
      </c>
      <c r="W1467" t="s">
        <v>30061</v>
      </c>
      <c r="X1467" t="s">
        <v>30062</v>
      </c>
      <c r="Y1467" t="s">
        <v>30063</v>
      </c>
    </row>
    <row r="1468" spans="1:25" x14ac:dyDescent="0.3">
      <c r="A1468">
        <v>73350</v>
      </c>
      <c r="B1468" t="s">
        <v>30064</v>
      </c>
      <c r="C1468" t="s">
        <v>30065</v>
      </c>
      <c r="D1468" t="s">
        <v>30066</v>
      </c>
      <c r="E1468" t="s">
        <v>30067</v>
      </c>
      <c r="F1468" t="s">
        <v>30068</v>
      </c>
      <c r="G1468" t="s">
        <v>30069</v>
      </c>
      <c r="H1468" t="s">
        <v>30070</v>
      </c>
      <c r="I1468">
        <f>-547.894363899336 -18.1206048497275 -928.481337742142</f>
        <v>-1494.4963064912054</v>
      </c>
      <c r="J1468" t="s">
        <v>30071</v>
      </c>
      <c r="K1468" t="s">
        <v>30072</v>
      </c>
      <c r="L1468" t="s">
        <v>30073</v>
      </c>
      <c r="M1468" t="s">
        <v>30074</v>
      </c>
      <c r="N1468">
        <f>-606.81957521985 -14.5547499599744 -767.764424820355</f>
        <v>-1389.1387500001792</v>
      </c>
      <c r="O1468">
        <f>-633.739280485503 -151.064374836321 -720.17073079465</f>
        <v>-1504.9743861164739</v>
      </c>
      <c r="P1468">
        <f>-635.785257962356 -126.374390268768 -404.619806813593</f>
        <v>-1166.779455044717</v>
      </c>
      <c r="Q1468">
        <f>-390.320262543002 -55.7843089294846 -453.671075920129</f>
        <v>-899.77564739261561</v>
      </c>
      <c r="R1468" t="s">
        <v>30075</v>
      </c>
      <c r="S1468" t="s">
        <v>30076</v>
      </c>
      <c r="T1468" t="s">
        <v>30077</v>
      </c>
      <c r="U1468" t="s">
        <v>30078</v>
      </c>
      <c r="V1468">
        <f>-613.339811167171 -22.0659131659967 -235.405662833062</f>
        <v>-870.81138716622968</v>
      </c>
      <c r="W1468" t="s">
        <v>30079</v>
      </c>
      <c r="X1468" t="s">
        <v>30080</v>
      </c>
      <c r="Y1468" t="s">
        <v>30081</v>
      </c>
    </row>
    <row r="1469" spans="1:25" x14ac:dyDescent="0.3">
      <c r="A1469">
        <v>73400</v>
      </c>
      <c r="B1469" t="s">
        <v>30082</v>
      </c>
      <c r="C1469" t="s">
        <v>30083</v>
      </c>
      <c r="D1469" t="s">
        <v>30084</v>
      </c>
      <c r="E1469" t="s">
        <v>30085</v>
      </c>
      <c r="F1469" t="s">
        <v>30086</v>
      </c>
      <c r="G1469" t="s">
        <v>30087</v>
      </c>
      <c r="H1469" t="s">
        <v>30088</v>
      </c>
      <c r="I1469">
        <f>-549.296178994152 -17.5285480018818 -928.660136565708</f>
        <v>-1495.4848635617418</v>
      </c>
      <c r="J1469" t="s">
        <v>30089</v>
      </c>
      <c r="K1469" t="s">
        <v>30090</v>
      </c>
      <c r="L1469" t="s">
        <v>30091</v>
      </c>
      <c r="M1469" t="s">
        <v>30092</v>
      </c>
      <c r="N1469">
        <f>-608.036243991161 -14.2266978744427 -767.876903807373</f>
        <v>-1390.1398456729767</v>
      </c>
      <c r="O1469">
        <f>-634.722256307826 -150.806062846997 -720.363714865214</f>
        <v>-1505.892034020037</v>
      </c>
      <c r="P1469">
        <f>-636.471854532922 -126.399581087786 -404.78885760119</f>
        <v>-1167.660293221898</v>
      </c>
      <c r="Q1469">
        <f>-390.976774231325 -55.8877745107884 -453.802001834972</f>
        <v>-900.66655057708545</v>
      </c>
      <c r="R1469" t="s">
        <v>30093</v>
      </c>
      <c r="S1469" t="s">
        <v>30094</v>
      </c>
      <c r="T1469" t="s">
        <v>30095</v>
      </c>
      <c r="U1469" t="s">
        <v>30096</v>
      </c>
      <c r="V1469">
        <f>-613.869516721492 -22.0962131273099 -235.421235549555</f>
        <v>-871.38696539835689</v>
      </c>
      <c r="W1469" t="s">
        <v>30097</v>
      </c>
      <c r="X1469" t="s">
        <v>30098</v>
      </c>
      <c r="Y1469" t="s">
        <v>30099</v>
      </c>
    </row>
    <row r="1470" spans="1:25" x14ac:dyDescent="0.3">
      <c r="A1470">
        <v>73450</v>
      </c>
      <c r="B1470" t="s">
        <v>30100</v>
      </c>
      <c r="C1470" t="s">
        <v>30101</v>
      </c>
      <c r="D1470" t="s">
        <v>30102</v>
      </c>
      <c r="E1470" t="s">
        <v>30103</v>
      </c>
      <c r="F1470" t="s">
        <v>30104</v>
      </c>
      <c r="G1470" t="s">
        <v>30105</v>
      </c>
      <c r="H1470" t="s">
        <v>30106</v>
      </c>
      <c r="I1470">
        <f>-552.081041945516 -16.600966183402 -928.881515818706</f>
        <v>-1497.5635239476239</v>
      </c>
      <c r="J1470" t="s">
        <v>30107</v>
      </c>
      <c r="K1470" t="s">
        <v>30108</v>
      </c>
      <c r="L1470" t="s">
        <v>30109</v>
      </c>
      <c r="M1470" t="s">
        <v>30110</v>
      </c>
      <c r="N1470">
        <f>-610.531725557923 -13.7787177626529 -767.978415265616</f>
        <v>-1392.288858586192</v>
      </c>
      <c r="O1470">
        <f>-636.733983650896 -150.528390187896 -720.675294886038</f>
        <v>-1507.93766872483</v>
      </c>
      <c r="P1470">
        <f>-638.102307207796 -126.58122495711 -405.063327222123</f>
        <v>-1169.746859387029</v>
      </c>
      <c r="Q1470">
        <f>-392.661915077613 -56.0090882662803 -454.26309266116</f>
        <v>-902.93409600505333</v>
      </c>
      <c r="R1470" t="s">
        <v>30111</v>
      </c>
      <c r="S1470" t="s">
        <v>30112</v>
      </c>
      <c r="T1470" t="s">
        <v>30113</v>
      </c>
      <c r="U1470" t="s">
        <v>30114</v>
      </c>
      <c r="V1470">
        <f>-615.00336903164 -22.097103532105 -235.431932840405</f>
        <v>-872.53240540415004</v>
      </c>
      <c r="W1470" t="s">
        <v>30115</v>
      </c>
      <c r="X1470" t="s">
        <v>30116</v>
      </c>
      <c r="Y1470" t="s">
        <v>30117</v>
      </c>
    </row>
    <row r="1471" spans="1:25" x14ac:dyDescent="0.3">
      <c r="A1471">
        <v>73500</v>
      </c>
      <c r="B1471" t="s">
        <v>30118</v>
      </c>
      <c r="C1471" t="s">
        <v>30119</v>
      </c>
      <c r="D1471" t="s">
        <v>30120</v>
      </c>
      <c r="E1471" t="s">
        <v>30121</v>
      </c>
      <c r="F1471" t="s">
        <v>30122</v>
      </c>
      <c r="G1471" t="s">
        <v>30123</v>
      </c>
      <c r="H1471" t="s">
        <v>30124</v>
      </c>
      <c r="I1471">
        <f>-553.284994919115 -16.1351005653687 -929.032136365227</f>
        <v>-1498.4522318497106</v>
      </c>
      <c r="J1471" t="s">
        <v>30125</v>
      </c>
      <c r="K1471" t="s">
        <v>30126</v>
      </c>
      <c r="L1471" t="s">
        <v>30127</v>
      </c>
      <c r="M1471" t="s">
        <v>30128</v>
      </c>
      <c r="N1471">
        <f>-611.644281792863 -13.5674508163724 -768.080684915502</f>
        <v>-1393.2924175247376</v>
      </c>
      <c r="O1471">
        <f>-637.602075183669 -150.393237993878 -720.874418304786</f>
        <v>-1508.869731482333</v>
      </c>
      <c r="P1471">
        <f>-638.796853789788 -126.741380546074 -405.239557370828</f>
        <v>-1170.7777917066899</v>
      </c>
      <c r="Q1471">
        <f>-393.415475132127 -56.0695230665228 -454.590466687447</f>
        <v>-904.07546488609682</v>
      </c>
      <c r="R1471" t="s">
        <v>30129</v>
      </c>
      <c r="S1471" t="s">
        <v>30130</v>
      </c>
      <c r="T1471" t="s">
        <v>30131</v>
      </c>
      <c r="U1471" t="s">
        <v>30132</v>
      </c>
      <c r="V1471">
        <f>-615.601244694197 -22.067732845776 -235.461608499057</f>
        <v>-873.13058603903005</v>
      </c>
      <c r="W1471" t="s">
        <v>30133</v>
      </c>
      <c r="X1471" t="s">
        <v>30134</v>
      </c>
      <c r="Y1471" t="s">
        <v>30135</v>
      </c>
    </row>
    <row r="1472" spans="1:25" x14ac:dyDescent="0.3">
      <c r="A1472">
        <v>73550</v>
      </c>
      <c r="B1472" t="s">
        <v>30136</v>
      </c>
      <c r="C1472" t="s">
        <v>30137</v>
      </c>
      <c r="D1472" t="s">
        <v>30138</v>
      </c>
      <c r="E1472" t="s">
        <v>30139</v>
      </c>
      <c r="F1472" t="s">
        <v>30140</v>
      </c>
      <c r="G1472" t="s">
        <v>30141</v>
      </c>
      <c r="H1472" t="s">
        <v>30142</v>
      </c>
      <c r="I1472">
        <f>-555.78583896817 -15.556143013545 -929.650307485479</f>
        <v>-1500.992289467194</v>
      </c>
      <c r="J1472" t="s">
        <v>30143</v>
      </c>
      <c r="K1472" t="s">
        <v>30144</v>
      </c>
      <c r="L1472" t="s">
        <v>30145</v>
      </c>
      <c r="M1472" t="s">
        <v>30146</v>
      </c>
      <c r="N1472">
        <f>-613.841668948333 -13.3475609098464 -768.574480801181</f>
        <v>-1395.7637106593604</v>
      </c>
      <c r="O1472">
        <f>-639.31342348093 -150.313636873137 -721.514095029166</f>
        <v>-1511.1411553832331</v>
      </c>
      <c r="P1472">
        <f>-640.127517959979 -127.167144400705 -405.840612372694</f>
        <v>-1173.1352747333779</v>
      </c>
      <c r="Q1472">
        <f>-394.80247759975 -56.385438441985 -455.3141715299</f>
        <v>-906.502087571635</v>
      </c>
      <c r="R1472" t="s">
        <v>30147</v>
      </c>
      <c r="S1472" t="s">
        <v>30148</v>
      </c>
      <c r="T1472" t="s">
        <v>30149</v>
      </c>
      <c r="U1472" t="s">
        <v>30150</v>
      </c>
      <c r="V1472">
        <f>-616.598876552221 -22.0391203268003 -235.725508201318</f>
        <v>-874.36350508033934</v>
      </c>
      <c r="W1472" t="s">
        <v>30151</v>
      </c>
      <c r="X1472" t="s">
        <v>30152</v>
      </c>
      <c r="Y1472" t="s">
        <v>30153</v>
      </c>
    </row>
    <row r="1473" spans="1:25" x14ac:dyDescent="0.3">
      <c r="A1473">
        <v>73600</v>
      </c>
      <c r="B1473" t="s">
        <v>30154</v>
      </c>
      <c r="C1473" t="s">
        <v>30155</v>
      </c>
      <c r="D1473" t="s">
        <v>30156</v>
      </c>
      <c r="E1473" t="s">
        <v>30157</v>
      </c>
      <c r="F1473" t="s">
        <v>30158</v>
      </c>
      <c r="G1473" t="s">
        <v>30159</v>
      </c>
      <c r="H1473" t="s">
        <v>30160</v>
      </c>
      <c r="I1473">
        <f>-556.787848816084 -15.1060460354226 -930.111219657988</f>
        <v>-1502.0051145094947</v>
      </c>
      <c r="J1473" t="s">
        <v>30161</v>
      </c>
      <c r="K1473" t="s">
        <v>30162</v>
      </c>
      <c r="L1473" t="s">
        <v>30163</v>
      </c>
      <c r="M1473" t="s">
        <v>30164</v>
      </c>
      <c r="N1473">
        <f>-614.662982712834 -13.0919835419187 -768.963283051039</f>
        <v>-1396.7182493057917</v>
      </c>
      <c r="O1473">
        <f>-639.958420991248 -150.122986877851 -721.98139278669</f>
        <v>-1512.062800655789</v>
      </c>
      <c r="P1473">
        <f>-640.475515424493 -127.202690462342 -406.290651313392</f>
        <v>-1173.9688572002269</v>
      </c>
      <c r="Q1473">
        <f>-395.106763024847 -56.5577175017045 -455.742973119196</f>
        <v>-907.40745364574752</v>
      </c>
      <c r="R1473" t="s">
        <v>30165</v>
      </c>
      <c r="S1473" t="s">
        <v>30166</v>
      </c>
      <c r="T1473" t="s">
        <v>30167</v>
      </c>
      <c r="U1473" t="s">
        <v>30168</v>
      </c>
      <c r="V1473">
        <f>-617.020827612414 -21.9379950577697 -235.937924027692</f>
        <v>-874.89674669787576</v>
      </c>
      <c r="W1473" t="s">
        <v>30169</v>
      </c>
      <c r="X1473" t="s">
        <v>30170</v>
      </c>
      <c r="Y1473" t="s">
        <v>30171</v>
      </c>
    </row>
    <row r="1474" spans="1:25" x14ac:dyDescent="0.3">
      <c r="A1474">
        <v>73650</v>
      </c>
      <c r="B1474" t="s">
        <v>30172</v>
      </c>
      <c r="C1474" t="s">
        <v>30173</v>
      </c>
      <c r="D1474" t="s">
        <v>30174</v>
      </c>
      <c r="E1474" t="s">
        <v>30175</v>
      </c>
      <c r="F1474" t="s">
        <v>30176</v>
      </c>
      <c r="G1474" t="s">
        <v>30177</v>
      </c>
      <c r="H1474" t="s">
        <v>30178</v>
      </c>
      <c r="I1474">
        <f>-559.129458173521 -14.5740480951174 -930.995276125431</f>
        <v>-1504.6987823940694</v>
      </c>
      <c r="J1474" t="s">
        <v>30179</v>
      </c>
      <c r="K1474" t="s">
        <v>30180</v>
      </c>
      <c r="L1474" t="s">
        <v>30181</v>
      </c>
      <c r="M1474" t="s">
        <v>30182</v>
      </c>
      <c r="N1474">
        <f>-616.606312717983 -12.9001423461837 -769.695705258063</f>
        <v>-1399.2021603222297</v>
      </c>
      <c r="O1474">
        <f>-641.720177521927 -150.02074857915 -722.899289056406</f>
        <v>-1514.640215157483</v>
      </c>
      <c r="P1474">
        <f>-641.673652226521 -127.754911501783 -407.161437694977</f>
        <v>-1176.5900014232809</v>
      </c>
      <c r="Q1474">
        <f>-396.138341044938 -57.9444948643757 -456.970881201981</f>
        <v>-911.05371711129465</v>
      </c>
      <c r="R1474" t="s">
        <v>30183</v>
      </c>
      <c r="S1474" t="s">
        <v>30184</v>
      </c>
      <c r="T1474" t="s">
        <v>30185</v>
      </c>
      <c r="U1474" t="s">
        <v>30186</v>
      </c>
      <c r="V1474">
        <f>-617.883144936484 -21.9993720427788 -236.299900779112</f>
        <v>-876.18241775837475</v>
      </c>
      <c r="W1474" t="s">
        <v>30187</v>
      </c>
      <c r="X1474" t="s">
        <v>30188</v>
      </c>
      <c r="Y1474" t="s">
        <v>30189</v>
      </c>
    </row>
    <row r="1475" spans="1:25" x14ac:dyDescent="0.3">
      <c r="A1475">
        <v>73700</v>
      </c>
      <c r="B1475" t="s">
        <v>30172</v>
      </c>
      <c r="C1475" t="s">
        <v>30173</v>
      </c>
      <c r="D1475" t="s">
        <v>30174</v>
      </c>
      <c r="E1475" t="s">
        <v>30175</v>
      </c>
      <c r="F1475" t="s">
        <v>30176</v>
      </c>
      <c r="G1475" t="s">
        <v>30177</v>
      </c>
      <c r="H1475" t="s">
        <v>30178</v>
      </c>
      <c r="I1475">
        <f>-559.129458173521 -14.5740480951174 -930.995276125431</f>
        <v>-1504.6987823940694</v>
      </c>
      <c r="J1475" t="s">
        <v>30179</v>
      </c>
      <c r="K1475" t="s">
        <v>30180</v>
      </c>
      <c r="L1475" t="s">
        <v>30181</v>
      </c>
      <c r="M1475" t="s">
        <v>30182</v>
      </c>
      <c r="N1475">
        <f>-616.606312717983 -12.9001423461837 -769.695705258063</f>
        <v>-1399.2021603222297</v>
      </c>
      <c r="O1475">
        <f>-641.720177521927 -150.02074857915 -722.899289056406</f>
        <v>-1514.640215157483</v>
      </c>
      <c r="P1475">
        <f>-641.673652226521 -127.754911501783 -407.161437694977</f>
        <v>-1176.5900014232809</v>
      </c>
      <c r="Q1475">
        <f>-396.138341044938 -57.9444948643757 -456.970881201981</f>
        <v>-911.05371711129465</v>
      </c>
      <c r="R1475" t="s">
        <v>30183</v>
      </c>
      <c r="S1475" t="s">
        <v>30184</v>
      </c>
      <c r="T1475" t="s">
        <v>30185</v>
      </c>
      <c r="U1475" t="s">
        <v>30186</v>
      </c>
      <c r="V1475">
        <f>-617.883144936484 -21.9993720427788 -236.299900779112</f>
        <v>-876.18241775837475</v>
      </c>
      <c r="W1475" t="s">
        <v>30187</v>
      </c>
      <c r="X1475" t="s">
        <v>30188</v>
      </c>
      <c r="Y1475" t="s">
        <v>30189</v>
      </c>
    </row>
    <row r="1476" spans="1:25" x14ac:dyDescent="0.3">
      <c r="A1476">
        <v>73750</v>
      </c>
      <c r="B1476" t="s">
        <v>30190</v>
      </c>
      <c r="C1476" t="s">
        <v>30191</v>
      </c>
      <c r="D1476" t="s">
        <v>30192</v>
      </c>
      <c r="E1476" t="s">
        <v>30193</v>
      </c>
      <c r="F1476" t="s">
        <v>30194</v>
      </c>
      <c r="G1476" t="s">
        <v>30195</v>
      </c>
      <c r="H1476" t="s">
        <v>30196</v>
      </c>
      <c r="I1476">
        <f>-560.486646437083 -14.3833909476539 -931.381973739048</f>
        <v>-1506.252011123785</v>
      </c>
      <c r="J1476" t="s">
        <v>30197</v>
      </c>
      <c r="K1476" t="s">
        <v>30198</v>
      </c>
      <c r="L1476" t="s">
        <v>30199</v>
      </c>
      <c r="M1476" t="s">
        <v>30200</v>
      </c>
      <c r="N1476">
        <f>-617.739139061928 -12.8836074348128 -770.003886186502</f>
        <v>-1400.6266326832429</v>
      </c>
      <c r="O1476">
        <f>-642.873568938672 -150.030016407905 -723.286883234481</f>
        <v>-1516.190468581058</v>
      </c>
      <c r="P1476">
        <f>-642.535363507077 -128.069983844655 -407.527688848794</f>
        <v>-1178.133036200526</v>
      </c>
      <c r="Q1476">
        <f>-396.830488069527 -58.8090245644783 -457.267942399664</f>
        <v>-912.90745503366929</v>
      </c>
      <c r="R1476" t="s">
        <v>30201</v>
      </c>
      <c r="S1476" t="s">
        <v>30202</v>
      </c>
      <c r="T1476" t="s">
        <v>30203</v>
      </c>
      <c r="U1476" t="s">
        <v>30204</v>
      </c>
      <c r="V1476">
        <f>-618.346036331885 -22.1234371203911 -236.393104170496</f>
        <v>-876.86257762277216</v>
      </c>
      <c r="W1476" t="s">
        <v>30205</v>
      </c>
      <c r="X1476" t="s">
        <v>30206</v>
      </c>
      <c r="Y1476" t="s">
        <v>30207</v>
      </c>
    </row>
    <row r="1477" spans="1:25" x14ac:dyDescent="0.3">
      <c r="A1477">
        <v>73800</v>
      </c>
      <c r="B1477" t="s">
        <v>30208</v>
      </c>
      <c r="C1477" t="s">
        <v>30209</v>
      </c>
      <c r="D1477" t="s">
        <v>30210</v>
      </c>
      <c r="E1477" t="s">
        <v>30211</v>
      </c>
      <c r="F1477" t="s">
        <v>30212</v>
      </c>
      <c r="G1477" t="s">
        <v>30213</v>
      </c>
      <c r="H1477" t="s">
        <v>30214</v>
      </c>
      <c r="I1477">
        <f>-563.64944480114 -13.8530829169801 -932.085056848883</f>
        <v>-1509.587584567003</v>
      </c>
      <c r="J1477" t="s">
        <v>30215</v>
      </c>
      <c r="K1477" t="s">
        <v>30216</v>
      </c>
      <c r="L1477" t="s">
        <v>30217</v>
      </c>
      <c r="M1477" t="s">
        <v>30218</v>
      </c>
      <c r="N1477">
        <f>-620.4928674295 -12.6808911726189 -770.523518638277</f>
        <v>-1403.697277240396</v>
      </c>
      <c r="O1477">
        <f>-646.115379580413 -149.848698964014 -724.121149060711</f>
        <v>-1520.085227605138</v>
      </c>
      <c r="P1477">
        <f>-645.71535274715 -128.73182425678 -408.304555734992</f>
        <v>-1182.7517327389219</v>
      </c>
      <c r="Q1477">
        <f>-399.526046825557 -60.1981577810622 -456.6368212583</f>
        <v>-916.36102586491916</v>
      </c>
      <c r="R1477" t="s">
        <v>30219</v>
      </c>
      <c r="S1477" t="s">
        <v>30220</v>
      </c>
      <c r="T1477" t="s">
        <v>30221</v>
      </c>
      <c r="U1477" t="s">
        <v>30222</v>
      </c>
      <c r="V1477">
        <f>-619.71302273508 -22.2087362710161 -236.625983138932</f>
        <v>-878.54774214502811</v>
      </c>
      <c r="W1477" t="s">
        <v>30223</v>
      </c>
      <c r="X1477" t="s">
        <v>30224</v>
      </c>
      <c r="Y1477" t="s">
        <v>30225</v>
      </c>
    </row>
    <row r="1478" spans="1:25" x14ac:dyDescent="0.3">
      <c r="A1478">
        <v>73850</v>
      </c>
      <c r="B1478" t="s">
        <v>30226</v>
      </c>
      <c r="C1478" t="s">
        <v>30227</v>
      </c>
      <c r="D1478" t="s">
        <v>30228</v>
      </c>
      <c r="E1478" t="s">
        <v>30229</v>
      </c>
      <c r="F1478" t="s">
        <v>30230</v>
      </c>
      <c r="G1478" t="s">
        <v>30231</v>
      </c>
      <c r="H1478" t="s">
        <v>30232</v>
      </c>
      <c r="I1478">
        <f>-565.25534051084 -13.511719368883 -932.522457692111</f>
        <v>-1511.289517571834</v>
      </c>
      <c r="J1478" t="s">
        <v>30233</v>
      </c>
      <c r="K1478" t="s">
        <v>30234</v>
      </c>
      <c r="L1478" t="s">
        <v>30235</v>
      </c>
      <c r="M1478" t="s">
        <v>30236</v>
      </c>
      <c r="N1478">
        <f>-621.918486690211 -12.5329431183215 -770.880757893215</f>
        <v>-1405.3321877017474</v>
      </c>
      <c r="O1478">
        <f>-647.81775219217 -149.745913932473 -724.765126460646</f>
        <v>-1522.3287925852892</v>
      </c>
      <c r="P1478">
        <f>-647.618436770916 -128.778123644716 -408.938491206969</f>
        <v>-1185.335051622601</v>
      </c>
      <c r="Q1478">
        <f>-401.138331603538 -60.499375032188 -456.136333011418</f>
        <v>-917.77403964714404</v>
      </c>
      <c r="R1478" t="s">
        <v>30237</v>
      </c>
      <c r="S1478" t="s">
        <v>30238</v>
      </c>
      <c r="T1478" t="s">
        <v>30239</v>
      </c>
      <c r="U1478" t="s">
        <v>30240</v>
      </c>
      <c r="V1478">
        <f>-620.593839517672 -22.4844337912958 -236.908833831567</f>
        <v>-879.98710714053482</v>
      </c>
      <c r="W1478" t="s">
        <v>30241</v>
      </c>
      <c r="X1478" t="s">
        <v>30242</v>
      </c>
      <c r="Y1478" t="s">
        <v>30243</v>
      </c>
    </row>
    <row r="1479" spans="1:25" x14ac:dyDescent="0.3">
      <c r="A1479">
        <v>73900</v>
      </c>
      <c r="B1479" t="s">
        <v>30244</v>
      </c>
      <c r="C1479" t="s">
        <v>30245</v>
      </c>
      <c r="D1479" t="s">
        <v>30246</v>
      </c>
      <c r="E1479" t="s">
        <v>30247</v>
      </c>
      <c r="F1479" t="s">
        <v>30248</v>
      </c>
      <c r="G1479" t="s">
        <v>30249</v>
      </c>
      <c r="H1479" t="s">
        <v>30250</v>
      </c>
      <c r="I1479">
        <f>-565.937792917222 -13.3169037402553 -932.671976992228</f>
        <v>-1511.9266736497052</v>
      </c>
      <c r="J1479" t="s">
        <v>30251</v>
      </c>
      <c r="K1479" t="s">
        <v>30252</v>
      </c>
      <c r="L1479" t="s">
        <v>30253</v>
      </c>
      <c r="M1479" t="s">
        <v>30254</v>
      </c>
      <c r="N1479">
        <f>-622.589175470124 -12.4170517459139 -771.014221970476</f>
        <v>-1406.0204491865138</v>
      </c>
      <c r="O1479">
        <f>-648.628414754271 -149.638066430558 -725.003466181463</f>
        <v>-1523.2699473662919</v>
      </c>
      <c r="P1479">
        <f>-648.673835698576 -128.570365099087 -409.183302940969</f>
        <v>-1186.4275037386319</v>
      </c>
      <c r="Q1479">
        <f>-402.066410685011 -60.6014814094549 -456.16262374684</f>
        <v>-918.8305158413059</v>
      </c>
      <c r="R1479" t="s">
        <v>30255</v>
      </c>
      <c r="S1479" t="s">
        <v>30256</v>
      </c>
      <c r="T1479" t="s">
        <v>30257</v>
      </c>
      <c r="U1479" t="s">
        <v>30258</v>
      </c>
      <c r="V1479">
        <f>-621.098905596973 -22.6495227799274 -237.014956876827</f>
        <v>-880.76338525372751</v>
      </c>
      <c r="W1479" t="s">
        <v>30259</v>
      </c>
      <c r="X1479" t="s">
        <v>30260</v>
      </c>
      <c r="Y1479" t="s">
        <v>30261</v>
      </c>
    </row>
    <row r="1480" spans="1:25" x14ac:dyDescent="0.3">
      <c r="A1480">
        <v>73950</v>
      </c>
      <c r="B1480" t="s">
        <v>30262</v>
      </c>
      <c r="C1480" t="s">
        <v>30263</v>
      </c>
      <c r="D1480" t="s">
        <v>30264</v>
      </c>
      <c r="E1480" t="s">
        <v>30265</v>
      </c>
      <c r="F1480" t="s">
        <v>30266</v>
      </c>
      <c r="G1480" t="s">
        <v>30267</v>
      </c>
      <c r="H1480" t="s">
        <v>30268</v>
      </c>
      <c r="I1480">
        <f>-566.818994980237 -12.8048113146999 -932.827795065454</f>
        <v>-1512.4516013603909</v>
      </c>
      <c r="J1480" t="s">
        <v>30269</v>
      </c>
      <c r="K1480" t="s">
        <v>30270</v>
      </c>
      <c r="L1480" t="s">
        <v>30271</v>
      </c>
      <c r="M1480" t="s">
        <v>30272</v>
      </c>
      <c r="N1480">
        <f>-623.617636429767 -12.1005767238131 -771.203126768467</f>
        <v>-1406.9213399220471</v>
      </c>
      <c r="O1480">
        <f>-650.027771298456 -149.334283414568 -725.454497460869</f>
        <v>-1524.8165521738929</v>
      </c>
      <c r="P1480">
        <f>-650.469081985345 -128.539137052845 -409.616535168997</f>
        <v>-1188.6247542071872</v>
      </c>
      <c r="Q1480">
        <f>-403.6054415849 -61.1703375115651 -456.112431066164</f>
        <v>-920.88821016262909</v>
      </c>
      <c r="R1480" t="s">
        <v>30273</v>
      </c>
      <c r="S1480" t="s">
        <v>30274</v>
      </c>
      <c r="T1480" t="s">
        <v>30275</v>
      </c>
      <c r="U1480" t="s">
        <v>30276</v>
      </c>
      <c r="V1480">
        <f>-622.077248854898 -22.9986571515422 -237.165905135335</f>
        <v>-882.2418111417752</v>
      </c>
      <c r="W1480" t="s">
        <v>30277</v>
      </c>
      <c r="X1480" t="s">
        <v>30278</v>
      </c>
      <c r="Y1480" t="s">
        <v>30279</v>
      </c>
    </row>
    <row r="1481" spans="1:25" x14ac:dyDescent="0.3">
      <c r="A1481">
        <v>74000</v>
      </c>
      <c r="B1481" t="s">
        <v>30280</v>
      </c>
      <c r="C1481" t="s">
        <v>30281</v>
      </c>
      <c r="D1481" t="s">
        <v>30282</v>
      </c>
      <c r="E1481" t="s">
        <v>30283</v>
      </c>
      <c r="F1481" t="s">
        <v>30284</v>
      </c>
      <c r="G1481" t="s">
        <v>30285</v>
      </c>
      <c r="H1481" t="s">
        <v>30286</v>
      </c>
      <c r="I1481">
        <f>-567.103337194788 -12.6207866526189 -932.870613449507</f>
        <v>-1512.594737296914</v>
      </c>
      <c r="J1481" t="s">
        <v>30287</v>
      </c>
      <c r="K1481" t="s">
        <v>30288</v>
      </c>
      <c r="L1481" t="s">
        <v>30289</v>
      </c>
      <c r="M1481" t="s">
        <v>30290</v>
      </c>
      <c r="N1481">
        <f>-623.99632846623 -11.9774191435837 -771.278061146158</f>
        <v>-1407.2518087559718</v>
      </c>
      <c r="O1481">
        <f>-650.622117288785 -149.223783704531 -725.694595869451</f>
        <v>-1525.540496862767</v>
      </c>
      <c r="P1481">
        <f>-651.328794986187 -128.609287037954 -409.845394562134</f>
        <v>-1189.7834765862749</v>
      </c>
      <c r="Q1481">
        <f>-404.294910965424 -61.6662185614909 -456.050820065775</f>
        <v>-922.01194959268992</v>
      </c>
      <c r="R1481" t="s">
        <v>30291</v>
      </c>
      <c r="S1481" t="s">
        <v>30292</v>
      </c>
      <c r="T1481" t="s">
        <v>30293</v>
      </c>
      <c r="U1481" t="s">
        <v>30294</v>
      </c>
      <c r="V1481">
        <f>-622.481425613655 -23.1544482005887 -237.207236856554</f>
        <v>-882.84311067079773</v>
      </c>
      <c r="W1481" t="s">
        <v>30295</v>
      </c>
      <c r="X1481" t="s">
        <v>30296</v>
      </c>
      <c r="Y1481" t="s">
        <v>30297</v>
      </c>
    </row>
    <row r="1482" spans="1:25" x14ac:dyDescent="0.3">
      <c r="A1482">
        <v>74050</v>
      </c>
      <c r="B1482" t="s">
        <v>30298</v>
      </c>
      <c r="C1482" t="s">
        <v>30299</v>
      </c>
      <c r="D1482" t="s">
        <v>30300</v>
      </c>
      <c r="E1482" t="s">
        <v>30301</v>
      </c>
      <c r="F1482" t="s">
        <v>30302</v>
      </c>
      <c r="G1482" t="s">
        <v>30303</v>
      </c>
      <c r="H1482" t="s">
        <v>30304</v>
      </c>
      <c r="I1482">
        <f>-567.124512185478 -12.5269778000821 -932.8757068775</f>
        <v>-1512.52719686306</v>
      </c>
      <c r="J1482" t="s">
        <v>30305</v>
      </c>
      <c r="K1482" t="s">
        <v>30306</v>
      </c>
      <c r="L1482" t="s">
        <v>30307</v>
      </c>
      <c r="M1482" t="s">
        <v>30308</v>
      </c>
      <c r="N1482">
        <f>-624.153697239283 -11.9652048929733 -771.327719808367</f>
        <v>-1407.4466219406231</v>
      </c>
      <c r="O1482">
        <f>-651.009586124651 -149.223684163659 -725.90831613365</f>
        <v>-1526.14158642196</v>
      </c>
      <c r="P1482">
        <f>-651.945724909213 -128.9615623707 -410.036752124748</f>
        <v>-1190.944039404661</v>
      </c>
      <c r="Q1482">
        <f>-404.644365226535 -62.7756005661322 -455.900952856856</f>
        <v>-923.32091864952326</v>
      </c>
      <c r="R1482" t="s">
        <v>30309</v>
      </c>
      <c r="S1482" t="s">
        <v>30310</v>
      </c>
      <c r="T1482" t="s">
        <v>30311</v>
      </c>
      <c r="U1482" t="s">
        <v>30312</v>
      </c>
      <c r="V1482">
        <f>-622.826771718289 -23.3700868409545 -237.218617965169</f>
        <v>-883.4154765244125</v>
      </c>
      <c r="W1482" t="s">
        <v>30313</v>
      </c>
      <c r="X1482" t="s">
        <v>30314</v>
      </c>
      <c r="Y1482" t="s">
        <v>30315</v>
      </c>
    </row>
    <row r="1483" spans="1:25" x14ac:dyDescent="0.3">
      <c r="A1483">
        <v>74100</v>
      </c>
      <c r="B1483" t="s">
        <v>30316</v>
      </c>
      <c r="C1483" t="s">
        <v>30317</v>
      </c>
      <c r="D1483" t="s">
        <v>30318</v>
      </c>
      <c r="E1483" t="s">
        <v>30319</v>
      </c>
      <c r="F1483" t="s">
        <v>30320</v>
      </c>
      <c r="G1483" t="s">
        <v>30321</v>
      </c>
      <c r="H1483" t="s">
        <v>30322</v>
      </c>
      <c r="I1483">
        <f>-566.94408388285 -12.4274158111449 -932.902891372362</f>
        <v>-1512.2743910663569</v>
      </c>
      <c r="J1483" t="s">
        <v>30323</v>
      </c>
      <c r="K1483" t="s">
        <v>30324</v>
      </c>
      <c r="L1483" t="s">
        <v>30325</v>
      </c>
      <c r="M1483" t="s">
        <v>30326</v>
      </c>
      <c r="N1483">
        <f>-624.09805399472 -11.9479719288535 -771.393985562035</f>
        <v>-1407.4400114856085</v>
      </c>
      <c r="O1483">
        <f>-651.168102411165 -149.217217190664 -726.137767242284</f>
        <v>-1526.5230868441131</v>
      </c>
      <c r="P1483">
        <f>-652.35280035316 -129.277956677772 -410.246703856473</f>
        <v>-1191.8774608874051</v>
      </c>
      <c r="Q1483">
        <f>-404.816976644275 -63.8411943362893 -455.92046834049</f>
        <v>-924.5786393210542</v>
      </c>
      <c r="R1483" t="s">
        <v>30327</v>
      </c>
      <c r="S1483" t="s">
        <v>30328</v>
      </c>
      <c r="T1483" t="s">
        <v>30329</v>
      </c>
      <c r="U1483" t="s">
        <v>30330</v>
      </c>
      <c r="V1483">
        <f>-623.126808718955 -23.6682654229826 -237.226146231658</f>
        <v>-884.0212203735955</v>
      </c>
      <c r="W1483" t="s">
        <v>30331</v>
      </c>
      <c r="X1483" t="s">
        <v>30332</v>
      </c>
      <c r="Y1483" t="s">
        <v>30333</v>
      </c>
    </row>
    <row r="1484" spans="1:25" x14ac:dyDescent="0.3">
      <c r="A1484">
        <v>74150</v>
      </c>
      <c r="B1484" t="s">
        <v>30334</v>
      </c>
      <c r="C1484" t="s">
        <v>30335</v>
      </c>
      <c r="D1484" t="s">
        <v>30336</v>
      </c>
      <c r="E1484" t="s">
        <v>30337</v>
      </c>
      <c r="F1484" t="s">
        <v>30338</v>
      </c>
      <c r="G1484" t="s">
        <v>30339</v>
      </c>
      <c r="H1484" t="s">
        <v>30340</v>
      </c>
      <c r="I1484">
        <f>-566.005462803374 -11.5229610275391 -932.968276435404</f>
        <v>-1510.496700266317</v>
      </c>
      <c r="J1484" t="s">
        <v>30341</v>
      </c>
      <c r="K1484" t="s">
        <v>30342</v>
      </c>
      <c r="L1484" t="s">
        <v>30343</v>
      </c>
      <c r="M1484" t="s">
        <v>30344</v>
      </c>
      <c r="N1484">
        <f>-623.615335765001 -11.5480585162484 -771.607552875175</f>
        <v>-1406.7709471564244</v>
      </c>
      <c r="O1484">
        <f>-651.311474363729 -148.900473056208 -726.966190166108</f>
        <v>-1527.1781375860451</v>
      </c>
      <c r="P1484">
        <f>-653.230599548097 -130.634745292716 -410.977453250362</f>
        <v>-1194.8427980911749</v>
      </c>
      <c r="Q1484">
        <f>-405.487289258118 -65.5153455887558 -455.975058498732</f>
        <v>-926.97769334560576</v>
      </c>
      <c r="R1484" t="s">
        <v>30345</v>
      </c>
      <c r="S1484" t="s">
        <v>30346</v>
      </c>
      <c r="T1484" t="s">
        <v>30347</v>
      </c>
      <c r="U1484" t="s">
        <v>30348</v>
      </c>
      <c r="V1484">
        <f>-623.595771043069 -24.6169818830797 -237.203704626296</f>
        <v>-885.41645755244474</v>
      </c>
      <c r="W1484" t="s">
        <v>30349</v>
      </c>
      <c r="X1484" t="s">
        <v>30350</v>
      </c>
      <c r="Y1484" t="s">
        <v>30351</v>
      </c>
    </row>
    <row r="1485" spans="1:25" x14ac:dyDescent="0.3">
      <c r="A1485">
        <v>74200</v>
      </c>
      <c r="B1485" t="s">
        <v>30352</v>
      </c>
      <c r="C1485" t="s">
        <v>30353</v>
      </c>
      <c r="D1485" t="s">
        <v>30354</v>
      </c>
      <c r="E1485" t="s">
        <v>30355</v>
      </c>
      <c r="F1485" t="s">
        <v>30356</v>
      </c>
      <c r="G1485" t="s">
        <v>30357</v>
      </c>
      <c r="H1485" t="s">
        <v>30358</v>
      </c>
      <c r="I1485">
        <f>-565.275588735336 -11.1368975950729 -933.003571247826</f>
        <v>-1509.4160575782348</v>
      </c>
      <c r="J1485" t="s">
        <v>30359</v>
      </c>
      <c r="K1485" t="s">
        <v>30360</v>
      </c>
      <c r="L1485" t="s">
        <v>30361</v>
      </c>
      <c r="M1485" t="s">
        <v>30362</v>
      </c>
      <c r="N1485">
        <f>-623.07144885059 -11.4173714290021 -771.706477759866</f>
        <v>-1406.1952980394581</v>
      </c>
      <c r="O1485">
        <f>-650.906286467014 -148.818082374679 -727.318724504299</f>
        <v>-1527.043093345992</v>
      </c>
      <c r="P1485">
        <f>-653.116788425437 -130.837014895861 -411.315422780722</f>
        <v>-1195.26922610202</v>
      </c>
      <c r="Q1485">
        <f>-405.310329227913 -65.5808621317011 -455.76362622842</f>
        <v>-926.65481758803412</v>
      </c>
      <c r="R1485" t="s">
        <v>30363</v>
      </c>
      <c r="S1485" t="s">
        <v>30364</v>
      </c>
      <c r="T1485" t="s">
        <v>30365</v>
      </c>
      <c r="U1485" t="s">
        <v>30366</v>
      </c>
      <c r="V1485">
        <f>-623.528308917751 -24.9902176260933 -237.183999209439</f>
        <v>-885.70252575328334</v>
      </c>
      <c r="W1485" t="s">
        <v>30367</v>
      </c>
      <c r="X1485" t="s">
        <v>30368</v>
      </c>
      <c r="Y1485" t="s">
        <v>30369</v>
      </c>
    </row>
    <row r="1486" spans="1:25" x14ac:dyDescent="0.3">
      <c r="A1486">
        <v>74250</v>
      </c>
      <c r="B1486" t="s">
        <v>30370</v>
      </c>
      <c r="C1486" t="s">
        <v>30371</v>
      </c>
      <c r="D1486" t="s">
        <v>30372</v>
      </c>
      <c r="E1486" t="s">
        <v>30373</v>
      </c>
      <c r="F1486" t="s">
        <v>30374</v>
      </c>
      <c r="G1486" t="s">
        <v>30375</v>
      </c>
      <c r="H1486" t="s">
        <v>30376</v>
      </c>
      <c r="I1486">
        <f>-563.659602334759 -10.069325005452 -933.071926605376</f>
        <v>-1506.8008539455871</v>
      </c>
      <c r="J1486" t="s">
        <v>30377</v>
      </c>
      <c r="K1486" t="s">
        <v>30378</v>
      </c>
      <c r="L1486" t="s">
        <v>30379</v>
      </c>
      <c r="M1486" t="s">
        <v>30380</v>
      </c>
      <c r="N1486">
        <f>-621.848161978504 -11.1273228521419 -771.900965652814</f>
        <v>-1404.8764504834598</v>
      </c>
      <c r="O1486">
        <f>-649.899595373724 -148.679712404572 -728.118467322518</f>
        <v>-1526.6977751008139</v>
      </c>
      <c r="P1486">
        <f>-653.00240550613 -131.689938069729 -412.068094806128</f>
        <v>-1196.7604383819871</v>
      </c>
      <c r="Q1486">
        <f>-405.094743006068 -65.9839573961179 -455.271861177962</f>
        <v>-926.35056158014788</v>
      </c>
      <c r="R1486" t="s">
        <v>30381</v>
      </c>
      <c r="S1486" t="s">
        <v>30382</v>
      </c>
      <c r="T1486" t="s">
        <v>30383</v>
      </c>
      <c r="U1486" t="s">
        <v>30384</v>
      </c>
      <c r="V1486">
        <f>-623.174053316399 -26.0525254112571 -237.097746712025</f>
        <v>-886.32432543968105</v>
      </c>
      <c r="W1486" t="s">
        <v>30385</v>
      </c>
      <c r="X1486" t="s">
        <v>30386</v>
      </c>
      <c r="Y1486" t="s">
        <v>30387</v>
      </c>
    </row>
    <row r="1487" spans="1:25" x14ac:dyDescent="0.3">
      <c r="A1487">
        <v>74300</v>
      </c>
      <c r="B1487" t="s">
        <v>30388</v>
      </c>
      <c r="C1487" t="s">
        <v>30389</v>
      </c>
      <c r="D1487" t="s">
        <v>30390</v>
      </c>
      <c r="E1487" t="s">
        <v>30391</v>
      </c>
      <c r="F1487" t="s">
        <v>30392</v>
      </c>
      <c r="G1487" t="s">
        <v>30393</v>
      </c>
      <c r="H1487" t="s">
        <v>30394</v>
      </c>
      <c r="I1487">
        <f>-562.811777917957 -9.45119263568714 -933.112731869469</f>
        <v>-1505.3757024231131</v>
      </c>
      <c r="J1487" t="s">
        <v>30395</v>
      </c>
      <c r="K1487" t="s">
        <v>30396</v>
      </c>
      <c r="L1487" t="s">
        <v>30397</v>
      </c>
      <c r="M1487" t="s">
        <v>30398</v>
      </c>
      <c r="N1487">
        <f>-621.130723030807 -10.910091795853 -771.984120097738</f>
        <v>-1404.0249349243979</v>
      </c>
      <c r="O1487">
        <f>-649.189785821034 -148.565728147602 -728.552426969297</f>
        <v>-1526.3079409379329</v>
      </c>
      <c r="P1487">
        <f>-653.022265469486 -131.850229818927 -412.495398171421</f>
        <v>-1197.367893459834</v>
      </c>
      <c r="Q1487">
        <f>-404.902597518101 -66.3869764760836 -454.842080025691</f>
        <v>-926.13165401987567</v>
      </c>
      <c r="R1487" t="s">
        <v>30399</v>
      </c>
      <c r="S1487" t="s">
        <v>30400</v>
      </c>
      <c r="T1487" t="s">
        <v>30401</v>
      </c>
      <c r="U1487" t="s">
        <v>30402</v>
      </c>
      <c r="V1487">
        <f>-622.859515364878 -26.5531976414156 -237.063037296409</f>
        <v>-886.47575030270264</v>
      </c>
      <c r="W1487" t="s">
        <v>30403</v>
      </c>
      <c r="X1487" t="s">
        <v>30404</v>
      </c>
      <c r="Y1487" t="s">
        <v>30405</v>
      </c>
    </row>
    <row r="1488" spans="1:25" x14ac:dyDescent="0.3">
      <c r="A1488">
        <v>74350</v>
      </c>
      <c r="B1488" t="s">
        <v>30406</v>
      </c>
      <c r="C1488" t="s">
        <v>30407</v>
      </c>
      <c r="D1488" t="s">
        <v>30408</v>
      </c>
      <c r="E1488" t="s">
        <v>30409</v>
      </c>
      <c r="F1488" t="s">
        <v>30410</v>
      </c>
      <c r="G1488" t="s">
        <v>30411</v>
      </c>
      <c r="H1488" t="s">
        <v>30412</v>
      </c>
      <c r="I1488">
        <f>-561.023348746331 -8.42014183895873 -933.114989611632</f>
        <v>-1502.5584801969217</v>
      </c>
      <c r="J1488" t="s">
        <v>30413</v>
      </c>
      <c r="K1488" t="s">
        <v>30414</v>
      </c>
      <c r="L1488" t="s">
        <v>30415</v>
      </c>
      <c r="M1488" t="s">
        <v>30416</v>
      </c>
      <c r="N1488">
        <f>-619.667906971851 -10.631672480982 -772.094447063193</f>
        <v>-1402.3940265160261</v>
      </c>
      <c r="O1488">
        <f>-647.864598479371 -148.462121147114 -729.28950804314</f>
        <v>-1525.616227669625</v>
      </c>
      <c r="P1488">
        <f>-652.945186144191 -132.384780239745 -413.217029282256</f>
        <v>-1198.5469956661918</v>
      </c>
      <c r="Q1488">
        <f>-404.310518697755 -67.4130238938633 -453.236292195904</f>
        <v>-924.95983478752237</v>
      </c>
      <c r="R1488" t="s">
        <v>30417</v>
      </c>
      <c r="S1488" t="s">
        <v>30418</v>
      </c>
      <c r="T1488" t="s">
        <v>30419</v>
      </c>
      <c r="U1488" t="s">
        <v>30420</v>
      </c>
      <c r="V1488">
        <f>-622.395352204906 -27.7579396673952 -236.969206332123</f>
        <v>-887.12249820442423</v>
      </c>
      <c r="W1488" t="s">
        <v>30421</v>
      </c>
      <c r="X1488" t="s">
        <v>30422</v>
      </c>
      <c r="Y1488" t="s">
        <v>30423</v>
      </c>
    </row>
    <row r="1489" spans="1:25" x14ac:dyDescent="0.3">
      <c r="A1489">
        <v>74400</v>
      </c>
      <c r="B1489" t="s">
        <v>30424</v>
      </c>
      <c r="C1489" t="s">
        <v>30425</v>
      </c>
      <c r="D1489" t="s">
        <v>30426</v>
      </c>
      <c r="E1489" t="s">
        <v>30427</v>
      </c>
      <c r="F1489" t="s">
        <v>30428</v>
      </c>
      <c r="G1489" t="s">
        <v>30429</v>
      </c>
      <c r="H1489" t="s">
        <v>30430</v>
      </c>
      <c r="I1489">
        <f>-560.200470697894 -7.74427620803144 -933.143747924685</f>
        <v>-1501.0884948306107</v>
      </c>
      <c r="J1489" t="s">
        <v>30431</v>
      </c>
      <c r="K1489" t="s">
        <v>30432</v>
      </c>
      <c r="L1489" t="s">
        <v>30433</v>
      </c>
      <c r="M1489" t="s">
        <v>30434</v>
      </c>
      <c r="N1489">
        <f>-618.974052758005 -10.2713701776653 -772.183446793959</f>
        <v>-1401.4288697296292</v>
      </c>
      <c r="O1489">
        <f>-647.36190597586 -148.147998960217 -729.664424257536</f>
        <v>-1525.1743291936132</v>
      </c>
      <c r="P1489">
        <f>-652.823708795868 -132.413990038185 -413.580873163969</f>
        <v>-1198.818571998022</v>
      </c>
      <c r="Q1489">
        <f>-403.970678405118 -67.9150504180066 -453.002912012947</f>
        <v>-924.88864083607154</v>
      </c>
      <c r="R1489" t="s">
        <v>30435</v>
      </c>
      <c r="S1489" t="s">
        <v>30436</v>
      </c>
      <c r="T1489" t="s">
        <v>30437</v>
      </c>
      <c r="U1489" t="s">
        <v>30438</v>
      </c>
      <c r="V1489">
        <f>-622.096434770973 -28.1523883159244 -236.93898787205</f>
        <v>-887.18781095894747</v>
      </c>
      <c r="W1489" t="s">
        <v>30439</v>
      </c>
      <c r="X1489" t="s">
        <v>30440</v>
      </c>
      <c r="Y1489" t="s">
        <v>30441</v>
      </c>
    </row>
    <row r="1490" spans="1:25" x14ac:dyDescent="0.3">
      <c r="A1490">
        <v>74450</v>
      </c>
      <c r="B1490" t="s">
        <v>30442</v>
      </c>
      <c r="C1490" t="s">
        <v>30443</v>
      </c>
      <c r="D1490" t="s">
        <v>30444</v>
      </c>
      <c r="E1490" t="s">
        <v>30445</v>
      </c>
      <c r="F1490" t="s">
        <v>30446</v>
      </c>
      <c r="G1490" t="s">
        <v>30447</v>
      </c>
      <c r="H1490" t="s">
        <v>30448</v>
      </c>
      <c r="I1490">
        <f>-558.320924838262 -6.59472417988133 -933.061301785142</f>
        <v>-1497.9769508032855</v>
      </c>
      <c r="J1490" t="s">
        <v>30449</v>
      </c>
      <c r="K1490" t="s">
        <v>30450</v>
      </c>
      <c r="L1490" t="s">
        <v>30451</v>
      </c>
      <c r="M1490" t="s">
        <v>30452</v>
      </c>
      <c r="N1490">
        <f>-617.304829886895 -9.4894096219959 -772.214189757628</f>
        <v>-1399.008429266519</v>
      </c>
      <c r="O1490">
        <f>-646.076246474449 -147.407846535142 -730.086018841932</f>
        <v>-1523.5701118515231</v>
      </c>
      <c r="P1490">
        <f>-652.257881354079 -132.426128194337 -413.979232031846</f>
        <v>-1198.6632415802619</v>
      </c>
      <c r="Q1490">
        <f>-402.721505754864 -68.9658852870108 -450.673197034975</f>
        <v>-922.36058807684981</v>
      </c>
      <c r="R1490" t="s">
        <v>30453</v>
      </c>
      <c r="S1490" t="s">
        <v>30454</v>
      </c>
      <c r="T1490" t="s">
        <v>30455</v>
      </c>
      <c r="U1490" t="s">
        <v>30456</v>
      </c>
      <c r="V1490">
        <f>-621.326518464695 -28.7653193273239 -236.867844469743</f>
        <v>-886.95968226176194</v>
      </c>
      <c r="W1490" t="s">
        <v>30457</v>
      </c>
      <c r="X1490" t="s">
        <v>30458</v>
      </c>
      <c r="Y1490" t="s">
        <v>30459</v>
      </c>
    </row>
    <row r="1491" spans="1:25" x14ac:dyDescent="0.3">
      <c r="A1491">
        <v>74500</v>
      </c>
      <c r="B1491" t="s">
        <v>30460</v>
      </c>
      <c r="C1491" t="s">
        <v>30461</v>
      </c>
      <c r="D1491" t="s">
        <v>30462</v>
      </c>
      <c r="E1491" t="s">
        <v>30463</v>
      </c>
      <c r="F1491" t="s">
        <v>30464</v>
      </c>
      <c r="G1491" t="s">
        <v>30465</v>
      </c>
      <c r="H1491" t="s">
        <v>30466</v>
      </c>
      <c r="I1491">
        <f>-557.562011972522 -5.91833659463604 -932.895280231749</f>
        <v>-1496.375628798907</v>
      </c>
      <c r="J1491" t="s">
        <v>30467</v>
      </c>
      <c r="K1491" t="s">
        <v>30468</v>
      </c>
      <c r="L1491" t="s">
        <v>30469</v>
      </c>
      <c r="M1491" t="s">
        <v>30470</v>
      </c>
      <c r="N1491">
        <f>-616.654443390759 -8.84102330135257 -772.114679704608</f>
        <v>-1397.6101463967195</v>
      </c>
      <c r="O1491">
        <f>-645.544468996442 -146.744621146725 -729.970752796658</f>
        <v>-1522.2598429398249</v>
      </c>
      <c r="P1491">
        <f>-651.92979612655 -131.248064145605 -413.892753423326</f>
        <v>-1197.0706136954809</v>
      </c>
      <c r="Q1491">
        <f>-401.791068224012 -68.1706883474623 -446.966706709781</f>
        <v>-916.92846328125529</v>
      </c>
      <c r="R1491" t="s">
        <v>30471</v>
      </c>
      <c r="S1491" t="s">
        <v>30472</v>
      </c>
      <c r="T1491" t="s">
        <v>30473</v>
      </c>
      <c r="U1491" t="s">
        <v>30474</v>
      </c>
      <c r="V1491">
        <f>-620.906294427327 -28.6997888257749 -236.794691274868</f>
        <v>-886.40077452796993</v>
      </c>
      <c r="W1491" t="s">
        <v>30475</v>
      </c>
      <c r="X1491" t="s">
        <v>30476</v>
      </c>
      <c r="Y1491" t="s">
        <v>30477</v>
      </c>
    </row>
    <row r="1492" spans="1:25" x14ac:dyDescent="0.3">
      <c r="A1492">
        <v>74550</v>
      </c>
      <c r="B1492" t="s">
        <v>30478</v>
      </c>
      <c r="C1492" t="s">
        <v>30479</v>
      </c>
      <c r="D1492" t="s">
        <v>30480</v>
      </c>
      <c r="E1492" t="s">
        <v>30481</v>
      </c>
      <c r="F1492" t="s">
        <v>30482</v>
      </c>
      <c r="G1492" t="s">
        <v>30483</v>
      </c>
      <c r="H1492" t="s">
        <v>30484</v>
      </c>
      <c r="I1492">
        <f>-556.243838490868 -6.26817579803123 -931.863837173924</f>
        <v>-1494.3758514628234</v>
      </c>
      <c r="J1492" t="s">
        <v>30485</v>
      </c>
      <c r="K1492" t="s">
        <v>30486</v>
      </c>
      <c r="L1492" t="s">
        <v>30487</v>
      </c>
      <c r="M1492" t="s">
        <v>30488</v>
      </c>
      <c r="N1492">
        <f>-615.590458604372 -8.80183546047565 -771.273965555458</f>
        <v>-1395.6662596203055</v>
      </c>
      <c r="O1492">
        <f>-644.535519400868 -146.520736967177 -728.672490182059</f>
        <v>-1519.728746550104</v>
      </c>
      <c r="P1492">
        <f>-651.36660777637 -128.447447852938 -412.740663078922</f>
        <v>-1192.55471870823</v>
      </c>
      <c r="Q1492">
        <f>-400.203630441922 -67.8786507459061 -442.584232259018</f>
        <v>-910.66651344684601</v>
      </c>
      <c r="R1492" t="s">
        <v>30489</v>
      </c>
      <c r="S1492" t="s">
        <v>30490</v>
      </c>
      <c r="T1492" t="s">
        <v>30491</v>
      </c>
      <c r="U1492" t="s">
        <v>30492</v>
      </c>
      <c r="V1492">
        <f>-620.0022449775 -28.6009942578825 -236.250042827884</f>
        <v>-884.85328206326653</v>
      </c>
      <c r="W1492" t="s">
        <v>30493</v>
      </c>
      <c r="X1492" t="s">
        <v>30494</v>
      </c>
      <c r="Y1492" t="s">
        <v>30495</v>
      </c>
    </row>
    <row r="1493" spans="1:25" x14ac:dyDescent="0.3">
      <c r="A1493">
        <v>74600</v>
      </c>
      <c r="B1493" t="s">
        <v>30496</v>
      </c>
      <c r="C1493" t="s">
        <v>30497</v>
      </c>
      <c r="D1493" t="s">
        <v>30498</v>
      </c>
      <c r="E1493" t="s">
        <v>30499</v>
      </c>
      <c r="F1493" t="s">
        <v>30500</v>
      </c>
      <c r="G1493" t="s">
        <v>30501</v>
      </c>
      <c r="H1493" t="s">
        <v>30502</v>
      </c>
      <c r="I1493">
        <f>-556.131298882652 -7.25867314577621 -931.034627908069</f>
        <v>-1494.4245999364971</v>
      </c>
      <c r="J1493" t="s">
        <v>30503</v>
      </c>
      <c r="K1493" t="s">
        <v>30504</v>
      </c>
      <c r="L1493" t="s">
        <v>30505</v>
      </c>
      <c r="M1493" t="s">
        <v>30506</v>
      </c>
      <c r="N1493">
        <f>-615.703945432158 -9.3906206562494 -770.621017559376</f>
        <v>-1395.7155836477834</v>
      </c>
      <c r="O1493">
        <f>-644.735495831343 -146.947633934514 -727.525516198834</f>
        <v>-1519.208645964691</v>
      </c>
      <c r="P1493">
        <f>-650.311320950435 -127.181356624936 -411.670450181676</f>
        <v>-1189.1631277570471</v>
      </c>
      <c r="Q1493">
        <f>-399.024203357778 -67.3452235406354 -441.943744429596</f>
        <v>-908.31317132800939</v>
      </c>
      <c r="R1493" t="s">
        <v>30507</v>
      </c>
      <c r="S1493" t="s">
        <v>30508</v>
      </c>
      <c r="T1493" t="s">
        <v>30509</v>
      </c>
      <c r="U1493" t="s">
        <v>30510</v>
      </c>
      <c r="V1493">
        <f>-619.497609240127 -28.5878640546731 -235.78220430054</f>
        <v>-883.86767759534007</v>
      </c>
      <c r="W1493" t="s">
        <v>30511</v>
      </c>
      <c r="X1493" t="s">
        <v>30512</v>
      </c>
      <c r="Y1493" t="s">
        <v>30513</v>
      </c>
    </row>
    <row r="1494" spans="1:25" x14ac:dyDescent="0.3">
      <c r="A1494">
        <v>74650</v>
      </c>
      <c r="B1494" t="s">
        <v>30514</v>
      </c>
      <c r="C1494" t="s">
        <v>30515</v>
      </c>
      <c r="D1494" t="s">
        <v>30516</v>
      </c>
      <c r="E1494" t="s">
        <v>30517</v>
      </c>
      <c r="F1494" t="s">
        <v>30518</v>
      </c>
      <c r="G1494" t="s">
        <v>30519</v>
      </c>
      <c r="H1494" t="s">
        <v>30520</v>
      </c>
      <c r="I1494">
        <f>-556.098896227201 -10.5109607627169 -929.36935354823</f>
        <v>-1495.979210538148</v>
      </c>
      <c r="J1494" t="s">
        <v>30521</v>
      </c>
      <c r="K1494" t="s">
        <v>30522</v>
      </c>
      <c r="L1494" t="s">
        <v>30523</v>
      </c>
      <c r="M1494" t="s">
        <v>30524</v>
      </c>
      <c r="N1494">
        <f>-616.28334889747 -11.1533005239828 -769.373438888547</f>
        <v>-1396.8100883099996</v>
      </c>
      <c r="O1494">
        <f>-645.686636338535 -148.209805332324 -724.928775360302</f>
        <v>-1518.8252170311609</v>
      </c>
      <c r="P1494">
        <f>-648.235836608178 -125.985647026252 -409.198294363457</f>
        <v>-1183.419777997887</v>
      </c>
      <c r="Q1494">
        <f>-398.277304979281 -64.9098088158747 -447.046910410294</f>
        <v>-910.23402420544971</v>
      </c>
      <c r="R1494" t="s">
        <v>30525</v>
      </c>
      <c r="S1494" t="s">
        <v>30526</v>
      </c>
      <c r="T1494" t="s">
        <v>30527</v>
      </c>
      <c r="U1494" t="s">
        <v>30528</v>
      </c>
      <c r="V1494">
        <f>-618.314367034659 -28.0359321386263 -235.021403264956</f>
        <v>-881.3717024382413</v>
      </c>
      <c r="W1494" t="s">
        <v>30529</v>
      </c>
      <c r="X1494" t="s">
        <v>30530</v>
      </c>
      <c r="Y1494" t="s">
        <v>30531</v>
      </c>
    </row>
    <row r="1495" spans="1:25" x14ac:dyDescent="0.3">
      <c r="A1495">
        <v>74700</v>
      </c>
      <c r="B1495" t="s">
        <v>30532</v>
      </c>
      <c r="C1495" t="s">
        <v>30533</v>
      </c>
      <c r="D1495" t="s">
        <v>30534</v>
      </c>
      <c r="E1495" t="s">
        <v>30535</v>
      </c>
      <c r="F1495" t="s">
        <v>30536</v>
      </c>
      <c r="G1495" t="s">
        <v>30537</v>
      </c>
      <c r="H1495" t="s">
        <v>30538</v>
      </c>
      <c r="I1495">
        <f>-556.316698370394 -12.4094653173322 -928.910854499897</f>
        <v>-1497.6370181876232</v>
      </c>
      <c r="J1495" t="s">
        <v>30539</v>
      </c>
      <c r="K1495" t="s">
        <v>30540</v>
      </c>
      <c r="L1495" t="s">
        <v>30541</v>
      </c>
      <c r="M1495" t="s">
        <v>30542</v>
      </c>
      <c r="N1495">
        <f>-616.62414872991 -12.2058203787976 -769.045411551377</f>
        <v>-1397.8753806600846</v>
      </c>
      <c r="O1495">
        <f>-646.224352251256 -148.9896066796 -723.895295298257</f>
        <v>-1519.109254229113</v>
      </c>
      <c r="P1495">
        <f>-647.201637854138 -126.134265126554 -408.200938746732</f>
        <v>-1181.536841727424</v>
      </c>
      <c r="Q1495">
        <f>-398.736334470879 -64.1293532650882 -453.614961455976</f>
        <v>-916.48064919194326</v>
      </c>
      <c r="R1495" t="s">
        <v>30543</v>
      </c>
      <c r="S1495" t="s">
        <v>30544</v>
      </c>
      <c r="T1495" t="s">
        <v>30545</v>
      </c>
      <c r="U1495" t="s">
        <v>30546</v>
      </c>
      <c r="V1495">
        <f>-617.507868555709 -27.5442443510941 -234.886440812909</f>
        <v>-879.9385537197121</v>
      </c>
      <c r="W1495" t="s">
        <v>30547</v>
      </c>
      <c r="X1495" t="s">
        <v>30548</v>
      </c>
      <c r="Y1495" t="s">
        <v>30549</v>
      </c>
    </row>
    <row r="1496" spans="1:25" x14ac:dyDescent="0.3">
      <c r="A1496">
        <v>74750</v>
      </c>
      <c r="B1496" t="s">
        <v>30550</v>
      </c>
      <c r="C1496" t="s">
        <v>30551</v>
      </c>
      <c r="D1496" t="s">
        <v>30552</v>
      </c>
      <c r="E1496" t="s">
        <v>30553</v>
      </c>
      <c r="F1496" t="s">
        <v>30554</v>
      </c>
      <c r="G1496" t="s">
        <v>30555</v>
      </c>
      <c r="H1496" t="s">
        <v>30556</v>
      </c>
      <c r="I1496">
        <f>-555.89975283289 -14.1914933358889 -928.62265195588</f>
        <v>-1498.713898124659</v>
      </c>
      <c r="J1496" t="s">
        <v>30557</v>
      </c>
      <c r="K1496" t="s">
        <v>30558</v>
      </c>
      <c r="L1496" t="s">
        <v>30559</v>
      </c>
      <c r="M1496" t="s">
        <v>30560</v>
      </c>
      <c r="N1496">
        <f>-616.345643392097 -12.8507725845608 -768.959003309406</f>
        <v>-1398.1554192860638</v>
      </c>
      <c r="O1496">
        <f>-646.368748150036 -149.247836933042 -722.834531803401</f>
        <v>-1518.451116886479</v>
      </c>
      <c r="P1496">
        <f>-644.390505965134 -127.548912999673 -407.063224650898</f>
        <v>-1179.002643615705</v>
      </c>
      <c r="Q1496">
        <f>-397.339317719483 -65.2532131644674 -459.284409218456</f>
        <v>-921.87694010240648</v>
      </c>
      <c r="R1496" t="s">
        <v>30561</v>
      </c>
      <c r="S1496" t="s">
        <v>30562</v>
      </c>
      <c r="T1496" t="s">
        <v>30563</v>
      </c>
      <c r="U1496" t="s">
        <v>30564</v>
      </c>
      <c r="V1496">
        <f>-615.523332967906 -26.0667856781965 -234.92599778578</f>
        <v>-876.51611643188244</v>
      </c>
      <c r="W1496" t="s">
        <v>30565</v>
      </c>
      <c r="X1496" t="s">
        <v>30566</v>
      </c>
      <c r="Y1496" t="s">
        <v>30567</v>
      </c>
    </row>
    <row r="1497" spans="1:25" x14ac:dyDescent="0.3">
      <c r="A1497">
        <v>74800</v>
      </c>
      <c r="B1497" t="s">
        <v>30568</v>
      </c>
      <c r="C1497" t="s">
        <v>30569</v>
      </c>
      <c r="D1497" t="s">
        <v>30570</v>
      </c>
      <c r="E1497" t="s">
        <v>30571</v>
      </c>
      <c r="F1497" t="s">
        <v>30572</v>
      </c>
      <c r="G1497" t="s">
        <v>30573</v>
      </c>
      <c r="H1497" t="s">
        <v>30574</v>
      </c>
      <c r="I1497">
        <f>-555.535205356812 -14.8649966236505 -928.586448258876</f>
        <v>-1498.9866502393384</v>
      </c>
      <c r="J1497" t="s">
        <v>30575</v>
      </c>
      <c r="K1497" t="s">
        <v>30576</v>
      </c>
      <c r="L1497" t="s">
        <v>30577</v>
      </c>
      <c r="M1497" t="s">
        <v>30578</v>
      </c>
      <c r="N1497">
        <f>-615.93449648913 -13.0630564508747 -768.972463824268</f>
        <v>-1397.9700167642727</v>
      </c>
      <c r="O1497">
        <f>-645.877792361801 -149.332671090528 -722.496268114858</f>
        <v>-1517.706731567187</v>
      </c>
      <c r="P1497">
        <f>-643.027420250794 -127.754518862328 -406.723407923903</f>
        <v>-1177.5053470370249</v>
      </c>
      <c r="Q1497">
        <f>-396.483016670249 -64.9677762735571 -460.72100600039</f>
        <v>-922.1717989441961</v>
      </c>
      <c r="R1497" t="s">
        <v>30579</v>
      </c>
      <c r="S1497" t="s">
        <v>30580</v>
      </c>
      <c r="T1497" t="s">
        <v>30581</v>
      </c>
      <c r="U1497" t="s">
        <v>30582</v>
      </c>
      <c r="V1497">
        <f>-614.489491479015 -25.2957162892007 -234.964573999219</f>
        <v>-874.7497817674348</v>
      </c>
      <c r="W1497" t="s">
        <v>30583</v>
      </c>
      <c r="X1497" t="s">
        <v>30584</v>
      </c>
      <c r="Y1497" t="s">
        <v>30585</v>
      </c>
    </row>
    <row r="1498" spans="1:25" x14ac:dyDescent="0.3">
      <c r="A1498">
        <v>74850</v>
      </c>
      <c r="B1498" t="s">
        <v>30586</v>
      </c>
      <c r="C1498" t="s">
        <v>30587</v>
      </c>
      <c r="D1498" t="s">
        <v>30588</v>
      </c>
      <c r="E1498" t="s">
        <v>30589</v>
      </c>
      <c r="F1498" t="s">
        <v>30590</v>
      </c>
      <c r="G1498" t="s">
        <v>30591</v>
      </c>
      <c r="H1498" t="s">
        <v>30592</v>
      </c>
      <c r="I1498">
        <f>-554.096286580807 -16.0542187426236 -928.272308830458</f>
        <v>-1498.4228141538886</v>
      </c>
      <c r="J1498" t="s">
        <v>30593</v>
      </c>
      <c r="K1498" t="s">
        <v>30594</v>
      </c>
      <c r="L1498" t="s">
        <v>30595</v>
      </c>
      <c r="M1498" t="s">
        <v>30596</v>
      </c>
      <c r="N1498">
        <f>-614.616182358628 -13.4480436679614 -768.871798977413</f>
        <v>-1396.9360250040024</v>
      </c>
      <c r="O1498">
        <f>-643.806766379729 -149.673785840531 -721.840660505847</f>
        <v>-1515.321212726107</v>
      </c>
      <c r="P1498">
        <f>-638.079900896512 -126.955399473357 -406.18686198518</f>
        <v>-1171.222162355049</v>
      </c>
      <c r="Q1498">
        <f>-391.579489379085 -64.2483643818885 -460.477021982207</f>
        <v>-916.30487574318045</v>
      </c>
      <c r="R1498" t="s">
        <v>30597</v>
      </c>
      <c r="S1498" t="s">
        <v>30598</v>
      </c>
      <c r="T1498" t="s">
        <v>30599</v>
      </c>
      <c r="U1498" t="s">
        <v>30600</v>
      </c>
      <c r="V1498">
        <f>-612.562320134643 -24.2941055461948 -234.986905681343</f>
        <v>-871.84333136218083</v>
      </c>
      <c r="W1498" t="s">
        <v>30601</v>
      </c>
      <c r="X1498" t="s">
        <v>30602</v>
      </c>
      <c r="Y1498" t="s">
        <v>30603</v>
      </c>
    </row>
    <row r="1499" spans="1:25" x14ac:dyDescent="0.3">
      <c r="A1499">
        <v>74900</v>
      </c>
      <c r="B1499" t="s">
        <v>30604</v>
      </c>
      <c r="C1499" t="s">
        <v>30605</v>
      </c>
      <c r="D1499" t="s">
        <v>30606</v>
      </c>
      <c r="E1499" t="s">
        <v>30607</v>
      </c>
      <c r="F1499" t="s">
        <v>30608</v>
      </c>
      <c r="G1499" t="s">
        <v>30609</v>
      </c>
      <c r="H1499" t="s">
        <v>30610</v>
      </c>
      <c r="I1499">
        <f>-553.5063221733 -17.0209377344956 -928.022029240115</f>
        <v>-1498.5492891479107</v>
      </c>
      <c r="J1499" t="s">
        <v>30611</v>
      </c>
      <c r="K1499" t="s">
        <v>30612</v>
      </c>
      <c r="L1499" t="s">
        <v>30613</v>
      </c>
      <c r="M1499" t="s">
        <v>30614</v>
      </c>
      <c r="N1499">
        <f>-614.041848142495 -13.7752683651555 -768.788333695344</f>
        <v>-1396.6054502029947</v>
      </c>
      <c r="O1499">
        <f>-642.49927294446 -150.043792640422 -721.472895248674</f>
        <v>-1514.0159608335562</v>
      </c>
      <c r="P1499">
        <f>-636.07586491668 -126.606641368763 -405.885051976115</f>
        <v>-1168.5675582615579</v>
      </c>
      <c r="Q1499">
        <f>-389.486556859128 -64.1251172259126 -460.03144941794</f>
        <v>-913.64312350298064</v>
      </c>
      <c r="R1499" t="s">
        <v>30615</v>
      </c>
      <c r="S1499" t="s">
        <v>30616</v>
      </c>
      <c r="T1499" t="s">
        <v>30617</v>
      </c>
      <c r="U1499" t="s">
        <v>30618</v>
      </c>
      <c r="V1499">
        <f>-611.617291503072 -24.0166044940856 -234.986870678969</f>
        <v>-870.62076667612666</v>
      </c>
      <c r="W1499" t="s">
        <v>30619</v>
      </c>
      <c r="X1499" t="s">
        <v>30620</v>
      </c>
      <c r="Y1499" t="s">
        <v>30621</v>
      </c>
    </row>
    <row r="1500" spans="1:25" x14ac:dyDescent="0.3">
      <c r="A1500">
        <v>74950</v>
      </c>
      <c r="B1500" t="s">
        <v>30622</v>
      </c>
      <c r="C1500" t="s">
        <v>30623</v>
      </c>
      <c r="D1500" t="s">
        <v>30624</v>
      </c>
      <c r="E1500" t="s">
        <v>30625</v>
      </c>
      <c r="F1500" t="s">
        <v>30626</v>
      </c>
      <c r="G1500" t="s">
        <v>30627</v>
      </c>
      <c r="H1500" t="s">
        <v>30628</v>
      </c>
      <c r="I1500">
        <f>-551.566693005141 -18.8522336295341 -927.567736929758</f>
        <v>-1497.986663564433</v>
      </c>
      <c r="J1500" t="s">
        <v>30629</v>
      </c>
      <c r="K1500" t="s">
        <v>30630</v>
      </c>
      <c r="L1500" t="s">
        <v>30631</v>
      </c>
      <c r="M1500" t="s">
        <v>30632</v>
      </c>
      <c r="N1500">
        <f>-612.184095450093 -14.4058275505209 -768.73827719342</f>
        <v>-1395.3282001940338</v>
      </c>
      <c r="O1500">
        <f>-639.408908968098 -150.919166963143 -721.31832479916</f>
        <v>-1511.646400730401</v>
      </c>
      <c r="P1500">
        <f>-632.892588868346 -127.049819096021 -405.76492759288</f>
        <v>-1165.707335557247</v>
      </c>
      <c r="Q1500">
        <f>-386.155682215064 -63.7800120442943 -458.299353958602</f>
        <v>-908.23504821796041</v>
      </c>
      <c r="R1500" t="s">
        <v>30633</v>
      </c>
      <c r="S1500" t="s">
        <v>30634</v>
      </c>
      <c r="T1500" t="s">
        <v>30635</v>
      </c>
      <c r="U1500" t="s">
        <v>30636</v>
      </c>
      <c r="V1500">
        <f>-609.63812803185 -23.9779856442538 -234.957331592073</f>
        <v>-868.57344526817678</v>
      </c>
      <c r="W1500" t="s">
        <v>30637</v>
      </c>
      <c r="X1500" t="s">
        <v>30638</v>
      </c>
      <c r="Y1500" t="s">
        <v>30639</v>
      </c>
    </row>
    <row r="1501" spans="1:25" x14ac:dyDescent="0.3">
      <c r="A1501">
        <v>75000</v>
      </c>
      <c r="B1501" t="s">
        <v>30640</v>
      </c>
      <c r="C1501" t="s">
        <v>30641</v>
      </c>
      <c r="D1501" t="s">
        <v>30642</v>
      </c>
      <c r="E1501" t="s">
        <v>30643</v>
      </c>
      <c r="F1501" t="s">
        <v>30644</v>
      </c>
      <c r="G1501" t="s">
        <v>30645</v>
      </c>
      <c r="H1501" t="s">
        <v>30646</v>
      </c>
      <c r="I1501">
        <f>-550.432014920629 -19.3934228722328 -927.441447322264</f>
        <v>-1497.2668851151257</v>
      </c>
      <c r="J1501" t="s">
        <v>30647</v>
      </c>
      <c r="K1501" t="s">
        <v>30648</v>
      </c>
      <c r="L1501" t="s">
        <v>30649</v>
      </c>
      <c r="M1501" t="s">
        <v>30650</v>
      </c>
      <c r="N1501">
        <f>-610.996587349417 -14.3704962300989 -768.783322170581</f>
        <v>-1394.150405750097</v>
      </c>
      <c r="O1501">
        <f>-637.792994638356 -151.004790464209 -721.486571432346</f>
        <v>-1510.284356534911</v>
      </c>
      <c r="P1501">
        <f>-631.578809104012 -127.398230933036 -405.907160246763</f>
        <v>-1164.884200283811</v>
      </c>
      <c r="Q1501">
        <f>-384.983833106827 -63.0010298789077 -457.733506047847</f>
        <v>-905.71836903358167</v>
      </c>
      <c r="R1501" t="s">
        <v>30651</v>
      </c>
      <c r="S1501" t="s">
        <v>30652</v>
      </c>
      <c r="T1501" t="s">
        <v>30653</v>
      </c>
      <c r="U1501" t="s">
        <v>30654</v>
      </c>
      <c r="V1501">
        <f>-608.620028095284 -23.9065591597679 -234.923418589541</f>
        <v>-867.45000584459297</v>
      </c>
      <c r="W1501" t="s">
        <v>30655</v>
      </c>
      <c r="X1501" t="s">
        <v>30656</v>
      </c>
      <c r="Y1501" t="s">
        <v>30657</v>
      </c>
    </row>
    <row r="1502" spans="1:25" x14ac:dyDescent="0.3">
      <c r="A1502">
        <v>75050</v>
      </c>
      <c r="B1502" t="s">
        <v>30658</v>
      </c>
      <c r="C1502" t="s">
        <v>30659</v>
      </c>
      <c r="D1502" t="s">
        <v>30660</v>
      </c>
      <c r="E1502" t="s">
        <v>30661</v>
      </c>
      <c r="F1502" t="s">
        <v>30662</v>
      </c>
      <c r="G1502" t="s">
        <v>30663</v>
      </c>
      <c r="H1502" t="s">
        <v>30664</v>
      </c>
      <c r="I1502">
        <f>-548.427206031059 -20.7278933463472 -927.196562287135</f>
        <v>-1496.3516616645411</v>
      </c>
      <c r="J1502" t="s">
        <v>30665</v>
      </c>
      <c r="K1502" t="s">
        <v>30666</v>
      </c>
      <c r="L1502" t="s">
        <v>30667</v>
      </c>
      <c r="M1502" t="s">
        <v>30668</v>
      </c>
      <c r="N1502">
        <f>-608.963659908988 -14.5946062246985 -768.851696841101</f>
        <v>-1392.4099629747875</v>
      </c>
      <c r="O1502">
        <f>-635.146295499292 -151.404212350838 -721.735469266671</f>
        <v>-1508.285977116801</v>
      </c>
      <c r="P1502">
        <f>-629.906298557361 -128.860719806847 -406.06075535193</f>
        <v>-1164.8277737161379</v>
      </c>
      <c r="Q1502">
        <f>-384.171757831217 -60.886661210733 -457.403947129508</f>
        <v>-902.46236617145803</v>
      </c>
      <c r="R1502" t="s">
        <v>30669</v>
      </c>
      <c r="S1502" t="s">
        <v>30670</v>
      </c>
      <c r="T1502" t="s">
        <v>30671</v>
      </c>
      <c r="U1502" t="s">
        <v>30672</v>
      </c>
      <c r="V1502">
        <f>-607.073095107937 -24.1421412570783 -234.859070154835</f>
        <v>-866.07430651985021</v>
      </c>
      <c r="W1502" t="s">
        <v>30673</v>
      </c>
      <c r="X1502" t="s">
        <v>30674</v>
      </c>
      <c r="Y1502" t="s">
        <v>30675</v>
      </c>
    </row>
    <row r="1503" spans="1:25" x14ac:dyDescent="0.3">
      <c r="A1503">
        <v>75100</v>
      </c>
      <c r="B1503" t="s">
        <v>30676</v>
      </c>
      <c r="C1503" t="s">
        <v>30677</v>
      </c>
      <c r="D1503" t="s">
        <v>30678</v>
      </c>
      <c r="E1503" t="s">
        <v>30679</v>
      </c>
      <c r="F1503" t="s">
        <v>30680</v>
      </c>
      <c r="G1503" t="s">
        <v>30681</v>
      </c>
      <c r="H1503" t="s">
        <v>30682</v>
      </c>
      <c r="I1503">
        <f>-547.198248557721 -21.7986125728947 -927.005169793911</f>
        <v>-1496.0020309245267</v>
      </c>
      <c r="J1503" t="s">
        <v>30683</v>
      </c>
      <c r="K1503" t="s">
        <v>30684</v>
      </c>
      <c r="L1503" t="s">
        <v>30685</v>
      </c>
      <c r="M1503" t="s">
        <v>30686</v>
      </c>
      <c r="N1503">
        <f>-607.728066538157 -15.1622157921039 -768.754557434582</f>
        <v>-1391.6448397648428</v>
      </c>
      <c r="O1503">
        <f>-633.687176007547 -151.986761635368 -721.580286604167</f>
        <v>-1507.254224247082</v>
      </c>
      <c r="P1503">
        <f>-628.607624872115 -129.736267257924 -405.882183822848</f>
        <v>-1164.226075952887</v>
      </c>
      <c r="Q1503">
        <f>-383.389828029116 -59.8401979619793 -457.115319831984</f>
        <v>-900.34534582307924</v>
      </c>
      <c r="R1503" t="s">
        <v>30687</v>
      </c>
      <c r="S1503" t="s">
        <v>30688</v>
      </c>
      <c r="T1503" t="s">
        <v>30689</v>
      </c>
      <c r="U1503" t="s">
        <v>30690</v>
      </c>
      <c r="V1503">
        <f>-606.468353966078 -24.3871241777243 -234.831640601708</f>
        <v>-865.68711874551036</v>
      </c>
      <c r="W1503" t="s">
        <v>30691</v>
      </c>
      <c r="X1503" t="s">
        <v>30692</v>
      </c>
      <c r="Y1503" t="s">
        <v>30693</v>
      </c>
    </row>
    <row r="1504" spans="1:25" x14ac:dyDescent="0.3">
      <c r="A1504">
        <v>75150</v>
      </c>
      <c r="B1504" t="s">
        <v>30694</v>
      </c>
      <c r="C1504" t="s">
        <v>30695</v>
      </c>
      <c r="D1504" t="s">
        <v>30696</v>
      </c>
      <c r="E1504" t="s">
        <v>30697</v>
      </c>
      <c r="F1504" t="s">
        <v>30698</v>
      </c>
      <c r="G1504" t="s">
        <v>30699</v>
      </c>
      <c r="H1504" t="s">
        <v>30700</v>
      </c>
      <c r="I1504">
        <f>-544.469858075306 -24.4814717435582 -926.522828590304</f>
        <v>-1495.4741584091682</v>
      </c>
      <c r="J1504" t="s">
        <v>30701</v>
      </c>
      <c r="K1504" t="s">
        <v>30702</v>
      </c>
      <c r="L1504" t="s">
        <v>30703</v>
      </c>
      <c r="M1504" t="s">
        <v>30704</v>
      </c>
      <c r="N1504">
        <f>-605.092416544756 -16.8283570843657 -768.460084532109</f>
        <v>-1390.3808581612307</v>
      </c>
      <c r="O1504">
        <f>-630.770543890935 -153.650312030216 -721.079312330515</f>
        <v>-1505.5001682516659</v>
      </c>
      <c r="P1504">
        <f>-625.866732119237 -132.051185853364 -405.333265039839</f>
        <v>-1163.2511830124399</v>
      </c>
      <c r="Q1504">
        <f>-382.068261887263 -57.4429387942516 -456.694275486265</f>
        <v>-896.20547616777958</v>
      </c>
      <c r="R1504" t="s">
        <v>30705</v>
      </c>
      <c r="S1504" t="s">
        <v>30706</v>
      </c>
      <c r="T1504" t="s">
        <v>30707</v>
      </c>
      <c r="U1504" t="s">
        <v>30708</v>
      </c>
      <c r="V1504">
        <f>-605.436049252397 -25.0644796092807 -234.756669020085</f>
        <v>-865.25719788176275</v>
      </c>
      <c r="W1504" t="s">
        <v>30709</v>
      </c>
      <c r="X1504" t="s">
        <v>30710</v>
      </c>
      <c r="Y1504" t="s">
        <v>30711</v>
      </c>
    </row>
    <row r="1505" spans="1:25" x14ac:dyDescent="0.3">
      <c r="A1505">
        <v>75200</v>
      </c>
      <c r="B1505" t="s">
        <v>30712</v>
      </c>
      <c r="C1505" t="s">
        <v>30713</v>
      </c>
      <c r="D1505" t="s">
        <v>30714</v>
      </c>
      <c r="E1505" t="s">
        <v>30715</v>
      </c>
      <c r="F1505" t="s">
        <v>30716</v>
      </c>
      <c r="G1505" t="s">
        <v>30717</v>
      </c>
      <c r="H1505">
        <f>-590.875181384359 -0.94303471500897 -839.714659856133</f>
        <v>-1431.5328759555009</v>
      </c>
      <c r="I1505">
        <f>-543.400909578399 -25.9366074137911 -926.343218207243</f>
        <v>-1495.680735199433</v>
      </c>
      <c r="J1505" t="s">
        <v>30718</v>
      </c>
      <c r="K1505" t="s">
        <v>30719</v>
      </c>
      <c r="L1505" t="s">
        <v>30720</v>
      </c>
      <c r="M1505" t="s">
        <v>30721</v>
      </c>
      <c r="N1505">
        <f>-604.053449471087 -17.8249364070811 -768.340592989866</f>
        <v>-1390.2189788680339</v>
      </c>
      <c r="O1505">
        <f>-629.759647714546 -154.590762085629 -720.8393729946</f>
        <v>-1505.1897827947751</v>
      </c>
      <c r="P1505">
        <f>-624.688978579225 -133.503131009828 -405.061255708886</f>
        <v>-1163.2533652979389</v>
      </c>
      <c r="Q1505">
        <f>-381.605952617493 -56.0791088271121 -455.639939226298</f>
        <v>-893.32500067090314</v>
      </c>
      <c r="R1505" t="s">
        <v>30722</v>
      </c>
      <c r="S1505" t="s">
        <v>30723</v>
      </c>
      <c r="T1505" t="s">
        <v>30724</v>
      </c>
      <c r="U1505" t="s">
        <v>30725</v>
      </c>
      <c r="V1505">
        <f>-604.942677857958 -25.3880816817783 -234.71377635347</f>
        <v>-865.04453589320633</v>
      </c>
      <c r="W1505" t="s">
        <v>30726</v>
      </c>
      <c r="X1505" t="s">
        <v>30727</v>
      </c>
      <c r="Y1505" t="s">
        <v>30728</v>
      </c>
    </row>
    <row r="1506" spans="1:25" x14ac:dyDescent="0.3">
      <c r="A1506">
        <v>75250</v>
      </c>
      <c r="B1506" t="s">
        <v>30729</v>
      </c>
      <c r="C1506" t="s">
        <v>30730</v>
      </c>
      <c r="D1506" t="s">
        <v>30731</v>
      </c>
      <c r="E1506" t="s">
        <v>30732</v>
      </c>
      <c r="F1506" t="s">
        <v>30733</v>
      </c>
      <c r="G1506" t="s">
        <v>30734</v>
      </c>
      <c r="H1506">
        <f>-588.313183761708 -3.11563255848451 -839.411236512381</f>
        <v>-1430.8400528325737</v>
      </c>
      <c r="I1506">
        <f>-540.982558556077 -28.5918001672769 -925.977665078903</f>
        <v>-1495.5520238022568</v>
      </c>
      <c r="J1506" t="s">
        <v>30735</v>
      </c>
      <c r="K1506" t="s">
        <v>30736</v>
      </c>
      <c r="L1506" t="s">
        <v>30737</v>
      </c>
      <c r="M1506" t="s">
        <v>30738</v>
      </c>
      <c r="N1506">
        <f>-601.627256515838 -19.7933292509729 -768.014439331102</f>
        <v>-1389.4350250979128</v>
      </c>
      <c r="O1506">
        <f>-627.47405653758 -156.428803464733 -720.19393969597</f>
        <v>-1504.0967996982831</v>
      </c>
      <c r="P1506">
        <f>-622.672072783685 -135.866465976857 -404.376993664184</f>
        <v>-1162.9155324247261</v>
      </c>
      <c r="Q1506">
        <f>-381.120346914385 -53.2949935906698 -454.144094053618</f>
        <v>-888.55943455867282</v>
      </c>
      <c r="R1506" t="s">
        <v>30739</v>
      </c>
      <c r="S1506" t="s">
        <v>30740</v>
      </c>
      <c r="T1506" t="s">
        <v>30741</v>
      </c>
      <c r="U1506" t="s">
        <v>30742</v>
      </c>
      <c r="V1506">
        <f>-603.543608750645 -25.9570130090924 -234.528359616049</f>
        <v>-864.02898137578643</v>
      </c>
      <c r="W1506" t="s">
        <v>30743</v>
      </c>
      <c r="X1506" t="s">
        <v>30744</v>
      </c>
      <c r="Y1506" t="s">
        <v>30745</v>
      </c>
    </row>
    <row r="1507" spans="1:25" x14ac:dyDescent="0.3">
      <c r="A1507">
        <v>75300</v>
      </c>
      <c r="B1507" t="s">
        <v>30746</v>
      </c>
      <c r="C1507" t="s">
        <v>30747</v>
      </c>
      <c r="D1507" t="s">
        <v>30748</v>
      </c>
      <c r="E1507" t="s">
        <v>30749</v>
      </c>
      <c r="F1507" t="s">
        <v>30750</v>
      </c>
      <c r="G1507" t="s">
        <v>30751</v>
      </c>
      <c r="H1507">
        <f>-587.215228523783 -4.10268105411948 -839.292817019721</f>
        <v>-1430.6107265976234</v>
      </c>
      <c r="I1507">
        <f>-539.942118949285 -29.7332805680979 -925.845157505243</f>
        <v>-1495.520557022626</v>
      </c>
      <c r="J1507" t="s">
        <v>30752</v>
      </c>
      <c r="K1507" t="s">
        <v>30753</v>
      </c>
      <c r="L1507" t="s">
        <v>30754</v>
      </c>
      <c r="M1507" t="s">
        <v>30755</v>
      </c>
      <c r="N1507">
        <f>-600.540109659013 -20.687500804342 -767.876405613898</f>
        <v>-1389.1040160772529</v>
      </c>
      <c r="O1507">
        <f>-626.371359370861 -157.259950926094 -719.885468105834</f>
        <v>-1503.516778402789</v>
      </c>
      <c r="P1507">
        <f>-621.825601043575 -136.996371330446 -404.045555619637</f>
        <v>-1162.8675279936581</v>
      </c>
      <c r="Q1507">
        <f>-381.033264417034 -52.0771658030435 -453.541402587167</f>
        <v>-886.65183280724455</v>
      </c>
      <c r="R1507" t="s">
        <v>30756</v>
      </c>
      <c r="S1507" t="s">
        <v>30757</v>
      </c>
      <c r="T1507" t="s">
        <v>30758</v>
      </c>
      <c r="U1507" t="s">
        <v>30759</v>
      </c>
      <c r="V1507">
        <f>-602.616662035348 -26.2476079154453 -234.431718572296</f>
        <v>-863.29598852308936</v>
      </c>
      <c r="W1507" t="s">
        <v>30760</v>
      </c>
      <c r="X1507" t="s">
        <v>30761</v>
      </c>
      <c r="Y1507" t="s">
        <v>30762</v>
      </c>
    </row>
    <row r="1508" spans="1:25" x14ac:dyDescent="0.3">
      <c r="A1508">
        <v>75350</v>
      </c>
      <c r="B1508" t="s">
        <v>30763</v>
      </c>
      <c r="C1508" t="s">
        <v>30764</v>
      </c>
      <c r="D1508" t="s">
        <v>30765</v>
      </c>
      <c r="E1508" t="s">
        <v>30766</v>
      </c>
      <c r="F1508" t="s">
        <v>30767</v>
      </c>
      <c r="G1508" t="s">
        <v>30768</v>
      </c>
      <c r="H1508">
        <f>-585.488525248809 -5.32869713761348 -839.192855257804</f>
        <v>-1430.0100776442264</v>
      </c>
      <c r="I1508">
        <f>-538.297890994028 -31.0097960106112 -925.775413956149</f>
        <v>-1495.0831009607882</v>
      </c>
      <c r="J1508" t="s">
        <v>30769</v>
      </c>
      <c r="K1508" t="s">
        <v>30770</v>
      </c>
      <c r="L1508" t="s">
        <v>30771</v>
      </c>
      <c r="M1508" t="s">
        <v>30772</v>
      </c>
      <c r="N1508">
        <f>-598.769775671449 -21.8682966860447 -767.757812820444</f>
        <v>-1388.3958851779375</v>
      </c>
      <c r="O1508">
        <f>-624.623159361211 -158.378591345005 -719.528632901417</f>
        <v>-1502.5303836076332</v>
      </c>
      <c r="P1508">
        <f>-620.213709566941 -139.176393455199 -403.620414991377</f>
        <v>-1163.010518013517</v>
      </c>
      <c r="Q1508">
        <f>-381.158925508878 -49.247827988716 -452.688990275933</f>
        <v>-883.09574377352692</v>
      </c>
      <c r="R1508" t="s">
        <v>30773</v>
      </c>
      <c r="S1508" t="s">
        <v>30774</v>
      </c>
      <c r="T1508" t="s">
        <v>30775</v>
      </c>
      <c r="U1508" t="s">
        <v>30776</v>
      </c>
      <c r="V1508">
        <f>-601.007096645404 -26.8013988105722 -234.273025878255</f>
        <v>-862.08152133423118</v>
      </c>
      <c r="W1508" t="s">
        <v>30777</v>
      </c>
      <c r="X1508" t="s">
        <v>30778</v>
      </c>
      <c r="Y1508" t="s">
        <v>30779</v>
      </c>
    </row>
    <row r="1509" spans="1:25" x14ac:dyDescent="0.3">
      <c r="A1509">
        <v>75400</v>
      </c>
      <c r="B1509" t="s">
        <v>30780</v>
      </c>
      <c r="C1509" t="s">
        <v>30781</v>
      </c>
      <c r="D1509" t="s">
        <v>30782</v>
      </c>
      <c r="E1509" t="s">
        <v>30783</v>
      </c>
      <c r="F1509" t="s">
        <v>30784</v>
      </c>
      <c r="G1509" t="s">
        <v>30785</v>
      </c>
      <c r="H1509">
        <f>-584.173756906965 -6.09751995644299 -839.050684774859</f>
        <v>-1429.3219616382669</v>
      </c>
      <c r="I1509">
        <f>-537.289519302061 -31.6050940870968 -925.850487038658</f>
        <v>-1494.7451004278157</v>
      </c>
      <c r="J1509" t="s">
        <v>30786</v>
      </c>
      <c r="K1509" t="s">
        <v>30787</v>
      </c>
      <c r="L1509" t="s">
        <v>30788</v>
      </c>
      <c r="M1509" t="s">
        <v>30789</v>
      </c>
      <c r="N1509">
        <f>-597.535015465304 -22.5962380518771 -767.621053349775</f>
        <v>-1387.7523068669561</v>
      </c>
      <c r="O1509">
        <f>-623.34751530898 -159.069020222529 -719.334837733009</f>
        <v>-1501.751373264518</v>
      </c>
      <c r="P1509">
        <f>-619.500568583492 -140.296317462162 -403.393425119046</f>
        <v>-1163.1903111647</v>
      </c>
      <c r="Q1509">
        <f>-381.319569485824 -47.7903878210585 -451.916959179662</f>
        <v>-881.02691648654445</v>
      </c>
      <c r="R1509" t="s">
        <v>30790</v>
      </c>
      <c r="S1509" t="s">
        <v>30791</v>
      </c>
      <c r="T1509" t="s">
        <v>30792</v>
      </c>
      <c r="U1509" t="s">
        <v>30793</v>
      </c>
      <c r="V1509">
        <f>-600.332531138926 -27.1992689575613 -234.186573249411</f>
        <v>-861.71837334589839</v>
      </c>
      <c r="W1509" t="s">
        <v>30794</v>
      </c>
      <c r="X1509" t="s">
        <v>30795</v>
      </c>
      <c r="Y1509" t="s">
        <v>30796</v>
      </c>
    </row>
    <row r="1510" spans="1:25" x14ac:dyDescent="0.3">
      <c r="A1510">
        <v>75450</v>
      </c>
      <c r="B1510" t="s">
        <v>30797</v>
      </c>
      <c r="C1510" t="s">
        <v>30798</v>
      </c>
      <c r="D1510" t="s">
        <v>30799</v>
      </c>
      <c r="E1510" t="s">
        <v>30800</v>
      </c>
      <c r="F1510" t="s">
        <v>30801</v>
      </c>
      <c r="G1510" t="s">
        <v>30802</v>
      </c>
      <c r="H1510">
        <f>-581.067535606647 -7.93901267620864 -838.729153932925</f>
        <v>-1427.7357022157807</v>
      </c>
      <c r="I1510">
        <f>-535.690590326906 -32.1743654817541 -926.687004485862</f>
        <v>-1494.5519602945219</v>
      </c>
      <c r="J1510" t="s">
        <v>30803</v>
      </c>
      <c r="K1510" t="s">
        <v>30804</v>
      </c>
      <c r="L1510" t="s">
        <v>30805</v>
      </c>
      <c r="M1510" t="s">
        <v>30806</v>
      </c>
      <c r="N1510">
        <f>-594.769144138908 -24.3730943248153 -767.349320884677</f>
        <v>-1386.4915593484002</v>
      </c>
      <c r="O1510">
        <f>-620.426818093432 -160.826377811862 -718.875945042962</f>
        <v>-1500.129140948256</v>
      </c>
      <c r="P1510">
        <f>-618.860486506408 -141.386533289528 -402.955311304397</f>
        <v>-1163.2023311003331</v>
      </c>
      <c r="Q1510">
        <f>-382.085004718446 -45.1580380311694 -451.116433871903</f>
        <v>-878.3594766215183</v>
      </c>
      <c r="R1510" t="s">
        <v>30807</v>
      </c>
      <c r="S1510" t="s">
        <v>30808</v>
      </c>
      <c r="T1510" t="s">
        <v>30809</v>
      </c>
      <c r="U1510" t="s">
        <v>30810</v>
      </c>
      <c r="V1510">
        <f>-599.315661599969 -28.2356242884637 -234.03308271847</f>
        <v>-861.58436860690267</v>
      </c>
      <c r="W1510" t="s">
        <v>30811</v>
      </c>
      <c r="X1510" t="s">
        <v>30812</v>
      </c>
      <c r="Y1510" t="s">
        <v>30813</v>
      </c>
    </row>
    <row r="1511" spans="1:25" x14ac:dyDescent="0.3">
      <c r="A1511">
        <v>75500</v>
      </c>
      <c r="B1511" t="s">
        <v>30814</v>
      </c>
      <c r="C1511" t="s">
        <v>30815</v>
      </c>
      <c r="D1511" t="s">
        <v>30816</v>
      </c>
      <c r="E1511" t="s">
        <v>30817</v>
      </c>
      <c r="F1511" t="s">
        <v>30818</v>
      </c>
      <c r="G1511" t="s">
        <v>30819</v>
      </c>
      <c r="H1511">
        <f>-579.0732521217 -8.74772628503577 -838.735722345889</f>
        <v>-1426.5567007526247</v>
      </c>
      <c r="I1511">
        <f>-534.892935321926 -31.9114551341922 -927.586948261323</f>
        <v>-1494.3913387174412</v>
      </c>
      <c r="J1511" t="s">
        <v>30820</v>
      </c>
      <c r="K1511" t="s">
        <v>30821</v>
      </c>
      <c r="L1511" t="s">
        <v>30822</v>
      </c>
      <c r="M1511" t="s">
        <v>30823</v>
      </c>
      <c r="N1511">
        <f>-592.902726087203 -25.2514770489679 -767.396515969571</f>
        <v>-1385.5507191057418</v>
      </c>
      <c r="O1511">
        <f>-618.399174006399 -161.726738905882 -718.955483623067</f>
        <v>-1499.0813965353482</v>
      </c>
      <c r="P1511">
        <f>-618.187607556392 -141.649175626961 -403.071011878992</f>
        <v>-1162.907795062345</v>
      </c>
      <c r="Q1511">
        <f>-381.578826098731 -44.6486985276908 -450.497162248562</f>
        <v>-876.72468687498372</v>
      </c>
      <c r="R1511" t="s">
        <v>30824</v>
      </c>
      <c r="S1511" t="s">
        <v>30825</v>
      </c>
      <c r="T1511" t="s">
        <v>30826</v>
      </c>
      <c r="U1511" t="s">
        <v>30827</v>
      </c>
      <c r="V1511">
        <f>-598.721095332316 -28.9126313408723 -234.011673058405</f>
        <v>-861.64539973159333</v>
      </c>
      <c r="W1511" t="s">
        <v>30828</v>
      </c>
      <c r="X1511" t="s">
        <v>30829</v>
      </c>
      <c r="Y1511" t="s">
        <v>30830</v>
      </c>
    </row>
    <row r="1512" spans="1:25" x14ac:dyDescent="0.3">
      <c r="A1512">
        <v>75550</v>
      </c>
      <c r="B1512" t="s">
        <v>30831</v>
      </c>
      <c r="C1512" t="s">
        <v>30832</v>
      </c>
      <c r="D1512" t="s">
        <v>30833</v>
      </c>
      <c r="E1512" t="s">
        <v>30834</v>
      </c>
      <c r="F1512" t="s">
        <v>30835</v>
      </c>
      <c r="G1512" t="s">
        <v>30836</v>
      </c>
      <c r="H1512">
        <f>-574.548506809736 -9.96629503774239 -838.815085565116</f>
        <v>-1423.3298874125944</v>
      </c>
      <c r="I1512">
        <f>-532.344010522077 -30.8909227090786 -929.169544989448</f>
        <v>-1492.4044782206038</v>
      </c>
      <c r="J1512" t="s">
        <v>30837</v>
      </c>
      <c r="K1512" t="s">
        <v>30838</v>
      </c>
      <c r="L1512" t="s">
        <v>30839</v>
      </c>
      <c r="M1512" t="s">
        <v>30840</v>
      </c>
      <c r="N1512">
        <f>-588.628880973723 -26.7664213660933 -767.594154026348</f>
        <v>-1382.9894563661642</v>
      </c>
      <c r="O1512">
        <f>-613.30490738565 -163.567821826553 -719.60158371531</f>
        <v>-1496.474312927513</v>
      </c>
      <c r="P1512">
        <f>-616.41017066539 -142.952306672703 -403.766950579492</f>
        <v>-1163.129427917585</v>
      </c>
      <c r="Q1512">
        <f>-379.995617563066 -44.5924640410862 -449.325080371101</f>
        <v>-873.91316197525316</v>
      </c>
      <c r="R1512" t="s">
        <v>30841</v>
      </c>
      <c r="S1512" t="s">
        <v>30842</v>
      </c>
      <c r="T1512" t="s">
        <v>30843</v>
      </c>
      <c r="U1512" t="s">
        <v>30844</v>
      </c>
      <c r="V1512">
        <f>-597.343772880733 -30.6552089199562 -233.91432232911</f>
        <v>-861.91330412979914</v>
      </c>
      <c r="W1512" t="s">
        <v>30845</v>
      </c>
      <c r="X1512" t="s">
        <v>30846</v>
      </c>
      <c r="Y1512" t="s">
        <v>30847</v>
      </c>
    </row>
    <row r="1513" spans="1:25" x14ac:dyDescent="0.3">
      <c r="A1513">
        <v>75600</v>
      </c>
      <c r="B1513" t="s">
        <v>30848</v>
      </c>
      <c r="C1513" t="s">
        <v>30849</v>
      </c>
      <c r="D1513" t="s">
        <v>30850</v>
      </c>
      <c r="E1513" t="s">
        <v>30851</v>
      </c>
      <c r="F1513" t="s">
        <v>30852</v>
      </c>
      <c r="G1513" t="s">
        <v>30853</v>
      </c>
      <c r="H1513">
        <f>-572.449736999887 -10.0048555980062 -838.88271537038</f>
        <v>-1421.3373079682733</v>
      </c>
      <c r="I1513">
        <f>-530.741564845113 -29.8953839739225 -929.70007928038</f>
        <v>-1490.3370280994154</v>
      </c>
      <c r="J1513" t="s">
        <v>30854</v>
      </c>
      <c r="K1513" t="s">
        <v>30855</v>
      </c>
      <c r="L1513" t="s">
        <v>30856</v>
      </c>
      <c r="M1513" t="s">
        <v>30857</v>
      </c>
      <c r="N1513">
        <f>-586.635584515369 -27.0495549503102 -767.740953466792</f>
        <v>-1381.4260929324712</v>
      </c>
      <c r="O1513">
        <f>-610.89583198592 -164.035094795705 -720.131313150914</f>
        <v>-1495.0622399325389</v>
      </c>
      <c r="P1513">
        <f>-615.119205662393 -143.826269327797 -404.283359172671</f>
        <v>-1163.2288341628609</v>
      </c>
      <c r="Q1513">
        <f>-378.610670441076 -45.3317696372398 -449.056204117239</f>
        <v>-872.99864419555479</v>
      </c>
      <c r="R1513" t="s">
        <v>30858</v>
      </c>
      <c r="S1513" t="s">
        <v>30859</v>
      </c>
      <c r="T1513" t="s">
        <v>30860</v>
      </c>
      <c r="U1513" t="s">
        <v>30861</v>
      </c>
      <c r="V1513">
        <f>-596.566246404342 -31.6036086496799 -233.862257349654</f>
        <v>-862.03211240367591</v>
      </c>
      <c r="W1513" t="s">
        <v>30862</v>
      </c>
      <c r="X1513" t="s">
        <v>30863</v>
      </c>
      <c r="Y1513" t="s">
        <v>30864</v>
      </c>
    </row>
    <row r="1514" spans="1:25" x14ac:dyDescent="0.3">
      <c r="A1514">
        <v>75650</v>
      </c>
      <c r="B1514" t="s">
        <v>30865</v>
      </c>
      <c r="C1514" t="s">
        <v>30866</v>
      </c>
      <c r="D1514" t="s">
        <v>30867</v>
      </c>
      <c r="E1514" t="s">
        <v>30868</v>
      </c>
      <c r="F1514" t="s">
        <v>30869</v>
      </c>
      <c r="G1514" t="s">
        <v>30870</v>
      </c>
      <c r="H1514">
        <f>-569.121469556021 -9.92414874935913 -839.017233610098</f>
        <v>-1418.0628519154779</v>
      </c>
      <c r="I1514">
        <f>-527.971700538026 -28.0482847298 -930.456772563322</f>
        <v>-1486.476757831148</v>
      </c>
      <c r="J1514" t="s">
        <v>30871</v>
      </c>
      <c r="K1514" t="s">
        <v>30872</v>
      </c>
      <c r="L1514" t="s">
        <v>30873</v>
      </c>
      <c r="M1514" t="s">
        <v>30874</v>
      </c>
      <c r="N1514">
        <f>-583.369333494597 -27.4540085317598 -768.005756811296</f>
        <v>-1378.8290988376527</v>
      </c>
      <c r="O1514">
        <f>-606.314222497273 -164.918848478619 -721.12228951053</f>
        <v>-1492.3553604864219</v>
      </c>
      <c r="P1514">
        <f>-612.165145228911 -145.964965814161 -405.222505910631</f>
        <v>-1163.3526169537031</v>
      </c>
      <c r="Q1514">
        <f>-375.260303249361 -48.013831319991 -449.082874251663</f>
        <v>-872.35700882101492</v>
      </c>
      <c r="R1514" t="s">
        <v>30875</v>
      </c>
      <c r="S1514" t="s">
        <v>30876</v>
      </c>
      <c r="T1514" t="s">
        <v>30877</v>
      </c>
      <c r="U1514" t="s">
        <v>30878</v>
      </c>
      <c r="V1514">
        <f>-595.133913516735 -33.5505127026931 -233.756525880934</f>
        <v>-862.4409521003621</v>
      </c>
      <c r="W1514" t="s">
        <v>30879</v>
      </c>
      <c r="X1514" t="s">
        <v>30880</v>
      </c>
      <c r="Y1514" t="s">
        <v>30881</v>
      </c>
    </row>
    <row r="1515" spans="1:25" x14ac:dyDescent="0.3">
      <c r="A1515">
        <v>75700</v>
      </c>
      <c r="B1515" t="s">
        <v>30882</v>
      </c>
      <c r="C1515" t="s">
        <v>30883</v>
      </c>
      <c r="D1515" t="s">
        <v>30884</v>
      </c>
      <c r="E1515" t="s">
        <v>30885</v>
      </c>
      <c r="F1515" t="s">
        <v>30886</v>
      </c>
      <c r="G1515" t="s">
        <v>30887</v>
      </c>
      <c r="H1515">
        <f>-568.638766495705 -9.55400578087696 -839.150533696496</f>
        <v>-1417.343305973078</v>
      </c>
      <c r="I1515">
        <f>-527.669474640393 -26.9370863046904 -930.814696707738</f>
        <v>-1485.4212576528214</v>
      </c>
      <c r="J1515" t="s">
        <v>30888</v>
      </c>
      <c r="K1515" t="s">
        <v>30889</v>
      </c>
      <c r="L1515" t="s">
        <v>30890</v>
      </c>
      <c r="M1515" t="s">
        <v>30891</v>
      </c>
      <c r="N1515">
        <f>-582.751546352655 -27.3673835369434 -768.182673705709</f>
        <v>-1378.3016035953074</v>
      </c>
      <c r="O1515">
        <f>-604.905688012979 -165.112840310153 -721.697892925701</f>
        <v>-1491.7164212488328</v>
      </c>
      <c r="P1515">
        <f>-610.947958192167 -146.596767747802 -405.775725833797</f>
        <v>-1163.3204517737661</v>
      </c>
      <c r="Q1515">
        <f>-374.041061273203 -48.6804711106154 -449.702515147978</f>
        <v>-872.4240475317963</v>
      </c>
      <c r="R1515" t="s">
        <v>30892</v>
      </c>
      <c r="S1515" t="s">
        <v>30893</v>
      </c>
      <c r="T1515" t="s">
        <v>30894</v>
      </c>
      <c r="U1515" t="s">
        <v>30895</v>
      </c>
      <c r="V1515">
        <f>-594.512697348677 -34.4935225799648 -233.716113791181</f>
        <v>-862.7223337198227</v>
      </c>
      <c r="W1515" t="s">
        <v>30896</v>
      </c>
      <c r="X1515" t="s">
        <v>30897</v>
      </c>
      <c r="Y1515" t="s">
        <v>30898</v>
      </c>
    </row>
    <row r="1516" spans="1:25" x14ac:dyDescent="0.3">
      <c r="A1516">
        <v>75750</v>
      </c>
      <c r="B1516" t="s">
        <v>30899</v>
      </c>
      <c r="C1516" t="s">
        <v>30900</v>
      </c>
      <c r="D1516" t="s">
        <v>30901</v>
      </c>
      <c r="E1516" t="s">
        <v>30902</v>
      </c>
      <c r="F1516" t="s">
        <v>30903</v>
      </c>
      <c r="G1516" t="s">
        <v>30904</v>
      </c>
      <c r="H1516">
        <f>-567.871073936304 -8.06110689026789 -839.365308369625</f>
        <v>-1415.2974891961969</v>
      </c>
      <c r="I1516">
        <f>-527.11034596743 -24.1368756509511 -931.360650533689</f>
        <v>-1482.6078721520701</v>
      </c>
      <c r="J1516" t="s">
        <v>30905</v>
      </c>
      <c r="K1516" t="s">
        <v>30906</v>
      </c>
      <c r="L1516" t="s">
        <v>30907</v>
      </c>
      <c r="M1516" t="s">
        <v>30908</v>
      </c>
      <c r="N1516">
        <f>-581.774908170231 -26.5090170567812 -768.518526786961</f>
        <v>-1376.8024520139734</v>
      </c>
      <c r="O1516">
        <f>-602.776621911015 -164.746077241698 -722.98044934262</f>
        <v>-1490.5031484953329</v>
      </c>
      <c r="P1516">
        <f>-608.440158473304 -147.646455372975 -406.971448354554</f>
        <v>-1163.0580622008329</v>
      </c>
      <c r="Q1516">
        <f>-371.763748214756 -49.3665330277605 -451.326572674414</f>
        <v>-872.45685391693053</v>
      </c>
      <c r="R1516" t="s">
        <v>30909</v>
      </c>
      <c r="S1516" t="s">
        <v>30910</v>
      </c>
      <c r="T1516" t="s">
        <v>30911</v>
      </c>
      <c r="U1516" t="s">
        <v>30912</v>
      </c>
      <c r="V1516">
        <f>-593.502412642199 -36.1110579025619 -233.58113310649</f>
        <v>-863.19460365125099</v>
      </c>
      <c r="W1516" t="s">
        <v>30913</v>
      </c>
      <c r="X1516" t="s">
        <v>30914</v>
      </c>
      <c r="Y1516" t="s">
        <v>30915</v>
      </c>
    </row>
    <row r="1517" spans="1:25" x14ac:dyDescent="0.3">
      <c r="A1517">
        <v>75800</v>
      </c>
      <c r="B1517" t="s">
        <v>30916</v>
      </c>
      <c r="C1517" t="s">
        <v>30917</v>
      </c>
      <c r="D1517" t="s">
        <v>30918</v>
      </c>
      <c r="E1517" t="s">
        <v>30919</v>
      </c>
      <c r="F1517" t="s">
        <v>30920</v>
      </c>
      <c r="G1517" t="s">
        <v>30921</v>
      </c>
      <c r="H1517">
        <f>-567.70675743617 -7.06438642912178 -839.487262372192</f>
        <v>-1414.258406237484</v>
      </c>
      <c r="I1517">
        <f>-526.985558006522 -22.5555835775987 -931.600325428153</f>
        <v>-1481.1414670122736</v>
      </c>
      <c r="J1517" t="s">
        <v>30922</v>
      </c>
      <c r="K1517" t="s">
        <v>30923</v>
      </c>
      <c r="L1517" t="s">
        <v>30924</v>
      </c>
      <c r="M1517" t="s">
        <v>30925</v>
      </c>
      <c r="N1517">
        <f>-581.557054112014 -25.839209897834 -768.71598786377</f>
        <v>-1376.1122518736181</v>
      </c>
      <c r="O1517">
        <f>-602.189220809703 -164.291899098847 -723.666708732934</f>
        <v>-1490.147828641484</v>
      </c>
      <c r="P1517">
        <f>-607.783483815846 -148.023438543937 -407.612591454901</f>
        <v>-1163.419513814684</v>
      </c>
      <c r="Q1517">
        <f>-371.2364525062 -49.4654296702679 -452.041093093768</f>
        <v>-872.74297527023589</v>
      </c>
      <c r="R1517" t="s">
        <v>30926</v>
      </c>
      <c r="S1517" t="s">
        <v>30927</v>
      </c>
      <c r="T1517" t="s">
        <v>30928</v>
      </c>
      <c r="U1517" t="s">
        <v>30929</v>
      </c>
      <c r="V1517">
        <f>-593.04334106046 -36.7667995838342 -233.53223255013</f>
        <v>-863.34237319442423</v>
      </c>
      <c r="W1517" t="s">
        <v>30930</v>
      </c>
      <c r="X1517" t="s">
        <v>30931</v>
      </c>
      <c r="Y1517" t="s">
        <v>30932</v>
      </c>
    </row>
    <row r="1518" spans="1:25" x14ac:dyDescent="0.3">
      <c r="A1518">
        <v>75850</v>
      </c>
      <c r="B1518" t="s">
        <v>30933</v>
      </c>
      <c r="C1518" t="s">
        <v>30934</v>
      </c>
      <c r="D1518" t="s">
        <v>30935</v>
      </c>
      <c r="E1518" t="s">
        <v>30936</v>
      </c>
      <c r="F1518" t="s">
        <v>30937</v>
      </c>
      <c r="G1518" t="s">
        <v>30938</v>
      </c>
      <c r="H1518">
        <f>-566.766334139104 -5.65724996010048 -839.733347615089</f>
        <v>-1412.1569317142935</v>
      </c>
      <c r="I1518">
        <f>-526.055296436959 -20.2454883935302 -931.998099562434</f>
        <v>-1478.2988843929234</v>
      </c>
      <c r="J1518" t="s">
        <v>30939</v>
      </c>
      <c r="K1518" t="s">
        <v>30940</v>
      </c>
      <c r="L1518" t="s">
        <v>30941</v>
      </c>
      <c r="M1518" t="s">
        <v>30942</v>
      </c>
      <c r="N1518">
        <f>-580.596799790764 -24.9815184984663 -769.106233493617</f>
        <v>-1374.6845517828474</v>
      </c>
      <c r="O1518">
        <f>-600.67450982928 -163.816792789668 -725.001430210134</f>
        <v>-1489.4927328290821</v>
      </c>
      <c r="P1518">
        <f>-606.957430257452 -149.637191244645 -408.859549037871</f>
        <v>-1165.4541705399679</v>
      </c>
      <c r="Q1518">
        <f>-370.684494299105 -50.2522374925742 -452.902427156177</f>
        <v>-873.83915894785616</v>
      </c>
      <c r="R1518" t="s">
        <v>30943</v>
      </c>
      <c r="S1518" t="s">
        <v>30944</v>
      </c>
      <c r="T1518" t="s">
        <v>30945</v>
      </c>
      <c r="U1518" t="s">
        <v>30946</v>
      </c>
      <c r="V1518">
        <f>-592.449009078462 -38.2416795934837 -233.431956821255</f>
        <v>-864.12264549320071</v>
      </c>
      <c r="W1518" t="s">
        <v>30947</v>
      </c>
      <c r="X1518" t="s">
        <v>30948</v>
      </c>
      <c r="Y1518" t="s">
        <v>30949</v>
      </c>
    </row>
    <row r="1519" spans="1:25" x14ac:dyDescent="0.3">
      <c r="A1519">
        <v>75900</v>
      </c>
      <c r="B1519" t="s">
        <v>30950</v>
      </c>
      <c r="C1519" t="s">
        <v>30951</v>
      </c>
      <c r="D1519" t="s">
        <v>30952</v>
      </c>
      <c r="E1519" t="s">
        <v>30953</v>
      </c>
      <c r="F1519" t="s">
        <v>30954</v>
      </c>
      <c r="G1519" t="s">
        <v>30955</v>
      </c>
      <c r="H1519">
        <f>-566.719878423072 -5.04611244620612 -839.83004094813</f>
        <v>-1411.5960318174082</v>
      </c>
      <c r="I1519">
        <f>-526.016921526663 -19.2579668345078 -932.157092063419</f>
        <v>-1477.4319804245897</v>
      </c>
      <c r="J1519" t="s">
        <v>30956</v>
      </c>
      <c r="K1519" t="s">
        <v>30957</v>
      </c>
      <c r="L1519" t="s">
        <v>30958</v>
      </c>
      <c r="M1519" t="s">
        <v>30959</v>
      </c>
      <c r="N1519">
        <f>-580.54805161116 -24.6172181560694 -769.270411967644</f>
        <v>-1374.4356817348735</v>
      </c>
      <c r="O1519">
        <f>-600.496366700163 -163.600224398726 -725.593424570882</f>
        <v>-1489.6900156697711</v>
      </c>
      <c r="P1519">
        <f>-607.335048173082 -150.043088475242 -409.435866050917</f>
        <v>-1166.814002699241</v>
      </c>
      <c r="Q1519">
        <f>-370.993023898231 -50.6432387940905 -453.072581589756</f>
        <v>-874.70884428207751</v>
      </c>
      <c r="R1519" t="s">
        <v>30960</v>
      </c>
      <c r="S1519" t="s">
        <v>30961</v>
      </c>
      <c r="T1519" t="s">
        <v>30962</v>
      </c>
      <c r="U1519" t="s">
        <v>30963</v>
      </c>
      <c r="V1519">
        <f>-592.345712208499 -38.9137648858964 -233.395272768682</f>
        <v>-864.65474986307731</v>
      </c>
      <c r="W1519" t="s">
        <v>30964</v>
      </c>
      <c r="X1519" t="s">
        <v>30965</v>
      </c>
      <c r="Y1519" t="s">
        <v>30966</v>
      </c>
    </row>
    <row r="1520" spans="1:25" x14ac:dyDescent="0.3">
      <c r="A1520">
        <v>75950</v>
      </c>
      <c r="B1520" t="s">
        <v>30967</v>
      </c>
      <c r="C1520" t="s">
        <v>30968</v>
      </c>
      <c r="D1520" t="s">
        <v>30969</v>
      </c>
      <c r="E1520" t="s">
        <v>30970</v>
      </c>
      <c r="F1520" t="s">
        <v>30971</v>
      </c>
      <c r="G1520" t="s">
        <v>30972</v>
      </c>
      <c r="H1520">
        <f>-566.65821961595 -4.52740934524608 -839.965450950526</f>
        <v>-1411.151079911722</v>
      </c>
      <c r="I1520">
        <f>-526.000944877144 -18.1647671995334 -932.399254400479</f>
        <v>-1476.5649664771563</v>
      </c>
      <c r="J1520" t="s">
        <v>30973</v>
      </c>
      <c r="K1520" t="s">
        <v>30974</v>
      </c>
      <c r="L1520" t="s">
        <v>30975</v>
      </c>
      <c r="M1520" t="s">
        <v>30976</v>
      </c>
      <c r="N1520">
        <f>-580.557131393728 -24.4599071553677 -769.520863128316</f>
        <v>-1374.5379016774118</v>
      </c>
      <c r="O1520">
        <f>-600.523752342135 -163.657171450924 -726.516110999825</f>
        <v>-1490.6970347928841</v>
      </c>
      <c r="P1520">
        <f>-608.340680978675 -150.971929471622 -410.344993382333</f>
        <v>-1169.6576038326298</v>
      </c>
      <c r="Q1520">
        <f>-371.548611206486 -52.1073117385923 -452.740197692179</f>
        <v>-876.39612063725724</v>
      </c>
      <c r="R1520" t="s">
        <v>30977</v>
      </c>
      <c r="S1520" t="s">
        <v>30978</v>
      </c>
      <c r="T1520" t="s">
        <v>30979</v>
      </c>
      <c r="U1520" t="s">
        <v>30980</v>
      </c>
      <c r="V1520">
        <f>-592.397208567667 -40.4279578941799 -233.333110874589</f>
        <v>-866.15827733643596</v>
      </c>
      <c r="W1520" t="s">
        <v>30981</v>
      </c>
      <c r="X1520" t="s">
        <v>30982</v>
      </c>
      <c r="Y1520" t="s">
        <v>30983</v>
      </c>
    </row>
    <row r="1521" spans="1:25" x14ac:dyDescent="0.3">
      <c r="A1521">
        <v>76000</v>
      </c>
      <c r="B1521" t="s">
        <v>30984</v>
      </c>
      <c r="C1521" t="s">
        <v>30985</v>
      </c>
      <c r="D1521" t="s">
        <v>30986</v>
      </c>
      <c r="E1521" t="s">
        <v>30987</v>
      </c>
      <c r="F1521" t="s">
        <v>30988</v>
      </c>
      <c r="G1521" t="s">
        <v>30989</v>
      </c>
      <c r="H1521">
        <f>-566.843163183709 -4.545840197474 -840.018040850539</f>
        <v>-1411.407044231722</v>
      </c>
      <c r="I1521">
        <f>-526.207125367849 -17.9460947859539 -932.495744052096</f>
        <v>-1476.6489642058989</v>
      </c>
      <c r="J1521" t="s">
        <v>30990</v>
      </c>
      <c r="K1521" t="s">
        <v>30991</v>
      </c>
      <c r="L1521" t="s">
        <v>30992</v>
      </c>
      <c r="M1521" t="s">
        <v>30993</v>
      </c>
      <c r="N1521">
        <f>-580.802597796239 -24.611745304137 -769.623429509067</f>
        <v>-1375.037772609443</v>
      </c>
      <c r="O1521">
        <f>-600.878334959803 -163.870505799254 -726.912462808766</f>
        <v>-1491.6613035678231</v>
      </c>
      <c r="P1521">
        <f>-609.2450125394 -151.587171688298 -410.739448360276</f>
        <v>-1171.5716325879739</v>
      </c>
      <c r="Q1521">
        <f>-372.263000344635 -52.9860951840601 -452.684618535654</f>
        <v>-877.93371406434903</v>
      </c>
      <c r="R1521" t="s">
        <v>30994</v>
      </c>
      <c r="S1521" t="s">
        <v>30995</v>
      </c>
      <c r="T1521" t="s">
        <v>30996</v>
      </c>
      <c r="U1521" t="s">
        <v>30997</v>
      </c>
      <c r="V1521">
        <f>-592.650846508805 -41.281154863034 -233.32596213991</f>
        <v>-867.25796351174893</v>
      </c>
      <c r="W1521" t="s">
        <v>30998</v>
      </c>
      <c r="X1521" t="s">
        <v>30999</v>
      </c>
      <c r="Y1521" t="s">
        <v>31000</v>
      </c>
    </row>
    <row r="1522" spans="1:25" x14ac:dyDescent="0.3">
      <c r="A1522">
        <v>76050</v>
      </c>
      <c r="B1522" t="s">
        <v>31001</v>
      </c>
      <c r="C1522" t="s">
        <v>31002</v>
      </c>
      <c r="D1522" t="s">
        <v>31003</v>
      </c>
      <c r="E1522" t="s">
        <v>31004</v>
      </c>
      <c r="F1522" t="s">
        <v>31005</v>
      </c>
      <c r="G1522" t="s">
        <v>31006</v>
      </c>
      <c r="H1522">
        <f>-566.878655700319 -5.06757296243384 -840.105718730512</f>
        <v>-1412.0519473932648</v>
      </c>
      <c r="I1522">
        <f>-526.265820861108 -18.1201077242406 -932.643393306645</f>
        <v>-1477.0293218919935</v>
      </c>
      <c r="J1522" t="s">
        <v>31007</v>
      </c>
      <c r="K1522" t="s">
        <v>31008</v>
      </c>
      <c r="L1522" t="s">
        <v>31009</v>
      </c>
      <c r="M1522" t="s">
        <v>31010</v>
      </c>
      <c r="N1522">
        <f>-581.026355729215 -25.282700892747 -769.791422309243</f>
        <v>-1376.1004789312051</v>
      </c>
      <c r="O1522">
        <f>-601.46098234504 -164.636763237706 -727.525111932368</f>
        <v>-1493.622857515114</v>
      </c>
      <c r="P1522">
        <f>-610.506074878593 -153.336363844622 -411.334208581884</f>
        <v>-1175.1766473050991</v>
      </c>
      <c r="Q1522">
        <f>-373.34000386313 -55.0739300053937 -453.032936533921</f>
        <v>-881.44687040244469</v>
      </c>
      <c r="R1522" t="s">
        <v>31011</v>
      </c>
      <c r="S1522" t="s">
        <v>31012</v>
      </c>
      <c r="T1522" t="s">
        <v>31013</v>
      </c>
      <c r="U1522" t="s">
        <v>31014</v>
      </c>
      <c r="V1522">
        <f>-593.413884913681 -42.878778547324 -233.351567494042</f>
        <v>-869.64423095504708</v>
      </c>
      <c r="W1522" t="s">
        <v>31015</v>
      </c>
      <c r="X1522" t="s">
        <v>31016</v>
      </c>
      <c r="Y1522" t="s">
        <v>31017</v>
      </c>
    </row>
    <row r="1523" spans="1:25" x14ac:dyDescent="0.3">
      <c r="A1523">
        <v>76100</v>
      </c>
      <c r="B1523" t="s">
        <v>31018</v>
      </c>
      <c r="C1523" t="s">
        <v>31019</v>
      </c>
      <c r="D1523" t="s">
        <v>31020</v>
      </c>
      <c r="E1523" t="s">
        <v>31021</v>
      </c>
      <c r="F1523" t="s">
        <v>31022</v>
      </c>
      <c r="G1523" t="s">
        <v>31023</v>
      </c>
      <c r="H1523">
        <f>-567.062586505742 -5.46716704481764 -840.103098867872</f>
        <v>-1412.6328524184316</v>
      </c>
      <c r="I1523">
        <f>-526.473699505181 -18.4022429142067 -932.667729034279</f>
        <v>-1477.5436714536668</v>
      </c>
      <c r="J1523" t="s">
        <v>31024</v>
      </c>
      <c r="K1523" t="s">
        <v>31025</v>
      </c>
      <c r="L1523" t="s">
        <v>31026</v>
      </c>
      <c r="M1523" t="s">
        <v>31027</v>
      </c>
      <c r="N1523">
        <f>-581.305113110324 -25.7197012767079 -769.81866434403</f>
        <v>-1376.8434787310621</v>
      </c>
      <c r="O1523">
        <f>-601.930438050991 -165.102483320001 -727.715065557101</f>
        <v>-1494.7479869280928</v>
      </c>
      <c r="P1523">
        <f>-611.190474074287 -154.119089160668 -411.519175968625</f>
        <v>-1176.82873920358</v>
      </c>
      <c r="Q1523">
        <f>-373.896613214486 -56.1461389280146 -453.172050150821</f>
        <v>-883.21480229332155</v>
      </c>
      <c r="R1523" t="s">
        <v>31028</v>
      </c>
      <c r="S1523" t="s">
        <v>31029</v>
      </c>
      <c r="T1523" t="s">
        <v>31030</v>
      </c>
      <c r="U1523" t="s">
        <v>31031</v>
      </c>
      <c r="V1523">
        <f>-593.978744499936 -43.6306953894629 -233.361246784387</f>
        <v>-870.97068667378585</v>
      </c>
      <c r="W1523" t="s">
        <v>31032</v>
      </c>
      <c r="X1523" t="s">
        <v>31033</v>
      </c>
      <c r="Y1523" t="s">
        <v>31034</v>
      </c>
    </row>
    <row r="1524" spans="1:25" x14ac:dyDescent="0.3">
      <c r="A1524">
        <v>76150</v>
      </c>
      <c r="B1524" t="s">
        <v>31035</v>
      </c>
      <c r="C1524" t="s">
        <v>31036</v>
      </c>
      <c r="D1524" t="s">
        <v>31037</v>
      </c>
      <c r="E1524" t="s">
        <v>31038</v>
      </c>
      <c r="F1524" t="s">
        <v>31039</v>
      </c>
      <c r="G1524" t="s">
        <v>31040</v>
      </c>
      <c r="H1524">
        <f>-567.695331030001 -5.93881839069798 -840.176628032526</f>
        <v>-1413.810777453225</v>
      </c>
      <c r="I1524">
        <f>-527.183798461918 -18.6779282153943 -932.802352706576</f>
        <v>-1478.6640793838883</v>
      </c>
      <c r="J1524" t="s">
        <v>31041</v>
      </c>
      <c r="K1524" t="s">
        <v>31042</v>
      </c>
      <c r="L1524" t="s">
        <v>31043</v>
      </c>
      <c r="M1524" t="s">
        <v>31044</v>
      </c>
      <c r="N1524">
        <f>-582.047240243854 -26.2747675360343 -769.938506422029</f>
        <v>-1378.2605142019174</v>
      </c>
      <c r="O1524">
        <f>-602.983722697874 -165.674654306449 -728.061015448096</f>
        <v>-1496.719392452419</v>
      </c>
      <c r="P1524">
        <f>-612.232093771898 -154.871666235072 -411.858563546927</f>
        <v>-1178.962323553897</v>
      </c>
      <c r="Q1524">
        <f>-374.667361439764 -57.5986057681505 -453.607792962775</f>
        <v>-885.87376017068959</v>
      </c>
      <c r="R1524" t="s">
        <v>31045</v>
      </c>
      <c r="S1524" t="s">
        <v>31046</v>
      </c>
      <c r="T1524" t="s">
        <v>31047</v>
      </c>
      <c r="U1524" t="s">
        <v>31048</v>
      </c>
      <c r="V1524">
        <f>-595.047379627429 -44.7775133406445 -233.406361436036</f>
        <v>-873.23125440410956</v>
      </c>
      <c r="W1524" t="s">
        <v>31049</v>
      </c>
      <c r="X1524" t="s">
        <v>31050</v>
      </c>
      <c r="Y1524" t="s">
        <v>31051</v>
      </c>
    </row>
    <row r="1525" spans="1:25" x14ac:dyDescent="0.3">
      <c r="A1525">
        <v>76200</v>
      </c>
      <c r="B1525" t="s">
        <v>31052</v>
      </c>
      <c r="C1525" t="s">
        <v>31053</v>
      </c>
      <c r="D1525" t="s">
        <v>31054</v>
      </c>
      <c r="E1525" t="s">
        <v>31055</v>
      </c>
      <c r="F1525" t="s">
        <v>31056</v>
      </c>
      <c r="G1525" t="s">
        <v>31057</v>
      </c>
      <c r="H1525">
        <f>-568.239741037125 -6.11362148614815 -840.251937863673</f>
        <v>-1414.6053003869461</v>
      </c>
      <c r="I1525">
        <f>-527.83436023296 -18.7925878676974 -932.932113623876</f>
        <v>-1479.5590617245334</v>
      </c>
      <c r="J1525" t="s">
        <v>31058</v>
      </c>
      <c r="K1525" t="s">
        <v>31059</v>
      </c>
      <c r="L1525" t="s">
        <v>31060</v>
      </c>
      <c r="M1525" t="s">
        <v>31061</v>
      </c>
      <c r="N1525">
        <f>-582.584273829573 -26.4886823119568 -770.023626780887</f>
        <v>-1379.0965829224169</v>
      </c>
      <c r="O1525">
        <f>-603.659638087681 -165.889696537462 -728.210532125962</f>
        <v>-1497.7598667511049</v>
      </c>
      <c r="P1525">
        <f>-612.844722505748 -155.102257304325 -412.005880057716</f>
        <v>-1179.9528598677889</v>
      </c>
      <c r="Q1525">
        <f>-375.020887408911 -58.3663002751393 -453.527215403356</f>
        <v>-886.9144030874063</v>
      </c>
      <c r="R1525" t="s">
        <v>31062</v>
      </c>
      <c r="S1525" t="s">
        <v>31063</v>
      </c>
      <c r="T1525" t="s">
        <v>31064</v>
      </c>
      <c r="U1525" t="s">
        <v>31065</v>
      </c>
      <c r="V1525">
        <f>-595.532192967313 -45.2777443050837 -233.434145535048</f>
        <v>-874.24408280744478</v>
      </c>
      <c r="W1525" t="s">
        <v>31066</v>
      </c>
      <c r="X1525" t="s">
        <v>31067</v>
      </c>
      <c r="Y1525" t="s">
        <v>31068</v>
      </c>
    </row>
    <row r="1526" spans="1:25" x14ac:dyDescent="0.3">
      <c r="A1526">
        <v>76250</v>
      </c>
      <c r="B1526" t="s">
        <v>31069</v>
      </c>
      <c r="C1526" t="s">
        <v>31070</v>
      </c>
      <c r="D1526" t="s">
        <v>31071</v>
      </c>
      <c r="E1526" t="s">
        <v>31072</v>
      </c>
      <c r="F1526" t="s">
        <v>31073</v>
      </c>
      <c r="G1526" t="s">
        <v>31074</v>
      </c>
      <c r="H1526">
        <f>-569.016179792739 -6.45056463007495 -840.372118259071</f>
        <v>-1415.8388626818851</v>
      </c>
      <c r="I1526">
        <f>-528.775394867533 -19.0467234026348 -933.135190589426</f>
        <v>-1480.9573088595939</v>
      </c>
      <c r="J1526" t="s">
        <v>31075</v>
      </c>
      <c r="K1526" t="s">
        <v>31076</v>
      </c>
      <c r="L1526" t="s">
        <v>31077</v>
      </c>
      <c r="M1526" t="s">
        <v>31078</v>
      </c>
      <c r="N1526">
        <f>-583.419264787405 -26.8765853521778 -770.170451557673</f>
        <v>-1380.4663016972559</v>
      </c>
      <c r="O1526">
        <f>-604.728798807769 -166.280614259267 -728.4795903136</f>
        <v>-1499.4890033806359</v>
      </c>
      <c r="P1526">
        <f>-614.10083256333 -155.541613951995 -412.278586118903</f>
        <v>-1181.9210326342279</v>
      </c>
      <c r="Q1526">
        <f>-375.967684790864 -59.5432783534698 -453.739329483221</f>
        <v>-889.25029262755481</v>
      </c>
      <c r="R1526" t="s">
        <v>31079</v>
      </c>
      <c r="S1526" t="s">
        <v>31080</v>
      </c>
      <c r="T1526" t="s">
        <v>31081</v>
      </c>
      <c r="U1526" t="s">
        <v>31082</v>
      </c>
      <c r="V1526">
        <f>-596.364057943892 -45.9515698631447 -233.464258680057</f>
        <v>-875.77988648709368</v>
      </c>
      <c r="W1526" t="s">
        <v>31083</v>
      </c>
      <c r="X1526" t="s">
        <v>31084</v>
      </c>
      <c r="Y1526" t="s">
        <v>31085</v>
      </c>
    </row>
    <row r="1527" spans="1:25" x14ac:dyDescent="0.3">
      <c r="A1527">
        <v>76300</v>
      </c>
      <c r="B1527" t="s">
        <v>31086</v>
      </c>
      <c r="C1527" t="s">
        <v>31087</v>
      </c>
      <c r="D1527" t="s">
        <v>31088</v>
      </c>
      <c r="E1527" t="s">
        <v>31089</v>
      </c>
      <c r="F1527" t="s">
        <v>31090</v>
      </c>
      <c r="G1527" t="s">
        <v>31091</v>
      </c>
      <c r="H1527">
        <f>-569.659011152081 -6.39484733304418 -840.445217993842</f>
        <v>-1416.4990764789673</v>
      </c>
      <c r="I1527">
        <f>-529.535737819724 -18.9486429309185 -933.26496494317</f>
        <v>-1481.7493456938123</v>
      </c>
      <c r="J1527" t="s">
        <v>31092</v>
      </c>
      <c r="K1527" t="s">
        <v>31093</v>
      </c>
      <c r="L1527" t="s">
        <v>31094</v>
      </c>
      <c r="M1527" t="s">
        <v>31095</v>
      </c>
      <c r="N1527">
        <f>-584.044170724713 -26.8554658103357 -770.250175188489</f>
        <v>-1381.1498117235378</v>
      </c>
      <c r="O1527">
        <f>-605.456787585969 -166.239787581162 -728.552894177852</f>
        <v>-1500.249469344983</v>
      </c>
      <c r="P1527">
        <f>-614.826279060849 -155.429082823608 -412.354218005194</f>
        <v>-1182.6095798896511</v>
      </c>
      <c r="Q1527">
        <f>-376.554174903324 -59.6792397989523 -453.590281258383</f>
        <v>-889.82369596065928</v>
      </c>
      <c r="R1527" t="s">
        <v>31096</v>
      </c>
      <c r="S1527" t="s">
        <v>31097</v>
      </c>
      <c r="T1527" t="s">
        <v>31098</v>
      </c>
      <c r="U1527" t="s">
        <v>31099</v>
      </c>
      <c r="V1527">
        <f>-596.622631531195 -46.0724421158246 -233.473410060218</f>
        <v>-876.16848370723756</v>
      </c>
      <c r="W1527" t="s">
        <v>31100</v>
      </c>
      <c r="X1527" t="s">
        <v>31101</v>
      </c>
      <c r="Y1527" t="s">
        <v>31102</v>
      </c>
    </row>
    <row r="1528" spans="1:25" x14ac:dyDescent="0.3">
      <c r="A1528">
        <v>76350</v>
      </c>
      <c r="B1528" t="s">
        <v>31103</v>
      </c>
      <c r="C1528" t="s">
        <v>31104</v>
      </c>
      <c r="D1528" t="s">
        <v>31105</v>
      </c>
      <c r="E1528" t="s">
        <v>31106</v>
      </c>
      <c r="F1528" t="s">
        <v>31107</v>
      </c>
      <c r="G1528" t="s">
        <v>31108</v>
      </c>
      <c r="H1528">
        <f>-570.665030516033 -7.13890404813336 -840.588001878164</f>
        <v>-1418.3919364423305</v>
      </c>
      <c r="I1528">
        <f>-530.81907519328 -19.7934523455929 -933.513503871635</f>
        <v>-1484.1260314105079</v>
      </c>
      <c r="J1528" t="s">
        <v>31109</v>
      </c>
      <c r="K1528" t="s">
        <v>31110</v>
      </c>
      <c r="L1528" t="s">
        <v>31111</v>
      </c>
      <c r="M1528" t="s">
        <v>31112</v>
      </c>
      <c r="N1528">
        <f>-584.960871539449 -27.4845535404623 -770.341339404981</f>
        <v>-1382.7867644848925</v>
      </c>
      <c r="O1528">
        <f>-606.567082602392 -166.785442506143 -728.489536411101</f>
        <v>-1501.842061519636</v>
      </c>
      <c r="P1528">
        <f>-615.843253542469 -155.298900677512 -412.312085936969</f>
        <v>-1183.4542401569499</v>
      </c>
      <c r="Q1528">
        <f>-377.435326931074 -60.474275314043 -454.879677278437</f>
        <v>-892.78927952355389</v>
      </c>
      <c r="R1528" t="s">
        <v>31113</v>
      </c>
      <c r="S1528" t="s">
        <v>31114</v>
      </c>
      <c r="T1528" t="s">
        <v>31115</v>
      </c>
      <c r="U1528" t="s">
        <v>31116</v>
      </c>
      <c r="V1528">
        <f>-596.957507471405 -46.2063143145106 -233.501265045408</f>
        <v>-876.66508683132361</v>
      </c>
      <c r="W1528" t="s">
        <v>31117</v>
      </c>
      <c r="X1528" t="s">
        <v>31118</v>
      </c>
      <c r="Y1528" t="s">
        <v>31119</v>
      </c>
    </row>
    <row r="1529" spans="1:25" x14ac:dyDescent="0.3">
      <c r="A1529">
        <v>76400</v>
      </c>
      <c r="B1529" t="s">
        <v>31120</v>
      </c>
      <c r="C1529" t="s">
        <v>31121</v>
      </c>
      <c r="D1529" t="s">
        <v>31122</v>
      </c>
      <c r="E1529" t="s">
        <v>31123</v>
      </c>
      <c r="F1529" t="s">
        <v>31124</v>
      </c>
      <c r="G1529" t="s">
        <v>31125</v>
      </c>
      <c r="H1529">
        <f>-571.416775400235 -7.58500185511267 -840.626718316876</f>
        <v>-1419.6284955722235</v>
      </c>
      <c r="I1529">
        <f>-531.760853439457 -20.3167622925517 -933.622990727175</f>
        <v>-1485.7006064591837</v>
      </c>
      <c r="J1529" t="s">
        <v>31126</v>
      </c>
      <c r="K1529" t="s">
        <v>31127</v>
      </c>
      <c r="L1529" t="s">
        <v>31128</v>
      </c>
      <c r="M1529" t="s">
        <v>31129</v>
      </c>
      <c r="N1529">
        <f>-585.616926811995 -27.8409882567064 -770.334638806455</f>
        <v>-1383.7925538751565</v>
      </c>
      <c r="O1529">
        <f>-607.355628986479 -167.073769346669 -728.312358539361</f>
        <v>-1502.7417568725091</v>
      </c>
      <c r="P1529">
        <f>-616.107170214848 -155.298698048554 -412.130471365696</f>
        <v>-1183.5363396290979</v>
      </c>
      <c r="Q1529">
        <f>-377.74297012751 -60.7608137081109 -455.57192714295</f>
        <v>-894.0757109785709</v>
      </c>
      <c r="R1529" t="s">
        <v>31130</v>
      </c>
      <c r="S1529" t="s">
        <v>31131</v>
      </c>
      <c r="T1529" t="s">
        <v>31132</v>
      </c>
      <c r="U1529" t="s">
        <v>31133</v>
      </c>
      <c r="V1529">
        <f>-596.95655817271 -46.1587603924012 -233.493662068959</f>
        <v>-876.60898063407012</v>
      </c>
      <c r="W1529" t="s">
        <v>31134</v>
      </c>
      <c r="X1529" t="s">
        <v>31135</v>
      </c>
      <c r="Y1529" t="s">
        <v>31136</v>
      </c>
    </row>
    <row r="1530" spans="1:25" x14ac:dyDescent="0.3">
      <c r="A1530">
        <v>76450</v>
      </c>
      <c r="B1530" t="s">
        <v>31137</v>
      </c>
      <c r="C1530" t="s">
        <v>31138</v>
      </c>
      <c r="D1530" t="s">
        <v>31139</v>
      </c>
      <c r="E1530" t="s">
        <v>31140</v>
      </c>
      <c r="F1530" t="s">
        <v>31141</v>
      </c>
      <c r="G1530" t="s">
        <v>31142</v>
      </c>
      <c r="H1530">
        <f>-573.216685931552 -8.50102582470601 -840.697610337182</f>
        <v>-1422.41532209344</v>
      </c>
      <c r="I1530">
        <f>-533.988227270524 -21.511337603945 -933.836479726367</f>
        <v>-1489.336044600836</v>
      </c>
      <c r="J1530" t="s">
        <v>31143</v>
      </c>
      <c r="K1530" t="s">
        <v>31144</v>
      </c>
      <c r="L1530" t="s">
        <v>31145</v>
      </c>
      <c r="M1530" t="s">
        <v>31146</v>
      </c>
      <c r="N1530">
        <f>-587.198271359778 -28.550606653815 -770.302623502938</f>
        <v>-1386.0515015165311</v>
      </c>
      <c r="O1530">
        <f>-609.378067049927 -167.598335766403 -727.915244682431</f>
        <v>-1504.8916474987609</v>
      </c>
      <c r="P1530">
        <f>-616.607471026272 -155.600940932726 -411.703268643433</f>
        <v>-1183.911680602431</v>
      </c>
      <c r="Q1530">
        <f>-378.576862583369 -61.1504856613645 -457.118943202478</f>
        <v>-896.84629144721157</v>
      </c>
      <c r="R1530" t="s">
        <v>31147</v>
      </c>
      <c r="S1530" t="s">
        <v>31148</v>
      </c>
      <c r="T1530" t="s">
        <v>31149</v>
      </c>
      <c r="U1530" t="s">
        <v>31150</v>
      </c>
      <c r="V1530">
        <f>-597.049336687837 -46.1903833495258 -233.451222197065</f>
        <v>-876.69094223442778</v>
      </c>
      <c r="W1530" t="s">
        <v>31151</v>
      </c>
      <c r="X1530" t="s">
        <v>31152</v>
      </c>
      <c r="Y1530" t="s">
        <v>31153</v>
      </c>
    </row>
    <row r="1531" spans="1:25" x14ac:dyDescent="0.3">
      <c r="A1531">
        <v>76500</v>
      </c>
      <c r="B1531" t="s">
        <v>31154</v>
      </c>
      <c r="C1531" t="s">
        <v>31155</v>
      </c>
      <c r="D1531" t="s">
        <v>31156</v>
      </c>
      <c r="E1531" t="s">
        <v>31157</v>
      </c>
      <c r="F1531" t="s">
        <v>31158</v>
      </c>
      <c r="G1531" t="s">
        <v>31159</v>
      </c>
      <c r="H1531">
        <f>-574.255361033804 -8.85603269102295 -840.691259200278</f>
        <v>-1423.8026529251049</v>
      </c>
      <c r="I1531">
        <f>-535.277137413674 -22.0244733567497 -933.912825785955</f>
        <v>-1491.2144365563786</v>
      </c>
      <c r="J1531" t="s">
        <v>31160</v>
      </c>
      <c r="K1531" t="s">
        <v>31161</v>
      </c>
      <c r="L1531" t="s">
        <v>31162</v>
      </c>
      <c r="M1531" t="s">
        <v>31163</v>
      </c>
      <c r="N1531">
        <f>-588.096513972813 -28.8149360673207 -770.24279120709</f>
        <v>-1387.1542412472236</v>
      </c>
      <c r="O1531">
        <f>-610.478073674657 -167.785011689835 -727.691422438338</f>
        <v>-1505.95450780283</v>
      </c>
      <c r="P1531">
        <f>-616.729512662605 -155.966162562219 -411.451957261739</f>
        <v>-1184.147632486563</v>
      </c>
      <c r="Q1531">
        <f>-378.898608374867 -61.4105202647689 -457.687699970522</f>
        <v>-897.99682861015788</v>
      </c>
      <c r="R1531" t="s">
        <v>31164</v>
      </c>
      <c r="S1531" t="s">
        <v>31165</v>
      </c>
      <c r="T1531" t="s">
        <v>31166</v>
      </c>
      <c r="U1531" t="s">
        <v>31167</v>
      </c>
      <c r="V1531">
        <f>-597.052618448382 -46.1593832341799 -233.406840548353</f>
        <v>-876.61884223091488</v>
      </c>
      <c r="W1531" t="s">
        <v>31168</v>
      </c>
      <c r="X1531" t="s">
        <v>31169</v>
      </c>
      <c r="Y1531" t="s">
        <v>31170</v>
      </c>
    </row>
    <row r="1532" spans="1:25" x14ac:dyDescent="0.3">
      <c r="A1532">
        <v>76550</v>
      </c>
      <c r="B1532" t="s">
        <v>31171</v>
      </c>
      <c r="C1532" t="s">
        <v>31172</v>
      </c>
      <c r="D1532" t="s">
        <v>31173</v>
      </c>
      <c r="E1532" t="s">
        <v>31174</v>
      </c>
      <c r="F1532" t="s">
        <v>31175</v>
      </c>
      <c r="G1532" t="s">
        <v>31176</v>
      </c>
      <c r="H1532">
        <f>-576.845755763436 -9.57212064194785 -840.832268303617</f>
        <v>-1427.2501447090008</v>
      </c>
      <c r="I1532">
        <f>-538.483218486523 -23.1271078793992 -934.2536850372</f>
        <v>-1495.8640114031223</v>
      </c>
      <c r="J1532" t="s">
        <v>31177</v>
      </c>
      <c r="K1532" t="s">
        <v>31178</v>
      </c>
      <c r="L1532" t="s">
        <v>31179</v>
      </c>
      <c r="M1532" t="s">
        <v>31180</v>
      </c>
      <c r="N1532">
        <f>-590.354202486501 -29.323512499473 -770.260838639492</f>
        <v>-1389.9385536254661</v>
      </c>
      <c r="O1532">
        <f>-613.179830593033 -168.125767725389 -727.407380909079</f>
        <v>-1508.7129792275009</v>
      </c>
      <c r="P1532">
        <f>-617.466758443425 -157.420587406674 -411.095500667947</f>
        <v>-1185.982846518046</v>
      </c>
      <c r="Q1532">
        <f>-380.652921550477 -61.4111374259164 -459.504553629158</f>
        <v>-901.56861260555138</v>
      </c>
      <c r="R1532" t="s">
        <v>31181</v>
      </c>
      <c r="S1532" t="s">
        <v>31182</v>
      </c>
      <c r="T1532" t="s">
        <v>31183</v>
      </c>
      <c r="U1532" t="s">
        <v>31184</v>
      </c>
      <c r="V1532">
        <f>-597.099074256824 -46.0738148696414 -233.37810488283</f>
        <v>-876.55099400929544</v>
      </c>
      <c r="W1532" t="s">
        <v>31185</v>
      </c>
      <c r="X1532" t="s">
        <v>31186</v>
      </c>
      <c r="Y1532" t="s">
        <v>31187</v>
      </c>
    </row>
    <row r="1533" spans="1:25" x14ac:dyDescent="0.3">
      <c r="A1533">
        <v>76600</v>
      </c>
      <c r="B1533" t="s">
        <v>31188</v>
      </c>
      <c r="C1533" t="s">
        <v>31189</v>
      </c>
      <c r="D1533" t="s">
        <v>31190</v>
      </c>
      <c r="E1533" t="s">
        <v>31191</v>
      </c>
      <c r="F1533" t="s">
        <v>31192</v>
      </c>
      <c r="G1533" t="s">
        <v>31193</v>
      </c>
      <c r="H1533">
        <f>-578.012985369928 -9.71205955002144 -840.893386349817</f>
        <v>-1428.6184312697665</v>
      </c>
      <c r="I1533">
        <f>-539.982320518367 -23.3873676016556 -934.432835899274</f>
        <v>-1497.8025240192965</v>
      </c>
      <c r="J1533" t="s">
        <v>31194</v>
      </c>
      <c r="K1533" t="s">
        <v>31195</v>
      </c>
      <c r="L1533" t="s">
        <v>31196</v>
      </c>
      <c r="M1533" t="s">
        <v>31197</v>
      </c>
      <c r="N1533">
        <f>-591.324107325991 -29.4076359060096 -770.269001521003</f>
        <v>-1391.0007447530036</v>
      </c>
      <c r="O1533">
        <f>-614.355013019979 -168.147484900778 -727.334997306263</f>
        <v>-1509.8374952270199</v>
      </c>
      <c r="P1533">
        <f>-617.648341941861 -157.990455499357 -410.993138214356</f>
        <v>-1186.6319356555741</v>
      </c>
      <c r="Q1533">
        <f>-381.299294471792 -61.4727718856336 -460.647293192026</f>
        <v>-903.41935954945166</v>
      </c>
      <c r="R1533" t="s">
        <v>31198</v>
      </c>
      <c r="S1533" t="s">
        <v>31199</v>
      </c>
      <c r="T1533" t="s">
        <v>31200</v>
      </c>
      <c r="U1533" t="s">
        <v>31201</v>
      </c>
      <c r="V1533">
        <f>-597.011350010321 -46.0744696856887 -233.348592921059</f>
        <v>-876.43441261706869</v>
      </c>
      <c r="W1533" t="s">
        <v>31202</v>
      </c>
      <c r="X1533" t="s">
        <v>31203</v>
      </c>
      <c r="Y1533" t="s">
        <v>31204</v>
      </c>
    </row>
    <row r="1534" spans="1:25" x14ac:dyDescent="0.3">
      <c r="A1534">
        <v>76650</v>
      </c>
      <c r="B1534" t="s">
        <v>31205</v>
      </c>
      <c r="C1534" t="s">
        <v>31206</v>
      </c>
      <c r="D1534" t="s">
        <v>31207</v>
      </c>
      <c r="E1534" t="s">
        <v>31208</v>
      </c>
      <c r="F1534" t="s">
        <v>31209</v>
      </c>
      <c r="G1534" t="s">
        <v>31210</v>
      </c>
      <c r="H1534">
        <f>-580.965409843268 -10.0216655023249 -840.94504191727</f>
        <v>-1431.9321172628629</v>
      </c>
      <c r="I1534">
        <f>-543.681802058254 -23.9320914689901 -934.750280997477</f>
        <v>-1502.364174524721</v>
      </c>
      <c r="J1534" t="s">
        <v>31211</v>
      </c>
      <c r="K1534" t="s">
        <v>31212</v>
      </c>
      <c r="L1534" t="s">
        <v>31213</v>
      </c>
      <c r="M1534" t="s">
        <v>31214</v>
      </c>
      <c r="N1534">
        <f>-593.711407941333 -29.6026467686643 -770.184610291314</f>
        <v>-1393.4986650013113</v>
      </c>
      <c r="O1534">
        <f>-616.690036879982 -168.246615649336 -726.909367264755</f>
        <v>-1511.8460197940731</v>
      </c>
      <c r="P1534">
        <f>-617.829254854707 -157.903511990402 -410.55837274756</f>
        <v>-1186.291139592669</v>
      </c>
      <c r="Q1534">
        <f>-381.531352376343 -62.3152769167663 -462.213325593733</f>
        <v>-906.05995488684232</v>
      </c>
      <c r="R1534" t="s">
        <v>31215</v>
      </c>
      <c r="S1534" t="s">
        <v>31216</v>
      </c>
      <c r="T1534" t="s">
        <v>31217</v>
      </c>
      <c r="U1534" t="s">
        <v>31218</v>
      </c>
      <c r="V1534">
        <f>-596.5531395469 -46.0801898764358 -233.235196621661</f>
        <v>-875.86852604499677</v>
      </c>
      <c r="W1534" t="s">
        <v>31219</v>
      </c>
      <c r="X1534" t="s">
        <v>31220</v>
      </c>
      <c r="Y1534" t="s">
        <v>31221</v>
      </c>
    </row>
    <row r="1535" spans="1:25" x14ac:dyDescent="0.3">
      <c r="A1535">
        <v>76700</v>
      </c>
      <c r="B1535" t="s">
        <v>31222</v>
      </c>
      <c r="C1535" t="s">
        <v>31223</v>
      </c>
      <c r="D1535" t="s">
        <v>31224</v>
      </c>
      <c r="E1535" t="s">
        <v>31225</v>
      </c>
      <c r="F1535" t="s">
        <v>31226</v>
      </c>
      <c r="G1535" t="s">
        <v>31227</v>
      </c>
      <c r="H1535">
        <f>-582.362926532413 -10.2093491995367 -840.896392512614</f>
        <v>-1433.4686682445638</v>
      </c>
      <c r="I1535">
        <f>-545.451304805909 -24.2460385951959 -934.829847057856</f>
        <v>-1504.5271904589608</v>
      </c>
      <c r="J1535" t="s">
        <v>31228</v>
      </c>
      <c r="K1535" t="s">
        <v>31229</v>
      </c>
      <c r="L1535" t="s">
        <v>31230</v>
      </c>
      <c r="M1535" t="s">
        <v>31231</v>
      </c>
      <c r="N1535">
        <f>-594.824278593602 -29.7021744382703 -770.060944041451</f>
        <v>-1394.5873970733232</v>
      </c>
      <c r="O1535">
        <f>-617.797184517111 -168.318393295589 -726.666229988959</f>
        <v>-1512.7818078016589</v>
      </c>
      <c r="P1535">
        <f>-617.922616348495 -158.173452441245 -410.306846291287</f>
        <v>-1186.402915081027</v>
      </c>
      <c r="Q1535">
        <f>-381.502569060613 -63.3715417130682 -462.844536242596</f>
        <v>-907.71864701627715</v>
      </c>
      <c r="R1535" t="s">
        <v>31232</v>
      </c>
      <c r="S1535" t="s">
        <v>31233</v>
      </c>
      <c r="T1535" t="s">
        <v>31234</v>
      </c>
      <c r="U1535" t="s">
        <v>31235</v>
      </c>
      <c r="V1535">
        <f>-596.233646363585 -45.9879455826769 -233.177258595215</f>
        <v>-875.39885054147692</v>
      </c>
      <c r="W1535" t="s">
        <v>31236</v>
      </c>
      <c r="X1535" t="s">
        <v>31237</v>
      </c>
      <c r="Y1535" t="s">
        <v>31238</v>
      </c>
    </row>
    <row r="1536" spans="1:25" x14ac:dyDescent="0.3">
      <c r="A1536">
        <v>76750</v>
      </c>
      <c r="B1536" t="s">
        <v>31239</v>
      </c>
      <c r="C1536" t="s">
        <v>31240</v>
      </c>
      <c r="D1536" t="s">
        <v>31241</v>
      </c>
      <c r="E1536" t="s">
        <v>31242</v>
      </c>
      <c r="F1536" t="s">
        <v>31243</v>
      </c>
      <c r="G1536" t="s">
        <v>31244</v>
      </c>
      <c r="H1536">
        <f>-585.31619639828 -10.1694313702411 -840.866014947765</f>
        <v>-1436.3516427162863</v>
      </c>
      <c r="I1536">
        <f>-549.103038539531 -24.4311871331783 -935.037023624754</f>
        <v>-1508.5712492974635</v>
      </c>
      <c r="J1536" t="s">
        <v>31245</v>
      </c>
      <c r="K1536" t="s">
        <v>31246</v>
      </c>
      <c r="L1536" t="s">
        <v>31247</v>
      </c>
      <c r="M1536" t="s">
        <v>31248</v>
      </c>
      <c r="N1536">
        <f>-597.226760660429 -29.5808191238514 -769.913491364137</f>
        <v>-1396.7210711484174</v>
      </c>
      <c r="O1536">
        <f>-620.267407693026 -168.136427280338 -726.357832592112</f>
        <v>-1514.761667565476</v>
      </c>
      <c r="P1536">
        <f>-617.786478520328 -158.595032958909 -409.989383075173</f>
        <v>-1186.3708945544099</v>
      </c>
      <c r="Q1536">
        <f>-381.305272359338 -65.1959648380438 -464.718905041273</f>
        <v>-911.22014223865472</v>
      </c>
      <c r="R1536" t="s">
        <v>31249</v>
      </c>
      <c r="S1536" t="s">
        <v>31250</v>
      </c>
      <c r="T1536" t="s">
        <v>31251</v>
      </c>
      <c r="U1536" t="s">
        <v>31252</v>
      </c>
      <c r="V1536">
        <f>-595.578851289875 -46.0147762786237 -233.068872102569</f>
        <v>-874.66249967106774</v>
      </c>
      <c r="W1536" t="s">
        <v>31253</v>
      </c>
      <c r="X1536" t="s">
        <v>31254</v>
      </c>
      <c r="Y1536" t="s">
        <v>31255</v>
      </c>
    </row>
    <row r="1537" spans="1:25" x14ac:dyDescent="0.3">
      <c r="A1537">
        <v>76800</v>
      </c>
      <c r="B1537" t="s">
        <v>31256</v>
      </c>
      <c r="C1537" t="s">
        <v>31257</v>
      </c>
      <c r="D1537" t="s">
        <v>31258</v>
      </c>
      <c r="E1537" t="s">
        <v>31259</v>
      </c>
      <c r="F1537" t="s">
        <v>31260</v>
      </c>
      <c r="G1537" t="s">
        <v>31261</v>
      </c>
      <c r="H1537">
        <f>-586.940310342944 -10.1201259466201 -840.878645122138</f>
        <v>-1437.9390814117021</v>
      </c>
      <c r="I1537">
        <f>-551.073778799012 -24.51032534257 -935.162696441048</f>
        <v>-1510.7468005826299</v>
      </c>
      <c r="J1537" t="s">
        <v>31262</v>
      </c>
      <c r="K1537" t="s">
        <v>31263</v>
      </c>
      <c r="L1537" t="s">
        <v>31264</v>
      </c>
      <c r="M1537" t="s">
        <v>31265</v>
      </c>
      <c r="N1537">
        <f>-598.561127816717 -29.4823246932562 -769.864749032019</f>
        <v>-1397.9082015419922</v>
      </c>
      <c r="O1537">
        <f>-621.486799646261 -168.015041489741 -726.202237390192</f>
        <v>-1515.7040785261938</v>
      </c>
      <c r="P1537">
        <f>-617.845263585201 -158.628839696869 -409.840375016168</f>
        <v>-1186.3144782982381</v>
      </c>
      <c r="Q1537">
        <f>-381.340758619369 -66.2359118027351 -466.153930868177</f>
        <v>-913.73060129028113</v>
      </c>
      <c r="R1537" t="s">
        <v>31266</v>
      </c>
      <c r="S1537" t="s">
        <v>31267</v>
      </c>
      <c r="T1537" t="s">
        <v>31268</v>
      </c>
      <c r="U1537" t="s">
        <v>31269</v>
      </c>
      <c r="V1537">
        <f>-595.382223590522 -45.8453495512143 -233.02856275514</f>
        <v>-874.25613589687634</v>
      </c>
      <c r="W1537" t="s">
        <v>31270</v>
      </c>
      <c r="X1537" t="s">
        <v>31271</v>
      </c>
      <c r="Y1537" t="s">
        <v>31272</v>
      </c>
    </row>
    <row r="1538" spans="1:25" x14ac:dyDescent="0.3">
      <c r="A1538">
        <v>76850</v>
      </c>
      <c r="B1538" t="s">
        <v>31273</v>
      </c>
      <c r="C1538" t="s">
        <v>31274</v>
      </c>
      <c r="D1538" t="s">
        <v>31275</v>
      </c>
      <c r="E1538" t="s">
        <v>31276</v>
      </c>
      <c r="F1538" t="s">
        <v>31277</v>
      </c>
      <c r="G1538" t="s">
        <v>31278</v>
      </c>
      <c r="H1538">
        <f>-588.368851398476 -10.2991347338587 -840.84855022719</f>
        <v>-1439.5165363595247</v>
      </c>
      <c r="I1538">
        <f>-552.795281862733 -24.811560814628 -935.224823244596</f>
        <v>-1512.831665921957</v>
      </c>
      <c r="J1538" t="s">
        <v>31279</v>
      </c>
      <c r="K1538" t="s">
        <v>31280</v>
      </c>
      <c r="L1538" t="s">
        <v>31281</v>
      </c>
      <c r="M1538" t="s">
        <v>31282</v>
      </c>
      <c r="N1538">
        <f>-599.723982521416 -29.594445515913 -769.773239513337</f>
        <v>-1399.091667550666</v>
      </c>
      <c r="O1538">
        <f>-622.535614116481 -168.104917610643 -725.975724878679</f>
        <v>-1516.6162566058031</v>
      </c>
      <c r="P1538">
        <f>-617.700489853729 -158.616322748238 -409.632899756616</f>
        <v>-1185.9497123585829</v>
      </c>
      <c r="Q1538">
        <f>-380.938556538053 -67.7583727287192 -467.344810171087</f>
        <v>-916.04173943785918</v>
      </c>
      <c r="R1538" t="s">
        <v>31283</v>
      </c>
      <c r="S1538" t="s">
        <v>31284</v>
      </c>
      <c r="T1538" t="s">
        <v>31285</v>
      </c>
      <c r="U1538" t="s">
        <v>31286</v>
      </c>
      <c r="V1538">
        <f>-595.253759496019 -45.7707301822998 -232.991804373876</f>
        <v>-874.01629405219478</v>
      </c>
      <c r="W1538" t="s">
        <v>31287</v>
      </c>
      <c r="X1538" t="s">
        <v>31288</v>
      </c>
      <c r="Y1538" t="s">
        <v>31289</v>
      </c>
    </row>
    <row r="1539" spans="1:25" x14ac:dyDescent="0.3">
      <c r="A1539">
        <v>76900</v>
      </c>
      <c r="B1539" t="s">
        <v>31290</v>
      </c>
      <c r="C1539" t="s">
        <v>31291</v>
      </c>
      <c r="D1539" t="s">
        <v>31292</v>
      </c>
      <c r="E1539" t="s">
        <v>31293</v>
      </c>
      <c r="F1539" t="s">
        <v>31294</v>
      </c>
      <c r="G1539" t="s">
        <v>31295</v>
      </c>
      <c r="H1539">
        <f>-590.988330843018 -10.6070021185535 -840.82574444435</f>
        <v>-1442.4210774059216</v>
      </c>
      <c r="I1539">
        <f>-555.951128484497 -25.3346122974357 -935.36911367727</f>
        <v>-1516.6548544592026</v>
      </c>
      <c r="J1539" t="s">
        <v>31296</v>
      </c>
      <c r="K1539" t="s">
        <v>31297</v>
      </c>
      <c r="L1539" t="s">
        <v>31298</v>
      </c>
      <c r="M1539" t="s">
        <v>31299</v>
      </c>
      <c r="N1539">
        <f>-601.813989402185 -29.7665920268344 -769.631373183816</f>
        <v>-1401.2119546128354</v>
      </c>
      <c r="O1539">
        <f>-624.378610587845 -168.218863331831 -725.49202877699</f>
        <v>-1518.0895026966659</v>
      </c>
      <c r="P1539">
        <f>-617.400242849815 -158.570794822819 -409.194020635166</f>
        <v>-1185.1650583077999</v>
      </c>
      <c r="Q1539">
        <f>-380.012126747003 -70.3999196574722 -468.480136909778</f>
        <v>-918.8921833142532</v>
      </c>
      <c r="R1539" t="s">
        <v>31300</v>
      </c>
      <c r="S1539" t="s">
        <v>31301</v>
      </c>
      <c r="T1539" t="s">
        <v>31302</v>
      </c>
      <c r="U1539" t="s">
        <v>31303</v>
      </c>
      <c r="V1539">
        <f>-594.727004773247 -45.4642335598337 -232.94847712158</f>
        <v>-873.13971545466075</v>
      </c>
      <c r="W1539" t="s">
        <v>31304</v>
      </c>
      <c r="X1539" t="s">
        <v>31305</v>
      </c>
      <c r="Y1539" t="s">
        <v>31306</v>
      </c>
    </row>
    <row r="1540" spans="1:25" x14ac:dyDescent="0.3">
      <c r="A1540">
        <v>76950</v>
      </c>
      <c r="B1540" t="s">
        <v>31307</v>
      </c>
      <c r="C1540" t="s">
        <v>31308</v>
      </c>
      <c r="D1540" t="s">
        <v>31309</v>
      </c>
      <c r="E1540" t="s">
        <v>31310</v>
      </c>
      <c r="F1540" t="s">
        <v>31311</v>
      </c>
      <c r="G1540" t="s">
        <v>31312</v>
      </c>
      <c r="H1540">
        <f>-592.88155217098 -11.2118078993608 -840.663575484895</f>
        <v>-1444.7569355552357</v>
      </c>
      <c r="I1540">
        <f>-558.176788007605 -26.1434030273673 -935.297623838289</f>
        <v>-1519.6178148732613</v>
      </c>
      <c r="J1540" t="s">
        <v>31313</v>
      </c>
      <c r="K1540" t="s">
        <v>31314</v>
      </c>
      <c r="L1540" t="s">
        <v>31315</v>
      </c>
      <c r="M1540" t="s">
        <v>31316</v>
      </c>
      <c r="N1540">
        <f>-603.345005333905 -30.214105203055 -769.372927228382</f>
        <v>-1402.9320377653419</v>
      </c>
      <c r="O1540">
        <f>-625.488944637091 -168.58398250529 -724.803599591456</f>
        <v>-1518.876526733837</v>
      </c>
      <c r="P1540">
        <f>-616.642653571749 -157.395011482205 -408.603102178904</f>
        <v>-1182.640767232858</v>
      </c>
      <c r="Q1540">
        <f>-377.502106522676 -74.5120283586901 -468.471733932915</f>
        <v>-920.48586881428105</v>
      </c>
      <c r="R1540" t="s">
        <v>31317</v>
      </c>
      <c r="S1540" t="s">
        <v>31318</v>
      </c>
      <c r="T1540" t="s">
        <v>31319</v>
      </c>
      <c r="U1540" t="s">
        <v>31320</v>
      </c>
      <c r="V1540">
        <f>-594.4386007991 -45.2249522675839 -232.893408802095</f>
        <v>-872.5569618687789</v>
      </c>
      <c r="W1540" t="s">
        <v>31321</v>
      </c>
      <c r="X1540" t="s">
        <v>31322</v>
      </c>
      <c r="Y1540" t="s">
        <v>31323</v>
      </c>
    </row>
    <row r="1541" spans="1:25" x14ac:dyDescent="0.3">
      <c r="A1541">
        <v>77000</v>
      </c>
      <c r="B1541" t="s">
        <v>31324</v>
      </c>
      <c r="C1541" t="s">
        <v>31325</v>
      </c>
      <c r="D1541" t="s">
        <v>31326</v>
      </c>
      <c r="E1541" t="s">
        <v>31327</v>
      </c>
      <c r="F1541" t="s">
        <v>31328</v>
      </c>
      <c r="G1541" t="s">
        <v>31329</v>
      </c>
      <c r="H1541">
        <f>-593.551699576948 -11.8460614054777 -840.547945578518</f>
        <v>-1445.9457065609436</v>
      </c>
      <c r="I1541">
        <f>-558.902670117314 -26.9689852543679 -935.171954594618</f>
        <v>-1521.0436099662998</v>
      </c>
      <c r="J1541" t="s">
        <v>31330</v>
      </c>
      <c r="K1541" t="s">
        <v>31331</v>
      </c>
      <c r="L1541" t="s">
        <v>31332</v>
      </c>
      <c r="M1541" t="s">
        <v>31333</v>
      </c>
      <c r="N1541">
        <f>-603.904862258154 -30.707680686512 -769.203861369669</f>
        <v>-1403.8164043143352</v>
      </c>
      <c r="O1541">
        <f>-625.901178649806 -168.993279149644 -724.2701965712</f>
        <v>-1519.1646543706499</v>
      </c>
      <c r="P1541">
        <f>-616.098422104675 -156.823867990797 -408.134141646888</f>
        <v>-1181.05643174236</v>
      </c>
      <c r="Q1541">
        <f>-376.473517571079 -75.7738614246514 -468.572905642269</f>
        <v>-920.82028463799941</v>
      </c>
      <c r="R1541" t="s">
        <v>31334</v>
      </c>
      <c r="S1541" t="s">
        <v>31335</v>
      </c>
      <c r="T1541" t="s">
        <v>31336</v>
      </c>
      <c r="U1541" t="s">
        <v>31337</v>
      </c>
      <c r="V1541">
        <f>-594.350888282884 -45.0617194843398 -232.884819378798</f>
        <v>-872.29742714602185</v>
      </c>
      <c r="W1541" t="s">
        <v>31338</v>
      </c>
      <c r="X1541" t="s">
        <v>31339</v>
      </c>
      <c r="Y1541" t="s">
        <v>31340</v>
      </c>
    </row>
    <row r="1542" spans="1:25" x14ac:dyDescent="0.3">
      <c r="A1542">
        <v>77050</v>
      </c>
      <c r="B1542" t="s">
        <v>31341</v>
      </c>
      <c r="C1542" t="s">
        <v>31342</v>
      </c>
      <c r="D1542" t="s">
        <v>31343</v>
      </c>
      <c r="E1542" t="s">
        <v>31344</v>
      </c>
      <c r="F1542" t="s">
        <v>31345</v>
      </c>
      <c r="G1542" t="s">
        <v>31346</v>
      </c>
      <c r="H1542">
        <f>-593.820407135355 -13.8175009725975 -840.27306879975</f>
        <v>-1447.9109769077027</v>
      </c>
      <c r="I1542">
        <f>-559.13894591528 -29.5268793799818 -934.78969273887</f>
        <v>-1523.4555180341317</v>
      </c>
      <c r="J1542" t="s">
        <v>31347</v>
      </c>
      <c r="K1542" t="s">
        <v>31348</v>
      </c>
      <c r="L1542" t="s">
        <v>31349</v>
      </c>
      <c r="M1542" t="s">
        <v>31350</v>
      </c>
      <c r="N1542">
        <f>-604.140353040255 -32.2564342784383 -768.813884283857</f>
        <v>-1405.2106716025503</v>
      </c>
      <c r="O1542">
        <f>-626.016785726834 -170.326411432682 -723.218653386103</f>
        <v>-1519.5618505456191</v>
      </c>
      <c r="P1542">
        <f>-616.404664736394 -157.819836137703 -407.089910617873</f>
        <v>-1181.3144114919701</v>
      </c>
      <c r="Q1542">
        <f>-377.238866759075 -75.8255847443881 -468.071203411235</f>
        <v>-921.13565491469808</v>
      </c>
      <c r="R1542" t="s">
        <v>31351</v>
      </c>
      <c r="S1542" t="s">
        <v>31352</v>
      </c>
      <c r="T1542" t="s">
        <v>31353</v>
      </c>
      <c r="U1542" t="s">
        <v>31354</v>
      </c>
      <c r="V1542">
        <f>-594.433404989026 -44.8450588203656 -232.930294063874</f>
        <v>-872.20875787326554</v>
      </c>
      <c r="W1542" t="s">
        <v>31355</v>
      </c>
      <c r="X1542" t="s">
        <v>31356</v>
      </c>
      <c r="Y1542" t="s">
        <v>31357</v>
      </c>
    </row>
    <row r="1543" spans="1:25" x14ac:dyDescent="0.3">
      <c r="A1543">
        <v>77100</v>
      </c>
      <c r="B1543" t="s">
        <v>31358</v>
      </c>
      <c r="C1543" t="s">
        <v>31359</v>
      </c>
      <c r="D1543" t="s">
        <v>31360</v>
      </c>
      <c r="E1543" t="s">
        <v>31361</v>
      </c>
      <c r="F1543" t="s">
        <v>31362</v>
      </c>
      <c r="G1543" t="s">
        <v>31363</v>
      </c>
      <c r="H1543">
        <f>-593.638264809628 -14.7929015995358 -840.206138253569</f>
        <v>-1448.6373046627327</v>
      </c>
      <c r="I1543">
        <f>-558.916705893388 -30.7727464723353 -934.662823463281</f>
        <v>-1524.3522758290042</v>
      </c>
      <c r="J1543" t="s">
        <v>31364</v>
      </c>
      <c r="K1543" t="s">
        <v>31365</v>
      </c>
      <c r="L1543" t="s">
        <v>31366</v>
      </c>
      <c r="M1543" t="s">
        <v>31367</v>
      </c>
      <c r="N1543">
        <f>-603.927172918479 -33.0636423855578 -768.699239783826</f>
        <v>-1405.6900550878627</v>
      </c>
      <c r="O1543">
        <f>-625.69180307111 -171.061308661365 -722.769406284126</f>
        <v>-1519.522518016601</v>
      </c>
      <c r="P1543">
        <f>-616.104249318757 -158.187063675585 -406.654645399592</f>
        <v>-1180.945958393934</v>
      </c>
      <c r="Q1543">
        <f>-377.424550743572 -75.138977682293 -468.112388578908</f>
        <v>-920.67591700477305</v>
      </c>
      <c r="R1543" t="s">
        <v>31368</v>
      </c>
      <c r="S1543" t="s">
        <v>31369</v>
      </c>
      <c r="T1543" t="s">
        <v>31370</v>
      </c>
      <c r="U1543" t="s">
        <v>31371</v>
      </c>
      <c r="V1543">
        <f>-594.404556555667 -44.8680130272731 -232.969900798245</f>
        <v>-872.24247038118517</v>
      </c>
      <c r="W1543" t="s">
        <v>31372</v>
      </c>
      <c r="X1543" t="s">
        <v>31373</v>
      </c>
      <c r="Y1543" t="s">
        <v>31374</v>
      </c>
    </row>
    <row r="1544" spans="1:25" x14ac:dyDescent="0.3">
      <c r="A1544">
        <v>77150</v>
      </c>
      <c r="B1544" t="s">
        <v>31375</v>
      </c>
      <c r="C1544" t="s">
        <v>31376</v>
      </c>
      <c r="D1544" t="s">
        <v>31377</v>
      </c>
      <c r="E1544" t="s">
        <v>31378</v>
      </c>
      <c r="F1544" t="s">
        <v>31379</v>
      </c>
      <c r="G1544" t="s">
        <v>31380</v>
      </c>
      <c r="H1544">
        <f>-592.944272462841 -16.688367599106 -840.116182835238</f>
        <v>-1449.7488228971849</v>
      </c>
      <c r="I1544">
        <f>-558.036200252288 -33.1543877213266 -934.42053273714</f>
        <v>-1525.6111207107547</v>
      </c>
      <c r="J1544" t="s">
        <v>31381</v>
      </c>
      <c r="K1544" t="s">
        <v>31382</v>
      </c>
      <c r="L1544" t="s">
        <v>31383</v>
      </c>
      <c r="M1544" t="s">
        <v>31384</v>
      </c>
      <c r="N1544">
        <f>-603.26078339338 -34.6357655214337 -768.531541823968</f>
        <v>-1406.4280907387817</v>
      </c>
      <c r="O1544">
        <f>-624.838715543355 -172.396020019163 -721.890837480692</f>
        <v>-1519.1255730432099</v>
      </c>
      <c r="P1544">
        <f>-614.548220838404 -157.759061109787 -405.874949207452</f>
        <v>-1178.182231155643</v>
      </c>
      <c r="Q1544">
        <f>-376.798399367145 -72.4118707387246 -467.785793159621</f>
        <v>-916.99606326549065</v>
      </c>
      <c r="R1544" t="s">
        <v>31385</v>
      </c>
      <c r="S1544" t="s">
        <v>31386</v>
      </c>
      <c r="T1544" t="s">
        <v>31387</v>
      </c>
      <c r="U1544" t="s">
        <v>31388</v>
      </c>
      <c r="V1544">
        <f>-594.463114608802 -44.8199011751344 -233.043681839296</f>
        <v>-872.32669762323246</v>
      </c>
      <c r="W1544" t="s">
        <v>31389</v>
      </c>
      <c r="X1544" t="s">
        <v>31390</v>
      </c>
      <c r="Y1544" t="s">
        <v>31391</v>
      </c>
    </row>
    <row r="1545" spans="1:25" x14ac:dyDescent="0.3">
      <c r="A1545">
        <v>77200</v>
      </c>
      <c r="B1545" t="s">
        <v>31392</v>
      </c>
      <c r="C1545" t="s">
        <v>31393</v>
      </c>
      <c r="D1545" t="s">
        <v>31394</v>
      </c>
      <c r="E1545" t="s">
        <v>31395</v>
      </c>
      <c r="F1545" t="s">
        <v>31396</v>
      </c>
      <c r="G1545" t="s">
        <v>31397</v>
      </c>
      <c r="H1545">
        <f>-592.662733826222 -17.7721583135002 -839.976281981357</f>
        <v>-1450.4111741210793</v>
      </c>
      <c r="I1545">
        <f>-557.713055688859 -34.4942244813767 -934.219998258996</f>
        <v>-1526.4272784292316</v>
      </c>
      <c r="J1545" t="s">
        <v>31398</v>
      </c>
      <c r="K1545" t="s">
        <v>31399</v>
      </c>
      <c r="L1545" t="s">
        <v>31400</v>
      </c>
      <c r="M1545" t="s">
        <v>31401</v>
      </c>
      <c r="N1545">
        <f>-603.044400748043 -35.4976539622967 -768.345664556402</f>
        <v>-1406.8877192667417</v>
      </c>
      <c r="O1545">
        <f>-624.489707433249 -173.176929432185 -721.346616230533</f>
        <v>-1519.013253095967</v>
      </c>
      <c r="P1545">
        <f>-614.212514979298 -157.791023952099 -405.365896306258</f>
        <v>-1177.3694352376551</v>
      </c>
      <c r="Q1545">
        <f>-376.79589206348 -71.3196345583165 -466.994541806641</f>
        <v>-915.11006842843744</v>
      </c>
      <c r="R1545" t="s">
        <v>31402</v>
      </c>
      <c r="S1545" t="s">
        <v>31403</v>
      </c>
      <c r="T1545" t="s">
        <v>31404</v>
      </c>
      <c r="U1545" t="s">
        <v>31405</v>
      </c>
      <c r="V1545">
        <f>-594.529932518783 -44.6319727991756 -233.081367338249</f>
        <v>-872.24327265620764</v>
      </c>
      <c r="W1545" t="s">
        <v>31406</v>
      </c>
      <c r="X1545" t="s">
        <v>31407</v>
      </c>
      <c r="Y1545" t="s">
        <v>31408</v>
      </c>
    </row>
    <row r="1546" spans="1:25" x14ac:dyDescent="0.3">
      <c r="A1546">
        <v>77250</v>
      </c>
      <c r="B1546" t="s">
        <v>31409</v>
      </c>
      <c r="C1546" t="s">
        <v>31410</v>
      </c>
      <c r="D1546" t="s">
        <v>31411</v>
      </c>
      <c r="E1546" t="s">
        <v>31412</v>
      </c>
      <c r="F1546" t="s">
        <v>31413</v>
      </c>
      <c r="G1546" t="s">
        <v>31414</v>
      </c>
      <c r="H1546">
        <f>-592.168315711683 -19.7374579232166 -839.725288247045</f>
        <v>-1451.6310618819448</v>
      </c>
      <c r="I1546">
        <f>-557.008155531218 -36.9806488040928 -933.796615840787</f>
        <v>-1527.7854201760979</v>
      </c>
      <c r="J1546" t="s">
        <v>31415</v>
      </c>
      <c r="K1546" t="s">
        <v>31416</v>
      </c>
      <c r="L1546" t="s">
        <v>31417</v>
      </c>
      <c r="M1546" t="s">
        <v>31418</v>
      </c>
      <c r="N1546">
        <f>-602.578956799558 -37.115792277768 -768.013796388057</f>
        <v>-1407.7085454653829</v>
      </c>
      <c r="O1546">
        <f>-623.794215139313 -174.615537774228 -720.39121631197</f>
        <v>-1518.8009692255109</v>
      </c>
      <c r="P1546">
        <f>-613.301757331637 -157.508128529678 -404.505984113072</f>
        <v>-1175.3158699743869</v>
      </c>
      <c r="Q1546">
        <f>-375.896420925497 -70.5287737513691 -465.459733314923</f>
        <v>-911.88492799178914</v>
      </c>
      <c r="R1546" t="s">
        <v>31419</v>
      </c>
      <c r="S1546" t="s">
        <v>31420</v>
      </c>
      <c r="T1546" t="s">
        <v>31421</v>
      </c>
      <c r="U1546" t="s">
        <v>31422</v>
      </c>
      <c r="V1546">
        <f>-594.60290733933 -44.6372151292785 -233.135137135743</f>
        <v>-872.37525960435153</v>
      </c>
      <c r="W1546" t="s">
        <v>31423</v>
      </c>
      <c r="X1546" t="s">
        <v>31424</v>
      </c>
      <c r="Y1546" t="s">
        <v>31425</v>
      </c>
    </row>
    <row r="1547" spans="1:25" x14ac:dyDescent="0.3">
      <c r="A1547">
        <v>77300</v>
      </c>
      <c r="B1547" t="s">
        <v>31426</v>
      </c>
      <c r="C1547" t="s">
        <v>31427</v>
      </c>
      <c r="D1547" t="s">
        <v>31428</v>
      </c>
      <c r="E1547" t="s">
        <v>31429</v>
      </c>
      <c r="F1547" t="s">
        <v>31430</v>
      </c>
      <c r="G1547" t="s">
        <v>31431</v>
      </c>
      <c r="H1547">
        <f>-591.908365709248 -20.4581566386311 -839.652510409246</f>
        <v>-1452.0190327571249</v>
      </c>
      <c r="I1547">
        <f>-556.583009807982 -37.927353198268 -933.620116887441</f>
        <v>-1528.1304798936908</v>
      </c>
      <c r="J1547" t="s">
        <v>31432</v>
      </c>
      <c r="K1547" t="s">
        <v>31433</v>
      </c>
      <c r="L1547" t="s">
        <v>31434</v>
      </c>
      <c r="M1547" t="s">
        <v>31435</v>
      </c>
      <c r="N1547">
        <f>-602.364469846616 -37.7030861427591 -767.915318085728</f>
        <v>-1407.9828740751032</v>
      </c>
      <c r="O1547">
        <f>-623.594989019685 -175.120684436149 -720.048992566762</f>
        <v>-1518.764666022596</v>
      </c>
      <c r="P1547">
        <f>-613.102382711415 -157.641270273958 -404.18420986533</f>
        <v>-1174.9278628507031</v>
      </c>
      <c r="Q1547">
        <f>-375.492097750346 -70.8459945012637 -464.599364168928</f>
        <v>-910.93745642053773</v>
      </c>
      <c r="R1547" t="s">
        <v>31436</v>
      </c>
      <c r="S1547" t="s">
        <v>31437</v>
      </c>
      <c r="T1547" t="s">
        <v>31438</v>
      </c>
      <c r="U1547" t="s">
        <v>31439</v>
      </c>
      <c r="V1547">
        <f>-594.670783750791 -44.6342504985425 -233.179755303909</f>
        <v>-872.48478955324254</v>
      </c>
      <c r="W1547" t="s">
        <v>31440</v>
      </c>
      <c r="X1547" t="s">
        <v>31441</v>
      </c>
      <c r="Y1547" t="s">
        <v>31442</v>
      </c>
    </row>
    <row r="1548" spans="1:25" x14ac:dyDescent="0.3">
      <c r="A1548">
        <v>77350</v>
      </c>
      <c r="B1548" t="s">
        <v>31443</v>
      </c>
      <c r="C1548" t="s">
        <v>31444</v>
      </c>
      <c r="D1548" t="s">
        <v>31445</v>
      </c>
      <c r="E1548" t="s">
        <v>31446</v>
      </c>
      <c r="F1548" t="s">
        <v>31447</v>
      </c>
      <c r="G1548" t="s">
        <v>31448</v>
      </c>
      <c r="H1548">
        <f>-590.516082370028 -21.530296546255 -839.62196031646</f>
        <v>-1451.6683392327432</v>
      </c>
      <c r="I1548">
        <f>-554.94540173643 -39.285020160704 -933.443573863526</f>
        <v>-1527.6739957606601</v>
      </c>
      <c r="J1548" t="s">
        <v>31449</v>
      </c>
      <c r="K1548" t="s">
        <v>31450</v>
      </c>
      <c r="L1548" t="s">
        <v>31451</v>
      </c>
      <c r="M1548" t="s">
        <v>31452</v>
      </c>
      <c r="N1548">
        <f>-601.106719509624 -38.5884321760174 -767.860068714019</f>
        <v>-1407.5552203996604</v>
      </c>
      <c r="O1548">
        <f>-622.363342214982 -175.860666946936 -719.607599269463</f>
        <v>-1517.831608431381</v>
      </c>
      <c r="P1548">
        <f>-612.21589199975 -157.378440859847 -403.788592266439</f>
        <v>-1173.3829251260361</v>
      </c>
      <c r="Q1548">
        <f>-374.49204063881 -71.4934514536362 -465.052001542349</f>
        <v>-911.03749363479517</v>
      </c>
      <c r="R1548" t="s">
        <v>31453</v>
      </c>
      <c r="S1548" t="s">
        <v>31454</v>
      </c>
      <c r="T1548" t="s">
        <v>31455</v>
      </c>
      <c r="U1548" t="s">
        <v>31456</v>
      </c>
      <c r="V1548">
        <f>-594.441042981836 -44.3958525918197 -233.236427330803</f>
        <v>-872.07332290445856</v>
      </c>
      <c r="W1548" t="s">
        <v>31457</v>
      </c>
      <c r="X1548" t="s">
        <v>31458</v>
      </c>
      <c r="Y1548" t="s">
        <v>31459</v>
      </c>
    </row>
    <row r="1549" spans="1:25" x14ac:dyDescent="0.3">
      <c r="A1549">
        <v>77400</v>
      </c>
      <c r="B1549" t="s">
        <v>31460</v>
      </c>
      <c r="C1549" t="s">
        <v>31461</v>
      </c>
      <c r="D1549" t="s">
        <v>31462</v>
      </c>
      <c r="E1549" t="s">
        <v>31463</v>
      </c>
      <c r="F1549" t="s">
        <v>31464</v>
      </c>
      <c r="G1549" t="s">
        <v>31465</v>
      </c>
      <c r="H1549">
        <f>-589.933849529552 -21.9988238994205 -839.627079572709</f>
        <v>-1451.5597530016817</v>
      </c>
      <c r="I1549">
        <f>-554.322643360133 -39.8848894116022 -933.40829359074</f>
        <v>-1527.6158263624752</v>
      </c>
      <c r="J1549" t="s">
        <v>31466</v>
      </c>
      <c r="K1549" t="s">
        <v>31467</v>
      </c>
      <c r="L1549" t="s">
        <v>31468</v>
      </c>
      <c r="M1549" t="s">
        <v>31469</v>
      </c>
      <c r="N1549">
        <f>-600.591936260741 -38.9570934563372 -767.8513404134</f>
        <v>-1407.4003701304782</v>
      </c>
      <c r="O1549">
        <f>-621.95477005161 -176.144616502658 -719.434482386651</f>
        <v>-1517.5338689409191</v>
      </c>
      <c r="P1549">
        <f>-611.854697759828 -157.453374452863 -403.626253291846</f>
        <v>-1172.9343255045371</v>
      </c>
      <c r="Q1549">
        <f>-374.065525138558 -72.0704633658608 -465.336157024891</f>
        <v>-911.47214552930973</v>
      </c>
      <c r="R1549" t="s">
        <v>31470</v>
      </c>
      <c r="S1549" t="s">
        <v>31471</v>
      </c>
      <c r="T1549" t="s">
        <v>31472</v>
      </c>
      <c r="U1549" t="s">
        <v>31473</v>
      </c>
      <c r="V1549">
        <f>-594.269628413122 -44.184506795573 -233.26272686151</f>
        <v>-871.71686207020502</v>
      </c>
      <c r="W1549" t="s">
        <v>31474</v>
      </c>
      <c r="X1549" t="s">
        <v>31475</v>
      </c>
      <c r="Y1549" t="s">
        <v>31476</v>
      </c>
    </row>
    <row r="1550" spans="1:25" x14ac:dyDescent="0.3">
      <c r="A1550">
        <v>77450</v>
      </c>
      <c r="B1550" t="s">
        <v>31477</v>
      </c>
      <c r="C1550" t="s">
        <v>31478</v>
      </c>
      <c r="D1550" t="s">
        <v>31479</v>
      </c>
      <c r="E1550" t="s">
        <v>31480</v>
      </c>
      <c r="F1550" t="s">
        <v>31481</v>
      </c>
      <c r="G1550" t="s">
        <v>31482</v>
      </c>
      <c r="H1550">
        <f>-589.013535166286 -23.0024454221809 -839.531982667404</f>
        <v>-1451.5479632558709</v>
      </c>
      <c r="I1550">
        <f>-553.418700050161 -41.1066828942481 -933.277486378636</f>
        <v>-1527.8028693230451</v>
      </c>
      <c r="J1550" t="s">
        <v>31483</v>
      </c>
      <c r="K1550" t="s">
        <v>31484</v>
      </c>
      <c r="L1550" t="s">
        <v>31485</v>
      </c>
      <c r="M1550" t="s">
        <v>31486</v>
      </c>
      <c r="N1550">
        <f>-599.751113531387 -39.7491518993778 -767.718555174757</f>
        <v>-1407.2188206055216</v>
      </c>
      <c r="O1550">
        <f>-621.285327331014 -176.785942168855 -718.927224615233</f>
        <v>-1516.9984941151019</v>
      </c>
      <c r="P1550">
        <f>-611.022557791587 -157.513275212566 -403.159156502506</f>
        <v>-1171.6949895066591</v>
      </c>
      <c r="Q1550">
        <f>-373.109813913896 -72.9022063187824 -465.453345610798</f>
        <v>-911.46536584347643</v>
      </c>
      <c r="R1550" t="s">
        <v>31487</v>
      </c>
      <c r="S1550" t="s">
        <v>31488</v>
      </c>
      <c r="T1550" t="s">
        <v>31489</v>
      </c>
      <c r="U1550" t="s">
        <v>31490</v>
      </c>
      <c r="V1550">
        <f>-593.807857315138 -43.7696827006229 -233.279825472505</f>
        <v>-870.85736548826583</v>
      </c>
      <c r="W1550" t="s">
        <v>31491</v>
      </c>
      <c r="X1550" t="s">
        <v>31492</v>
      </c>
      <c r="Y1550" t="s">
        <v>31493</v>
      </c>
    </row>
    <row r="1551" spans="1:25" x14ac:dyDescent="0.3">
      <c r="A1551">
        <v>77500</v>
      </c>
      <c r="B1551" t="s">
        <v>31494</v>
      </c>
      <c r="C1551" t="s">
        <v>31495</v>
      </c>
      <c r="D1551" t="s">
        <v>31496</v>
      </c>
      <c r="E1551" t="s">
        <v>31497</v>
      </c>
      <c r="F1551" t="s">
        <v>31498</v>
      </c>
      <c r="G1551" t="s">
        <v>31499</v>
      </c>
      <c r="H1551">
        <f>-589.04438037682 -23.669762287262 -839.458655211687</f>
        <v>-1452.172797875769</v>
      </c>
      <c r="I1551">
        <f>-553.444469658243 -41.9240328848172 -933.173182876711</f>
        <v>-1528.5416854197711</v>
      </c>
      <c r="J1551" t="s">
        <v>31500</v>
      </c>
      <c r="K1551" t="s">
        <v>31501</v>
      </c>
      <c r="L1551" t="s">
        <v>31502</v>
      </c>
      <c r="M1551" t="s">
        <v>31503</v>
      </c>
      <c r="N1551">
        <f>-599.739605648242 -40.2855416854357 -767.608484447055</f>
        <v>-1407.6336317807327</v>
      </c>
      <c r="O1551">
        <f>-621.275712445513 -177.253089808299 -718.633673639261</f>
        <v>-1517.162475893073</v>
      </c>
      <c r="P1551">
        <f>-610.806566019596 -157.42736951818 -402.906600170772</f>
        <v>-1171.140535708548</v>
      </c>
      <c r="Q1551">
        <f>-372.782579051403 -73.2950492009847 -465.423789288684</f>
        <v>-911.50141754107176</v>
      </c>
      <c r="R1551" t="s">
        <v>31504</v>
      </c>
      <c r="S1551" t="s">
        <v>31505</v>
      </c>
      <c r="T1551" t="s">
        <v>31506</v>
      </c>
      <c r="U1551" t="s">
        <v>31507</v>
      </c>
      <c r="V1551">
        <f>-593.590655959474 -43.6695721674595 -233.27660228941</f>
        <v>-870.53683041634349</v>
      </c>
      <c r="W1551" t="s">
        <v>31508</v>
      </c>
      <c r="X1551" t="s">
        <v>31509</v>
      </c>
      <c r="Y1551" t="s">
        <v>31510</v>
      </c>
    </row>
    <row r="1552" spans="1:25" x14ac:dyDescent="0.3">
      <c r="A1552">
        <v>77550</v>
      </c>
      <c r="B1552" t="s">
        <v>31511</v>
      </c>
      <c r="C1552" t="s">
        <v>31512</v>
      </c>
      <c r="D1552" t="s">
        <v>31513</v>
      </c>
      <c r="E1552" t="s">
        <v>31514</v>
      </c>
      <c r="F1552" t="s">
        <v>31515</v>
      </c>
      <c r="G1552" t="s">
        <v>31516</v>
      </c>
      <c r="H1552">
        <f>-587.946615152465 -24.7611168371489 -839.325953347333</f>
        <v>-1452.0336853369467</v>
      </c>
      <c r="I1552">
        <f>-552.215469814134 -43.1979196870825 -932.954839486694</f>
        <v>-1528.3682289879107</v>
      </c>
      <c r="J1552" t="s">
        <v>31517</v>
      </c>
      <c r="K1552" t="s">
        <v>31518</v>
      </c>
      <c r="L1552" t="s">
        <v>31519</v>
      </c>
      <c r="M1552" t="s">
        <v>31520</v>
      </c>
      <c r="N1552">
        <f>-598.662223027621 -41.1939443224763 -767.436773218178</f>
        <v>-1407.2929405682753</v>
      </c>
      <c r="O1552">
        <f>-620.234306742065 -178.024239137784 -718.03703279327</f>
        <v>-1516.2955786731191</v>
      </c>
      <c r="P1552">
        <f>-609.296529786069 -157.813320108784 -402.35039972703</f>
        <v>-1169.4602496218829</v>
      </c>
      <c r="Q1552">
        <f>-371.188708613071 -74.0141027041201 -464.995441724978</f>
        <v>-910.19825304216909</v>
      </c>
      <c r="R1552" t="s">
        <v>31521</v>
      </c>
      <c r="S1552" t="s">
        <v>31522</v>
      </c>
      <c r="T1552" t="s">
        <v>31523</v>
      </c>
      <c r="U1552" t="s">
        <v>31524</v>
      </c>
      <c r="V1552">
        <f>-592.998800776406 -43.4621665361142 -233.256406289627</f>
        <v>-869.71737360214718</v>
      </c>
      <c r="W1552" t="s">
        <v>31525</v>
      </c>
      <c r="X1552" t="s">
        <v>31526</v>
      </c>
      <c r="Y1552" t="s">
        <v>31527</v>
      </c>
    </row>
    <row r="1553" spans="1:25" x14ac:dyDescent="0.3">
      <c r="A1553">
        <v>77600</v>
      </c>
      <c r="B1553" t="s">
        <v>31528</v>
      </c>
      <c r="C1553" t="s">
        <v>31529</v>
      </c>
      <c r="D1553" t="s">
        <v>31530</v>
      </c>
      <c r="E1553" t="s">
        <v>31531</v>
      </c>
      <c r="F1553" t="s">
        <v>31532</v>
      </c>
      <c r="G1553" t="s">
        <v>31533</v>
      </c>
      <c r="H1553">
        <f>-587.308794569825 -25.3930772457841 -839.206966237858</f>
        <v>-1451.908838053467</v>
      </c>
      <c r="I1553">
        <f>-551.508488732189 -43.9062186117616 -932.794252925056</f>
        <v>-1528.2089602690066</v>
      </c>
      <c r="J1553" t="s">
        <v>31534</v>
      </c>
      <c r="K1553" t="s">
        <v>31535</v>
      </c>
      <c r="L1553" t="s">
        <v>31536</v>
      </c>
      <c r="M1553" t="s">
        <v>31537</v>
      </c>
      <c r="N1553">
        <f>-598.067695259325 -41.7293060510621 -767.302259262055</f>
        <v>-1407.0992605724421</v>
      </c>
      <c r="O1553">
        <f>-619.582609884556 -178.49130042217 -717.74661523776</f>
        <v>-1515.8205255444859</v>
      </c>
      <c r="P1553">
        <f>-608.839426606227 -157.733474964335 -402.0887707495</f>
        <v>-1168.6616723200618</v>
      </c>
      <c r="Q1553">
        <f>-370.791591175063 -73.8763424306033 -464.884268626629</f>
        <v>-909.55220223229526</v>
      </c>
      <c r="R1553" t="s">
        <v>31538</v>
      </c>
      <c r="S1553" t="s">
        <v>31539</v>
      </c>
      <c r="T1553" t="s">
        <v>31540</v>
      </c>
      <c r="U1553" t="s">
        <v>31541</v>
      </c>
      <c r="V1553">
        <f>-592.693800838447 -43.530854837442 -233.215842450464</f>
        <v>-869.44049812635308</v>
      </c>
      <c r="W1553" t="s">
        <v>31542</v>
      </c>
      <c r="X1553" t="s">
        <v>31543</v>
      </c>
      <c r="Y1553" t="s">
        <v>31544</v>
      </c>
    </row>
    <row r="1554" spans="1:25" x14ac:dyDescent="0.3">
      <c r="A1554">
        <v>77650</v>
      </c>
      <c r="B1554" t="s">
        <v>31545</v>
      </c>
      <c r="C1554" t="s">
        <v>31546</v>
      </c>
      <c r="D1554" t="s">
        <v>31547</v>
      </c>
      <c r="E1554" t="s">
        <v>31548</v>
      </c>
      <c r="F1554" t="s">
        <v>31549</v>
      </c>
      <c r="G1554" t="s">
        <v>31550</v>
      </c>
      <c r="H1554">
        <f>-585.781932391883 -26.3812603081937 -839.059032177564</f>
        <v>-1451.2222248776407</v>
      </c>
      <c r="I1554">
        <f>-549.866210504548 -44.988905153597 -932.583288734939</f>
        <v>-1527.4384043930841</v>
      </c>
      <c r="J1554" t="s">
        <v>31551</v>
      </c>
      <c r="K1554" t="s">
        <v>31552</v>
      </c>
      <c r="L1554" t="s">
        <v>31553</v>
      </c>
      <c r="M1554" t="s">
        <v>31554</v>
      </c>
      <c r="N1554">
        <f>-596.649232723451 -42.5951594755272 -767.142894025109</f>
        <v>-1406.3872862240871</v>
      </c>
      <c r="O1554">
        <f>-618.021755049829 -179.27483657324 -717.258359080964</f>
        <v>-1514.5549507040332</v>
      </c>
      <c r="P1554">
        <f>-607.361024251536 -157.525663346609 -401.664353528022</f>
        <v>-1166.5510411261671</v>
      </c>
      <c r="Q1554">
        <f>-369.202767160361 -73.8048826106991 -464.222738809304</f>
        <v>-907.23038858036421</v>
      </c>
      <c r="R1554" t="s">
        <v>31555</v>
      </c>
      <c r="S1554" t="s">
        <v>31556</v>
      </c>
      <c r="T1554" t="s">
        <v>31557</v>
      </c>
      <c r="U1554" t="s">
        <v>31558</v>
      </c>
      <c r="V1554">
        <f>-592.097723225338 -43.5175440148631 -233.159105337322</f>
        <v>-868.77437257752308</v>
      </c>
      <c r="W1554" t="s">
        <v>31559</v>
      </c>
      <c r="X1554" t="s">
        <v>31560</v>
      </c>
      <c r="Y1554" t="s">
        <v>31561</v>
      </c>
    </row>
    <row r="1555" spans="1:25" x14ac:dyDescent="0.3">
      <c r="A1555">
        <v>77700</v>
      </c>
      <c r="B1555" t="s">
        <v>31562</v>
      </c>
      <c r="C1555" t="s">
        <v>31563</v>
      </c>
      <c r="D1555" t="s">
        <v>31564</v>
      </c>
      <c r="E1555" t="s">
        <v>31565</v>
      </c>
      <c r="F1555" t="s">
        <v>31566</v>
      </c>
      <c r="G1555" t="s">
        <v>31567</v>
      </c>
      <c r="H1555">
        <f>-585.238538383824 -26.8136961629499 -838.95969921559</f>
        <v>-1451.0119337623639</v>
      </c>
      <c r="I1555">
        <f>-549.254179848446 -45.4598270661481 -932.449982041892</f>
        <v>-1527.1639889564863</v>
      </c>
      <c r="J1555" t="s">
        <v>31568</v>
      </c>
      <c r="K1555" t="s">
        <v>31569</v>
      </c>
      <c r="L1555" t="s">
        <v>31570</v>
      </c>
      <c r="M1555" t="s">
        <v>31571</v>
      </c>
      <c r="N1555">
        <f>-596.161102083798 -42.9691333803831 -767.038780868682</f>
        <v>-1406.1690163328631</v>
      </c>
      <c r="O1555">
        <f>-617.397379503098 -179.631101048826 -717.075622710468</f>
        <v>-1514.1041032623921</v>
      </c>
      <c r="P1555">
        <f>-607.022649179173 -157.431867288038 -401.503503540799</f>
        <v>-1165.95802000801</v>
      </c>
      <c r="Q1555">
        <f>-368.948342963108 -73.3652856930379 -463.917480850251</f>
        <v>-906.23110950639693</v>
      </c>
      <c r="R1555" t="s">
        <v>31572</v>
      </c>
      <c r="S1555" t="s">
        <v>31573</v>
      </c>
      <c r="T1555" t="s">
        <v>31574</v>
      </c>
      <c r="U1555" t="s">
        <v>31575</v>
      </c>
      <c r="V1555">
        <f>-591.843418164619 -43.6073122291943 -233.107702805199</f>
        <v>-868.55843319901237</v>
      </c>
      <c r="W1555" t="s">
        <v>31576</v>
      </c>
      <c r="X1555" t="s">
        <v>31577</v>
      </c>
      <c r="Y1555" t="s">
        <v>31578</v>
      </c>
    </row>
    <row r="1556" spans="1:25" x14ac:dyDescent="0.3">
      <c r="A1556">
        <v>77750</v>
      </c>
      <c r="B1556" t="s">
        <v>31579</v>
      </c>
      <c r="C1556" t="s">
        <v>31580</v>
      </c>
      <c r="D1556" t="s">
        <v>31581</v>
      </c>
      <c r="E1556" t="s">
        <v>31582</v>
      </c>
      <c r="F1556" t="s">
        <v>31583</v>
      </c>
      <c r="G1556" t="s">
        <v>31584</v>
      </c>
      <c r="H1556">
        <f>-584.72658251433 -27.9000152604326 -838.771829016696</f>
        <v>-1451.3984267914584</v>
      </c>
      <c r="I1556">
        <f>-548.766532339712 -46.5808782304444 -932.264568721658</f>
        <v>-1527.6119792918144</v>
      </c>
      <c r="J1556" t="s">
        <v>31585</v>
      </c>
      <c r="K1556" t="s">
        <v>31586</v>
      </c>
      <c r="L1556" t="s">
        <v>31587</v>
      </c>
      <c r="M1556" t="s">
        <v>31588</v>
      </c>
      <c r="N1556">
        <f>-595.643919635889 -43.9271753308686 -766.821480276941</f>
        <v>-1406.3925752436985</v>
      </c>
      <c r="O1556">
        <f>-616.712765525206 -180.524159941199 -716.610400348977</f>
        <v>-1513.847325815382</v>
      </c>
      <c r="P1556">
        <f>-606.447098647262 -157.935360056399 -401.062429755694</f>
        <v>-1165.4448884593548</v>
      </c>
      <c r="Q1556">
        <f>-368.619869563872 -72.9085138571969 -463.116486140697</f>
        <v>-904.64486956176597</v>
      </c>
      <c r="R1556" t="s">
        <v>31589</v>
      </c>
      <c r="S1556" t="s">
        <v>31590</v>
      </c>
      <c r="T1556" t="s">
        <v>31591</v>
      </c>
      <c r="U1556" t="s">
        <v>31592</v>
      </c>
      <c r="V1556">
        <f>-591.384862142135 -43.8460649305979 -233.042022909278</f>
        <v>-868.27294998201091</v>
      </c>
      <c r="W1556" t="s">
        <v>31593</v>
      </c>
      <c r="X1556" t="s">
        <v>31594</v>
      </c>
      <c r="Y1556" t="s">
        <v>31595</v>
      </c>
    </row>
    <row r="1557" spans="1:25" x14ac:dyDescent="0.3">
      <c r="A1557">
        <v>77800</v>
      </c>
      <c r="B1557" t="s">
        <v>31596</v>
      </c>
      <c r="C1557" t="s">
        <v>31597</v>
      </c>
      <c r="D1557" t="s">
        <v>31598</v>
      </c>
      <c r="E1557" t="s">
        <v>31599</v>
      </c>
      <c r="F1557" t="s">
        <v>31600</v>
      </c>
      <c r="G1557" t="s">
        <v>31601</v>
      </c>
      <c r="H1557">
        <f>-584.765072882011 -28.3733794495051 -838.710055740151</f>
        <v>-1451.8485080716673</v>
      </c>
      <c r="I1557">
        <f>-548.897030549513 -47.0699946000132 -932.234872816009</f>
        <v>-1528.2018979655352</v>
      </c>
      <c r="J1557" t="s">
        <v>31602</v>
      </c>
      <c r="K1557" t="s">
        <v>31603</v>
      </c>
      <c r="L1557" t="s">
        <v>31604</v>
      </c>
      <c r="M1557" t="s">
        <v>31605</v>
      </c>
      <c r="N1557">
        <f>-595.628914742975 -44.3518806489426 -766.740771519163</f>
        <v>-1406.7215669110806</v>
      </c>
      <c r="O1557">
        <f>-616.596388257446 -180.923375622154 -716.42499263888</f>
        <v>-1513.9447565184801</v>
      </c>
      <c r="P1557">
        <f>-606.285943054156 -157.992761696116 -400.903059059054</f>
        <v>-1165.181763809326</v>
      </c>
      <c r="Q1557">
        <f>-368.63520554582 -72.5355352258811 -463.042094487764</f>
        <v>-904.21283525946512</v>
      </c>
      <c r="R1557" t="s">
        <v>31606</v>
      </c>
      <c r="S1557" t="s">
        <v>31607</v>
      </c>
      <c r="T1557" t="s">
        <v>31608</v>
      </c>
      <c r="U1557" t="s">
        <v>31609</v>
      </c>
      <c r="V1557">
        <f>-591.221570105539 -43.9792913959063 -232.996581371516</f>
        <v>-868.19744287296123</v>
      </c>
      <c r="W1557" t="s">
        <v>31610</v>
      </c>
      <c r="X1557" t="s">
        <v>31611</v>
      </c>
      <c r="Y1557" t="s">
        <v>31612</v>
      </c>
    </row>
    <row r="1558" spans="1:25" x14ac:dyDescent="0.3">
      <c r="A1558">
        <v>77850</v>
      </c>
      <c r="B1558" t="s">
        <v>31613</v>
      </c>
      <c r="C1558" t="s">
        <v>31614</v>
      </c>
      <c r="D1558" t="s">
        <v>31615</v>
      </c>
      <c r="E1558" t="s">
        <v>31616</v>
      </c>
      <c r="F1558" t="s">
        <v>31617</v>
      </c>
      <c r="G1558" t="s">
        <v>31618</v>
      </c>
      <c r="H1558">
        <f>-584.8608392725 -29.0608760022609 -838.672087668399</f>
        <v>-1452.59380294316</v>
      </c>
      <c r="I1558">
        <f>-549.016447525167 -47.7890461408493 -932.199828710204</f>
        <v>-1529.0053223762202</v>
      </c>
      <c r="J1558" t="s">
        <v>31619</v>
      </c>
      <c r="K1558" t="s">
        <v>31620</v>
      </c>
      <c r="L1558" t="s">
        <v>31621</v>
      </c>
      <c r="M1558" t="s">
        <v>31622</v>
      </c>
      <c r="N1558">
        <f>-595.655794251447 -45.0050821959877 -766.68478822089</f>
        <v>-1407.3456646683248</v>
      </c>
      <c r="O1558">
        <f>-616.502382878508 -181.553983344746 -716.248793597683</f>
        <v>-1514.305159820937</v>
      </c>
      <c r="P1558">
        <f>-605.635405947361 -158.339606364112 -400.76630728192</f>
        <v>-1164.741319593393</v>
      </c>
      <c r="Q1558">
        <f>-368.114925857489 -72.5564951785553 -462.954198149543</f>
        <v>-903.62561918558731</v>
      </c>
      <c r="R1558" t="s">
        <v>31623</v>
      </c>
      <c r="S1558" t="s">
        <v>31624</v>
      </c>
      <c r="T1558" t="s">
        <v>31625</v>
      </c>
      <c r="U1558" t="s">
        <v>31626</v>
      </c>
      <c r="V1558">
        <f>-590.936990963741 -44.2929884953508 -232.937104657963</f>
        <v>-868.16708411705474</v>
      </c>
      <c r="W1558" t="s">
        <v>31627</v>
      </c>
      <c r="X1558" t="s">
        <v>31628</v>
      </c>
      <c r="Y1558" t="s">
        <v>31629</v>
      </c>
    </row>
    <row r="1559" spans="1:25" x14ac:dyDescent="0.3">
      <c r="A1559">
        <v>77900</v>
      </c>
      <c r="B1559" t="s">
        <v>31630</v>
      </c>
      <c r="C1559" t="s">
        <v>31631</v>
      </c>
      <c r="D1559" t="s">
        <v>31632</v>
      </c>
      <c r="E1559" t="s">
        <v>31633</v>
      </c>
      <c r="F1559" t="s">
        <v>31634</v>
      </c>
      <c r="G1559" t="s">
        <v>31635</v>
      </c>
      <c r="H1559">
        <f>-584.749190277171 -29.4256748316356 -838.649122786452</f>
        <v>-1452.8239878952586</v>
      </c>
      <c r="I1559">
        <f>-548.870680134661 -48.1857042339907 -932.157240544566</f>
        <v>-1529.2136249132177</v>
      </c>
      <c r="J1559" t="s">
        <v>31636</v>
      </c>
      <c r="K1559" t="s">
        <v>31637</v>
      </c>
      <c r="L1559" t="s">
        <v>31638</v>
      </c>
      <c r="M1559" t="s">
        <v>31639</v>
      </c>
      <c r="N1559">
        <f>-595.51129111354 -45.354992946673 -766.6536824834</f>
        <v>-1407.519966543613</v>
      </c>
      <c r="O1559">
        <f>-616.310293478433 -181.890338176353 -716.170686927287</f>
        <v>-1514.3713185820729</v>
      </c>
      <c r="P1559">
        <f>-605.113027918826 -158.642611195975 -400.702266398091</f>
        <v>-1164.457905512892</v>
      </c>
      <c r="Q1559">
        <f>-367.578715169193 -72.9692613835498 -462.988516189677</f>
        <v>-903.5364927424198</v>
      </c>
      <c r="R1559" t="s">
        <v>31640</v>
      </c>
      <c r="S1559" t="s">
        <v>31641</v>
      </c>
      <c r="T1559" t="s">
        <v>31642</v>
      </c>
      <c r="U1559" t="s">
        <v>31643</v>
      </c>
      <c r="V1559">
        <f>-590.798185735471 -44.5223121272619 -232.903428738566</f>
        <v>-868.2239266012989</v>
      </c>
      <c r="W1559" t="s">
        <v>31644</v>
      </c>
      <c r="X1559" t="s">
        <v>31645</v>
      </c>
      <c r="Y1559" t="s">
        <v>31646</v>
      </c>
    </row>
    <row r="1560" spans="1:25" x14ac:dyDescent="0.3">
      <c r="A1560">
        <v>77950</v>
      </c>
      <c r="B1560" t="s">
        <v>31647</v>
      </c>
      <c r="C1560" t="s">
        <v>31648</v>
      </c>
      <c r="D1560" t="s">
        <v>31649</v>
      </c>
      <c r="E1560" t="s">
        <v>31650</v>
      </c>
      <c r="F1560" t="s">
        <v>31651</v>
      </c>
      <c r="G1560" t="s">
        <v>31652</v>
      </c>
      <c r="H1560">
        <f>-585.077915127641 -30.0516027670509 -838.513003906466</f>
        <v>-1453.6425218011577</v>
      </c>
      <c r="I1560">
        <f>-549.272578829891 -48.7923874904089 -932.053123137502</f>
        <v>-1530.1180894578019</v>
      </c>
      <c r="J1560" t="s">
        <v>31653</v>
      </c>
      <c r="K1560" t="s">
        <v>31654</v>
      </c>
      <c r="L1560" t="s">
        <v>31655</v>
      </c>
      <c r="M1560" t="s">
        <v>31656</v>
      </c>
      <c r="N1560">
        <f>-595.811286105532 -45.9567525093767 -766.507794651388</f>
        <v>-1408.2758332662966</v>
      </c>
      <c r="O1560">
        <f>-616.569746650535 -182.468915539368 -715.924638206705</f>
        <v>-1514.963300396608</v>
      </c>
      <c r="P1560">
        <f>-605.25692566742 -159.571885133761 -400.434588831102</f>
        <v>-1165.2633996322829</v>
      </c>
      <c r="Q1560">
        <f>-367.795192105491 -73.6890741579244 -462.709242920634</f>
        <v>-904.19350918404939</v>
      </c>
      <c r="R1560" t="s">
        <v>31657</v>
      </c>
      <c r="S1560" t="s">
        <v>31658</v>
      </c>
      <c r="T1560" t="s">
        <v>31659</v>
      </c>
      <c r="U1560" t="s">
        <v>31660</v>
      </c>
      <c r="V1560">
        <f>-590.761955969429 -45.0634402184599 -232.800154149609</f>
        <v>-868.62555033749777</v>
      </c>
      <c r="W1560" t="s">
        <v>31661</v>
      </c>
      <c r="X1560" t="s">
        <v>31662</v>
      </c>
      <c r="Y1560" t="s">
        <v>31663</v>
      </c>
    </row>
    <row r="1561" spans="1:25" x14ac:dyDescent="0.3">
      <c r="A1561">
        <v>78000</v>
      </c>
      <c r="B1561" t="s">
        <v>31664</v>
      </c>
      <c r="C1561" t="s">
        <v>31665</v>
      </c>
      <c r="D1561" t="s">
        <v>31666</v>
      </c>
      <c r="E1561" t="s">
        <v>31667</v>
      </c>
      <c r="F1561" t="s">
        <v>31668</v>
      </c>
      <c r="G1561" t="s">
        <v>31669</v>
      </c>
      <c r="H1561">
        <f>-585.048264833554 -30.2870599746211 -838.403827040465</f>
        <v>-1453.7391518486402</v>
      </c>
      <c r="I1561">
        <f>-549.242255443602 -49.0000741121668 -931.949168435155</f>
        <v>-1530.1914979909238</v>
      </c>
      <c r="J1561" t="s">
        <v>31670</v>
      </c>
      <c r="K1561" t="s">
        <v>31671</v>
      </c>
      <c r="L1561" t="s">
        <v>31672</v>
      </c>
      <c r="M1561" t="s">
        <v>31673</v>
      </c>
      <c r="N1561">
        <f>-595.770500757542 -46.1974071470558 -766.398146904079</f>
        <v>-1408.3660548086768</v>
      </c>
      <c r="O1561">
        <f>-616.447950298708 -182.710836266823 -715.801662363627</f>
        <v>-1514.9604489291578</v>
      </c>
      <c r="P1561">
        <f>-605.420478931795 -159.919567920899 -400.293928671345</f>
        <v>-1165.633975524039</v>
      </c>
      <c r="Q1561">
        <f>-368.03223852499 -73.9659310781738 -462.750771119635</f>
        <v>-904.74894072279881</v>
      </c>
      <c r="R1561" t="s">
        <v>31674</v>
      </c>
      <c r="S1561" t="s">
        <v>31675</v>
      </c>
      <c r="T1561" t="s">
        <v>31676</v>
      </c>
      <c r="U1561" t="s">
        <v>31677</v>
      </c>
      <c r="V1561">
        <f>-590.754011363886 -45.3363351913796 -232.751067470456</f>
        <v>-868.84141402572163</v>
      </c>
      <c r="W1561" t="s">
        <v>31678</v>
      </c>
      <c r="X1561" t="s">
        <v>31679</v>
      </c>
      <c r="Y1561" t="s">
        <v>31680</v>
      </c>
    </row>
    <row r="1562" spans="1:25" x14ac:dyDescent="0.3">
      <c r="A1562">
        <v>78050</v>
      </c>
      <c r="B1562" t="s">
        <v>31681</v>
      </c>
      <c r="C1562" t="s">
        <v>31682</v>
      </c>
      <c r="D1562" t="s">
        <v>31683</v>
      </c>
      <c r="E1562" t="s">
        <v>31684</v>
      </c>
      <c r="F1562" t="s">
        <v>31685</v>
      </c>
      <c r="G1562" t="s">
        <v>31686</v>
      </c>
      <c r="H1562">
        <f>-585.422608263842 -30.3539838801402 -838.048105178459</f>
        <v>-1453.8246973224411</v>
      </c>
      <c r="I1562">
        <f>-549.59971045673 -48.9847740639971 -931.603374833938</f>
        <v>-1530.1878593546651</v>
      </c>
      <c r="J1562" t="s">
        <v>31687</v>
      </c>
      <c r="K1562" t="s">
        <v>31688</v>
      </c>
      <c r="L1562" t="s">
        <v>31689</v>
      </c>
      <c r="M1562" t="s">
        <v>31690</v>
      </c>
      <c r="N1562">
        <f>-596.115148630074 -46.3264363431405 -766.051721044024</f>
        <v>-1408.4933060172384</v>
      </c>
      <c r="O1562">
        <f>-616.651672937454 -182.840275770432 -715.411400481585</f>
        <v>-1514.9033491894711</v>
      </c>
      <c r="P1562">
        <f>-605.44604022464 -160.844498637233 -399.853329420565</f>
        <v>-1166.143868282438</v>
      </c>
      <c r="Q1562">
        <f>-368.144173142455 -74.7098435049922 -462.388913500216</f>
        <v>-905.24293014766317</v>
      </c>
      <c r="R1562" t="s">
        <v>31691</v>
      </c>
      <c r="S1562" t="s">
        <v>31692</v>
      </c>
      <c r="T1562" t="s">
        <v>31693</v>
      </c>
      <c r="U1562" t="s">
        <v>31694</v>
      </c>
      <c r="V1562">
        <f>-590.872944471424 -46.0179978392788 -232.548831742862</f>
        <v>-869.43977405356486</v>
      </c>
      <c r="W1562" t="s">
        <v>31695</v>
      </c>
      <c r="X1562" t="s">
        <v>31696</v>
      </c>
      <c r="Y1562" t="s">
        <v>31697</v>
      </c>
    </row>
    <row r="1563" spans="1:25" x14ac:dyDescent="0.3">
      <c r="A1563">
        <v>78100</v>
      </c>
      <c r="B1563" t="s">
        <v>31698</v>
      </c>
      <c r="C1563" t="s">
        <v>31699</v>
      </c>
      <c r="D1563" t="s">
        <v>31700</v>
      </c>
      <c r="E1563" t="s">
        <v>31701</v>
      </c>
      <c r="F1563" t="s">
        <v>31702</v>
      </c>
      <c r="G1563" t="s">
        <v>31703</v>
      </c>
      <c r="H1563">
        <f>-585.767020789478 -30.6218095327346 -837.91700348881</f>
        <v>-1454.3058338110227</v>
      </c>
      <c r="I1563">
        <f>-549.932267169347 -49.2580869078867 -931.466688765706</f>
        <v>-1530.6570428429395</v>
      </c>
      <c r="J1563" t="s">
        <v>31704</v>
      </c>
      <c r="K1563" t="s">
        <v>31705</v>
      </c>
      <c r="L1563" t="s">
        <v>31706</v>
      </c>
      <c r="M1563" t="s">
        <v>31707</v>
      </c>
      <c r="N1563">
        <f>-596.414592810546 -46.5980585695315 -765.914889288686</f>
        <v>-1408.9275406687634</v>
      </c>
      <c r="O1563">
        <f>-616.825016956171 -183.104536878993 -715.219041549357</f>
        <v>-1515.1485953845211</v>
      </c>
      <c r="P1563">
        <f>-605.421297454052 -161.013605811561 -399.674857933189</f>
        <v>-1166.1097611988021</v>
      </c>
      <c r="Q1563">
        <f>-368.035395591707 -74.9404781069091 -461.975700195865</f>
        <v>-904.95157389448104</v>
      </c>
      <c r="R1563" t="s">
        <v>31708</v>
      </c>
      <c r="S1563" t="s">
        <v>31709</v>
      </c>
      <c r="T1563" t="s">
        <v>31710</v>
      </c>
      <c r="U1563" t="s">
        <v>31711</v>
      </c>
      <c r="V1563">
        <f>-590.928478883512 -46.3716407973977 -232.487308484822</f>
        <v>-869.78742816573163</v>
      </c>
      <c r="W1563" t="s">
        <v>31712</v>
      </c>
      <c r="X1563" t="s">
        <v>31713</v>
      </c>
      <c r="Y1563" t="s">
        <v>31714</v>
      </c>
    </row>
    <row r="1564" spans="1:25" x14ac:dyDescent="0.3">
      <c r="A1564">
        <v>78150</v>
      </c>
      <c r="B1564" t="s">
        <v>31715</v>
      </c>
      <c r="C1564" t="s">
        <v>31716</v>
      </c>
      <c r="D1564" t="s">
        <v>31717</v>
      </c>
      <c r="E1564" t="s">
        <v>31718</v>
      </c>
      <c r="F1564" t="s">
        <v>31719</v>
      </c>
      <c r="G1564" t="s">
        <v>31720</v>
      </c>
      <c r="H1564">
        <f>-586.767302934394 -31.0120503141946 -837.868003810287</f>
        <v>-1455.6473570588755</v>
      </c>
      <c r="I1564">
        <f>-550.947139458065 -49.6569455386212 -931.421611774726</f>
        <v>-1532.0256967714122</v>
      </c>
      <c r="J1564" t="s">
        <v>31721</v>
      </c>
      <c r="K1564" t="s">
        <v>31722</v>
      </c>
      <c r="L1564" t="s">
        <v>31723</v>
      </c>
      <c r="M1564" t="s">
        <v>31724</v>
      </c>
      <c r="N1564">
        <f>-597.245934939267 -46.9727243115006 -765.837595746129</f>
        <v>-1410.0562549968965</v>
      </c>
      <c r="O1564">
        <f>-617.237729824942 -183.521875543735 -715.052335493516</f>
        <v>-1515.8119408621931</v>
      </c>
      <c r="P1564">
        <f>-605.305581967452 -160.986582484879 -399.55909039539</f>
        <v>-1165.8512548477211</v>
      </c>
      <c r="Q1564">
        <f>-368.125472863415 -74.7808856999342 -462.457842441682</f>
        <v>-905.36420100503119</v>
      </c>
      <c r="R1564" t="s">
        <v>31725</v>
      </c>
      <c r="S1564" t="s">
        <v>31726</v>
      </c>
      <c r="T1564" t="s">
        <v>31727</v>
      </c>
      <c r="U1564" t="s">
        <v>31728</v>
      </c>
      <c r="V1564">
        <f>-590.898968177544 -46.9893799426729 -232.455787380993</f>
        <v>-870.34413550120996</v>
      </c>
      <c r="W1564" t="s">
        <v>31729</v>
      </c>
      <c r="X1564" t="s">
        <v>31730</v>
      </c>
      <c r="Y1564" t="s">
        <v>31731</v>
      </c>
    </row>
    <row r="1565" spans="1:25" x14ac:dyDescent="0.3">
      <c r="A1565">
        <v>78200</v>
      </c>
      <c r="B1565" t="s">
        <v>31732</v>
      </c>
      <c r="C1565" t="s">
        <v>31733</v>
      </c>
      <c r="D1565" t="s">
        <v>31734</v>
      </c>
      <c r="E1565" t="s">
        <v>31735</v>
      </c>
      <c r="F1565" t="s">
        <v>31736</v>
      </c>
      <c r="G1565" t="s">
        <v>31737</v>
      </c>
      <c r="H1565">
        <f>-587.246552275465 -30.9667888146531 -837.88095297477</f>
        <v>-1456.0942940648881</v>
      </c>
      <c r="I1565">
        <f>-551.430053037674 -49.5806280772269 -931.442155372232</f>
        <v>-1532.452836487133</v>
      </c>
      <c r="J1565" t="s">
        <v>31738</v>
      </c>
      <c r="K1565" t="s">
        <v>31739</v>
      </c>
      <c r="L1565" t="s">
        <v>31740</v>
      </c>
      <c r="M1565" t="s">
        <v>31741</v>
      </c>
      <c r="N1565">
        <f>-597.676752260401 -46.9248544516353 -765.842892972016</f>
        <v>-1410.4444996840523</v>
      </c>
      <c r="O1565">
        <f>-617.675325138453 -183.463008559509 -715.036160459643</f>
        <v>-1516.1744941576051</v>
      </c>
      <c r="P1565">
        <f>-605.316091238795 -160.942614220558 -399.558330363824</f>
        <v>-1165.8170358231769</v>
      </c>
      <c r="Q1565">
        <f>-368.260208551196 -74.5597791544817 -462.682001481066</f>
        <v>-905.50198918674369</v>
      </c>
      <c r="R1565" t="s">
        <v>31742</v>
      </c>
      <c r="S1565" t="s">
        <v>31743</v>
      </c>
      <c r="T1565" t="s">
        <v>31744</v>
      </c>
      <c r="U1565" t="s">
        <v>31745</v>
      </c>
      <c r="V1565">
        <f>-590.803347846126 -47.0581242376076 -232.45714493957</f>
        <v>-870.31861702330355</v>
      </c>
      <c r="W1565" t="s">
        <v>31746</v>
      </c>
      <c r="X1565" t="s">
        <v>31747</v>
      </c>
      <c r="Y1565" t="s">
        <v>31748</v>
      </c>
    </row>
    <row r="1566" spans="1:25" x14ac:dyDescent="0.3">
      <c r="A1566">
        <v>78250</v>
      </c>
      <c r="B1566" t="s">
        <v>31749</v>
      </c>
      <c r="C1566" t="s">
        <v>31750</v>
      </c>
      <c r="D1566" t="s">
        <v>31751</v>
      </c>
      <c r="E1566" t="s">
        <v>31752</v>
      </c>
      <c r="F1566" t="s">
        <v>31753</v>
      </c>
      <c r="G1566" t="s">
        <v>31754</v>
      </c>
      <c r="H1566">
        <f>-588.176624425737 -31.2115291830013 -837.803870050195</f>
        <v>-1457.1920236589333</v>
      </c>
      <c r="I1566">
        <f>-552.477335097669 -49.8137575886562 -931.411965470506</f>
        <v>-1533.703058156831</v>
      </c>
      <c r="J1566" t="s">
        <v>31755</v>
      </c>
      <c r="K1566" t="s">
        <v>31756</v>
      </c>
      <c r="L1566" t="s">
        <v>31757</v>
      </c>
      <c r="M1566" t="s">
        <v>31758</v>
      </c>
      <c r="N1566">
        <f>-598.42958807804 -47.1048819653045 -765.726054436886</f>
        <v>-1411.2605244802303</v>
      </c>
      <c r="O1566">
        <f>-618.455054683947 -183.547561407167 -714.697487960848</f>
        <v>-1516.7001040519619</v>
      </c>
      <c r="P1566">
        <f>-605.446458306611 -161.021759531806 -399.246145644059</f>
        <v>-1165.7143634824761</v>
      </c>
      <c r="Q1566">
        <f>-368.502502850627 -74.7863130319608 -462.988241743614</f>
        <v>-906.27705762620189</v>
      </c>
      <c r="R1566" t="s">
        <v>31759</v>
      </c>
      <c r="S1566" t="s">
        <v>31760</v>
      </c>
      <c r="T1566" t="s">
        <v>31761</v>
      </c>
      <c r="U1566" t="s">
        <v>31762</v>
      </c>
      <c r="V1566">
        <f>-590.627496781719 -47.2312827859182 -232.443911965723</f>
        <v>-870.30269153336019</v>
      </c>
      <c r="W1566" t="s">
        <v>31763</v>
      </c>
      <c r="X1566" t="s">
        <v>31764</v>
      </c>
      <c r="Y1566" t="s">
        <v>31765</v>
      </c>
    </row>
    <row r="1567" spans="1:25" x14ac:dyDescent="0.3">
      <c r="A1567">
        <v>78300</v>
      </c>
      <c r="B1567" t="s">
        <v>31766</v>
      </c>
      <c r="C1567" t="s">
        <v>31767</v>
      </c>
      <c r="D1567" t="s">
        <v>31768</v>
      </c>
      <c r="E1567" t="s">
        <v>31769</v>
      </c>
      <c r="F1567" t="s">
        <v>31770</v>
      </c>
      <c r="G1567" t="s">
        <v>31771</v>
      </c>
      <c r="H1567">
        <f>-588.610769619661 -31.1827956974567 -837.670030396609</f>
        <v>-1457.4635957137268</v>
      </c>
      <c r="I1567">
        <f>-552.996503811288 -49.8083517171396 -931.305863782585</f>
        <v>-1534.1107193110126</v>
      </c>
      <c r="J1567" t="s">
        <v>31772</v>
      </c>
      <c r="K1567" t="s">
        <v>31773</v>
      </c>
      <c r="L1567" t="s">
        <v>31774</v>
      </c>
      <c r="M1567" t="s">
        <v>31775</v>
      </c>
      <c r="N1567">
        <f>-598.798764238024 -47.0268325392556 -765.572230090753</f>
        <v>-1411.3978268680326</v>
      </c>
      <c r="O1567">
        <f>-618.849921351461 -183.426288172926 -714.379976179087</f>
        <v>-1516.656185703474</v>
      </c>
      <c r="P1567">
        <f>-605.177601568324 -160.557318790665 -398.981463000634</f>
        <v>-1164.716383359623</v>
      </c>
      <c r="Q1567">
        <f>-368.19774771333 -74.4587421433296 -462.775354075271</f>
        <v>-905.43184393193064</v>
      </c>
      <c r="R1567" t="s">
        <v>31776</v>
      </c>
      <c r="S1567" t="s">
        <v>31777</v>
      </c>
      <c r="T1567" t="s">
        <v>31778</v>
      </c>
      <c r="U1567" t="s">
        <v>31779</v>
      </c>
      <c r="V1567">
        <f>-590.606180993924 -47.3152376995375 -232.434482220457</f>
        <v>-870.3559009139185</v>
      </c>
      <c r="W1567" t="s">
        <v>31780</v>
      </c>
      <c r="X1567" t="s">
        <v>31781</v>
      </c>
      <c r="Y1567" t="s">
        <v>31782</v>
      </c>
    </row>
    <row r="1568" spans="1:25" x14ac:dyDescent="0.3">
      <c r="A1568">
        <v>78350</v>
      </c>
      <c r="B1568" t="s">
        <v>31783</v>
      </c>
      <c r="C1568" t="s">
        <v>31784</v>
      </c>
      <c r="D1568" t="s">
        <v>31785</v>
      </c>
      <c r="E1568" t="s">
        <v>31786</v>
      </c>
      <c r="F1568" t="s">
        <v>31787</v>
      </c>
      <c r="G1568" t="s">
        <v>31788</v>
      </c>
      <c r="H1568">
        <f>-589.315278228578 -31.5770234505259 -837.158305181466</f>
        <v>-1458.0506068605698</v>
      </c>
      <c r="I1568">
        <f>-553.858191519631 -50.3977460297449 -930.814915908253</f>
        <v>-1535.0708534576288</v>
      </c>
      <c r="J1568" t="s">
        <v>31789</v>
      </c>
      <c r="K1568" t="s">
        <v>31790</v>
      </c>
      <c r="L1568" t="s">
        <v>31791</v>
      </c>
      <c r="M1568" t="s">
        <v>31792</v>
      </c>
      <c r="N1568">
        <f>-599.417807272031 -47.2058003390142 -765.001546587539</f>
        <v>-1411.6251541985844</v>
      </c>
      <c r="O1568">
        <f>-619.324799399286 -183.4309597715 -713.374823143309</f>
        <v>-1516.1305823140949</v>
      </c>
      <c r="P1568">
        <f>-605.165529659223 -159.793078507488 -398.054370719516</f>
        <v>-1163.0129788862268</v>
      </c>
      <c r="Q1568">
        <f>-368.165745657023 -73.7701631303491 -461.876068079041</f>
        <v>-903.81197686641303</v>
      </c>
      <c r="R1568" t="s">
        <v>31793</v>
      </c>
      <c r="S1568" t="s">
        <v>31794</v>
      </c>
      <c r="T1568" t="s">
        <v>31795</v>
      </c>
      <c r="U1568" t="s">
        <v>31796</v>
      </c>
      <c r="V1568">
        <f>-590.719964054397 -47.4539694710172 -232.400606298239</f>
        <v>-870.57453982365325</v>
      </c>
      <c r="W1568" t="s">
        <v>31797</v>
      </c>
      <c r="X1568" t="s">
        <v>31798</v>
      </c>
      <c r="Y1568" t="s">
        <v>31799</v>
      </c>
    </row>
    <row r="1569" spans="1:25" x14ac:dyDescent="0.3">
      <c r="A1569">
        <v>78400</v>
      </c>
      <c r="B1569" t="s">
        <v>31800</v>
      </c>
      <c r="C1569" t="s">
        <v>31801</v>
      </c>
      <c r="D1569" t="s">
        <v>31802</v>
      </c>
      <c r="E1569" t="s">
        <v>31803</v>
      </c>
      <c r="F1569" t="s">
        <v>31804</v>
      </c>
      <c r="G1569" t="s">
        <v>31805</v>
      </c>
      <c r="H1569">
        <f>-589.745053861298 -32.157680759801 -836.977241449245</f>
        <v>-1458.8799760703439</v>
      </c>
      <c r="I1569">
        <f>-554.349154580057 -51.1520789077597 -930.621976179735</f>
        <v>-1536.1232096675517</v>
      </c>
      <c r="J1569" t="s">
        <v>31806</v>
      </c>
      <c r="K1569" t="s">
        <v>31807</v>
      </c>
      <c r="L1569" t="s">
        <v>31808</v>
      </c>
      <c r="M1569" t="s">
        <v>31809</v>
      </c>
      <c r="N1569">
        <f>-599.809173724617 -47.617802393806 -764.778902467901</f>
        <v>-1412.2058785863242</v>
      </c>
      <c r="O1569">
        <f>-619.757431279058 -183.731929949446 -712.865344467652</f>
        <v>-1516.3547056961561</v>
      </c>
      <c r="P1569">
        <f>-605.081891674469 -159.842785412956 -397.587515038247</f>
        <v>-1162.5121921256721</v>
      </c>
      <c r="Q1569">
        <f>-368.222043776162 -73.5243135768905 -461.529809230511</f>
        <v>-903.27616658356351</v>
      </c>
      <c r="R1569" t="s">
        <v>31810</v>
      </c>
      <c r="S1569" t="s">
        <v>31811</v>
      </c>
      <c r="T1569" t="s">
        <v>31812</v>
      </c>
      <c r="U1569" t="s">
        <v>31813</v>
      </c>
      <c r="V1569">
        <f>-590.801478109925 -47.5728207030241 -232.440674508947</f>
        <v>-870.81497332189622</v>
      </c>
      <c r="W1569" t="s">
        <v>31814</v>
      </c>
      <c r="X1569" t="s">
        <v>31815</v>
      </c>
      <c r="Y1569" t="s">
        <v>31816</v>
      </c>
    </row>
    <row r="1570" spans="1:25" x14ac:dyDescent="0.3">
      <c r="A1570">
        <v>78450</v>
      </c>
      <c r="B1570" t="s">
        <v>31817</v>
      </c>
      <c r="C1570" t="s">
        <v>31818</v>
      </c>
      <c r="D1570" t="s">
        <v>31819</v>
      </c>
      <c r="E1570" t="s">
        <v>31820</v>
      </c>
      <c r="F1570" t="s">
        <v>31821</v>
      </c>
      <c r="G1570" t="s">
        <v>31822</v>
      </c>
      <c r="H1570">
        <f>-590.048247982704 -33.4272761124231 -836.727823320479</f>
        <v>-1460.203347415606</v>
      </c>
      <c r="I1570">
        <f>-554.784905217841 -52.8775486570612 -930.328817812648</f>
        <v>-1537.9912716875501</v>
      </c>
      <c r="J1570" t="s">
        <v>31823</v>
      </c>
      <c r="K1570" t="s">
        <v>31824</v>
      </c>
      <c r="L1570" t="s">
        <v>31825</v>
      </c>
      <c r="M1570" t="s">
        <v>31826</v>
      </c>
      <c r="N1570">
        <f>-599.974424128008 -48.5211013328212 -764.432794770376</f>
        <v>-1412.9283202312051</v>
      </c>
      <c r="O1570">
        <f>-620.104806146575 -184.401191234634 -711.912689898226</f>
        <v>-1516.4186872794348</v>
      </c>
      <c r="P1570">
        <f>-604.34762397363 -159.893028475021 -396.734562725225</f>
        <v>-1160.975215173876</v>
      </c>
      <c r="Q1570">
        <f>-367.804230117689 -73.0743396811393 -461.168934525004</f>
        <v>-902.0475043238323</v>
      </c>
      <c r="R1570" t="s">
        <v>31827</v>
      </c>
      <c r="S1570" t="s">
        <v>31828</v>
      </c>
      <c r="T1570" t="s">
        <v>31829</v>
      </c>
      <c r="U1570" t="s">
        <v>31830</v>
      </c>
      <c r="V1570">
        <f>-590.742301545157 -47.4850152009575 -232.52485337932</f>
        <v>-870.75217012543453</v>
      </c>
      <c r="W1570" t="s">
        <v>31831</v>
      </c>
      <c r="X1570" t="s">
        <v>31832</v>
      </c>
      <c r="Y1570" t="s">
        <v>31833</v>
      </c>
    </row>
    <row r="1571" spans="1:25" x14ac:dyDescent="0.3">
      <c r="A1571">
        <v>78500</v>
      </c>
      <c r="B1571" t="s">
        <v>31834</v>
      </c>
      <c r="C1571" t="s">
        <v>31835</v>
      </c>
      <c r="D1571" t="s">
        <v>31836</v>
      </c>
      <c r="E1571" t="s">
        <v>31837</v>
      </c>
      <c r="F1571" t="s">
        <v>31838</v>
      </c>
      <c r="G1571" t="s">
        <v>31839</v>
      </c>
      <c r="H1571">
        <f>-590.365454735269 -33.929286176685 -836.57057360704</f>
        <v>-1460.8653145189942</v>
      </c>
      <c r="I1571">
        <f>-555.176310728231 -53.6518925860841 -930.1426559737</f>
        <v>-1538.9708592880152</v>
      </c>
      <c r="J1571" t="s">
        <v>31840</v>
      </c>
      <c r="K1571" t="s">
        <v>31841</v>
      </c>
      <c r="L1571" t="s">
        <v>31842</v>
      </c>
      <c r="M1571" t="s">
        <v>31843</v>
      </c>
      <c r="N1571">
        <f>-600.259289377749 -48.8249779192373 -764.230073756577</f>
        <v>-1413.3143410535633</v>
      </c>
      <c r="O1571">
        <f>-620.673530629196 -184.523522062744 -711.374837304953</f>
        <v>-1516.5718899968929</v>
      </c>
      <c r="P1571">
        <f>-604.303057685264 -159.735366158573 -396.249778057093</f>
        <v>-1160.2882019009301</v>
      </c>
      <c r="Q1571">
        <f>-367.962174743273 -72.5975261476105 -460.995815858404</f>
        <v>-901.55551674928756</v>
      </c>
      <c r="R1571" t="s">
        <v>31844</v>
      </c>
      <c r="S1571" t="s">
        <v>31845</v>
      </c>
      <c r="T1571" t="s">
        <v>31846</v>
      </c>
      <c r="U1571" t="s">
        <v>31847</v>
      </c>
      <c r="V1571">
        <f>-590.694978315188 -47.285198057752 -232.550323027173</f>
        <v>-870.53049940011306</v>
      </c>
      <c r="W1571" t="s">
        <v>31848</v>
      </c>
      <c r="X1571" t="s">
        <v>31849</v>
      </c>
      <c r="Y1571" t="s">
        <v>31850</v>
      </c>
    </row>
    <row r="1572" spans="1:25" x14ac:dyDescent="0.3">
      <c r="A1572">
        <v>78550</v>
      </c>
      <c r="B1572" t="s">
        <v>31851</v>
      </c>
      <c r="C1572" t="s">
        <v>31852</v>
      </c>
      <c r="D1572" t="s">
        <v>31853</v>
      </c>
      <c r="E1572" t="s">
        <v>31854</v>
      </c>
      <c r="F1572" t="s">
        <v>31855</v>
      </c>
      <c r="G1572" t="s">
        <v>31856</v>
      </c>
      <c r="H1572">
        <f>-590.867721492104 -35.2080255434356 -836.365658791679</f>
        <v>-1462.4414058272187</v>
      </c>
      <c r="I1572">
        <f>-555.863402504916 -55.6584417507827 -929.850714355614</f>
        <v>-1541.3725586113128</v>
      </c>
      <c r="J1572" t="s">
        <v>31857</v>
      </c>
      <c r="K1572" t="s">
        <v>31858</v>
      </c>
      <c r="L1572" t="s">
        <v>31859</v>
      </c>
      <c r="M1572" t="s">
        <v>31860</v>
      </c>
      <c r="N1572">
        <f>-600.684830832731 -49.6572344525755 -763.92413361727</f>
        <v>-1414.2661989025764</v>
      </c>
      <c r="O1572">
        <f>-621.678167435436 -184.940400474503 -710.241288300671</f>
        <v>-1516.8598562106099</v>
      </c>
      <c r="P1572">
        <f>-604.210327448384 -159.462853227124 -395.23017247802</f>
        <v>-1158.9033531535279</v>
      </c>
      <c r="Q1572">
        <f>-367.830742754264 -72.7046340958444 -460.343513570428</f>
        <v>-900.87889042053644</v>
      </c>
      <c r="R1572" t="s">
        <v>31861</v>
      </c>
      <c r="S1572" t="s">
        <v>31862</v>
      </c>
      <c r="T1572" t="s">
        <v>31863</v>
      </c>
      <c r="U1572" t="s">
        <v>31864</v>
      </c>
      <c r="V1572">
        <f>-590.560579560549 -46.7362466593215 -232.706240714697</f>
        <v>-870.00306693456741</v>
      </c>
      <c r="W1572" t="s">
        <v>31865</v>
      </c>
      <c r="X1572" t="s">
        <v>31866</v>
      </c>
      <c r="Y1572" t="s">
        <v>31867</v>
      </c>
    </row>
    <row r="1573" spans="1:25" x14ac:dyDescent="0.3">
      <c r="A1573">
        <v>78600</v>
      </c>
      <c r="B1573" t="s">
        <v>31868</v>
      </c>
      <c r="C1573" t="s">
        <v>31869</v>
      </c>
      <c r="D1573" t="s">
        <v>31870</v>
      </c>
      <c r="E1573" t="s">
        <v>31871</v>
      </c>
      <c r="F1573" t="s">
        <v>31872</v>
      </c>
      <c r="G1573" t="s">
        <v>31873</v>
      </c>
      <c r="H1573">
        <f>-590.84400258123 -35.5187560109422 -836.338986444101</f>
        <v>-1462.7017450362732</v>
      </c>
      <c r="I1573">
        <f>-555.923732753459 -56.3131955285465 -929.779473478924</f>
        <v>-1542.0164017609295</v>
      </c>
      <c r="J1573" t="s">
        <v>31874</v>
      </c>
      <c r="K1573" t="s">
        <v>31875</v>
      </c>
      <c r="L1573" t="s">
        <v>31876</v>
      </c>
      <c r="M1573" t="s">
        <v>31877</v>
      </c>
      <c r="N1573">
        <f>-600.621169997288 -49.7901196693051 -763.856891875202</f>
        <v>-1414.268181541795</v>
      </c>
      <c r="O1573">
        <f>-621.866216246754 -184.909512943381 -709.840581936225</f>
        <v>-1516.61631112636</v>
      </c>
      <c r="P1573">
        <f>-603.896566112345 -159.100359504227 -394.88478586413</f>
        <v>-1157.8817114807021</v>
      </c>
      <c r="Q1573">
        <f>-367.415192284339 -72.7027031614025 -460.107854058623</f>
        <v>-900.22574950436456</v>
      </c>
      <c r="R1573" t="s">
        <v>31878</v>
      </c>
      <c r="S1573" t="s">
        <v>31879</v>
      </c>
      <c r="T1573" t="s">
        <v>31880</v>
      </c>
      <c r="U1573" t="s">
        <v>31881</v>
      </c>
      <c r="V1573">
        <f>-590.365535376391 -46.2293902595433 -232.783893209322</f>
        <v>-869.37881884525632</v>
      </c>
      <c r="W1573" t="s">
        <v>31882</v>
      </c>
      <c r="X1573" t="s">
        <v>31883</v>
      </c>
      <c r="Y1573" t="s">
        <v>31884</v>
      </c>
    </row>
    <row r="1574" spans="1:25" x14ac:dyDescent="0.3">
      <c r="A1574">
        <v>78650</v>
      </c>
      <c r="B1574" t="s">
        <v>31885</v>
      </c>
      <c r="C1574" t="s">
        <v>31886</v>
      </c>
      <c r="D1574" t="s">
        <v>31887</v>
      </c>
      <c r="E1574" t="s">
        <v>31888</v>
      </c>
      <c r="F1574" t="s">
        <v>31889</v>
      </c>
      <c r="G1574" t="s">
        <v>31890</v>
      </c>
      <c r="H1574">
        <f>-590.896427595923 -36.0232232265216 -836.294660680279</f>
        <v>-1463.2143115027236</v>
      </c>
      <c r="I1574">
        <f>-556.16091724483 -57.3755373406106 -929.678418463786</f>
        <v>-1543.2148730492265</v>
      </c>
      <c r="J1574" t="s">
        <v>31891</v>
      </c>
      <c r="K1574" t="s">
        <v>31892</v>
      </c>
      <c r="L1574" t="s">
        <v>31893</v>
      </c>
      <c r="M1574" t="s">
        <v>31894</v>
      </c>
      <c r="N1574">
        <f>-600.632033276443 -49.9639136370524 -763.742673091583</f>
        <v>-1414.3386200050786</v>
      </c>
      <c r="O1574">
        <f>-622.448316006448 -184.770133383054 -709.18231558721</f>
        <v>-1516.400764976712</v>
      </c>
      <c r="P1574">
        <f>-604.027535951243 -158.29122904863 -394.308116578878</f>
        <v>-1156.626881578751</v>
      </c>
      <c r="Q1574">
        <f>-367.418664564732 -72.5977930007279 -459.996420976871</f>
        <v>-900.0128785423309</v>
      </c>
      <c r="R1574" t="s">
        <v>31895</v>
      </c>
      <c r="S1574" t="s">
        <v>31896</v>
      </c>
      <c r="T1574" t="s">
        <v>31897</v>
      </c>
      <c r="U1574" t="s">
        <v>31898</v>
      </c>
      <c r="V1574">
        <f>-589.824172801615 -45.1055833551689 -232.898115998927</f>
        <v>-867.82787215571091</v>
      </c>
      <c r="W1574" t="s">
        <v>31899</v>
      </c>
      <c r="X1574" t="s">
        <v>31900</v>
      </c>
      <c r="Y1574" t="s">
        <v>31901</v>
      </c>
    </row>
    <row r="1575" spans="1:25" x14ac:dyDescent="0.3">
      <c r="A1575">
        <v>78700</v>
      </c>
      <c r="B1575" t="s">
        <v>31902</v>
      </c>
      <c r="C1575" t="s">
        <v>31903</v>
      </c>
      <c r="D1575" t="s">
        <v>31904</v>
      </c>
      <c r="E1575" t="s">
        <v>31905</v>
      </c>
      <c r="F1575" t="s">
        <v>31906</v>
      </c>
      <c r="G1575" t="s">
        <v>31907</v>
      </c>
      <c r="H1575">
        <f>-590.571974662517 -36.0291757041357 -836.319048121961</f>
        <v>-1462.9201984886138</v>
      </c>
      <c r="I1575">
        <f>-555.915768859611 -57.550388372316 -929.69334581736</f>
        <v>-1543.159503049287</v>
      </c>
      <c r="J1575" t="s">
        <v>31908</v>
      </c>
      <c r="K1575" t="s">
        <v>31909</v>
      </c>
      <c r="L1575" t="s">
        <v>31910</v>
      </c>
      <c r="M1575" t="s">
        <v>31911</v>
      </c>
      <c r="N1575">
        <f>-600.281348392618 -49.872160885228 -763.744826480603</f>
        <v>-1413.8983357584491</v>
      </c>
      <c r="O1575">
        <f>-622.303925855149 -184.560922880965 -708.976085394365</f>
        <v>-1515.8409341304791</v>
      </c>
      <c r="P1575">
        <f>-603.591687802826 -157.860769975913 -394.137753888891</f>
        <v>-1155.59021166763</v>
      </c>
      <c r="Q1575">
        <f>-366.882693557252 -72.6284143346618 -460.064740235406</f>
        <v>-899.57584812731989</v>
      </c>
      <c r="R1575" t="s">
        <v>31912</v>
      </c>
      <c r="S1575" t="s">
        <v>31913</v>
      </c>
      <c r="T1575" t="s">
        <v>31914</v>
      </c>
      <c r="U1575" t="s">
        <v>31915</v>
      </c>
      <c r="V1575">
        <f>-589.280932476371 -44.4995427951631 -232.934519844224</f>
        <v>-866.71499511575814</v>
      </c>
      <c r="W1575" t="s">
        <v>31916</v>
      </c>
      <c r="X1575" t="s">
        <v>31917</v>
      </c>
      <c r="Y1575" t="s">
        <v>31918</v>
      </c>
    </row>
    <row r="1576" spans="1:25" x14ac:dyDescent="0.3">
      <c r="A1576">
        <v>78750</v>
      </c>
      <c r="B1576" t="s">
        <v>31919</v>
      </c>
      <c r="C1576" t="s">
        <v>31920</v>
      </c>
      <c r="D1576" t="s">
        <v>31921</v>
      </c>
      <c r="E1576" t="s">
        <v>31922</v>
      </c>
      <c r="F1576" t="s">
        <v>31923</v>
      </c>
      <c r="G1576" t="s">
        <v>31924</v>
      </c>
      <c r="H1576">
        <f>-590.053834068104 -35.6559514498142 -836.401734712066</f>
        <v>-1462.1115202299843</v>
      </c>
      <c r="I1576">
        <f>-555.55196421372 -57.399155356324 -929.781836868674</f>
        <v>-1542.732956438718</v>
      </c>
      <c r="J1576" t="s">
        <v>31925</v>
      </c>
      <c r="K1576" t="s">
        <v>31926</v>
      </c>
      <c r="L1576" t="s">
        <v>31927</v>
      </c>
      <c r="M1576" t="s">
        <v>31928</v>
      </c>
      <c r="N1576">
        <f>-599.68132191519 -49.3654104924873 -763.791237171863</f>
        <v>-1412.8379695795402</v>
      </c>
      <c r="O1576">
        <f>-621.957760204391 -183.892522605999 -708.742542000631</f>
        <v>-1514.592824811021</v>
      </c>
      <c r="P1576">
        <f>-602.9194008039 -157.529865369048 -393.895515397118</f>
        <v>-1154.3447815700661</v>
      </c>
      <c r="Q1576">
        <f>-366.257481285792 -72.7516951166125 -460.572668325091</f>
        <v>-899.58184472749554</v>
      </c>
      <c r="R1576" t="s">
        <v>31929</v>
      </c>
      <c r="S1576" t="s">
        <v>31930</v>
      </c>
      <c r="T1576" t="s">
        <v>31931</v>
      </c>
      <c r="U1576" t="s">
        <v>31932</v>
      </c>
      <c r="V1576">
        <f>-588.175748812979 -43.1560203092212 -232.978506378137</f>
        <v>-864.31027550033718</v>
      </c>
      <c r="W1576" t="s">
        <v>31933</v>
      </c>
      <c r="X1576" t="s">
        <v>31934</v>
      </c>
      <c r="Y1576" t="s">
        <v>31935</v>
      </c>
    </row>
    <row r="1577" spans="1:25" x14ac:dyDescent="0.3">
      <c r="A1577">
        <v>78800</v>
      </c>
      <c r="B1577" t="s">
        <v>31936</v>
      </c>
      <c r="C1577" t="s">
        <v>31937</v>
      </c>
      <c r="D1577" t="s">
        <v>31938</v>
      </c>
      <c r="E1577" t="s">
        <v>31939</v>
      </c>
      <c r="F1577" t="s">
        <v>31940</v>
      </c>
      <c r="G1577" t="s">
        <v>31941</v>
      </c>
      <c r="H1577">
        <f>-589.689303660923 -35.4080754804466 -836.455345137495</f>
        <v>-1461.5527242788646</v>
      </c>
      <c r="I1577">
        <f>-555.25771262611 -57.1953572098281 -929.850975801866</f>
        <v>-1542.3040456378039</v>
      </c>
      <c r="J1577" t="s">
        <v>31942</v>
      </c>
      <c r="K1577" t="s">
        <v>31943</v>
      </c>
      <c r="L1577" t="s">
        <v>31944</v>
      </c>
      <c r="M1577" t="s">
        <v>31945</v>
      </c>
      <c r="N1577">
        <f>-599.258458292235 -49.0955273640172 -763.833005770974</f>
        <v>-1412.1869914272261</v>
      </c>
      <c r="O1577">
        <f>-621.608728974426 -183.586210168789 -708.718474924292</f>
        <v>-1513.9134140675069</v>
      </c>
      <c r="P1577">
        <f>-602.368132956545 -157.457129638558 -393.86401580328</f>
        <v>-1153.6892783983828</v>
      </c>
      <c r="Q1577">
        <f>-365.821522435827 -72.8380685841599 -461.149537108253</f>
        <v>-899.80912812823988</v>
      </c>
      <c r="R1577" t="s">
        <v>31946</v>
      </c>
      <c r="S1577" t="s">
        <v>31947</v>
      </c>
      <c r="T1577" t="s">
        <v>31948</v>
      </c>
      <c r="U1577" t="s">
        <v>31949</v>
      </c>
      <c r="V1577">
        <f>-587.531347705235 -42.6392841827621 -232.972218605862</f>
        <v>-863.14285049385921</v>
      </c>
      <c r="W1577" t="s">
        <v>31950</v>
      </c>
      <c r="X1577" t="s">
        <v>31951</v>
      </c>
      <c r="Y1577" t="s">
        <v>31952</v>
      </c>
    </row>
    <row r="1578" spans="1:25" x14ac:dyDescent="0.3">
      <c r="A1578">
        <v>78850</v>
      </c>
      <c r="B1578" t="s">
        <v>31953</v>
      </c>
      <c r="C1578" t="s">
        <v>31954</v>
      </c>
      <c r="D1578" t="s">
        <v>31955</v>
      </c>
      <c r="E1578" t="s">
        <v>31956</v>
      </c>
      <c r="F1578" t="s">
        <v>31957</v>
      </c>
      <c r="G1578" t="s">
        <v>31958</v>
      </c>
      <c r="H1578">
        <f>-589.063688399072 -34.8458809849806 -836.56998130299</f>
        <v>-1460.4795506870425</v>
      </c>
      <c r="I1578">
        <f>-554.795821409728 -56.6281449061969 -930.027090995458</f>
        <v>-1541.451057311383</v>
      </c>
      <c r="J1578" t="s">
        <v>31959</v>
      </c>
      <c r="K1578" t="s">
        <v>31960</v>
      </c>
      <c r="L1578" t="s">
        <v>31961</v>
      </c>
      <c r="M1578" t="s">
        <v>31962</v>
      </c>
      <c r="N1578">
        <f>-598.515415978634 -48.5356313455292 -763.932628757004</f>
        <v>-1410.9836760811672</v>
      </c>
      <c r="O1578">
        <f>-620.962485956991 -182.971392462833 -708.730773813617</f>
        <v>-1512.6646522334411</v>
      </c>
      <c r="P1578">
        <f>-600.959653436218 -157.664011570333 -393.856865037431</f>
        <v>-1152.4805300439821</v>
      </c>
      <c r="Q1578">
        <f>-364.806395180519 -72.9307669658349 -462.369368614085</f>
        <v>-900.10653076043889</v>
      </c>
      <c r="R1578" t="s">
        <v>31963</v>
      </c>
      <c r="S1578" t="s">
        <v>31964</v>
      </c>
      <c r="T1578" t="s">
        <v>31965</v>
      </c>
      <c r="U1578" t="s">
        <v>31966</v>
      </c>
      <c r="V1578">
        <f>-586.319198924105 -41.7193812852919 -232.95877391529</f>
        <v>-860.99735412468681</v>
      </c>
      <c r="W1578" t="s">
        <v>31967</v>
      </c>
      <c r="X1578" t="s">
        <v>31968</v>
      </c>
      <c r="Y1578" t="s">
        <v>31969</v>
      </c>
    </row>
    <row r="1579" spans="1:25" x14ac:dyDescent="0.3">
      <c r="A1579">
        <v>78900</v>
      </c>
      <c r="B1579" t="s">
        <v>31970</v>
      </c>
      <c r="C1579" t="s">
        <v>31971</v>
      </c>
      <c r="D1579" t="s">
        <v>31972</v>
      </c>
      <c r="E1579" t="s">
        <v>31973</v>
      </c>
      <c r="F1579" t="s">
        <v>31974</v>
      </c>
      <c r="G1579" t="s">
        <v>31975</v>
      </c>
      <c r="H1579">
        <f>-588.795289515821 -34.4599333866084 -836.666611055722</f>
        <v>-1459.9218339581514</v>
      </c>
      <c r="I1579">
        <f>-554.615587276419 -56.21321294259 -930.162767038494</f>
        <v>-1540.991567257503</v>
      </c>
      <c r="J1579" t="s">
        <v>31976</v>
      </c>
      <c r="K1579" t="s">
        <v>31977</v>
      </c>
      <c r="L1579" t="s">
        <v>31978</v>
      </c>
      <c r="M1579" t="s">
        <v>31979</v>
      </c>
      <c r="N1579">
        <f>-598.166083586769 -48.1702051402286 -764.022788511195</f>
        <v>-1410.3590772381926</v>
      </c>
      <c r="O1579">
        <f>-620.612480541089 -182.619451123544 -708.816107186728</f>
        <v>-1512.0480388513611</v>
      </c>
      <c r="P1579">
        <f>-599.975618607809 -156.836705945908 -394.021653413938</f>
        <v>-1150.8339779676548</v>
      </c>
      <c r="Q1579">
        <f>-363.614215186724 -72.6175195349602 -462.450073956479</f>
        <v>-898.68180867816318</v>
      </c>
      <c r="R1579" t="s">
        <v>31980</v>
      </c>
      <c r="S1579" t="s">
        <v>31981</v>
      </c>
      <c r="T1579" t="s">
        <v>31982</v>
      </c>
      <c r="U1579" t="s">
        <v>31983</v>
      </c>
      <c r="V1579">
        <f>-585.643632667962 -41.2516936224071 -232.949995216742</f>
        <v>-859.84532150711107</v>
      </c>
      <c r="W1579" t="s">
        <v>31984</v>
      </c>
      <c r="X1579" t="s">
        <v>31985</v>
      </c>
      <c r="Y1579" t="s">
        <v>31986</v>
      </c>
    </row>
    <row r="1580" spans="1:25" x14ac:dyDescent="0.3">
      <c r="A1580">
        <v>78950</v>
      </c>
      <c r="B1580" t="s">
        <v>31987</v>
      </c>
      <c r="C1580" t="s">
        <v>31988</v>
      </c>
      <c r="D1580" t="s">
        <v>31989</v>
      </c>
      <c r="E1580" t="s">
        <v>31990</v>
      </c>
      <c r="F1580" t="s">
        <v>31991</v>
      </c>
      <c r="G1580" t="s">
        <v>31992</v>
      </c>
      <c r="H1580">
        <f>-587.829469731189 -34.3040070349027 -836.799467002913</f>
        <v>-1458.9329437690049</v>
      </c>
      <c r="I1580">
        <f>-553.89238854289 -55.9800673408953 -930.401803506782</f>
        <v>-1540.2742593905673</v>
      </c>
      <c r="J1580" t="s">
        <v>31993</v>
      </c>
      <c r="K1580" t="s">
        <v>31994</v>
      </c>
      <c r="L1580" t="s">
        <v>31995</v>
      </c>
      <c r="M1580" t="s">
        <v>31996</v>
      </c>
      <c r="N1580">
        <f>-597.036419598116 -48.0176656450444 -764.135262313457</f>
        <v>-1409.1893475566176</v>
      </c>
      <c r="O1580">
        <f>-619.355719563967 -182.463183689071 -708.922972043797</f>
        <v>-1510.7418752968351</v>
      </c>
      <c r="P1580">
        <f>-598.806418325622 -156.764548176546 -394.115830148983</f>
        <v>-1149.6867966511509</v>
      </c>
      <c r="Q1580">
        <f>-362.415364828869 -72.6430411684771 -462.562206792054</f>
        <v>-897.62061278940007</v>
      </c>
      <c r="R1580" t="s">
        <v>31997</v>
      </c>
      <c r="S1580" t="s">
        <v>31998</v>
      </c>
      <c r="T1580" t="s">
        <v>31999</v>
      </c>
      <c r="U1580" t="s">
        <v>32000</v>
      </c>
      <c r="V1580">
        <f>-584.421781134349 -40.6682388294269 -232.907233330538</f>
        <v>-857.99725329431385</v>
      </c>
      <c r="W1580" t="s">
        <v>32001</v>
      </c>
      <c r="X1580" t="s">
        <v>32002</v>
      </c>
      <c r="Y1580" t="s">
        <v>32003</v>
      </c>
    </row>
    <row r="1581" spans="1:25" x14ac:dyDescent="0.3">
      <c r="A1581">
        <v>79000</v>
      </c>
      <c r="B1581" t="s">
        <v>32004</v>
      </c>
      <c r="C1581" t="s">
        <v>32005</v>
      </c>
      <c r="D1581" t="s">
        <v>32006</v>
      </c>
      <c r="E1581" t="s">
        <v>32007</v>
      </c>
      <c r="F1581" t="s">
        <v>32008</v>
      </c>
      <c r="G1581" t="s">
        <v>32009</v>
      </c>
      <c r="H1581">
        <f>-587.224581070602 -34.0884773115778 -836.900761918334</f>
        <v>-1458.2138203005138</v>
      </c>
      <c r="I1581">
        <f>-553.401599374171 -55.6990711631476 -930.559478821195</f>
        <v>-1539.6601493585135</v>
      </c>
      <c r="J1581" t="s">
        <v>32010</v>
      </c>
      <c r="K1581" t="s">
        <v>32011</v>
      </c>
      <c r="L1581" t="s">
        <v>32012</v>
      </c>
      <c r="M1581" t="s">
        <v>32013</v>
      </c>
      <c r="N1581">
        <f>-596.343820195711 -47.8298875607751 -764.230636262043</f>
        <v>-1408.4043440185292</v>
      </c>
      <c r="O1581">
        <f>-618.58114329398 -182.309547431459 -709.039437250797</f>
        <v>-1509.930127976236</v>
      </c>
      <c r="P1581">
        <f>-597.99959816265 -156.522577480068 -394.241687533989</f>
        <v>-1148.763863176707</v>
      </c>
      <c r="Q1581">
        <f>-361.614514333526 -72.3382545233688 -462.631230826305</f>
        <v>-896.58399968319986</v>
      </c>
      <c r="R1581" t="s">
        <v>32014</v>
      </c>
      <c r="S1581" t="s">
        <v>32015</v>
      </c>
      <c r="T1581" t="s">
        <v>32016</v>
      </c>
      <c r="U1581" t="s">
        <v>32017</v>
      </c>
      <c r="V1581">
        <f>-583.731450539219 -40.3052549902648 -232.905700251346</f>
        <v>-856.94240578082986</v>
      </c>
      <c r="W1581" t="s">
        <v>32018</v>
      </c>
      <c r="X1581" t="s">
        <v>32019</v>
      </c>
      <c r="Y1581" t="s">
        <v>32020</v>
      </c>
    </row>
    <row r="1582" spans="1:25" x14ac:dyDescent="0.3">
      <c r="A1582">
        <v>79050</v>
      </c>
      <c r="B1582" t="s">
        <v>32021</v>
      </c>
      <c r="C1582" t="s">
        <v>32022</v>
      </c>
      <c r="D1582" t="s">
        <v>32023</v>
      </c>
      <c r="E1582" t="s">
        <v>32024</v>
      </c>
      <c r="F1582" t="s">
        <v>32025</v>
      </c>
      <c r="G1582" t="s">
        <v>32026</v>
      </c>
      <c r="H1582">
        <f>-586.254435794047 -33.4471066010559 -837.038166725956</f>
        <v>-1456.7397091210589</v>
      </c>
      <c r="I1582">
        <f>-552.54671161927 -54.8912275003032 -930.776704514156</f>
        <v>-1538.2146436337293</v>
      </c>
      <c r="J1582" t="s">
        <v>32027</v>
      </c>
      <c r="K1582" t="s">
        <v>32028</v>
      </c>
      <c r="L1582" t="s">
        <v>32029</v>
      </c>
      <c r="M1582" t="s">
        <v>32030</v>
      </c>
      <c r="N1582">
        <f>-595.274663513963 -47.2427645092005 -764.366022309123</f>
        <v>-1406.8834503322864</v>
      </c>
      <c r="O1582">
        <f>-617.496814083451 -181.715444528825 -709.177845299219</f>
        <v>-1508.3901039114949</v>
      </c>
      <c r="P1582">
        <f>-596.341095760256 -155.41835013795 -394.460384712861</f>
        <v>-1146.2198306110672</v>
      </c>
      <c r="Q1582">
        <f>-359.773821861404 -71.4145465647855 -462.440869882701</f>
        <v>-893.62923830889054</v>
      </c>
      <c r="R1582" t="s">
        <v>32031</v>
      </c>
      <c r="S1582" t="s">
        <v>32032</v>
      </c>
      <c r="T1582" t="s">
        <v>32033</v>
      </c>
      <c r="U1582" t="s">
        <v>32034</v>
      </c>
      <c r="V1582">
        <f>-582.708523995342 -39.4425968662466 -232.838794804499</f>
        <v>-854.98991566608765</v>
      </c>
      <c r="W1582" t="s">
        <v>32035</v>
      </c>
      <c r="X1582" t="s">
        <v>32036</v>
      </c>
      <c r="Y1582" t="s">
        <v>32037</v>
      </c>
    </row>
    <row r="1583" spans="1:25" x14ac:dyDescent="0.3">
      <c r="A1583">
        <v>79100</v>
      </c>
      <c r="B1583" t="s">
        <v>32038</v>
      </c>
      <c r="C1583" t="s">
        <v>32039</v>
      </c>
      <c r="D1583" t="s">
        <v>32040</v>
      </c>
      <c r="E1583" t="s">
        <v>32041</v>
      </c>
      <c r="F1583" t="s">
        <v>32042</v>
      </c>
      <c r="G1583" t="s">
        <v>32043</v>
      </c>
      <c r="H1583">
        <f>-585.961647245651 -33.3092359256198 -836.9747890807</f>
        <v>-1456.2456722519707</v>
      </c>
      <c r="I1583">
        <f>-552.248796998286 -54.7181965102981 -930.719495936101</f>
        <v>-1537.6864894446851</v>
      </c>
      <c r="J1583" t="s">
        <v>32044</v>
      </c>
      <c r="K1583" t="s">
        <v>32045</v>
      </c>
      <c r="L1583" t="s">
        <v>32046</v>
      </c>
      <c r="M1583" t="s">
        <v>32047</v>
      </c>
      <c r="N1583">
        <f>-595.001294696717 -47.0661753639268 -764.297779684919</f>
        <v>-1406.3652497455628</v>
      </c>
      <c r="O1583">
        <f>-617.292506789904 -181.512716617823 -709.076060497824</f>
        <v>-1507.8812839055508</v>
      </c>
      <c r="P1583">
        <f>-595.902054559148 -154.921619478525 -394.399148670386</f>
        <v>-1145.2228227080591</v>
      </c>
      <c r="Q1583">
        <f>-359.222220010812 -70.8937888447231 -461.956763847883</f>
        <v>-892.0727727034182</v>
      </c>
      <c r="R1583" t="s">
        <v>32048</v>
      </c>
      <c r="S1583" t="s">
        <v>32049</v>
      </c>
      <c r="T1583" t="s">
        <v>32050</v>
      </c>
      <c r="U1583" t="s">
        <v>32051</v>
      </c>
      <c r="V1583">
        <f>-582.308421785809 -38.9121795657332 -232.784717915389</f>
        <v>-854.00531926693122</v>
      </c>
      <c r="W1583" t="s">
        <v>32052</v>
      </c>
      <c r="X1583" t="s">
        <v>32053</v>
      </c>
      <c r="Y1583" t="s">
        <v>32054</v>
      </c>
    </row>
    <row r="1584" spans="1:25" x14ac:dyDescent="0.3">
      <c r="A1584">
        <v>79150</v>
      </c>
      <c r="B1584" t="s">
        <v>32055</v>
      </c>
      <c r="C1584" t="s">
        <v>32056</v>
      </c>
      <c r="D1584" t="s">
        <v>32057</v>
      </c>
      <c r="E1584" t="s">
        <v>32058</v>
      </c>
      <c r="F1584" t="s">
        <v>32059</v>
      </c>
      <c r="G1584" t="s">
        <v>32060</v>
      </c>
      <c r="H1584">
        <f>-585.015188204855 -33.3396203046289 -836.789514311526</f>
        <v>-1455.1443228210098</v>
      </c>
      <c r="I1584">
        <f>-551.197719585419 -54.761731480109 -930.493570539986</f>
        <v>-1536.4530216055141</v>
      </c>
      <c r="J1584" t="s">
        <v>32061</v>
      </c>
      <c r="K1584" t="s">
        <v>32062</v>
      </c>
      <c r="L1584" t="s">
        <v>32063</v>
      </c>
      <c r="M1584" t="s">
        <v>32064</v>
      </c>
      <c r="N1584">
        <f>-594.068803819943 -47.0100298718678 -764.097879124379</f>
        <v>-1405.1767128161898</v>
      </c>
      <c r="O1584">
        <f>-616.302231479847 -181.454822999371 -708.820307874883</f>
        <v>-1506.5773623541011</v>
      </c>
      <c r="P1584">
        <f>-595.244757677928 -154.500808140202 -394.151861244662</f>
        <v>-1143.8974270627918</v>
      </c>
      <c r="Q1584">
        <f>-358.506994798096 -70.1619009387989 -461.116497171019</f>
        <v>-889.78539290791389</v>
      </c>
      <c r="R1584" t="s">
        <v>32065</v>
      </c>
      <c r="S1584" t="s">
        <v>32066</v>
      </c>
      <c r="T1584" t="s">
        <v>32067</v>
      </c>
      <c r="U1584" t="s">
        <v>32068</v>
      </c>
      <c r="V1584">
        <f>-581.691209630935 -38.3758284267156 -232.683329631846</f>
        <v>-852.75036768949644</v>
      </c>
      <c r="W1584" t="s">
        <v>32069</v>
      </c>
      <c r="X1584" t="s">
        <v>32070</v>
      </c>
      <c r="Y1584" t="s">
        <v>32071</v>
      </c>
    </row>
    <row r="1585" spans="1:25" x14ac:dyDescent="0.3">
      <c r="A1585">
        <v>79200</v>
      </c>
      <c r="B1585" t="s">
        <v>32072</v>
      </c>
      <c r="C1585" t="s">
        <v>32073</v>
      </c>
      <c r="D1585" t="s">
        <v>32074</v>
      </c>
      <c r="E1585" t="s">
        <v>32075</v>
      </c>
      <c r="F1585" t="s">
        <v>32076</v>
      </c>
      <c r="G1585" t="s">
        <v>32077</v>
      </c>
      <c r="H1585">
        <f>-584.385066523016 -33.3976841301608 -836.675837765054</f>
        <v>-1454.4585884182306</v>
      </c>
      <c r="I1585">
        <f>-550.44498637431 -54.8606421697257 -930.326244762102</f>
        <v>-1535.6318733061375</v>
      </c>
      <c r="J1585" t="s">
        <v>32078</v>
      </c>
      <c r="K1585" t="s">
        <v>32079</v>
      </c>
      <c r="L1585" t="s">
        <v>32080</v>
      </c>
      <c r="M1585" t="s">
        <v>32081</v>
      </c>
      <c r="N1585">
        <f>-593.526226680001 -47.0373754063037 -763.989346506588</f>
        <v>-1404.5529485928928</v>
      </c>
      <c r="O1585">
        <f>-615.72189882517 -181.47022264425 -708.67172237867</f>
        <v>-1505.86384384809</v>
      </c>
      <c r="P1585">
        <f>-595.072893374739 -154.185237557075 -394.00465779715</f>
        <v>-1143.2627887289641</v>
      </c>
      <c r="Q1585">
        <f>-358.311961801254 -69.8498952107953 -460.891698146228</f>
        <v>-889.05355515827728</v>
      </c>
      <c r="R1585" t="s">
        <v>32082</v>
      </c>
      <c r="S1585" t="s">
        <v>32083</v>
      </c>
      <c r="T1585" t="s">
        <v>32084</v>
      </c>
      <c r="U1585" t="s">
        <v>32085</v>
      </c>
      <c r="V1585">
        <f>-581.609799822015 -38.1887097751814 -232.617739028952</f>
        <v>-852.41624862614844</v>
      </c>
      <c r="W1585" t="s">
        <v>32086</v>
      </c>
      <c r="X1585" t="s">
        <v>32087</v>
      </c>
      <c r="Y1585" t="s">
        <v>32088</v>
      </c>
    </row>
    <row r="1586" spans="1:25" x14ac:dyDescent="0.3">
      <c r="A1586">
        <v>79250</v>
      </c>
      <c r="B1586" t="s">
        <v>32089</v>
      </c>
      <c r="C1586" t="s">
        <v>32090</v>
      </c>
      <c r="D1586" t="s">
        <v>32091</v>
      </c>
      <c r="E1586" t="s">
        <v>32092</v>
      </c>
      <c r="F1586" t="s">
        <v>32093</v>
      </c>
      <c r="G1586" t="s">
        <v>32094</v>
      </c>
      <c r="H1586">
        <f>-584.203576623638 -33.470877350405 -836.346960281231</f>
        <v>-1454.0214142552741</v>
      </c>
      <c r="I1586">
        <f>-549.899220339295 -55.0552817927606 -929.836566316802</f>
        <v>-1534.7910684488575</v>
      </c>
      <c r="J1586" t="s">
        <v>32095</v>
      </c>
      <c r="K1586" t="s">
        <v>32096</v>
      </c>
      <c r="L1586" t="s">
        <v>32097</v>
      </c>
      <c r="M1586" t="s">
        <v>32098</v>
      </c>
      <c r="N1586">
        <f>-593.608626619202 -47.0794659563427 -763.68841732793</f>
        <v>-1404.3765099034747</v>
      </c>
      <c r="O1586">
        <f>-615.565435868403 -181.590969361736 -708.488037802192</f>
        <v>-1505.6444430323311</v>
      </c>
      <c r="P1586">
        <f>-596.191543010108 -153.644072487126 -393.79807450553</f>
        <v>-1143.6336900027641</v>
      </c>
      <c r="Q1586">
        <f>-359.083641685809 -69.5235062110951 -459.71943365481</f>
        <v>-888.32658155171407</v>
      </c>
      <c r="R1586" t="s">
        <v>32099</v>
      </c>
      <c r="S1586" t="s">
        <v>32100</v>
      </c>
      <c r="T1586" t="s">
        <v>32101</v>
      </c>
      <c r="U1586" t="s">
        <v>32102</v>
      </c>
      <c r="V1586">
        <f>-581.885333552296 -38.2958978781789 -232.518257151986</f>
        <v>-852.69948858246084</v>
      </c>
      <c r="W1586" t="s">
        <v>32103</v>
      </c>
      <c r="X1586" t="s">
        <v>32104</v>
      </c>
      <c r="Y1586" t="s">
        <v>32105</v>
      </c>
    </row>
    <row r="1587" spans="1:25" x14ac:dyDescent="0.3">
      <c r="A1587">
        <v>79300</v>
      </c>
      <c r="B1587" t="s">
        <v>32106</v>
      </c>
      <c r="C1587" t="s">
        <v>32107</v>
      </c>
      <c r="D1587" t="s">
        <v>32108</v>
      </c>
      <c r="E1587" t="s">
        <v>32109</v>
      </c>
      <c r="F1587" t="s">
        <v>32110</v>
      </c>
      <c r="G1587" t="s">
        <v>32111</v>
      </c>
      <c r="H1587">
        <f>-584.664776892781 -33.6222045242886 -836.200448708805</f>
        <v>-1454.4874301258747</v>
      </c>
      <c r="I1587">
        <f>-550.186989579938 -55.2845817087512 -929.608195831808</f>
        <v>-1535.0797671204971</v>
      </c>
      <c r="J1587" t="s">
        <v>32112</v>
      </c>
      <c r="K1587" t="s">
        <v>32113</v>
      </c>
      <c r="L1587" t="s">
        <v>32114</v>
      </c>
      <c r="M1587" t="s">
        <v>32115</v>
      </c>
      <c r="N1587">
        <f>-594.151556734952 -47.2172403463186 -763.550010526283</f>
        <v>-1404.9188076075536</v>
      </c>
      <c r="O1587">
        <f>-615.97592247431 -181.805377261089 -708.489475372336</f>
        <v>-1506.2707751077351</v>
      </c>
      <c r="P1587">
        <f>-597.250313629613 -153.541941924373 -393.788496624765</f>
        <v>-1144.580752178751</v>
      </c>
      <c r="Q1587">
        <f>-359.924669524886 -69.5358498804162 -459.06918661524</f>
        <v>-888.52970602054222</v>
      </c>
      <c r="R1587" t="s">
        <v>32116</v>
      </c>
      <c r="S1587" t="s">
        <v>32117</v>
      </c>
      <c r="T1587" t="s">
        <v>32118</v>
      </c>
      <c r="U1587" t="s">
        <v>32119</v>
      </c>
      <c r="V1587">
        <f>-582.421392479763 -38.4516041769358 -232.501711667014</f>
        <v>-853.37470832371275</v>
      </c>
      <c r="W1587" t="s">
        <v>32120</v>
      </c>
      <c r="X1587" t="s">
        <v>32121</v>
      </c>
      <c r="Y1587" t="s">
        <v>32122</v>
      </c>
    </row>
    <row r="1588" spans="1:25" x14ac:dyDescent="0.3">
      <c r="A1588">
        <v>79350</v>
      </c>
      <c r="B1588" t="s">
        <v>32123</v>
      </c>
      <c r="C1588" t="s">
        <v>32124</v>
      </c>
      <c r="D1588" t="s">
        <v>32125</v>
      </c>
      <c r="E1588" t="s">
        <v>32126</v>
      </c>
      <c r="F1588" t="s">
        <v>32127</v>
      </c>
      <c r="G1588" t="s">
        <v>32128</v>
      </c>
      <c r="H1588">
        <f>-585.41456036075 -34.2273612955264 -836.171327776767</f>
        <v>-1455.8132494330434</v>
      </c>
      <c r="I1588">
        <f>-550.616513550836 -55.9184581073409 -929.453576820979</f>
        <v>-1535.988548479156</v>
      </c>
      <c r="J1588" t="s">
        <v>32129</v>
      </c>
      <c r="K1588" t="s">
        <v>32130</v>
      </c>
      <c r="L1588" t="s">
        <v>32131</v>
      </c>
      <c r="M1588" t="s">
        <v>32132</v>
      </c>
      <c r="N1588">
        <f>-595.008770194935 -47.8066588280398 -763.531937307189</f>
        <v>-1406.3473663301638</v>
      </c>
      <c r="O1588">
        <f>-616.613028537659 -182.485460971305 -708.566194340143</f>
        <v>-1507.664683849107</v>
      </c>
      <c r="P1588">
        <f>-598.52081950018 -154.051554532893 -393.843579174366</f>
        <v>-1146.4159532074391</v>
      </c>
      <c r="Q1588">
        <f>-360.75045968517 -70.3187088559073 -457.8442490417</f>
        <v>-888.91341758277724</v>
      </c>
      <c r="R1588" t="s">
        <v>32133</v>
      </c>
      <c r="S1588" t="s">
        <v>32134</v>
      </c>
      <c r="T1588" t="s">
        <v>32135</v>
      </c>
      <c r="U1588" t="s">
        <v>32136</v>
      </c>
      <c r="V1588">
        <f>-583.494976098612 -38.98560915091 -232.569616388699</f>
        <v>-855.0502016382211</v>
      </c>
      <c r="W1588" t="s">
        <v>32137</v>
      </c>
      <c r="X1588" t="s">
        <v>32138</v>
      </c>
      <c r="Y1588" t="s">
        <v>32139</v>
      </c>
    </row>
    <row r="1589" spans="1:25" x14ac:dyDescent="0.3">
      <c r="A1589">
        <v>79400</v>
      </c>
      <c r="B1589" t="s">
        <v>32140</v>
      </c>
      <c r="C1589" t="s">
        <v>32141</v>
      </c>
      <c r="D1589" t="s">
        <v>32142</v>
      </c>
      <c r="E1589" t="s">
        <v>32143</v>
      </c>
      <c r="F1589" t="s">
        <v>32144</v>
      </c>
      <c r="G1589" t="s">
        <v>32145</v>
      </c>
      <c r="H1589">
        <f>-586.017334030857 -34.5825343440934 -836.157722726132</f>
        <v>-1456.7575911010822</v>
      </c>
      <c r="I1589">
        <f>-551.080496588419 -56.2740115644235 -929.38799793351</f>
        <v>-1536.7425060863525</v>
      </c>
      <c r="J1589" t="s">
        <v>32146</v>
      </c>
      <c r="K1589" t="s">
        <v>32147</v>
      </c>
      <c r="L1589" t="s">
        <v>32148</v>
      </c>
      <c r="M1589" t="s">
        <v>32149</v>
      </c>
      <c r="N1589">
        <f>-595.671071673441 -48.1153910672621 -763.517630292319</f>
        <v>-1407.3040930330221</v>
      </c>
      <c r="O1589">
        <f>-617.228902507172 -182.802240808684 -708.588867875131</f>
        <v>-1508.620011190987</v>
      </c>
      <c r="P1589">
        <f>-599.368756156751 -154.020233537694 -393.884602403537</f>
        <v>-1147.2735920979821</v>
      </c>
      <c r="Q1589">
        <f>-361.418315191008 -70.400345159389 -457.361839877244</f>
        <v>-889.18050022764101</v>
      </c>
      <c r="R1589" t="s">
        <v>32150</v>
      </c>
      <c r="S1589" t="s">
        <v>32151</v>
      </c>
      <c r="T1589" t="s">
        <v>32152</v>
      </c>
      <c r="U1589" t="s">
        <v>32153</v>
      </c>
      <c r="V1589">
        <f>-584.224064336917 -39.1348904623195 -232.610566847176</f>
        <v>-855.96952164641243</v>
      </c>
      <c r="W1589" t="s">
        <v>32154</v>
      </c>
      <c r="X1589" t="s">
        <v>32155</v>
      </c>
      <c r="Y1589" t="s">
        <v>32156</v>
      </c>
    </row>
    <row r="1590" spans="1:25" x14ac:dyDescent="0.3">
      <c r="A1590">
        <v>79450</v>
      </c>
      <c r="B1590" t="s">
        <v>32157</v>
      </c>
      <c r="C1590" t="s">
        <v>32158</v>
      </c>
      <c r="D1590" t="s">
        <v>32159</v>
      </c>
      <c r="E1590" t="s">
        <v>32160</v>
      </c>
      <c r="F1590" t="s">
        <v>32161</v>
      </c>
      <c r="G1590" t="s">
        <v>32162</v>
      </c>
      <c r="H1590">
        <f>-587.556569338352 -35.4905278430278 -835.999666166398</f>
        <v>-1459.0467633477779</v>
      </c>
      <c r="I1590">
        <f>-552.371434156513 -57.3058681511035 -929.10754788639</f>
        <v>-1538.7848501940066</v>
      </c>
      <c r="J1590" t="s">
        <v>32163</v>
      </c>
      <c r="K1590" t="s">
        <v>32164</v>
      </c>
      <c r="L1590" t="s">
        <v>32165</v>
      </c>
      <c r="M1590" t="s">
        <v>32166</v>
      </c>
      <c r="N1590">
        <f>-597.418818570497 -48.8497943649392 -763.355425910198</f>
        <v>-1409.6240388456342</v>
      </c>
      <c r="O1590">
        <f>-619.210549705856 -183.454232348553 -708.314693405939</f>
        <v>-1510.9794754603481</v>
      </c>
      <c r="P1590">
        <f>-601.699629473042 -154.50052161007 -393.606570928098</f>
        <v>-1149.80672201121</v>
      </c>
      <c r="Q1590">
        <f>-363.631337223855 -70.9457904858766 -456.726512272349</f>
        <v>-891.30363998208054</v>
      </c>
      <c r="R1590" t="s">
        <v>32167</v>
      </c>
      <c r="S1590" t="s">
        <v>32168</v>
      </c>
      <c r="T1590" t="s">
        <v>32169</v>
      </c>
      <c r="U1590" t="s">
        <v>32170</v>
      </c>
      <c r="V1590">
        <f>-585.792220926707 -39.3918504688528 -232.726294745719</f>
        <v>-857.91036614127881</v>
      </c>
      <c r="W1590" t="s">
        <v>32171</v>
      </c>
      <c r="X1590" t="s">
        <v>32172</v>
      </c>
      <c r="Y1590" t="s">
        <v>32173</v>
      </c>
    </row>
    <row r="1591" spans="1:25" x14ac:dyDescent="0.3">
      <c r="A1591">
        <v>79500</v>
      </c>
      <c r="B1591" t="s">
        <v>32174</v>
      </c>
      <c r="C1591" t="s">
        <v>32175</v>
      </c>
      <c r="D1591" t="s">
        <v>32176</v>
      </c>
      <c r="E1591" t="s">
        <v>32177</v>
      </c>
      <c r="F1591" t="s">
        <v>32178</v>
      </c>
      <c r="G1591" t="s">
        <v>32179</v>
      </c>
      <c r="H1591">
        <f>-588.076983672212 -36.1079925441195 -835.990477612555</f>
        <v>-1460.1754538288865</v>
      </c>
      <c r="I1591">
        <f>-552.782766265934 -58.0326419980618 -929.03132537174</f>
        <v>-1539.8467336357357</v>
      </c>
      <c r="J1591" t="s">
        <v>32180</v>
      </c>
      <c r="K1591" t="s">
        <v>32181</v>
      </c>
      <c r="L1591" t="s">
        <v>32182</v>
      </c>
      <c r="M1591" t="s">
        <v>32183</v>
      </c>
      <c r="N1591">
        <f>-598.005886676965 -49.3713573845004 -763.337818979987</f>
        <v>-1410.7150630414524</v>
      </c>
      <c r="O1591">
        <f>-619.920110187538 -183.898301732215 -708.13696220297</f>
        <v>-1511.955374122723</v>
      </c>
      <c r="P1591">
        <f>-602.484642813279 -154.760542136164 -393.441692558187</f>
        <v>-1150.68687750763</v>
      </c>
      <c r="Q1591">
        <f>-364.237171494277 -71.5476738807333 -456.336812983678</f>
        <v>-892.12165835868825</v>
      </c>
      <c r="R1591" t="s">
        <v>32184</v>
      </c>
      <c r="S1591" t="s">
        <v>32185</v>
      </c>
      <c r="T1591" t="s">
        <v>32186</v>
      </c>
      <c r="U1591" t="s">
        <v>32187</v>
      </c>
      <c r="V1591">
        <f>-586.478211466734 -39.5418075491013 -232.793903966321</f>
        <v>-858.81392298215633</v>
      </c>
      <c r="W1591" t="s">
        <v>32188</v>
      </c>
      <c r="X1591" t="s">
        <v>32189</v>
      </c>
      <c r="Y1591" t="s">
        <v>32190</v>
      </c>
    </row>
    <row r="1592" spans="1:25" x14ac:dyDescent="0.3">
      <c r="A1592">
        <v>79550</v>
      </c>
      <c r="B1592" t="s">
        <v>32191</v>
      </c>
      <c r="C1592" t="s">
        <v>32192</v>
      </c>
      <c r="D1592" t="s">
        <v>32193</v>
      </c>
      <c r="E1592" t="s">
        <v>32194</v>
      </c>
      <c r="F1592" t="s">
        <v>32195</v>
      </c>
      <c r="G1592" t="s">
        <v>32196</v>
      </c>
      <c r="H1592">
        <f>-588.546632432879 -37.5054644900263 -836.006662460536</f>
        <v>-1462.0587593834412</v>
      </c>
      <c r="I1592">
        <f>-553.036669463355 -59.6451055609245 -928.914545941811</f>
        <v>-1541.5963209660904</v>
      </c>
      <c r="J1592" t="s">
        <v>32197</v>
      </c>
      <c r="K1592" t="s">
        <v>32198</v>
      </c>
      <c r="L1592" t="s">
        <v>32199</v>
      </c>
      <c r="M1592" t="s">
        <v>32200</v>
      </c>
      <c r="N1592">
        <f>-598.611355323985 -50.6520917010907 -763.351496861787</f>
        <v>-1412.6149438868629</v>
      </c>
      <c r="O1592">
        <f>-620.401733081409 -185.127207403363 -707.957932792943</f>
        <v>-1513.4868732777149</v>
      </c>
      <c r="P1592">
        <f>-603.335379238245 -154.746881636716 -393.359883484753</f>
        <v>-1151.4421443597139</v>
      </c>
      <c r="Q1592">
        <f>-364.653082438127 -72.2029703816921 -455.483270504674</f>
        <v>-892.33932332449308</v>
      </c>
      <c r="R1592" t="s">
        <v>32201</v>
      </c>
      <c r="S1592" t="s">
        <v>32202</v>
      </c>
      <c r="T1592" t="s">
        <v>32203</v>
      </c>
      <c r="U1592" t="s">
        <v>32204</v>
      </c>
      <c r="V1592">
        <f>-587.303754906326 -39.778745530764 -232.822624184569</f>
        <v>-859.90512462165907</v>
      </c>
      <c r="W1592" t="s">
        <v>32205</v>
      </c>
      <c r="X1592" t="s">
        <v>32206</v>
      </c>
      <c r="Y1592" t="s">
        <v>32207</v>
      </c>
    </row>
    <row r="1593" spans="1:25" x14ac:dyDescent="0.3">
      <c r="A1593">
        <v>79600</v>
      </c>
      <c r="B1593" t="s">
        <v>32208</v>
      </c>
      <c r="C1593" t="s">
        <v>32209</v>
      </c>
      <c r="D1593" t="s">
        <v>32210</v>
      </c>
      <c r="E1593" t="s">
        <v>32211</v>
      </c>
      <c r="F1593" t="s">
        <v>32212</v>
      </c>
      <c r="G1593" t="s">
        <v>32213</v>
      </c>
      <c r="H1593">
        <f>-588.670300833928 -38.3542726962664 -835.978809732606</f>
        <v>-1463.0033832628005</v>
      </c>
      <c r="I1593">
        <f>-553.061174492126 -60.6052084759408 -928.821952177322</f>
        <v>-1542.4883351453889</v>
      </c>
      <c r="J1593" t="s">
        <v>32214</v>
      </c>
      <c r="K1593" t="s">
        <v>32215</v>
      </c>
      <c r="L1593" t="s">
        <v>32216</v>
      </c>
      <c r="M1593" t="s">
        <v>32217</v>
      </c>
      <c r="N1593">
        <f>-598.816312077978 -51.4431809396756 -763.32441202553</f>
        <v>-1413.5839050431837</v>
      </c>
      <c r="O1593">
        <f>-620.489888515536 -185.912514456455 -707.899026998303</f>
        <v>-1514.3014299702941</v>
      </c>
      <c r="P1593">
        <f>-603.810341888301 -155.046388101788 -393.32754499909</f>
        <v>-1152.1842749891789</v>
      </c>
      <c r="Q1593">
        <f>-364.949400965597 -72.6062108315933 -454.899572906941</f>
        <v>-892.45518470413128</v>
      </c>
      <c r="R1593" t="s">
        <v>32218</v>
      </c>
      <c r="S1593" t="s">
        <v>32219</v>
      </c>
      <c r="T1593" t="s">
        <v>32220</v>
      </c>
      <c r="U1593" t="s">
        <v>32221</v>
      </c>
      <c r="V1593">
        <f>-587.386878105942 -39.6461066844785 -232.742623548805</f>
        <v>-859.77560833922541</v>
      </c>
      <c r="W1593" t="s">
        <v>32222</v>
      </c>
      <c r="X1593" t="s">
        <v>32223</v>
      </c>
      <c r="Y1593" t="s">
        <v>32224</v>
      </c>
    </row>
    <row r="1594" spans="1:25" x14ac:dyDescent="0.3">
      <c r="A1594">
        <v>79650</v>
      </c>
      <c r="B1594" t="s">
        <v>32225</v>
      </c>
      <c r="C1594" t="s">
        <v>32226</v>
      </c>
      <c r="D1594" t="s">
        <v>32227</v>
      </c>
      <c r="E1594" t="s">
        <v>32228</v>
      </c>
      <c r="F1594" t="s">
        <v>32229</v>
      </c>
      <c r="G1594" t="s">
        <v>32230</v>
      </c>
      <c r="H1594">
        <f>-589.613122389855 -38.8990491530082 -835.953092450308</f>
        <v>-1464.465263993171</v>
      </c>
      <c r="I1594">
        <f>-553.844621059656 -61.277494123934 -928.704367216766</f>
        <v>-1543.8264824003559</v>
      </c>
      <c r="J1594" t="s">
        <v>32231</v>
      </c>
      <c r="K1594" t="s">
        <v>32232</v>
      </c>
      <c r="L1594" t="s">
        <v>32233</v>
      </c>
      <c r="M1594" t="s">
        <v>32234</v>
      </c>
      <c r="N1594">
        <f>-599.934327324444 -51.9900434579292 -763.323800492805</f>
        <v>-1415.2481712751783</v>
      </c>
      <c r="O1594">
        <f>-621.727510925444 -186.462263263473 -707.953301315099</f>
        <v>-1516.143075504016</v>
      </c>
      <c r="P1594">
        <f>-605.475030272271 -155.140471808534 -393.404289311796</f>
        <v>-1154.0197913926011</v>
      </c>
      <c r="Q1594">
        <f>-366.326317794209 -72.8796134413491 -454.092882807408</f>
        <v>-893.29881404296611</v>
      </c>
      <c r="R1594" t="s">
        <v>32235</v>
      </c>
      <c r="S1594" t="s">
        <v>32236</v>
      </c>
      <c r="T1594" t="s">
        <v>32237</v>
      </c>
      <c r="U1594" t="s">
        <v>32238</v>
      </c>
      <c r="V1594">
        <f>-587.487854520693 -39.2986360840033 -232.64305172504</f>
        <v>-859.42954232973625</v>
      </c>
      <c r="W1594" t="s">
        <v>32239</v>
      </c>
      <c r="X1594" t="s">
        <v>32240</v>
      </c>
      <c r="Y1594" t="s">
        <v>32241</v>
      </c>
    </row>
    <row r="1595" spans="1:25" x14ac:dyDescent="0.3">
      <c r="A1595">
        <v>79700</v>
      </c>
      <c r="B1595" t="s">
        <v>32242</v>
      </c>
      <c r="C1595" t="s">
        <v>32243</v>
      </c>
      <c r="D1595" t="s">
        <v>32244</v>
      </c>
      <c r="E1595" t="s">
        <v>32245</v>
      </c>
      <c r="F1595" t="s">
        <v>32246</v>
      </c>
      <c r="G1595" t="s">
        <v>32247</v>
      </c>
      <c r="H1595">
        <f>-589.908920113764 -39.19967820919 -836.085700351746</f>
        <v>-1465.1942986746999</v>
      </c>
      <c r="I1595">
        <f>-554.071325331584 -61.6381150334356 -928.795772381341</f>
        <v>-1544.5052127463605</v>
      </c>
      <c r="J1595" t="s">
        <v>32248</v>
      </c>
      <c r="K1595" t="s">
        <v>32249</v>
      </c>
      <c r="L1595" t="s">
        <v>32250</v>
      </c>
      <c r="M1595" t="s">
        <v>32251</v>
      </c>
      <c r="N1595">
        <f>-600.292703360229 -52.2769011648741 -763.462866260754</f>
        <v>-1416.0324707858572</v>
      </c>
      <c r="O1595">
        <f>-622.041056263552 -186.741519975599 -708.07188216486</f>
        <v>-1516.854458404011</v>
      </c>
      <c r="P1595">
        <f>-606.000984951164 -154.944957819789 -393.559782803526</f>
        <v>-1154.5057255744791</v>
      </c>
      <c r="Q1595">
        <f>-366.650216595816 -73.1657709309633 -454.102436549155</f>
        <v>-893.91842407593435</v>
      </c>
      <c r="R1595" t="s">
        <v>32252</v>
      </c>
      <c r="S1595" t="s">
        <v>32253</v>
      </c>
      <c r="T1595" t="s">
        <v>32254</v>
      </c>
      <c r="U1595" t="s">
        <v>32255</v>
      </c>
      <c r="V1595">
        <f>-587.400176828817 -39.0536727056201 -232.687222580562</f>
        <v>-859.14107211499913</v>
      </c>
      <c r="W1595" t="s">
        <v>32256</v>
      </c>
      <c r="X1595" t="s">
        <v>32257</v>
      </c>
      <c r="Y1595" t="s">
        <v>32258</v>
      </c>
    </row>
    <row r="1596" spans="1:25" x14ac:dyDescent="0.3">
      <c r="A1596">
        <v>79750</v>
      </c>
      <c r="B1596" t="s">
        <v>32259</v>
      </c>
      <c r="C1596" t="s">
        <v>32260</v>
      </c>
      <c r="D1596" t="s">
        <v>32261</v>
      </c>
      <c r="E1596" t="s">
        <v>32262</v>
      </c>
      <c r="F1596" t="s">
        <v>32263</v>
      </c>
      <c r="G1596">
        <f>-602.238692155344 -0.477637565590115 -689.923998130402</f>
        <v>-1292.6403278513362</v>
      </c>
      <c r="H1596">
        <f>-590.028664570806 -39.6141722874353 -836.618402517355</f>
        <v>-1466.2612393755962</v>
      </c>
      <c r="I1596">
        <f>-554.025628511413 -62.0423747416111 -929.266816956709</f>
        <v>-1545.3348202097332</v>
      </c>
      <c r="J1596" t="s">
        <v>32264</v>
      </c>
      <c r="K1596" t="s">
        <v>32265</v>
      </c>
      <c r="L1596" t="s">
        <v>32266</v>
      </c>
      <c r="M1596" t="s">
        <v>32267</v>
      </c>
      <c r="N1596">
        <f>-600.567473649647 -52.7172230865199 -764.022509837837</f>
        <v>-1417.3072065740039</v>
      </c>
      <c r="O1596">
        <f>-622.474376781845 -187.188769694852 -708.709266212723</f>
        <v>-1518.3724126894199</v>
      </c>
      <c r="P1596">
        <f>-606.589819672232 -154.695424523185 -394.260547621668</f>
        <v>-1155.545791817085</v>
      </c>
      <c r="Q1596">
        <f>-366.783634311847 -74.0605391731459 -454.53545467555</f>
        <v>-895.37962816054289</v>
      </c>
      <c r="R1596" t="s">
        <v>32268</v>
      </c>
      <c r="S1596" t="s">
        <v>32269</v>
      </c>
      <c r="T1596" t="s">
        <v>32270</v>
      </c>
      <c r="U1596" t="s">
        <v>32271</v>
      </c>
      <c r="V1596">
        <f>-587.395779127335 -38.6389845833577 -232.830066256492</f>
        <v>-858.86482996718473</v>
      </c>
      <c r="W1596" t="s">
        <v>32272</v>
      </c>
      <c r="X1596" t="s">
        <v>32273</v>
      </c>
      <c r="Y1596" t="s">
        <v>32274</v>
      </c>
    </row>
    <row r="1597" spans="1:25" x14ac:dyDescent="0.3">
      <c r="A1597">
        <v>79800</v>
      </c>
      <c r="B1597" t="s">
        <v>32275</v>
      </c>
      <c r="C1597" t="s">
        <v>32276</v>
      </c>
      <c r="D1597" t="s">
        <v>32277</v>
      </c>
      <c r="E1597" t="s">
        <v>32278</v>
      </c>
      <c r="F1597" t="s">
        <v>32279</v>
      </c>
      <c r="G1597">
        <f>-602.188325071778 -0.903587905394602 -690.137607221774</f>
        <v>-1293.2295201989466</v>
      </c>
      <c r="H1597">
        <f>-589.947632236958 -40.093316814504 -836.815167903496</f>
        <v>-1466.856116954958</v>
      </c>
      <c r="I1597">
        <f>-553.903653307157 -62.5726960126222 -929.435295440965</f>
        <v>-1545.9116447607444</v>
      </c>
      <c r="J1597" t="s">
        <v>32280</v>
      </c>
      <c r="K1597" t="s">
        <v>32281</v>
      </c>
      <c r="L1597" t="s">
        <v>32282</v>
      </c>
      <c r="M1597" t="s">
        <v>32283</v>
      </c>
      <c r="N1597">
        <f>-600.586526173386 -53.1581452194159 -764.227096502474</f>
        <v>-1417.9717678952759</v>
      </c>
      <c r="O1597">
        <f>-622.71195581658 -187.603794885529 -708.9382497788</f>
        <v>-1519.2540004809089</v>
      </c>
      <c r="P1597">
        <f>-607.038406401763 -155.158090859466 -394.47378634208</f>
        <v>-1156.6702836033091</v>
      </c>
      <c r="Q1597">
        <f>-367.144340272831 -74.8810607795837 -454.876694319104</f>
        <v>-896.90209537151873</v>
      </c>
      <c r="R1597" t="s">
        <v>32284</v>
      </c>
      <c r="S1597" t="s">
        <v>32285</v>
      </c>
      <c r="T1597" t="s">
        <v>32286</v>
      </c>
      <c r="U1597" t="s">
        <v>32287</v>
      </c>
      <c r="V1597">
        <f>-587.373285018615 -38.4432079448381 -232.906741030544</f>
        <v>-858.72323399399716</v>
      </c>
      <c r="W1597" t="s">
        <v>32288</v>
      </c>
      <c r="X1597" t="s">
        <v>32289</v>
      </c>
      <c r="Y1597" t="s">
        <v>32290</v>
      </c>
    </row>
    <row r="1598" spans="1:25" x14ac:dyDescent="0.3">
      <c r="A1598">
        <v>79850</v>
      </c>
      <c r="B1598" t="s">
        <v>32291</v>
      </c>
      <c r="C1598" t="s">
        <v>32292</v>
      </c>
      <c r="D1598" t="s">
        <v>32293</v>
      </c>
      <c r="E1598" t="s">
        <v>32294</v>
      </c>
      <c r="F1598" t="s">
        <v>32295</v>
      </c>
      <c r="G1598">
        <f>-601.596340472373 -1.65642979092845 -690.418853685481</f>
        <v>-1293.6716239487823</v>
      </c>
      <c r="H1598">
        <f>-589.310744241064 -40.8374468689316 -837.095019368051</f>
        <v>-1467.2432104780464</v>
      </c>
      <c r="I1598">
        <f>-553.22444014567 -63.4355034352751 -929.669865639279</f>
        <v>-1546.329809220224</v>
      </c>
      <c r="J1598" t="s">
        <v>32296</v>
      </c>
      <c r="K1598" t="s">
        <v>32297</v>
      </c>
      <c r="L1598" t="s">
        <v>32298</v>
      </c>
      <c r="M1598" t="s">
        <v>32299</v>
      </c>
      <c r="N1598">
        <f>-600.180901629973 -53.8763748846075 -764.536520225626</f>
        <v>-1418.5937967402065</v>
      </c>
      <c r="O1598">
        <f>-622.936555831384 -188.280790598895 -709.378896229688</f>
        <v>-1520.5962426599672</v>
      </c>
      <c r="P1598">
        <f>-607.646043401432 -156.329583746088 -394.845113728437</f>
        <v>-1158.8207408759572</v>
      </c>
      <c r="Q1598">
        <f>-367.616838144826 -76.5920064095422 -455.425289931569</f>
        <v>-899.63413448593724</v>
      </c>
      <c r="R1598" t="s">
        <v>32300</v>
      </c>
      <c r="S1598" t="s">
        <v>32301</v>
      </c>
      <c r="T1598" t="s">
        <v>32302</v>
      </c>
      <c r="U1598" t="s">
        <v>32303</v>
      </c>
      <c r="V1598">
        <f>-587.343746479352 -38.668847040888 -232.978017150748</f>
        <v>-858.99061067098796</v>
      </c>
      <c r="W1598" t="s">
        <v>32304</v>
      </c>
      <c r="X1598" t="s">
        <v>32305</v>
      </c>
      <c r="Y1598" t="s">
        <v>32306</v>
      </c>
    </row>
    <row r="1599" spans="1:25" x14ac:dyDescent="0.3">
      <c r="A1599">
        <v>79900</v>
      </c>
      <c r="B1599" t="s">
        <v>32307</v>
      </c>
      <c r="C1599" t="s">
        <v>32308</v>
      </c>
      <c r="D1599" t="s">
        <v>32309</v>
      </c>
      <c r="E1599" t="s">
        <v>32310</v>
      </c>
      <c r="F1599" t="s">
        <v>32311</v>
      </c>
      <c r="G1599">
        <f>-601.063600075467 -1.76973630297326 -690.585718805835</f>
        <v>-1293.4190551842753</v>
      </c>
      <c r="H1599">
        <f>-588.696139963468 -40.8879155550763 -837.271777177396</f>
        <v>-1466.8558326959403</v>
      </c>
      <c r="I1599">
        <f>-552.584977947233 -63.5382924942096 -929.824222181656</f>
        <v>-1545.9474926230987</v>
      </c>
      <c r="J1599" t="s">
        <v>32312</v>
      </c>
      <c r="K1599" t="s">
        <v>32313</v>
      </c>
      <c r="L1599" t="s">
        <v>32314</v>
      </c>
      <c r="M1599" t="s">
        <v>32315</v>
      </c>
      <c r="N1599">
        <f>-599.706307456925 -53.9430450555137 -764.737313699074</f>
        <v>-1418.3866662115126</v>
      </c>
      <c r="O1599">
        <f>-622.852066679186 -188.309609750565 -709.663505609303</f>
        <v>-1520.825182039054</v>
      </c>
      <c r="P1599">
        <f>-607.753001372235 -156.548973696663 -395.101153674064</f>
        <v>-1159.4031287429621</v>
      </c>
      <c r="Q1599">
        <f>-367.535969810144 -77.2771893020414 -455.54786520018</f>
        <v>-900.36102431236543</v>
      </c>
      <c r="R1599" t="s">
        <v>32316</v>
      </c>
      <c r="S1599" t="s">
        <v>32317</v>
      </c>
      <c r="T1599" t="s">
        <v>32318</v>
      </c>
      <c r="U1599" t="s">
        <v>32319</v>
      </c>
      <c r="V1599">
        <f>-587.164453315136 -38.688977978941 -233.01170905248</f>
        <v>-858.86514034655704</v>
      </c>
      <c r="W1599" t="s">
        <v>32320</v>
      </c>
      <c r="X1599" t="s">
        <v>32321</v>
      </c>
      <c r="Y1599" t="s">
        <v>32322</v>
      </c>
    </row>
    <row r="1600" spans="1:25" x14ac:dyDescent="0.3">
      <c r="A1600">
        <v>79950</v>
      </c>
      <c r="B1600" t="s">
        <v>32323</v>
      </c>
      <c r="C1600" t="s">
        <v>32324</v>
      </c>
      <c r="D1600" t="s">
        <v>32325</v>
      </c>
      <c r="E1600" t="s">
        <v>32326</v>
      </c>
      <c r="F1600" t="s">
        <v>32327</v>
      </c>
      <c r="G1600">
        <f>-599.375174772438 -2.16568118595807 -690.873548304737</f>
        <v>-1292.4144042631331</v>
      </c>
      <c r="H1600">
        <f>-586.837087385886 -41.0507767641425 -837.607057982405</f>
        <v>-1465.4949221324334</v>
      </c>
      <c r="I1600">
        <f>-550.595649223626 -63.7410175336523 -930.098570342126</f>
        <v>-1544.4352370994043</v>
      </c>
      <c r="J1600" t="s">
        <v>32328</v>
      </c>
      <c r="K1600" t="s">
        <v>32329</v>
      </c>
      <c r="L1600" t="s">
        <v>32330</v>
      </c>
      <c r="M1600" t="s">
        <v>32331</v>
      </c>
      <c r="N1600">
        <f>-598.087149707849 -54.1972426916345 -765.125883006659</f>
        <v>-1417.4102754061425</v>
      </c>
      <c r="O1600">
        <f>-621.830661725332 -188.600809800174 -710.354675619173</f>
        <v>-1520.786147144679</v>
      </c>
      <c r="P1600">
        <f>-607.43197987299 -156.799877015494 -395.763580492442</f>
        <v>-1159.995437380926</v>
      </c>
      <c r="Q1600">
        <f>-366.738148340116 -78.3895114528609 -455.432272358822</f>
        <v>-900.55993215179888</v>
      </c>
      <c r="R1600" t="s">
        <v>32332</v>
      </c>
      <c r="S1600" t="s">
        <v>32333</v>
      </c>
      <c r="T1600" t="s">
        <v>32334</v>
      </c>
      <c r="U1600" t="s">
        <v>32335</v>
      </c>
      <c r="V1600">
        <f>-586.522810657924 -38.8149707511114 -233.024822636566</f>
        <v>-858.36260404560142</v>
      </c>
      <c r="W1600" t="s">
        <v>32336</v>
      </c>
      <c r="X1600" t="s">
        <v>32337</v>
      </c>
      <c r="Y1600" t="s">
        <v>32338</v>
      </c>
    </row>
    <row r="1601" spans="1:25" x14ac:dyDescent="0.3">
      <c r="A1601">
        <v>80000</v>
      </c>
      <c r="B1601" t="s">
        <v>32339</v>
      </c>
      <c r="C1601" t="s">
        <v>32340</v>
      </c>
      <c r="D1601" t="s">
        <v>32341</v>
      </c>
      <c r="E1601" t="s">
        <v>32342</v>
      </c>
      <c r="F1601" t="s">
        <v>32343</v>
      </c>
      <c r="G1601">
        <f>-598.456492668334 -2.23331106186686 -690.959224223715</f>
        <v>-1291.6490279539157</v>
      </c>
      <c r="H1601">
        <f>-585.789914378938 -40.9618406387779 -837.723160603237</f>
        <v>-1464.4749156209527</v>
      </c>
      <c r="I1601">
        <f>-549.458941700795 -63.6092421777139 -930.190134748622</f>
        <v>-1543.2583186271308</v>
      </c>
      <c r="J1601" t="s">
        <v>32344</v>
      </c>
      <c r="K1601" t="s">
        <v>32345</v>
      </c>
      <c r="L1601" t="s">
        <v>32346</v>
      </c>
      <c r="M1601" t="s">
        <v>32347</v>
      </c>
      <c r="N1601">
        <f>-597.165140444012 -54.1758995752422 -765.273838160905</f>
        <v>-1416.6148781801592</v>
      </c>
      <c r="O1601">
        <f>-621.14746373099 -188.592059313914 -710.677128259153</f>
        <v>-1520.416651304057</v>
      </c>
      <c r="P1601">
        <f>-607.290275497509 -157.066842566574 -396.034112217436</f>
        <v>-1160.391230281519</v>
      </c>
      <c r="Q1601">
        <f>-366.441780413479 -78.8683276727917 -455.355309091096</f>
        <v>-900.66541717736663</v>
      </c>
      <c r="R1601" t="s">
        <v>32348</v>
      </c>
      <c r="S1601" t="s">
        <v>32349</v>
      </c>
      <c r="T1601" t="s">
        <v>32350</v>
      </c>
      <c r="U1601" t="s">
        <v>32351</v>
      </c>
      <c r="V1601">
        <f>-586.218517626972 -38.7791645017401 -232.972489843229</f>
        <v>-857.97017197194111</v>
      </c>
      <c r="W1601" t="s">
        <v>32352</v>
      </c>
      <c r="X1601" t="s">
        <v>32353</v>
      </c>
      <c r="Y1601" t="s">
        <v>32354</v>
      </c>
    </row>
    <row r="1602" spans="1:25" x14ac:dyDescent="0.3">
      <c r="A1602">
        <v>80050</v>
      </c>
      <c r="B1602" t="s">
        <v>32355</v>
      </c>
      <c r="C1602" t="s">
        <v>32356</v>
      </c>
      <c r="D1602" t="s">
        <v>32357</v>
      </c>
      <c r="E1602" t="s">
        <v>32358</v>
      </c>
      <c r="F1602" t="s">
        <v>32359</v>
      </c>
      <c r="G1602">
        <f>-597.365420919878 -2.73271919928263 -691.126154377803</f>
        <v>-1291.2242944969637</v>
      </c>
      <c r="H1602">
        <f>-584.620538720986 -41.220381288815 -837.946602011033</f>
        <v>-1463.7875220208339</v>
      </c>
      <c r="I1602">
        <f>-548.146817840796 -63.7760050232374 -930.37987394282</f>
        <v>-1542.3026968068534</v>
      </c>
      <c r="J1602" t="s">
        <v>32360</v>
      </c>
      <c r="K1602" t="s">
        <v>32361</v>
      </c>
      <c r="L1602" t="s">
        <v>32362</v>
      </c>
      <c r="M1602" t="s">
        <v>32363</v>
      </c>
      <c r="N1602">
        <f>-596.131146092934 -54.5377834598632 -765.537676825954</f>
        <v>-1416.2066063787513</v>
      </c>
      <c r="O1602">
        <f>-620.386763449435 -189.00271721352 -711.183630394406</f>
        <v>-1520.5731110573611</v>
      </c>
      <c r="P1602">
        <f>-607.326982301027 -157.785696243092 -396.475659393544</f>
        <v>-1161.588337937663</v>
      </c>
      <c r="Q1602">
        <f>-366.206084392695 -79.9538908843961 -455.169533532497</f>
        <v>-901.32950880958811</v>
      </c>
      <c r="R1602" t="s">
        <v>32364</v>
      </c>
      <c r="S1602" t="s">
        <v>32365</v>
      </c>
      <c r="T1602" t="s">
        <v>32366</v>
      </c>
      <c r="U1602" t="s">
        <v>32367</v>
      </c>
      <c r="V1602">
        <f>-585.523751812347 -38.8854498067811 -232.884331162065</f>
        <v>-857.29353278119311</v>
      </c>
      <c r="W1602" t="s">
        <v>32368</v>
      </c>
      <c r="X1602" t="s">
        <v>32369</v>
      </c>
      <c r="Y1602" t="s">
        <v>32370</v>
      </c>
    </row>
    <row r="1603" spans="1:25" x14ac:dyDescent="0.3">
      <c r="A1603">
        <v>80100</v>
      </c>
      <c r="B1603" t="s">
        <v>32371</v>
      </c>
      <c r="C1603" t="s">
        <v>32372</v>
      </c>
      <c r="D1603" t="s">
        <v>32373</v>
      </c>
      <c r="E1603" t="s">
        <v>32374</v>
      </c>
      <c r="F1603" t="s">
        <v>32375</v>
      </c>
      <c r="G1603">
        <f>-597.037641144419 -3.02725973543981 -691.272880662595</f>
        <v>-1291.3377815424537</v>
      </c>
      <c r="H1603">
        <f>-584.313278414462 -41.3928851472723 -838.127113218254</f>
        <v>-1463.8332767799884</v>
      </c>
      <c r="I1603">
        <f>-547.782956458363 -63.8848320389738 -930.553532025611</f>
        <v>-1542.2213205229477</v>
      </c>
      <c r="J1603" t="s">
        <v>32376</v>
      </c>
      <c r="K1603" t="s">
        <v>32377</v>
      </c>
      <c r="L1603" t="s">
        <v>32378</v>
      </c>
      <c r="M1603" t="s">
        <v>32379</v>
      </c>
      <c r="N1603">
        <f>-595.859365282384 -54.7630370447866 -765.733499003665</f>
        <v>-1416.3559013308356</v>
      </c>
      <c r="O1603">
        <f>-620.246774417047 -189.244003830957 -711.481364553129</f>
        <v>-1520.972142801133</v>
      </c>
      <c r="P1603">
        <f>-607.351127202223 -158.198989525149 -396.749652772732</f>
        <v>-1162.299769500104</v>
      </c>
      <c r="Q1603">
        <f>-366.191334618462 -80.5005325307189 -455.460568739931</f>
        <v>-902.15243588911187</v>
      </c>
      <c r="R1603" t="s">
        <v>32380</v>
      </c>
      <c r="S1603" t="s">
        <v>32381</v>
      </c>
      <c r="T1603" t="s">
        <v>32382</v>
      </c>
      <c r="U1603" t="s">
        <v>32383</v>
      </c>
      <c r="V1603">
        <f>-585.194958115429 -38.9090596879874 -232.843805391529</f>
        <v>-856.9478231949455</v>
      </c>
      <c r="W1603" t="s">
        <v>32384</v>
      </c>
      <c r="X1603" t="s">
        <v>32385</v>
      </c>
      <c r="Y1603" t="s">
        <v>32386</v>
      </c>
    </row>
    <row r="1604" spans="1:25" x14ac:dyDescent="0.3">
      <c r="A1604">
        <v>80150</v>
      </c>
      <c r="B1604" t="s">
        <v>32387</v>
      </c>
      <c r="C1604" t="s">
        <v>32388</v>
      </c>
      <c r="D1604" t="s">
        <v>32389</v>
      </c>
      <c r="E1604" t="s">
        <v>32390</v>
      </c>
      <c r="F1604" t="s">
        <v>32391</v>
      </c>
      <c r="G1604">
        <f>-595.878212856874 -4.01829528609559 -691.50350634922</f>
        <v>-1291.4000144921897</v>
      </c>
      <c r="H1604">
        <f>-583.207203783801 -42.26861973106 -838.392411346703</f>
        <v>-1463.8682348615639</v>
      </c>
      <c r="I1604">
        <f>-546.64951636027 -64.6765202293873 -930.828435911773</f>
        <v>-1542.1544725014303</v>
      </c>
      <c r="J1604" t="s">
        <v>32392</v>
      </c>
      <c r="K1604" t="s">
        <v>32393</v>
      </c>
      <c r="L1604" t="s">
        <v>32394</v>
      </c>
      <c r="M1604" t="s">
        <v>32395</v>
      </c>
      <c r="N1604">
        <f>-594.792796851254 -55.6848101085297 -766.013642511299</f>
        <v>-1416.4912494710829</v>
      </c>
      <c r="O1604">
        <f>-619.354068411208 -190.185810991536 -711.867594828759</f>
        <v>-1521.4074742315029</v>
      </c>
      <c r="P1604">
        <f>-606.240097874183 -159.14073375272 -397.144979516579</f>
        <v>-1162.5258111434821</v>
      </c>
      <c r="Q1604">
        <f>-364.973221380714 -81.9260871605857 -456.053823815716</f>
        <v>-902.95313235701565</v>
      </c>
      <c r="R1604" t="s">
        <v>32396</v>
      </c>
      <c r="S1604" t="s">
        <v>32397</v>
      </c>
      <c r="T1604" t="s">
        <v>32398</v>
      </c>
      <c r="U1604" t="s">
        <v>32399</v>
      </c>
      <c r="V1604">
        <f>-584.540434119746 -38.8782070079294 -232.78129154706</f>
        <v>-856.19993267473546</v>
      </c>
      <c r="W1604" t="s">
        <v>32400</v>
      </c>
      <c r="X1604" t="s">
        <v>32401</v>
      </c>
      <c r="Y1604" t="s">
        <v>32402</v>
      </c>
    </row>
    <row r="1605" spans="1:25" x14ac:dyDescent="0.3">
      <c r="A1605">
        <v>80200</v>
      </c>
      <c r="B1605" t="s">
        <v>32403</v>
      </c>
      <c r="C1605" t="s">
        <v>32404</v>
      </c>
      <c r="D1605" t="s">
        <v>32405</v>
      </c>
      <c r="E1605" t="s">
        <v>32406</v>
      </c>
      <c r="F1605" t="s">
        <v>32407</v>
      </c>
      <c r="G1605">
        <f>-595.34385883575 -4.6357833101365 -691.63954813448</f>
        <v>-1291.6191902803666</v>
      </c>
      <c r="H1605">
        <f>-582.739217848749 -42.8853694306068 -838.534460409485</f>
        <v>-1464.1590476888409</v>
      </c>
      <c r="I1605">
        <f>-546.199123825055 -65.2750379505427 -930.981800329314</f>
        <v>-1542.4559621049116</v>
      </c>
      <c r="J1605" t="s">
        <v>32408</v>
      </c>
      <c r="K1605" t="s">
        <v>32409</v>
      </c>
      <c r="L1605" t="s">
        <v>32410</v>
      </c>
      <c r="M1605" t="s">
        <v>32411</v>
      </c>
      <c r="N1605">
        <f>-594.316367578402 -56.2978977354592 -766.153510200164</f>
        <v>-1416.7677755140253</v>
      </c>
      <c r="O1605">
        <f>-618.91529961325 -190.78871877436 -712.016780478254</f>
        <v>-1521.7207988658638</v>
      </c>
      <c r="P1605">
        <f>-605.765159567961 -159.818546978639 -397.288102259071</f>
        <v>-1162.871808805671</v>
      </c>
      <c r="Q1605">
        <f>-364.568140204841 -82.675442601829 -456.575308282271</f>
        <v>-903.81889108894097</v>
      </c>
      <c r="R1605" t="s">
        <v>32412</v>
      </c>
      <c r="S1605" t="s">
        <v>32413</v>
      </c>
      <c r="T1605" t="s">
        <v>32414</v>
      </c>
      <c r="U1605" t="s">
        <v>32415</v>
      </c>
      <c r="V1605">
        <f>-584.043174927375 -38.9142996209889 -232.753006520604</f>
        <v>-855.71048106896797</v>
      </c>
      <c r="W1605" t="s">
        <v>32416</v>
      </c>
      <c r="X1605" t="s">
        <v>32417</v>
      </c>
      <c r="Y1605" t="s">
        <v>32418</v>
      </c>
    </row>
    <row r="1606" spans="1:25" x14ac:dyDescent="0.3">
      <c r="A1606">
        <v>80250</v>
      </c>
      <c r="B1606" t="s">
        <v>32419</v>
      </c>
      <c r="C1606" t="s">
        <v>32420</v>
      </c>
      <c r="D1606" t="s">
        <v>32421</v>
      </c>
      <c r="E1606" t="s">
        <v>32422</v>
      </c>
      <c r="F1606" t="s">
        <v>32423</v>
      </c>
      <c r="G1606">
        <f>-594.393010043574 -5.7175530893493 -691.892926339863</f>
        <v>-1292.0034894727864</v>
      </c>
      <c r="H1606">
        <f>-581.773626438176 -43.9784467385626 -838.783557013891</f>
        <v>-1464.5356301906297</v>
      </c>
      <c r="I1606">
        <f>-545.278197379035 -66.3501694751581 -931.252866564359</f>
        <v>-1542.881233418552</v>
      </c>
      <c r="J1606" t="s">
        <v>32424</v>
      </c>
      <c r="K1606" t="s">
        <v>32425</v>
      </c>
      <c r="L1606" t="s">
        <v>32426</v>
      </c>
      <c r="M1606" t="s">
        <v>32427</v>
      </c>
      <c r="N1606">
        <f>-593.369030174364 -57.3835557787303 -766.40422716466</f>
        <v>-1417.1568131177542</v>
      </c>
      <c r="O1606">
        <f>-617.898632293517 -191.871992751353 -712.219150840033</f>
        <v>-1521.9897758849029</v>
      </c>
      <c r="P1606">
        <f>-604.546627493262 -161.148121841559 -397.4748968901</f>
        <v>-1163.1696462249211</v>
      </c>
      <c r="Q1606">
        <f>-363.476599323966 -83.932439257927 -457.182672854951</f>
        <v>-904.59171143684398</v>
      </c>
      <c r="R1606" t="s">
        <v>32428</v>
      </c>
      <c r="S1606" t="s">
        <v>32429</v>
      </c>
      <c r="T1606" t="s">
        <v>32430</v>
      </c>
      <c r="U1606" t="s">
        <v>32431</v>
      </c>
      <c r="V1606">
        <f>-583.469741191528 -38.9959685060039 -232.761519868502</f>
        <v>-855.22722956603388</v>
      </c>
      <c r="W1606" t="s">
        <v>32432</v>
      </c>
      <c r="X1606" t="s">
        <v>32433</v>
      </c>
      <c r="Y1606" t="s">
        <v>32434</v>
      </c>
    </row>
    <row r="1607" spans="1:25" x14ac:dyDescent="0.3">
      <c r="A1607">
        <v>80300</v>
      </c>
      <c r="B1607" t="s">
        <v>32435</v>
      </c>
      <c r="C1607" t="s">
        <v>32436</v>
      </c>
      <c r="D1607" t="s">
        <v>32437</v>
      </c>
      <c r="E1607" t="s">
        <v>32438</v>
      </c>
      <c r="F1607" t="s">
        <v>32439</v>
      </c>
      <c r="G1607">
        <f>-594.285692780429 -6.23678203233239 -691.980523862626</f>
        <v>-1292.5029986753875</v>
      </c>
      <c r="H1607">
        <f>-581.65577081463 -44.5329644384112 -838.861008985125</f>
        <v>-1465.0497442381661</v>
      </c>
      <c r="I1607">
        <f>-545.167124606013 -66.904418217789 -931.333020439638</f>
        <v>-1543.40456326344</v>
      </c>
      <c r="J1607" t="s">
        <v>32440</v>
      </c>
      <c r="K1607" t="s">
        <v>32441</v>
      </c>
      <c r="L1607" t="s">
        <v>32442</v>
      </c>
      <c r="M1607" t="s">
        <v>32443</v>
      </c>
      <c r="N1607">
        <f>-593.262870264956 -57.9196052201698 -766.480132954519</f>
        <v>-1417.6626084396448</v>
      </c>
      <c r="O1607">
        <f>-617.728267791675 -192.402943258678 -712.255882979669</f>
        <v>-1522.3870940300219</v>
      </c>
      <c r="P1607">
        <f>-604.199942376733 -161.531545775493 -397.533609674014</f>
        <v>-1163.26509782624</v>
      </c>
      <c r="Q1607">
        <f>-363.173873027009 -84.3362341542307 -457.444983199122</f>
        <v>-904.95509038036175</v>
      </c>
      <c r="R1607" t="s">
        <v>32444</v>
      </c>
      <c r="S1607" t="s">
        <v>32445</v>
      </c>
      <c r="T1607" t="s">
        <v>32446</v>
      </c>
      <c r="U1607" t="s">
        <v>32447</v>
      </c>
      <c r="V1607">
        <f>-583.220703741895 -39.1113388361377 -232.763556703434</f>
        <v>-855.09559928146678</v>
      </c>
      <c r="W1607" t="s">
        <v>32448</v>
      </c>
      <c r="X1607" t="s">
        <v>32449</v>
      </c>
      <c r="Y1607" t="s">
        <v>32450</v>
      </c>
    </row>
    <row r="1608" spans="1:25" x14ac:dyDescent="0.3">
      <c r="A1608">
        <v>80350</v>
      </c>
      <c r="B1608" t="s">
        <v>32451</v>
      </c>
      <c r="C1608" t="s">
        <v>32452</v>
      </c>
      <c r="D1608" t="s">
        <v>32453</v>
      </c>
      <c r="E1608" t="s">
        <v>32454</v>
      </c>
      <c r="F1608" t="s">
        <v>32455</v>
      </c>
      <c r="G1608">
        <f>-593.960774221129 -6.56842122444113 -692.098142842845</f>
        <v>-1292.6273382884151</v>
      </c>
      <c r="H1608">
        <f>-581.098295885733 -44.8711838056071 -838.9567812219</f>
        <v>-1464.9262609132402</v>
      </c>
      <c r="I1608">
        <f>-544.569330658795 -67.163170826085 -931.432141481735</f>
        <v>-1543.164642966615</v>
      </c>
      <c r="J1608" t="s">
        <v>32456</v>
      </c>
      <c r="K1608" t="s">
        <v>32457</v>
      </c>
      <c r="L1608" t="s">
        <v>32458</v>
      </c>
      <c r="M1608" t="s">
        <v>32459</v>
      </c>
      <c r="N1608">
        <f>-592.801368302125 -58.2576774434361 -766.591493329741</f>
        <v>-1417.650539075302</v>
      </c>
      <c r="O1608">
        <f>-617.163018239482 -192.753934973749 -712.352348166816</f>
        <v>-1522.269301380047</v>
      </c>
      <c r="P1608">
        <f>-603.515902748137 -161.834658863449 -397.639793025477</f>
        <v>-1162.9903546370631</v>
      </c>
      <c r="Q1608">
        <f>-362.494324179821 -84.5249108319015 -457.421481081652</f>
        <v>-904.44071609337448</v>
      </c>
      <c r="R1608" t="s">
        <v>32460</v>
      </c>
      <c r="S1608" t="s">
        <v>32461</v>
      </c>
      <c r="T1608" t="s">
        <v>32462</v>
      </c>
      <c r="U1608" t="s">
        <v>32463</v>
      </c>
      <c r="V1608">
        <f>-583.130832097221 -39.0951868462881 -232.802218430338</f>
        <v>-855.02823737384711</v>
      </c>
      <c r="W1608" t="s">
        <v>32464</v>
      </c>
      <c r="X1608" t="s">
        <v>32465</v>
      </c>
      <c r="Y1608" t="s">
        <v>32466</v>
      </c>
    </row>
    <row r="1609" spans="1:25" x14ac:dyDescent="0.3">
      <c r="A1609">
        <v>80400</v>
      </c>
      <c r="B1609" t="s">
        <v>32467</v>
      </c>
      <c r="C1609" t="s">
        <v>32468</v>
      </c>
      <c r="D1609" t="s">
        <v>32469</v>
      </c>
      <c r="E1609" t="s">
        <v>32470</v>
      </c>
      <c r="F1609" t="s">
        <v>32471</v>
      </c>
      <c r="G1609">
        <f>-593.672583493341 -6.6524892794102 -692.155766204981</f>
        <v>-1292.4808389777322</v>
      </c>
      <c r="H1609">
        <f>-580.610632836843 -44.9468610450414 -838.999098146387</f>
        <v>-1464.5565920282716</v>
      </c>
      <c r="I1609">
        <f>-544.008859756127 -67.1943715821966 -931.456217834708</f>
        <v>-1542.6594491730316</v>
      </c>
      <c r="J1609" t="s">
        <v>32472</v>
      </c>
      <c r="K1609" t="s">
        <v>32473</v>
      </c>
      <c r="L1609" t="s">
        <v>32474</v>
      </c>
      <c r="M1609" t="s">
        <v>32475</v>
      </c>
      <c r="N1609">
        <f>-592.386339904168 -58.3417182935804 -766.646951595978</f>
        <v>-1417.3750097937263</v>
      </c>
      <c r="O1609">
        <f>-616.66011341582 -192.858776816895 -712.431017870896</f>
        <v>-1521.9499081036111</v>
      </c>
      <c r="P1609">
        <f>-603.149750919061 -161.721547110245 -397.734155432808</f>
        <v>-1162.6054534621139</v>
      </c>
      <c r="Q1609">
        <f>-362.140977412768 -84.3535074767136 -457.492138480873</f>
        <v>-903.98662337035466</v>
      </c>
      <c r="R1609" t="s">
        <v>32476</v>
      </c>
      <c r="S1609" t="s">
        <v>32477</v>
      </c>
      <c r="T1609" t="s">
        <v>32478</v>
      </c>
      <c r="U1609" t="s">
        <v>32479</v>
      </c>
      <c r="V1609">
        <f>-583.181651709753 -39.0855830636277 -232.831466768698</f>
        <v>-855.09870154207874</v>
      </c>
      <c r="W1609" t="s">
        <v>32480</v>
      </c>
      <c r="X1609" t="s">
        <v>32481</v>
      </c>
      <c r="Y1609" t="s">
        <v>32482</v>
      </c>
    </row>
    <row r="1610" spans="1:25" x14ac:dyDescent="0.3">
      <c r="A1610">
        <v>80450</v>
      </c>
      <c r="B1610" t="s">
        <v>32483</v>
      </c>
      <c r="C1610" t="s">
        <v>32484</v>
      </c>
      <c r="D1610" t="s">
        <v>32485</v>
      </c>
      <c r="E1610" t="s">
        <v>32486</v>
      </c>
      <c r="F1610" t="s">
        <v>32487</v>
      </c>
      <c r="G1610">
        <f>-593.354203352364 -6.63006240823211 -692.194196359397</f>
        <v>-1292.1784621199931</v>
      </c>
      <c r="H1610">
        <f>-579.75393173025 -44.9100789263953 -838.992177360871</f>
        <v>-1463.6561880175163</v>
      </c>
      <c r="I1610">
        <f>-542.904605713049 -66.992796952281 -931.390738495417</f>
        <v>-1541.288141160747</v>
      </c>
      <c r="J1610" t="s">
        <v>32488</v>
      </c>
      <c r="K1610" t="s">
        <v>32489</v>
      </c>
      <c r="L1610" t="s">
        <v>32490</v>
      </c>
      <c r="M1610" t="s">
        <v>32491</v>
      </c>
      <c r="N1610">
        <f>-591.757797632555 -58.3181527199017 -766.680119469214</f>
        <v>-1416.7560698216707</v>
      </c>
      <c r="O1610">
        <f>-615.96999707916 -192.875531296622 -712.559432485501</f>
        <v>-1521.4049608612829</v>
      </c>
      <c r="P1610">
        <f>-603.183668369055 -161.793561966055 -397.826757897833</f>
        <v>-1162.8039882329431</v>
      </c>
      <c r="Q1610">
        <f>-362.235757826142 -83.9491911797022 -457.210471517146</f>
        <v>-903.39542052299021</v>
      </c>
      <c r="R1610" t="s">
        <v>32492</v>
      </c>
      <c r="S1610" t="s">
        <v>32493</v>
      </c>
      <c r="T1610" t="s">
        <v>32494</v>
      </c>
      <c r="U1610" t="s">
        <v>32495</v>
      </c>
      <c r="V1610">
        <f>-583.469810789877 -39.292239132221 -232.881108859963</f>
        <v>-855.64315878206094</v>
      </c>
      <c r="W1610" t="s">
        <v>32496</v>
      </c>
      <c r="X1610" t="s">
        <v>32497</v>
      </c>
      <c r="Y1610" t="s">
        <v>32498</v>
      </c>
    </row>
    <row r="1611" spans="1:25" x14ac:dyDescent="0.3">
      <c r="A1611">
        <v>80500</v>
      </c>
      <c r="B1611" t="s">
        <v>32499</v>
      </c>
      <c r="C1611" t="s">
        <v>32500</v>
      </c>
      <c r="D1611" t="s">
        <v>32501</v>
      </c>
      <c r="E1611" t="s">
        <v>32502</v>
      </c>
      <c r="F1611" t="s">
        <v>32503</v>
      </c>
      <c r="G1611">
        <f>-593.246195941354 -6.87324124465955 -692.232109294293</f>
        <v>-1292.3515464803065</v>
      </c>
      <c r="H1611">
        <f>-579.56971297934 -45.1799691098488 -839.016217675298</f>
        <v>-1463.7658997644867</v>
      </c>
      <c r="I1611">
        <f>-542.634783089068 -67.2248718091692 -931.38949187989</f>
        <v>-1541.2491467781274</v>
      </c>
      <c r="J1611" t="s">
        <v>32504</v>
      </c>
      <c r="K1611" t="s">
        <v>32505</v>
      </c>
      <c r="L1611" t="s">
        <v>32506</v>
      </c>
      <c r="M1611" t="s">
        <v>32507</v>
      </c>
      <c r="N1611">
        <f>-591.631580897197 -58.5715010234065 -766.710600829735</f>
        <v>-1416.9136827503385</v>
      </c>
      <c r="O1611">
        <f>-615.924187957763 -193.114757738899 -712.601011059135</f>
        <v>-1521.6399567557969</v>
      </c>
      <c r="P1611">
        <f>-603.377891755251 -162.077555618364 -397.854335571512</f>
        <v>-1163.3097829451272</v>
      </c>
      <c r="Q1611">
        <f>-362.37488408089 -84.2514214508029 -457.037930312807</f>
        <v>-903.6642358444999</v>
      </c>
      <c r="R1611" t="s">
        <v>32508</v>
      </c>
      <c r="S1611" t="s">
        <v>32509</v>
      </c>
      <c r="T1611" t="s">
        <v>32510</v>
      </c>
      <c r="U1611" t="s">
        <v>32511</v>
      </c>
      <c r="V1611">
        <f>-583.554800471872 -39.5278439138052 -232.915700698199</f>
        <v>-855.99834508387619</v>
      </c>
      <c r="W1611" t="s">
        <v>32512</v>
      </c>
      <c r="X1611" t="s">
        <v>32513</v>
      </c>
      <c r="Y1611" t="s">
        <v>32514</v>
      </c>
    </row>
    <row r="1612" spans="1:25" x14ac:dyDescent="0.3">
      <c r="A1612">
        <v>80550</v>
      </c>
      <c r="B1612" t="s">
        <v>32515</v>
      </c>
      <c r="C1612" t="s">
        <v>32516</v>
      </c>
      <c r="D1612" t="s">
        <v>32517</v>
      </c>
      <c r="E1612" t="s">
        <v>32518</v>
      </c>
      <c r="F1612" t="s">
        <v>32519</v>
      </c>
      <c r="G1612">
        <f>-592.913985888951 -6.85575277159489 -692.314887360116</f>
        <v>-1292.0846260206617</v>
      </c>
      <c r="H1612">
        <f>-579.275520931702 -44.9448206670876 -839.159184190953</f>
        <v>-1463.3795257897427</v>
      </c>
      <c r="I1612">
        <f>-542.237692635278 -66.8586236226597 -931.522393354908</f>
        <v>-1540.6187096128456</v>
      </c>
      <c r="J1612" t="s">
        <v>32520</v>
      </c>
      <c r="K1612" t="s">
        <v>32521</v>
      </c>
      <c r="L1612" t="s">
        <v>32522</v>
      </c>
      <c r="M1612" t="s">
        <v>32523</v>
      </c>
      <c r="N1612">
        <f>-591.399758546252 -58.4300382342723 -766.881356746086</f>
        <v>-1416.7111535266104</v>
      </c>
      <c r="O1612">
        <f>-616.077974886421 -192.997530747791 -712.945860167021</f>
        <v>-1522.0213658012331</v>
      </c>
      <c r="P1612">
        <f>-603.41531767698 -162.156725546539 -398.18452748719</f>
        <v>-1163.756570710709</v>
      </c>
      <c r="Q1612">
        <f>-362.279264859155 -84.5705255200726 -457.140756508653</f>
        <v>-903.99054688788056</v>
      </c>
      <c r="R1612" t="s">
        <v>32524</v>
      </c>
      <c r="S1612" t="s">
        <v>32525</v>
      </c>
      <c r="T1612" t="s">
        <v>32526</v>
      </c>
      <c r="U1612" t="s">
        <v>32527</v>
      </c>
      <c r="V1612">
        <f>-583.87040895054 -40.0671549721133 -232.923518246696</f>
        <v>-856.86108216934917</v>
      </c>
      <c r="W1612" t="s">
        <v>32528</v>
      </c>
      <c r="X1612" t="s">
        <v>32529</v>
      </c>
      <c r="Y1612" t="s">
        <v>32530</v>
      </c>
    </row>
    <row r="1613" spans="1:25" x14ac:dyDescent="0.3">
      <c r="A1613">
        <v>80600</v>
      </c>
      <c r="B1613" t="s">
        <v>32531</v>
      </c>
      <c r="C1613" t="s">
        <v>32532</v>
      </c>
      <c r="D1613" t="s">
        <v>32533</v>
      </c>
      <c r="E1613" t="s">
        <v>32534</v>
      </c>
      <c r="F1613" t="s">
        <v>32535</v>
      </c>
      <c r="G1613">
        <f>-593.050960605673 -6.65033197138343 -692.3262343844</f>
        <v>-1292.0275269614565</v>
      </c>
      <c r="H1613">
        <f>-579.364564096101 -44.5910212515769 -839.204418702993</f>
        <v>-1463.160004050671</v>
      </c>
      <c r="I1613">
        <f>-542.300702971298 -66.4212495014521 -931.576931181694</f>
        <v>-1540.2988836544441</v>
      </c>
      <c r="J1613" t="s">
        <v>32536</v>
      </c>
      <c r="K1613" t="s">
        <v>32537</v>
      </c>
      <c r="L1613" t="s">
        <v>32538</v>
      </c>
      <c r="M1613" t="s">
        <v>32539</v>
      </c>
      <c r="N1613">
        <f>-591.558521361173 -58.1414732826708 -766.950542048964</f>
        <v>-1416.6505366928079</v>
      </c>
      <c r="O1613">
        <f>-616.49315441108 -192.68819072685 -713.116067118232</f>
        <v>-1522.297412256162</v>
      </c>
      <c r="P1613">
        <f>-603.876652160135 -162.1796611451 -398.320573857079</f>
        <v>-1164.376887162314</v>
      </c>
      <c r="Q1613">
        <f>-362.698390938423 -84.811140748815 -457.390257617377</f>
        <v>-904.89978930461507</v>
      </c>
      <c r="R1613" t="s">
        <v>32540</v>
      </c>
      <c r="S1613" t="s">
        <v>32541</v>
      </c>
      <c r="T1613" t="s">
        <v>32542</v>
      </c>
      <c r="U1613" t="s">
        <v>32543</v>
      </c>
      <c r="V1613">
        <f>-584.122898374311 -40.3693567020538 -232.921369062827</f>
        <v>-857.41362413919182</v>
      </c>
      <c r="W1613" t="s">
        <v>32544</v>
      </c>
      <c r="X1613" t="s">
        <v>32545</v>
      </c>
      <c r="Y1613" t="s">
        <v>32546</v>
      </c>
    </row>
    <row r="1614" spans="1:25" x14ac:dyDescent="0.3">
      <c r="A1614">
        <v>80650</v>
      </c>
      <c r="B1614" t="s">
        <v>32547</v>
      </c>
      <c r="C1614" t="s">
        <v>32548</v>
      </c>
      <c r="D1614" t="s">
        <v>32549</v>
      </c>
      <c r="E1614" t="s">
        <v>32550</v>
      </c>
      <c r="F1614" t="s">
        <v>32551</v>
      </c>
      <c r="G1614">
        <f>-592.989039753779 -6.15781436033667 -692.389782682053</f>
        <v>-1291.5366367961688</v>
      </c>
      <c r="H1614">
        <f>-579.197465423521 -43.6901755333913 -839.363105197281</f>
        <v>-1462.2507461541932</v>
      </c>
      <c r="I1614">
        <f>-542.110821821198 -65.3237879014848 -931.772736318639</f>
        <v>-1539.2073460413217</v>
      </c>
      <c r="J1614" t="s">
        <v>32552</v>
      </c>
      <c r="K1614" t="s">
        <v>32553</v>
      </c>
      <c r="L1614" t="s">
        <v>32554</v>
      </c>
      <c r="M1614" t="s">
        <v>32555</v>
      </c>
      <c r="N1614">
        <f>-591.516716153955 -57.4287602724857 -767.165991208115</f>
        <v>-1416.1114676345555</v>
      </c>
      <c r="O1614">
        <f>-616.974970462721 -192.00573594526 -713.63345088726</f>
        <v>-1522.6141572952411</v>
      </c>
      <c r="P1614">
        <f>-604.462151066359 -161.922512319088 -398.792795838041</f>
        <v>-1165.1774592234879</v>
      </c>
      <c r="Q1614">
        <f>-362.902637317294 -85.6821509858073 -457.771286524902</f>
        <v>-906.35607482800333</v>
      </c>
      <c r="R1614" t="s">
        <v>32556</v>
      </c>
      <c r="S1614" t="s">
        <v>32557</v>
      </c>
      <c r="T1614" t="s">
        <v>32558</v>
      </c>
      <c r="U1614" t="s">
        <v>32559</v>
      </c>
      <c r="V1614">
        <f>-584.719987337075 -41.0203575454196 -232.939960992889</f>
        <v>-858.68030587538374</v>
      </c>
      <c r="W1614" t="s">
        <v>32560</v>
      </c>
      <c r="X1614" t="s">
        <v>32561</v>
      </c>
      <c r="Y1614" t="s">
        <v>32562</v>
      </c>
    </row>
    <row r="1615" spans="1:25" x14ac:dyDescent="0.3">
      <c r="A1615">
        <v>80700</v>
      </c>
      <c r="B1615" t="s">
        <v>32563</v>
      </c>
      <c r="C1615" t="s">
        <v>32564</v>
      </c>
      <c r="D1615" t="s">
        <v>32565</v>
      </c>
      <c r="E1615" t="s">
        <v>32566</v>
      </c>
      <c r="F1615" t="s">
        <v>32567</v>
      </c>
      <c r="G1615">
        <f>-592.941874739806 -5.80470668984847 -692.405426852744</f>
        <v>-1291.1520082823986</v>
      </c>
      <c r="H1615">
        <f>-579.115119959588 -43.1207188522758 -839.430345064363</f>
        <v>-1461.6661838762268</v>
      </c>
      <c r="I1615">
        <f>-542.009754844995 -64.6255548583173 -931.862589975322</f>
        <v>-1538.4978996786342</v>
      </c>
      <c r="J1615" t="s">
        <v>32568</v>
      </c>
      <c r="K1615" t="s">
        <v>32569</v>
      </c>
      <c r="L1615" t="s">
        <v>32570</v>
      </c>
      <c r="M1615" t="s">
        <v>32571</v>
      </c>
      <c r="N1615">
        <f>-591.48481381537 -56.9598228363001 -767.261270396817</f>
        <v>-1415.705907048487</v>
      </c>
      <c r="O1615">
        <f>-617.160740401439 -191.563197834028 -713.917557810715</f>
        <v>-1522.6414960461821</v>
      </c>
      <c r="P1615">
        <f>-604.845802222615 -161.818214615165 -399.037050512692</f>
        <v>-1165.7010673504722</v>
      </c>
      <c r="Q1615">
        <f>-363.138587275975 -86.1261242517002 -458.116303335343</f>
        <v>-907.38101486301821</v>
      </c>
      <c r="R1615" t="s">
        <v>32572</v>
      </c>
      <c r="S1615" t="s">
        <v>32573</v>
      </c>
      <c r="T1615" t="s">
        <v>32574</v>
      </c>
      <c r="U1615" t="s">
        <v>32575</v>
      </c>
      <c r="V1615">
        <f>-584.969999930804 -41.3481931710227 -232.938860930723</f>
        <v>-859.2570540325496</v>
      </c>
      <c r="W1615" t="s">
        <v>32576</v>
      </c>
      <c r="X1615" t="s">
        <v>32577</v>
      </c>
      <c r="Y1615" t="s">
        <v>32578</v>
      </c>
    </row>
    <row r="1616" spans="1:25" x14ac:dyDescent="0.3">
      <c r="A1616">
        <v>80750</v>
      </c>
      <c r="B1616" t="s">
        <v>32579</v>
      </c>
      <c r="C1616" t="s">
        <v>32580</v>
      </c>
      <c r="D1616" t="s">
        <v>32581</v>
      </c>
      <c r="E1616" t="s">
        <v>32582</v>
      </c>
      <c r="F1616" t="s">
        <v>32583</v>
      </c>
      <c r="G1616">
        <f>-593.219967016085 -5.1815666545446 -692.415320364049</f>
        <v>-1290.8168540346785</v>
      </c>
      <c r="H1616">
        <f>-579.468013864846 -42.0000397781327 -839.572685092793</f>
        <v>-1461.0407387357718</v>
      </c>
      <c r="I1616">
        <f>-542.358207649631 -63.2310936462018 -932.066505971988</f>
        <v>-1537.6558072678208</v>
      </c>
      <c r="J1616" t="s">
        <v>32584</v>
      </c>
      <c r="K1616" t="s">
        <v>32585</v>
      </c>
      <c r="L1616" t="s">
        <v>32586</v>
      </c>
      <c r="M1616" t="s">
        <v>32587</v>
      </c>
      <c r="N1616">
        <f>-591.88469838767 -56.0684953351468 -767.455993882579</f>
        <v>-1415.4091876053958</v>
      </c>
      <c r="O1616">
        <f>-618.084080520864 -190.693006192512 -714.419576002558</f>
        <v>-1523.1966627159341</v>
      </c>
      <c r="P1616">
        <f>-605.847504764657 -161.902078034376 -399.447306475027</f>
        <v>-1167.1968892740599</v>
      </c>
      <c r="Q1616">
        <f>-363.872794783261 -87.1368107407448 -458.612002817816</f>
        <v>-909.6216083418218</v>
      </c>
      <c r="R1616" t="s">
        <v>32588</v>
      </c>
      <c r="S1616" t="s">
        <v>32589</v>
      </c>
      <c r="T1616" t="s">
        <v>32590</v>
      </c>
      <c r="U1616" t="s">
        <v>32591</v>
      </c>
      <c r="V1616">
        <f>-585.33445402484 -42.1408113997952 -232.907387347669</f>
        <v>-860.38265277230425</v>
      </c>
      <c r="W1616" t="s">
        <v>32592</v>
      </c>
      <c r="X1616" t="s">
        <v>32593</v>
      </c>
      <c r="Y1616" t="s">
        <v>32594</v>
      </c>
    </row>
    <row r="1617" spans="1:25" x14ac:dyDescent="0.3">
      <c r="A1617">
        <v>80800</v>
      </c>
      <c r="B1617" t="s">
        <v>32595</v>
      </c>
      <c r="C1617" t="s">
        <v>32596</v>
      </c>
      <c r="D1617" t="s">
        <v>32597</v>
      </c>
      <c r="E1617" t="s">
        <v>32598</v>
      </c>
      <c r="F1617" t="s">
        <v>32599</v>
      </c>
      <c r="G1617">
        <f>-593.096824310825 -4.896856073601 -692.416799196026</f>
        <v>-1290.4104795804519</v>
      </c>
      <c r="H1617">
        <f>-579.454931793644 -41.4707092167841 -839.645444382767</f>
        <v>-1460.5710853931951</v>
      </c>
      <c r="I1617">
        <f>-542.369781590592 -62.5732408948594 -932.178439939974</f>
        <v>-1537.1214624254253</v>
      </c>
      <c r="J1617" t="s">
        <v>32600</v>
      </c>
      <c r="K1617" t="s">
        <v>32601</v>
      </c>
      <c r="L1617" t="s">
        <v>32602</v>
      </c>
      <c r="M1617" t="s">
        <v>32603</v>
      </c>
      <c r="N1617">
        <f>-591.853896432156 -55.6525721263168 -767.547863347225</f>
        <v>-1415.0543319056978</v>
      </c>
      <c r="O1617">
        <f>-618.285004406958 -190.302026764257 -714.690287538241</f>
        <v>-1523.277318709456</v>
      </c>
      <c r="P1617">
        <f>-605.983950483556 -161.804835281988 -399.693917835463</f>
        <v>-1167.482703601007</v>
      </c>
      <c r="Q1617">
        <f>-363.893274100732 -87.4474130384619 -458.898039144294</f>
        <v>-910.23872628348795</v>
      </c>
      <c r="R1617" t="s">
        <v>32604</v>
      </c>
      <c r="S1617" t="s">
        <v>32605</v>
      </c>
      <c r="T1617" t="s">
        <v>32606</v>
      </c>
      <c r="U1617" t="s">
        <v>32607</v>
      </c>
      <c r="V1617">
        <f>-585.406644555766 -42.4386152215911 -232.879695243551</f>
        <v>-860.72495502090806</v>
      </c>
      <c r="W1617" t="s">
        <v>32608</v>
      </c>
      <c r="X1617" t="s">
        <v>32609</v>
      </c>
      <c r="Y1617" t="s">
        <v>32610</v>
      </c>
    </row>
    <row r="1618" spans="1:25" x14ac:dyDescent="0.3">
      <c r="A1618">
        <v>80850</v>
      </c>
      <c r="B1618" t="s">
        <v>32611</v>
      </c>
      <c r="C1618" t="s">
        <v>32612</v>
      </c>
      <c r="D1618" t="s">
        <v>32613</v>
      </c>
      <c r="E1618" t="s">
        <v>32614</v>
      </c>
      <c r="F1618" t="s">
        <v>32615</v>
      </c>
      <c r="G1618">
        <f>-593.184344948533 -4.29545697854778 -692.400931725905</f>
        <v>-1289.8807336529858</v>
      </c>
      <c r="H1618">
        <f>-579.715218712427 -40.355276577431 -839.772076353301</f>
        <v>-1459.8425716431591</v>
      </c>
      <c r="I1618">
        <f>-542.697097031193 -61.1880613214903 -932.3931311606</f>
        <v>-1536.2782895132832</v>
      </c>
      <c r="J1618" t="s">
        <v>32616</v>
      </c>
      <c r="K1618" t="s">
        <v>32617</v>
      </c>
      <c r="L1618" t="s">
        <v>32618</v>
      </c>
      <c r="M1618" t="s">
        <v>32619</v>
      </c>
      <c r="N1618">
        <f>-592.103434893564 -54.7754016084926 -767.720003934768</f>
        <v>-1414.5988404368245</v>
      </c>
      <c r="O1618">
        <f>-618.984158918182 -189.46986557203 -715.188825525188</f>
        <v>-1523.6428500154</v>
      </c>
      <c r="P1618">
        <f>-606.471661973305 -161.809933704986 -400.126011644916</f>
        <v>-1168.407607323207</v>
      </c>
      <c r="Q1618">
        <f>-364.143039242658 -88.1189821891918 -459.189977354161</f>
        <v>-911.45199878601079</v>
      </c>
      <c r="R1618" t="s">
        <v>32620</v>
      </c>
      <c r="S1618" t="s">
        <v>32621</v>
      </c>
      <c r="T1618" t="s">
        <v>32622</v>
      </c>
      <c r="U1618" t="s">
        <v>32623</v>
      </c>
      <c r="V1618">
        <f>-585.442487297686 -43.1411595872009 -232.792931793067</f>
        <v>-861.37657867795383</v>
      </c>
      <c r="W1618" t="s">
        <v>32624</v>
      </c>
      <c r="X1618" t="s">
        <v>32625</v>
      </c>
      <c r="Y1618" t="s">
        <v>32626</v>
      </c>
    </row>
    <row r="1619" spans="1:25" x14ac:dyDescent="0.3">
      <c r="A1619">
        <v>80900</v>
      </c>
      <c r="B1619" t="s">
        <v>32627</v>
      </c>
      <c r="C1619" t="s">
        <v>32628</v>
      </c>
      <c r="D1619" t="s">
        <v>32629</v>
      </c>
      <c r="E1619" t="s">
        <v>32630</v>
      </c>
      <c r="F1619" t="s">
        <v>32631</v>
      </c>
      <c r="G1619">
        <f>-593.277635384106 -3.94734493015088 -692.386254581024</f>
        <v>-1289.6112348952809</v>
      </c>
      <c r="H1619">
        <f>-579.828100254179 -39.7811316138623 -839.814403963584</f>
        <v>-1459.4236358316252</v>
      </c>
      <c r="I1619">
        <f>-542.842071301765 -60.4826413625805 -932.477617503767</f>
        <v>-1535.8023301681123</v>
      </c>
      <c r="J1619" t="s">
        <v>32632</v>
      </c>
      <c r="K1619" t="s">
        <v>32633</v>
      </c>
      <c r="L1619" t="s">
        <v>32634</v>
      </c>
      <c r="M1619" t="s">
        <v>32635</v>
      </c>
      <c r="N1619">
        <f>-592.226436493062 -54.3081724182336 -767.785514643275</f>
        <v>-1414.3201235545707</v>
      </c>
      <c r="O1619">
        <f>-619.365751659395 -189.028739786257 -715.463611813432</f>
        <v>-1523.8581032590839</v>
      </c>
      <c r="P1619">
        <f>-606.921692407217 -161.665887202683 -400.372216110238</f>
        <v>-1168.9597957201381</v>
      </c>
      <c r="Q1619">
        <f>-364.423446346217 -88.2907245904885 -459.132245769204</f>
        <v>-911.84641670590952</v>
      </c>
      <c r="R1619" t="s">
        <v>32636</v>
      </c>
      <c r="S1619" t="s">
        <v>32637</v>
      </c>
      <c r="T1619" t="s">
        <v>32638</v>
      </c>
      <c r="U1619" t="s">
        <v>32639</v>
      </c>
      <c r="V1619">
        <f>-585.43786619537 -43.4011015337892 -232.75681312553</f>
        <v>-861.59578085468922</v>
      </c>
      <c r="W1619" t="s">
        <v>32640</v>
      </c>
      <c r="X1619" t="s">
        <v>32641</v>
      </c>
      <c r="Y1619" t="s">
        <v>32642</v>
      </c>
    </row>
    <row r="1620" spans="1:25" x14ac:dyDescent="0.3">
      <c r="A1620">
        <v>80950</v>
      </c>
      <c r="B1620" t="s">
        <v>32643</v>
      </c>
      <c r="C1620" t="s">
        <v>32644</v>
      </c>
      <c r="D1620" t="s">
        <v>32645</v>
      </c>
      <c r="E1620" t="s">
        <v>32646</v>
      </c>
      <c r="F1620" t="s">
        <v>32647</v>
      </c>
      <c r="G1620">
        <f>-593.236423323632 -3.32233147644581 -692.226400815117</f>
        <v>-1288.785155615195</v>
      </c>
      <c r="H1620">
        <f>-579.595652188809 -38.7978521362902 -839.723493869268</f>
        <v>-1458.1169981943672</v>
      </c>
      <c r="I1620">
        <f>-542.556354036071 -59.2360483014426 -932.423831586304</f>
        <v>-1534.2162339238175</v>
      </c>
      <c r="J1620" t="s">
        <v>32648</v>
      </c>
      <c r="K1620" t="s">
        <v>32649</v>
      </c>
      <c r="L1620" t="s">
        <v>32650</v>
      </c>
      <c r="M1620" t="s">
        <v>32651</v>
      </c>
      <c r="N1620">
        <f>-592.051609652916 -53.5063064890095 -767.741433400911</f>
        <v>-1413.2993495428364</v>
      </c>
      <c r="O1620">
        <f>-619.433930367296 -188.330917935144 -715.822693538273</f>
        <v>-1523.5875418407131</v>
      </c>
      <c r="P1620">
        <f>-607.493955752598 -161.518326339577 -400.664451704312</f>
        <v>-1169.676733796487</v>
      </c>
      <c r="Q1620">
        <f>-364.575546670616 -88.5102151453966 -458.132027552005</f>
        <v>-911.21778936801763</v>
      </c>
      <c r="R1620" t="s">
        <v>32652</v>
      </c>
      <c r="S1620" t="s">
        <v>32653</v>
      </c>
      <c r="T1620" t="s">
        <v>32654</v>
      </c>
      <c r="U1620" t="s">
        <v>32655</v>
      </c>
      <c r="V1620">
        <f>-585.561549137241 -43.910679629547 -232.689651683461</f>
        <v>-862.16188045024887</v>
      </c>
      <c r="W1620" t="s">
        <v>32656</v>
      </c>
      <c r="X1620" t="s">
        <v>32657</v>
      </c>
      <c r="Y1620" t="s">
        <v>32658</v>
      </c>
    </row>
    <row r="1621" spans="1:25" x14ac:dyDescent="0.3">
      <c r="A1621">
        <v>81000</v>
      </c>
      <c r="B1621" t="s">
        <v>32659</v>
      </c>
      <c r="C1621" t="s">
        <v>32660</v>
      </c>
      <c r="D1621" t="s">
        <v>32661</v>
      </c>
      <c r="E1621" t="s">
        <v>32662</v>
      </c>
      <c r="F1621" t="s">
        <v>32663</v>
      </c>
      <c r="G1621">
        <f>-593.530915316743 -3.23548630622087 -692.133925617524</f>
        <v>-1288.900327240488</v>
      </c>
      <c r="H1621">
        <f>-579.887159799646 -38.6699636388998 -839.640799773833</f>
        <v>-1458.197923212379</v>
      </c>
      <c r="I1621">
        <f>-542.788359874637 -59.028766648752 -932.334769393821</f>
        <v>-1534.1518959172099</v>
      </c>
      <c r="J1621" t="s">
        <v>32664</v>
      </c>
      <c r="K1621" t="s">
        <v>32665</v>
      </c>
      <c r="L1621" t="s">
        <v>32666</v>
      </c>
      <c r="M1621" t="s">
        <v>32667</v>
      </c>
      <c r="N1621">
        <f>-592.326999899219 -53.4016306548926 -767.660568531204</f>
        <v>-1413.3891990853158</v>
      </c>
      <c r="O1621">
        <f>-619.747369084409 -188.247900398442 -715.839059353775</f>
        <v>-1523.8343288366259</v>
      </c>
      <c r="P1621">
        <f>-607.985983673825 -161.393331364677 -400.677679011975</f>
        <v>-1170.056994050477</v>
      </c>
      <c r="Q1621">
        <f>-364.835123405672 -88.4272532490536 -457.207646439142</f>
        <v>-910.47002309386767</v>
      </c>
      <c r="R1621" t="s">
        <v>32668</v>
      </c>
      <c r="S1621" t="s">
        <v>32669</v>
      </c>
      <c r="T1621" t="s">
        <v>32670</v>
      </c>
      <c r="U1621" t="s">
        <v>32671</v>
      </c>
      <c r="V1621">
        <f>-585.66431314947 -44.1751429442615 -232.676672373431</f>
        <v>-862.5161284671625</v>
      </c>
      <c r="W1621" t="s">
        <v>32672</v>
      </c>
      <c r="X1621" t="s">
        <v>32673</v>
      </c>
      <c r="Y1621" t="s">
        <v>32674</v>
      </c>
    </row>
    <row r="1622" spans="1:25" x14ac:dyDescent="0.3">
      <c r="A1622">
        <v>81050</v>
      </c>
      <c r="B1622" t="s">
        <v>32675</v>
      </c>
      <c r="C1622" t="s">
        <v>32676</v>
      </c>
      <c r="D1622" t="s">
        <v>32677</v>
      </c>
      <c r="E1622" t="s">
        <v>32678</v>
      </c>
      <c r="F1622" t="s">
        <v>32679</v>
      </c>
      <c r="G1622">
        <f>-593.178142851753 -3.73322001569133 -692.024627265483</f>
        <v>-1288.9359901329274</v>
      </c>
      <c r="H1622">
        <f>-579.337619724969 -39.3236067034904 -839.475435197519</f>
        <v>-1458.1366616259784</v>
      </c>
      <c r="I1622">
        <f>-541.965543939064 -59.6148982602145 -932.074426429769</f>
        <v>-1533.6548686290475</v>
      </c>
      <c r="J1622" t="s">
        <v>32680</v>
      </c>
      <c r="K1622" t="s">
        <v>32681</v>
      </c>
      <c r="L1622" t="s">
        <v>32682</v>
      </c>
      <c r="M1622" t="s">
        <v>32683</v>
      </c>
      <c r="N1622">
        <f>-591.812582093102 -53.9901419093778 -767.488113656252</f>
        <v>-1413.290837658732</v>
      </c>
      <c r="O1622">
        <f>-619.182200507615 -188.843693771455 -715.604788042466</f>
        <v>-1523.6306823215359</v>
      </c>
      <c r="P1622">
        <f>-607.699631332261 -161.642923689874 -400.46276531756</f>
        <v>-1169.8053203396951</v>
      </c>
      <c r="Q1622">
        <f>-364.397342674885 -88.2204118143387 -455.736771993771</f>
        <v>-908.35452648299474</v>
      </c>
      <c r="R1622" t="s">
        <v>32684</v>
      </c>
      <c r="S1622" t="s">
        <v>32685</v>
      </c>
      <c r="T1622" t="s">
        <v>32686</v>
      </c>
      <c r="U1622" t="s">
        <v>32687</v>
      </c>
      <c r="V1622">
        <f>-586.011153153407 -44.8476443579464 -232.678314427245</f>
        <v>-863.5371119385984</v>
      </c>
      <c r="W1622" t="s">
        <v>32688</v>
      </c>
      <c r="X1622" t="s">
        <v>32689</v>
      </c>
      <c r="Y1622" t="s">
        <v>32690</v>
      </c>
    </row>
    <row r="1623" spans="1:25" x14ac:dyDescent="0.3">
      <c r="A1623">
        <v>81100</v>
      </c>
      <c r="B1623" t="s">
        <v>32691</v>
      </c>
      <c r="C1623" t="s">
        <v>32692</v>
      </c>
      <c r="D1623" t="s">
        <v>32693</v>
      </c>
      <c r="E1623" t="s">
        <v>32694</v>
      </c>
      <c r="F1623" t="s">
        <v>32695</v>
      </c>
      <c r="G1623">
        <f>-592.934508707395 -3.89977529897427 -692.00610440654</f>
        <v>-1288.8403884129093</v>
      </c>
      <c r="H1623">
        <f>-578.988586498132 -39.6029361056192 -839.419843838284</f>
        <v>-1458.0113664420351</v>
      </c>
      <c r="I1623">
        <f>-541.491862635879 -59.91632063452 -931.963515564138</f>
        <v>-1533.371698834537</v>
      </c>
      <c r="J1623" t="s">
        <v>32696</v>
      </c>
      <c r="K1623" t="s">
        <v>32697</v>
      </c>
      <c r="L1623" t="s">
        <v>32698</v>
      </c>
      <c r="M1623" t="s">
        <v>32699</v>
      </c>
      <c r="N1623">
        <f>-591.492286283387 -54.2184454713273 -767.427021279294</f>
        <v>-1413.1377530340083</v>
      </c>
      <c r="O1623">
        <f>-618.855097975432 -189.035208955109 -715.472378167482</f>
        <v>-1523.3626850980231</v>
      </c>
      <c r="P1623">
        <f>-607.498553763744 -161.51963622039 -400.35318583067</f>
        <v>-1169.371375814804</v>
      </c>
      <c r="Q1623">
        <f>-364.230066212531 -87.6629847640766 -455.195535733597</f>
        <v>-907.08858671020471</v>
      </c>
      <c r="R1623" t="s">
        <v>32700</v>
      </c>
      <c r="S1623" t="s">
        <v>32701</v>
      </c>
      <c r="T1623" t="s">
        <v>32702</v>
      </c>
      <c r="U1623" t="s">
        <v>32703</v>
      </c>
      <c r="V1623">
        <f>-585.969213326236 -44.8900352309606 -232.696278050331</f>
        <v>-863.55552660752755</v>
      </c>
      <c r="W1623" t="s">
        <v>32704</v>
      </c>
      <c r="X1623" t="s">
        <v>32705</v>
      </c>
      <c r="Y1623" t="s">
        <v>32706</v>
      </c>
    </row>
    <row r="1624" spans="1:25" x14ac:dyDescent="0.3">
      <c r="A1624">
        <v>81150</v>
      </c>
      <c r="B1624" t="s">
        <v>32707</v>
      </c>
      <c r="C1624" t="s">
        <v>32708</v>
      </c>
      <c r="D1624" t="s">
        <v>32709</v>
      </c>
      <c r="E1624" t="s">
        <v>32710</v>
      </c>
      <c r="F1624" t="s">
        <v>32711</v>
      </c>
      <c r="G1624">
        <f>-591.81058041718 -4.28386452331266 -692.157082309791</f>
        <v>-1288.2515272502837</v>
      </c>
      <c r="H1624">
        <f>-577.688293973192 -40.2975408165976 -839.478379013548</f>
        <v>-1457.4642138033375</v>
      </c>
      <c r="I1624">
        <f>-539.992346006794 -60.7973109768414 -931.900081619125</f>
        <v>-1532.6897386027604</v>
      </c>
      <c r="J1624" t="s">
        <v>32712</v>
      </c>
      <c r="K1624" t="s">
        <v>32713</v>
      </c>
      <c r="L1624" t="s">
        <v>32714</v>
      </c>
      <c r="M1624" t="s">
        <v>32715</v>
      </c>
      <c r="N1624">
        <f>-590.263514417222 -54.763878055789 -767.468005248856</f>
        <v>-1412.495397721867</v>
      </c>
      <c r="O1624">
        <f>-617.719648111625 -189.509584708371 -715.349212766449</f>
        <v>-1522.578445586445</v>
      </c>
      <c r="P1624">
        <f>-606.72266595062 -161.491382422309 -400.261493837942</f>
        <v>-1168.475542210871</v>
      </c>
      <c r="Q1624">
        <f>-363.349735887798 -86.8631638020501 -453.574994702639</f>
        <v>-903.78789439248703</v>
      </c>
      <c r="R1624" t="s">
        <v>32716</v>
      </c>
      <c r="S1624" t="s">
        <v>32717</v>
      </c>
      <c r="T1624" t="s">
        <v>32718</v>
      </c>
      <c r="U1624" t="s">
        <v>32719</v>
      </c>
      <c r="V1624">
        <f>-585.590193878577 -44.4767099586407 -232.783940491105</f>
        <v>-862.85084432832275</v>
      </c>
      <c r="W1624" t="s">
        <v>32720</v>
      </c>
      <c r="X1624" t="s">
        <v>32721</v>
      </c>
      <c r="Y1624" t="s">
        <v>32722</v>
      </c>
    </row>
    <row r="1625" spans="1:25" x14ac:dyDescent="0.3">
      <c r="A1625">
        <v>81200</v>
      </c>
      <c r="B1625" t="s">
        <v>32723</v>
      </c>
      <c r="C1625" t="s">
        <v>32724</v>
      </c>
      <c r="D1625" t="s">
        <v>32725</v>
      </c>
      <c r="E1625" t="s">
        <v>32726</v>
      </c>
      <c r="F1625" t="s">
        <v>32727</v>
      </c>
      <c r="G1625">
        <f>-591.352849120996 -4.22836654336518 -692.219394070346</f>
        <v>-1287.800609734707</v>
      </c>
      <c r="H1625">
        <f>-577.167354478724 -40.3159756872214 -839.516658329437</f>
        <v>-1456.9999884953822</v>
      </c>
      <c r="I1625">
        <f>-539.41762401133 -60.9060462942347 -931.896249839424</f>
        <v>-1532.2199201449885</v>
      </c>
      <c r="J1625" t="s">
        <v>32728</v>
      </c>
      <c r="K1625" t="s">
        <v>32729</v>
      </c>
      <c r="L1625" t="s">
        <v>32730</v>
      </c>
      <c r="M1625" t="s">
        <v>32731</v>
      </c>
      <c r="N1625">
        <f>-589.760486433609 -54.7484973093969 -767.502574408888</f>
        <v>-1412.011558151894</v>
      </c>
      <c r="O1625">
        <f>-617.265047690667 -189.480184575001 -715.35836230327</f>
        <v>-1522.103594568938</v>
      </c>
      <c r="P1625">
        <f>-606.580342063433 -161.093003732756 -400.292931108735</f>
        <v>-1167.9662769049239</v>
      </c>
      <c r="Q1625">
        <f>-363.095920550399 -86.210926781843 -452.734010491895</f>
        <v>-902.04085782413699</v>
      </c>
      <c r="R1625" t="s">
        <v>32732</v>
      </c>
      <c r="S1625" t="s">
        <v>32733</v>
      </c>
      <c r="T1625" t="s">
        <v>32734</v>
      </c>
      <c r="U1625" t="s">
        <v>32735</v>
      </c>
      <c r="V1625">
        <f>-585.307829235155 -44.2180681592939 -232.810567517558</f>
        <v>-862.33646491200693</v>
      </c>
      <c r="W1625" t="s">
        <v>32736</v>
      </c>
      <c r="X1625" t="s">
        <v>32737</v>
      </c>
      <c r="Y1625" t="s">
        <v>32738</v>
      </c>
    </row>
    <row r="1626" spans="1:25" x14ac:dyDescent="0.3">
      <c r="A1626">
        <v>81250</v>
      </c>
      <c r="B1626" t="s">
        <v>32739</v>
      </c>
      <c r="C1626" t="s">
        <v>32740</v>
      </c>
      <c r="D1626" t="s">
        <v>32741</v>
      </c>
      <c r="E1626" t="s">
        <v>32742</v>
      </c>
      <c r="F1626" t="s">
        <v>32743</v>
      </c>
      <c r="G1626">
        <f>-590.013475393938 -4.07404138989256 -692.434051821812</f>
        <v>-1286.5215686056426</v>
      </c>
      <c r="H1626">
        <f>-575.705081072817 -40.2921094955601 -839.687340861573</f>
        <v>-1455.6845314299503</v>
      </c>
      <c r="I1626">
        <f>-537.83169307171 -61.0630050091674 -931.975813973974</f>
        <v>-1530.8705120548514</v>
      </c>
      <c r="J1626" t="s">
        <v>32744</v>
      </c>
      <c r="K1626" t="s">
        <v>32745</v>
      </c>
      <c r="L1626" t="s">
        <v>32746</v>
      </c>
      <c r="M1626" t="s">
        <v>32747</v>
      </c>
      <c r="N1626">
        <f>-588.319263580845 -54.6676705892568 -767.665603595876</f>
        <v>-1410.6525377659777</v>
      </c>
      <c r="O1626">
        <f>-615.86281100147 -189.349490541792 -715.460033827573</f>
        <v>-1520.6723353708351</v>
      </c>
      <c r="P1626">
        <f>-605.548235280386 -160.572190111412 -400.4178285492</f>
        <v>-1166.5382539409982</v>
      </c>
      <c r="Q1626">
        <f>-361.910578755483 -85.3717865554247 -451.67832347531</f>
        <v>-898.9606887862177</v>
      </c>
      <c r="R1626" t="s">
        <v>32748</v>
      </c>
      <c r="S1626" t="s">
        <v>32749</v>
      </c>
      <c r="T1626" t="s">
        <v>32750</v>
      </c>
      <c r="U1626" t="s">
        <v>32751</v>
      </c>
      <c r="V1626">
        <f>-584.711294253234 -43.4276765796014 -232.922549651865</f>
        <v>-861.0615204847004</v>
      </c>
      <c r="W1626" t="s">
        <v>32752</v>
      </c>
      <c r="X1626" t="s">
        <v>32753</v>
      </c>
      <c r="Y1626" t="s">
        <v>32754</v>
      </c>
    </row>
    <row r="1627" spans="1:25" x14ac:dyDescent="0.3">
      <c r="A1627">
        <v>81300</v>
      </c>
      <c r="B1627" t="s">
        <v>32755</v>
      </c>
      <c r="C1627" t="s">
        <v>32756</v>
      </c>
      <c r="D1627" t="s">
        <v>32757</v>
      </c>
      <c r="E1627" t="s">
        <v>32758</v>
      </c>
      <c r="F1627" t="s">
        <v>32759</v>
      </c>
      <c r="G1627">
        <f>-589.569189452305 -3.91972211232149 -692.561962598042</f>
        <v>-1286.0508741626684</v>
      </c>
      <c r="H1627">
        <f>-575.209038415177 -40.2183113026771 -839.79029167316</f>
        <v>-1455.2176413910142</v>
      </c>
      <c r="I1627">
        <f>-537.260171063806 -61.0601459290771 -932.031775426586</f>
        <v>-1530.352092419469</v>
      </c>
      <c r="J1627" t="s">
        <v>32760</v>
      </c>
      <c r="K1627" t="s">
        <v>32761</v>
      </c>
      <c r="L1627" t="s">
        <v>32762</v>
      </c>
      <c r="M1627" t="s">
        <v>32763</v>
      </c>
      <c r="N1627">
        <f>-587.830513956191 -54.5576416673511 -767.762586260255</f>
        <v>-1410.1507418837971</v>
      </c>
      <c r="O1627">
        <f>-615.356835708766 -189.229950248692 -715.50494615122</f>
        <v>-1520.0917321086781</v>
      </c>
      <c r="P1627">
        <f>-605.081984275749 -160.289469616375 -400.476332700787</f>
        <v>-1165.847786592911</v>
      </c>
      <c r="Q1627">
        <f>-361.450032623756 -85.0557697396171 -451.715326331375</f>
        <v>-898.22112869474813</v>
      </c>
      <c r="R1627" t="s">
        <v>32764</v>
      </c>
      <c r="S1627" t="s">
        <v>32765</v>
      </c>
      <c r="T1627" t="s">
        <v>32766</v>
      </c>
      <c r="U1627" t="s">
        <v>32767</v>
      </c>
      <c r="V1627">
        <f>-584.470750089506 -42.9580803968133 -232.970581497033</f>
        <v>-860.39941198335237</v>
      </c>
      <c r="W1627" t="s">
        <v>32768</v>
      </c>
      <c r="X1627" t="s">
        <v>32769</v>
      </c>
      <c r="Y1627" t="s">
        <v>32770</v>
      </c>
    </row>
    <row r="1628" spans="1:25" x14ac:dyDescent="0.3">
      <c r="A1628">
        <v>81350</v>
      </c>
      <c r="B1628" t="s">
        <v>32771</v>
      </c>
      <c r="C1628" t="s">
        <v>32772</v>
      </c>
      <c r="D1628" t="s">
        <v>32773</v>
      </c>
      <c r="E1628" t="s">
        <v>32774</v>
      </c>
      <c r="F1628" t="s">
        <v>32775</v>
      </c>
      <c r="G1628">
        <f>-588.954887094306 -3.64640731792645 -692.545748301321</f>
        <v>-1285.1470427135534</v>
      </c>
      <c r="H1628">
        <f>-574.473099126226 -40.1748215257936 -839.705273136855</f>
        <v>-1454.3531937888747</v>
      </c>
      <c r="I1628">
        <f>-536.390354192228 -61.1198497299672 -931.86827615704</f>
        <v>-1529.378480079235</v>
      </c>
      <c r="J1628" t="s">
        <v>32776</v>
      </c>
      <c r="K1628" t="s">
        <v>32777</v>
      </c>
      <c r="L1628" t="s">
        <v>32778</v>
      </c>
      <c r="M1628" t="s">
        <v>32779</v>
      </c>
      <c r="N1628">
        <f>-587.129908025247 -54.4058934411053 -767.662359278808</f>
        <v>-1409.1981607451603</v>
      </c>
      <c r="O1628">
        <f>-614.724992317928 -188.97077317386 -715.197108860034</f>
        <v>-1518.892874351822</v>
      </c>
      <c r="P1628">
        <f>-604.228830171803 -159.832055686931 -400.193896975053</f>
        <v>-1164.254782833787</v>
      </c>
      <c r="Q1628">
        <f>-360.578816246073 -84.8462268394017 -451.709586963596</f>
        <v>-897.13463004907067</v>
      </c>
      <c r="R1628" t="s">
        <v>32780</v>
      </c>
      <c r="S1628" t="s">
        <v>32781</v>
      </c>
      <c r="T1628" t="s">
        <v>32782</v>
      </c>
      <c r="U1628" t="s">
        <v>32783</v>
      </c>
      <c r="V1628">
        <f>-584.244678082418 -42.1304426849113 -232.992515327106</f>
        <v>-859.36763609443528</v>
      </c>
      <c r="W1628" t="s">
        <v>32784</v>
      </c>
      <c r="X1628" t="s">
        <v>32785</v>
      </c>
      <c r="Y1628" t="s">
        <v>32786</v>
      </c>
    </row>
    <row r="1629" spans="1:25" x14ac:dyDescent="0.3">
      <c r="A1629">
        <v>81400</v>
      </c>
      <c r="B1629" t="s">
        <v>32787</v>
      </c>
      <c r="C1629" t="s">
        <v>32788</v>
      </c>
      <c r="D1629" t="s">
        <v>32789</v>
      </c>
      <c r="E1629" t="s">
        <v>32790</v>
      </c>
      <c r="F1629" t="s">
        <v>32791</v>
      </c>
      <c r="G1629">
        <f>-588.571581673314 -3.59090978050359 -692.534349992032</f>
        <v>-1284.6968414458497</v>
      </c>
      <c r="H1629">
        <f>-574.019973070103 -40.2575235911436 -839.652620993972</f>
        <v>-1453.9301176552185</v>
      </c>
      <c r="I1629">
        <f>-535.908536446151 -61.2850930575583 -931.784921536991</f>
        <v>-1528.9785510407</v>
      </c>
      <c r="J1629" t="s">
        <v>32792</v>
      </c>
      <c r="K1629" t="s">
        <v>32793</v>
      </c>
      <c r="L1629" t="s">
        <v>32794</v>
      </c>
      <c r="M1629" t="s">
        <v>32795</v>
      </c>
      <c r="N1629">
        <f>-586.707088467765 -54.4216022623579 -767.601730923505</f>
        <v>-1408.7304216536277</v>
      </c>
      <c r="O1629">
        <f>-614.372433535357 -188.936677840516 -715.039695582115</f>
        <v>-1518.348806957988</v>
      </c>
      <c r="P1629">
        <f>-603.83482098402 -159.505615680871 -400.065106565481</f>
        <v>-1163.4055432303719</v>
      </c>
      <c r="Q1629">
        <f>-360.161995743372 -84.767029194289 -451.831405253257</f>
        <v>-896.76043019091799</v>
      </c>
      <c r="R1629" t="s">
        <v>32796</v>
      </c>
      <c r="S1629" t="s">
        <v>32797</v>
      </c>
      <c r="T1629" t="s">
        <v>32798</v>
      </c>
      <c r="U1629" t="s">
        <v>32799</v>
      </c>
      <c r="V1629">
        <f>-584.062055920825 -41.8001885167904 -233.007142102591</f>
        <v>-858.86938654020628</v>
      </c>
      <c r="W1629" t="s">
        <v>32800</v>
      </c>
      <c r="X1629" t="s">
        <v>32801</v>
      </c>
      <c r="Y1629" t="s">
        <v>32802</v>
      </c>
    </row>
    <row r="1630" spans="1:25" x14ac:dyDescent="0.3">
      <c r="A1630">
        <v>81450</v>
      </c>
      <c r="B1630" t="s">
        <v>32803</v>
      </c>
      <c r="C1630" t="s">
        <v>32804</v>
      </c>
      <c r="D1630" t="s">
        <v>32805</v>
      </c>
      <c r="E1630" t="s">
        <v>32806</v>
      </c>
      <c r="F1630" t="s">
        <v>32807</v>
      </c>
      <c r="G1630">
        <f>-587.951884984749 -3.16365953824069 -692.48347284424</f>
        <v>-1283.5990173672299</v>
      </c>
      <c r="H1630">
        <f>-573.512250370745 -39.9893317790154 -839.573177433286</f>
        <v>-1453.0747595830464</v>
      </c>
      <c r="I1630">
        <f>-535.399745774135 -61.1572974813485 -931.672764433928</f>
        <v>-1528.2298076894115</v>
      </c>
      <c r="J1630" t="s">
        <v>32808</v>
      </c>
      <c r="K1630" t="s">
        <v>32809</v>
      </c>
      <c r="L1630" t="s">
        <v>32810</v>
      </c>
      <c r="M1630" t="s">
        <v>32811</v>
      </c>
      <c r="N1630">
        <f>-586.139285363023 -54.0764112469838 -767.496576419882</f>
        <v>-1407.7122730298888</v>
      </c>
      <c r="O1630">
        <f>-613.796097295188 -188.537199096027 -714.773297045757</f>
        <v>-1517.1065934369722</v>
      </c>
      <c r="P1630">
        <f>-602.997126976263 -159.015738438581 -399.816156401982</f>
        <v>-1161.8290218168261</v>
      </c>
      <c r="Q1630">
        <f>-359.294742918728 -84.4574902447395 -451.703343731157</f>
        <v>-895.45557689462453</v>
      </c>
      <c r="R1630" t="s">
        <v>32812</v>
      </c>
      <c r="S1630" t="s">
        <v>32813</v>
      </c>
      <c r="T1630" t="s">
        <v>32814</v>
      </c>
      <c r="U1630" t="s">
        <v>32815</v>
      </c>
      <c r="V1630">
        <f>-583.491646891796 -41.0523077496995 -233.009531947611</f>
        <v>-857.55348658910646</v>
      </c>
      <c r="W1630" t="s">
        <v>32816</v>
      </c>
      <c r="X1630" t="s">
        <v>32817</v>
      </c>
      <c r="Y1630" t="s">
        <v>32818</v>
      </c>
    </row>
    <row r="1631" spans="1:25" x14ac:dyDescent="0.3">
      <c r="A1631">
        <v>81500</v>
      </c>
      <c r="B1631" t="s">
        <v>32819</v>
      </c>
      <c r="C1631" t="s">
        <v>32820</v>
      </c>
      <c r="D1631" t="s">
        <v>32821</v>
      </c>
      <c r="E1631" t="s">
        <v>32822</v>
      </c>
      <c r="F1631" t="s">
        <v>32823</v>
      </c>
      <c r="G1631">
        <f>-587.666117502524 -3.01414245958735 -692.503828273799</f>
        <v>-1283.1840882359102</v>
      </c>
      <c r="H1631">
        <f>-573.30853253922 -39.9059039498983 -839.584898300913</f>
        <v>-1452.7993347900313</v>
      </c>
      <c r="I1631">
        <f>-535.186342051447 -61.1312027875566 -931.667296209305</f>
        <v>-1527.9848410483087</v>
      </c>
      <c r="J1631" t="s">
        <v>32824</v>
      </c>
      <c r="K1631" t="s">
        <v>32825</v>
      </c>
      <c r="L1631" t="s">
        <v>32826</v>
      </c>
      <c r="M1631" t="s">
        <v>32827</v>
      </c>
      <c r="N1631">
        <f>-585.901585012945 -53.9594871502522 -767.495885061963</f>
        <v>-1407.3569572251604</v>
      </c>
      <c r="O1631">
        <f>-613.523453296648 -188.408073546026 -714.713889258556</f>
        <v>-1516.64541610123</v>
      </c>
      <c r="P1631">
        <f>-602.501886919676 -158.72035190752 -399.780070499008</f>
        <v>-1161.0023093262041</v>
      </c>
      <c r="Q1631">
        <f>-358.788565562253 -84.2413668883832 -451.729239218241</f>
        <v>-894.75917166887712</v>
      </c>
      <c r="R1631" t="s">
        <v>32828</v>
      </c>
      <c r="S1631" t="s">
        <v>32829</v>
      </c>
      <c r="T1631" t="s">
        <v>32830</v>
      </c>
      <c r="U1631" t="s">
        <v>32831</v>
      </c>
      <c r="V1631">
        <f>-583.209655124449 -40.6636047946412 -232.997412887068</f>
        <v>-856.87067280615815</v>
      </c>
      <c r="W1631" t="s">
        <v>32832</v>
      </c>
      <c r="X1631" t="s">
        <v>32833</v>
      </c>
      <c r="Y1631" t="s">
        <v>32834</v>
      </c>
    </row>
    <row r="1632" spans="1:25" x14ac:dyDescent="0.3">
      <c r="A1632">
        <v>81550</v>
      </c>
      <c r="B1632" t="s">
        <v>32835</v>
      </c>
      <c r="C1632" t="s">
        <v>32836</v>
      </c>
      <c r="D1632" t="s">
        <v>32837</v>
      </c>
      <c r="E1632" t="s">
        <v>32838</v>
      </c>
      <c r="F1632" t="s">
        <v>32839</v>
      </c>
      <c r="G1632">
        <f>-587.41009287742 -2.46166882805989 -692.4773890453</f>
        <v>-1282.3491507507799</v>
      </c>
      <c r="H1632">
        <f>-573.262314928149 -39.4625839797181 -839.551395561494</f>
        <v>-1452.2762944693611</v>
      </c>
      <c r="I1632">
        <f>-535.07276938414 -60.7386151556985 -931.594222208262</f>
        <v>-1527.4056067481006</v>
      </c>
      <c r="J1632" t="s">
        <v>32840</v>
      </c>
      <c r="K1632" t="s">
        <v>32841</v>
      </c>
      <c r="L1632" t="s">
        <v>32842</v>
      </c>
      <c r="M1632" t="s">
        <v>32843</v>
      </c>
      <c r="N1632">
        <f>-585.755196637851 -53.4622292466284 -767.434454730655</f>
        <v>-1406.6518806151344</v>
      </c>
      <c r="O1632">
        <f>-613.324792092679 -187.852678494677 -714.488683081206</f>
        <v>-1515.6661536685619</v>
      </c>
      <c r="P1632">
        <f>-602.000476685145 -158.00133437835 -399.580922537712</f>
        <v>-1159.5827336012071</v>
      </c>
      <c r="Q1632">
        <f>-358.366973881713 -83.6450016500333 -452.077544273518</f>
        <v>-894.08951980526433</v>
      </c>
      <c r="R1632" t="s">
        <v>32844</v>
      </c>
      <c r="S1632" t="s">
        <v>32845</v>
      </c>
      <c r="T1632" t="s">
        <v>32846</v>
      </c>
      <c r="U1632" t="s">
        <v>32847</v>
      </c>
      <c r="V1632">
        <f>-582.731361317036 -39.9007204130968 -232.97190313169</f>
        <v>-855.60398486182271</v>
      </c>
      <c r="W1632" t="s">
        <v>32848</v>
      </c>
      <c r="X1632" t="s">
        <v>32849</v>
      </c>
      <c r="Y1632" t="s">
        <v>32850</v>
      </c>
    </row>
    <row r="1633" spans="1:25" x14ac:dyDescent="0.3">
      <c r="A1633">
        <v>81600</v>
      </c>
      <c r="B1633" t="s">
        <v>32851</v>
      </c>
      <c r="C1633" t="s">
        <v>32852</v>
      </c>
      <c r="D1633" t="s">
        <v>32853</v>
      </c>
      <c r="E1633" t="s">
        <v>32854</v>
      </c>
      <c r="F1633" t="s">
        <v>32855</v>
      </c>
      <c r="G1633">
        <f>-587.152762792152 -2.2029276087062 -692.466306109887</f>
        <v>-1281.8219965107451</v>
      </c>
      <c r="H1633">
        <f>-573.014232035217 -39.2290737118891 -839.534975041352</f>
        <v>-1451.7782807884582</v>
      </c>
      <c r="I1633">
        <f>-534.759036009723 -60.5261867593623 -931.545614661477</f>
        <v>-1526.8308374305623</v>
      </c>
      <c r="J1633" t="s">
        <v>32856</v>
      </c>
      <c r="K1633" t="s">
        <v>32857</v>
      </c>
      <c r="L1633" t="s">
        <v>32858</v>
      </c>
      <c r="M1633" t="s">
        <v>32859</v>
      </c>
      <c r="N1633">
        <f>-585.510248132913 -53.2149855156483 -767.415938509341</f>
        <v>-1406.1411721579025</v>
      </c>
      <c r="O1633">
        <f>-613.147237386992 -187.556180549562 -714.395094756383</f>
        <v>-1515.0985126929368</v>
      </c>
      <c r="P1633">
        <f>-601.727813934015 -157.712692750155 -399.490099190211</f>
        <v>-1158.9306058743809</v>
      </c>
      <c r="Q1633">
        <f>-358.068598688598 -83.656500029035 -452.290632446466</f>
        <v>-894.01573116409895</v>
      </c>
      <c r="R1633" t="s">
        <v>32860</v>
      </c>
      <c r="S1633" t="s">
        <v>32861</v>
      </c>
      <c r="T1633" t="s">
        <v>32862</v>
      </c>
      <c r="U1633" t="s">
        <v>32863</v>
      </c>
      <c r="V1633">
        <f>-582.558275339396 -39.6257091000507 -232.962672208964</f>
        <v>-855.14665664841073</v>
      </c>
      <c r="W1633" t="s">
        <v>32864</v>
      </c>
      <c r="X1633" t="s">
        <v>32865</v>
      </c>
      <c r="Y1633" t="s">
        <v>32866</v>
      </c>
    </row>
    <row r="1634" spans="1:25" x14ac:dyDescent="0.3">
      <c r="A1634">
        <v>81650</v>
      </c>
      <c r="B1634" t="s">
        <v>32867</v>
      </c>
      <c r="C1634" t="s">
        <v>32868</v>
      </c>
      <c r="D1634" t="s">
        <v>32869</v>
      </c>
      <c r="E1634" t="s">
        <v>32870</v>
      </c>
      <c r="F1634" t="s">
        <v>32871</v>
      </c>
      <c r="G1634">
        <f>-586.67985182233 -1.67625723264674 -692.444860614878</f>
        <v>-1280.8009696698548</v>
      </c>
      <c r="H1634">
        <f>-572.581409754392 -38.7416642702664 -839.507382686244</f>
        <v>-1450.8304567109024</v>
      </c>
      <c r="I1634">
        <f>-534.208313831914 -60.1565905461146 -931.441558723083</f>
        <v>-1525.8064631011116</v>
      </c>
      <c r="J1634" t="s">
        <v>32872</v>
      </c>
      <c r="K1634" t="s">
        <v>32873</v>
      </c>
      <c r="L1634" t="s">
        <v>32874</v>
      </c>
      <c r="M1634" t="s">
        <v>32875</v>
      </c>
      <c r="N1634">
        <f>-585.05924736279 -52.7080762742666 -767.381393432343</f>
        <v>-1405.1487170693995</v>
      </c>
      <c r="O1634">
        <f>-612.817826275987 -187.001614054479 -714.304071287585</f>
        <v>-1514.123511618051</v>
      </c>
      <c r="P1634">
        <f>-601.265546050292 -156.982594105599 -399.420587852702</f>
        <v>-1157.668728008593</v>
      </c>
      <c r="Q1634">
        <f>-357.494577718402 -83.8493469299933 -452.986287036516</f>
        <v>-894.33021168491132</v>
      </c>
      <c r="R1634" t="s">
        <v>32876</v>
      </c>
      <c r="S1634" t="s">
        <v>32877</v>
      </c>
      <c r="T1634" t="s">
        <v>32878</v>
      </c>
      <c r="U1634" t="s">
        <v>32879</v>
      </c>
      <c r="V1634">
        <f>-582.309286746542 -39.0692607893485 -232.949279719914</f>
        <v>-854.32782725580455</v>
      </c>
      <c r="W1634" t="s">
        <v>32880</v>
      </c>
      <c r="X1634" t="s">
        <v>32881</v>
      </c>
      <c r="Y1634" t="s">
        <v>32882</v>
      </c>
    </row>
    <row r="1635" spans="1:25" x14ac:dyDescent="0.3">
      <c r="A1635">
        <v>81700</v>
      </c>
      <c r="B1635" t="s">
        <v>32883</v>
      </c>
      <c r="C1635" t="s">
        <v>32884</v>
      </c>
      <c r="D1635" t="s">
        <v>32885</v>
      </c>
      <c r="E1635" t="s">
        <v>32886</v>
      </c>
      <c r="F1635" t="s">
        <v>32887</v>
      </c>
      <c r="G1635">
        <f>-586.750433358843 -1.49390654879461 -692.415811889161</f>
        <v>-1280.6601517967986</v>
      </c>
      <c r="H1635">
        <f>-572.719225390921 -38.6371143929569 -839.465166120513</f>
        <v>-1450.821505904391</v>
      </c>
      <c r="I1635">
        <f>-534.309296098778 -60.1331758435853 -931.365048699264</f>
        <v>-1525.8075206416272</v>
      </c>
      <c r="J1635" t="s">
        <v>32888</v>
      </c>
      <c r="K1635" t="s">
        <v>32889</v>
      </c>
      <c r="L1635" t="s">
        <v>32890</v>
      </c>
      <c r="M1635" t="s">
        <v>32891</v>
      </c>
      <c r="N1635">
        <f>-585.18212678072 -52.5622784113714 -767.328487613539</f>
        <v>-1405.0728928056303</v>
      </c>
      <c r="O1635">
        <f>-613.083958651131 -186.801347027008 -714.190675328978</f>
        <v>-1514.075981007117</v>
      </c>
      <c r="P1635">
        <f>-601.338660847807 -156.793888260189 -399.313287629201</f>
        <v>-1157.4458367371969</v>
      </c>
      <c r="Q1635">
        <f>-357.517736777063 -84.1214657748874 -453.277323351579</f>
        <v>-894.91652590352942</v>
      </c>
      <c r="R1635" t="s">
        <v>32892</v>
      </c>
      <c r="S1635" t="s">
        <v>32893</v>
      </c>
      <c r="T1635" t="s">
        <v>32894</v>
      </c>
      <c r="U1635" t="s">
        <v>32895</v>
      </c>
      <c r="V1635">
        <f>-582.264777640668 -38.7951490607132 -232.941704190307</f>
        <v>-854.00163089168814</v>
      </c>
      <c r="W1635" t="s">
        <v>32896</v>
      </c>
      <c r="X1635" t="s">
        <v>32897</v>
      </c>
      <c r="Y1635" t="s">
        <v>32898</v>
      </c>
    </row>
    <row r="1636" spans="1:25" x14ac:dyDescent="0.3">
      <c r="A1636">
        <v>81750</v>
      </c>
      <c r="B1636" t="s">
        <v>32899</v>
      </c>
      <c r="C1636" t="s">
        <v>32900</v>
      </c>
      <c r="D1636" t="s">
        <v>32901</v>
      </c>
      <c r="E1636" t="s">
        <v>32902</v>
      </c>
      <c r="F1636" t="s">
        <v>32903</v>
      </c>
      <c r="G1636">
        <f>-586.693717644937 -1.23145644538503 -692.28564722854</f>
        <v>-1280.2108213188621</v>
      </c>
      <c r="H1636">
        <f>-572.6673041554 -38.6126611062521 -839.275142010512</f>
        <v>-1450.5551072721642</v>
      </c>
      <c r="I1636">
        <f>-534.248767544491 -60.2567454581421 -931.136523610971</f>
        <v>-1525.642036613604</v>
      </c>
      <c r="J1636" t="s">
        <v>32904</v>
      </c>
      <c r="K1636" t="s">
        <v>32905</v>
      </c>
      <c r="L1636" t="s">
        <v>32906</v>
      </c>
      <c r="M1636" t="s">
        <v>32907</v>
      </c>
      <c r="N1636">
        <f>-585.144579040155 -52.4180813320141 -767.11803659142</f>
        <v>-1404.6806969635891</v>
      </c>
      <c r="O1636">
        <f>-613.096424258344 -186.605239400184 -713.8271397</f>
        <v>-1513.528803358528</v>
      </c>
      <c r="P1636">
        <f>-600.958399643335 -156.273289343761 -398.995710447226</f>
        <v>-1156.227399434322</v>
      </c>
      <c r="Q1636">
        <f>-357.006395385377 -84.5001028509518 -453.567208548679</f>
        <v>-895.07370678500774</v>
      </c>
      <c r="R1636" t="s">
        <v>32908</v>
      </c>
      <c r="S1636" t="s">
        <v>32909</v>
      </c>
      <c r="T1636" t="s">
        <v>32910</v>
      </c>
      <c r="U1636" t="s">
        <v>32911</v>
      </c>
      <c r="V1636">
        <f>-582.308443926027 -38.2613175753777 -232.910019346611</f>
        <v>-853.47978084801571</v>
      </c>
      <c r="W1636" t="s">
        <v>32912</v>
      </c>
      <c r="X1636" t="s">
        <v>32913</v>
      </c>
      <c r="Y1636" t="s">
        <v>32914</v>
      </c>
    </row>
    <row r="1637" spans="1:25" x14ac:dyDescent="0.3">
      <c r="A1637">
        <v>81800</v>
      </c>
      <c r="B1637" t="s">
        <v>32915</v>
      </c>
      <c r="C1637" t="s">
        <v>32916</v>
      </c>
      <c r="D1637" t="s">
        <v>32917</v>
      </c>
      <c r="E1637" t="s">
        <v>32918</v>
      </c>
      <c r="F1637" t="s">
        <v>32919</v>
      </c>
      <c r="G1637">
        <f>-586.830221430035 -1.13969800701599 -692.201500459709</f>
        <v>-1280.17141989676</v>
      </c>
      <c r="H1637">
        <f>-572.79631597595 -38.6547510975202 -839.156100211562</f>
        <v>-1450.6071672850321</v>
      </c>
      <c r="I1637">
        <f>-534.438670667035 -60.3679658456657 -931.026739877543</f>
        <v>-1525.8333763902438</v>
      </c>
      <c r="J1637" t="s">
        <v>32920</v>
      </c>
      <c r="K1637" t="s">
        <v>32921</v>
      </c>
      <c r="L1637" t="s">
        <v>32922</v>
      </c>
      <c r="M1637" t="s">
        <v>32923</v>
      </c>
      <c r="N1637">
        <f>-585.301239993736 -52.3902942048109 -766.990448749771</f>
        <v>-1404.6819829483179</v>
      </c>
      <c r="O1637">
        <f>-613.325090175358 -186.503149318671 -713.604281508484</f>
        <v>-1513.4325210025131</v>
      </c>
      <c r="P1637">
        <f>-601.172779329734 -156.106364048601 -398.779699287809</f>
        <v>-1156.0588426661441</v>
      </c>
      <c r="Q1637">
        <f>-357.33043461382 -84.4272418651538 -453.961717604937</f>
        <v>-895.71939408391086</v>
      </c>
      <c r="R1637" t="s">
        <v>32924</v>
      </c>
      <c r="S1637" t="s">
        <v>32925</v>
      </c>
      <c r="T1637" t="s">
        <v>32926</v>
      </c>
      <c r="U1637" t="s">
        <v>32927</v>
      </c>
      <c r="V1637">
        <f>-582.336174051083 -38.1337071305611 -232.903307505766</f>
        <v>-853.37318868741022</v>
      </c>
      <c r="W1637" t="s">
        <v>32928</v>
      </c>
      <c r="X1637" t="s">
        <v>32929</v>
      </c>
      <c r="Y1637" t="s">
        <v>32930</v>
      </c>
    </row>
    <row r="1638" spans="1:25" x14ac:dyDescent="0.3">
      <c r="A1638">
        <v>81850</v>
      </c>
      <c r="B1638" t="s">
        <v>32931</v>
      </c>
      <c r="C1638" t="s">
        <v>32932</v>
      </c>
      <c r="D1638" t="s">
        <v>32933</v>
      </c>
      <c r="E1638" t="s">
        <v>32934</v>
      </c>
      <c r="F1638" t="s">
        <v>32935</v>
      </c>
      <c r="G1638">
        <f>-586.761773441052 -1.06667170166018 -692.100354776297</f>
        <v>-1279.9287999190092</v>
      </c>
      <c r="H1638">
        <f>-572.897828466665 -38.9180718425426 -838.984967924617</f>
        <v>-1450.8008682338245</v>
      </c>
      <c r="I1638">
        <f>-534.709778448101 -60.8510453604381 -930.874006736074</f>
        <v>-1526.4348305446131</v>
      </c>
      <c r="J1638" t="s">
        <v>32936</v>
      </c>
      <c r="K1638" t="s">
        <v>32937</v>
      </c>
      <c r="L1638" t="s">
        <v>32938</v>
      </c>
      <c r="M1638" t="s">
        <v>32939</v>
      </c>
      <c r="N1638">
        <f>-585.382400764115 -52.4772904612131 -766.78242393461</f>
        <v>-1404.6421151599382</v>
      </c>
      <c r="O1638">
        <f>-613.416269585661 -186.514270356185 -713.182231334325</f>
        <v>-1513.1127712761709</v>
      </c>
      <c r="P1638">
        <f>-601.244992081202 -155.758967706404 -398.393088642722</f>
        <v>-1155.3970484303279</v>
      </c>
      <c r="Q1638">
        <f>-357.524457634714 -84.4858638126192 -454.629168677581</f>
        <v>-896.63949012491412</v>
      </c>
      <c r="R1638" t="s">
        <v>32940</v>
      </c>
      <c r="S1638" t="s">
        <v>32941</v>
      </c>
      <c r="T1638" t="s">
        <v>32942</v>
      </c>
      <c r="U1638" t="s">
        <v>32943</v>
      </c>
      <c r="V1638">
        <f>-582.198167056199 -37.596624199107 -232.908473260294</f>
        <v>-852.70326451560004</v>
      </c>
      <c r="W1638" t="s">
        <v>32944</v>
      </c>
      <c r="X1638" t="s">
        <v>32945</v>
      </c>
      <c r="Y1638" t="s">
        <v>32946</v>
      </c>
    </row>
    <row r="1639" spans="1:25" x14ac:dyDescent="0.3">
      <c r="A1639">
        <v>81900</v>
      </c>
      <c r="B1639" t="s">
        <v>32947</v>
      </c>
      <c r="C1639" t="s">
        <v>32948</v>
      </c>
      <c r="D1639" t="s">
        <v>32949</v>
      </c>
      <c r="E1639" t="s">
        <v>32950</v>
      </c>
      <c r="F1639" t="s">
        <v>32951</v>
      </c>
      <c r="G1639">
        <f>-586.934388101737 -1.07438319760828 -692.071531423208</f>
        <v>-1280.0803027225534</v>
      </c>
      <c r="H1639">
        <f>-573.322410996335 -39.1092197646365 -838.93223234104</f>
        <v>-1451.3638631020115</v>
      </c>
      <c r="I1639">
        <f>-535.217148589305 -61.1698008624851 -930.825037658344</f>
        <v>-1527.211987110134</v>
      </c>
      <c r="J1639" t="s">
        <v>32952</v>
      </c>
      <c r="K1639" t="s">
        <v>32953</v>
      </c>
      <c r="L1639" t="s">
        <v>32954</v>
      </c>
      <c r="M1639" t="s">
        <v>32955</v>
      </c>
      <c r="N1639">
        <f>-585.729844572258 -52.5699328506098 -766.698011977667</f>
        <v>-1404.9977894005347</v>
      </c>
      <c r="O1639">
        <f>-613.782935678375 -186.544152710387 -712.957682756616</f>
        <v>-1513.284771145378</v>
      </c>
      <c r="P1639">
        <f>-601.399915989841 -155.385882211382 -398.216443666777</f>
        <v>-1155.0022418680001</v>
      </c>
      <c r="Q1639">
        <f>-357.849547779044 -84.1055579938145 -455.175808911032</f>
        <v>-897.13091468389052</v>
      </c>
      <c r="R1639" t="s">
        <v>32956</v>
      </c>
      <c r="S1639" t="s">
        <v>32957</v>
      </c>
      <c r="T1639" t="s">
        <v>32958</v>
      </c>
      <c r="U1639" t="s">
        <v>32959</v>
      </c>
      <c r="V1639">
        <f>-582.146322562165 -37.3412451564382 -232.910349052696</f>
        <v>-852.39791677129915</v>
      </c>
      <c r="W1639" t="s">
        <v>32960</v>
      </c>
      <c r="X1639" t="s">
        <v>32961</v>
      </c>
      <c r="Y1639" t="s">
        <v>32962</v>
      </c>
    </row>
    <row r="1640" spans="1:25" x14ac:dyDescent="0.3">
      <c r="A1640">
        <v>81950</v>
      </c>
      <c r="B1640" t="s">
        <v>32963</v>
      </c>
      <c r="C1640" t="s">
        <v>32964</v>
      </c>
      <c r="D1640" t="s">
        <v>32965</v>
      </c>
      <c r="E1640" t="s">
        <v>32966</v>
      </c>
      <c r="F1640" t="s">
        <v>32967</v>
      </c>
      <c r="G1640">
        <f>-587.411822100304 -0.906913034213531 -691.998090794999</f>
        <v>-1280.3168259295167</v>
      </c>
      <c r="H1640">
        <f>-574.193906317119 -39.2190305971175 -838.822736185586</f>
        <v>-1452.2356730998224</v>
      </c>
      <c r="I1640">
        <f>-536.193724639184 -61.4733576827749 -930.712393744638</f>
        <v>-1528.3794760665969</v>
      </c>
      <c r="J1640" t="s">
        <v>32968</v>
      </c>
      <c r="K1640" t="s">
        <v>32969</v>
      </c>
      <c r="L1640" t="s">
        <v>32970</v>
      </c>
      <c r="M1640" t="s">
        <v>32971</v>
      </c>
      <c r="N1640">
        <f>-586.504977157764 -52.5258496904457 -766.543590693165</f>
        <v>-1405.5744175413747</v>
      </c>
      <c r="O1640">
        <f>-614.624307683106 -186.419952798742 -712.602159085148</f>
        <v>-1513.646419566996</v>
      </c>
      <c r="P1640">
        <f>-602.052307223153 -155.501150541237 -397.844938685006</f>
        <v>-1155.3983964493959</v>
      </c>
      <c r="Q1640">
        <f>-358.768930039452 -84.0714289459982 -455.750412948753</f>
        <v>-898.5907719342033</v>
      </c>
      <c r="R1640" t="s">
        <v>32972</v>
      </c>
      <c r="S1640" t="s">
        <v>32973</v>
      </c>
      <c r="T1640" t="s">
        <v>32974</v>
      </c>
      <c r="U1640" t="s">
        <v>32975</v>
      </c>
      <c r="V1640">
        <f>-581.940974469262 -36.7120346931144 -232.878208770865</f>
        <v>-851.53121793324135</v>
      </c>
      <c r="W1640" t="s">
        <v>32976</v>
      </c>
      <c r="X1640" t="s">
        <v>32977</v>
      </c>
      <c r="Y1640" t="s">
        <v>32978</v>
      </c>
    </row>
    <row r="1641" spans="1:25" x14ac:dyDescent="0.3">
      <c r="A1641">
        <v>82000</v>
      </c>
      <c r="B1641" t="s">
        <v>32979</v>
      </c>
      <c r="C1641" t="s">
        <v>32980</v>
      </c>
      <c r="D1641" t="s">
        <v>32981</v>
      </c>
      <c r="E1641" t="s">
        <v>32982</v>
      </c>
      <c r="F1641" t="s">
        <v>32983</v>
      </c>
      <c r="G1641">
        <f>-587.736061810668 -0.41946922375579 -692.059018127175</f>
        <v>-1280.2145491615988</v>
      </c>
      <c r="H1641">
        <f>-574.720168906095 -38.6529349302633 -838.92226525791</f>
        <v>-1452.2953690942682</v>
      </c>
      <c r="I1641">
        <f>-536.773441910344 -60.9379596542988 -930.826655305377</f>
        <v>-1528.5380568700198</v>
      </c>
      <c r="J1641" t="s">
        <v>32984</v>
      </c>
      <c r="K1641" t="s">
        <v>32985</v>
      </c>
      <c r="L1641" t="s">
        <v>32986</v>
      </c>
      <c r="M1641" t="s">
        <v>32987</v>
      </c>
      <c r="N1641">
        <f>-586.963579670821 -51.9927394030024 -766.637714404293</f>
        <v>-1405.5940334781162</v>
      </c>
      <c r="O1641">
        <f>-615.141142677976 -185.867523521162 -712.675537186251</f>
        <v>-1513.6842033853889</v>
      </c>
      <c r="P1641">
        <f>-602.075776136014 -155.152016805817 -397.918497392385</f>
        <v>-1155.146290334216</v>
      </c>
      <c r="Q1641">
        <f>-358.789372651834 -83.9075835192799 -456.038991467651</f>
        <v>-898.73594763876486</v>
      </c>
      <c r="R1641" t="s">
        <v>32988</v>
      </c>
      <c r="S1641" t="s">
        <v>32989</v>
      </c>
      <c r="T1641" t="s">
        <v>32990</v>
      </c>
      <c r="U1641" t="s">
        <v>32991</v>
      </c>
      <c r="V1641">
        <f>-581.91142812956 -36.3905251728105 -232.892954645493</f>
        <v>-851.1949079478635</v>
      </c>
      <c r="W1641" t="s">
        <v>32992</v>
      </c>
      <c r="X1641" t="s">
        <v>32993</v>
      </c>
      <c r="Y1641" t="s">
        <v>32994</v>
      </c>
    </row>
    <row r="1642" spans="1:25" x14ac:dyDescent="0.3">
      <c r="A1642">
        <v>82050</v>
      </c>
      <c r="B1642" t="s">
        <v>32995</v>
      </c>
      <c r="C1642" t="s">
        <v>32996</v>
      </c>
      <c r="D1642" t="s">
        <v>32997</v>
      </c>
      <c r="E1642" t="s">
        <v>32998</v>
      </c>
      <c r="F1642" t="s">
        <v>32999</v>
      </c>
      <c r="G1642" t="s">
        <v>33000</v>
      </c>
      <c r="H1642">
        <f>-575.478168289452 -37.5305853156372 -838.971928193292</f>
        <v>-1451.9806817983813</v>
      </c>
      <c r="I1642">
        <f>-537.661003744627 -59.8031911598177 -930.9326960347</f>
        <v>-1528.3968909391447</v>
      </c>
      <c r="J1642" t="s">
        <v>33001</v>
      </c>
      <c r="K1642" t="s">
        <v>33002</v>
      </c>
      <c r="L1642" t="s">
        <v>33003</v>
      </c>
      <c r="M1642" t="s">
        <v>33004</v>
      </c>
      <c r="N1642">
        <f>-587.581389977418 -50.948735021367 -766.678267378759</f>
        <v>-1405.208392377544</v>
      </c>
      <c r="O1642">
        <f>-615.47676558546 -184.923541818256 -712.854120372484</f>
        <v>-1513.2544277761999</v>
      </c>
      <c r="P1642">
        <f>-602.113780959174 -154.785050129288 -398.053685005729</f>
        <v>-1154.9525160941912</v>
      </c>
      <c r="Q1642">
        <f>-358.827517920807 -83.7254232816714 -456.400707212153</f>
        <v>-898.9536484146314</v>
      </c>
      <c r="R1642" t="s">
        <v>33005</v>
      </c>
      <c r="S1642" t="s">
        <v>33006</v>
      </c>
      <c r="T1642" t="s">
        <v>33007</v>
      </c>
      <c r="U1642" t="s">
        <v>33008</v>
      </c>
      <c r="V1642">
        <f>-581.95416097708 -35.8104114996894 -232.901774601912</f>
        <v>-850.66634707868138</v>
      </c>
      <c r="W1642" t="s">
        <v>33009</v>
      </c>
      <c r="X1642" t="s">
        <v>33010</v>
      </c>
      <c r="Y1642" t="s">
        <v>33011</v>
      </c>
    </row>
    <row r="1643" spans="1:25" x14ac:dyDescent="0.3">
      <c r="A1643">
        <v>82100</v>
      </c>
      <c r="B1643" t="s">
        <v>33012</v>
      </c>
      <c r="C1643" t="s">
        <v>33013</v>
      </c>
      <c r="D1643" t="s">
        <v>33014</v>
      </c>
      <c r="E1643" t="s">
        <v>33015</v>
      </c>
      <c r="F1643" t="s">
        <v>33016</v>
      </c>
      <c r="G1643" t="s">
        <v>33017</v>
      </c>
      <c r="H1643">
        <f>-576.319061338563 -36.5955573829688 -839.105879733409</f>
        <v>-1452.0204984549407</v>
      </c>
      <c r="I1643">
        <f>-538.569792553619 -58.7581559279014 -931.120964721801</f>
        <v>-1528.4489132033214</v>
      </c>
      <c r="J1643" t="s">
        <v>33018</v>
      </c>
      <c r="K1643" t="s">
        <v>33019</v>
      </c>
      <c r="L1643" t="s">
        <v>33020</v>
      </c>
      <c r="M1643" t="s">
        <v>33021</v>
      </c>
      <c r="N1643">
        <f>-588.316422707258 -50.1187927824976 -766.814085654142</f>
        <v>-1405.2493011438976</v>
      </c>
      <c r="O1643">
        <f>-616.058526866307 -184.141096714767 -713.029200814925</f>
        <v>-1513.2288243959993</v>
      </c>
      <c r="P1643">
        <f>-602.136338777561 -154.083577417108 -398.24535123912</f>
        <v>-1154.465267433789</v>
      </c>
      <c r="Q1643">
        <f>-358.731109596625 -83.1646360927031 -456.266750097908</f>
        <v>-898.16249578723614</v>
      </c>
      <c r="R1643" t="s">
        <v>33022</v>
      </c>
      <c r="S1643" t="s">
        <v>33023</v>
      </c>
      <c r="T1643" t="s">
        <v>33024</v>
      </c>
      <c r="U1643" t="s">
        <v>33025</v>
      </c>
      <c r="V1643">
        <f>-582.00800474737 -35.5010097950772 -232.938235997352</f>
        <v>-850.44725053979914</v>
      </c>
      <c r="W1643" t="s">
        <v>33026</v>
      </c>
      <c r="X1643" t="s">
        <v>33027</v>
      </c>
      <c r="Y1643" t="s">
        <v>33028</v>
      </c>
    </row>
    <row r="1644" spans="1:25" x14ac:dyDescent="0.3">
      <c r="A1644">
        <v>82150</v>
      </c>
      <c r="B1644" t="s">
        <v>33029</v>
      </c>
      <c r="C1644" t="s">
        <v>33030</v>
      </c>
      <c r="D1644" t="s">
        <v>33031</v>
      </c>
      <c r="E1644" t="s">
        <v>33032</v>
      </c>
      <c r="F1644" t="s">
        <v>33033</v>
      </c>
      <c r="G1644" t="s">
        <v>33034</v>
      </c>
      <c r="H1644">
        <f>-577.319881995317 -35.8006901024844 -839.138574600825</f>
        <v>-1452.2591466986264</v>
      </c>
      <c r="I1644">
        <f>-539.688821385933 -57.7434191826403 -931.254962970444</f>
        <v>-1528.6872035390174</v>
      </c>
      <c r="J1644" t="s">
        <v>33035</v>
      </c>
      <c r="K1644" t="s">
        <v>33036</v>
      </c>
      <c r="L1644" t="s">
        <v>33037</v>
      </c>
      <c r="M1644" t="s">
        <v>33038</v>
      </c>
      <c r="N1644">
        <f>-589.116325758645 -49.3772862307071 -766.823785855193</f>
        <v>-1405.3173978445452</v>
      </c>
      <c r="O1644">
        <f>-616.407065905621 -183.509776280964 -713.103421174927</f>
        <v>-1513.020263361512</v>
      </c>
      <c r="P1644">
        <f>-602.828818183186 -153.98487576518 -398.253986926068</f>
        <v>-1155.0676808744338</v>
      </c>
      <c r="Q1644">
        <f>-359.745290207866 -82.4332824862235 -456.844310493911</f>
        <v>-899.02288318800049</v>
      </c>
      <c r="R1644" t="s">
        <v>33039</v>
      </c>
      <c r="S1644" t="s">
        <v>33040</v>
      </c>
      <c r="T1644" t="s">
        <v>33041</v>
      </c>
      <c r="U1644" t="s">
        <v>33042</v>
      </c>
      <c r="V1644">
        <f>-582.105007377773 -35.0555501204221 -232.971134819462</f>
        <v>-850.1316923176571</v>
      </c>
      <c r="W1644" t="s">
        <v>33043</v>
      </c>
      <c r="X1644" t="s">
        <v>33044</v>
      </c>
      <c r="Y1644" t="s">
        <v>33045</v>
      </c>
    </row>
    <row r="1645" spans="1:25" x14ac:dyDescent="0.3">
      <c r="A1645">
        <v>82200</v>
      </c>
      <c r="B1645" t="s">
        <v>33046</v>
      </c>
      <c r="C1645" t="s">
        <v>33047</v>
      </c>
      <c r="D1645" t="s">
        <v>33048</v>
      </c>
      <c r="E1645" t="s">
        <v>33049</v>
      </c>
      <c r="F1645" t="s">
        <v>33050</v>
      </c>
      <c r="G1645" t="s">
        <v>33051</v>
      </c>
      <c r="H1645">
        <f>-577.824089401292 -35.4284791589461 -839.20958276914</f>
        <v>-1452.462151329378</v>
      </c>
      <c r="I1645">
        <f>-540.24207020638 -57.2496882740774 -931.374752551445</f>
        <v>-1528.8665110319025</v>
      </c>
      <c r="J1645" t="s">
        <v>33052</v>
      </c>
      <c r="K1645" t="s">
        <v>33053</v>
      </c>
      <c r="L1645" t="s">
        <v>33054</v>
      </c>
      <c r="M1645" t="s">
        <v>33055</v>
      </c>
      <c r="N1645">
        <f>-589.53840455422 -49.0414695874279 -766.888222654423</f>
        <v>-1405.4680967960708</v>
      </c>
      <c r="O1645">
        <f>-616.750802329889 -183.186007328171 -713.131081188054</f>
        <v>-1513.0678908461141</v>
      </c>
      <c r="P1645">
        <f>-602.853113770864 -153.849078627753 -398.278201332013</f>
        <v>-1154.9803937306299</v>
      </c>
      <c r="Q1645">
        <f>-360.061533598036 -81.6249253518682 -457.252404155578</f>
        <v>-898.93886310548226</v>
      </c>
      <c r="R1645" t="s">
        <v>33056</v>
      </c>
      <c r="S1645" t="s">
        <v>33057</v>
      </c>
      <c r="T1645" t="s">
        <v>33058</v>
      </c>
      <c r="U1645" t="s">
        <v>33059</v>
      </c>
      <c r="V1645">
        <f>-582.146698120469 -34.8895239134629 -233.002871313967</f>
        <v>-850.03909334789887</v>
      </c>
      <c r="W1645" t="s">
        <v>33060</v>
      </c>
      <c r="X1645" t="s">
        <v>33061</v>
      </c>
      <c r="Y1645" t="s">
        <v>33062</v>
      </c>
    </row>
    <row r="1646" spans="1:25" x14ac:dyDescent="0.3">
      <c r="A1646">
        <v>82250</v>
      </c>
      <c r="B1646" t="s">
        <v>33063</v>
      </c>
      <c r="C1646" t="s">
        <v>33064</v>
      </c>
      <c r="D1646" t="s">
        <v>33065</v>
      </c>
      <c r="E1646" t="s">
        <v>33066</v>
      </c>
      <c r="F1646" t="s">
        <v>33067</v>
      </c>
      <c r="G1646" t="s">
        <v>33068</v>
      </c>
      <c r="H1646">
        <f>-578.421574108116 -35.7079526910406 -839.12738981032</f>
        <v>-1453.2569166094768</v>
      </c>
      <c r="I1646">
        <f>-540.965217797265 -57.5691963103248 -931.334231035636</f>
        <v>-1529.8686451432259</v>
      </c>
      <c r="J1646" t="s">
        <v>33069</v>
      </c>
      <c r="K1646" t="s">
        <v>33070</v>
      </c>
      <c r="L1646" t="s">
        <v>33071</v>
      </c>
      <c r="M1646" t="s">
        <v>33072</v>
      </c>
      <c r="N1646">
        <f>-590.023958029731 -49.1709876527031 -766.759964065221</f>
        <v>-1405.9549097476552</v>
      </c>
      <c r="O1646">
        <f>-617.153416951366 -183.284563648494 -712.890770974953</f>
        <v>-1513.3287515748129</v>
      </c>
      <c r="P1646">
        <f>-603.768912987741 -154.588679806876 -397.956537024924</f>
        <v>-1156.314129819541</v>
      </c>
      <c r="Q1646">
        <f>-361.785076039513 -80.6689940357481 -458.137494728615</f>
        <v>-900.59156480387605</v>
      </c>
      <c r="R1646" t="s">
        <v>33073</v>
      </c>
      <c r="S1646" t="s">
        <v>33074</v>
      </c>
      <c r="T1646" t="s">
        <v>33075</v>
      </c>
      <c r="U1646" t="s">
        <v>33076</v>
      </c>
      <c r="V1646">
        <f>-582.302494211231 -34.3738107589197 -233.035797332761</f>
        <v>-849.71210230291172</v>
      </c>
      <c r="W1646" t="s">
        <v>33077</v>
      </c>
      <c r="X1646" t="s">
        <v>33078</v>
      </c>
      <c r="Y1646" t="s">
        <v>33079</v>
      </c>
    </row>
    <row r="1647" spans="1:25" x14ac:dyDescent="0.3">
      <c r="A1647">
        <v>82300</v>
      </c>
      <c r="B1647" t="s">
        <v>33080</v>
      </c>
      <c r="C1647" t="s">
        <v>33081</v>
      </c>
      <c r="D1647" t="s">
        <v>33082</v>
      </c>
      <c r="E1647" t="s">
        <v>33083</v>
      </c>
      <c r="F1647" t="s">
        <v>33084</v>
      </c>
      <c r="G1647" t="s">
        <v>33085</v>
      </c>
      <c r="H1647">
        <f>-578.945029124817 -35.6041070691409 -839.140835392398</f>
        <v>-1453.689971586356</v>
      </c>
      <c r="I1647">
        <f>-541.540016835701 -57.5123554488345 -931.357441880974</f>
        <v>-1530.4098141655095</v>
      </c>
      <c r="J1647" t="s">
        <v>33086</v>
      </c>
      <c r="K1647" t="s">
        <v>33087</v>
      </c>
      <c r="L1647" t="s">
        <v>33088</v>
      </c>
      <c r="M1647" t="s">
        <v>33089</v>
      </c>
      <c r="N1647">
        <f>-590.533556899028 -49.0248915653267 -766.763440213559</f>
        <v>-1406.3218886779136</v>
      </c>
      <c r="O1647">
        <f>-617.774294698415 -183.099966166814 -712.844747645923</f>
        <v>-1513.719008511152</v>
      </c>
      <c r="P1647">
        <f>-604.27562611445 -155.146132991569 -397.848614963755</f>
        <v>-1157.2703740697739</v>
      </c>
      <c r="Q1647">
        <f>-362.712349327012 -79.9576847718878 -458.147260905358</f>
        <v>-900.81729500425786</v>
      </c>
      <c r="R1647" t="s">
        <v>33090</v>
      </c>
      <c r="S1647" t="s">
        <v>33091</v>
      </c>
      <c r="T1647" t="s">
        <v>33092</v>
      </c>
      <c r="U1647" t="s">
        <v>33093</v>
      </c>
      <c r="V1647">
        <f>-582.461086435107 -34.1423779666846 -233.057837030442</f>
        <v>-849.66130143223359</v>
      </c>
      <c r="W1647" t="s">
        <v>33094</v>
      </c>
      <c r="X1647" t="s">
        <v>33095</v>
      </c>
      <c r="Y1647" t="s">
        <v>33096</v>
      </c>
    </row>
    <row r="1648" spans="1:25" x14ac:dyDescent="0.3">
      <c r="A1648">
        <v>82350</v>
      </c>
      <c r="B1648" t="s">
        <v>33097</v>
      </c>
      <c r="C1648" t="s">
        <v>33098</v>
      </c>
      <c r="D1648" t="s">
        <v>33099</v>
      </c>
      <c r="E1648" t="s">
        <v>33100</v>
      </c>
      <c r="F1648" t="s">
        <v>33101</v>
      </c>
      <c r="G1648" t="s">
        <v>33102</v>
      </c>
      <c r="H1648">
        <f>-580.100918647383 -35.1874575591833 -839.18013816082</f>
        <v>-1454.4685143673862</v>
      </c>
      <c r="I1648">
        <f>-542.829296036583 -57.3009657865367 -931.401612395655</f>
        <v>-1531.5318742187746</v>
      </c>
      <c r="J1648" t="s">
        <v>33103</v>
      </c>
      <c r="K1648" t="s">
        <v>33104</v>
      </c>
      <c r="L1648" t="s">
        <v>33105</v>
      </c>
      <c r="M1648" t="s">
        <v>33106</v>
      </c>
      <c r="N1648">
        <f>-591.577493522964 -48.541464372523 -766.772363823553</f>
        <v>-1406.89132171904</v>
      </c>
      <c r="O1648">
        <f>-618.974495174844 -182.572944006048 -712.800524976546</f>
        <v>-1514.3479641574381</v>
      </c>
      <c r="P1648">
        <f>-604.190366581582 -154.636036758271 -397.860625645052</f>
        <v>-1156.6870289849048</v>
      </c>
      <c r="Q1648">
        <f>-362.847398166968 -77.8412431466734 -457.006241564902</f>
        <v>-897.69488287854335</v>
      </c>
      <c r="R1648" t="s">
        <v>33107</v>
      </c>
      <c r="S1648" t="s">
        <v>33108</v>
      </c>
      <c r="T1648" t="s">
        <v>33109</v>
      </c>
      <c r="U1648" t="s">
        <v>33110</v>
      </c>
      <c r="V1648">
        <f>-582.749970337142 -33.4976908909319 -233.126831875576</f>
        <v>-849.37449310364991</v>
      </c>
      <c r="W1648" t="s">
        <v>33111</v>
      </c>
      <c r="X1648" t="s">
        <v>33112</v>
      </c>
      <c r="Y1648" t="s">
        <v>33113</v>
      </c>
    </row>
    <row r="1649" spans="1:25" x14ac:dyDescent="0.3">
      <c r="A1649">
        <v>82400</v>
      </c>
      <c r="B1649" t="s">
        <v>33114</v>
      </c>
      <c r="C1649" t="s">
        <v>33115</v>
      </c>
      <c r="D1649" t="s">
        <v>33116</v>
      </c>
      <c r="E1649" t="s">
        <v>33117</v>
      </c>
      <c r="F1649" t="s">
        <v>33118</v>
      </c>
      <c r="G1649" t="s">
        <v>33119</v>
      </c>
      <c r="H1649">
        <f>-580.911864543313 -35.3718951480187 -839.118708781729</f>
        <v>-1455.4024684730607</v>
      </c>
      <c r="I1649">
        <f>-543.765542668107 -57.6344352849434 -931.355014377349</f>
        <v>-1532.7549923303993</v>
      </c>
      <c r="J1649" t="s">
        <v>33120</v>
      </c>
      <c r="K1649" t="s">
        <v>33121</v>
      </c>
      <c r="L1649" t="s">
        <v>33122</v>
      </c>
      <c r="M1649" t="s">
        <v>33123</v>
      </c>
      <c r="N1649">
        <f>-592.246476764538 -48.6318972907603 -766.671394448966</f>
        <v>-1407.5497685042642</v>
      </c>
      <c r="O1649">
        <f>-619.462427160881 -182.632587389813 -712.567713644298</f>
        <v>-1514.662728194992</v>
      </c>
      <c r="P1649">
        <f>-604.448661056809 -153.522766910836 -397.744989199806</f>
        <v>-1155.716417167451</v>
      </c>
      <c r="Q1649">
        <f>-363.028966005294 -76.5718188783875 -456.371963591294</f>
        <v>-895.97274847497556</v>
      </c>
      <c r="R1649" t="s">
        <v>33124</v>
      </c>
      <c r="S1649" t="s">
        <v>33125</v>
      </c>
      <c r="T1649" t="s">
        <v>33126</v>
      </c>
      <c r="U1649" t="s">
        <v>33127</v>
      </c>
      <c r="V1649">
        <f>-582.86730871058 -33.310159920698 -233.147591899066</f>
        <v>-849.32506053034399</v>
      </c>
      <c r="W1649" t="s">
        <v>33128</v>
      </c>
      <c r="X1649" t="s">
        <v>33129</v>
      </c>
      <c r="Y1649" t="s">
        <v>33130</v>
      </c>
    </row>
    <row r="1650" spans="1:25" x14ac:dyDescent="0.3">
      <c r="A1650">
        <v>82450</v>
      </c>
      <c r="B1650" t="s">
        <v>33131</v>
      </c>
      <c r="C1650" t="s">
        <v>33132</v>
      </c>
      <c r="D1650" t="s">
        <v>33133</v>
      </c>
      <c r="E1650" t="s">
        <v>33134</v>
      </c>
      <c r="F1650" t="s">
        <v>33135</v>
      </c>
      <c r="G1650" t="s">
        <v>33136</v>
      </c>
      <c r="H1650">
        <f>-581.514052013391 -35.1600018004053 -839.046758491159</f>
        <v>-1455.7208123049554</v>
      </c>
      <c r="I1650">
        <f>-544.493318493787 -57.4927653747792 -931.316548104843</f>
        <v>-1533.3026319734092</v>
      </c>
      <c r="J1650" t="s">
        <v>33137</v>
      </c>
      <c r="K1650" t="s">
        <v>33138</v>
      </c>
      <c r="L1650" t="s">
        <v>33139</v>
      </c>
      <c r="M1650" t="s">
        <v>33140</v>
      </c>
      <c r="N1650">
        <f>-592.780592948415 -48.3138142253262 -766.569593432821</f>
        <v>-1407.6640006065622</v>
      </c>
      <c r="O1650">
        <f>-619.757879790328 -182.367814238671 -712.431164755286</f>
        <v>-1514.5568587842849</v>
      </c>
      <c r="P1650">
        <f>-605.104958992096 -153.269498325084 -397.590296839824</f>
        <v>-1155.9647541570041</v>
      </c>
      <c r="Q1650">
        <f>-363.393962541895 -76.2375517844715 -454.895820026614</f>
        <v>-894.52733435298046</v>
      </c>
      <c r="R1650" t="s">
        <v>33141</v>
      </c>
      <c r="S1650" t="s">
        <v>33142</v>
      </c>
      <c r="T1650" t="s">
        <v>33143</v>
      </c>
      <c r="U1650" t="s">
        <v>33144</v>
      </c>
      <c r="V1650">
        <f>-583.051753707458 -32.6773384507821 -233.198014914746</f>
        <v>-848.92710707298625</v>
      </c>
      <c r="W1650" t="s">
        <v>33145</v>
      </c>
      <c r="X1650" t="s">
        <v>33146</v>
      </c>
      <c r="Y1650" t="s">
        <v>33147</v>
      </c>
    </row>
    <row r="1651" spans="1:25" x14ac:dyDescent="0.3">
      <c r="A1651">
        <v>82500</v>
      </c>
      <c r="B1651" t="s">
        <v>33148</v>
      </c>
      <c r="C1651" t="s">
        <v>33149</v>
      </c>
      <c r="D1651" t="s">
        <v>33150</v>
      </c>
      <c r="E1651" t="s">
        <v>33151</v>
      </c>
      <c r="F1651" t="s">
        <v>33152</v>
      </c>
      <c r="G1651" t="s">
        <v>33153</v>
      </c>
      <c r="H1651">
        <f>-581.686709825378 -35.184993126448 -839.01335763208</f>
        <v>-1455.8850605839061</v>
      </c>
      <c r="I1651">
        <f>-544.711907633789 -57.5479940892143 -931.294121876293</f>
        <v>-1533.5540235992962</v>
      </c>
      <c r="J1651" t="s">
        <v>33154</v>
      </c>
      <c r="K1651" t="s">
        <v>33155</v>
      </c>
      <c r="L1651" t="s">
        <v>33156</v>
      </c>
      <c r="M1651" t="s">
        <v>33157</v>
      </c>
      <c r="N1651">
        <f>-592.949560840256 -48.2777930491115 -766.524371030992</f>
        <v>-1407.7517249203597</v>
      </c>
      <c r="O1651">
        <f>-619.965189436365 -182.269827365721 -712.349094425736</f>
        <v>-1514.5841112278219</v>
      </c>
      <c r="P1651">
        <f>-605.39074701704 -152.939350307619 -397.526057948303</f>
        <v>-1155.856155272962</v>
      </c>
      <c r="Q1651">
        <f>-363.468696787144 -76.4221150726551 -454.630412059844</f>
        <v>-894.52122391964303</v>
      </c>
      <c r="R1651" t="s">
        <v>33158</v>
      </c>
      <c r="S1651" t="s">
        <v>33159</v>
      </c>
      <c r="T1651" t="s">
        <v>33160</v>
      </c>
      <c r="U1651" t="s">
        <v>33161</v>
      </c>
      <c r="V1651">
        <f>-583.070892934528 -32.3840265206729 -233.209638142671</f>
        <v>-848.66455759787198</v>
      </c>
      <c r="W1651" t="s">
        <v>33162</v>
      </c>
      <c r="X1651" t="s">
        <v>33163</v>
      </c>
      <c r="Y1651" t="s">
        <v>33164</v>
      </c>
    </row>
    <row r="1652" spans="1:25" x14ac:dyDescent="0.3">
      <c r="A1652">
        <v>82550</v>
      </c>
      <c r="B1652" t="s">
        <v>33165</v>
      </c>
      <c r="C1652" t="s">
        <v>33166</v>
      </c>
      <c r="D1652" t="s">
        <v>33167</v>
      </c>
      <c r="E1652" t="s">
        <v>33168</v>
      </c>
      <c r="F1652" t="s">
        <v>33169</v>
      </c>
      <c r="G1652" t="s">
        <v>33170</v>
      </c>
      <c r="H1652">
        <f>-582.143917222641 -35.0270636826508 -838.967026354087</f>
        <v>-1456.1380072593788</v>
      </c>
      <c r="I1652">
        <f>-545.310694680151 -57.4166174762693 -931.297909849763</f>
        <v>-1534.0252220061832</v>
      </c>
      <c r="J1652" t="s">
        <v>33171</v>
      </c>
      <c r="K1652" t="s">
        <v>33172</v>
      </c>
      <c r="L1652" t="s">
        <v>33173</v>
      </c>
      <c r="M1652" t="s">
        <v>33174</v>
      </c>
      <c r="N1652">
        <f>-593.410690200235 -48.0250548092369 -766.461645665608</f>
        <v>-1407.8973906750798</v>
      </c>
      <c r="O1652">
        <f>-620.586159389167 -181.974604065688 -712.202158872302</f>
        <v>-1514.762922327157</v>
      </c>
      <c r="P1652">
        <f>-605.466663753638 -152.587066522892 -397.410190638256</f>
        <v>-1155.4639209147861</v>
      </c>
      <c r="Q1652">
        <f>-363.187927985467 -76.9636329242348 -454.192038246441</f>
        <v>-894.34359915614277</v>
      </c>
      <c r="R1652" t="s">
        <v>33175</v>
      </c>
      <c r="S1652" t="s">
        <v>33176</v>
      </c>
      <c r="T1652" t="s">
        <v>33177</v>
      </c>
      <c r="U1652" t="s">
        <v>33178</v>
      </c>
      <c r="V1652">
        <f>-583.079534296827 -31.7919869580801 -233.215908499104</f>
        <v>-848.08742975401105</v>
      </c>
      <c r="W1652" t="s">
        <v>33179</v>
      </c>
      <c r="X1652" t="s">
        <v>33180</v>
      </c>
      <c r="Y1652" t="s">
        <v>33181</v>
      </c>
    </row>
    <row r="1653" spans="1:25" x14ac:dyDescent="0.3">
      <c r="A1653">
        <v>82600</v>
      </c>
      <c r="B1653" t="s">
        <v>33182</v>
      </c>
      <c r="C1653" t="s">
        <v>33183</v>
      </c>
      <c r="D1653" t="s">
        <v>33184</v>
      </c>
      <c r="E1653" t="s">
        <v>33185</v>
      </c>
      <c r="F1653" t="s">
        <v>33186</v>
      </c>
      <c r="G1653" t="s">
        <v>33187</v>
      </c>
      <c r="H1653">
        <f>-582.411677770748 -35.2093710472887 -838.902270068681</f>
        <v>-1456.5233188867178</v>
      </c>
      <c r="I1653">
        <f>-545.676508627643 -57.6821779719167 -931.252131174763</f>
        <v>-1534.6108177743226</v>
      </c>
      <c r="J1653" t="s">
        <v>33188</v>
      </c>
      <c r="K1653" t="s">
        <v>33189</v>
      </c>
      <c r="L1653" t="s">
        <v>33190</v>
      </c>
      <c r="M1653" t="s">
        <v>33191</v>
      </c>
      <c r="N1653">
        <f>-593.600294711378 -48.1366734626921 -766.372266897395</f>
        <v>-1408.109235071465</v>
      </c>
      <c r="O1653">
        <f>-620.765384966078 -182.058734024671 -712.067262807893</f>
        <v>-1514.8913817986422</v>
      </c>
      <c r="P1653">
        <f>-605.344622875299 -152.321367483023 -397.322952059258</f>
        <v>-1154.9889424175799</v>
      </c>
      <c r="Q1653">
        <f>-362.97847029916 -76.9706872418252 -454.094231390144</f>
        <v>-894.04338893112913</v>
      </c>
      <c r="R1653" t="s">
        <v>33192</v>
      </c>
      <c r="S1653" t="s">
        <v>33193</v>
      </c>
      <c r="T1653" t="s">
        <v>33194</v>
      </c>
      <c r="U1653" t="s">
        <v>33195</v>
      </c>
      <c r="V1653">
        <f>-583.06221149076 -31.6370033655996 -233.211683520572</f>
        <v>-847.91089837693164</v>
      </c>
      <c r="W1653" t="s">
        <v>33196</v>
      </c>
      <c r="X1653" t="s">
        <v>33197</v>
      </c>
      <c r="Y1653" t="s">
        <v>33198</v>
      </c>
    </row>
    <row r="1654" spans="1:25" x14ac:dyDescent="0.3">
      <c r="A1654">
        <v>82650</v>
      </c>
      <c r="B1654" t="s">
        <v>33199</v>
      </c>
      <c r="C1654" t="s">
        <v>33200</v>
      </c>
      <c r="D1654" t="s">
        <v>33201</v>
      </c>
      <c r="E1654" t="s">
        <v>33202</v>
      </c>
      <c r="F1654" t="s">
        <v>33203</v>
      </c>
      <c r="G1654" t="s">
        <v>33204</v>
      </c>
      <c r="H1654">
        <f>-582.719565011518 -34.8934126004273 -838.853651395841</f>
        <v>-1456.4666290077862</v>
      </c>
      <c r="I1654">
        <f>-546.161980836747 -57.4049934418558 -931.264415591679</f>
        <v>-1534.8313898702818</v>
      </c>
      <c r="J1654" t="s">
        <v>33205</v>
      </c>
      <c r="K1654" t="s">
        <v>33206</v>
      </c>
      <c r="L1654" t="s">
        <v>33207</v>
      </c>
      <c r="M1654" t="s">
        <v>33208</v>
      </c>
      <c r="N1654">
        <f>-593.856116923386 -47.8058031190202 -766.312880335149</f>
        <v>-1407.9748003775553</v>
      </c>
      <c r="O1654">
        <f>-621.255777721102 -181.695187920116 -711.991069507677</f>
        <v>-1514.9420351488952</v>
      </c>
      <c r="P1654">
        <f>-605.471000156496 -151.977288408056 -397.262912925833</f>
        <v>-1154.7112014903851</v>
      </c>
      <c r="Q1654">
        <f>-362.791341934276 -76.910277970966 -453.062360998843</f>
        <v>-892.76398090408497</v>
      </c>
      <c r="R1654" t="s">
        <v>33209</v>
      </c>
      <c r="S1654" t="s">
        <v>33210</v>
      </c>
      <c r="T1654" t="s">
        <v>33211</v>
      </c>
      <c r="U1654" t="s">
        <v>33212</v>
      </c>
      <c r="V1654">
        <f>-583.011196209215 -31.4301235044381 -233.194202464119</f>
        <v>-847.63552217777215</v>
      </c>
      <c r="W1654" t="s">
        <v>33213</v>
      </c>
      <c r="X1654" t="s">
        <v>33214</v>
      </c>
      <c r="Y1654" t="s">
        <v>33215</v>
      </c>
    </row>
    <row r="1655" spans="1:25" x14ac:dyDescent="0.3">
      <c r="A1655">
        <v>82700</v>
      </c>
      <c r="B1655" t="s">
        <v>33216</v>
      </c>
      <c r="C1655" t="s">
        <v>33217</v>
      </c>
      <c r="D1655" t="s">
        <v>33218</v>
      </c>
      <c r="E1655" t="s">
        <v>33219</v>
      </c>
      <c r="F1655" t="s">
        <v>33220</v>
      </c>
      <c r="G1655" t="s">
        <v>33221</v>
      </c>
      <c r="H1655">
        <f>-582.712166522277 -34.7311581367199 -838.861658522721</f>
        <v>-1456.3049831817179</v>
      </c>
      <c r="I1655">
        <f>-546.206713112931 -57.2414094116394 -931.293359293627</f>
        <v>-1534.7414818181974</v>
      </c>
      <c r="J1655" t="s">
        <v>33222</v>
      </c>
      <c r="K1655" t="s">
        <v>33223</v>
      </c>
      <c r="L1655" t="s">
        <v>33224</v>
      </c>
      <c r="M1655" t="s">
        <v>33225</v>
      </c>
      <c r="N1655">
        <f>-593.836034426873 -47.6549410896054 -766.320808195909</f>
        <v>-1407.8117837123873</v>
      </c>
      <c r="O1655">
        <f>-621.27456973762 -181.533788449598 -712.052266854515</f>
        <v>-1514.8606250417329</v>
      </c>
      <c r="P1655">
        <f>-605.321932438401 -151.576611604995 -397.355121618487</f>
        <v>-1154.2536656618829</v>
      </c>
      <c r="Q1655">
        <f>-362.472409801391 -76.4635255099628 -452.347659102757</f>
        <v>-891.28359441411078</v>
      </c>
      <c r="R1655" t="s">
        <v>33226</v>
      </c>
      <c r="S1655" t="s">
        <v>33227</v>
      </c>
      <c r="T1655" t="s">
        <v>33228</v>
      </c>
      <c r="U1655" t="s">
        <v>33229</v>
      </c>
      <c r="V1655">
        <f>-582.947249193396 -31.3123211608318 -233.185445184887</f>
        <v>-847.44501553911482</v>
      </c>
      <c r="W1655" t="s">
        <v>33230</v>
      </c>
      <c r="X1655" t="s">
        <v>33231</v>
      </c>
      <c r="Y1655" t="s">
        <v>33232</v>
      </c>
    </row>
    <row r="1656" spans="1:25" x14ac:dyDescent="0.3">
      <c r="A1656">
        <v>82750</v>
      </c>
      <c r="B1656" t="s">
        <v>33233</v>
      </c>
      <c r="C1656" t="s">
        <v>33234</v>
      </c>
      <c r="D1656" t="s">
        <v>33235</v>
      </c>
      <c r="E1656" t="s">
        <v>33236</v>
      </c>
      <c r="F1656" t="s">
        <v>33237</v>
      </c>
      <c r="G1656" t="s">
        <v>33238</v>
      </c>
      <c r="H1656">
        <f>-582.634071800809 -35.1526720715819 -838.778467123422</f>
        <v>-1456.565210995813</v>
      </c>
      <c r="I1656">
        <f>-546.160759204074 -57.6716268895524 -931.220806095567</f>
        <v>-1535.0531921891934</v>
      </c>
      <c r="J1656" t="s">
        <v>33239</v>
      </c>
      <c r="K1656" t="s">
        <v>33240</v>
      </c>
      <c r="L1656" t="s">
        <v>33241</v>
      </c>
      <c r="M1656" t="s">
        <v>33242</v>
      </c>
      <c r="N1656">
        <f>-593.79574209518 -47.9906842382093 -766.228370886496</f>
        <v>-1408.0147972198852</v>
      </c>
      <c r="O1656">
        <f>-621.279913067607 -181.910788704596 -712.085029237245</f>
        <v>-1515.275731009448</v>
      </c>
      <c r="P1656">
        <f>-606.021863810228 -152.307601032992 -397.319905724298</f>
        <v>-1155.649370567518</v>
      </c>
      <c r="Q1656">
        <f>-363.102753269028 -76.3212191866368 -450.784370958572</f>
        <v>-890.20834341423688</v>
      </c>
      <c r="R1656" t="s">
        <v>33243</v>
      </c>
      <c r="S1656" t="s">
        <v>33244</v>
      </c>
      <c r="T1656" t="s">
        <v>33245</v>
      </c>
      <c r="U1656" t="s">
        <v>33246</v>
      </c>
      <c r="V1656">
        <f>-582.919104901846 -31.3219150784171 -233.176419914779</f>
        <v>-847.41743989504209</v>
      </c>
      <c r="W1656" t="s">
        <v>33247</v>
      </c>
      <c r="X1656" t="s">
        <v>33248</v>
      </c>
      <c r="Y1656" t="s">
        <v>33249</v>
      </c>
    </row>
    <row r="1657" spans="1:25" x14ac:dyDescent="0.3">
      <c r="A1657">
        <v>82800</v>
      </c>
      <c r="B1657" t="s">
        <v>33250</v>
      </c>
      <c r="C1657" t="s">
        <v>33251</v>
      </c>
      <c r="D1657" t="s">
        <v>33252</v>
      </c>
      <c r="E1657" t="s">
        <v>33253</v>
      </c>
      <c r="F1657" t="s">
        <v>33254</v>
      </c>
      <c r="G1657" t="s">
        <v>33255</v>
      </c>
      <c r="H1657">
        <f>-582.43647400808 -35.3940332646957 -838.760174897738</f>
        <v>-1456.5906821705139</v>
      </c>
      <c r="I1657">
        <f>-545.966398307304 -57.8841406860329 -931.210924587478</f>
        <v>-1535.0614635808147</v>
      </c>
      <c r="J1657" t="s">
        <v>33256</v>
      </c>
      <c r="K1657" t="s">
        <v>33257</v>
      </c>
      <c r="L1657" t="s">
        <v>33258</v>
      </c>
      <c r="M1657" t="s">
        <v>33259</v>
      </c>
      <c r="N1657">
        <f>-593.614795444557 -48.2013503498605 -766.207313815477</f>
        <v>-1408.0234596098944</v>
      </c>
      <c r="O1657">
        <f>-621.110392684406 -182.127687831293 -712.054745880191</f>
        <v>-1515.29282639589</v>
      </c>
      <c r="P1657">
        <f>-605.985731649333 -152.615939130753 -397.27466526867</f>
        <v>-1155.876336048756</v>
      </c>
      <c r="Q1657">
        <f>-363.02638131349 -76.3739727783547 -450.189507696812</f>
        <v>-889.58986178865666</v>
      </c>
      <c r="R1657" t="s">
        <v>33260</v>
      </c>
      <c r="S1657" t="s">
        <v>33261</v>
      </c>
      <c r="T1657" t="s">
        <v>33262</v>
      </c>
      <c r="U1657" t="s">
        <v>33263</v>
      </c>
      <c r="V1657">
        <f>-582.922214089716 -31.4730598941867 -233.179097095085</f>
        <v>-847.57437107898772</v>
      </c>
      <c r="W1657" t="s">
        <v>33264</v>
      </c>
      <c r="X1657" t="s">
        <v>33265</v>
      </c>
      <c r="Y1657" t="s">
        <v>33266</v>
      </c>
    </row>
    <row r="1658" spans="1:25" x14ac:dyDescent="0.3">
      <c r="A1658">
        <v>82850</v>
      </c>
      <c r="B1658" t="s">
        <v>33267</v>
      </c>
      <c r="C1658" t="s">
        <v>33268</v>
      </c>
      <c r="D1658" t="s">
        <v>33269</v>
      </c>
      <c r="E1658" t="s">
        <v>33270</v>
      </c>
      <c r="F1658" t="s">
        <v>33271</v>
      </c>
      <c r="G1658" t="s">
        <v>33272</v>
      </c>
      <c r="H1658">
        <f>-582.056376069635 -35.6822906749648 -838.770207078381</f>
        <v>-1456.5088738229806</v>
      </c>
      <c r="I1658">
        <f>-545.62872513985 -58.0805633562654 -931.259714570503</f>
        <v>-1534.9690030666184</v>
      </c>
      <c r="J1658" t="s">
        <v>33273</v>
      </c>
      <c r="K1658" t="s">
        <v>33274</v>
      </c>
      <c r="L1658" t="s">
        <v>33275</v>
      </c>
      <c r="M1658" t="s">
        <v>33276</v>
      </c>
      <c r="N1658">
        <f>-593.204710754405 -48.4680201528005 -766.208779772471</f>
        <v>-1407.8815106796765</v>
      </c>
      <c r="O1658">
        <f>-620.754096414201 -182.373870073137 -712.010847265827</f>
        <v>-1515.1388137531649</v>
      </c>
      <c r="P1658">
        <f>-605.50549350451 -153.061573766812 -397.218132482904</f>
        <v>-1155.7851997542261</v>
      </c>
      <c r="Q1658">
        <f>-362.809923350374 -76.3646649564316 -450.682724243446</f>
        <v>-889.85731255025166</v>
      </c>
      <c r="R1658" t="s">
        <v>33277</v>
      </c>
      <c r="S1658" t="s">
        <v>33278</v>
      </c>
      <c r="T1658" t="s">
        <v>33279</v>
      </c>
      <c r="U1658" t="s">
        <v>33280</v>
      </c>
      <c r="V1658">
        <f>-582.948469399777 -31.7706974520099 -233.19925970896</f>
        <v>-847.91842656074687</v>
      </c>
      <c r="W1658" t="s">
        <v>33281</v>
      </c>
      <c r="X1658" t="s">
        <v>33282</v>
      </c>
      <c r="Y1658" t="s">
        <v>33283</v>
      </c>
    </row>
    <row r="1659" spans="1:25" x14ac:dyDescent="0.3">
      <c r="A1659">
        <v>82900</v>
      </c>
      <c r="B1659" t="s">
        <v>33284</v>
      </c>
      <c r="C1659" t="s">
        <v>33285</v>
      </c>
      <c r="D1659" t="s">
        <v>33286</v>
      </c>
      <c r="E1659" t="s">
        <v>33287</v>
      </c>
      <c r="F1659" t="s">
        <v>33288</v>
      </c>
      <c r="G1659" t="s">
        <v>33289</v>
      </c>
      <c r="H1659">
        <f>-581.882479048754 -35.5193235613604 -838.849416393999</f>
        <v>-1456.2512190041134</v>
      </c>
      <c r="I1659">
        <f>-545.490593744458 -57.8614295483078 -931.366658241361</f>
        <v>-1534.718681534127</v>
      </c>
      <c r="J1659" t="s">
        <v>33290</v>
      </c>
      <c r="K1659" t="s">
        <v>33291</v>
      </c>
      <c r="L1659" t="s">
        <v>33292</v>
      </c>
      <c r="M1659" t="s">
        <v>33293</v>
      </c>
      <c r="N1659">
        <f>-593.036067386848 -48.3284707898735 -766.292854166778</f>
        <v>-1407.6573923434994</v>
      </c>
      <c r="O1659">
        <f>-620.703921073348 -182.189529161104 -712.063162981842</f>
        <v>-1514.956613216294</v>
      </c>
      <c r="P1659">
        <f>-605.302050555227 -153.130702980963 -397.254343339202</f>
        <v>-1155.6870968753919</v>
      </c>
      <c r="Q1659">
        <f>-362.789898164655 -76.2859252604128 -451.335716491778</f>
        <v>-890.41153991684587</v>
      </c>
      <c r="R1659" t="s">
        <v>33294</v>
      </c>
      <c r="S1659" t="s">
        <v>33295</v>
      </c>
      <c r="T1659" t="s">
        <v>33296</v>
      </c>
      <c r="U1659" t="s">
        <v>33297</v>
      </c>
      <c r="V1659">
        <f>-583.040939574937 -31.7431038644552 -233.221077333412</f>
        <v>-848.00512077280428</v>
      </c>
      <c r="W1659" t="s">
        <v>33298</v>
      </c>
      <c r="X1659" t="s">
        <v>33299</v>
      </c>
      <c r="Y1659" t="s">
        <v>33300</v>
      </c>
    </row>
    <row r="1660" spans="1:25" x14ac:dyDescent="0.3">
      <c r="A1660">
        <v>82950</v>
      </c>
      <c r="B1660" t="s">
        <v>33301</v>
      </c>
      <c r="C1660" t="s">
        <v>33302</v>
      </c>
      <c r="D1660" t="s">
        <v>33303</v>
      </c>
      <c r="E1660" t="s">
        <v>33304</v>
      </c>
      <c r="F1660" t="s">
        <v>33305</v>
      </c>
      <c r="G1660" t="s">
        <v>33306</v>
      </c>
      <c r="H1660">
        <f>-581.340637038076 -34.8065365396654 -839.060347276544</f>
        <v>-1455.2075208542856</v>
      </c>
      <c r="I1660">
        <f>-545.014409846891 -57.0408048086712 -931.629365691209</f>
        <v>-1533.6845803467713</v>
      </c>
      <c r="J1660" t="s">
        <v>33307</v>
      </c>
      <c r="K1660" t="s">
        <v>33308</v>
      </c>
      <c r="L1660" t="s">
        <v>33309</v>
      </c>
      <c r="M1660" t="s">
        <v>33310</v>
      </c>
      <c r="N1660">
        <f>-592.524070112546 -47.689187221851 -766.52147425351</f>
        <v>-1406.7347315879069</v>
      </c>
      <c r="O1660">
        <f>-620.490285803627 -181.523312276924 -712.381959250341</f>
        <v>-1514.395557330892</v>
      </c>
      <c r="P1660">
        <f>-604.58104159928 -152.128662317673 -397.629734171976</f>
        <v>-1154.339438088929</v>
      </c>
      <c r="Q1660">
        <f>-361.727612263991 -76.5769484036931 -452.000584178845</f>
        <v>-890.30514484652906</v>
      </c>
      <c r="R1660" t="s">
        <v>33311</v>
      </c>
      <c r="S1660" t="s">
        <v>33312</v>
      </c>
      <c r="T1660" t="s">
        <v>33313</v>
      </c>
      <c r="U1660" t="s">
        <v>33314</v>
      </c>
      <c r="V1660">
        <f>-583.063138389612 -31.4030720309061 -233.274664875918</f>
        <v>-847.74087529643612</v>
      </c>
      <c r="W1660" t="s">
        <v>33315</v>
      </c>
      <c r="X1660" t="s">
        <v>33316</v>
      </c>
      <c r="Y1660" t="s">
        <v>33317</v>
      </c>
    </row>
    <row r="1661" spans="1:25" x14ac:dyDescent="0.3">
      <c r="A1661">
        <v>83000</v>
      </c>
      <c r="B1661" t="s">
        <v>33318</v>
      </c>
      <c r="C1661" t="s">
        <v>33319</v>
      </c>
      <c r="D1661" t="s">
        <v>33320</v>
      </c>
      <c r="E1661" t="s">
        <v>33321</v>
      </c>
      <c r="F1661" t="s">
        <v>33322</v>
      </c>
      <c r="G1661" t="s">
        <v>33323</v>
      </c>
      <c r="H1661">
        <f>-580.9767279219 -34.3198561653234 -839.182933394039</f>
        <v>-1454.4795174812623</v>
      </c>
      <c r="I1661">
        <f>-544.660874354512 -56.4794555445987 -931.773938595603</f>
        <v>-1532.9142684947137</v>
      </c>
      <c r="J1661" t="s">
        <v>33324</v>
      </c>
      <c r="K1661" t="s">
        <v>33325</v>
      </c>
      <c r="L1661" t="s">
        <v>33326</v>
      </c>
      <c r="M1661" t="s">
        <v>33327</v>
      </c>
      <c r="N1661">
        <f>-592.171709131035 -47.2603683703311 -766.65617297526</f>
        <v>-1406.0882504766259</v>
      </c>
      <c r="O1661">
        <f>-620.189042765583 -181.102235097405 -712.557324017631</f>
        <v>-1513.8486018806191</v>
      </c>
      <c r="P1661">
        <f>-604.359167521713 -151.765675663891 -397.795531502199</f>
        <v>-1153.9203746878029</v>
      </c>
      <c r="Q1661">
        <f>-361.11818600311 -77.3719304638507 -452.030573443506</f>
        <v>-890.52068991046667</v>
      </c>
      <c r="R1661" t="s">
        <v>33328</v>
      </c>
      <c r="S1661" t="s">
        <v>33329</v>
      </c>
      <c r="T1661" t="s">
        <v>33330</v>
      </c>
      <c r="U1661" t="s">
        <v>33331</v>
      </c>
      <c r="V1661">
        <f>-583.049174945421 -31.1635593983579 -233.302931343035</f>
        <v>-847.5156656868138</v>
      </c>
      <c r="W1661" t="s">
        <v>33332</v>
      </c>
      <c r="X1661" t="s">
        <v>33333</v>
      </c>
      <c r="Y1661" t="s">
        <v>33334</v>
      </c>
    </row>
    <row r="1662" spans="1:25" x14ac:dyDescent="0.3">
      <c r="A1662">
        <v>83050</v>
      </c>
      <c r="B1662" t="s">
        <v>33335</v>
      </c>
      <c r="C1662" t="s">
        <v>33336</v>
      </c>
      <c r="D1662" t="s">
        <v>33337</v>
      </c>
      <c r="E1662" t="s">
        <v>33338</v>
      </c>
      <c r="F1662" t="s">
        <v>33339</v>
      </c>
      <c r="G1662" t="s">
        <v>33340</v>
      </c>
      <c r="H1662">
        <f>-580.314615958807 -33.0620665794461 -839.281981674388</f>
        <v>-1452.6586642126413</v>
      </c>
      <c r="I1662">
        <f>-543.91423773063 -54.9842968570556 -931.896396819584</f>
        <v>-1530.7949314072696</v>
      </c>
      <c r="J1662" t="s">
        <v>33341</v>
      </c>
      <c r="K1662" t="s">
        <v>33342</v>
      </c>
      <c r="L1662" t="s">
        <v>33343</v>
      </c>
      <c r="M1662" t="s">
        <v>33344</v>
      </c>
      <c r="N1662">
        <f>-591.539905917267 -46.1657982764117 -766.789275615778</f>
        <v>-1404.4949798094567</v>
      </c>
      <c r="O1662">
        <f>-619.433537517057 -180.073383795432 -712.833286562441</f>
        <v>-1512.34020787493</v>
      </c>
      <c r="P1662">
        <f>-603.930265216788 -150.962588750385 -398.034288251541</f>
        <v>-1152.9271422187142</v>
      </c>
      <c r="Q1662">
        <f>-360.114190870122 -78.2363935933735 -451.94790677301</f>
        <v>-890.29849123650547</v>
      </c>
      <c r="R1662" t="s">
        <v>33345</v>
      </c>
      <c r="S1662" t="s">
        <v>33346</v>
      </c>
      <c r="T1662" t="s">
        <v>33347</v>
      </c>
      <c r="U1662" t="s">
        <v>33348</v>
      </c>
      <c r="V1662">
        <f>-582.974364420338 -30.6822065790501 -233.279847767193</f>
        <v>-846.93641876658114</v>
      </c>
      <c r="W1662" t="s">
        <v>33349</v>
      </c>
      <c r="X1662" t="s">
        <v>33350</v>
      </c>
      <c r="Y1662" t="s">
        <v>33351</v>
      </c>
    </row>
    <row r="1663" spans="1:25" x14ac:dyDescent="0.3">
      <c r="A1663">
        <v>83100</v>
      </c>
      <c r="B1663" t="s">
        <v>33352</v>
      </c>
      <c r="C1663" t="s">
        <v>33353</v>
      </c>
      <c r="D1663" t="s">
        <v>33354</v>
      </c>
      <c r="E1663" t="s">
        <v>33355</v>
      </c>
      <c r="F1663" t="s">
        <v>33356</v>
      </c>
      <c r="G1663" t="s">
        <v>33357</v>
      </c>
      <c r="H1663">
        <f>-580.165201652535 -32.8584772801857 -839.197360065152</f>
        <v>-1452.2210389978727</v>
      </c>
      <c r="I1663">
        <f>-543.672070430895 -54.6969943301182 -931.794945064617</f>
        <v>-1530.1640098256303</v>
      </c>
      <c r="J1663" t="s">
        <v>33358</v>
      </c>
      <c r="K1663" t="s">
        <v>33359</v>
      </c>
      <c r="L1663" t="s">
        <v>33360</v>
      </c>
      <c r="M1663" t="s">
        <v>33361</v>
      </c>
      <c r="N1663">
        <f>-591.425370912959 -45.997618582624 -766.71637728166</f>
        <v>-1404.1393667772431</v>
      </c>
      <c r="O1663">
        <f>-619.202905474197 -179.957974973871 -712.822536736425</f>
        <v>-1511.983417184493</v>
      </c>
      <c r="P1663">
        <f>-603.714134432152 -151.072597926514 -398.001889576668</f>
        <v>-1152.788621935334</v>
      </c>
      <c r="Q1663">
        <f>-359.787035609831 -78.6700329058286 -451.84893028953</f>
        <v>-890.30599880518957</v>
      </c>
      <c r="R1663" t="s">
        <v>33362</v>
      </c>
      <c r="S1663" t="s">
        <v>33363</v>
      </c>
      <c r="T1663" t="s">
        <v>33364</v>
      </c>
      <c r="U1663" t="s">
        <v>33365</v>
      </c>
      <c r="V1663">
        <f>-582.989557860922 -30.5614998835397 -233.238461641968</f>
        <v>-846.78951938642967</v>
      </c>
      <c r="W1663" t="s">
        <v>33366</v>
      </c>
      <c r="X1663" t="s">
        <v>33367</v>
      </c>
      <c r="Y1663" t="s">
        <v>33368</v>
      </c>
    </row>
    <row r="1664" spans="1:25" x14ac:dyDescent="0.3">
      <c r="A1664">
        <v>83150</v>
      </c>
      <c r="B1664" t="s">
        <v>33369</v>
      </c>
      <c r="C1664" t="s">
        <v>33370</v>
      </c>
      <c r="D1664" t="s">
        <v>33371</v>
      </c>
      <c r="E1664" t="s">
        <v>33372</v>
      </c>
      <c r="F1664" t="s">
        <v>33373</v>
      </c>
      <c r="G1664" t="s">
        <v>33374</v>
      </c>
      <c r="H1664">
        <f>-581.210649238946 -32.4468407581584 -839.045887165422</f>
        <v>-1452.7033771625263</v>
      </c>
      <c r="I1664">
        <f>-544.534975949388 -54.0962881461589 -931.615734817321</f>
        <v>-1530.2469989128681</v>
      </c>
      <c r="J1664" t="s">
        <v>33375</v>
      </c>
      <c r="K1664" t="s">
        <v>33376</v>
      </c>
      <c r="L1664" t="s">
        <v>33377</v>
      </c>
      <c r="M1664" t="s">
        <v>33378</v>
      </c>
      <c r="N1664">
        <f>-592.569991517625 -45.7103279561263 -766.602999596266</f>
        <v>-1404.8833190700175</v>
      </c>
      <c r="O1664">
        <f>-619.957943969966 -179.865347118043 -712.964337084216</f>
        <v>-1512.7876281722251</v>
      </c>
      <c r="P1664">
        <f>-604.607667617157 -151.296653588215 -398.108149575601</f>
        <v>-1154.012470780973</v>
      </c>
      <c r="Q1664">
        <f>-360.831932448099 -78.307968010078 -451.848992930222</f>
        <v>-890.98889338839899</v>
      </c>
      <c r="R1664" t="s">
        <v>33379</v>
      </c>
      <c r="S1664" t="s">
        <v>33380</v>
      </c>
      <c r="T1664" t="s">
        <v>33381</v>
      </c>
      <c r="U1664" t="s">
        <v>33382</v>
      </c>
      <c r="V1664">
        <f>-583.701661373003 -30.77964044346 -233.165795735329</f>
        <v>-847.64709755179206</v>
      </c>
      <c r="W1664" t="s">
        <v>33383</v>
      </c>
      <c r="X1664" t="s">
        <v>33384</v>
      </c>
      <c r="Y1664" t="s">
        <v>33385</v>
      </c>
    </row>
    <row r="1665" spans="1:25" x14ac:dyDescent="0.3">
      <c r="A1665">
        <v>83200</v>
      </c>
      <c r="B1665" t="s">
        <v>33386</v>
      </c>
      <c r="C1665" t="s">
        <v>33387</v>
      </c>
      <c r="D1665" t="s">
        <v>33388</v>
      </c>
      <c r="E1665" t="s">
        <v>33389</v>
      </c>
      <c r="F1665" t="s">
        <v>33390</v>
      </c>
      <c r="G1665" t="s">
        <v>33391</v>
      </c>
      <c r="H1665">
        <f>-581.922667166391 -31.976737762245 -839.036637904963</f>
        <v>-1452.936042833599</v>
      </c>
      <c r="I1665">
        <f>-545.125300239952 -53.4706884978847 -931.594373959238</f>
        <v>-1530.1903626970748</v>
      </c>
      <c r="J1665" t="s">
        <v>33392</v>
      </c>
      <c r="K1665" t="s">
        <v>33393</v>
      </c>
      <c r="L1665" t="s">
        <v>33394</v>
      </c>
      <c r="M1665" t="s">
        <v>33395</v>
      </c>
      <c r="N1665">
        <f>-593.396921762839 -45.3795018374633 -766.63752886439</f>
        <v>-1405.4139524646923</v>
      </c>
      <c r="O1665">
        <f>-620.732562383461 -179.620164212442 -713.180775625603</f>
        <v>-1513.5335022215058</v>
      </c>
      <c r="P1665">
        <f>-605.509898613768 -151.434264009152 -398.284026513681</f>
        <v>-1155.228189136601</v>
      </c>
      <c r="Q1665">
        <f>-361.926632180659 -77.7044820677251 -451.885831324129</f>
        <v>-891.51694557251312</v>
      </c>
      <c r="R1665" t="s">
        <v>33396</v>
      </c>
      <c r="S1665" t="s">
        <v>33397</v>
      </c>
      <c r="T1665" t="s">
        <v>33398</v>
      </c>
      <c r="U1665" t="s">
        <v>33399</v>
      </c>
      <c r="V1665">
        <f>-584.431006490364 -31.0746651095029 -233.144532344718</f>
        <v>-848.65020394458486</v>
      </c>
      <c r="W1665" t="s">
        <v>33400</v>
      </c>
      <c r="X1665" t="s">
        <v>33401</v>
      </c>
      <c r="Y1665" t="s">
        <v>33402</v>
      </c>
    </row>
    <row r="1666" spans="1:25" x14ac:dyDescent="0.3">
      <c r="A1666">
        <v>83250</v>
      </c>
      <c r="B1666" t="s">
        <v>33403</v>
      </c>
      <c r="C1666" t="s">
        <v>33404</v>
      </c>
      <c r="D1666" t="s">
        <v>33405</v>
      </c>
      <c r="E1666" t="s">
        <v>33406</v>
      </c>
      <c r="F1666" t="s">
        <v>33407</v>
      </c>
      <c r="G1666" t="s">
        <v>33408</v>
      </c>
      <c r="H1666">
        <f>-583.431194992961 -30.6940133202671 -839.336698966491</f>
        <v>-1453.4619072797191</v>
      </c>
      <c r="I1666">
        <f>-546.531494767643 -51.7493867782738 -931.954413192174</f>
        <v>-1530.2352947380909</v>
      </c>
      <c r="J1666" t="s">
        <v>33409</v>
      </c>
      <c r="K1666" t="s">
        <v>33410</v>
      </c>
      <c r="L1666" t="s">
        <v>33411</v>
      </c>
      <c r="M1666" t="s">
        <v>33412</v>
      </c>
      <c r="N1666">
        <f>-595.073022491106 -44.4513011667237 -767.030843588242</f>
        <v>-1406.5551672460717</v>
      </c>
      <c r="O1666">
        <f>-622.237736944015 -178.868246683295 -713.910902391971</f>
        <v>-1515.0168860192812</v>
      </c>
      <c r="P1666">
        <f>-607.410160682501 -150.832330001484 -398.981780413295</f>
        <v>-1157.2242710972801</v>
      </c>
      <c r="Q1666">
        <f>-364.106957978772 -75.8773741639605 -452.154570360279</f>
        <v>-892.13890250301154</v>
      </c>
      <c r="R1666" t="s">
        <v>33413</v>
      </c>
      <c r="S1666" t="s">
        <v>33414</v>
      </c>
      <c r="T1666" t="s">
        <v>33415</v>
      </c>
      <c r="U1666" t="s">
        <v>33416</v>
      </c>
      <c r="V1666">
        <f>-585.899126776167 -31.800511918329 -233.296844230851</f>
        <v>-850.99648292534698</v>
      </c>
      <c r="W1666" t="s">
        <v>33417</v>
      </c>
      <c r="X1666" t="s">
        <v>33418</v>
      </c>
      <c r="Y1666" t="s">
        <v>33419</v>
      </c>
    </row>
    <row r="1667" spans="1:25" x14ac:dyDescent="0.3">
      <c r="A1667">
        <v>83300</v>
      </c>
      <c r="B1667" t="s">
        <v>33420</v>
      </c>
      <c r="C1667" t="s">
        <v>33421</v>
      </c>
      <c r="D1667" t="s">
        <v>33422</v>
      </c>
      <c r="E1667" t="s">
        <v>33423</v>
      </c>
      <c r="F1667" t="s">
        <v>33424</v>
      </c>
      <c r="G1667" t="s">
        <v>33425</v>
      </c>
      <c r="H1667">
        <f>-583.494693372934 -29.9167380191708 -839.581078679638</f>
        <v>-1452.9925100717428</v>
      </c>
      <c r="I1667">
        <f>-546.578694445568 -50.6878069847431 -932.256641559703</f>
        <v>-1529.5231429900141</v>
      </c>
      <c r="J1667" t="s">
        <v>33426</v>
      </c>
      <c r="K1667" t="s">
        <v>33427</v>
      </c>
      <c r="L1667" t="s">
        <v>33428</v>
      </c>
      <c r="M1667" t="s">
        <v>33429</v>
      </c>
      <c r="N1667">
        <f>-595.217343886873 -43.8653741353366 -767.325030875055</f>
        <v>-1406.4077488972646</v>
      </c>
      <c r="O1667">
        <f>-622.396803587237 -178.293511929152 -714.285551685809</f>
        <v>-1514.9758672021981</v>
      </c>
      <c r="P1667">
        <f>-607.742645457324 -150.629525434975 -399.315510186893</f>
        <v>-1157.6876810791919</v>
      </c>
      <c r="Q1667">
        <f>-364.527841731009 -75.164137894816 -452.169737787831</f>
        <v>-891.86171741365604</v>
      </c>
      <c r="R1667" t="s">
        <v>33430</v>
      </c>
      <c r="S1667" t="s">
        <v>33431</v>
      </c>
      <c r="T1667" t="s">
        <v>33432</v>
      </c>
      <c r="U1667" t="s">
        <v>33433</v>
      </c>
      <c r="V1667">
        <f>-586.565080813965 -32.0688692775541 -233.352733034095</f>
        <v>-851.98668312561404</v>
      </c>
      <c r="W1667" t="s">
        <v>33434</v>
      </c>
      <c r="X1667" t="s">
        <v>33435</v>
      </c>
      <c r="Y1667" t="s">
        <v>33436</v>
      </c>
    </row>
    <row r="1668" spans="1:25" x14ac:dyDescent="0.3">
      <c r="A1668">
        <v>83350</v>
      </c>
      <c r="B1668" t="s">
        <v>33437</v>
      </c>
      <c r="C1668" t="s">
        <v>33438</v>
      </c>
      <c r="D1668" t="s">
        <v>33439</v>
      </c>
      <c r="E1668" t="s">
        <v>33440</v>
      </c>
      <c r="F1668" t="s">
        <v>33441</v>
      </c>
      <c r="G1668" t="s">
        <v>33442</v>
      </c>
      <c r="H1668">
        <f>-583.852948059616 -29.4648744116942 -839.926341489542</f>
        <v>-1453.2441639608521</v>
      </c>
      <c r="I1668">
        <f>-546.913890934311 -49.8509342718372 -932.678086827635</f>
        <v>-1529.4429120337832</v>
      </c>
      <c r="J1668" t="s">
        <v>33443</v>
      </c>
      <c r="K1668" t="s">
        <v>33444</v>
      </c>
      <c r="L1668" t="s">
        <v>33445</v>
      </c>
      <c r="M1668" t="s">
        <v>33446</v>
      </c>
      <c r="N1668">
        <f>-595.793640607283 -43.599245591055 -767.742079009453</f>
        <v>-1407.1349652077911</v>
      </c>
      <c r="O1668">
        <f>-623.025557360545 -178.064629596233 -714.798457773844</f>
        <v>-1515.888644730622</v>
      </c>
      <c r="P1668">
        <f>-608.926113627909 -150.794959454673 -399.768739576119</f>
        <v>-1159.4898126587011</v>
      </c>
      <c r="Q1668">
        <f>-365.824182980202 -74.5791723485319 -452.062601849134</f>
        <v>-892.46595717786795</v>
      </c>
      <c r="R1668" t="s">
        <v>33447</v>
      </c>
      <c r="S1668" t="s">
        <v>33448</v>
      </c>
      <c r="T1668" t="s">
        <v>33449</v>
      </c>
      <c r="U1668" t="s">
        <v>33450</v>
      </c>
      <c r="V1668">
        <f>-587.805051532211 -32.6737386504882 -233.487563238211</f>
        <v>-853.9663534209102</v>
      </c>
      <c r="W1668" t="s">
        <v>33451</v>
      </c>
      <c r="X1668" t="s">
        <v>33452</v>
      </c>
      <c r="Y1668" t="s">
        <v>33453</v>
      </c>
    </row>
    <row r="1669" spans="1:25" x14ac:dyDescent="0.3">
      <c r="A1669">
        <v>83400</v>
      </c>
      <c r="B1669" t="s">
        <v>33454</v>
      </c>
      <c r="C1669" t="s">
        <v>33455</v>
      </c>
      <c r="D1669" t="s">
        <v>33456</v>
      </c>
      <c r="E1669" t="s">
        <v>33457</v>
      </c>
      <c r="F1669" t="s">
        <v>33458</v>
      </c>
      <c r="G1669" t="s">
        <v>33459</v>
      </c>
      <c r="H1669">
        <f>-583.395228399619 -28.771273832204 -840.063488197733</f>
        <v>-1452.229990429556</v>
      </c>
      <c r="I1669">
        <f>-546.378241913081 -48.9261716454851 -932.834840422995</f>
        <v>-1528.1392539815611</v>
      </c>
      <c r="J1669" t="s">
        <v>33460</v>
      </c>
      <c r="K1669" t="s">
        <v>33461</v>
      </c>
      <c r="L1669" t="s">
        <v>33462</v>
      </c>
      <c r="M1669" t="s">
        <v>33463</v>
      </c>
      <c r="N1669">
        <f>-595.54366629035 -43.0793106452305 -767.948244402981</f>
        <v>-1406.5712213385614</v>
      </c>
      <c r="O1669">
        <f>-622.827604992264 -177.594404714828 -715.157128474546</f>
        <v>-1515.579138181638</v>
      </c>
      <c r="P1669">
        <f>-609.012220892473 -150.801709526184 -400.073829054749</f>
        <v>-1159.887759473406</v>
      </c>
      <c r="Q1669">
        <f>-365.923877893303 -74.3657353502967 -452.109047033937</f>
        <v>-892.39866027753669</v>
      </c>
      <c r="R1669" t="s">
        <v>33464</v>
      </c>
      <c r="S1669" t="s">
        <v>33465</v>
      </c>
      <c r="T1669" t="s">
        <v>33466</v>
      </c>
      <c r="U1669" t="s">
        <v>33467</v>
      </c>
      <c r="V1669">
        <f>-588.219353120351 -32.9782674811041 -233.498702296832</f>
        <v>-854.69632289828712</v>
      </c>
      <c r="W1669" t="s">
        <v>33468</v>
      </c>
      <c r="X1669" t="s">
        <v>33469</v>
      </c>
      <c r="Y1669" t="s">
        <v>33470</v>
      </c>
    </row>
    <row r="1670" spans="1:25" x14ac:dyDescent="0.3">
      <c r="A1670">
        <v>83450</v>
      </c>
      <c r="B1670" t="s">
        <v>33471</v>
      </c>
      <c r="C1670" t="s">
        <v>33472</v>
      </c>
      <c r="D1670" t="s">
        <v>33473</v>
      </c>
      <c r="E1670" t="s">
        <v>33474</v>
      </c>
      <c r="F1670" t="s">
        <v>33475</v>
      </c>
      <c r="G1670" t="s">
        <v>33476</v>
      </c>
      <c r="H1670">
        <f>-583.127058360071 -27.740034266588 -840.246850207918</f>
        <v>-1451.1139428345771</v>
      </c>
      <c r="I1670">
        <f>-546.006480550963 -47.5727964221252 -933.046180669248</f>
        <v>-1526.6254576423362</v>
      </c>
      <c r="J1670" t="s">
        <v>33477</v>
      </c>
      <c r="K1670" t="s">
        <v>33478</v>
      </c>
      <c r="L1670" t="s">
        <v>33479</v>
      </c>
      <c r="M1670" t="s">
        <v>33480</v>
      </c>
      <c r="N1670">
        <f>-595.545180319964 -42.3740293807365 -768.243004563703</f>
        <v>-1406.1622142644035</v>
      </c>
      <c r="O1670">
        <f>-622.601906550761 -177.115046000328 -715.940349384549</f>
        <v>-1515.6573019356379</v>
      </c>
      <c r="P1670">
        <f>-610.074233111729 -150.829734596471 -400.7605698344</f>
        <v>-1161.6645375425999</v>
      </c>
      <c r="Q1670">
        <f>-367.011996489799 -73.9397528321592 -452.245758305136</f>
        <v>-893.19750762709418</v>
      </c>
      <c r="R1670" t="s">
        <v>33481</v>
      </c>
      <c r="S1670" t="s">
        <v>33482</v>
      </c>
      <c r="T1670" t="s">
        <v>33483</v>
      </c>
      <c r="U1670" t="s">
        <v>33484</v>
      </c>
      <c r="V1670">
        <f>-588.770927020984 -33.6701902021968 -233.516480559332</f>
        <v>-855.95759778251272</v>
      </c>
      <c r="W1670" t="s">
        <v>33485</v>
      </c>
      <c r="X1670" t="s">
        <v>33486</v>
      </c>
      <c r="Y1670" t="s">
        <v>33487</v>
      </c>
    </row>
    <row r="1671" spans="1:25" x14ac:dyDescent="0.3">
      <c r="A1671">
        <v>83500</v>
      </c>
      <c r="B1671" t="s">
        <v>33488</v>
      </c>
      <c r="C1671" t="s">
        <v>33489</v>
      </c>
      <c r="D1671" t="s">
        <v>33490</v>
      </c>
      <c r="E1671" t="s">
        <v>33491</v>
      </c>
      <c r="F1671" t="s">
        <v>33492</v>
      </c>
      <c r="G1671" t="s">
        <v>33493</v>
      </c>
      <c r="H1671">
        <f>-582.603851445375 -27.1385623626744 -840.344082899909</f>
        <v>-1450.0864967079583</v>
      </c>
      <c r="I1671">
        <f>-545.377434262338 -46.7516981981766 -933.147585967903</f>
        <v>-1525.2767184284176</v>
      </c>
      <c r="J1671" t="s">
        <v>33494</v>
      </c>
      <c r="K1671" t="s">
        <v>33495</v>
      </c>
      <c r="L1671" t="s">
        <v>33496</v>
      </c>
      <c r="M1671" t="s">
        <v>33497</v>
      </c>
      <c r="N1671">
        <f>-595.206066528313 -41.9439336976046 -768.407205950023</f>
        <v>-1405.5572061759408</v>
      </c>
      <c r="O1671">
        <f>-622.27900648036 -176.818450180788 -716.44637569572</f>
        <v>-1515.5438323568678</v>
      </c>
      <c r="P1671">
        <f>-610.198596448331 -151.069621434605 -401.204882015519</f>
        <v>-1162.4730998984551</v>
      </c>
      <c r="Q1671">
        <f>-367.113515270014 -74.0124098914439 -452.331095688177</f>
        <v>-893.45702084963489</v>
      </c>
      <c r="R1671" t="s">
        <v>33498</v>
      </c>
      <c r="S1671" t="s">
        <v>33499</v>
      </c>
      <c r="T1671" t="s">
        <v>33500</v>
      </c>
      <c r="U1671" t="s">
        <v>33501</v>
      </c>
      <c r="V1671">
        <f>-588.943815493822 -33.8658971256627 -233.534068889309</f>
        <v>-856.34378150879365</v>
      </c>
      <c r="W1671" t="s">
        <v>33502</v>
      </c>
      <c r="X1671" t="s">
        <v>33503</v>
      </c>
      <c r="Y1671" t="s">
        <v>33504</v>
      </c>
    </row>
    <row r="1672" spans="1:25" x14ac:dyDescent="0.3">
      <c r="A1672">
        <v>83550</v>
      </c>
      <c r="B1672" t="s">
        <v>33505</v>
      </c>
      <c r="C1672" t="s">
        <v>33506</v>
      </c>
      <c r="D1672" t="s">
        <v>33507</v>
      </c>
      <c r="E1672" t="s">
        <v>33508</v>
      </c>
      <c r="F1672" t="s">
        <v>33509</v>
      </c>
      <c r="G1672" t="s">
        <v>33510</v>
      </c>
      <c r="H1672">
        <f>-581.548749288391 -26.4156366365027 -840.502941705798</f>
        <v>-1448.4673276306917</v>
      </c>
      <c r="I1672">
        <f>-544.219816343424 -45.59417308943 -933.356068994366</f>
        <v>-1523.1700584272198</v>
      </c>
      <c r="J1672" t="s">
        <v>33511</v>
      </c>
      <c r="K1672" t="s">
        <v>33512</v>
      </c>
      <c r="L1672" t="s">
        <v>33513</v>
      </c>
      <c r="M1672" t="s">
        <v>33514</v>
      </c>
      <c r="N1672">
        <f>-594.386857961176 -41.5204474262834 -768.670127426162</f>
        <v>-1404.5774328136215</v>
      </c>
      <c r="O1672">
        <f>-621.224230437293 -176.676541995585 -717.318017082125</f>
        <v>-1515.2187895150032</v>
      </c>
      <c r="P1672">
        <f>-610.414203892049 -151.777181968913 -401.962156641864</f>
        <v>-1164.153542502826</v>
      </c>
      <c r="Q1672">
        <f>-367.347576355368 -74.4077559945026 -452.703145821389</f>
        <v>-894.45847817125969</v>
      </c>
      <c r="R1672" t="s">
        <v>33515</v>
      </c>
      <c r="S1672" t="s">
        <v>33516</v>
      </c>
      <c r="T1672" t="s">
        <v>33517</v>
      </c>
      <c r="U1672" t="s">
        <v>33518</v>
      </c>
      <c r="V1672">
        <f>-589.200720772453 -34.4019492826281 -233.543833958339</f>
        <v>-857.1465040134201</v>
      </c>
      <c r="W1672" t="s">
        <v>33519</v>
      </c>
      <c r="X1672" t="s">
        <v>33520</v>
      </c>
      <c r="Y1672" t="s">
        <v>33521</v>
      </c>
    </row>
    <row r="1673" spans="1:25" x14ac:dyDescent="0.3">
      <c r="A1673">
        <v>83600</v>
      </c>
      <c r="B1673" t="s">
        <v>33522</v>
      </c>
      <c r="C1673" t="s">
        <v>33523</v>
      </c>
      <c r="D1673" t="s">
        <v>33524</v>
      </c>
      <c r="E1673" t="s">
        <v>33525</v>
      </c>
      <c r="F1673" t="s">
        <v>33526</v>
      </c>
      <c r="G1673" t="s">
        <v>33527</v>
      </c>
      <c r="H1673">
        <f>-581.342414090479 -26.0689581444747 -840.594244893167</f>
        <v>-1448.0056171281208</v>
      </c>
      <c r="I1673">
        <f>-544.010925828205 -45.0286090857517 -933.491414195294</f>
        <v>-1522.5309491092507</v>
      </c>
      <c r="J1673" t="s">
        <v>33528</v>
      </c>
      <c r="K1673" t="s">
        <v>33529</v>
      </c>
      <c r="L1673" t="s">
        <v>33530</v>
      </c>
      <c r="M1673" t="s">
        <v>33531</v>
      </c>
      <c r="N1673">
        <f>-594.261651430202 -41.3189389890124 -768.806734485777</f>
        <v>-1404.3873249049916</v>
      </c>
      <c r="O1673">
        <f>-621.157098026052 -176.571502860188 -717.75948037286</f>
        <v>-1515.4880812591</v>
      </c>
      <c r="P1673">
        <f>-610.608165876346 -152.165742341865 -402.356177845234</f>
        <v>-1165.1300860634451</v>
      </c>
      <c r="Q1673">
        <f>-367.540437920537 -74.6995824496949 -452.943663805658</f>
        <v>-895.18368417588988</v>
      </c>
      <c r="R1673" t="s">
        <v>33532</v>
      </c>
      <c r="S1673" t="s">
        <v>33533</v>
      </c>
      <c r="T1673" t="s">
        <v>33534</v>
      </c>
      <c r="U1673" t="s">
        <v>33535</v>
      </c>
      <c r="V1673">
        <f>-589.374319607239 -34.7338416163905 -233.539073709995</f>
        <v>-857.64723493362453</v>
      </c>
      <c r="W1673" t="s">
        <v>33536</v>
      </c>
      <c r="X1673" t="s">
        <v>33537</v>
      </c>
      <c r="Y1673" t="s">
        <v>33538</v>
      </c>
    </row>
    <row r="1674" spans="1:25" x14ac:dyDescent="0.3">
      <c r="A1674">
        <v>83650</v>
      </c>
      <c r="B1674" t="s">
        <v>33539</v>
      </c>
      <c r="C1674" t="s">
        <v>33540</v>
      </c>
      <c r="D1674" t="s">
        <v>33541</v>
      </c>
      <c r="E1674" t="s">
        <v>33542</v>
      </c>
      <c r="F1674" t="s">
        <v>33543</v>
      </c>
      <c r="G1674" t="s">
        <v>33544</v>
      </c>
      <c r="H1674">
        <f>-581.150727786728 -25.3097464105001 -840.885098760528</f>
        <v>-1447.3455729577561</v>
      </c>
      <c r="I1674">
        <f>-543.88636988297 -43.9254778255863 -933.878732253507</f>
        <v>-1521.6905799620633</v>
      </c>
      <c r="J1674" t="s">
        <v>33545</v>
      </c>
      <c r="K1674" t="s">
        <v>33546</v>
      </c>
      <c r="L1674" t="s">
        <v>33547</v>
      </c>
      <c r="M1674" t="s">
        <v>33548</v>
      </c>
      <c r="N1674">
        <f>-594.414121859017 -40.7839522126985 -769.208379054948</f>
        <v>-1404.4064531266636</v>
      </c>
      <c r="O1674">
        <f>-621.848819094375 -176.141766389259 -718.684640764914</f>
        <v>-1516.6752262485479</v>
      </c>
      <c r="P1674">
        <f>-611.48555137193 -152.828860773533 -403.192457054488</f>
        <v>-1167.5068691999509</v>
      </c>
      <c r="Q1674">
        <f>-368.294445872975 -75.4917491813149 -453.382915381382</f>
        <v>-897.16911043567188</v>
      </c>
      <c r="R1674" t="s">
        <v>33549</v>
      </c>
      <c r="S1674" t="s">
        <v>33550</v>
      </c>
      <c r="T1674" t="s">
        <v>33551</v>
      </c>
      <c r="U1674" t="s">
        <v>33552</v>
      </c>
      <c r="V1674">
        <f>-589.860525161567 -35.0867710755585 -233.609747449462</f>
        <v>-858.55704368658758</v>
      </c>
      <c r="W1674" t="s">
        <v>33553</v>
      </c>
      <c r="X1674" t="s">
        <v>33554</v>
      </c>
      <c r="Y1674" t="s">
        <v>33555</v>
      </c>
    </row>
    <row r="1675" spans="1:25" x14ac:dyDescent="0.3">
      <c r="A1675">
        <v>83700</v>
      </c>
      <c r="B1675" t="s">
        <v>33556</v>
      </c>
      <c r="C1675" t="s">
        <v>33557</v>
      </c>
      <c r="D1675" t="s">
        <v>33558</v>
      </c>
      <c r="E1675" t="s">
        <v>33559</v>
      </c>
      <c r="F1675" t="s">
        <v>33560</v>
      </c>
      <c r="G1675" t="s">
        <v>33561</v>
      </c>
      <c r="H1675">
        <f>-580.753971660418 -24.6046278153414 -841.067313996963</f>
        <v>-1446.4259134727222</v>
      </c>
      <c r="I1675">
        <f>-543.564672142205 -43.0682512506669 -934.121418098514</f>
        <v>-1520.754341491386</v>
      </c>
      <c r="J1675" t="s">
        <v>33562</v>
      </c>
      <c r="K1675" t="s">
        <v>33563</v>
      </c>
      <c r="L1675" t="s">
        <v>33564</v>
      </c>
      <c r="M1675" t="s">
        <v>33565</v>
      </c>
      <c r="N1675">
        <f>-594.226380093388 -40.2295636303182 -769.462327804063</f>
        <v>-1403.9182715277693</v>
      </c>
      <c r="O1675">
        <f>-621.9919387598 -175.633748678099 -719.279488654315</f>
        <v>-1516.9051760922139</v>
      </c>
      <c r="P1675">
        <f>-612.088586595041 -152.766023268402 -403.739962269968</f>
        <v>-1168.594572133411</v>
      </c>
      <c r="Q1675">
        <f>-368.742673844901 -75.7237894641213 -453.633319467422</f>
        <v>-898.09978277644427</v>
      </c>
      <c r="R1675" t="s">
        <v>33566</v>
      </c>
      <c r="S1675" t="s">
        <v>33567</v>
      </c>
      <c r="T1675" t="s">
        <v>33568</v>
      </c>
      <c r="U1675" t="s">
        <v>33569</v>
      </c>
      <c r="V1675">
        <f>-590.107613326525 -35.2375120299419 -233.647589023092</f>
        <v>-858.99271437955883</v>
      </c>
      <c r="W1675" t="s">
        <v>33570</v>
      </c>
      <c r="X1675" t="s">
        <v>33571</v>
      </c>
      <c r="Y1675" t="s">
        <v>33572</v>
      </c>
    </row>
    <row r="1676" spans="1:25" x14ac:dyDescent="0.3">
      <c r="A1676">
        <v>83750</v>
      </c>
      <c r="B1676" t="s">
        <v>33573</v>
      </c>
      <c r="C1676" t="s">
        <v>33574</v>
      </c>
      <c r="D1676" t="s">
        <v>33575</v>
      </c>
      <c r="E1676" t="s">
        <v>33576</v>
      </c>
      <c r="F1676" t="s">
        <v>33577</v>
      </c>
      <c r="G1676" t="s">
        <v>33578</v>
      </c>
      <c r="H1676">
        <f>-579.539418070447 -23.0241728855809 -841.43008565351</f>
        <v>-1443.9936766095379</v>
      </c>
      <c r="I1676">
        <f>-542.545929297139 -41.2287382665077 -934.613183849412</f>
        <v>-1518.3878514130588</v>
      </c>
      <c r="J1676" t="s">
        <v>33579</v>
      </c>
      <c r="K1676" t="s">
        <v>33580</v>
      </c>
      <c r="L1676" t="s">
        <v>33581</v>
      </c>
      <c r="M1676" t="s">
        <v>33582</v>
      </c>
      <c r="N1676">
        <f>-593.466716232265 -38.930820476617 -769.97435835193</f>
        <v>-1402.371895060812</v>
      </c>
      <c r="O1676">
        <f>-621.890253944933 -174.458944602325 -720.501765821003</f>
        <v>-1516.850964368261</v>
      </c>
      <c r="P1676">
        <f>-613.598978216424 -152.599672597563 -404.844270027075</f>
        <v>-1171.0429208410619</v>
      </c>
      <c r="Q1676">
        <f>-369.914486624983 -75.9407968667441 -453.663561200698</f>
        <v>-899.51884469242509</v>
      </c>
      <c r="R1676" t="s">
        <v>33583</v>
      </c>
      <c r="S1676" t="s">
        <v>33584</v>
      </c>
      <c r="T1676" t="s">
        <v>33585</v>
      </c>
      <c r="U1676" t="s">
        <v>33586</v>
      </c>
      <c r="V1676">
        <f>-590.756674897667 -35.4980426170999 -233.771519887755</f>
        <v>-860.02623740252193</v>
      </c>
      <c r="W1676" t="s">
        <v>33587</v>
      </c>
      <c r="X1676" t="s">
        <v>33588</v>
      </c>
      <c r="Y1676" t="s">
        <v>33589</v>
      </c>
    </row>
    <row r="1677" spans="1:25" x14ac:dyDescent="0.3">
      <c r="A1677">
        <v>83800</v>
      </c>
      <c r="B1677" t="s">
        <v>33590</v>
      </c>
      <c r="C1677" t="s">
        <v>33591</v>
      </c>
      <c r="D1677" t="s">
        <v>33592</v>
      </c>
      <c r="E1677" t="s">
        <v>33593</v>
      </c>
      <c r="F1677" t="s">
        <v>33594</v>
      </c>
      <c r="G1677" t="s">
        <v>33595</v>
      </c>
      <c r="H1677">
        <f>-579.061792189763 -22.1636019991713 -841.544391106008</f>
        <v>-1442.7697852949423</v>
      </c>
      <c r="I1677">
        <f>-542.181147157543 -40.2493085082154 -934.795113680517</f>
        <v>-1517.2255693462755</v>
      </c>
      <c r="J1677" t="s">
        <v>33596</v>
      </c>
      <c r="K1677" t="s">
        <v>33597</v>
      </c>
      <c r="L1677" t="s">
        <v>33598</v>
      </c>
      <c r="M1677" t="s">
        <v>33599</v>
      </c>
      <c r="N1677">
        <f>-593.220041263211 -38.2084380243848 -770.164946394767</f>
        <v>-1401.5934256823627</v>
      </c>
      <c r="O1677">
        <f>-621.981368599309 -173.799025015887 -721.053877596482</f>
        <v>-1516.834271211678</v>
      </c>
      <c r="P1677">
        <f>-614.49120158952 -152.367966611881 -405.347061316624</f>
        <v>-1172.2062295180249</v>
      </c>
      <c r="Q1677">
        <f>-370.641861016451 -75.8462441462884 -453.554926365954</f>
        <v>-900.0430315286934</v>
      </c>
      <c r="R1677" t="s">
        <v>33600</v>
      </c>
      <c r="S1677" t="s">
        <v>33601</v>
      </c>
      <c r="T1677" t="s">
        <v>33602</v>
      </c>
      <c r="U1677" t="s">
        <v>33603</v>
      </c>
      <c r="V1677">
        <f>-591.176102321765 -35.6575996560203 -233.831714671659</f>
        <v>-860.66541664944441</v>
      </c>
      <c r="W1677" t="s">
        <v>33604</v>
      </c>
      <c r="X1677" t="s">
        <v>33605</v>
      </c>
      <c r="Y1677" t="s">
        <v>33606</v>
      </c>
    </row>
    <row r="1678" spans="1:25" x14ac:dyDescent="0.3">
      <c r="A1678">
        <v>83850</v>
      </c>
      <c r="B1678" t="s">
        <v>33607</v>
      </c>
      <c r="C1678" t="s">
        <v>33608</v>
      </c>
      <c r="D1678" t="s">
        <v>33609</v>
      </c>
      <c r="E1678" t="s">
        <v>33610</v>
      </c>
      <c r="F1678" t="s">
        <v>33611</v>
      </c>
      <c r="G1678" t="s">
        <v>33612</v>
      </c>
      <c r="H1678">
        <f>-578.351463918881 -20.6641780917004 -841.844680147419</f>
        <v>-1440.8603221580004</v>
      </c>
      <c r="I1678">
        <f>-541.707470973906 -38.497537762574 -935.237223259717</f>
        <v>-1515.4422319961968</v>
      </c>
      <c r="J1678" t="s">
        <v>33613</v>
      </c>
      <c r="K1678" t="s">
        <v>33614</v>
      </c>
      <c r="L1678" t="s">
        <v>33615</v>
      </c>
      <c r="M1678" t="s">
        <v>33616</v>
      </c>
      <c r="N1678">
        <f>-592.928652898081 -37.0018864536637 -770.616211136463</f>
        <v>-1400.5467504882076</v>
      </c>
      <c r="O1678">
        <f>-622.354263028195 -172.678742750558 -722.143146138792</f>
        <v>-1517.176151917545</v>
      </c>
      <c r="P1678">
        <f>-616.176576479339 -151.881622907593 -406.365462569561</f>
        <v>-1174.4236619564931</v>
      </c>
      <c r="Q1678">
        <f>-371.94990590025 -75.8066101813099 -453.354650973011</f>
        <v>-901.11116705457084</v>
      </c>
      <c r="R1678" t="s">
        <v>33617</v>
      </c>
      <c r="S1678" t="s">
        <v>33618</v>
      </c>
      <c r="T1678" t="s">
        <v>33619</v>
      </c>
      <c r="U1678" t="s">
        <v>33620</v>
      </c>
      <c r="V1678">
        <f>-592.226091112776 -36.1016133118997 -233.944060154588</f>
        <v>-862.27176457926362</v>
      </c>
      <c r="W1678" t="s">
        <v>33621</v>
      </c>
      <c r="X1678" t="s">
        <v>33622</v>
      </c>
      <c r="Y1678" t="s">
        <v>33623</v>
      </c>
    </row>
    <row r="1679" spans="1:25" x14ac:dyDescent="0.3">
      <c r="A1679">
        <v>83900</v>
      </c>
      <c r="B1679" t="s">
        <v>33624</v>
      </c>
      <c r="C1679" t="s">
        <v>33625</v>
      </c>
      <c r="D1679" t="s">
        <v>33626</v>
      </c>
      <c r="E1679" t="s">
        <v>33627</v>
      </c>
      <c r="F1679" t="s">
        <v>33628</v>
      </c>
      <c r="G1679" t="s">
        <v>33629</v>
      </c>
      <c r="H1679">
        <f>-578.108333731528 -19.8850111763427 -841.974095988595</f>
        <v>-1439.9674408964656</v>
      </c>
      <c r="I1679">
        <f>-541.693783402264 -37.6074766933214 -935.477523260329</f>
        <v>-1514.7787833559144</v>
      </c>
      <c r="J1679" t="s">
        <v>33630</v>
      </c>
      <c r="K1679" t="s">
        <v>33631</v>
      </c>
      <c r="L1679" t="s">
        <v>33632</v>
      </c>
      <c r="M1679" t="s">
        <v>33633</v>
      </c>
      <c r="N1679">
        <f>-592.792090703544 -36.3854505665281 -770.805008060712</f>
        <v>-1399.982549330784</v>
      </c>
      <c r="O1679">
        <f>-622.401206141861 -172.152586292274 -722.706120583701</f>
        <v>-1517.259913017836</v>
      </c>
      <c r="P1679">
        <f>-616.882362692777 -151.449139769309 -406.909970776179</f>
        <v>-1175.2414732382649</v>
      </c>
      <c r="Q1679">
        <f>-372.418999134386 -75.7106945791268 -453.206935016363</f>
        <v>-901.33662872987577</v>
      </c>
      <c r="R1679" t="s">
        <v>33634</v>
      </c>
      <c r="S1679" t="s">
        <v>33635</v>
      </c>
      <c r="T1679" t="s">
        <v>33636</v>
      </c>
      <c r="U1679" t="s">
        <v>33637</v>
      </c>
      <c r="V1679">
        <f>-592.653013251513 -36.2884036172538 -233.98206870882</f>
        <v>-862.92348557758692</v>
      </c>
      <c r="W1679" t="s">
        <v>33638</v>
      </c>
      <c r="X1679" t="s">
        <v>33639</v>
      </c>
      <c r="Y1679" t="s">
        <v>33640</v>
      </c>
    </row>
    <row r="1680" spans="1:25" x14ac:dyDescent="0.3">
      <c r="A1680">
        <v>83950</v>
      </c>
      <c r="B1680" t="s">
        <v>33641</v>
      </c>
      <c r="C1680" t="s">
        <v>33642</v>
      </c>
      <c r="D1680" t="s">
        <v>33643</v>
      </c>
      <c r="E1680" t="s">
        <v>33644</v>
      </c>
      <c r="F1680" t="s">
        <v>33645</v>
      </c>
      <c r="G1680" t="s">
        <v>33646</v>
      </c>
      <c r="H1680">
        <f>-578.796751716378 -19.0269658885361 -842.236853938237</f>
        <v>-1440.0605715431511</v>
      </c>
      <c r="I1680">
        <f>-543.047868845548 -36.7242832657121 -936.00133971179</f>
        <v>-1515.7734918230501</v>
      </c>
      <c r="J1680" t="s">
        <v>33647</v>
      </c>
      <c r="K1680" t="s">
        <v>33648</v>
      </c>
      <c r="L1680" t="s">
        <v>33649</v>
      </c>
      <c r="M1680" t="s">
        <v>33650</v>
      </c>
      <c r="N1680">
        <f>-593.476244626131 -35.6409549213814 -771.093244676538</f>
        <v>-1400.2104442240504</v>
      </c>
      <c r="O1680">
        <f>-623.285430172705 -171.583499788025 -723.650926344748</f>
        <v>-1518.5198563054778</v>
      </c>
      <c r="P1680">
        <f>-618.634093944905 -151.290601369816 -407.814319118769</f>
        <v>-1177.73901443349</v>
      </c>
      <c r="Q1680">
        <f>-373.865158118602 -76.0192063233686 -453.250525909218</f>
        <v>-903.13489035118869</v>
      </c>
      <c r="R1680" t="s">
        <v>33651</v>
      </c>
      <c r="S1680" t="s">
        <v>33652</v>
      </c>
      <c r="T1680" t="s">
        <v>33653</v>
      </c>
      <c r="U1680" t="s">
        <v>33654</v>
      </c>
      <c r="V1680">
        <f>-593.351357390881 -36.3632431796754 -234.130436711098</f>
        <v>-863.84503728165441</v>
      </c>
      <c r="W1680" t="s">
        <v>33655</v>
      </c>
      <c r="X1680" t="s">
        <v>33656</v>
      </c>
      <c r="Y1680" t="s">
        <v>33657</v>
      </c>
    </row>
    <row r="1681" spans="1:25" x14ac:dyDescent="0.3">
      <c r="A1681">
        <v>84000</v>
      </c>
      <c r="B1681" t="s">
        <v>33658</v>
      </c>
      <c r="C1681" t="s">
        <v>33659</v>
      </c>
      <c r="D1681" t="s">
        <v>33660</v>
      </c>
      <c r="E1681" t="s">
        <v>33661</v>
      </c>
      <c r="F1681" t="s">
        <v>33662</v>
      </c>
      <c r="G1681" t="s">
        <v>33663</v>
      </c>
      <c r="H1681">
        <f>-579.558866058624 -18.8612895832231 -842.323620435628</f>
        <v>-1440.7437760774751</v>
      </c>
      <c r="I1681">
        <f>-544.152780138485 -36.5971144012282 -936.211053431285</f>
        <v>-1516.9609479709982</v>
      </c>
      <c r="J1681" t="s">
        <v>33664</v>
      </c>
      <c r="K1681" t="s">
        <v>33665</v>
      </c>
      <c r="L1681" t="s">
        <v>33666</v>
      </c>
      <c r="M1681" t="s">
        <v>33667</v>
      </c>
      <c r="N1681">
        <f>-594.176286473748 -35.4671085293779 -771.165396409482</f>
        <v>-1400.8087914126079</v>
      </c>
      <c r="O1681">
        <f>-624.182637404427 -171.435067493007 -723.842880983951</f>
        <v>-1519.4605858813852</v>
      </c>
      <c r="P1681">
        <f>-619.293609891965 -151.65090529409 -407.977479313036</f>
        <v>-1178.9219944990909</v>
      </c>
      <c r="Q1681">
        <f>-374.419964272937 -76.8147147422336 -453.568244113473</f>
        <v>-904.80292312864367</v>
      </c>
      <c r="R1681" t="s">
        <v>33668</v>
      </c>
      <c r="S1681" t="s">
        <v>33669</v>
      </c>
      <c r="T1681" t="s">
        <v>33670</v>
      </c>
      <c r="U1681" t="s">
        <v>33671</v>
      </c>
      <c r="V1681">
        <f>-593.652688272142 -36.3944924646456 -234.1762642911</f>
        <v>-864.22344502788758</v>
      </c>
      <c r="W1681" t="s">
        <v>33672</v>
      </c>
      <c r="X1681" t="s">
        <v>33673</v>
      </c>
      <c r="Y1681" t="s">
        <v>33674</v>
      </c>
    </row>
    <row r="1682" spans="1:25" x14ac:dyDescent="0.3">
      <c r="A1682">
        <v>84050</v>
      </c>
      <c r="B1682" t="s">
        <v>33675</v>
      </c>
      <c r="C1682" t="s">
        <v>33676</v>
      </c>
      <c r="D1682" t="s">
        <v>33677</v>
      </c>
      <c r="E1682" t="s">
        <v>33678</v>
      </c>
      <c r="F1682" t="s">
        <v>33679</v>
      </c>
      <c r="G1682" t="s">
        <v>33680</v>
      </c>
      <c r="H1682">
        <f>-579.361716245828 -18.3536791073577 -842.376623230112</f>
        <v>-1440.0920185832979</v>
      </c>
      <c r="I1682">
        <f>-544.727103556897 -36.083683219456 -936.552346344204</f>
        <v>-1517.363133120557</v>
      </c>
      <c r="J1682" t="s">
        <v>33681</v>
      </c>
      <c r="K1682" t="s">
        <v>33682</v>
      </c>
      <c r="L1682" t="s">
        <v>33683</v>
      </c>
      <c r="M1682" t="s">
        <v>33684</v>
      </c>
      <c r="N1682">
        <f>-593.817966609769 -35.0420763940688 -771.204787422126</f>
        <v>-1400.0648304259637</v>
      </c>
      <c r="O1682">
        <f>-624.002273631995 -171.03035836707 -724.069459139448</f>
        <v>-1519.1020911385131</v>
      </c>
      <c r="P1682">
        <f>-618.620482196341 -151.853285783282 -408.174810544341</f>
        <v>-1178.648578523964</v>
      </c>
      <c r="Q1682">
        <f>-373.758344309776 -77.9506800396304 -455.323773111504</f>
        <v>-907.03279746091039</v>
      </c>
      <c r="R1682" t="s">
        <v>33685</v>
      </c>
      <c r="S1682" t="s">
        <v>33686</v>
      </c>
      <c r="T1682" t="s">
        <v>33687</v>
      </c>
      <c r="U1682" t="s">
        <v>33688</v>
      </c>
      <c r="V1682">
        <f>-593.517550837397 -36.568720186982 -234.103363258996</f>
        <v>-864.18963428337497</v>
      </c>
      <c r="W1682" t="s">
        <v>33689</v>
      </c>
      <c r="X1682" t="s">
        <v>33690</v>
      </c>
      <c r="Y1682" t="s">
        <v>33691</v>
      </c>
    </row>
    <row r="1683" spans="1:25" x14ac:dyDescent="0.3">
      <c r="A1683">
        <v>84100</v>
      </c>
      <c r="B1683" t="s">
        <v>33692</v>
      </c>
      <c r="C1683" t="s">
        <v>33693</v>
      </c>
      <c r="D1683" t="s">
        <v>33694</v>
      </c>
      <c r="E1683" t="s">
        <v>33695</v>
      </c>
      <c r="F1683" t="s">
        <v>33696</v>
      </c>
      <c r="G1683" t="s">
        <v>33697</v>
      </c>
      <c r="H1683">
        <f>-579.363565224199 -17.7312759996624 -842.422298144879</f>
        <v>-1439.5171393687406</v>
      </c>
      <c r="I1683">
        <f>-545.158936112122 -35.430856244952 -936.760779780119</f>
        <v>-1517.350572137193</v>
      </c>
      <c r="J1683" t="s">
        <v>33698</v>
      </c>
      <c r="K1683" t="s">
        <v>33699</v>
      </c>
      <c r="L1683" t="s">
        <v>33700</v>
      </c>
      <c r="M1683" t="s">
        <v>33701</v>
      </c>
      <c r="N1683">
        <f>-593.71352045878 -34.5322098780658 -771.255339082778</f>
        <v>-1399.5010694196239</v>
      </c>
      <c r="O1683">
        <f>-623.8399595102 -170.566796398798 -724.228421874126</f>
        <v>-1518.6351777831239</v>
      </c>
      <c r="P1683">
        <f>-618.553395801209 -152.133659661903 -408.287848439254</f>
        <v>-1178.9749039023661</v>
      </c>
      <c r="Q1683">
        <f>-373.875496840071 -78.2237952676186 -456.372444995669</f>
        <v>-908.47173710335858</v>
      </c>
      <c r="R1683" t="s">
        <v>33702</v>
      </c>
      <c r="S1683" t="s">
        <v>33703</v>
      </c>
      <c r="T1683" t="s">
        <v>33704</v>
      </c>
      <c r="U1683" t="s">
        <v>33705</v>
      </c>
      <c r="V1683">
        <f>-593.216866443848 -36.7135384882101 -234.029206293185</f>
        <v>-863.95961122524307</v>
      </c>
      <c r="W1683" t="s">
        <v>33706</v>
      </c>
      <c r="X1683" t="s">
        <v>33707</v>
      </c>
      <c r="Y1683" t="s">
        <v>33708</v>
      </c>
    </row>
    <row r="1684" spans="1:25" x14ac:dyDescent="0.3">
      <c r="A1684">
        <v>84150</v>
      </c>
      <c r="B1684" t="s">
        <v>33709</v>
      </c>
      <c r="C1684" t="s">
        <v>33710</v>
      </c>
      <c r="D1684" t="s">
        <v>33711</v>
      </c>
      <c r="E1684" t="s">
        <v>33712</v>
      </c>
      <c r="F1684" t="s">
        <v>33713</v>
      </c>
      <c r="G1684" t="s">
        <v>33714</v>
      </c>
      <c r="H1684">
        <f>-579.335258225162 -15.8735716767529 -842.530217226423</f>
        <v>-1437.7390471283379</v>
      </c>
      <c r="I1684">
        <f>-545.851093595952 -33.3804638398428 -937.162600110128</f>
        <v>-1516.3941575459228</v>
      </c>
      <c r="J1684" t="s">
        <v>33715</v>
      </c>
      <c r="K1684" t="s">
        <v>33716</v>
      </c>
      <c r="L1684" t="s">
        <v>33717</v>
      </c>
      <c r="M1684" t="s">
        <v>33718</v>
      </c>
      <c r="N1684">
        <f>-593.344576040508 -33.0234477692675 -771.378616184336</f>
        <v>-1397.7466399941113</v>
      </c>
      <c r="O1684">
        <f>-623.026772013186 -169.350609462613 -724.911360913605</f>
        <v>-1517.288742389404</v>
      </c>
      <c r="P1684">
        <f>-617.518207704267 -151.762747673324 -408.9263869647</f>
        <v>-1178.207342342291</v>
      </c>
      <c r="Q1684">
        <f>-372.997574865118 -77.7332926263886 -457.623101135314</f>
        <v>-908.35396862682069</v>
      </c>
      <c r="R1684" t="s">
        <v>33719</v>
      </c>
      <c r="S1684" t="s">
        <v>33720</v>
      </c>
      <c r="T1684" t="s">
        <v>33721</v>
      </c>
      <c r="U1684" t="s">
        <v>33722</v>
      </c>
      <c r="V1684">
        <f>-592.14046681551 -36.8833571810694 -233.874269367972</f>
        <v>-862.89809336455141</v>
      </c>
      <c r="W1684" t="s">
        <v>33723</v>
      </c>
      <c r="X1684" t="s">
        <v>33724</v>
      </c>
      <c r="Y1684" t="s">
        <v>33725</v>
      </c>
    </row>
    <row r="1685" spans="1:25" x14ac:dyDescent="0.3">
      <c r="A1685">
        <v>84200</v>
      </c>
      <c r="B1685" t="s">
        <v>33726</v>
      </c>
      <c r="C1685" t="s">
        <v>33727</v>
      </c>
      <c r="D1685" t="s">
        <v>33728</v>
      </c>
      <c r="E1685" t="s">
        <v>33729</v>
      </c>
      <c r="F1685" t="s">
        <v>33730</v>
      </c>
      <c r="G1685" t="s">
        <v>33731</v>
      </c>
      <c r="H1685">
        <f>-579.334418036692 -14.5212693729632 -842.591360933746</f>
        <v>-1436.4470483434011</v>
      </c>
      <c r="I1685">
        <f>-546.139218875535 -31.8399635978559 -937.360093300193</f>
        <v>-1515.3392757735837</v>
      </c>
      <c r="J1685" t="s">
        <v>33732</v>
      </c>
      <c r="K1685" t="s">
        <v>33733</v>
      </c>
      <c r="L1685" t="s">
        <v>33734</v>
      </c>
      <c r="M1685" t="s">
        <v>33735</v>
      </c>
      <c r="N1685">
        <f>-593.15041074396 -31.917204801125 -771.461767820527</f>
        <v>-1396.5293833656119</v>
      </c>
      <c r="O1685">
        <f>-622.524216951354 -168.396877941397 -725.266576245384</f>
        <v>-1516.1876711381351</v>
      </c>
      <c r="P1685">
        <f>-616.899811418057 -151.738568145298 -409.233267639537</f>
        <v>-1177.8716472028921</v>
      </c>
      <c r="Q1685">
        <f>-372.462486294944 -77.3654496173181 -457.824275561162</f>
        <v>-907.65221147342413</v>
      </c>
      <c r="R1685" t="s">
        <v>33736</v>
      </c>
      <c r="S1685" t="s">
        <v>33737</v>
      </c>
      <c r="T1685" t="s">
        <v>33738</v>
      </c>
      <c r="U1685" t="s">
        <v>33739</v>
      </c>
      <c r="V1685">
        <f>-591.458812493268 -36.734484596934 -233.754982795739</f>
        <v>-861.94827988594102</v>
      </c>
      <c r="W1685" t="s">
        <v>33740</v>
      </c>
      <c r="X1685" t="s">
        <v>33741</v>
      </c>
      <c r="Y1685" t="s">
        <v>33742</v>
      </c>
    </row>
    <row r="1686" spans="1:25" x14ac:dyDescent="0.3">
      <c r="A1686">
        <v>84250</v>
      </c>
      <c r="B1686" t="s">
        <v>33743</v>
      </c>
      <c r="C1686" t="s">
        <v>33744</v>
      </c>
      <c r="D1686" t="s">
        <v>33745</v>
      </c>
      <c r="E1686" t="s">
        <v>33746</v>
      </c>
      <c r="F1686" t="s">
        <v>33747</v>
      </c>
      <c r="G1686" t="s">
        <v>33748</v>
      </c>
      <c r="H1686">
        <f>-579.893155814055 -12.093814803238 -842.628530967841</f>
        <v>-1434.6155015851341</v>
      </c>
      <c r="I1686">
        <f>-547.109234500993 -28.9638109999242 -937.620980750144</f>
        <v>-1513.6940262510611</v>
      </c>
      <c r="J1686" t="s">
        <v>33749</v>
      </c>
      <c r="K1686" t="s">
        <v>33750</v>
      </c>
      <c r="L1686" t="s">
        <v>33751</v>
      </c>
      <c r="M1686" t="s">
        <v>33752</v>
      </c>
      <c r="N1686">
        <f>-593.255256258726 -29.8965800569188 -771.512808137014</f>
        <v>-1394.6646444526586</v>
      </c>
      <c r="O1686">
        <f>-621.509441841926 -166.796901755664 -725.868061289597</f>
        <v>-1514.1744048871869</v>
      </c>
      <c r="P1686">
        <f>-615.562873239722 -151.437652625843 -409.774954589983</f>
        <v>-1176.7754804555479</v>
      </c>
      <c r="Q1686">
        <f>-371.442236638287 -75.9652023740531 -458.262729293539</f>
        <v>-905.67016830587909</v>
      </c>
      <c r="R1686" t="s">
        <v>33753</v>
      </c>
      <c r="S1686" t="s">
        <v>33754</v>
      </c>
      <c r="T1686" t="s">
        <v>33755</v>
      </c>
      <c r="U1686" t="s">
        <v>33756</v>
      </c>
      <c r="V1686">
        <f>-590.128478318437 -36.2163687918179 -233.539086529974</f>
        <v>-859.88393364022897</v>
      </c>
      <c r="W1686" t="s">
        <v>33757</v>
      </c>
      <c r="X1686" t="s">
        <v>33758</v>
      </c>
      <c r="Y1686" t="s">
        <v>33759</v>
      </c>
    </row>
    <row r="1687" spans="1:25" x14ac:dyDescent="0.3">
      <c r="A1687">
        <v>84300</v>
      </c>
      <c r="B1687" t="s">
        <v>33760</v>
      </c>
      <c r="C1687" t="s">
        <v>33761</v>
      </c>
      <c r="D1687" t="s">
        <v>33762</v>
      </c>
      <c r="E1687" t="s">
        <v>33763</v>
      </c>
      <c r="F1687" t="s">
        <v>33764</v>
      </c>
      <c r="G1687" t="s">
        <v>33765</v>
      </c>
      <c r="H1687">
        <f>-580.435978523393 -10.9282874413924 -842.641559744769</f>
        <v>-1434.0058257095543</v>
      </c>
      <c r="I1687">
        <f>-547.862752056463 -27.5561439810197 -937.749363678104</f>
        <v>-1513.1682597155868</v>
      </c>
      <c r="J1687" t="s">
        <v>33766</v>
      </c>
      <c r="K1687" t="s">
        <v>33767</v>
      </c>
      <c r="L1687" t="s">
        <v>33768</v>
      </c>
      <c r="M1687" t="s">
        <v>33769</v>
      </c>
      <c r="N1687">
        <f>-593.557953032457 -28.9117638125537 -771.526761423255</f>
        <v>-1393.9964782682657</v>
      </c>
      <c r="O1687">
        <f>-621.285111080414 -165.955722368162 -726.011040934019</f>
        <v>-1513.2518743825949</v>
      </c>
      <c r="P1687">
        <f>-614.999672899706 -151.056474759546 -409.902295431279</f>
        <v>-1175.9584430905311</v>
      </c>
      <c r="Q1687">
        <f>-371.140089982124 -75.0563759950339 -458.877300182258</f>
        <v>-905.07376615941598</v>
      </c>
      <c r="R1687" t="s">
        <v>33770</v>
      </c>
      <c r="S1687" t="s">
        <v>33771</v>
      </c>
      <c r="T1687" t="s">
        <v>33772</v>
      </c>
      <c r="U1687" t="s">
        <v>33773</v>
      </c>
      <c r="V1687">
        <f>-589.671541490169 -35.9454277656617 -233.486709162391</f>
        <v>-859.10367841822176</v>
      </c>
      <c r="W1687" t="s">
        <v>33774</v>
      </c>
      <c r="X1687" t="s">
        <v>33775</v>
      </c>
      <c r="Y1687" t="s">
        <v>33776</v>
      </c>
    </row>
    <row r="1688" spans="1:25" x14ac:dyDescent="0.3">
      <c r="A1688">
        <v>84350</v>
      </c>
      <c r="B1688" t="s">
        <v>33777</v>
      </c>
      <c r="C1688" t="s">
        <v>33778</v>
      </c>
      <c r="D1688" t="s">
        <v>33779</v>
      </c>
      <c r="E1688" t="s">
        <v>33780</v>
      </c>
      <c r="F1688" t="s">
        <v>33781</v>
      </c>
      <c r="G1688" t="s">
        <v>33782</v>
      </c>
      <c r="H1688">
        <f>-581.476364760277 -8.94979471841094 -842.941975159431</f>
        <v>-1433.3681346381188</v>
      </c>
      <c r="I1688">
        <f>-549.249488628765 -25.178417617883 -938.236559361569</f>
        <v>-1512.6644656082171</v>
      </c>
      <c r="J1688" t="s">
        <v>33783</v>
      </c>
      <c r="K1688" t="s">
        <v>33784</v>
      </c>
      <c r="L1688" t="s">
        <v>33785</v>
      </c>
      <c r="M1688" t="s">
        <v>33786</v>
      </c>
      <c r="N1688">
        <f>-594.131873404564 -27.2641271913481 -771.827091065193</f>
        <v>-1393.2230916611052</v>
      </c>
      <c r="O1688">
        <f>-620.869060378984 -164.600820761261 -726.573526317667</f>
        <v>-1512.0434074579121</v>
      </c>
      <c r="P1688">
        <f>-613.667837760397 -150.246289467271 -410.459168815344</f>
        <v>-1174.373296043012</v>
      </c>
      <c r="Q1688">
        <f>-370.475833442113 -73.0821330089435 -460.911058172377</f>
        <v>-904.4690246234336</v>
      </c>
      <c r="R1688" t="s">
        <v>33787</v>
      </c>
      <c r="S1688" t="s">
        <v>33788</v>
      </c>
      <c r="T1688" t="s">
        <v>33789</v>
      </c>
      <c r="U1688" t="s">
        <v>33790</v>
      </c>
      <c r="V1688">
        <f>-589.045839441602 -35.328328826116 -233.479041366187</f>
        <v>-857.85320963390495</v>
      </c>
      <c r="W1688" t="s">
        <v>33791</v>
      </c>
      <c r="X1688" t="s">
        <v>33792</v>
      </c>
      <c r="Y1688" t="s">
        <v>33793</v>
      </c>
    </row>
    <row r="1689" spans="1:25" x14ac:dyDescent="0.3">
      <c r="A1689">
        <v>84400</v>
      </c>
      <c r="B1689" t="s">
        <v>33794</v>
      </c>
      <c r="C1689" t="s">
        <v>33795</v>
      </c>
      <c r="D1689" t="s">
        <v>33796</v>
      </c>
      <c r="E1689" t="s">
        <v>33797</v>
      </c>
      <c r="F1689" t="s">
        <v>33798</v>
      </c>
      <c r="G1689" t="s">
        <v>33799</v>
      </c>
      <c r="H1689">
        <f>-582.073680698685 -7.90574092468644 -843.097607028939</f>
        <v>-1433.0770286523107</v>
      </c>
      <c r="I1689">
        <f>-549.946355729122 -23.9688367514629 -938.453599764908</f>
        <v>-1512.3687922454928</v>
      </c>
      <c r="J1689" t="s">
        <v>33800</v>
      </c>
      <c r="K1689" t="s">
        <v>33801</v>
      </c>
      <c r="L1689" t="s">
        <v>33802</v>
      </c>
      <c r="M1689" t="s">
        <v>33803</v>
      </c>
      <c r="N1689">
        <f>-594.53886147499 -26.3512917577829 -771.982871241184</f>
        <v>-1392.8730244739568</v>
      </c>
      <c r="O1689">
        <f>-620.949831720744 -163.793517390404 -726.876560297278</f>
        <v>-1511.6199094084259</v>
      </c>
      <c r="P1689">
        <f>-613.306755448497 -149.768932772263 -410.757735958059</f>
        <v>-1173.8334241788191</v>
      </c>
      <c r="Q1689">
        <f>-370.387343672344 -72.0047022387715 -461.600230944494</f>
        <v>-903.99227685560948</v>
      </c>
      <c r="R1689" t="s">
        <v>33804</v>
      </c>
      <c r="S1689" t="s">
        <v>33805</v>
      </c>
      <c r="T1689" t="s">
        <v>33806</v>
      </c>
      <c r="U1689" t="s">
        <v>33807</v>
      </c>
      <c r="V1689">
        <f>-588.96480944525 -34.7373804304281 -233.505829239492</f>
        <v>-857.20801911517003</v>
      </c>
      <c r="W1689" t="s">
        <v>33808</v>
      </c>
      <c r="X1689" t="s">
        <v>33809</v>
      </c>
      <c r="Y1689" t="s">
        <v>33810</v>
      </c>
    </row>
    <row r="1690" spans="1:25" x14ac:dyDescent="0.3">
      <c r="A1690">
        <v>84450</v>
      </c>
      <c r="B1690" t="s">
        <v>33811</v>
      </c>
      <c r="C1690" t="s">
        <v>33812</v>
      </c>
      <c r="D1690" t="s">
        <v>33813</v>
      </c>
      <c r="E1690" t="s">
        <v>33814</v>
      </c>
      <c r="F1690" t="s">
        <v>33815</v>
      </c>
      <c r="G1690" t="s">
        <v>33816</v>
      </c>
      <c r="H1690">
        <f>-583.374641738886 -6.31029742061281 -843.269603194649</f>
        <v>-1432.9545423541476</v>
      </c>
      <c r="I1690">
        <f>-551.37137401091 -22.0814992427942 -938.716112911836</f>
        <v>-1512.1689861655402</v>
      </c>
      <c r="J1690" t="s">
        <v>33817</v>
      </c>
      <c r="K1690" t="s">
        <v>33818</v>
      </c>
      <c r="L1690" t="s">
        <v>33819</v>
      </c>
      <c r="M1690" t="s">
        <v>33820</v>
      </c>
      <c r="N1690">
        <f>-595.516110790887 -24.8742123781213 -772.129689348733</f>
        <v>-1392.5200125177412</v>
      </c>
      <c r="O1690">
        <f>-621.240159128353 -162.457515871255 -727.031108115298</f>
        <v>-1510.728783114906</v>
      </c>
      <c r="P1690">
        <f>-613.168415817835 -148.865984281535 -410.903983844522</f>
        <v>-1172.9383839438919</v>
      </c>
      <c r="Q1690">
        <f>-370.478182500507 -70.2070465130559 -461.463656691088</f>
        <v>-902.14888570465087</v>
      </c>
      <c r="R1690" t="s">
        <v>33821</v>
      </c>
      <c r="S1690" t="s">
        <v>33822</v>
      </c>
      <c r="T1690" t="s">
        <v>33823</v>
      </c>
      <c r="U1690" t="s">
        <v>33824</v>
      </c>
      <c r="V1690">
        <f>-589.091230750067 -33.3833870859546 -233.593662501814</f>
        <v>-856.06828033783563</v>
      </c>
      <c r="W1690" t="s">
        <v>33825</v>
      </c>
      <c r="X1690" t="s">
        <v>33826</v>
      </c>
      <c r="Y1690" t="s">
        <v>33827</v>
      </c>
    </row>
    <row r="1691" spans="1:25" x14ac:dyDescent="0.3">
      <c r="A1691">
        <v>84500</v>
      </c>
      <c r="B1691" t="s">
        <v>33828</v>
      </c>
      <c r="C1691" t="s">
        <v>33829</v>
      </c>
      <c r="D1691" t="s">
        <v>33830</v>
      </c>
      <c r="E1691" t="s">
        <v>33831</v>
      </c>
      <c r="F1691" t="s">
        <v>33832</v>
      </c>
      <c r="G1691" t="s">
        <v>33833</v>
      </c>
      <c r="H1691">
        <f>-583.7733318468 -5.96582511334912 -843.229259672804</f>
        <v>-1432.968416632953</v>
      </c>
      <c r="I1691">
        <f>-551.69506496524 -21.6037099757335 -938.672603201631</f>
        <v>-1511.9713781426044</v>
      </c>
      <c r="J1691" t="s">
        <v>33834</v>
      </c>
      <c r="K1691" t="s">
        <v>33835</v>
      </c>
      <c r="L1691" t="s">
        <v>33836</v>
      </c>
      <c r="M1691" t="s">
        <v>33837</v>
      </c>
      <c r="N1691">
        <f>-595.836210496318 -24.5121104601986 -772.071385007524</f>
        <v>-1392.4197059640405</v>
      </c>
      <c r="O1691">
        <f>-621.094555046668 -162.15036162809 -726.905018580064</f>
        <v>-1510.1499352548221</v>
      </c>
      <c r="P1691">
        <f>-613.014771727289 -148.235935763433 -410.792166866647</f>
        <v>-1172.0428743573689</v>
      </c>
      <c r="Q1691">
        <f>-370.322039632238 -69.2401805313577 -460.811922623872</f>
        <v>-900.37414278746769</v>
      </c>
      <c r="R1691" t="s">
        <v>33838</v>
      </c>
      <c r="S1691" t="s">
        <v>33839</v>
      </c>
      <c r="T1691" t="s">
        <v>33840</v>
      </c>
      <c r="U1691" t="s">
        <v>33841</v>
      </c>
      <c r="V1691">
        <f>-589.388663087835 -32.8567735747553 -233.632962895739</f>
        <v>-855.87839955832919</v>
      </c>
      <c r="W1691" t="s">
        <v>33842</v>
      </c>
      <c r="X1691" t="s">
        <v>33843</v>
      </c>
      <c r="Y1691" t="s">
        <v>33844</v>
      </c>
    </row>
    <row r="1692" spans="1:25" x14ac:dyDescent="0.3">
      <c r="A1692">
        <v>84550</v>
      </c>
      <c r="B1692" t="s">
        <v>33845</v>
      </c>
      <c r="C1692" t="s">
        <v>33846</v>
      </c>
      <c r="D1692" t="s">
        <v>33847</v>
      </c>
      <c r="E1692" t="s">
        <v>33848</v>
      </c>
      <c r="F1692" t="s">
        <v>33849</v>
      </c>
      <c r="G1692" t="s">
        <v>33850</v>
      </c>
      <c r="H1692">
        <f>-585.260354243688 -6.02488057776898 -843.116111163892</f>
        <v>-1434.4013459853491</v>
      </c>
      <c r="I1692">
        <f>-553.01372257604 -21.4700713855186 -938.533998420706</f>
        <v>-1513.0177923822646</v>
      </c>
      <c r="J1692" t="s">
        <v>33851</v>
      </c>
      <c r="K1692" t="s">
        <v>33852</v>
      </c>
      <c r="L1692" t="s">
        <v>33853</v>
      </c>
      <c r="M1692" t="s">
        <v>33854</v>
      </c>
      <c r="N1692">
        <f>-597.221375725532 -24.4255938990394 -771.903281346041</f>
        <v>-1393.5502509706125</v>
      </c>
      <c r="O1692">
        <f>-621.881804756656 -162.015696376708 -726.281132471854</f>
        <v>-1510.178633605218</v>
      </c>
      <c r="P1692">
        <f>-613.55767197117 -146.811844073924 -410.234076902832</f>
        <v>-1170.603592947926</v>
      </c>
      <c r="Q1692">
        <f>-370.676167947249 -67.4854061110015 -458.792797476422</f>
        <v>-896.95437153467242</v>
      </c>
      <c r="R1692" t="s">
        <v>33855</v>
      </c>
      <c r="S1692" t="s">
        <v>33856</v>
      </c>
      <c r="T1692" t="s">
        <v>33857</v>
      </c>
      <c r="U1692" t="s">
        <v>33858</v>
      </c>
      <c r="V1692">
        <f>-590.637603863169 -32.1741275218147 -233.770442545683</f>
        <v>-856.58217393066684</v>
      </c>
      <c r="W1692" t="s">
        <v>33859</v>
      </c>
      <c r="X1692" t="s">
        <v>33860</v>
      </c>
      <c r="Y1692" t="s">
        <v>33861</v>
      </c>
    </row>
    <row r="1693" spans="1:25" x14ac:dyDescent="0.3">
      <c r="A1693">
        <v>84600</v>
      </c>
      <c r="B1693" t="s">
        <v>33862</v>
      </c>
      <c r="C1693" t="s">
        <v>33863</v>
      </c>
      <c r="D1693" t="s">
        <v>33864</v>
      </c>
      <c r="E1693" t="s">
        <v>33865</v>
      </c>
      <c r="F1693" t="s">
        <v>33866</v>
      </c>
      <c r="G1693" t="s">
        <v>33867</v>
      </c>
      <c r="H1693">
        <f>-586.339460460576 -6.24290278059078 -843.097518347033</f>
        <v>-1435.6798815881998</v>
      </c>
      <c r="I1693">
        <f>-554.048618443786 -21.6314046072671 -938.509781644981</f>
        <v>-1514.1898046960341</v>
      </c>
      <c r="J1693" t="s">
        <v>33868</v>
      </c>
      <c r="K1693" t="s">
        <v>33869</v>
      </c>
      <c r="L1693" t="s">
        <v>33870</v>
      </c>
      <c r="M1693" t="s">
        <v>33871</v>
      </c>
      <c r="N1693">
        <f>-598.286453376286 -24.570071317134 -771.863515329975</f>
        <v>-1394.7200400233951</v>
      </c>
      <c r="O1693">
        <f>-622.75920022311 -162.141269069966 -726.04385478244</f>
        <v>-1510.9443240755161</v>
      </c>
      <c r="P1693">
        <f>-614.258962019187 -146.382258701996 -410.028601341023</f>
        <v>-1170.6698220622061</v>
      </c>
      <c r="Q1693">
        <f>-371.374749361617 -66.68011272864 -457.954282069819</f>
        <v>-896.00914416007595</v>
      </c>
      <c r="R1693" t="s">
        <v>33872</v>
      </c>
      <c r="S1693" t="s">
        <v>33873</v>
      </c>
      <c r="T1693" t="s">
        <v>33874</v>
      </c>
      <c r="U1693" t="s">
        <v>33875</v>
      </c>
      <c r="V1693">
        <f>-591.485452147096 -32.0608394101961 -233.845786777489</f>
        <v>-857.3920783347811</v>
      </c>
      <c r="W1693" t="s">
        <v>33876</v>
      </c>
      <c r="X1693" t="s">
        <v>33877</v>
      </c>
      <c r="Y1693" t="s">
        <v>33878</v>
      </c>
    </row>
    <row r="1694" spans="1:25" x14ac:dyDescent="0.3">
      <c r="A1694">
        <v>84650</v>
      </c>
      <c r="B1694" t="s">
        <v>33879</v>
      </c>
      <c r="C1694" t="s">
        <v>33880</v>
      </c>
      <c r="D1694" t="s">
        <v>33881</v>
      </c>
      <c r="E1694" t="s">
        <v>33882</v>
      </c>
      <c r="F1694" t="s">
        <v>33883</v>
      </c>
      <c r="G1694" t="s">
        <v>33884</v>
      </c>
      <c r="H1694">
        <f>-589.516782729254 -6.84806294937495 -843.096468500736</f>
        <v>-1439.461314179365</v>
      </c>
      <c r="I1694">
        <f>-557.280030668821 -22.1862285873026 -938.535072615087</f>
        <v>-1518.0013318712106</v>
      </c>
      <c r="J1694" t="s">
        <v>33885</v>
      </c>
      <c r="K1694" t="s">
        <v>33886</v>
      </c>
      <c r="L1694" t="s">
        <v>33887</v>
      </c>
      <c r="M1694" t="s">
        <v>33888</v>
      </c>
      <c r="N1694">
        <f>-601.455096135469 -25.0046508060934 -771.81708310511</f>
        <v>-1398.2768300466723</v>
      </c>
      <c r="O1694">
        <f>-625.762899244644 -162.461582759355 -725.637965930094</f>
        <v>-1513.8624479340929</v>
      </c>
      <c r="P1694">
        <f>-617.092731324354 -145.307564265848 -409.70009291458</f>
        <v>-1172.1003885047819</v>
      </c>
      <c r="Q1694">
        <f>-374.199034390823 -65.3397783634145 -457.132624601797</f>
        <v>-896.6714373560344</v>
      </c>
      <c r="R1694" t="s">
        <v>33889</v>
      </c>
      <c r="S1694" t="s">
        <v>33890</v>
      </c>
      <c r="T1694" t="s">
        <v>33891</v>
      </c>
      <c r="U1694" t="s">
        <v>33892</v>
      </c>
      <c r="V1694">
        <f>-593.365175891232 -31.7879410355831 -233.986410636169</f>
        <v>-859.13952756298409</v>
      </c>
      <c r="W1694" t="s">
        <v>33893</v>
      </c>
      <c r="X1694" t="s">
        <v>33894</v>
      </c>
      <c r="Y1694" t="s">
        <v>33895</v>
      </c>
    </row>
    <row r="1695" spans="1:25" x14ac:dyDescent="0.3">
      <c r="A1695">
        <v>84700</v>
      </c>
      <c r="B1695" t="s">
        <v>33896</v>
      </c>
      <c r="C1695" t="s">
        <v>33897</v>
      </c>
      <c r="D1695" t="s">
        <v>33898</v>
      </c>
      <c r="E1695" t="s">
        <v>33899</v>
      </c>
      <c r="F1695" t="s">
        <v>33900</v>
      </c>
      <c r="G1695" t="s">
        <v>33901</v>
      </c>
      <c r="H1695">
        <f>-590.752356535151 -7.39250481357927 -843.043057991673</f>
        <v>-1441.1879193404034</v>
      </c>
      <c r="I1695">
        <f>-558.585768910192 -22.7147768886504 -938.507822231397</f>
        <v>-1519.8083680302393</v>
      </c>
      <c r="J1695" t="s">
        <v>33902</v>
      </c>
      <c r="K1695" t="s">
        <v>33903</v>
      </c>
      <c r="L1695" t="s">
        <v>33904</v>
      </c>
      <c r="M1695" t="s">
        <v>33905</v>
      </c>
      <c r="N1695">
        <f>-602.727183784426 -25.4607067556327 -771.747571225943</f>
        <v>-1399.9354617660017</v>
      </c>
      <c r="O1695">
        <f>-627.285820348726 -162.816128495696 -725.387814882769</f>
        <v>-1515.4897637271911</v>
      </c>
      <c r="P1695">
        <f>-618.420161140979 -145.410263223636 -409.46915219191</f>
        <v>-1173.2995765565249</v>
      </c>
      <c r="Q1695">
        <f>-375.420072898444 -65.599344076983 -456.620066601388</f>
        <v>-897.639483576815</v>
      </c>
      <c r="R1695" t="s">
        <v>33906</v>
      </c>
      <c r="S1695" t="s">
        <v>33907</v>
      </c>
      <c r="T1695" t="s">
        <v>33908</v>
      </c>
      <c r="U1695" t="s">
        <v>33909</v>
      </c>
      <c r="V1695">
        <f>-594.187291464473 -31.8883122695704 -234.032085546211</f>
        <v>-860.10768928025436</v>
      </c>
      <c r="W1695" t="s">
        <v>33910</v>
      </c>
      <c r="X1695" t="s">
        <v>33911</v>
      </c>
      <c r="Y1695" t="s">
        <v>33912</v>
      </c>
    </row>
    <row r="1696" spans="1:25" x14ac:dyDescent="0.3">
      <c r="A1696">
        <v>84750</v>
      </c>
      <c r="B1696" t="s">
        <v>33913</v>
      </c>
      <c r="C1696" t="s">
        <v>33914</v>
      </c>
      <c r="D1696" t="s">
        <v>33915</v>
      </c>
      <c r="E1696" t="s">
        <v>33916</v>
      </c>
      <c r="F1696" t="s">
        <v>33917</v>
      </c>
      <c r="G1696" t="s">
        <v>33918</v>
      </c>
      <c r="H1696">
        <f>-593.310674249339 -8.76819466014253 -842.992778195688</f>
        <v>-1445.0716471051694</v>
      </c>
      <c r="I1696">
        <f>-561.240978558508 -24.1892136215519 -938.474349676161</f>
        <v>-1523.9045418562209</v>
      </c>
      <c r="J1696" t="s">
        <v>33919</v>
      </c>
      <c r="K1696" t="s">
        <v>33920</v>
      </c>
      <c r="L1696" t="s">
        <v>33921</v>
      </c>
      <c r="M1696" t="s">
        <v>33922</v>
      </c>
      <c r="N1696">
        <f>-605.468693818469 -26.6159215843799 -771.672569373006</f>
        <v>-1403.757184775855</v>
      </c>
      <c r="O1696">
        <f>-630.469196326188 -163.804559283432 -724.980596981643</f>
        <v>-1519.2543525912629</v>
      </c>
      <c r="P1696">
        <f>-621.353424286653 -145.87064922157 -409.098592873782</f>
        <v>-1176.3226663820051</v>
      </c>
      <c r="Q1696">
        <f>-377.882180358704 -67.1794610203308 -455.697861718598</f>
        <v>-900.75950309763277</v>
      </c>
      <c r="R1696" t="s">
        <v>33923</v>
      </c>
      <c r="S1696" t="s">
        <v>33924</v>
      </c>
      <c r="T1696" t="s">
        <v>33925</v>
      </c>
      <c r="U1696" t="s">
        <v>33926</v>
      </c>
      <c r="V1696">
        <f>-595.253220752096 -32.5648353487412 -234.119687515149</f>
        <v>-861.93774361598616</v>
      </c>
      <c r="W1696" t="s">
        <v>33927</v>
      </c>
      <c r="X1696" t="s">
        <v>33928</v>
      </c>
      <c r="Y1696" t="s">
        <v>33929</v>
      </c>
    </row>
    <row r="1697" spans="1:25" x14ac:dyDescent="0.3">
      <c r="A1697">
        <v>84800</v>
      </c>
      <c r="B1697" t="s">
        <v>33930</v>
      </c>
      <c r="C1697" t="s">
        <v>33931</v>
      </c>
      <c r="D1697" t="s">
        <v>33932</v>
      </c>
      <c r="E1697" t="s">
        <v>33933</v>
      </c>
      <c r="F1697" t="s">
        <v>33934</v>
      </c>
      <c r="G1697" t="s">
        <v>33935</v>
      </c>
      <c r="H1697">
        <f>-593.370621038472 -9.49977770760636 -842.778678088642</f>
        <v>-1445.6490768347203</v>
      </c>
      <c r="I1697">
        <f>-561.29874111404 -24.9378442469907 -938.256488650214</f>
        <v>-1524.4930740112447</v>
      </c>
      <c r="J1697" t="s">
        <v>33936</v>
      </c>
      <c r="K1697" t="s">
        <v>33937</v>
      </c>
      <c r="L1697" t="s">
        <v>33938</v>
      </c>
      <c r="M1697" t="s">
        <v>33939</v>
      </c>
      <c r="N1697">
        <f>-605.656902718081 -27.2695989886436 -771.461020927223</f>
        <v>-1404.3875226339476</v>
      </c>
      <c r="O1697">
        <f>-630.669777109827 -164.427205523896 -724.674927734874</f>
        <v>-1519.771910368597</v>
      </c>
      <c r="P1697">
        <f>-621.867792102405 -146.344516254101 -408.792433303995</f>
        <v>-1177.0047416605009</v>
      </c>
      <c r="Q1697">
        <f>-378.119701899913 -68.2223729940434 -454.899737014943</f>
        <v>-901.24181190889942</v>
      </c>
      <c r="R1697" t="s">
        <v>33940</v>
      </c>
      <c r="S1697" t="s">
        <v>33941</v>
      </c>
      <c r="T1697" t="s">
        <v>33942</v>
      </c>
      <c r="U1697" t="s">
        <v>33943</v>
      </c>
      <c r="V1697">
        <f>-595.481794331742 -32.8230507806861 -234.013761110236</f>
        <v>-862.31860622266413</v>
      </c>
      <c r="W1697" t="s">
        <v>33944</v>
      </c>
      <c r="X1697" t="s">
        <v>33945</v>
      </c>
      <c r="Y1697" t="s">
        <v>33946</v>
      </c>
    </row>
    <row r="1698" spans="1:25" x14ac:dyDescent="0.3">
      <c r="A1698">
        <v>84850</v>
      </c>
      <c r="B1698" t="s">
        <v>33947</v>
      </c>
      <c r="C1698" t="s">
        <v>33948</v>
      </c>
      <c r="D1698" t="s">
        <v>33949</v>
      </c>
      <c r="E1698" t="s">
        <v>33950</v>
      </c>
      <c r="F1698" t="s">
        <v>33951</v>
      </c>
      <c r="G1698" t="s">
        <v>33952</v>
      </c>
      <c r="H1698">
        <f>-594.434745138497 -10.3730738593514 -842.359374907278</f>
        <v>-1447.1671939051264</v>
      </c>
      <c r="I1698">
        <f>-562.446947861753 -25.7436716688496 -937.876458618051</f>
        <v>-1526.0670781486535</v>
      </c>
      <c r="J1698" t="s">
        <v>33953</v>
      </c>
      <c r="K1698" t="s">
        <v>33954</v>
      </c>
      <c r="L1698" t="s">
        <v>33955</v>
      </c>
      <c r="M1698" t="s">
        <v>33956</v>
      </c>
      <c r="N1698">
        <f>-606.801316840729 -28.2217631776661 -771.075473935762</f>
        <v>-1406.0985539541571</v>
      </c>
      <c r="O1698">
        <f>-631.641131163011 -165.504221271947 -724.565699241717</f>
        <v>-1521.711051676675</v>
      </c>
      <c r="P1698">
        <f>-623.479477940223 -147.570273836055 -408.657565458444</f>
        <v>-1179.707317234722</v>
      </c>
      <c r="Q1698">
        <f>-379.394524588125 -69.9205038085703 -453.769820609328</f>
        <v>-903.08484900602332</v>
      </c>
      <c r="R1698" t="s">
        <v>33957</v>
      </c>
      <c r="S1698" t="s">
        <v>33958</v>
      </c>
      <c r="T1698" t="s">
        <v>33959</v>
      </c>
      <c r="U1698" t="s">
        <v>33960</v>
      </c>
      <c r="V1698">
        <f>-595.079721141168 -33.6555175575595 -233.675094350635</f>
        <v>-862.41033304936241</v>
      </c>
      <c r="W1698" t="s">
        <v>33961</v>
      </c>
      <c r="X1698" t="s">
        <v>33962</v>
      </c>
      <c r="Y1698" t="s">
        <v>33963</v>
      </c>
    </row>
    <row r="1699" spans="1:25" x14ac:dyDescent="0.3">
      <c r="A1699">
        <v>84900</v>
      </c>
      <c r="B1699" t="s">
        <v>33964</v>
      </c>
      <c r="C1699" t="s">
        <v>33965</v>
      </c>
      <c r="D1699" t="s">
        <v>33966</v>
      </c>
      <c r="E1699" t="s">
        <v>33967</v>
      </c>
      <c r="F1699" t="s">
        <v>33968</v>
      </c>
      <c r="G1699" t="s">
        <v>33969</v>
      </c>
      <c r="H1699">
        <f>-595.075138377365 -10.7907882599231 -842.251048331779</f>
        <v>-1448.1169749690671</v>
      </c>
      <c r="I1699">
        <f>-563.082426046912 -26.1092227059678 -937.774708818163</f>
        <v>-1526.9663575710429</v>
      </c>
      <c r="J1699" t="s">
        <v>33970</v>
      </c>
      <c r="K1699" t="s">
        <v>33971</v>
      </c>
      <c r="L1699" t="s">
        <v>33972</v>
      </c>
      <c r="M1699" t="s">
        <v>33973</v>
      </c>
      <c r="N1699">
        <f>-607.447876916269 -28.7592127860257 -770.998219599644</f>
        <v>-1407.2053093019388</v>
      </c>
      <c r="O1699">
        <f>-632.164197247695 -166.149406770177 -724.735469788113</f>
        <v>-1523.049073805985</v>
      </c>
      <c r="P1699">
        <f>-624.032132288243 -148.480887158415 -408.8116363012</f>
        <v>-1181.3246557478581</v>
      </c>
      <c r="Q1699">
        <f>-379.863727908125 -70.8568540880253 -453.514672998627</f>
        <v>-904.23525499477728</v>
      </c>
      <c r="R1699" t="s">
        <v>33974</v>
      </c>
      <c r="S1699" t="s">
        <v>33975</v>
      </c>
      <c r="T1699" t="s">
        <v>33976</v>
      </c>
      <c r="U1699" t="s">
        <v>33977</v>
      </c>
      <c r="V1699">
        <f>-594.441391488484 -34.5709464161162 -233.538758450027</f>
        <v>-862.55109635462713</v>
      </c>
      <c r="W1699" t="s">
        <v>33978</v>
      </c>
      <c r="X1699" t="s">
        <v>33979</v>
      </c>
      <c r="Y1699" t="s">
        <v>33980</v>
      </c>
    </row>
    <row r="1700" spans="1:25" x14ac:dyDescent="0.3">
      <c r="A1700">
        <v>84950</v>
      </c>
      <c r="B1700" t="s">
        <v>33981</v>
      </c>
      <c r="C1700" t="s">
        <v>33982</v>
      </c>
      <c r="D1700" t="s">
        <v>33983</v>
      </c>
      <c r="E1700" t="s">
        <v>33984</v>
      </c>
      <c r="F1700" t="s">
        <v>33985</v>
      </c>
      <c r="G1700" t="s">
        <v>33986</v>
      </c>
      <c r="H1700">
        <f>-594.517070386383 -10.8535606215525 -842.131684576042</f>
        <v>-1447.5023155839774</v>
      </c>
      <c r="I1700">
        <f>-562.616534028239 -25.8194122455543 -937.742104181861</f>
        <v>-1526.1780504556543</v>
      </c>
      <c r="J1700" t="s">
        <v>33987</v>
      </c>
      <c r="K1700" t="s">
        <v>33988</v>
      </c>
      <c r="L1700" t="s">
        <v>33989</v>
      </c>
      <c r="M1700" t="s">
        <v>33990</v>
      </c>
      <c r="N1700">
        <f>-606.732491720569 -29.2203042700326 -770.953191533642</f>
        <v>-1406.9059875242435</v>
      </c>
      <c r="O1700">
        <f>-630.95480273903 -166.864440492338 -725.229449129397</f>
        <v>-1523.048692360765</v>
      </c>
      <c r="P1700">
        <f>-622.935742750105 -150.483681787366 -409.233208992965</f>
        <v>-1182.6526335304359</v>
      </c>
      <c r="Q1700">
        <f>-378.765270506736 -72.4035437449895 -453.123096195866</f>
        <v>-904.29191044759159</v>
      </c>
      <c r="R1700" t="s">
        <v>33991</v>
      </c>
      <c r="S1700" t="s">
        <v>33992</v>
      </c>
      <c r="T1700" t="s">
        <v>33993</v>
      </c>
      <c r="U1700" t="s">
        <v>33994</v>
      </c>
      <c r="V1700">
        <f>-593.120471989239 -36.5677777468453 -233.21580859448</f>
        <v>-862.90405833056434</v>
      </c>
      <c r="W1700" t="s">
        <v>33995</v>
      </c>
      <c r="X1700" t="s">
        <v>33996</v>
      </c>
      <c r="Y1700" t="s">
        <v>33997</v>
      </c>
    </row>
    <row r="1701" spans="1:25" x14ac:dyDescent="0.3">
      <c r="A1701">
        <v>85000</v>
      </c>
      <c r="B1701" t="s">
        <v>33998</v>
      </c>
      <c r="C1701" t="s">
        <v>33999</v>
      </c>
      <c r="D1701" t="s">
        <v>34000</v>
      </c>
      <c r="E1701" t="s">
        <v>34001</v>
      </c>
      <c r="F1701" t="s">
        <v>34002</v>
      </c>
      <c r="G1701" t="s">
        <v>34003</v>
      </c>
      <c r="H1701">
        <f>-593.871117394071 -10.6734266446742 -842.143991503231</f>
        <v>-1446.6885355419763</v>
      </c>
      <c r="I1701">
        <f>-562.108134277455 -25.4128023033446 -937.835406457232</f>
        <v>-1525.3563430380316</v>
      </c>
      <c r="J1701" t="s">
        <v>34004</v>
      </c>
      <c r="K1701" t="s">
        <v>34005</v>
      </c>
      <c r="L1701" t="s">
        <v>34006</v>
      </c>
      <c r="M1701" t="s">
        <v>34007</v>
      </c>
      <c r="N1701">
        <f>-605.996946073054 -29.2476450778649 -771.004128277823</f>
        <v>-1406.2487194287419</v>
      </c>
      <c r="O1701">
        <f>-629.961485774036 -167.048824377339 -725.604452099147</f>
        <v>-1522.6147622505218</v>
      </c>
      <c r="P1701">
        <f>-622.109201701958 -151.415572670231 -409.566175473608</f>
        <v>-1183.090949845797</v>
      </c>
      <c r="Q1701">
        <f>-378.030834718553 -72.9343882729788 -453.252605304492</f>
        <v>-904.21782829602387</v>
      </c>
      <c r="R1701" t="s">
        <v>34008</v>
      </c>
      <c r="S1701" t="s">
        <v>34009</v>
      </c>
      <c r="T1701" t="s">
        <v>34010</v>
      </c>
      <c r="U1701" t="s">
        <v>34011</v>
      </c>
      <c r="V1701">
        <f>-592.273654497712 -37.3949508666818 -233.065331329288</f>
        <v>-862.73393669368181</v>
      </c>
      <c r="W1701" t="s">
        <v>34012</v>
      </c>
      <c r="X1701" t="s">
        <v>34013</v>
      </c>
      <c r="Y1701" t="s">
        <v>34014</v>
      </c>
    </row>
    <row r="1702" spans="1:25" x14ac:dyDescent="0.3">
      <c r="A1702">
        <v>85050</v>
      </c>
      <c r="B1702" t="s">
        <v>34015</v>
      </c>
      <c r="C1702" t="s">
        <v>34016</v>
      </c>
      <c r="D1702" t="s">
        <v>34017</v>
      </c>
      <c r="E1702" t="s">
        <v>34018</v>
      </c>
      <c r="F1702" t="s">
        <v>34019</v>
      </c>
      <c r="G1702" t="s">
        <v>34020</v>
      </c>
      <c r="H1702">
        <f>-592.393239610471 -9.68081483538013 -842.493916399331</f>
        <v>-1444.5679708451821</v>
      </c>
      <c r="I1702">
        <f>-560.975120938669 -23.8542517316168 -938.384541501439</f>
        <v>-1523.2139141717248</v>
      </c>
      <c r="J1702" t="s">
        <v>34021</v>
      </c>
      <c r="K1702" t="s">
        <v>34022</v>
      </c>
      <c r="L1702" t="s">
        <v>34023</v>
      </c>
      <c r="M1702" t="s">
        <v>34024</v>
      </c>
      <c r="N1702">
        <f>-604.392099699713 -28.7397751011709 -771.460773356074</f>
        <v>-1404.5926481569579</v>
      </c>
      <c r="O1702">
        <f>-628.126884346881 -166.826953765628 -726.778980372467</f>
        <v>-1521.732818484976</v>
      </c>
      <c r="P1702">
        <f>-620.456996519952 -152.76911128658 -410.66227133665</f>
        <v>-1183.888379143182</v>
      </c>
      <c r="Q1702">
        <f>-376.669825365975 -73.2064123899441 -454.01683409655</f>
        <v>-903.89307185246912</v>
      </c>
      <c r="R1702" t="s">
        <v>34025</v>
      </c>
      <c r="S1702" t="s">
        <v>34026</v>
      </c>
      <c r="T1702" t="s">
        <v>34027</v>
      </c>
      <c r="U1702" t="s">
        <v>34028</v>
      </c>
      <c r="V1702">
        <f>-590.436807256344 -38.8409033925279 -232.943750336144</f>
        <v>-862.22146098501594</v>
      </c>
      <c r="W1702" t="s">
        <v>34029</v>
      </c>
      <c r="X1702" t="s">
        <v>34030</v>
      </c>
      <c r="Y1702" t="s">
        <v>34031</v>
      </c>
    </row>
    <row r="1703" spans="1:25" x14ac:dyDescent="0.3">
      <c r="A1703">
        <v>85100</v>
      </c>
      <c r="B1703" t="s">
        <v>34032</v>
      </c>
      <c r="C1703" t="s">
        <v>34033</v>
      </c>
      <c r="D1703" t="s">
        <v>34034</v>
      </c>
      <c r="E1703" t="s">
        <v>34035</v>
      </c>
      <c r="F1703" t="s">
        <v>34036</v>
      </c>
      <c r="G1703" t="s">
        <v>34037</v>
      </c>
      <c r="H1703">
        <f>-591.311781746195 -9.35153805335845 -842.586172430475</f>
        <v>-1443.2494922300284</v>
      </c>
      <c r="I1703">
        <f>-560.120156140798 -23.3263720575238 -938.579784884181</f>
        <v>-1522.0263130825028</v>
      </c>
      <c r="J1703" t="s">
        <v>34038</v>
      </c>
      <c r="K1703" t="s">
        <v>34039</v>
      </c>
      <c r="L1703" t="s">
        <v>34040</v>
      </c>
      <c r="M1703" t="s">
        <v>34041</v>
      </c>
      <c r="N1703">
        <f>-603.20882255285 -28.6012690906327 -771.587362606011</f>
        <v>-1403.3974542494939</v>
      </c>
      <c r="O1703">
        <f>-626.737650843947 -166.795683887406 -727.20973657909</f>
        <v>-1520.7430713104429</v>
      </c>
      <c r="P1703">
        <f>-618.981982914312 -153.572303700183 -411.059281571943</f>
        <v>-1183.613568186438</v>
      </c>
      <c r="Q1703">
        <f>-375.36733602709 -73.4340872242275 -454.323631908327</f>
        <v>-903.12505515964449</v>
      </c>
      <c r="R1703" t="s">
        <v>34042</v>
      </c>
      <c r="S1703" t="s">
        <v>34043</v>
      </c>
      <c r="T1703" t="s">
        <v>34044</v>
      </c>
      <c r="U1703" t="s">
        <v>34045</v>
      </c>
      <c r="V1703">
        <f>-589.57705636084 -39.4957020808652 -232.898976854725</f>
        <v>-861.9717352964301</v>
      </c>
      <c r="W1703" t="s">
        <v>34046</v>
      </c>
      <c r="X1703" t="s">
        <v>34047</v>
      </c>
      <c r="Y1703" t="s">
        <v>34048</v>
      </c>
    </row>
    <row r="1704" spans="1:25" x14ac:dyDescent="0.3">
      <c r="A1704">
        <v>85150</v>
      </c>
      <c r="B1704" t="s">
        <v>34049</v>
      </c>
      <c r="C1704" t="s">
        <v>34050</v>
      </c>
      <c r="D1704" t="s">
        <v>34051</v>
      </c>
      <c r="E1704" t="s">
        <v>34052</v>
      </c>
      <c r="F1704" t="s">
        <v>34053</v>
      </c>
      <c r="G1704" t="s">
        <v>34054</v>
      </c>
      <c r="H1704">
        <f>-589.480448262003 -9.28432160077188 -842.784859945215</f>
        <v>-1441.54962980799</v>
      </c>
      <c r="I1704">
        <f>-558.811842686139 -23.0182340370493 -938.98148359299</f>
        <v>-1520.8115603161782</v>
      </c>
      <c r="J1704" t="s">
        <v>34055</v>
      </c>
      <c r="K1704" t="s">
        <v>34056</v>
      </c>
      <c r="L1704" t="s">
        <v>34057</v>
      </c>
      <c r="M1704" t="s">
        <v>34058</v>
      </c>
      <c r="N1704">
        <f>-601.17307471323 -28.8118073733391 -771.827953853162</f>
        <v>-1401.812835939731</v>
      </c>
      <c r="O1704">
        <f>-624.661699109607 -167.170034371757 -727.868892087602</f>
        <v>-1519.700625568966</v>
      </c>
      <c r="P1704">
        <f>-616.295661272101 -155.334196812237 -411.67888990512</f>
        <v>-1183.308747989458</v>
      </c>
      <c r="Q1704">
        <f>-373.058556432404 -74.1582523627179 -455.132788258559</f>
        <v>-902.3495970536809</v>
      </c>
      <c r="R1704" t="s">
        <v>34059</v>
      </c>
      <c r="S1704" t="s">
        <v>34060</v>
      </c>
      <c r="T1704" t="s">
        <v>34061</v>
      </c>
      <c r="U1704" t="s">
        <v>34062</v>
      </c>
      <c r="V1704">
        <f>-587.445529657023 -40.7687484655316 -232.800405303235</f>
        <v>-861.01468342578971</v>
      </c>
      <c r="W1704" t="s">
        <v>34063</v>
      </c>
      <c r="X1704" t="s">
        <v>34064</v>
      </c>
      <c r="Y1704" t="s">
        <v>34065</v>
      </c>
    </row>
    <row r="1705" spans="1:25" x14ac:dyDescent="0.3">
      <c r="A1705">
        <v>85200</v>
      </c>
      <c r="B1705" t="s">
        <v>34066</v>
      </c>
      <c r="C1705" t="s">
        <v>34067</v>
      </c>
      <c r="D1705" t="s">
        <v>34068</v>
      </c>
      <c r="E1705" t="s">
        <v>34069</v>
      </c>
      <c r="F1705" t="s">
        <v>34070</v>
      </c>
      <c r="G1705" t="s">
        <v>34071</v>
      </c>
      <c r="H1705">
        <f>-588.02462196619 -9.40485910318455 -842.835964247936</f>
        <v>-1440.2654453173104</v>
      </c>
      <c r="I1705">
        <f>-557.57145146339 -23.0435672577101 -939.114621554344</f>
        <v>-1519.7296402754441</v>
      </c>
      <c r="J1705" t="s">
        <v>34072</v>
      </c>
      <c r="K1705" t="s">
        <v>34073</v>
      </c>
      <c r="L1705" t="s">
        <v>34074</v>
      </c>
      <c r="M1705" t="s">
        <v>34075</v>
      </c>
      <c r="N1705">
        <f>-599.633358142697 -29.018642223734 -771.889046368277</f>
        <v>-1400.5410467347081</v>
      </c>
      <c r="O1705">
        <f>-623.042835007033 -167.406531143593 -728.048098201701</f>
        <v>-1518.4974643523269</v>
      </c>
      <c r="P1705">
        <f>-614.290202821764 -155.852207595567 -411.858012242076</f>
        <v>-1182.0004226594069</v>
      </c>
      <c r="Q1705">
        <f>-371.155050018702 -74.4804182767407 -455.515705505499</f>
        <v>-901.15117380094171</v>
      </c>
      <c r="R1705" t="s">
        <v>34076</v>
      </c>
      <c r="S1705" t="s">
        <v>34077</v>
      </c>
      <c r="T1705" t="s">
        <v>34078</v>
      </c>
      <c r="U1705" t="s">
        <v>34079</v>
      </c>
      <c r="V1705">
        <f>-586.300303852968 -41.1485981832479 -232.753258872783</f>
        <v>-860.20216090899896</v>
      </c>
      <c r="W1705" t="s">
        <v>34080</v>
      </c>
      <c r="X1705" t="s">
        <v>34081</v>
      </c>
      <c r="Y1705" t="s">
        <v>34082</v>
      </c>
    </row>
    <row r="1706" spans="1:25" x14ac:dyDescent="0.3">
      <c r="A1706">
        <v>85250</v>
      </c>
      <c r="B1706" t="s">
        <v>34083</v>
      </c>
      <c r="C1706" t="s">
        <v>34084</v>
      </c>
      <c r="D1706" t="s">
        <v>34085</v>
      </c>
      <c r="E1706" t="s">
        <v>34086</v>
      </c>
      <c r="F1706" t="s">
        <v>34087</v>
      </c>
      <c r="G1706" t="s">
        <v>34088</v>
      </c>
      <c r="H1706">
        <f>-585.70807046045 -10.1226786194222 -842.782948096538</f>
        <v>-1438.6136971764104</v>
      </c>
      <c r="I1706">
        <f>-555.497766237482 -23.6866926130703 -939.148533270196</f>
        <v>-1518.3329921207483</v>
      </c>
      <c r="J1706" t="s">
        <v>34089</v>
      </c>
      <c r="K1706" t="s">
        <v>34090</v>
      </c>
      <c r="L1706" t="s">
        <v>34091</v>
      </c>
      <c r="M1706" t="s">
        <v>34092</v>
      </c>
      <c r="N1706">
        <f>-597.140724854193 -29.8085993099776 -771.827470710703</f>
        <v>-1398.7767948748735</v>
      </c>
      <c r="O1706">
        <f>-620.284358290506 -168.293052740538 -728.109526520633</f>
        <v>-1516.6869375516771</v>
      </c>
      <c r="P1706">
        <f>-610.762147854925 -157.155503945301 -411.926993554351</f>
        <v>-1179.8446453545771</v>
      </c>
      <c r="Q1706">
        <f>-367.905535225532 -75.3204694223748 -456.263512935139</f>
        <v>-899.48951758304577</v>
      </c>
      <c r="R1706" t="s">
        <v>34093</v>
      </c>
      <c r="S1706" t="s">
        <v>34094</v>
      </c>
      <c r="T1706" t="s">
        <v>34095</v>
      </c>
      <c r="U1706" t="s">
        <v>34096</v>
      </c>
      <c r="V1706">
        <f>-583.925122509462 -41.7050069533125 -232.536644337016</f>
        <v>-858.16677379979046</v>
      </c>
      <c r="W1706" t="s">
        <v>34097</v>
      </c>
      <c r="X1706" t="s">
        <v>34098</v>
      </c>
      <c r="Y1706" t="s">
        <v>34099</v>
      </c>
    </row>
    <row r="1707" spans="1:25" x14ac:dyDescent="0.3">
      <c r="A1707">
        <v>85300</v>
      </c>
      <c r="B1707" t="s">
        <v>34100</v>
      </c>
      <c r="C1707" t="s">
        <v>34101</v>
      </c>
      <c r="D1707" t="s">
        <v>34102</v>
      </c>
      <c r="E1707" t="s">
        <v>34103</v>
      </c>
      <c r="F1707" t="s">
        <v>34104</v>
      </c>
      <c r="G1707" t="s">
        <v>34105</v>
      </c>
      <c r="H1707">
        <f>-585.051715850961 -10.5914466886641 -842.781121344295</f>
        <v>-1438.42428388392</v>
      </c>
      <c r="I1707">
        <f>-554.932485357434 -24.1366354317821 -939.178072285365</f>
        <v>-1518.247193074581</v>
      </c>
      <c r="J1707" t="s">
        <v>34106</v>
      </c>
      <c r="K1707" t="s">
        <v>34107</v>
      </c>
      <c r="L1707" t="s">
        <v>34108</v>
      </c>
      <c r="M1707" t="s">
        <v>34109</v>
      </c>
      <c r="N1707">
        <f>-596.354726929696 -30.2909809682855 -771.80870433896</f>
        <v>-1398.4544122369414</v>
      </c>
      <c r="O1707">
        <f>-619.459238151943 -168.756968151999 -728.019513644789</f>
        <v>-1516.235719948731</v>
      </c>
      <c r="P1707">
        <f>-609.445316347972 -157.676305055222 -411.849963420341</f>
        <v>-1178.9715848235351</v>
      </c>
      <c r="Q1707">
        <f>-366.646767558873 -75.8424660101172 -456.506005532716</f>
        <v>-898.99523910170626</v>
      </c>
      <c r="R1707" t="s">
        <v>34110</v>
      </c>
      <c r="S1707" t="s">
        <v>34111</v>
      </c>
      <c r="T1707" t="s">
        <v>34112</v>
      </c>
      <c r="U1707" t="s">
        <v>34113</v>
      </c>
      <c r="V1707">
        <f>-582.561873238831 -41.9465089814548 -232.457974515838</f>
        <v>-856.96635673612388</v>
      </c>
      <c r="W1707" t="s">
        <v>34114</v>
      </c>
      <c r="X1707" t="s">
        <v>34115</v>
      </c>
      <c r="Y1707" t="s">
        <v>34116</v>
      </c>
    </row>
    <row r="1708" spans="1:25" x14ac:dyDescent="0.3">
      <c r="A1708">
        <v>85350</v>
      </c>
      <c r="B1708" t="s">
        <v>34117</v>
      </c>
      <c r="C1708" t="s">
        <v>34118</v>
      </c>
      <c r="D1708" t="s">
        <v>34119</v>
      </c>
      <c r="E1708" t="s">
        <v>34120</v>
      </c>
      <c r="F1708" t="s">
        <v>34121</v>
      </c>
      <c r="G1708" t="s">
        <v>34122</v>
      </c>
      <c r="H1708">
        <f>-583.26654218099 -11.7213460586053 -842.583039111562</f>
        <v>-1437.5709273511573</v>
      </c>
      <c r="I1708">
        <f>-553.287503426362 -25.3278416605573 -939.015014183029</f>
        <v>-1517.6303592699483</v>
      </c>
      <c r="J1708" t="s">
        <v>34123</v>
      </c>
      <c r="K1708" t="s">
        <v>34124</v>
      </c>
      <c r="L1708" t="s">
        <v>34125</v>
      </c>
      <c r="M1708" t="s">
        <v>34126</v>
      </c>
      <c r="N1708">
        <f>-594.293459141499 -31.3917399451038 -771.559035052697</f>
        <v>-1397.2442341392998</v>
      </c>
      <c r="O1708">
        <f>-617.146048083978 -169.84851791477 -727.606352168163</f>
        <v>-1514.600918166911</v>
      </c>
      <c r="P1708">
        <f>-606.391068170471 -158.820473403624 -411.459456916423</f>
        <v>-1176.6709984905181</v>
      </c>
      <c r="Q1708">
        <f>-363.831499495093 -76.8692359947909 -457.185697347668</f>
        <v>-897.88643283755187</v>
      </c>
      <c r="R1708" t="s">
        <v>34127</v>
      </c>
      <c r="S1708" t="s">
        <v>34128</v>
      </c>
      <c r="T1708" t="s">
        <v>34129</v>
      </c>
      <c r="U1708" t="s">
        <v>34130</v>
      </c>
      <c r="V1708">
        <f>-580.231714586242 -42.3994342597512 -232.206452865842</f>
        <v>-854.83760171183519</v>
      </c>
      <c r="W1708" t="s">
        <v>34131</v>
      </c>
      <c r="X1708" t="s">
        <v>34132</v>
      </c>
      <c r="Y1708" t="s">
        <v>34133</v>
      </c>
    </row>
    <row r="1709" spans="1:25" x14ac:dyDescent="0.3">
      <c r="A1709">
        <v>85400</v>
      </c>
      <c r="B1709" t="s">
        <v>34134</v>
      </c>
      <c r="C1709" t="s">
        <v>34135</v>
      </c>
      <c r="D1709" t="s">
        <v>34136</v>
      </c>
      <c r="E1709" t="s">
        <v>34137</v>
      </c>
      <c r="F1709" t="s">
        <v>34138</v>
      </c>
      <c r="G1709" t="s">
        <v>34139</v>
      </c>
      <c r="H1709">
        <f>-582.756217933368 -12.2381569747649 -842.555754422717</f>
        <v>-1437.5501293308498</v>
      </c>
      <c r="I1709">
        <f>-552.81489493099 -25.9005341721245 -938.991400839567</f>
        <v>-1517.7068299426815</v>
      </c>
      <c r="J1709" t="s">
        <v>34140</v>
      </c>
      <c r="K1709" t="s">
        <v>34141</v>
      </c>
      <c r="L1709" t="s">
        <v>34142</v>
      </c>
      <c r="M1709" t="s">
        <v>34143</v>
      </c>
      <c r="N1709">
        <f>-593.684526891403 -31.8602338300132 -771.503142221943</f>
        <v>-1397.0479029433591</v>
      </c>
      <c r="O1709">
        <f>-616.527163045887 -170.263749140942 -727.394249314142</f>
        <v>-1514.1851615009709</v>
      </c>
      <c r="P1709">
        <f>-605.40175276736 -159.144979480309 -411.263245705439</f>
        <v>-1175.809977953108</v>
      </c>
      <c r="Q1709">
        <f>-362.919087900032 -77.2458022637706 -457.4880591296</f>
        <v>-897.65294929340257</v>
      </c>
      <c r="R1709" t="s">
        <v>34144</v>
      </c>
      <c r="S1709" t="s">
        <v>34145</v>
      </c>
      <c r="T1709" t="s">
        <v>34146</v>
      </c>
      <c r="U1709" t="s">
        <v>34147</v>
      </c>
      <c r="V1709">
        <f>-579.24931991022 -42.6854460768529 -232.170935784927</f>
        <v>-854.10570177199997</v>
      </c>
      <c r="W1709" t="s">
        <v>34148</v>
      </c>
      <c r="X1709" t="s">
        <v>34149</v>
      </c>
      <c r="Y1709" t="s">
        <v>34150</v>
      </c>
    </row>
    <row r="1710" spans="1:25" x14ac:dyDescent="0.3">
      <c r="A1710">
        <v>85450</v>
      </c>
      <c r="B1710" t="s">
        <v>34151</v>
      </c>
      <c r="C1710" t="s">
        <v>34152</v>
      </c>
      <c r="D1710" t="s">
        <v>34153</v>
      </c>
      <c r="E1710" t="s">
        <v>34154</v>
      </c>
      <c r="F1710" t="s">
        <v>34155</v>
      </c>
      <c r="G1710" t="s">
        <v>34156</v>
      </c>
      <c r="H1710">
        <f>-581.327574934212 -13.647566518977 -842.573222852218</f>
        <v>-1437.5483643054069</v>
      </c>
      <c r="I1710">
        <f>-551.524977418024 -27.4545881856124 -939.031280418223</f>
        <v>-1518.0108460218594</v>
      </c>
      <c r="J1710" t="s">
        <v>34157</v>
      </c>
      <c r="K1710" t="s">
        <v>34158</v>
      </c>
      <c r="L1710" t="s">
        <v>34159</v>
      </c>
      <c r="M1710" t="s">
        <v>34160</v>
      </c>
      <c r="N1710">
        <f>-592.064175650083 -33.1811853732038 -771.467034295292</f>
        <v>-1396.7123953185787</v>
      </c>
      <c r="O1710">
        <f>-614.859166825295 -171.50740922048 -727.076888794805</f>
        <v>-1513.44346484058</v>
      </c>
      <c r="P1710">
        <f>-602.919117658118 -160.071163250886 -410.986866050167</f>
        <v>-1173.977146959171</v>
      </c>
      <c r="Q1710">
        <f>-360.600084881052 -78.0425938204181 -457.836154220604</f>
        <v>-896.47883292207416</v>
      </c>
      <c r="R1710" t="s">
        <v>34161</v>
      </c>
      <c r="S1710" t="s">
        <v>34162</v>
      </c>
      <c r="T1710" t="s">
        <v>34163</v>
      </c>
      <c r="U1710" t="s">
        <v>34164</v>
      </c>
      <c r="V1710">
        <f>-577.821508672646 -43.3556307120446 -232.075443059042</f>
        <v>-853.25258244373254</v>
      </c>
      <c r="W1710" t="s">
        <v>34165</v>
      </c>
      <c r="X1710" t="s">
        <v>34166</v>
      </c>
      <c r="Y1710" t="s">
        <v>34167</v>
      </c>
    </row>
    <row r="1711" spans="1:25" x14ac:dyDescent="0.3">
      <c r="A1711">
        <v>85500</v>
      </c>
      <c r="B1711" t="s">
        <v>34168</v>
      </c>
      <c r="C1711" t="s">
        <v>34169</v>
      </c>
      <c r="D1711" t="s">
        <v>34170</v>
      </c>
      <c r="E1711" t="s">
        <v>34171</v>
      </c>
      <c r="F1711" t="s">
        <v>34172</v>
      </c>
      <c r="G1711" t="s">
        <v>34173</v>
      </c>
      <c r="H1711">
        <f>-580.785256512501 -14.4288455200255 -842.589838876778</f>
        <v>-1437.8039409093044</v>
      </c>
      <c r="I1711">
        <f>-551.006081339621 -28.2886675578275 -939.04749957074</f>
        <v>-1518.3422484681885</v>
      </c>
      <c r="J1711" t="s">
        <v>34174</v>
      </c>
      <c r="K1711" t="s">
        <v>34175</v>
      </c>
      <c r="L1711" t="s">
        <v>34176</v>
      </c>
      <c r="M1711" t="s">
        <v>34177</v>
      </c>
      <c r="N1711">
        <f>-591.504976549937 -33.9182680267779 -771.468946827638</f>
        <v>-1396.8921914043531</v>
      </c>
      <c r="O1711">
        <f>-614.398506531562 -172.175315005321 -726.93299531062</f>
        <v>-1513.5068168475032</v>
      </c>
      <c r="P1711">
        <f>-602.306243916697 -160.692991525575 -410.850637946357</f>
        <v>-1173.849873388629</v>
      </c>
      <c r="Q1711">
        <f>-360.162267140346 -78.3464245012957 -458.045756573781</f>
        <v>-896.55444821542267</v>
      </c>
      <c r="R1711" t="s">
        <v>34178</v>
      </c>
      <c r="S1711" t="s">
        <v>34179</v>
      </c>
      <c r="T1711" t="s">
        <v>34180</v>
      </c>
      <c r="U1711" t="s">
        <v>34181</v>
      </c>
      <c r="V1711">
        <f>-577.315923959368 -43.8076466259757 -232.064297377719</f>
        <v>-853.18786796306267</v>
      </c>
      <c r="W1711" t="s">
        <v>34182</v>
      </c>
      <c r="X1711" t="s">
        <v>34183</v>
      </c>
      <c r="Y1711" t="s">
        <v>34184</v>
      </c>
    </row>
    <row r="1712" spans="1:25" x14ac:dyDescent="0.3">
      <c r="A1712">
        <v>85550</v>
      </c>
      <c r="B1712" t="s">
        <v>34185</v>
      </c>
      <c r="C1712" t="s">
        <v>34186</v>
      </c>
      <c r="D1712" t="s">
        <v>34187</v>
      </c>
      <c r="E1712" t="s">
        <v>34188</v>
      </c>
      <c r="F1712" t="s">
        <v>34189</v>
      </c>
      <c r="G1712" t="s">
        <v>34190</v>
      </c>
      <c r="H1712">
        <f>-579.341221499474 -16.6508864861094 -842.549642131761</f>
        <v>-1438.5417501173442</v>
      </c>
      <c r="I1712">
        <f>-549.604055544151 -30.6827041784046 -938.99540488708</f>
        <v>-1519.2821646096356</v>
      </c>
      <c r="J1712" t="s">
        <v>34191</v>
      </c>
      <c r="K1712" t="s">
        <v>34192</v>
      </c>
      <c r="L1712" t="s">
        <v>34193</v>
      </c>
      <c r="M1712" t="s">
        <v>34194</v>
      </c>
      <c r="N1712">
        <f>-590.119357149372 -35.9565694718174 -771.387575709652</f>
        <v>-1397.4635023308415</v>
      </c>
      <c r="O1712">
        <f>-613.149690090746 -174.113870072813 -726.608582104178</f>
        <v>-1513.8721422677372</v>
      </c>
      <c r="P1712">
        <f>-600.866426770936 -162.158174024939 -410.551052629188</f>
        <v>-1173.5756534250629</v>
      </c>
      <c r="Q1712">
        <f>-358.864147405814 -79.3417239699065 -457.650669611536</f>
        <v>-895.85654098725649</v>
      </c>
      <c r="R1712" t="s">
        <v>34195</v>
      </c>
      <c r="S1712" t="s">
        <v>34196</v>
      </c>
      <c r="T1712" t="s">
        <v>34197</v>
      </c>
      <c r="U1712" t="s">
        <v>34198</v>
      </c>
      <c r="V1712">
        <f>-576.455546280946 -44.5701280162525 -232.007875619578</f>
        <v>-853.03354991677656</v>
      </c>
      <c r="W1712" t="s">
        <v>34199</v>
      </c>
      <c r="X1712" t="s">
        <v>34200</v>
      </c>
      <c r="Y1712" t="s">
        <v>34201</v>
      </c>
    </row>
    <row r="1713" spans="1:25" x14ac:dyDescent="0.3">
      <c r="A1713">
        <v>85600</v>
      </c>
      <c r="B1713" t="s">
        <v>34202</v>
      </c>
      <c r="C1713" t="s">
        <v>34203</v>
      </c>
      <c r="D1713" t="s">
        <v>34204</v>
      </c>
      <c r="E1713" t="s">
        <v>34205</v>
      </c>
      <c r="F1713" t="s">
        <v>34206</v>
      </c>
      <c r="G1713" t="s">
        <v>34207</v>
      </c>
      <c r="H1713">
        <f>-579.264575942327 -17.7823757016184 -842.55133366225</f>
        <v>-1439.5982853061955</v>
      </c>
      <c r="I1713">
        <f>-549.52944403851 -31.8554642153505 -938.991741490408</f>
        <v>-1520.3766497442684</v>
      </c>
      <c r="J1713" t="s">
        <v>34208</v>
      </c>
      <c r="K1713" t="s">
        <v>34209</v>
      </c>
      <c r="L1713" t="s">
        <v>34210</v>
      </c>
      <c r="M1713" t="s">
        <v>34211</v>
      </c>
      <c r="N1713">
        <f>-590.107161241792 -37.0273906732438 -771.382631554083</f>
        <v>-1398.5171834691187</v>
      </c>
      <c r="O1713">
        <f>-613.294087274817 -175.139075399869 -726.531835782273</f>
        <v>-1514.9649984569589</v>
      </c>
      <c r="P1713">
        <f>-601.197277832508 -163.006479449721 -410.473820199782</f>
        <v>-1174.677577482011</v>
      </c>
      <c r="Q1713">
        <f>-359.239642831689 -79.9014101013233 -457.293630024937</f>
        <v>-896.43468295794924</v>
      </c>
      <c r="R1713" t="s">
        <v>34212</v>
      </c>
      <c r="S1713" t="s">
        <v>34213</v>
      </c>
      <c r="T1713" t="s">
        <v>34214</v>
      </c>
      <c r="U1713" t="s">
        <v>34215</v>
      </c>
      <c r="V1713">
        <f>-576.131028317964 -45.1667666731943 -231.986628094717</f>
        <v>-853.28442308587523</v>
      </c>
      <c r="W1713" t="s">
        <v>34216</v>
      </c>
      <c r="X1713" t="s">
        <v>34217</v>
      </c>
      <c r="Y1713" t="s">
        <v>34218</v>
      </c>
    </row>
    <row r="1714" spans="1:25" x14ac:dyDescent="0.3">
      <c r="A1714">
        <v>85650</v>
      </c>
      <c r="B1714" t="s">
        <v>34219</v>
      </c>
      <c r="C1714" t="s">
        <v>34220</v>
      </c>
      <c r="D1714" t="s">
        <v>34221</v>
      </c>
      <c r="E1714" t="s">
        <v>34222</v>
      </c>
      <c r="F1714" t="s">
        <v>34223</v>
      </c>
      <c r="G1714" t="s">
        <v>34224</v>
      </c>
      <c r="H1714">
        <f>-578.682799826728 -19.3343294200779 -842.44213987844</f>
        <v>-1440.459269125246</v>
      </c>
      <c r="I1714">
        <f>-548.907941444891 -33.4378448691106 -938.865843335015</f>
        <v>-1521.2116296490167</v>
      </c>
      <c r="J1714" t="s">
        <v>34225</v>
      </c>
      <c r="K1714" t="s">
        <v>34226</v>
      </c>
      <c r="L1714" t="s">
        <v>34227</v>
      </c>
      <c r="M1714" t="s">
        <v>34228</v>
      </c>
      <c r="N1714">
        <f>-589.581815533332 -38.5232327944425 -771.266971064235</f>
        <v>-1399.3720193920094</v>
      </c>
      <c r="O1714">
        <f>-612.878646648143 -176.62084699882 -726.386287298633</f>
        <v>-1515.8857809455958</v>
      </c>
      <c r="P1714">
        <f>-601.428937875708 -164.493975371662 -410.303810135367</f>
        <v>-1176.226723382737</v>
      </c>
      <c r="Q1714">
        <f>-359.501974938084 -80.8605770566722 -456.334792743696</f>
        <v>-896.69734473845222</v>
      </c>
      <c r="R1714" t="s">
        <v>34229</v>
      </c>
      <c r="S1714" t="s">
        <v>34230</v>
      </c>
      <c r="T1714" t="s">
        <v>34231</v>
      </c>
      <c r="U1714" t="s">
        <v>34232</v>
      </c>
      <c r="V1714">
        <f>-575.93223892219 -46.1115052359193 -231.905816212763</f>
        <v>-853.94956037087218</v>
      </c>
      <c r="W1714" t="s">
        <v>34233</v>
      </c>
      <c r="X1714" t="s">
        <v>34234</v>
      </c>
      <c r="Y1714" t="s">
        <v>34235</v>
      </c>
    </row>
    <row r="1715" spans="1:25" x14ac:dyDescent="0.3">
      <c r="A1715">
        <v>85700</v>
      </c>
      <c r="B1715" t="s">
        <v>34236</v>
      </c>
      <c r="C1715" t="s">
        <v>34237</v>
      </c>
      <c r="D1715" t="s">
        <v>34238</v>
      </c>
      <c r="E1715" t="s">
        <v>34239</v>
      </c>
      <c r="F1715" t="s">
        <v>34240</v>
      </c>
      <c r="G1715" t="s">
        <v>34241</v>
      </c>
      <c r="H1715">
        <f>-578.547250818137 -20.0314361120851 -842.368401261589</f>
        <v>-1440.947088191811</v>
      </c>
      <c r="I1715">
        <f>-548.725558107905 -34.1117910964286 -938.780988877386</f>
        <v>-1521.6183380817197</v>
      </c>
      <c r="J1715" t="s">
        <v>34242</v>
      </c>
      <c r="K1715" t="s">
        <v>34243</v>
      </c>
      <c r="L1715" t="s">
        <v>34244</v>
      </c>
      <c r="M1715" t="s">
        <v>34245</v>
      </c>
      <c r="N1715">
        <f>-589.490025691928 -39.2331280694144 -771.203364949682</f>
        <v>-1399.9265187110245</v>
      </c>
      <c r="O1715">
        <f>-612.684183299278 -177.351406595567 -726.359119845609</f>
        <v>-1516.3947097404539</v>
      </c>
      <c r="P1715">
        <f>-601.66085528711 -165.046551609301 -410.268532471443</f>
        <v>-1176.9759393678542</v>
      </c>
      <c r="Q1715">
        <f>-359.773143910655 -81.1491206041871 -456.024794299412</f>
        <v>-896.94705881425409</v>
      </c>
      <c r="R1715" t="s">
        <v>34246</v>
      </c>
      <c r="S1715" t="s">
        <v>34247</v>
      </c>
      <c r="T1715" t="s">
        <v>34248</v>
      </c>
      <c r="U1715" t="s">
        <v>34249</v>
      </c>
      <c r="V1715">
        <f>-576.056867632815 -46.8466619062413 -231.887974192907</f>
        <v>-854.7915037319633</v>
      </c>
      <c r="W1715" t="s">
        <v>34250</v>
      </c>
      <c r="X1715" t="s">
        <v>34251</v>
      </c>
      <c r="Y1715" t="s">
        <v>34252</v>
      </c>
    </row>
    <row r="1716" spans="1:25" x14ac:dyDescent="0.3">
      <c r="A1716">
        <v>85750</v>
      </c>
      <c r="B1716" t="s">
        <v>34253</v>
      </c>
      <c r="C1716" t="s">
        <v>34254</v>
      </c>
      <c r="D1716" t="s">
        <v>34255</v>
      </c>
      <c r="E1716" t="s">
        <v>34256</v>
      </c>
      <c r="F1716" t="s">
        <v>34257</v>
      </c>
      <c r="G1716" t="s">
        <v>34258</v>
      </c>
      <c r="H1716">
        <f>-578.712634732019 -20.6903852302934 -842.361442037477</f>
        <v>-1441.7644619997893</v>
      </c>
      <c r="I1716">
        <f>-548.709377289338 -34.6260631878394 -938.738698831606</f>
        <v>-1522.0741393087833</v>
      </c>
      <c r="J1716" t="s">
        <v>34259</v>
      </c>
      <c r="K1716" t="s">
        <v>34260</v>
      </c>
      <c r="L1716" t="s">
        <v>34261</v>
      </c>
      <c r="M1716" t="s">
        <v>34262</v>
      </c>
      <c r="N1716">
        <f>-589.688966129304 -39.9728192211272 -771.223318651411</f>
        <v>-1400.8851040018421</v>
      </c>
      <c r="O1716">
        <f>-612.665126812374 -178.142749529008 -726.453362690592</f>
        <v>-1517.2612390319741</v>
      </c>
      <c r="P1716">
        <f>-601.974484213654 -165.912597620177 -410.348471528511</f>
        <v>-1178.235553362342</v>
      </c>
      <c r="Q1716">
        <f>-360.209024813364 -81.3836319506595 -455.585612494013</f>
        <v>-897.17826925803649</v>
      </c>
      <c r="R1716" t="s">
        <v>34263</v>
      </c>
      <c r="S1716" t="s">
        <v>34264</v>
      </c>
      <c r="T1716" t="s">
        <v>34265</v>
      </c>
      <c r="U1716" t="s">
        <v>34266</v>
      </c>
      <c r="V1716">
        <f>-576.862646091701 -48.1998169703875 -231.876390346758</f>
        <v>-856.9388534088464</v>
      </c>
      <c r="W1716" t="s">
        <v>34267</v>
      </c>
      <c r="X1716" t="s">
        <v>34268</v>
      </c>
      <c r="Y1716" t="s">
        <v>34269</v>
      </c>
    </row>
    <row r="1717" spans="1:25" x14ac:dyDescent="0.3">
      <c r="A1717">
        <v>85800</v>
      </c>
      <c r="B1717" t="s">
        <v>34270</v>
      </c>
      <c r="C1717" t="s">
        <v>34271</v>
      </c>
      <c r="D1717" t="s">
        <v>34272</v>
      </c>
      <c r="E1717" t="s">
        <v>34273</v>
      </c>
      <c r="F1717" t="s">
        <v>34274</v>
      </c>
      <c r="G1717" t="s">
        <v>34275</v>
      </c>
      <c r="H1717">
        <f>-579.081979580711 -21.2062291563859 -842.319326687234</f>
        <v>-1442.607535424331</v>
      </c>
      <c r="I1717">
        <f>-548.965250271262 -35.1043982613775 -938.666642513159</f>
        <v>-1522.7362910457985</v>
      </c>
      <c r="J1717" t="s">
        <v>34276</v>
      </c>
      <c r="K1717" t="s">
        <v>34277</v>
      </c>
      <c r="L1717" t="s">
        <v>34278</v>
      </c>
      <c r="M1717" t="s">
        <v>34279</v>
      </c>
      <c r="N1717">
        <f>-590.087432203599 -40.4891929788969 -771.18591531348</f>
        <v>-1401.7625404959758</v>
      </c>
      <c r="O1717">
        <f>-613.079084184337 -178.654007187504 -726.452808197072</f>
        <v>-1518.1858995689131</v>
      </c>
      <c r="P1717">
        <f>-602.44292668471 -166.320478737066 -410.350125195093</f>
        <v>-1179.113530616869</v>
      </c>
      <c r="Q1717">
        <f>-360.708770407063 -81.6667905903587 -455.520917834875</f>
        <v>-897.89647883229668</v>
      </c>
      <c r="R1717" t="s">
        <v>34280</v>
      </c>
      <c r="S1717" t="s">
        <v>34281</v>
      </c>
      <c r="T1717" t="s">
        <v>34282</v>
      </c>
      <c r="U1717" t="s">
        <v>34283</v>
      </c>
      <c r="V1717">
        <f>-577.421766656776 -48.9385352984151 -231.889036000751</f>
        <v>-858.24933795594211</v>
      </c>
      <c r="W1717" t="s">
        <v>34284</v>
      </c>
      <c r="X1717" t="s">
        <v>34285</v>
      </c>
      <c r="Y1717" t="s">
        <v>34286</v>
      </c>
    </row>
    <row r="1718" spans="1:25" x14ac:dyDescent="0.3">
      <c r="A1718">
        <v>85850</v>
      </c>
      <c r="B1718" t="s">
        <v>34287</v>
      </c>
      <c r="C1718" t="s">
        <v>34288</v>
      </c>
      <c r="D1718" t="s">
        <v>34289</v>
      </c>
      <c r="E1718" t="s">
        <v>34290</v>
      </c>
      <c r="F1718" t="s">
        <v>34291</v>
      </c>
      <c r="G1718" t="s">
        <v>34292</v>
      </c>
      <c r="H1718">
        <f>-578.889015718103 -22.2384798625046 -842.238435233676</f>
        <v>-1443.3659308142837</v>
      </c>
      <c r="I1718">
        <f>-548.534972675943 -36.1072910779912 -938.515586689443</f>
        <v>-1523.1578504433774</v>
      </c>
      <c r="J1718" t="s">
        <v>34293</v>
      </c>
      <c r="K1718" t="s">
        <v>34294</v>
      </c>
      <c r="L1718" t="s">
        <v>34295</v>
      </c>
      <c r="M1718" t="s">
        <v>34296</v>
      </c>
      <c r="N1718">
        <f>-590.011321812459 -41.4898858684981 -771.114784489943</f>
        <v>-1402.6159921709</v>
      </c>
      <c r="O1718">
        <f>-613.312472631746 -179.636310501453 -726.442787625135</f>
        <v>-1519.391570758334</v>
      </c>
      <c r="P1718">
        <f>-602.674251832516 -167.789891770002 -410.321565333381</f>
        <v>-1180.785708935899</v>
      </c>
      <c r="Q1718">
        <f>-361.057659175313 -82.9030015620221 -455.683079419701</f>
        <v>-899.64374015703606</v>
      </c>
      <c r="R1718" t="s">
        <v>34297</v>
      </c>
      <c r="S1718" t="s">
        <v>34298</v>
      </c>
      <c r="T1718" t="s">
        <v>34299</v>
      </c>
      <c r="U1718" t="s">
        <v>34300</v>
      </c>
      <c r="V1718">
        <f>-578.167949721846 -50.2488091130919 -231.901046735385</f>
        <v>-860.31780557032278</v>
      </c>
      <c r="W1718" t="s">
        <v>34301</v>
      </c>
      <c r="X1718" t="s">
        <v>34302</v>
      </c>
      <c r="Y1718" t="s">
        <v>34303</v>
      </c>
    </row>
    <row r="1719" spans="1:25" x14ac:dyDescent="0.3">
      <c r="A1719">
        <v>85900</v>
      </c>
      <c r="B1719" t="s">
        <v>34304</v>
      </c>
      <c r="C1719" t="s">
        <v>34305</v>
      </c>
      <c r="D1719" t="s">
        <v>34306</v>
      </c>
      <c r="E1719" t="s">
        <v>34307</v>
      </c>
      <c r="F1719" t="s">
        <v>34308</v>
      </c>
      <c r="G1719" t="s">
        <v>34309</v>
      </c>
      <c r="H1719">
        <f>-579.072032336076 -22.5524300347059 -842.139948782327</f>
        <v>-1443.764411153109</v>
      </c>
      <c r="I1719">
        <f>-548.610345566403 -36.4306712473727 -938.381655579985</f>
        <v>-1523.4226723937609</v>
      </c>
      <c r="J1719" t="s">
        <v>34310</v>
      </c>
      <c r="K1719" t="s">
        <v>34311</v>
      </c>
      <c r="L1719" t="s">
        <v>34312</v>
      </c>
      <c r="M1719" t="s">
        <v>34313</v>
      </c>
      <c r="N1719">
        <f>-590.258227536246 -41.7976314744605 -771.024480279392</f>
        <v>-1403.0803392900984</v>
      </c>
      <c r="O1719">
        <f>-613.717830587776 -179.931802213813 -726.353477084559</f>
        <v>-1520.003109886148</v>
      </c>
      <c r="P1719">
        <f>-603.150934672769 -168.287450349244 -410.222263822246</f>
        <v>-1181.6606488442592</v>
      </c>
      <c r="Q1719">
        <f>-361.501845171477 -83.5268398373175 -455.646953220593</f>
        <v>-900.67563822938746</v>
      </c>
      <c r="R1719" t="s">
        <v>34314</v>
      </c>
      <c r="S1719" t="s">
        <v>34315</v>
      </c>
      <c r="T1719" t="s">
        <v>34316</v>
      </c>
      <c r="U1719" t="s">
        <v>34317</v>
      </c>
      <c r="V1719">
        <f>-578.531378087621 -50.9473763063101 -231.887483084843</f>
        <v>-861.366237478774</v>
      </c>
      <c r="W1719" t="s">
        <v>34318</v>
      </c>
      <c r="X1719" t="s">
        <v>34319</v>
      </c>
      <c r="Y1719" t="s">
        <v>34320</v>
      </c>
    </row>
    <row r="1720" spans="1:25" x14ac:dyDescent="0.3">
      <c r="A1720">
        <v>85950</v>
      </c>
      <c r="B1720" t="s">
        <v>34321</v>
      </c>
      <c r="C1720" t="s">
        <v>34322</v>
      </c>
      <c r="D1720" t="s">
        <v>34323</v>
      </c>
      <c r="E1720" t="s">
        <v>34324</v>
      </c>
      <c r="F1720" t="s">
        <v>34325</v>
      </c>
      <c r="G1720" t="s">
        <v>34326</v>
      </c>
      <c r="H1720">
        <f>-579.170176529039 -22.0633482930104 -841.826022866804</f>
        <v>-1443.0595476888534</v>
      </c>
      <c r="I1720">
        <f>-548.531357502763 -35.9967148642197 -938.003541018106</f>
        <v>-1522.5316133850888</v>
      </c>
      <c r="J1720" t="s">
        <v>34327</v>
      </c>
      <c r="K1720" t="s">
        <v>34328</v>
      </c>
      <c r="L1720" t="s">
        <v>34329</v>
      </c>
      <c r="M1720" t="s">
        <v>34330</v>
      </c>
      <c r="N1720">
        <f>-590.458525341968 -41.2504651957626 -770.710968639483</f>
        <v>-1402.4199591772135</v>
      </c>
      <c r="O1720">
        <f>-614.301833515439 -179.312923793313 -726.043458951995</f>
        <v>-1519.6582162607469</v>
      </c>
      <c r="P1720">
        <f>-604.099446675112 -168.009872811889 -409.887878040423</f>
        <v>-1181.9971975274239</v>
      </c>
      <c r="Q1720">
        <f>-362.492194313767 -83.2665025869498 -455.566532018788</f>
        <v>-901.32522891950475</v>
      </c>
      <c r="R1720" t="s">
        <v>34331</v>
      </c>
      <c r="S1720" t="s">
        <v>34332</v>
      </c>
      <c r="T1720" t="s">
        <v>34333</v>
      </c>
      <c r="U1720" t="s">
        <v>34334</v>
      </c>
      <c r="V1720">
        <f>-578.980386057282 -52.0146536599765 -231.987896817289</f>
        <v>-862.98293653454743</v>
      </c>
      <c r="W1720" t="s">
        <v>34335</v>
      </c>
      <c r="X1720" t="s">
        <v>34336</v>
      </c>
      <c r="Y1720" t="s">
        <v>34337</v>
      </c>
    </row>
    <row r="1721" spans="1:25" x14ac:dyDescent="0.3">
      <c r="A1721">
        <v>86000</v>
      </c>
      <c r="B1721" t="s">
        <v>34338</v>
      </c>
      <c r="C1721" t="s">
        <v>34339</v>
      </c>
      <c r="D1721" t="s">
        <v>34340</v>
      </c>
      <c r="E1721" t="s">
        <v>34341</v>
      </c>
      <c r="F1721" t="s">
        <v>34342</v>
      </c>
      <c r="G1721" t="s">
        <v>34343</v>
      </c>
      <c r="H1721">
        <f>-578.922460349032 -21.1633497866732 -841.554984351656</f>
        <v>-1441.6407944873613</v>
      </c>
      <c r="I1721">
        <f>-548.18181782334 -35.1313782992264 -937.694894511484</f>
        <v>-1521.0080906340504</v>
      </c>
      <c r="J1721" t="s">
        <v>34344</v>
      </c>
      <c r="K1721" t="s">
        <v>34345</v>
      </c>
      <c r="L1721" t="s">
        <v>34346</v>
      </c>
      <c r="M1721" t="s">
        <v>34347</v>
      </c>
      <c r="N1721">
        <f>-590.264210096257 -40.3144454666691 -770.438699158535</f>
        <v>-1401.0173547214611</v>
      </c>
      <c r="O1721">
        <f>-614.272657472761 -178.363131710412 -725.756347362308</f>
        <v>-1518.3921365454812</v>
      </c>
      <c r="P1721">
        <f>-604.079500204716 -166.983630280757 -409.603287719973</f>
        <v>-1180.666418205446</v>
      </c>
      <c r="Q1721">
        <f>-362.405406586439 -82.3291602193878 -455.093337157844</f>
        <v>-899.82790396367091</v>
      </c>
      <c r="R1721" t="s">
        <v>34348</v>
      </c>
      <c r="S1721" t="s">
        <v>34349</v>
      </c>
      <c r="T1721" t="s">
        <v>34350</v>
      </c>
      <c r="U1721" t="s">
        <v>34351</v>
      </c>
      <c r="V1721">
        <f>-579.333781601329 -52.7250093705633 -232.196582392218</f>
        <v>-864.25537336411026</v>
      </c>
      <c r="W1721" t="s">
        <v>34352</v>
      </c>
      <c r="X1721" t="s">
        <v>34353</v>
      </c>
      <c r="Y1721" t="s">
        <v>34354</v>
      </c>
    </row>
    <row r="1722" spans="1:25" x14ac:dyDescent="0.3">
      <c r="A1722">
        <v>86050</v>
      </c>
      <c r="B1722" t="s">
        <v>34355</v>
      </c>
      <c r="C1722" t="s">
        <v>34356</v>
      </c>
      <c r="D1722" t="s">
        <v>34357</v>
      </c>
      <c r="E1722" t="s">
        <v>34358</v>
      </c>
      <c r="F1722" t="s">
        <v>34359</v>
      </c>
      <c r="G1722" t="s">
        <v>34360</v>
      </c>
      <c r="H1722">
        <f>-578.740273584372 -17.3275939873891 -840.442830391905</f>
        <v>-1436.5106979636662</v>
      </c>
      <c r="I1722">
        <f>-547.66128646779 -31.3457941296884 -936.46663648832</f>
        <v>-1515.4737170857984</v>
      </c>
      <c r="J1722" t="s">
        <v>34361</v>
      </c>
      <c r="K1722" t="s">
        <v>34362</v>
      </c>
      <c r="L1722" t="s">
        <v>34363</v>
      </c>
      <c r="M1722" t="s">
        <v>34364</v>
      </c>
      <c r="N1722">
        <f>-590.306692305301 -36.3529242100953 -769.328973608653</f>
        <v>-1395.9885901240493</v>
      </c>
      <c r="O1722">
        <f>-614.239606445081 -174.381991317529 -724.516806976395</f>
        <v>-1513.138404739005</v>
      </c>
      <c r="P1722">
        <f>-604.913467890073 -162.344259657065 -408.361371975832</f>
        <v>-1175.6190995229699</v>
      </c>
      <c r="Q1722">
        <f>-363.186525174369 -77.5972584812202 -453.395881460859</f>
        <v>-894.17966511644818</v>
      </c>
      <c r="R1722" t="s">
        <v>34365</v>
      </c>
      <c r="S1722" t="s">
        <v>34366</v>
      </c>
      <c r="T1722" t="s">
        <v>34367</v>
      </c>
      <c r="U1722" t="s">
        <v>34368</v>
      </c>
      <c r="V1722">
        <f>-580.606922263829 -53.6884821440256 -232.826351804896</f>
        <v>-867.1217562127506</v>
      </c>
      <c r="W1722" t="s">
        <v>34369</v>
      </c>
      <c r="X1722" t="s">
        <v>34370</v>
      </c>
      <c r="Y1722" t="s">
        <v>34371</v>
      </c>
    </row>
    <row r="1723" spans="1:25" x14ac:dyDescent="0.3">
      <c r="A1723">
        <v>86100</v>
      </c>
      <c r="B1723" t="s">
        <v>34372</v>
      </c>
      <c r="C1723" t="s">
        <v>34373</v>
      </c>
      <c r="D1723" t="s">
        <v>34374</v>
      </c>
      <c r="E1723" t="s">
        <v>34375</v>
      </c>
      <c r="F1723" t="s">
        <v>34376</v>
      </c>
      <c r="G1723" t="s">
        <v>34377</v>
      </c>
      <c r="H1723">
        <f>-578.459722104796 -13.9528288550884 -839.750738158529</f>
        <v>-1432.1632891184136</v>
      </c>
      <c r="I1723">
        <f>-547.137065410615 -28.016947645287 -935.688591292979</f>
        <v>-1510.8426043488812</v>
      </c>
      <c r="J1723" t="s">
        <v>34378</v>
      </c>
      <c r="K1723" t="s">
        <v>34379</v>
      </c>
      <c r="L1723" t="s">
        <v>34380</v>
      </c>
      <c r="M1723" t="s">
        <v>34381</v>
      </c>
      <c r="N1723">
        <f>-590.225981954833 -32.8573021031889 -768.637491700342</f>
        <v>-1391.7207757583637</v>
      </c>
      <c r="O1723">
        <f>-614.012858496404 -170.851136720644 -723.695300456617</f>
        <v>-1508.559295673665</v>
      </c>
      <c r="P1723">
        <f>-605.550716184659 -158.146020822456 -407.54160679584</f>
        <v>-1171.2383438029549</v>
      </c>
      <c r="Q1723">
        <f>-363.802230133804 -73.2927281573966 -452.258738325916</f>
        <v>-889.35369661711661</v>
      </c>
      <c r="R1723" t="s">
        <v>34382</v>
      </c>
      <c r="S1723" t="s">
        <v>34383</v>
      </c>
      <c r="T1723" t="s">
        <v>34384</v>
      </c>
      <c r="U1723" t="s">
        <v>34385</v>
      </c>
      <c r="V1723">
        <f>-581.529852823169 -52.7138575705627 -233.155298330065</f>
        <v>-867.39900872379667</v>
      </c>
      <c r="W1723" t="s">
        <v>34386</v>
      </c>
      <c r="X1723" t="s">
        <v>34387</v>
      </c>
      <c r="Y1723" t="s">
        <v>34388</v>
      </c>
    </row>
    <row r="1724" spans="1:25" x14ac:dyDescent="0.3">
      <c r="A1724">
        <v>86150</v>
      </c>
      <c r="B1724" t="s">
        <v>34389</v>
      </c>
      <c r="C1724" t="s">
        <v>34390</v>
      </c>
      <c r="D1724" t="s">
        <v>34391</v>
      </c>
      <c r="E1724" t="s">
        <v>34392</v>
      </c>
      <c r="F1724" t="s">
        <v>34393</v>
      </c>
      <c r="G1724" t="s">
        <v>34394</v>
      </c>
      <c r="H1724">
        <f>-577.512847536827 -10.983473285855 -838.338456285238</f>
        <v>-1426.83477710792</v>
      </c>
      <c r="I1724">
        <f>-545.595356283467 -25.3082660909037 -934.041359040281</f>
        <v>-1504.9449814146517</v>
      </c>
      <c r="J1724" t="s">
        <v>34395</v>
      </c>
      <c r="K1724" t="s">
        <v>34396</v>
      </c>
      <c r="L1724" t="s">
        <v>34397</v>
      </c>
      <c r="M1724" t="s">
        <v>34398</v>
      </c>
      <c r="N1724">
        <f>-589.674306299752 -29.5152709198834 -767.193618576482</f>
        <v>-1386.3831957961174</v>
      </c>
      <c r="O1724">
        <f>-612.755545838098 -167.389864386962 -721.636566444357</f>
        <v>-1501.781976669417</v>
      </c>
      <c r="P1724">
        <f>-606.436226325598 -152.174117528741 -405.543695610282</f>
        <v>-1164.1540394646211</v>
      </c>
      <c r="Q1724">
        <f>-364.410549942379 -67.6828228867187 -449.439029944103</f>
        <v>-881.53240277320072</v>
      </c>
      <c r="R1724" t="s">
        <v>34399</v>
      </c>
      <c r="S1724" t="s">
        <v>34400</v>
      </c>
      <c r="T1724" t="s">
        <v>34401</v>
      </c>
      <c r="U1724" t="s">
        <v>34402</v>
      </c>
      <c r="V1724">
        <f>-583.576510858202 -50.4438642733749 -233.399688800816</f>
        <v>-867.42006393239285</v>
      </c>
      <c r="W1724" t="s">
        <v>34403</v>
      </c>
      <c r="X1724" t="s">
        <v>34404</v>
      </c>
      <c r="Y1724" t="s">
        <v>34405</v>
      </c>
    </row>
    <row r="1725" spans="1:25" x14ac:dyDescent="0.3">
      <c r="A1725">
        <v>86200</v>
      </c>
      <c r="B1725" t="s">
        <v>34406</v>
      </c>
      <c r="C1725" t="s">
        <v>34407</v>
      </c>
      <c r="D1725" t="s">
        <v>34408</v>
      </c>
      <c r="E1725" t="s">
        <v>34409</v>
      </c>
      <c r="F1725" t="s">
        <v>34410</v>
      </c>
      <c r="G1725" t="s">
        <v>34411</v>
      </c>
      <c r="H1725">
        <f>-576.258481292715 -10.6786106907313 -838.039435936481</f>
        <v>-1424.9765279199273</v>
      </c>
      <c r="I1725">
        <f>-544.059381685851 -25.2115104723617 -933.616608957201</f>
        <v>-1502.8875011154137</v>
      </c>
      <c r="J1725" t="s">
        <v>34412</v>
      </c>
      <c r="K1725" t="s">
        <v>34413</v>
      </c>
      <c r="L1725" t="s">
        <v>34414</v>
      </c>
      <c r="M1725" t="s">
        <v>34415</v>
      </c>
      <c r="N1725">
        <f>-588.596450074632 -28.9904952783769 -766.868018868262</f>
        <v>-1384.454964221271</v>
      </c>
      <c r="O1725">
        <f>-611.485679749253 -166.786824956231 -720.937526144409</f>
        <v>-1499.210030849893</v>
      </c>
      <c r="P1725">
        <f>-606.166921936162 -149.92800701187 -404.909550781388</f>
        <v>-1161.0044797294199</v>
      </c>
      <c r="Q1725">
        <f>-363.946379761403 -65.9227315360045 -448.662986510882</f>
        <v>-878.53209780828956</v>
      </c>
      <c r="R1725" t="s">
        <v>34416</v>
      </c>
      <c r="S1725" t="s">
        <v>34417</v>
      </c>
      <c r="T1725" t="s">
        <v>34418</v>
      </c>
      <c r="U1725" t="s">
        <v>34419</v>
      </c>
      <c r="V1725">
        <f>-584.238602847966 -48.9812187008297 -233.485629856803</f>
        <v>-866.70545140559875</v>
      </c>
      <c r="W1725" t="s">
        <v>34420</v>
      </c>
      <c r="X1725" t="s">
        <v>34421</v>
      </c>
      <c r="Y1725" t="s">
        <v>34422</v>
      </c>
    </row>
    <row r="1726" spans="1:25" x14ac:dyDescent="0.3">
      <c r="A1726">
        <v>86250</v>
      </c>
      <c r="B1726" t="s">
        <v>34423</v>
      </c>
      <c r="C1726" t="s">
        <v>34424</v>
      </c>
      <c r="D1726" t="s">
        <v>34425</v>
      </c>
      <c r="E1726" t="s">
        <v>34426</v>
      </c>
      <c r="F1726" t="s">
        <v>34427</v>
      </c>
      <c r="G1726" t="s">
        <v>34428</v>
      </c>
      <c r="H1726">
        <f>-572.450255284359 -8.69531873420951 -837.809781723725</f>
        <v>-1418.9553557422935</v>
      </c>
      <c r="I1726">
        <f>-539.668883646874 -23.6640833499268 -933.121386199081</f>
        <v>-1496.4543531958818</v>
      </c>
      <c r="J1726" t="s">
        <v>34429</v>
      </c>
      <c r="K1726" t="s">
        <v>34430</v>
      </c>
      <c r="L1726" t="s">
        <v>34431</v>
      </c>
      <c r="M1726" t="s">
        <v>34432</v>
      </c>
      <c r="N1726">
        <f>-585.209952881319 -26.5651801782506 -766.600452803366</f>
        <v>-1378.3755858629356</v>
      </c>
      <c r="O1726">
        <f>-608.015497361636 -164.172523819529 -719.970557628062</f>
        <v>-1492.158578809227</v>
      </c>
      <c r="P1726">
        <f>-604.458840982009 -144.249706973833 -404.096195197892</f>
        <v>-1152.8047431537339</v>
      </c>
      <c r="Q1726">
        <f>-361.821934475513 -61.4970564467247 -447.930001325098</f>
        <v>-871.24899224733565</v>
      </c>
      <c r="R1726" t="s">
        <v>34433</v>
      </c>
      <c r="S1726" t="s">
        <v>34434</v>
      </c>
      <c r="T1726" t="s">
        <v>34435</v>
      </c>
      <c r="U1726" t="s">
        <v>34436</v>
      </c>
      <c r="V1726">
        <f>-584.374191825407 -44.1188299436951 -233.578150884789</f>
        <v>-862.07117265389115</v>
      </c>
      <c r="W1726" t="s">
        <v>34437</v>
      </c>
      <c r="X1726" t="s">
        <v>34438</v>
      </c>
      <c r="Y1726" t="s">
        <v>34439</v>
      </c>
    </row>
    <row r="1727" spans="1:25" x14ac:dyDescent="0.3">
      <c r="A1727">
        <v>86300</v>
      </c>
      <c r="B1727" t="s">
        <v>34440</v>
      </c>
      <c r="C1727" t="s">
        <v>34441</v>
      </c>
      <c r="D1727" t="s">
        <v>34442</v>
      </c>
      <c r="E1727" t="s">
        <v>34443</v>
      </c>
      <c r="F1727" t="s">
        <v>34444</v>
      </c>
      <c r="G1727" t="s">
        <v>34445</v>
      </c>
      <c r="H1727">
        <f>-570.790285493795 -6.78385364077974 -837.939128856172</f>
        <v>-1415.5132679907467</v>
      </c>
      <c r="I1727">
        <f>-537.820846897589 -21.938818695922 -933.156358359278</f>
        <v>-1492.9160239527891</v>
      </c>
      <c r="J1727" t="s">
        <v>34446</v>
      </c>
      <c r="K1727" t="s">
        <v>34447</v>
      </c>
      <c r="L1727" t="s">
        <v>34448</v>
      </c>
      <c r="M1727" t="s">
        <v>34449</v>
      </c>
      <c r="N1727">
        <f>-583.728652178525 -24.4646760067041 -766.714731728514</f>
        <v>-1374.908059913743</v>
      </c>
      <c r="O1727">
        <f>-606.833792015324 -161.886502760745 -719.820239311936</f>
        <v>-1488.540534088005</v>
      </c>
      <c r="P1727">
        <f>-603.914098880578 -140.678837236909 -404.022918522382</f>
        <v>-1148.615854639869</v>
      </c>
      <c r="Q1727">
        <f>-361.07576765616 -58.7268999554511 -448.24338159795</f>
        <v>-868.04604920956115</v>
      </c>
      <c r="R1727" t="s">
        <v>34450</v>
      </c>
      <c r="S1727" t="s">
        <v>34451</v>
      </c>
      <c r="T1727" t="s">
        <v>34452</v>
      </c>
      <c r="U1727" t="s">
        <v>34453</v>
      </c>
      <c r="V1727">
        <f>-583.835696019364 -40.5446911788092 -233.625634009191</f>
        <v>-858.00602120736426</v>
      </c>
      <c r="W1727" t="s">
        <v>34454</v>
      </c>
      <c r="X1727" t="s">
        <v>34455</v>
      </c>
      <c r="Y1727" t="s">
        <v>34456</v>
      </c>
    </row>
    <row r="1728" spans="1:25" x14ac:dyDescent="0.3">
      <c r="A1728">
        <v>86350</v>
      </c>
      <c r="B1728" t="s">
        <v>34457</v>
      </c>
      <c r="C1728" t="s">
        <v>34458</v>
      </c>
      <c r="D1728" t="s">
        <v>34459</v>
      </c>
      <c r="E1728" t="s">
        <v>34460</v>
      </c>
      <c r="F1728" t="s">
        <v>34461</v>
      </c>
      <c r="G1728" t="s">
        <v>34462</v>
      </c>
      <c r="H1728">
        <f>-568.16760426515 -2.91120478024024 -838.211449457472</f>
        <v>-1409.2902585028623</v>
      </c>
      <c r="I1728">
        <f>-535.135546945307 -18.5375246929807 -933.330656680676</f>
        <v>-1487.0037283189638</v>
      </c>
      <c r="J1728" t="s">
        <v>34463</v>
      </c>
      <c r="K1728" t="s">
        <v>34464</v>
      </c>
      <c r="L1728" t="s">
        <v>34465</v>
      </c>
      <c r="M1728" t="s">
        <v>34466</v>
      </c>
      <c r="N1728">
        <f>-581.325529684447 -20.2032161513977 -766.931813536367</f>
        <v>-1368.4605593722117</v>
      </c>
      <c r="O1728">
        <f>-605.236916888599 -157.429128409751 -719.794616363294</f>
        <v>-1482.4606616616441</v>
      </c>
      <c r="P1728">
        <f>-603.090983400996 -135.038797994903 -404.072805191825</f>
        <v>-1142.202586587724</v>
      </c>
      <c r="Q1728">
        <f>-359.602652790751 -55.4340341908763 -449.001176077179</f>
        <v>-864.03786305880635</v>
      </c>
      <c r="R1728" t="s">
        <v>34467</v>
      </c>
      <c r="S1728" t="s">
        <v>34468</v>
      </c>
      <c r="T1728" t="s">
        <v>34469</v>
      </c>
      <c r="U1728" t="s">
        <v>34470</v>
      </c>
      <c r="V1728">
        <f>-581.649911912387 -33.1102840264994 -233.605233413076</f>
        <v>-848.36542935196235</v>
      </c>
      <c r="W1728" t="s">
        <v>34471</v>
      </c>
      <c r="X1728" t="s">
        <v>34472</v>
      </c>
      <c r="Y1728" t="s">
        <v>34473</v>
      </c>
    </row>
    <row r="1729" spans="1:25" x14ac:dyDescent="0.3">
      <c r="A1729">
        <v>86400</v>
      </c>
      <c r="B1729" t="s">
        <v>34474</v>
      </c>
      <c r="C1729" t="s">
        <v>34475</v>
      </c>
      <c r="D1729" t="s">
        <v>34476</v>
      </c>
      <c r="E1729" t="s">
        <v>34477</v>
      </c>
      <c r="F1729" t="s">
        <v>34478</v>
      </c>
      <c r="G1729" t="s">
        <v>34479</v>
      </c>
      <c r="H1729" t="s">
        <v>34480</v>
      </c>
      <c r="I1729">
        <f>-534.697131463601 -15.4177278929422 -933.151017134862</f>
        <v>-1483.2658764914052</v>
      </c>
      <c r="J1729" t="s">
        <v>34481</v>
      </c>
      <c r="K1729" t="s">
        <v>34482</v>
      </c>
      <c r="L1729" t="s">
        <v>34483</v>
      </c>
      <c r="M1729" t="s">
        <v>34484</v>
      </c>
      <c r="N1729">
        <f>-580.735626989541 -16.6643359774772 -766.707584948717</f>
        <v>-1364.1075479157353</v>
      </c>
      <c r="O1729">
        <f>-605.185919143068 -153.776297144008 -719.531002297252</f>
        <v>-1478.4932185843281</v>
      </c>
      <c r="P1729">
        <f>-602.808373441552 -131.352575087567 -403.813212147849</f>
        <v>-1137.974160676968</v>
      </c>
      <c r="Q1729">
        <f>-359.036709861067 -52.9558023633758 -449.325812949713</f>
        <v>-861.3183251741558</v>
      </c>
      <c r="R1729" t="s">
        <v>34485</v>
      </c>
      <c r="S1729" t="s">
        <v>34486</v>
      </c>
      <c r="T1729" t="s">
        <v>34487</v>
      </c>
      <c r="U1729" t="s">
        <v>34488</v>
      </c>
      <c r="V1729">
        <f>-579.700983391156 -28.7970139319768 -233.467312651266</f>
        <v>-841.96530997439891</v>
      </c>
      <c r="W1729" t="s">
        <v>34489</v>
      </c>
      <c r="X1729" t="s">
        <v>34490</v>
      </c>
      <c r="Y1729" t="s">
        <v>34491</v>
      </c>
    </row>
    <row r="1730" spans="1:25" x14ac:dyDescent="0.3">
      <c r="A1730">
        <v>86450</v>
      </c>
      <c r="B1730" t="s">
        <v>34492</v>
      </c>
      <c r="C1730" t="s">
        <v>34493</v>
      </c>
      <c r="D1730" t="s">
        <v>34494</v>
      </c>
      <c r="E1730" t="s">
        <v>34495</v>
      </c>
      <c r="F1730" t="s">
        <v>34496</v>
      </c>
      <c r="G1730" t="s">
        <v>34497</v>
      </c>
      <c r="H1730" t="s">
        <v>34498</v>
      </c>
      <c r="I1730">
        <f>-534.13676759987 -6.34576313584215 -932.734729675044</f>
        <v>-1473.2172604107564</v>
      </c>
      <c r="J1730" t="s">
        <v>34499</v>
      </c>
      <c r="K1730" t="s">
        <v>34500</v>
      </c>
      <c r="L1730" t="s">
        <v>34501</v>
      </c>
      <c r="M1730" t="s">
        <v>34502</v>
      </c>
      <c r="N1730">
        <f>-579.273234253997 -7.15235025512518 -766.093228156137</f>
        <v>-1352.5188126652592</v>
      </c>
      <c r="O1730">
        <f>-604.810251221069 -144.060961077695 -718.96171063738</f>
        <v>-1467.8329229361439</v>
      </c>
      <c r="P1730">
        <f>-600.238064587306 -122.709300694592 -403.193880197121</f>
        <v>-1126.1412454790191</v>
      </c>
      <c r="Q1730">
        <f>-355.643792628705 -47.6786068926379 -449.949638020868</f>
        <v>-853.27203754221091</v>
      </c>
      <c r="R1730" t="s">
        <v>34503</v>
      </c>
      <c r="S1730" t="s">
        <v>34504</v>
      </c>
      <c r="T1730" t="s">
        <v>34505</v>
      </c>
      <c r="U1730" t="s">
        <v>34506</v>
      </c>
      <c r="V1730">
        <f>-574.417868749636 -19.6325676244107 -232.884630742227</f>
        <v>-826.93506711627379</v>
      </c>
      <c r="W1730" t="s">
        <v>34507</v>
      </c>
      <c r="X1730" t="s">
        <v>34508</v>
      </c>
      <c r="Y1730" t="s">
        <v>34509</v>
      </c>
    </row>
    <row r="1731" spans="1:25" x14ac:dyDescent="0.3">
      <c r="A1731">
        <v>86500</v>
      </c>
      <c r="B1731" t="s">
        <v>34510</v>
      </c>
      <c r="C1731" t="s">
        <v>34511</v>
      </c>
      <c r="D1731" t="s">
        <v>34512</v>
      </c>
      <c r="E1731" t="s">
        <v>34513</v>
      </c>
      <c r="F1731" t="s">
        <v>34514</v>
      </c>
      <c r="G1731" t="s">
        <v>34515</v>
      </c>
      <c r="H1731" t="s">
        <v>34516</v>
      </c>
      <c r="I1731">
        <f>-534.043634426508 -0.693441682989089 -932.92753006406</f>
        <v>-1467.6646061735569</v>
      </c>
      <c r="J1731" t="s">
        <v>34517</v>
      </c>
      <c r="K1731" t="s">
        <v>34518</v>
      </c>
      <c r="L1731" t="s">
        <v>34519</v>
      </c>
      <c r="M1731" t="s">
        <v>34520</v>
      </c>
      <c r="N1731">
        <f>-578.490536037422 -1.62181776746979 -766.148803737502</f>
        <v>-1346.2611575423939</v>
      </c>
      <c r="O1731">
        <f>-604.644691543059 -138.444989983256 -719.089076939275</f>
        <v>-1462.1787584655899</v>
      </c>
      <c r="P1731">
        <f>-598.262146020997 -117.816621649397 -403.304535379808</f>
        <v>-1119.3833030502019</v>
      </c>
      <c r="Q1731">
        <f>-353.211678410331 -44.4620126519545 -450.330384381494</f>
        <v>-848.00407544377958</v>
      </c>
      <c r="R1731" t="s">
        <v>34521</v>
      </c>
      <c r="S1731" t="s">
        <v>34522</v>
      </c>
      <c r="T1731" t="s">
        <v>34523</v>
      </c>
      <c r="U1731" t="s">
        <v>34524</v>
      </c>
      <c r="V1731">
        <f>-571.150022432322 -14.7006983109873 -232.357354585073</f>
        <v>-818.20807532838228</v>
      </c>
      <c r="W1731" t="s">
        <v>34525</v>
      </c>
      <c r="X1731" t="s">
        <v>34526</v>
      </c>
      <c r="Y1731" t="s">
        <v>34527</v>
      </c>
    </row>
    <row r="1732" spans="1:25" x14ac:dyDescent="0.3">
      <c r="A1732">
        <v>86550</v>
      </c>
      <c r="B1732" t="s">
        <v>34528</v>
      </c>
      <c r="C1732" t="s">
        <v>34529</v>
      </c>
      <c r="D1732" t="s">
        <v>34530</v>
      </c>
      <c r="E1732" t="s">
        <v>34531</v>
      </c>
      <c r="F1732" t="s">
        <v>34532</v>
      </c>
      <c r="G1732" t="s">
        <v>34533</v>
      </c>
      <c r="H1732" t="s">
        <v>34534</v>
      </c>
      <c r="I1732" t="s">
        <v>34535</v>
      </c>
      <c r="J1732" t="s">
        <v>34536</v>
      </c>
      <c r="K1732" t="s">
        <v>34537</v>
      </c>
      <c r="L1732" t="s">
        <v>34538</v>
      </c>
      <c r="M1732" t="s">
        <v>34539</v>
      </c>
      <c r="N1732" t="s">
        <v>34540</v>
      </c>
      <c r="O1732">
        <f>-605.724530886823 -127.350666033511 -724.77048383806</f>
        <v>-1457.8456807583941</v>
      </c>
      <c r="P1732">
        <f>-596.969442111888 -108.908021785719 -408.907600509897</f>
        <v>-1114.785064407504</v>
      </c>
      <c r="Q1732">
        <f>-351.330906178871 -37.6390889653759 -456.071936481287</f>
        <v>-845.04193162553383</v>
      </c>
      <c r="R1732" t="s">
        <v>34541</v>
      </c>
      <c r="S1732" t="s">
        <v>34542</v>
      </c>
      <c r="T1732" t="s">
        <v>34543</v>
      </c>
      <c r="U1732" t="s">
        <v>34544</v>
      </c>
      <c r="V1732">
        <f>-565.170713453035 -3.79768075291067 -233.726941436019</f>
        <v>-802.69533564196468</v>
      </c>
      <c r="W1732" t="s">
        <v>34545</v>
      </c>
      <c r="X1732" t="s">
        <v>34546</v>
      </c>
      <c r="Y1732" t="s">
        <v>34547</v>
      </c>
    </row>
    <row r="1733" spans="1:25" x14ac:dyDescent="0.3">
      <c r="A1733">
        <v>86600</v>
      </c>
      <c r="B1733" t="s">
        <v>34548</v>
      </c>
      <c r="C1733" t="s">
        <v>34549</v>
      </c>
      <c r="D1733" t="s">
        <v>34550</v>
      </c>
      <c r="E1733" t="s">
        <v>34551</v>
      </c>
      <c r="F1733" t="s">
        <v>34552</v>
      </c>
      <c r="G1733" t="s">
        <v>34553</v>
      </c>
      <c r="H1733" t="s">
        <v>34554</v>
      </c>
      <c r="I1733" t="s">
        <v>34555</v>
      </c>
      <c r="J1733" t="s">
        <v>34556</v>
      </c>
      <c r="K1733" t="s">
        <v>34557</v>
      </c>
      <c r="L1733" t="s">
        <v>34558</v>
      </c>
      <c r="M1733" t="s">
        <v>34559</v>
      </c>
      <c r="N1733" t="s">
        <v>34560</v>
      </c>
      <c r="O1733">
        <f>-606.058387792734 -122.687865142557 -727.645548708609</f>
        <v>-1456.3918016439002</v>
      </c>
      <c r="P1733">
        <f>-597.279201793589 -105.95582482892 -411.687988071517</f>
        <v>-1114.9230146940258</v>
      </c>
      <c r="Q1733">
        <f>-351.641559035069 -35.0245137755929 -459.363442847674</f>
        <v>-846.02951565833587</v>
      </c>
      <c r="R1733" t="s">
        <v>34561</v>
      </c>
      <c r="S1733" t="s">
        <v>34562</v>
      </c>
      <c r="T1733" t="s">
        <v>34563</v>
      </c>
      <c r="U1733" t="s">
        <v>34564</v>
      </c>
      <c r="V1733" t="s">
        <v>34565</v>
      </c>
      <c r="W1733" t="s">
        <v>34566</v>
      </c>
      <c r="X1733" t="s">
        <v>34567</v>
      </c>
      <c r="Y1733" t="s">
        <v>34568</v>
      </c>
    </row>
    <row r="1734" spans="1:25" x14ac:dyDescent="0.3">
      <c r="A1734">
        <v>86650</v>
      </c>
      <c r="B1734" t="s">
        <v>34569</v>
      </c>
      <c r="C1734" t="s">
        <v>34570</v>
      </c>
      <c r="D1734" t="s">
        <v>34571</v>
      </c>
      <c r="E1734" t="s">
        <v>34572</v>
      </c>
      <c r="F1734" t="s">
        <v>34573</v>
      </c>
      <c r="G1734" t="s">
        <v>34574</v>
      </c>
      <c r="H1734" t="s">
        <v>34575</v>
      </c>
      <c r="I1734" t="s">
        <v>34576</v>
      </c>
      <c r="J1734" t="s">
        <v>34577</v>
      </c>
      <c r="K1734" t="s">
        <v>34578</v>
      </c>
      <c r="L1734" t="s">
        <v>34579</v>
      </c>
      <c r="M1734" t="s">
        <v>34580</v>
      </c>
      <c r="N1734" t="s">
        <v>34581</v>
      </c>
      <c r="O1734">
        <f>-610.993442019342 -113.827302929488 -729.752440422006</f>
        <v>-1454.573185370836</v>
      </c>
      <c r="P1734">
        <f>-602.21251311006 -100.57242853218 -413.629904555385</f>
        <v>-1116.4148461976249</v>
      </c>
      <c r="Q1734">
        <f>-356.406890366394 -31.2236168161907 -462.745857083107</f>
        <v>-850.37636426569179</v>
      </c>
      <c r="R1734" t="s">
        <v>34582</v>
      </c>
      <c r="S1734" t="s">
        <v>34583</v>
      </c>
      <c r="T1734" t="s">
        <v>34584</v>
      </c>
      <c r="U1734" t="s">
        <v>34585</v>
      </c>
      <c r="V1734" t="s">
        <v>34586</v>
      </c>
      <c r="W1734" t="s">
        <v>34587</v>
      </c>
      <c r="X1734" t="s">
        <v>34588</v>
      </c>
      <c r="Y1734" t="s">
        <v>34589</v>
      </c>
    </row>
    <row r="1735" spans="1:25" x14ac:dyDescent="0.3">
      <c r="A1735">
        <v>86700</v>
      </c>
      <c r="B1735" t="s">
        <v>34590</v>
      </c>
      <c r="C1735" t="s">
        <v>34591</v>
      </c>
      <c r="D1735" t="s">
        <v>34592</v>
      </c>
      <c r="E1735" t="s">
        <v>34593</v>
      </c>
      <c r="F1735" t="s">
        <v>34594</v>
      </c>
      <c r="G1735" t="s">
        <v>34595</v>
      </c>
      <c r="H1735" t="s">
        <v>34596</v>
      </c>
      <c r="I1735" t="s">
        <v>34597</v>
      </c>
      <c r="J1735" t="s">
        <v>34598</v>
      </c>
      <c r="K1735" t="s">
        <v>34599</v>
      </c>
      <c r="L1735" t="s">
        <v>34600</v>
      </c>
      <c r="M1735" t="s">
        <v>34601</v>
      </c>
      <c r="N1735" t="s">
        <v>34602</v>
      </c>
      <c r="O1735">
        <f>-614.468660604383 -108.748123336297 -729.87779371516</f>
        <v>-1453.0945776558401</v>
      </c>
      <c r="P1735">
        <f>-604.958149830688 -96.9139515810284 -413.720166355751</f>
        <v>-1115.5922677674673</v>
      </c>
      <c r="Q1735">
        <f>-358.892376776377 -29.2645971520916 -463.89260016706</f>
        <v>-852.04957409552856</v>
      </c>
      <c r="R1735" t="s">
        <v>34603</v>
      </c>
      <c r="S1735" t="s">
        <v>34604</v>
      </c>
      <c r="T1735" t="s">
        <v>34605</v>
      </c>
      <c r="U1735" t="s">
        <v>34606</v>
      </c>
      <c r="V1735" t="s">
        <v>34607</v>
      </c>
      <c r="W1735" t="s">
        <v>34608</v>
      </c>
      <c r="X1735" t="s">
        <v>34609</v>
      </c>
      <c r="Y1735" t="s">
        <v>34610</v>
      </c>
    </row>
    <row r="1736" spans="1:25" x14ac:dyDescent="0.3">
      <c r="A1736">
        <v>86750</v>
      </c>
      <c r="B1736" t="s">
        <v>34611</v>
      </c>
      <c r="C1736" t="s">
        <v>34612</v>
      </c>
      <c r="D1736" t="s">
        <v>34613</v>
      </c>
      <c r="E1736" t="s">
        <v>34614</v>
      </c>
      <c r="F1736" t="s">
        <v>34615</v>
      </c>
      <c r="G1736" t="s">
        <v>34616</v>
      </c>
      <c r="H1736" t="s">
        <v>34617</v>
      </c>
      <c r="I1736" t="s">
        <v>34618</v>
      </c>
      <c r="J1736" t="s">
        <v>34619</v>
      </c>
      <c r="K1736" t="s">
        <v>34620</v>
      </c>
      <c r="L1736" t="s">
        <v>34621</v>
      </c>
      <c r="M1736" t="s">
        <v>34622</v>
      </c>
      <c r="N1736" t="s">
        <v>34623</v>
      </c>
      <c r="O1736">
        <f>-619.214658436647 -96.7071263642709 -728.966631149648</f>
        <v>-1444.888415950566</v>
      </c>
      <c r="P1736">
        <f>-607.389293277435 -86.781573091789 -412.821304343362</f>
        <v>-1106.9921707125859</v>
      </c>
      <c r="Q1736">
        <f>-361.026758620722 -22.52627908066 -465.913590001802</f>
        <v>-849.46662770318403</v>
      </c>
      <c r="R1736" t="s">
        <v>34624</v>
      </c>
      <c r="S1736" t="s">
        <v>34625</v>
      </c>
      <c r="T1736" t="s">
        <v>34626</v>
      </c>
      <c r="U1736" t="s">
        <v>34627</v>
      </c>
      <c r="V1736" t="s">
        <v>34628</v>
      </c>
      <c r="W1736" t="s">
        <v>34629</v>
      </c>
      <c r="X1736" t="s">
        <v>34630</v>
      </c>
      <c r="Y1736" t="s">
        <v>34631</v>
      </c>
    </row>
    <row r="1737" spans="1:25" x14ac:dyDescent="0.3">
      <c r="A1737">
        <v>86800</v>
      </c>
      <c r="B1737" t="s">
        <v>34632</v>
      </c>
      <c r="C1737" t="s">
        <v>34633</v>
      </c>
      <c r="D1737" t="s">
        <v>34634</v>
      </c>
      <c r="E1737" t="s">
        <v>34635</v>
      </c>
      <c r="F1737" t="s">
        <v>34636</v>
      </c>
      <c r="G1737" t="s">
        <v>34637</v>
      </c>
      <c r="H1737" t="s">
        <v>34638</v>
      </c>
      <c r="I1737" t="s">
        <v>34639</v>
      </c>
      <c r="J1737" t="s">
        <v>34640</v>
      </c>
      <c r="K1737" t="s">
        <v>34641</v>
      </c>
      <c r="L1737" t="s">
        <v>34642</v>
      </c>
      <c r="M1737" t="s">
        <v>34643</v>
      </c>
      <c r="N1737" t="s">
        <v>34644</v>
      </c>
      <c r="O1737">
        <f>-620.031936922348 -92.0196234380458 -727.946155306965</f>
        <v>-1439.9977156673588</v>
      </c>
      <c r="P1737">
        <f>-607.241181592872 -82.9543680684691 -411.812582406924</f>
        <v>-1102.008132068265</v>
      </c>
      <c r="Q1737">
        <f>-360.914700927974 -20.0203709129015 -466.626973551206</f>
        <v>-847.56204539208147</v>
      </c>
      <c r="R1737" t="s">
        <v>34645</v>
      </c>
      <c r="S1737" t="s">
        <v>34646</v>
      </c>
      <c r="T1737" t="s">
        <v>34647</v>
      </c>
      <c r="U1737" t="s">
        <v>34648</v>
      </c>
      <c r="V1737" t="s">
        <v>34649</v>
      </c>
      <c r="W1737" t="s">
        <v>34650</v>
      </c>
      <c r="X1737" t="s">
        <v>34651</v>
      </c>
      <c r="Y1737" t="s">
        <v>34652</v>
      </c>
    </row>
    <row r="1738" spans="1:25" x14ac:dyDescent="0.3">
      <c r="A1738">
        <v>86850</v>
      </c>
      <c r="B1738" t="s">
        <v>34653</v>
      </c>
      <c r="C1738" t="s">
        <v>34654</v>
      </c>
      <c r="D1738" t="s">
        <v>34655</v>
      </c>
      <c r="E1738" t="s">
        <v>34656</v>
      </c>
      <c r="F1738" t="s">
        <v>34657</v>
      </c>
      <c r="G1738" t="s">
        <v>34658</v>
      </c>
      <c r="H1738" t="s">
        <v>34659</v>
      </c>
      <c r="I1738" t="s">
        <v>34660</v>
      </c>
      <c r="J1738" t="s">
        <v>34661</v>
      </c>
      <c r="K1738" t="s">
        <v>34662</v>
      </c>
      <c r="L1738" t="s">
        <v>34663</v>
      </c>
      <c r="M1738" t="s">
        <v>34664</v>
      </c>
      <c r="N1738" t="s">
        <v>34665</v>
      </c>
      <c r="O1738">
        <f>-619.727029146719 -87.9368601830095 -727.65340315489</f>
        <v>-1435.3172924846185</v>
      </c>
      <c r="P1738">
        <f>-605.003948935506 -81.1476081795007 -411.546816494721</f>
        <v>-1097.6983736097277</v>
      </c>
      <c r="Q1738">
        <f>-358.816619377729 -20.064317461058 -469.015523299474</f>
        <v>-847.89646013826109</v>
      </c>
      <c r="R1738" t="s">
        <v>34666</v>
      </c>
      <c r="S1738" t="s">
        <v>34667</v>
      </c>
      <c r="T1738" t="s">
        <v>34668</v>
      </c>
      <c r="U1738" t="s">
        <v>34669</v>
      </c>
      <c r="V1738" t="s">
        <v>34670</v>
      </c>
      <c r="W1738" t="s">
        <v>34671</v>
      </c>
      <c r="X1738" t="s">
        <v>34672</v>
      </c>
      <c r="Y1738" t="s">
        <v>34673</v>
      </c>
    </row>
    <row r="1739" spans="1:25" x14ac:dyDescent="0.3">
      <c r="A1739">
        <v>86900</v>
      </c>
      <c r="B1739" t="s">
        <v>34674</v>
      </c>
      <c r="C1739" t="s">
        <v>34675</v>
      </c>
      <c r="D1739" t="s">
        <v>34676</v>
      </c>
      <c r="E1739" t="s">
        <v>34677</v>
      </c>
      <c r="F1739" t="s">
        <v>34678</v>
      </c>
      <c r="G1739" t="s">
        <v>34679</v>
      </c>
      <c r="H1739" t="s">
        <v>34680</v>
      </c>
      <c r="I1739" t="s">
        <v>34681</v>
      </c>
      <c r="J1739" t="s">
        <v>34682</v>
      </c>
      <c r="K1739" t="s">
        <v>34683</v>
      </c>
      <c r="L1739" t="s">
        <v>34684</v>
      </c>
      <c r="M1739" t="s">
        <v>34685</v>
      </c>
      <c r="N1739" t="s">
        <v>34686</v>
      </c>
      <c r="O1739">
        <f>-619.581847663495 -87.3290718911362 -729.38299456578</f>
        <v>-1436.293914120411</v>
      </c>
      <c r="P1739">
        <f>-604.142378095164 -82.2711496007624 -413.278357189501</f>
        <v>-1099.6918848854275</v>
      </c>
      <c r="Q1739">
        <f>-358.044172240031 -21.6336141551975 -471.594933816771</f>
        <v>-851.27272021199951</v>
      </c>
      <c r="R1739" t="s">
        <v>34687</v>
      </c>
      <c r="S1739" t="s">
        <v>34688</v>
      </c>
      <c r="T1739" t="s">
        <v>34689</v>
      </c>
      <c r="U1739" t="s">
        <v>34690</v>
      </c>
      <c r="V1739" t="s">
        <v>34691</v>
      </c>
      <c r="W1739" t="s">
        <v>34692</v>
      </c>
      <c r="X1739" t="s">
        <v>34693</v>
      </c>
      <c r="Y1739" t="s">
        <v>34694</v>
      </c>
    </row>
    <row r="1740" spans="1:25" x14ac:dyDescent="0.3">
      <c r="A1740">
        <v>86950</v>
      </c>
      <c r="B1740" t="s">
        <v>34695</v>
      </c>
      <c r="C1740" t="s">
        <v>34696</v>
      </c>
      <c r="D1740" t="s">
        <v>34697</v>
      </c>
      <c r="E1740" t="s">
        <v>34698</v>
      </c>
      <c r="F1740" t="s">
        <v>34699</v>
      </c>
      <c r="G1740" t="s">
        <v>34700</v>
      </c>
      <c r="H1740" t="s">
        <v>34701</v>
      </c>
      <c r="I1740" t="s">
        <v>34702</v>
      </c>
      <c r="J1740" t="s">
        <v>34703</v>
      </c>
      <c r="K1740" t="s">
        <v>34704</v>
      </c>
      <c r="L1740" t="s">
        <v>34705</v>
      </c>
      <c r="M1740" t="s">
        <v>34706</v>
      </c>
      <c r="N1740" t="s">
        <v>34707</v>
      </c>
      <c r="O1740">
        <f>-620.896706424368 -83.9030125733568 -733.721220240246</f>
        <v>-1438.5209392379707</v>
      </c>
      <c r="P1740">
        <f>-605.05359166999 -82.2507703438225 -417.600451505562</f>
        <v>-1104.9048135193746</v>
      </c>
      <c r="Q1740">
        <f>-358.946333993237 -22.1799336252932 -476.462488861955</f>
        <v>-857.58875648048524</v>
      </c>
      <c r="R1740" t="s">
        <v>34708</v>
      </c>
      <c r="S1740" t="s">
        <v>34709</v>
      </c>
      <c r="T1740" t="s">
        <v>34710</v>
      </c>
      <c r="U1740" t="s">
        <v>34711</v>
      </c>
      <c r="V1740" t="s">
        <v>34712</v>
      </c>
      <c r="W1740" t="s">
        <v>34713</v>
      </c>
      <c r="X1740" t="s">
        <v>34714</v>
      </c>
      <c r="Y1740" t="s">
        <v>34715</v>
      </c>
    </row>
    <row r="1741" spans="1:25" x14ac:dyDescent="0.3">
      <c r="A1741">
        <v>87000</v>
      </c>
      <c r="B1741" t="s">
        <v>34716</v>
      </c>
      <c r="C1741" t="s">
        <v>34717</v>
      </c>
      <c r="D1741" t="s">
        <v>34718</v>
      </c>
      <c r="E1741" t="s">
        <v>34719</v>
      </c>
      <c r="F1741" t="s">
        <v>34720</v>
      </c>
      <c r="G1741" t="s">
        <v>34721</v>
      </c>
      <c r="H1741" t="s">
        <v>34722</v>
      </c>
      <c r="I1741" t="s">
        <v>34723</v>
      </c>
      <c r="J1741" t="s">
        <v>34724</v>
      </c>
      <c r="K1741" t="s">
        <v>34725</v>
      </c>
      <c r="L1741" t="s">
        <v>34726</v>
      </c>
      <c r="M1741" t="s">
        <v>34727</v>
      </c>
      <c r="N1741" t="s">
        <v>34728</v>
      </c>
      <c r="O1741">
        <f>-621.321143738983 -81.4778673344924 -735.694710812313</f>
        <v>-1438.4937218857885</v>
      </c>
      <c r="P1741">
        <f>-605.820166898971 -81.1681660225036 -419.552671327927</f>
        <v>-1106.5410042494016</v>
      </c>
      <c r="Q1741">
        <f>-359.663765180779 -21.2596157891371 -478.374710149698</f>
        <v>-859.29809111961413</v>
      </c>
      <c r="R1741" t="s">
        <v>34729</v>
      </c>
      <c r="S1741" t="s">
        <v>34730</v>
      </c>
      <c r="T1741" t="s">
        <v>34731</v>
      </c>
      <c r="U1741" t="s">
        <v>34732</v>
      </c>
      <c r="V1741" t="s">
        <v>34733</v>
      </c>
      <c r="W1741" t="s">
        <v>34734</v>
      </c>
      <c r="X1741" t="s">
        <v>34735</v>
      </c>
      <c r="Y1741" t="s">
        <v>34736</v>
      </c>
    </row>
    <row r="1742" spans="1:25" x14ac:dyDescent="0.3">
      <c r="A1742">
        <v>87050</v>
      </c>
      <c r="B1742" t="s">
        <v>34737</v>
      </c>
      <c r="C1742" t="s">
        <v>34738</v>
      </c>
      <c r="D1742" t="s">
        <v>34739</v>
      </c>
      <c r="E1742" t="s">
        <v>34740</v>
      </c>
      <c r="F1742" t="s">
        <v>34741</v>
      </c>
      <c r="G1742" t="s">
        <v>34742</v>
      </c>
      <c r="H1742" t="s">
        <v>34743</v>
      </c>
      <c r="I1742" t="s">
        <v>34744</v>
      </c>
      <c r="J1742" t="s">
        <v>34745</v>
      </c>
      <c r="K1742" t="s">
        <v>34746</v>
      </c>
      <c r="L1742" t="s">
        <v>34747</v>
      </c>
      <c r="M1742" t="s">
        <v>34748</v>
      </c>
      <c r="N1742" t="s">
        <v>34749</v>
      </c>
      <c r="O1742">
        <f>-621.197364050749 -78.9908801780419 -737.572672860662</f>
        <v>-1437.760917089453</v>
      </c>
      <c r="P1742">
        <f>-606.244578874565 -79.8919031476882 -421.405258351596</f>
        <v>-1107.5417403738493</v>
      </c>
      <c r="Q1742">
        <f>-360.081245093658 -19.8401860970385 -480.052283379138</f>
        <v>-859.97371456983456</v>
      </c>
      <c r="R1742" t="s">
        <v>34750</v>
      </c>
      <c r="S1742" t="s">
        <v>34751</v>
      </c>
      <c r="T1742" t="s">
        <v>34752</v>
      </c>
      <c r="U1742" t="s">
        <v>34753</v>
      </c>
      <c r="V1742" t="s">
        <v>34754</v>
      </c>
      <c r="W1742" t="s">
        <v>34755</v>
      </c>
      <c r="X1742" t="s">
        <v>34756</v>
      </c>
      <c r="Y1742" t="s">
        <v>34757</v>
      </c>
    </row>
    <row r="1743" spans="1:25" x14ac:dyDescent="0.3">
      <c r="A1743">
        <v>87100</v>
      </c>
      <c r="B1743" t="s">
        <v>34758</v>
      </c>
      <c r="C1743" t="s">
        <v>34759</v>
      </c>
      <c r="D1743" t="s">
        <v>34760</v>
      </c>
      <c r="E1743" t="s">
        <v>34761</v>
      </c>
      <c r="F1743" t="s">
        <v>34762</v>
      </c>
      <c r="G1743" t="s">
        <v>34763</v>
      </c>
      <c r="H1743" t="s">
        <v>34764</v>
      </c>
      <c r="I1743" t="s">
        <v>34765</v>
      </c>
      <c r="J1743" t="s">
        <v>34766</v>
      </c>
      <c r="K1743" t="s">
        <v>34767</v>
      </c>
      <c r="L1743" t="s">
        <v>34768</v>
      </c>
      <c r="M1743" t="s">
        <v>34769</v>
      </c>
      <c r="N1743" t="s">
        <v>34770</v>
      </c>
      <c r="O1743">
        <f>-620.643838842953 -76.7174744144832 -739.308688290182</f>
        <v>-1436.6700015476181</v>
      </c>
      <c r="P1743">
        <f>-606.337335350938 -78.9241253004965 -423.117974035102</f>
        <v>-1108.3794346865366</v>
      </c>
      <c r="Q1743">
        <f>-360.278712249559 -18.1635170340207 -481.473315094234</f>
        <v>-859.91554437781372</v>
      </c>
      <c r="R1743" t="s">
        <v>34771</v>
      </c>
      <c r="S1743" t="s">
        <v>34772</v>
      </c>
      <c r="T1743" t="s">
        <v>34773</v>
      </c>
      <c r="U1743" t="s">
        <v>34774</v>
      </c>
      <c r="V1743" t="s">
        <v>34775</v>
      </c>
      <c r="W1743" t="s">
        <v>34776</v>
      </c>
      <c r="X1743" t="s">
        <v>34777</v>
      </c>
      <c r="Y1743" t="s">
        <v>34778</v>
      </c>
    </row>
    <row r="1744" spans="1:25" x14ac:dyDescent="0.3">
      <c r="A1744">
        <v>87150</v>
      </c>
      <c r="B1744" t="s">
        <v>34779</v>
      </c>
      <c r="C1744" t="s">
        <v>34780</v>
      </c>
      <c r="D1744" t="s">
        <v>34781</v>
      </c>
      <c r="E1744" t="s">
        <v>34782</v>
      </c>
      <c r="F1744" t="s">
        <v>34783</v>
      </c>
      <c r="G1744" t="s">
        <v>34784</v>
      </c>
      <c r="H1744" t="s">
        <v>34785</v>
      </c>
      <c r="I1744" t="s">
        <v>34786</v>
      </c>
      <c r="J1744" t="s">
        <v>34787</v>
      </c>
      <c r="K1744" t="s">
        <v>34788</v>
      </c>
      <c r="L1744" t="s">
        <v>34789</v>
      </c>
      <c r="M1744" t="s">
        <v>34790</v>
      </c>
      <c r="N1744" t="s">
        <v>34791</v>
      </c>
      <c r="O1744">
        <f>-619.780346622439 -73.8208225889881 -742.096582557093</f>
        <v>-1435.69775176852</v>
      </c>
      <c r="P1744">
        <f>-606.744515846533 -79.6623985383552 -425.897233909329</f>
        <v>-1112.3041482942172</v>
      </c>
      <c r="Q1744">
        <f>-361.327264781663 -15.8363276213395 -483.678453562781</f>
        <v>-860.84204596578343</v>
      </c>
      <c r="R1744" t="s">
        <v>34792</v>
      </c>
      <c r="S1744" t="s">
        <v>34793</v>
      </c>
      <c r="T1744" t="s">
        <v>34794</v>
      </c>
      <c r="U1744" t="s">
        <v>34795</v>
      </c>
      <c r="V1744" t="s">
        <v>34796</v>
      </c>
      <c r="W1744" t="s">
        <v>34797</v>
      </c>
      <c r="X1744" t="s">
        <v>34798</v>
      </c>
      <c r="Y1744" t="s">
        <v>34799</v>
      </c>
    </row>
    <row r="1745" spans="1:25" x14ac:dyDescent="0.3">
      <c r="A1745">
        <v>87200</v>
      </c>
      <c r="B1745" t="s">
        <v>34800</v>
      </c>
      <c r="C1745" t="s">
        <v>34801</v>
      </c>
      <c r="D1745" t="s">
        <v>34802</v>
      </c>
      <c r="E1745" t="s">
        <v>34803</v>
      </c>
      <c r="F1745" t="s">
        <v>34804</v>
      </c>
      <c r="G1745" t="s">
        <v>34805</v>
      </c>
      <c r="H1745" t="s">
        <v>34806</v>
      </c>
      <c r="I1745" t="s">
        <v>34807</v>
      </c>
      <c r="J1745" t="s">
        <v>34808</v>
      </c>
      <c r="K1745" t="s">
        <v>34809</v>
      </c>
      <c r="L1745" t="s">
        <v>34810</v>
      </c>
      <c r="M1745" t="s">
        <v>34811</v>
      </c>
      <c r="N1745" t="s">
        <v>34812</v>
      </c>
      <c r="O1745">
        <f>-618.365851025331 -72.674574626501 -745.731539785242</f>
        <v>-1436.771965437074</v>
      </c>
      <c r="P1745">
        <f>-606.68334821207 -83.4670491460684 -429.609502096549</f>
        <v>-1119.7598994546875</v>
      </c>
      <c r="Q1745">
        <f>-362.435444235059 -14.3464133182622 -486.243129270409</f>
        <v>-863.02498682373016</v>
      </c>
      <c r="R1745" t="s">
        <v>34813</v>
      </c>
      <c r="S1745" t="s">
        <v>34814</v>
      </c>
      <c r="T1745" t="s">
        <v>34815</v>
      </c>
      <c r="U1745" t="s">
        <v>34816</v>
      </c>
      <c r="V1745" t="s">
        <v>34817</v>
      </c>
      <c r="W1745" t="s">
        <v>34818</v>
      </c>
      <c r="X1745" t="s">
        <v>34819</v>
      </c>
      <c r="Y1745" t="s">
        <v>34820</v>
      </c>
    </row>
    <row r="1746" spans="1:25" x14ac:dyDescent="0.3">
      <c r="A1746">
        <v>87250</v>
      </c>
      <c r="B1746" t="s">
        <v>34821</v>
      </c>
      <c r="C1746" t="s">
        <v>34822</v>
      </c>
      <c r="D1746" t="s">
        <v>34823</v>
      </c>
      <c r="E1746" t="s">
        <v>34824</v>
      </c>
      <c r="F1746" t="s">
        <v>34825</v>
      </c>
      <c r="G1746" t="s">
        <v>34826</v>
      </c>
      <c r="H1746" t="s">
        <v>34827</v>
      </c>
      <c r="I1746" t="s">
        <v>34828</v>
      </c>
      <c r="J1746" t="s">
        <v>34829</v>
      </c>
      <c r="K1746" t="s">
        <v>34830</v>
      </c>
      <c r="L1746" t="s">
        <v>34831</v>
      </c>
      <c r="M1746" t="s">
        <v>34832</v>
      </c>
      <c r="N1746" t="s">
        <v>34833</v>
      </c>
      <c r="O1746">
        <f>-615.404790260879 -72.1357908924555 -750.713535416739</f>
        <v>-1438.2541165700736</v>
      </c>
      <c r="P1746">
        <f>-606.066793267465 -87.866114314795 -434.720508583288</f>
        <v>-1128.6534161655479</v>
      </c>
      <c r="Q1746">
        <f>-363.416274903202 -12.3067149741709 -489.979188623052</f>
        <v>-865.70217850042491</v>
      </c>
      <c r="R1746" t="s">
        <v>34834</v>
      </c>
      <c r="S1746" t="s">
        <v>34835</v>
      </c>
      <c r="T1746" t="s">
        <v>34836</v>
      </c>
      <c r="U1746" t="s">
        <v>34837</v>
      </c>
      <c r="V1746" t="s">
        <v>34838</v>
      </c>
      <c r="W1746" t="s">
        <v>34839</v>
      </c>
      <c r="X1746" t="s">
        <v>34840</v>
      </c>
      <c r="Y1746" t="s">
        <v>34841</v>
      </c>
    </row>
    <row r="1747" spans="1:25" x14ac:dyDescent="0.3">
      <c r="A1747">
        <v>87300</v>
      </c>
      <c r="B1747" t="s">
        <v>34842</v>
      </c>
      <c r="C1747" t="s">
        <v>34843</v>
      </c>
      <c r="D1747" t="s">
        <v>34844</v>
      </c>
      <c r="E1747" t="s">
        <v>34845</v>
      </c>
      <c r="F1747" t="s">
        <v>34846</v>
      </c>
      <c r="G1747" t="s">
        <v>34847</v>
      </c>
      <c r="H1747" t="s">
        <v>34848</v>
      </c>
      <c r="I1747" t="s">
        <v>34849</v>
      </c>
      <c r="J1747" t="s">
        <v>34850</v>
      </c>
      <c r="K1747" t="s">
        <v>34851</v>
      </c>
      <c r="L1747" t="s">
        <v>34852</v>
      </c>
      <c r="M1747" t="s">
        <v>34853</v>
      </c>
      <c r="N1747" t="s">
        <v>34854</v>
      </c>
      <c r="O1747">
        <f>-613.671252849071 -71.5977957892034 -753.498443074512</f>
        <v>-1438.7674917127865</v>
      </c>
      <c r="P1747">
        <f>-605.784309906363 -89.9053365408288 -437.604636834555</f>
        <v>-1133.2942832817466</v>
      </c>
      <c r="Q1747">
        <f>-364.087018937524 -10.6374623964045 -491.836183012133</f>
        <v>-866.56066434606146</v>
      </c>
      <c r="R1747" t="s">
        <v>34855</v>
      </c>
      <c r="S1747" t="s">
        <v>34856</v>
      </c>
      <c r="T1747" t="s">
        <v>34857</v>
      </c>
      <c r="U1747" t="s">
        <v>34858</v>
      </c>
      <c r="V1747" t="s">
        <v>34859</v>
      </c>
      <c r="W1747" t="s">
        <v>34860</v>
      </c>
      <c r="X1747" t="s">
        <v>34861</v>
      </c>
      <c r="Y1747" t="s">
        <v>34862</v>
      </c>
    </row>
    <row r="1748" spans="1:25" x14ac:dyDescent="0.3">
      <c r="A1748">
        <v>87350</v>
      </c>
      <c r="B1748" t="s">
        <v>34863</v>
      </c>
      <c r="C1748" t="s">
        <v>34864</v>
      </c>
      <c r="D1748" t="s">
        <v>34865</v>
      </c>
      <c r="E1748" t="s">
        <v>34866</v>
      </c>
      <c r="F1748" t="s">
        <v>34867</v>
      </c>
      <c r="G1748" t="s">
        <v>34868</v>
      </c>
      <c r="H1748" t="s">
        <v>34869</v>
      </c>
      <c r="I1748" t="s">
        <v>34870</v>
      </c>
      <c r="J1748" t="s">
        <v>34871</v>
      </c>
      <c r="K1748" t="s">
        <v>34872</v>
      </c>
      <c r="L1748" t="s">
        <v>34873</v>
      </c>
      <c r="M1748" t="s">
        <v>34874</v>
      </c>
      <c r="N1748" t="s">
        <v>34875</v>
      </c>
      <c r="O1748">
        <f>-610.60341305084 -70.9540577345988 -759.577809745912</f>
        <v>-1441.1352805313509</v>
      </c>
      <c r="P1748">
        <f>-604.980273002242 -94.357561545149 -443.972276086603</f>
        <v>-1143.3101106339941</v>
      </c>
      <c r="Q1748">
        <f>-365.167001007717 -7.55121348051523 -494.92623980019</f>
        <v>-867.64445428842214</v>
      </c>
      <c r="R1748" t="s">
        <v>34876</v>
      </c>
      <c r="S1748" t="s">
        <v>34877</v>
      </c>
      <c r="T1748" t="s">
        <v>34878</v>
      </c>
      <c r="U1748" t="s">
        <v>34879</v>
      </c>
      <c r="V1748" t="s">
        <v>34880</v>
      </c>
      <c r="W1748" t="s">
        <v>34881</v>
      </c>
      <c r="X1748" t="s">
        <v>34882</v>
      </c>
      <c r="Y1748" t="s">
        <v>34883</v>
      </c>
    </row>
    <row r="1749" spans="1:25" x14ac:dyDescent="0.3">
      <c r="A1749">
        <v>87400</v>
      </c>
      <c r="B1749" t="s">
        <v>34884</v>
      </c>
      <c r="C1749" t="s">
        <v>34885</v>
      </c>
      <c r="D1749" t="s">
        <v>34886</v>
      </c>
      <c r="E1749" t="s">
        <v>34887</v>
      </c>
      <c r="F1749" t="s">
        <v>34888</v>
      </c>
      <c r="G1749" t="s">
        <v>34889</v>
      </c>
      <c r="H1749" t="s">
        <v>34890</v>
      </c>
      <c r="I1749" t="s">
        <v>34891</v>
      </c>
      <c r="J1749" t="s">
        <v>34892</v>
      </c>
      <c r="K1749" t="s">
        <v>34893</v>
      </c>
      <c r="L1749" t="s">
        <v>34894</v>
      </c>
      <c r="M1749" t="s">
        <v>34895</v>
      </c>
      <c r="N1749" t="s">
        <v>34896</v>
      </c>
      <c r="O1749">
        <f>-609.775446845553 -71.7220669612534 -762.124839540711</f>
        <v>-1443.6223533475174</v>
      </c>
      <c r="P1749">
        <f>-605.357810529549 -97.4320169068865 -446.679656849539</f>
        <v>-1149.4694842859744</v>
      </c>
      <c r="Q1749">
        <f>-366.381874525776 -7.36009843081625 -495.869324992422</f>
        <v>-869.61129794901422</v>
      </c>
      <c r="R1749" t="s">
        <v>34897</v>
      </c>
      <c r="S1749" t="s">
        <v>34898</v>
      </c>
      <c r="T1749" t="s">
        <v>34899</v>
      </c>
      <c r="U1749" t="s">
        <v>34900</v>
      </c>
      <c r="V1749" t="s">
        <v>34901</v>
      </c>
      <c r="W1749" t="s">
        <v>34902</v>
      </c>
      <c r="X1749" t="s">
        <v>34903</v>
      </c>
      <c r="Y1749" t="s">
        <v>34904</v>
      </c>
    </row>
    <row r="1750" spans="1:25" x14ac:dyDescent="0.3">
      <c r="A1750">
        <v>87450</v>
      </c>
      <c r="B1750" t="s">
        <v>34905</v>
      </c>
      <c r="C1750" t="s">
        <v>34906</v>
      </c>
      <c r="D1750" t="s">
        <v>34907</v>
      </c>
      <c r="E1750" t="s">
        <v>34908</v>
      </c>
      <c r="F1750" t="s">
        <v>34909</v>
      </c>
      <c r="G1750" t="s">
        <v>34910</v>
      </c>
      <c r="H1750" t="s">
        <v>34911</v>
      </c>
      <c r="I1750" t="s">
        <v>34912</v>
      </c>
      <c r="J1750" t="s">
        <v>34913</v>
      </c>
      <c r="K1750" t="s">
        <v>34914</v>
      </c>
      <c r="L1750" t="s">
        <v>34915</v>
      </c>
      <c r="M1750" t="s">
        <v>34916</v>
      </c>
      <c r="N1750" t="s">
        <v>34917</v>
      </c>
      <c r="O1750">
        <f>-606.794443610246 -73.6301939121432 -765.505504754432</f>
        <v>-1445.9301422768212</v>
      </c>
      <c r="P1750">
        <f>-604.696048685276 -102.581914155933 -450.31739191423</f>
        <v>-1157.5953547554388</v>
      </c>
      <c r="Q1750">
        <f>-366.933285764012 -8.20520044626149 -497.263466775036</f>
        <v>-872.40195298530944</v>
      </c>
      <c r="R1750" t="s">
        <v>34918</v>
      </c>
      <c r="S1750" t="s">
        <v>34919</v>
      </c>
      <c r="T1750" t="s">
        <v>34920</v>
      </c>
      <c r="U1750" t="s">
        <v>34921</v>
      </c>
      <c r="V1750" t="s">
        <v>34922</v>
      </c>
      <c r="W1750" t="s">
        <v>34923</v>
      </c>
      <c r="X1750" t="s">
        <v>34924</v>
      </c>
      <c r="Y1750" t="s">
        <v>34925</v>
      </c>
    </row>
    <row r="1751" spans="1:25" x14ac:dyDescent="0.3">
      <c r="A1751">
        <v>87500</v>
      </c>
      <c r="B1751" t="s">
        <v>34926</v>
      </c>
      <c r="C1751" t="s">
        <v>34927</v>
      </c>
      <c r="D1751" t="s">
        <v>34928</v>
      </c>
      <c r="E1751" t="s">
        <v>34929</v>
      </c>
      <c r="F1751" t="s">
        <v>34930</v>
      </c>
      <c r="G1751" t="s">
        <v>34931</v>
      </c>
      <c r="H1751" t="s">
        <v>34932</v>
      </c>
      <c r="I1751" t="s">
        <v>34933</v>
      </c>
      <c r="J1751" t="s">
        <v>34934</v>
      </c>
      <c r="K1751" t="s">
        <v>34935</v>
      </c>
      <c r="L1751" t="s">
        <v>34936</v>
      </c>
      <c r="M1751" t="s">
        <v>34937</v>
      </c>
      <c r="N1751" t="s">
        <v>34938</v>
      </c>
      <c r="O1751">
        <f>-605.47369916779 -74.8030040716904 -766.51049208187</f>
        <v>-1446.7871953213503</v>
      </c>
      <c r="P1751">
        <f>-604.490801909788 -104.176083916854 -451.35583131569</f>
        <v>-1160.0227171423321</v>
      </c>
      <c r="Q1751">
        <f>-367.105440432515 -8.64304415688578 -497.871108255532</f>
        <v>-873.61959284493287</v>
      </c>
      <c r="R1751" t="s">
        <v>34939</v>
      </c>
      <c r="S1751" t="s">
        <v>34940</v>
      </c>
      <c r="T1751" t="s">
        <v>34941</v>
      </c>
      <c r="U1751" t="s">
        <v>34942</v>
      </c>
      <c r="V1751" t="s">
        <v>34943</v>
      </c>
      <c r="W1751" t="s">
        <v>34944</v>
      </c>
      <c r="X1751" t="s">
        <v>34945</v>
      </c>
      <c r="Y1751" t="s">
        <v>34946</v>
      </c>
    </row>
    <row r="1752" spans="1:25" x14ac:dyDescent="0.3">
      <c r="A1752">
        <v>87550</v>
      </c>
      <c r="B1752" t="s">
        <v>34947</v>
      </c>
      <c r="C1752" t="s">
        <v>34948</v>
      </c>
      <c r="D1752" t="s">
        <v>34949</v>
      </c>
      <c r="E1752" t="s">
        <v>34950</v>
      </c>
      <c r="F1752" t="s">
        <v>34951</v>
      </c>
      <c r="G1752" t="s">
        <v>34952</v>
      </c>
      <c r="H1752" t="s">
        <v>34953</v>
      </c>
      <c r="I1752" t="s">
        <v>34954</v>
      </c>
      <c r="J1752" t="s">
        <v>34955</v>
      </c>
      <c r="K1752" t="s">
        <v>34956</v>
      </c>
      <c r="L1752" t="s">
        <v>34957</v>
      </c>
      <c r="M1752" t="s">
        <v>34958</v>
      </c>
      <c r="N1752" t="s">
        <v>34959</v>
      </c>
      <c r="O1752">
        <f>-603.894746773266 -77.1737452565416 -767.501488935171</f>
        <v>-1448.5699809649786</v>
      </c>
      <c r="P1752">
        <f>-604.362829901576 -106.791564961867 -452.368470801124</f>
        <v>-1163.522865664567</v>
      </c>
      <c r="Q1752">
        <f>-367.532168914355 -9.68397484953 -498.449022554421</f>
        <v>-875.66516631830598</v>
      </c>
      <c r="R1752" t="s">
        <v>34960</v>
      </c>
      <c r="S1752" t="s">
        <v>34961</v>
      </c>
      <c r="T1752" t="s">
        <v>34962</v>
      </c>
      <c r="U1752" t="s">
        <v>34963</v>
      </c>
      <c r="V1752" t="s">
        <v>34964</v>
      </c>
      <c r="W1752" t="s">
        <v>34965</v>
      </c>
      <c r="X1752" t="s">
        <v>34966</v>
      </c>
      <c r="Y1752" t="s">
        <v>34967</v>
      </c>
    </row>
    <row r="1753" spans="1:25" x14ac:dyDescent="0.3">
      <c r="A1753">
        <v>87600</v>
      </c>
      <c r="B1753" t="s">
        <v>34968</v>
      </c>
      <c r="C1753" t="s">
        <v>34969</v>
      </c>
      <c r="D1753" t="s">
        <v>34970</v>
      </c>
      <c r="E1753" t="s">
        <v>34971</v>
      </c>
      <c r="F1753" t="s">
        <v>34972</v>
      </c>
      <c r="G1753" t="s">
        <v>34973</v>
      </c>
      <c r="H1753" t="s">
        <v>34974</v>
      </c>
      <c r="I1753" t="s">
        <v>34975</v>
      </c>
      <c r="J1753" t="s">
        <v>34976</v>
      </c>
      <c r="K1753" t="s">
        <v>34977</v>
      </c>
      <c r="L1753" t="s">
        <v>34978</v>
      </c>
      <c r="M1753" t="s">
        <v>34979</v>
      </c>
      <c r="N1753" t="s">
        <v>34980</v>
      </c>
      <c r="O1753">
        <f>-603.388718151279 -78.1878844144369 -767.523981295742</f>
        <v>-1449.1005838614578</v>
      </c>
      <c r="P1753">
        <f>-604.334176689583 -107.873179680764 -452.398537660125</f>
        <v>-1164.605894030472</v>
      </c>
      <c r="Q1753">
        <f>-367.711115538164 -10.2217869846627 -498.395918535346</f>
        <v>-876.32882105817271</v>
      </c>
      <c r="R1753" t="s">
        <v>34981</v>
      </c>
      <c r="S1753" t="s">
        <v>34982</v>
      </c>
      <c r="T1753" t="s">
        <v>34983</v>
      </c>
      <c r="U1753" t="s">
        <v>34984</v>
      </c>
      <c r="V1753" t="s">
        <v>34985</v>
      </c>
      <c r="W1753" t="s">
        <v>34986</v>
      </c>
      <c r="X1753" t="s">
        <v>34987</v>
      </c>
      <c r="Y1753" t="s">
        <v>34988</v>
      </c>
    </row>
    <row r="1754" spans="1:25" x14ac:dyDescent="0.3">
      <c r="A1754">
        <v>87650</v>
      </c>
      <c r="B1754" t="s">
        <v>34989</v>
      </c>
      <c r="C1754" t="s">
        <v>34990</v>
      </c>
      <c r="D1754" t="s">
        <v>34991</v>
      </c>
      <c r="E1754" t="s">
        <v>34992</v>
      </c>
      <c r="F1754" t="s">
        <v>34993</v>
      </c>
      <c r="G1754" t="s">
        <v>34994</v>
      </c>
      <c r="H1754" t="s">
        <v>34995</v>
      </c>
      <c r="I1754" t="s">
        <v>34996</v>
      </c>
      <c r="J1754" t="s">
        <v>34997</v>
      </c>
      <c r="K1754" t="s">
        <v>34998</v>
      </c>
      <c r="L1754" t="s">
        <v>34999</v>
      </c>
      <c r="M1754" t="s">
        <v>35000</v>
      </c>
      <c r="N1754" t="s">
        <v>35001</v>
      </c>
      <c r="O1754">
        <f>-603.584410168849 -79.445915286196 -767.101317009792</f>
        <v>-1450.1316424648369</v>
      </c>
      <c r="P1754">
        <f>-605.462809417695 -109.460672965929 -452.011105708896</f>
        <v>-1166.93458809252</v>
      </c>
      <c r="Q1754">
        <f>-369.024153373796 -11.0907547964597 -497.422240118495</f>
        <v>-877.5371482887507</v>
      </c>
      <c r="R1754" t="s">
        <v>35002</v>
      </c>
      <c r="S1754" t="s">
        <v>35003</v>
      </c>
      <c r="T1754" t="s">
        <v>35004</v>
      </c>
      <c r="U1754" t="s">
        <v>35005</v>
      </c>
      <c r="V1754" t="s">
        <v>35006</v>
      </c>
      <c r="W1754" t="s">
        <v>35007</v>
      </c>
      <c r="X1754" t="s">
        <v>35008</v>
      </c>
      <c r="Y1754" t="s">
        <v>35009</v>
      </c>
    </row>
    <row r="1755" spans="1:25" x14ac:dyDescent="0.3">
      <c r="A1755">
        <v>87700</v>
      </c>
      <c r="B1755" t="s">
        <v>35010</v>
      </c>
      <c r="C1755" t="s">
        <v>35011</v>
      </c>
      <c r="D1755" t="s">
        <v>35012</v>
      </c>
      <c r="E1755" t="s">
        <v>35013</v>
      </c>
      <c r="F1755" t="s">
        <v>35014</v>
      </c>
      <c r="G1755" t="s">
        <v>35015</v>
      </c>
      <c r="H1755" t="s">
        <v>35016</v>
      </c>
      <c r="I1755" t="s">
        <v>35017</v>
      </c>
      <c r="J1755" t="s">
        <v>35018</v>
      </c>
      <c r="K1755" t="s">
        <v>35019</v>
      </c>
      <c r="L1755" t="s">
        <v>35020</v>
      </c>
      <c r="M1755" t="s">
        <v>35021</v>
      </c>
      <c r="N1755" t="s">
        <v>35022</v>
      </c>
      <c r="O1755">
        <f>-603.434420942664 -79.4036916471126 -766.841722575421</f>
        <v>-1449.6798351651978</v>
      </c>
      <c r="P1755">
        <f>-605.661105733082 -109.384488859215 -451.750677944105</f>
        <v>-1166.7962725364021</v>
      </c>
      <c r="Q1755">
        <f>-369.081667798896 -11.2211509994275 -496.874684998434</f>
        <v>-877.17750379675749</v>
      </c>
      <c r="R1755" t="s">
        <v>35023</v>
      </c>
      <c r="S1755" t="s">
        <v>35024</v>
      </c>
      <c r="T1755" t="s">
        <v>35025</v>
      </c>
      <c r="U1755" t="s">
        <v>35026</v>
      </c>
      <c r="V1755" t="s">
        <v>35027</v>
      </c>
      <c r="W1755" t="s">
        <v>35028</v>
      </c>
      <c r="X1755" t="s">
        <v>35029</v>
      </c>
      <c r="Y1755" t="s">
        <v>35030</v>
      </c>
    </row>
    <row r="1756" spans="1:25" x14ac:dyDescent="0.3">
      <c r="A1756">
        <v>87750</v>
      </c>
      <c r="B1756" t="s">
        <v>35031</v>
      </c>
      <c r="C1756" t="s">
        <v>35032</v>
      </c>
      <c r="D1756" t="s">
        <v>35033</v>
      </c>
      <c r="E1756" t="s">
        <v>35034</v>
      </c>
      <c r="F1756" t="s">
        <v>35035</v>
      </c>
      <c r="G1756" t="s">
        <v>35036</v>
      </c>
      <c r="H1756" t="s">
        <v>35037</v>
      </c>
      <c r="I1756" t="s">
        <v>35038</v>
      </c>
      <c r="J1756" t="s">
        <v>35039</v>
      </c>
      <c r="K1756" t="s">
        <v>35040</v>
      </c>
      <c r="L1756" t="s">
        <v>35041</v>
      </c>
      <c r="M1756" t="s">
        <v>35042</v>
      </c>
      <c r="N1756" t="s">
        <v>35043</v>
      </c>
      <c r="O1756">
        <f>-603.045075773412 -79.169954910755 -765.900078474923</f>
        <v>-1448.11510915909</v>
      </c>
      <c r="P1756">
        <f>-605.80972387981 -108.375298257706 -450.74037861911</f>
        <v>-1164.925400756626</v>
      </c>
      <c r="Q1756">
        <f>-368.902199468815 -10.8776775625796 -495.585545863976</f>
        <v>-875.36542289537056</v>
      </c>
      <c r="R1756" t="s">
        <v>35044</v>
      </c>
      <c r="S1756" t="s">
        <v>35045</v>
      </c>
      <c r="T1756" t="s">
        <v>35046</v>
      </c>
      <c r="U1756" t="s">
        <v>35047</v>
      </c>
      <c r="V1756" t="s">
        <v>35048</v>
      </c>
      <c r="W1756" t="s">
        <v>35049</v>
      </c>
      <c r="X1756" t="s">
        <v>35050</v>
      </c>
      <c r="Y1756" t="s">
        <v>35051</v>
      </c>
    </row>
    <row r="1757" spans="1:25" x14ac:dyDescent="0.3">
      <c r="A1757">
        <v>87800</v>
      </c>
      <c r="B1757" t="s">
        <v>35052</v>
      </c>
      <c r="C1757" t="s">
        <v>35053</v>
      </c>
      <c r="D1757" t="s">
        <v>35054</v>
      </c>
      <c r="E1757" t="s">
        <v>35055</v>
      </c>
      <c r="F1757" t="s">
        <v>35056</v>
      </c>
      <c r="G1757" t="s">
        <v>35057</v>
      </c>
      <c r="H1757" t="s">
        <v>35058</v>
      </c>
      <c r="I1757" t="s">
        <v>35059</v>
      </c>
      <c r="J1757" t="s">
        <v>35060</v>
      </c>
      <c r="K1757" t="s">
        <v>35061</v>
      </c>
      <c r="L1757" t="s">
        <v>35062</v>
      </c>
      <c r="M1757" t="s">
        <v>35063</v>
      </c>
      <c r="N1757" t="s">
        <v>35064</v>
      </c>
      <c r="O1757">
        <f>-603.049784969142 -79.118438469344 -765.164785709016</f>
        <v>-1447.333009147502</v>
      </c>
      <c r="P1757">
        <f>-605.983144761336 -108.053181171563 -449.98184910031</f>
        <v>-1164.018175033209</v>
      </c>
      <c r="Q1757">
        <f>-369.062099423705 -10.7475039195451 -495.171385883428</f>
        <v>-874.98098922667805</v>
      </c>
      <c r="R1757" t="s">
        <v>35065</v>
      </c>
      <c r="S1757" t="s">
        <v>35066</v>
      </c>
      <c r="T1757" t="s">
        <v>35067</v>
      </c>
      <c r="U1757" t="s">
        <v>35068</v>
      </c>
      <c r="V1757" t="s">
        <v>35069</v>
      </c>
      <c r="W1757" t="s">
        <v>35070</v>
      </c>
      <c r="X1757" t="s">
        <v>35071</v>
      </c>
      <c r="Y1757" t="s">
        <v>35072</v>
      </c>
    </row>
    <row r="1758" spans="1:25" x14ac:dyDescent="0.3">
      <c r="A1758">
        <v>87850</v>
      </c>
      <c r="B1758" t="s">
        <v>35073</v>
      </c>
      <c r="C1758" t="s">
        <v>35074</v>
      </c>
      <c r="D1758" t="s">
        <v>35075</v>
      </c>
      <c r="E1758" t="s">
        <v>35076</v>
      </c>
      <c r="F1758" t="s">
        <v>35077</v>
      </c>
      <c r="G1758" t="s">
        <v>35078</v>
      </c>
      <c r="H1758" t="s">
        <v>35079</v>
      </c>
      <c r="I1758" t="s">
        <v>35080</v>
      </c>
      <c r="J1758" t="s">
        <v>35081</v>
      </c>
      <c r="K1758" t="s">
        <v>35082</v>
      </c>
      <c r="L1758" t="s">
        <v>35083</v>
      </c>
      <c r="M1758" t="s">
        <v>35084</v>
      </c>
      <c r="N1758" t="s">
        <v>35085</v>
      </c>
      <c r="O1758">
        <f>-603.025303831846 -78.6711920723929 -763.596390483285</f>
        <v>-1445.2928863875238</v>
      </c>
      <c r="P1758">
        <f>-605.615451727531 -106.738456712165 -448.331895493842</f>
        <v>-1160.685803933538</v>
      </c>
      <c r="Q1758">
        <f>-367.627863712265 -12.1023642355798 -493.586387148617</f>
        <v>-873.31661509646187</v>
      </c>
      <c r="R1758" t="s">
        <v>35086</v>
      </c>
      <c r="S1758" t="s">
        <v>35087</v>
      </c>
      <c r="T1758" t="s">
        <v>35088</v>
      </c>
      <c r="U1758" t="s">
        <v>35089</v>
      </c>
      <c r="V1758" t="s">
        <v>35090</v>
      </c>
      <c r="W1758" t="s">
        <v>35091</v>
      </c>
      <c r="X1758" t="s">
        <v>35092</v>
      </c>
      <c r="Y1758" t="s">
        <v>35093</v>
      </c>
    </row>
    <row r="1759" spans="1:25" x14ac:dyDescent="0.3">
      <c r="A1759">
        <v>87900</v>
      </c>
      <c r="B1759" t="s">
        <v>35094</v>
      </c>
      <c r="C1759" t="s">
        <v>35095</v>
      </c>
      <c r="D1759" t="s">
        <v>35096</v>
      </c>
      <c r="E1759" t="s">
        <v>35097</v>
      </c>
      <c r="F1759" t="s">
        <v>35098</v>
      </c>
      <c r="G1759" t="s">
        <v>35099</v>
      </c>
      <c r="H1759" t="s">
        <v>35100</v>
      </c>
      <c r="I1759" t="s">
        <v>35101</v>
      </c>
      <c r="J1759" t="s">
        <v>35102</v>
      </c>
      <c r="K1759" t="s">
        <v>35103</v>
      </c>
      <c r="L1759" t="s">
        <v>35104</v>
      </c>
      <c r="M1759" t="s">
        <v>35105</v>
      </c>
      <c r="N1759" t="s">
        <v>35106</v>
      </c>
      <c r="O1759">
        <f>-603.115160616106 -78.3619869591901 -762.686150887669</f>
        <v>-1444.163298462965</v>
      </c>
      <c r="P1759">
        <f>-606.411241573352 -105.899381034205 -447.38157812799</f>
        <v>-1159.692200735547</v>
      </c>
      <c r="Q1759">
        <f>-368.153250584415 -12.4643083981342 -493.696158052861</f>
        <v>-874.31371703541026</v>
      </c>
      <c r="R1759" t="s">
        <v>35107</v>
      </c>
      <c r="S1759" t="s">
        <v>35108</v>
      </c>
      <c r="T1759" t="s">
        <v>35109</v>
      </c>
      <c r="U1759" t="s">
        <v>35110</v>
      </c>
      <c r="V1759" t="s">
        <v>35111</v>
      </c>
      <c r="W1759" t="s">
        <v>35112</v>
      </c>
      <c r="X1759" t="s">
        <v>35113</v>
      </c>
      <c r="Y1759" t="s">
        <v>35114</v>
      </c>
    </row>
    <row r="1760" spans="1:25" x14ac:dyDescent="0.3">
      <c r="A1760">
        <v>87950</v>
      </c>
      <c r="B1760" t="s">
        <v>35115</v>
      </c>
      <c r="C1760" t="s">
        <v>35116</v>
      </c>
      <c r="D1760" t="s">
        <v>35117</v>
      </c>
      <c r="E1760" t="s">
        <v>35118</v>
      </c>
      <c r="F1760" t="s">
        <v>35119</v>
      </c>
      <c r="G1760" t="s">
        <v>35120</v>
      </c>
      <c r="H1760" t="s">
        <v>35121</v>
      </c>
      <c r="I1760" t="s">
        <v>35122</v>
      </c>
      <c r="J1760" t="s">
        <v>35123</v>
      </c>
      <c r="K1760" t="s">
        <v>35124</v>
      </c>
      <c r="L1760" t="s">
        <v>35125</v>
      </c>
      <c r="M1760" t="s">
        <v>35126</v>
      </c>
      <c r="N1760" t="s">
        <v>35127</v>
      </c>
      <c r="O1760">
        <f>-603.752701207397 -77.40399529077 -760.722831655921</f>
        <v>-1441.8795281540879</v>
      </c>
      <c r="P1760">
        <f>-607.061149685765 -103.199487578703 -445.270969613416</f>
        <v>-1155.5316068778841</v>
      </c>
      <c r="Q1760">
        <f>-367.734525368839 -13.1039119560258 -492.679849785044</f>
        <v>-873.51828710990878</v>
      </c>
      <c r="R1760" t="s">
        <v>35128</v>
      </c>
      <c r="S1760" t="s">
        <v>35129</v>
      </c>
      <c r="T1760" t="s">
        <v>35130</v>
      </c>
      <c r="U1760" t="s">
        <v>35131</v>
      </c>
      <c r="V1760" t="s">
        <v>35132</v>
      </c>
      <c r="W1760" t="s">
        <v>35133</v>
      </c>
      <c r="X1760" t="s">
        <v>35134</v>
      </c>
      <c r="Y1760" t="s">
        <v>35135</v>
      </c>
    </row>
    <row r="1761" spans="1:25" x14ac:dyDescent="0.3">
      <c r="A1761">
        <v>88000</v>
      </c>
      <c r="B1761" t="s">
        <v>35136</v>
      </c>
      <c r="C1761" t="s">
        <v>35137</v>
      </c>
      <c r="D1761" t="s">
        <v>35138</v>
      </c>
      <c r="E1761" t="s">
        <v>35139</v>
      </c>
      <c r="F1761" t="s">
        <v>35140</v>
      </c>
      <c r="G1761" t="s">
        <v>35141</v>
      </c>
      <c r="H1761" t="s">
        <v>35142</v>
      </c>
      <c r="I1761" t="s">
        <v>35143</v>
      </c>
      <c r="J1761" t="s">
        <v>35144</v>
      </c>
      <c r="K1761" t="s">
        <v>35145</v>
      </c>
      <c r="L1761" t="s">
        <v>35146</v>
      </c>
      <c r="M1761" t="s">
        <v>35147</v>
      </c>
      <c r="N1761" t="s">
        <v>35148</v>
      </c>
      <c r="O1761">
        <f>-604.35902802136 -76.8379267262749 -760.002292652024</f>
        <v>-1441.1992473996588</v>
      </c>
      <c r="P1761">
        <f>-607.100940841109 -102.033661036058 -444.496531206988</f>
        <v>-1153.631133084155</v>
      </c>
      <c r="Q1761">
        <f>-367.54276866551 -12.8565581500314 -492.469241533057</f>
        <v>-872.86856834859839</v>
      </c>
      <c r="R1761" t="s">
        <v>35149</v>
      </c>
      <c r="S1761" t="s">
        <v>35150</v>
      </c>
      <c r="T1761" t="s">
        <v>35151</v>
      </c>
      <c r="U1761" t="s">
        <v>35152</v>
      </c>
      <c r="V1761" t="s">
        <v>35153</v>
      </c>
      <c r="W1761" t="s">
        <v>35154</v>
      </c>
      <c r="X1761" t="s">
        <v>35155</v>
      </c>
      <c r="Y1761" t="s">
        <v>35156</v>
      </c>
    </row>
    <row r="1762" spans="1:25" x14ac:dyDescent="0.3">
      <c r="A1762">
        <v>88050</v>
      </c>
      <c r="B1762" t="s">
        <v>35157</v>
      </c>
      <c r="C1762" t="s">
        <v>35158</v>
      </c>
      <c r="D1762" t="s">
        <v>35159</v>
      </c>
      <c r="E1762" t="s">
        <v>35160</v>
      </c>
      <c r="F1762" t="s">
        <v>35161</v>
      </c>
      <c r="G1762" t="s">
        <v>35162</v>
      </c>
      <c r="H1762" t="s">
        <v>35163</v>
      </c>
      <c r="I1762" t="s">
        <v>35164</v>
      </c>
      <c r="J1762" t="s">
        <v>35165</v>
      </c>
      <c r="K1762" t="s">
        <v>35166</v>
      </c>
      <c r="L1762" t="s">
        <v>35167</v>
      </c>
      <c r="M1762" t="s">
        <v>35168</v>
      </c>
      <c r="N1762" t="s">
        <v>35169</v>
      </c>
      <c r="O1762">
        <f>-605.076806571819 -75.8026463944686 -758.758314425836</f>
        <v>-1439.6377673921238</v>
      </c>
      <c r="P1762">
        <f>-606.860277854619 -99.230803785931 -443.109512031721</f>
        <v>-1149.200593672271</v>
      </c>
      <c r="Q1762">
        <f>-366.991288388147 -11.4279724607834 -492.054333079814</f>
        <v>-870.47359392874432</v>
      </c>
      <c r="R1762" t="s">
        <v>35170</v>
      </c>
      <c r="S1762" t="s">
        <v>35171</v>
      </c>
      <c r="T1762" t="s">
        <v>35172</v>
      </c>
      <c r="U1762" t="s">
        <v>35173</v>
      </c>
      <c r="V1762" t="s">
        <v>35174</v>
      </c>
      <c r="W1762" t="s">
        <v>35175</v>
      </c>
      <c r="X1762" t="s">
        <v>35176</v>
      </c>
      <c r="Y1762" t="s">
        <v>35177</v>
      </c>
    </row>
    <row r="1763" spans="1:25" x14ac:dyDescent="0.3">
      <c r="A1763">
        <v>88100</v>
      </c>
      <c r="B1763" t="s">
        <v>35178</v>
      </c>
      <c r="C1763" t="s">
        <v>35179</v>
      </c>
      <c r="D1763" t="s">
        <v>35180</v>
      </c>
      <c r="E1763" t="s">
        <v>35181</v>
      </c>
      <c r="F1763" t="s">
        <v>35182</v>
      </c>
      <c r="G1763" t="s">
        <v>35183</v>
      </c>
      <c r="H1763" t="s">
        <v>35184</v>
      </c>
      <c r="I1763" t="s">
        <v>35185</v>
      </c>
      <c r="J1763" t="s">
        <v>35186</v>
      </c>
      <c r="K1763" t="s">
        <v>35187</v>
      </c>
      <c r="L1763" t="s">
        <v>35188</v>
      </c>
      <c r="M1763" t="s">
        <v>35189</v>
      </c>
      <c r="N1763" t="s">
        <v>35190</v>
      </c>
      <c r="O1763">
        <f>-604.728803566212 -75.2249137573527 -758.266896671118</f>
        <v>-1438.2206139946829</v>
      </c>
      <c r="P1763">
        <f>-605.957309203693 -97.784142632386 -442.552156643496</f>
        <v>-1146.2936084795749</v>
      </c>
      <c r="Q1763">
        <f>-365.838412351207 -10.7526015610915 -491.648526851697</f>
        <v>-868.23954076399559</v>
      </c>
      <c r="R1763" t="s">
        <v>35191</v>
      </c>
      <c r="S1763" t="s">
        <v>35192</v>
      </c>
      <c r="T1763" t="s">
        <v>35193</v>
      </c>
      <c r="U1763" t="s">
        <v>35194</v>
      </c>
      <c r="V1763" t="s">
        <v>35195</v>
      </c>
      <c r="W1763" t="s">
        <v>35196</v>
      </c>
      <c r="X1763" t="s">
        <v>35197</v>
      </c>
      <c r="Y1763" t="s">
        <v>35198</v>
      </c>
    </row>
    <row r="1764" spans="1:25" x14ac:dyDescent="0.3">
      <c r="A1764">
        <v>88150</v>
      </c>
      <c r="B1764" t="s">
        <v>35199</v>
      </c>
      <c r="C1764" t="s">
        <v>35200</v>
      </c>
      <c r="D1764" t="s">
        <v>35201</v>
      </c>
      <c r="E1764" t="s">
        <v>35202</v>
      </c>
      <c r="F1764" t="s">
        <v>35203</v>
      </c>
      <c r="G1764" t="s">
        <v>35204</v>
      </c>
      <c r="H1764" t="s">
        <v>35205</v>
      </c>
      <c r="I1764" t="s">
        <v>35206</v>
      </c>
      <c r="J1764" t="s">
        <v>35207</v>
      </c>
      <c r="K1764" t="s">
        <v>35208</v>
      </c>
      <c r="L1764" t="s">
        <v>35209</v>
      </c>
      <c r="M1764" t="s">
        <v>35210</v>
      </c>
      <c r="N1764" t="s">
        <v>35211</v>
      </c>
      <c r="O1764">
        <f>-603.918484758557 -75.3630689850512 -757.274680396527</f>
        <v>-1436.5562341401351</v>
      </c>
      <c r="P1764">
        <f>-604.775367204961 -96.3172864757552 -441.448262738755</f>
        <v>-1142.5409164194712</v>
      </c>
      <c r="Q1764">
        <f>-364.328216494286 -10.3046871062024 -490.733926878204</f>
        <v>-865.36683047869235</v>
      </c>
      <c r="R1764" t="s">
        <v>35212</v>
      </c>
      <c r="S1764" t="s">
        <v>35213</v>
      </c>
      <c r="T1764" t="s">
        <v>35214</v>
      </c>
      <c r="U1764" t="s">
        <v>35215</v>
      </c>
      <c r="V1764" t="s">
        <v>35216</v>
      </c>
      <c r="W1764" t="s">
        <v>35217</v>
      </c>
      <c r="X1764" t="s">
        <v>35218</v>
      </c>
      <c r="Y1764" t="s">
        <v>35219</v>
      </c>
    </row>
    <row r="1765" spans="1:25" x14ac:dyDescent="0.3">
      <c r="A1765">
        <v>88200</v>
      </c>
      <c r="B1765" t="s">
        <v>35220</v>
      </c>
      <c r="C1765" t="s">
        <v>35221</v>
      </c>
      <c r="D1765" t="s">
        <v>35222</v>
      </c>
      <c r="E1765" t="s">
        <v>35223</v>
      </c>
      <c r="F1765" t="s">
        <v>35224</v>
      </c>
      <c r="G1765" t="s">
        <v>35225</v>
      </c>
      <c r="H1765" t="s">
        <v>35226</v>
      </c>
      <c r="I1765" t="s">
        <v>35227</v>
      </c>
      <c r="J1765" t="s">
        <v>35228</v>
      </c>
      <c r="K1765" t="s">
        <v>35229</v>
      </c>
      <c r="L1765" t="s">
        <v>35230</v>
      </c>
      <c r="M1765" t="s">
        <v>35231</v>
      </c>
      <c r="N1765" t="s">
        <v>35232</v>
      </c>
      <c r="O1765">
        <f>-603.807670894923 -75.7867418637787 -756.561147351173</f>
        <v>-1436.1555601098748</v>
      </c>
      <c r="P1765">
        <f>-604.24141342942 -95.9243222017442 -440.680625462548</f>
        <v>-1140.8463610937122</v>
      </c>
      <c r="Q1765">
        <f>-363.509356646898 -10.6167219366577 -489.800321017393</f>
        <v>-863.9263996009488</v>
      </c>
      <c r="R1765" t="s">
        <v>35233</v>
      </c>
      <c r="S1765" t="s">
        <v>35234</v>
      </c>
      <c r="T1765" t="s">
        <v>35235</v>
      </c>
      <c r="U1765" t="s">
        <v>35236</v>
      </c>
      <c r="V1765" t="s">
        <v>35237</v>
      </c>
      <c r="W1765" t="s">
        <v>35238</v>
      </c>
      <c r="X1765" t="s">
        <v>35239</v>
      </c>
      <c r="Y1765" t="s">
        <v>35240</v>
      </c>
    </row>
    <row r="1766" spans="1:25" x14ac:dyDescent="0.3">
      <c r="A1766">
        <v>88250</v>
      </c>
      <c r="B1766" t="s">
        <v>35241</v>
      </c>
      <c r="C1766" t="s">
        <v>35242</v>
      </c>
      <c r="D1766" t="s">
        <v>35243</v>
      </c>
      <c r="E1766" t="s">
        <v>35244</v>
      </c>
      <c r="F1766" t="s">
        <v>35245</v>
      </c>
      <c r="G1766" t="s">
        <v>35246</v>
      </c>
      <c r="H1766" t="s">
        <v>35247</v>
      </c>
      <c r="I1766" t="s">
        <v>35248</v>
      </c>
      <c r="J1766" t="s">
        <v>35249</v>
      </c>
      <c r="K1766" t="s">
        <v>35250</v>
      </c>
      <c r="L1766" t="s">
        <v>35251</v>
      </c>
      <c r="M1766" t="s">
        <v>35252</v>
      </c>
      <c r="N1766" t="s">
        <v>35253</v>
      </c>
      <c r="O1766">
        <f>-603.301315772033 -77.1891240247061 -755.097247403059</f>
        <v>-1435.587687199798</v>
      </c>
      <c r="P1766">
        <f>-603.092936978782 -95.5805552635114 -439.110003467236</f>
        <v>-1137.7834957095295</v>
      </c>
      <c r="Q1766">
        <f>-361.813111326608 -11.4514867212039 -487.57043164265</f>
        <v>-860.83502969046185</v>
      </c>
      <c r="R1766" t="s">
        <v>35254</v>
      </c>
      <c r="S1766" t="s">
        <v>35255</v>
      </c>
      <c r="T1766" t="s">
        <v>35256</v>
      </c>
      <c r="U1766" t="s">
        <v>35257</v>
      </c>
      <c r="V1766" t="s">
        <v>35258</v>
      </c>
      <c r="W1766" t="s">
        <v>35259</v>
      </c>
      <c r="X1766" t="s">
        <v>35260</v>
      </c>
      <c r="Y1766" t="s">
        <v>35261</v>
      </c>
    </row>
    <row r="1767" spans="1:25" x14ac:dyDescent="0.3">
      <c r="A1767">
        <v>88300</v>
      </c>
      <c r="B1767" t="s">
        <v>35262</v>
      </c>
      <c r="C1767" t="s">
        <v>35263</v>
      </c>
      <c r="D1767" t="s">
        <v>35264</v>
      </c>
      <c r="E1767" t="s">
        <v>35265</v>
      </c>
      <c r="F1767" t="s">
        <v>35266</v>
      </c>
      <c r="G1767" t="s">
        <v>35267</v>
      </c>
      <c r="H1767" t="s">
        <v>35268</v>
      </c>
      <c r="I1767" t="s">
        <v>35269</v>
      </c>
      <c r="J1767" t="s">
        <v>35270</v>
      </c>
      <c r="K1767" t="s">
        <v>35271</v>
      </c>
      <c r="L1767" t="s">
        <v>35272</v>
      </c>
      <c r="M1767" t="s">
        <v>35273</v>
      </c>
      <c r="N1767" t="s">
        <v>35274</v>
      </c>
      <c r="O1767">
        <f>-603.041497229207 -77.8376128015314 -754.450998879356</f>
        <v>-1435.3301089100946</v>
      </c>
      <c r="P1767">
        <f>-602.670360896536 -95.4603361505626 -438.420153045222</f>
        <v>-1136.5508500923206</v>
      </c>
      <c r="Q1767">
        <f>-361.336776981251 -11.3866051856952 -486.708833321138</f>
        <v>-859.43221548808424</v>
      </c>
      <c r="R1767" t="s">
        <v>35275</v>
      </c>
      <c r="S1767" t="s">
        <v>35276</v>
      </c>
      <c r="T1767" t="s">
        <v>35277</v>
      </c>
      <c r="U1767" t="s">
        <v>35278</v>
      </c>
      <c r="V1767" t="s">
        <v>35279</v>
      </c>
      <c r="W1767" t="s">
        <v>35280</v>
      </c>
      <c r="X1767" t="s">
        <v>35281</v>
      </c>
      <c r="Y1767" t="s">
        <v>35282</v>
      </c>
    </row>
    <row r="1768" spans="1:25" x14ac:dyDescent="0.3">
      <c r="A1768">
        <v>88350</v>
      </c>
      <c r="B1768" t="s">
        <v>35283</v>
      </c>
      <c r="C1768" t="s">
        <v>35284</v>
      </c>
      <c r="D1768" t="s">
        <v>35285</v>
      </c>
      <c r="E1768" t="s">
        <v>35286</v>
      </c>
      <c r="F1768" t="s">
        <v>35287</v>
      </c>
      <c r="G1768" t="s">
        <v>35288</v>
      </c>
      <c r="H1768" t="s">
        <v>35289</v>
      </c>
      <c r="I1768" t="s">
        <v>35290</v>
      </c>
      <c r="J1768" t="s">
        <v>35291</v>
      </c>
      <c r="K1768" t="s">
        <v>35292</v>
      </c>
      <c r="L1768" t="s">
        <v>35293</v>
      </c>
      <c r="M1768" t="s">
        <v>35294</v>
      </c>
      <c r="N1768" t="s">
        <v>35295</v>
      </c>
      <c r="O1768">
        <f>-602.823974262976 -79.6570541135929 -752.86101620226</f>
        <v>-1435.3420445788288</v>
      </c>
      <c r="P1768">
        <f>-601.813442233775 -95.2402074812007 -436.724529254871</f>
        <v>-1133.7781789698467</v>
      </c>
      <c r="Q1768">
        <f>-360.632722192208 -11.0790557277077 -485.620541473697</f>
        <v>-857.33231939361281</v>
      </c>
      <c r="R1768" t="s">
        <v>35296</v>
      </c>
      <c r="S1768" t="s">
        <v>35297</v>
      </c>
      <c r="T1768" t="s">
        <v>35298</v>
      </c>
      <c r="U1768" t="s">
        <v>35299</v>
      </c>
      <c r="V1768" t="s">
        <v>35300</v>
      </c>
      <c r="W1768" t="s">
        <v>35301</v>
      </c>
      <c r="X1768" t="s">
        <v>35302</v>
      </c>
      <c r="Y1768" t="s">
        <v>35303</v>
      </c>
    </row>
    <row r="1769" spans="1:25" x14ac:dyDescent="0.3">
      <c r="A1769">
        <v>88400</v>
      </c>
      <c r="B1769" t="s">
        <v>35304</v>
      </c>
      <c r="C1769" t="s">
        <v>35305</v>
      </c>
      <c r="D1769" t="s">
        <v>35306</v>
      </c>
      <c r="E1769" t="s">
        <v>35307</v>
      </c>
      <c r="F1769" t="s">
        <v>35308</v>
      </c>
      <c r="G1769" t="s">
        <v>35309</v>
      </c>
      <c r="H1769" t="s">
        <v>35310</v>
      </c>
      <c r="I1769" t="s">
        <v>35311</v>
      </c>
      <c r="J1769" t="s">
        <v>35312</v>
      </c>
      <c r="K1769" t="s">
        <v>35313</v>
      </c>
      <c r="L1769" t="s">
        <v>35314</v>
      </c>
      <c r="M1769" t="s">
        <v>35315</v>
      </c>
      <c r="N1769" t="s">
        <v>35316</v>
      </c>
      <c r="O1769">
        <f>-602.546649214805 -81.344767708389 -751.716435456796</f>
        <v>-1435.6078523799902</v>
      </c>
      <c r="P1769">
        <f>-601.327617938316 -95.6012015243473 -435.518089597862</f>
        <v>-1132.4469090605253</v>
      </c>
      <c r="Q1769">
        <f>-360.288443985252 -11.5348326470711 -485.267608251158</f>
        <v>-857.09088488348107</v>
      </c>
      <c r="R1769" t="s">
        <v>35317</v>
      </c>
      <c r="S1769" t="s">
        <v>35318</v>
      </c>
      <c r="T1769" t="s">
        <v>35319</v>
      </c>
      <c r="U1769" t="s">
        <v>35320</v>
      </c>
      <c r="V1769" t="s">
        <v>35321</v>
      </c>
      <c r="W1769" t="s">
        <v>35322</v>
      </c>
      <c r="X1769" t="s">
        <v>35323</v>
      </c>
      <c r="Y1769" t="s">
        <v>35324</v>
      </c>
    </row>
    <row r="1770" spans="1:25" x14ac:dyDescent="0.3">
      <c r="A1770">
        <v>88450</v>
      </c>
      <c r="B1770" t="s">
        <v>35325</v>
      </c>
      <c r="C1770" t="s">
        <v>35326</v>
      </c>
      <c r="D1770" t="s">
        <v>35327</v>
      </c>
      <c r="E1770" t="s">
        <v>35328</v>
      </c>
      <c r="F1770" t="s">
        <v>35329</v>
      </c>
      <c r="G1770" t="s">
        <v>35330</v>
      </c>
      <c r="H1770" t="s">
        <v>35331</v>
      </c>
      <c r="I1770" t="s">
        <v>35332</v>
      </c>
      <c r="J1770" t="s">
        <v>35333</v>
      </c>
      <c r="K1770" t="s">
        <v>35334</v>
      </c>
      <c r="L1770" t="s">
        <v>35335</v>
      </c>
      <c r="M1770" t="s">
        <v>35336</v>
      </c>
      <c r="N1770" t="s">
        <v>35337</v>
      </c>
      <c r="O1770">
        <f>-602.910763409584 -84.5676691624193 -749.086476330726</f>
        <v>-1436.5649089027293</v>
      </c>
      <c r="P1770">
        <f>-599.656470580998 -96.4243705194861 -432.803402384018</f>
        <v>-1128.8842434845021</v>
      </c>
      <c r="Q1770">
        <f>-358.556584249547 -13.284481250157 -483.800176772325</f>
        <v>-855.64124227202899</v>
      </c>
      <c r="R1770" t="s">
        <v>35338</v>
      </c>
      <c r="S1770" t="s">
        <v>35339</v>
      </c>
      <c r="T1770" t="s">
        <v>35340</v>
      </c>
      <c r="U1770" t="s">
        <v>35341</v>
      </c>
      <c r="V1770" t="s">
        <v>35342</v>
      </c>
      <c r="W1770" t="s">
        <v>35343</v>
      </c>
      <c r="X1770" t="s">
        <v>35344</v>
      </c>
      <c r="Y1770" t="s">
        <v>35345</v>
      </c>
    </row>
    <row r="1771" spans="1:25" x14ac:dyDescent="0.3">
      <c r="A1771">
        <v>88500</v>
      </c>
      <c r="B1771" t="s">
        <v>35346</v>
      </c>
      <c r="C1771" t="s">
        <v>35347</v>
      </c>
      <c r="D1771" t="s">
        <v>35348</v>
      </c>
      <c r="E1771" t="s">
        <v>35349</v>
      </c>
      <c r="F1771" t="s">
        <v>35350</v>
      </c>
      <c r="G1771" t="s">
        <v>35351</v>
      </c>
      <c r="H1771" t="s">
        <v>35352</v>
      </c>
      <c r="I1771" t="s">
        <v>35353</v>
      </c>
      <c r="J1771" t="s">
        <v>35354</v>
      </c>
      <c r="K1771" t="s">
        <v>35355</v>
      </c>
      <c r="L1771" t="s">
        <v>35356</v>
      </c>
      <c r="M1771" t="s">
        <v>35357</v>
      </c>
      <c r="N1771" t="s">
        <v>35358</v>
      </c>
      <c r="O1771">
        <f>-603.205267380049 -86.1914537610162 -747.826463269745</f>
        <v>-1437.2231844108101</v>
      </c>
      <c r="P1771">
        <f>-598.891649936504 -96.3490770184312 -431.496891669636</f>
        <v>-1126.7376186245713</v>
      </c>
      <c r="Q1771">
        <f>-357.622023402038 -14.0736739514828 -483.089276799545</f>
        <v>-854.78497415306583</v>
      </c>
      <c r="R1771" t="s">
        <v>35359</v>
      </c>
      <c r="S1771" t="s">
        <v>35360</v>
      </c>
      <c r="T1771" t="s">
        <v>35361</v>
      </c>
      <c r="U1771" t="s">
        <v>35362</v>
      </c>
      <c r="V1771" t="s">
        <v>35363</v>
      </c>
      <c r="W1771" t="s">
        <v>35364</v>
      </c>
      <c r="X1771" t="s">
        <v>35365</v>
      </c>
      <c r="Y1771" t="s">
        <v>35366</v>
      </c>
    </row>
    <row r="1772" spans="1:25" x14ac:dyDescent="0.3">
      <c r="A1772">
        <v>88550</v>
      </c>
      <c r="B1772" t="s">
        <v>35367</v>
      </c>
      <c r="C1772" t="s">
        <v>35368</v>
      </c>
      <c r="D1772" t="s">
        <v>35369</v>
      </c>
      <c r="E1772" t="s">
        <v>35370</v>
      </c>
      <c r="F1772" t="s">
        <v>35371</v>
      </c>
      <c r="G1772" t="s">
        <v>35372</v>
      </c>
      <c r="H1772" t="s">
        <v>35373</v>
      </c>
      <c r="I1772" t="s">
        <v>35374</v>
      </c>
      <c r="J1772" t="s">
        <v>35375</v>
      </c>
      <c r="K1772" t="s">
        <v>35376</v>
      </c>
      <c r="L1772" t="s">
        <v>35377</v>
      </c>
      <c r="M1772" t="s">
        <v>35378</v>
      </c>
      <c r="N1772" t="s">
        <v>35379</v>
      </c>
      <c r="O1772">
        <f>-603.460833760199 -89.4282543265928 -745.226593258019</f>
        <v>-1438.1156813448106</v>
      </c>
      <c r="P1772">
        <f>-597.418653632064 -96.9020787712983 -428.850419575455</f>
        <v>-1123.1711519788173</v>
      </c>
      <c r="Q1772">
        <f>-355.902358517365 -15.9175710340141 -481.32356216562</f>
        <v>-853.14349171699905</v>
      </c>
      <c r="R1772" t="s">
        <v>35380</v>
      </c>
      <c r="S1772" t="s">
        <v>35381</v>
      </c>
      <c r="T1772" t="s">
        <v>35382</v>
      </c>
      <c r="U1772" t="s">
        <v>35383</v>
      </c>
      <c r="V1772" t="s">
        <v>35384</v>
      </c>
      <c r="W1772" t="s">
        <v>35385</v>
      </c>
      <c r="X1772" t="s">
        <v>35386</v>
      </c>
      <c r="Y1772" t="s">
        <v>35387</v>
      </c>
    </row>
    <row r="1773" spans="1:25" x14ac:dyDescent="0.3">
      <c r="A1773">
        <v>88600</v>
      </c>
      <c r="B1773" t="s">
        <v>35388</v>
      </c>
      <c r="C1773" t="s">
        <v>35389</v>
      </c>
      <c r="D1773" t="s">
        <v>35390</v>
      </c>
      <c r="E1773" t="s">
        <v>35391</v>
      </c>
      <c r="F1773" t="s">
        <v>35392</v>
      </c>
      <c r="G1773" t="s">
        <v>35393</v>
      </c>
      <c r="H1773" t="s">
        <v>35394</v>
      </c>
      <c r="I1773" t="s">
        <v>35395</v>
      </c>
      <c r="J1773" t="s">
        <v>35396</v>
      </c>
      <c r="K1773" t="s">
        <v>35397</v>
      </c>
      <c r="L1773" t="s">
        <v>35398</v>
      </c>
      <c r="M1773" t="s">
        <v>35399</v>
      </c>
      <c r="N1773" t="s">
        <v>35400</v>
      </c>
      <c r="O1773">
        <f>-603.491619986936 -91.2877490931209 -743.955623566664</f>
        <v>-1438.7349926467209</v>
      </c>
      <c r="P1773">
        <f>-596.885223397405 -97.3541030854175 -427.560826674775</f>
        <v>-1121.8001531575974</v>
      </c>
      <c r="Q1773">
        <f>-355.308101588774 -16.8993089716579 -480.566136292569</f>
        <v>-852.77354685300088</v>
      </c>
      <c r="R1773" t="s">
        <v>35401</v>
      </c>
      <c r="S1773" t="s">
        <v>35402</v>
      </c>
      <c r="T1773" t="s">
        <v>35403</v>
      </c>
      <c r="U1773" t="s">
        <v>35404</v>
      </c>
      <c r="V1773" t="s">
        <v>35405</v>
      </c>
      <c r="W1773" t="s">
        <v>35406</v>
      </c>
      <c r="X1773" t="s">
        <v>35407</v>
      </c>
      <c r="Y1773" t="s">
        <v>35408</v>
      </c>
    </row>
    <row r="1774" spans="1:25" x14ac:dyDescent="0.3">
      <c r="A1774">
        <v>88650</v>
      </c>
      <c r="B1774" t="s">
        <v>35409</v>
      </c>
      <c r="C1774" t="s">
        <v>35410</v>
      </c>
      <c r="D1774" t="s">
        <v>35411</v>
      </c>
      <c r="E1774" t="s">
        <v>35412</v>
      </c>
      <c r="F1774" t="s">
        <v>35413</v>
      </c>
      <c r="G1774" t="s">
        <v>35414</v>
      </c>
      <c r="H1774" t="s">
        <v>35415</v>
      </c>
      <c r="I1774" t="s">
        <v>35416</v>
      </c>
      <c r="J1774" t="s">
        <v>35417</v>
      </c>
      <c r="K1774" t="s">
        <v>35418</v>
      </c>
      <c r="L1774" t="s">
        <v>35419</v>
      </c>
      <c r="M1774" t="s">
        <v>35420</v>
      </c>
      <c r="N1774" t="s">
        <v>35421</v>
      </c>
      <c r="O1774">
        <f>-604.763184983666 -95.1151885012433 -740.990483676844</f>
        <v>-1440.8688571617531</v>
      </c>
      <c r="P1774">
        <f>-596.134037608221 -98.1916441376433 -424.601047653511</f>
        <v>-1118.9267293993753</v>
      </c>
      <c r="Q1774">
        <f>-354.320613335852 -19.1440823989551 -478.63627237503</f>
        <v>-852.10096810983714</v>
      </c>
      <c r="R1774" t="s">
        <v>35422</v>
      </c>
      <c r="S1774" t="s">
        <v>35423</v>
      </c>
      <c r="T1774" t="s">
        <v>35424</v>
      </c>
      <c r="U1774" t="s">
        <v>35425</v>
      </c>
      <c r="V1774" t="s">
        <v>35426</v>
      </c>
      <c r="W1774" t="s">
        <v>35427</v>
      </c>
      <c r="X1774" t="s">
        <v>35428</v>
      </c>
      <c r="Y1774" t="s">
        <v>35429</v>
      </c>
    </row>
    <row r="1775" spans="1:25" x14ac:dyDescent="0.3">
      <c r="A1775">
        <v>88700</v>
      </c>
      <c r="B1775" t="s">
        <v>35430</v>
      </c>
      <c r="C1775" t="s">
        <v>35431</v>
      </c>
      <c r="D1775" t="s">
        <v>35432</v>
      </c>
      <c r="E1775" t="s">
        <v>35433</v>
      </c>
      <c r="F1775" t="s">
        <v>35434</v>
      </c>
      <c r="G1775" t="s">
        <v>35435</v>
      </c>
      <c r="H1775" t="s">
        <v>35436</v>
      </c>
      <c r="I1775" t="s">
        <v>35437</v>
      </c>
      <c r="J1775" t="s">
        <v>35438</v>
      </c>
      <c r="K1775" t="s">
        <v>35439</v>
      </c>
      <c r="L1775" t="s">
        <v>35440</v>
      </c>
      <c r="M1775" t="s">
        <v>35441</v>
      </c>
      <c r="N1775" t="s">
        <v>35442</v>
      </c>
      <c r="O1775">
        <f>-606.004441982461 -97.3762183463227 -739.106236716567</f>
        <v>-1442.4868970453508</v>
      </c>
      <c r="P1775">
        <f>-596.012740413373 -98.8688476529645 -422.745529082622</f>
        <v>-1117.6271171489595</v>
      </c>
      <c r="Q1775">
        <f>-354.005578037514 -20.8646814062828 -477.426106506715</f>
        <v>-852.2963659505117</v>
      </c>
      <c r="R1775" t="s">
        <v>35443</v>
      </c>
      <c r="S1775" t="s">
        <v>35444</v>
      </c>
      <c r="T1775" t="s">
        <v>35445</v>
      </c>
      <c r="U1775" t="s">
        <v>35446</v>
      </c>
      <c r="V1775" t="s">
        <v>35447</v>
      </c>
      <c r="W1775" t="s">
        <v>35448</v>
      </c>
      <c r="X1775" t="s">
        <v>35449</v>
      </c>
      <c r="Y1775" t="s">
        <v>35450</v>
      </c>
    </row>
    <row r="1776" spans="1:25" x14ac:dyDescent="0.3">
      <c r="A1776">
        <v>88750</v>
      </c>
      <c r="B1776" t="s">
        <v>35451</v>
      </c>
      <c r="C1776" t="s">
        <v>35452</v>
      </c>
      <c r="D1776" t="s">
        <v>35453</v>
      </c>
      <c r="E1776" t="s">
        <v>35454</v>
      </c>
      <c r="F1776" t="s">
        <v>35455</v>
      </c>
      <c r="G1776" t="s">
        <v>35456</v>
      </c>
      <c r="H1776" t="s">
        <v>35457</v>
      </c>
      <c r="I1776" t="s">
        <v>35458</v>
      </c>
      <c r="J1776" t="s">
        <v>35459</v>
      </c>
      <c r="K1776" t="s">
        <v>35460</v>
      </c>
      <c r="L1776" t="s">
        <v>35461</v>
      </c>
      <c r="M1776" t="s">
        <v>35462</v>
      </c>
      <c r="N1776" t="s">
        <v>35463</v>
      </c>
      <c r="O1776">
        <f>-607.646510774184 -101.773415452526 -735.340468183996</f>
        <v>-1444.7603944107059</v>
      </c>
      <c r="P1776">
        <f>-595.543767784629 -99.4694737870408 -419.058359988975</f>
        <v>-1114.0716015606449</v>
      </c>
      <c r="Q1776">
        <f>-353.172269587393 -23.5523328943011 -475.046666963509</f>
        <v>-851.77126944520307</v>
      </c>
      <c r="R1776" t="s">
        <v>35464</v>
      </c>
      <c r="S1776" t="s">
        <v>35465</v>
      </c>
      <c r="T1776" t="s">
        <v>35466</v>
      </c>
      <c r="U1776" t="s">
        <v>35467</v>
      </c>
      <c r="V1776" t="s">
        <v>35468</v>
      </c>
      <c r="W1776" t="s">
        <v>35469</v>
      </c>
      <c r="X1776" t="s">
        <v>35470</v>
      </c>
      <c r="Y1776" t="s">
        <v>35471</v>
      </c>
    </row>
    <row r="1777" spans="1:25" x14ac:dyDescent="0.3">
      <c r="A1777">
        <v>88800</v>
      </c>
      <c r="B1777" t="s">
        <v>35472</v>
      </c>
      <c r="C1777" t="s">
        <v>35473</v>
      </c>
      <c r="D1777" t="s">
        <v>35474</v>
      </c>
      <c r="E1777" t="s">
        <v>35475</v>
      </c>
      <c r="F1777" t="s">
        <v>35476</v>
      </c>
      <c r="G1777" t="s">
        <v>35477</v>
      </c>
      <c r="H1777" t="s">
        <v>35478</v>
      </c>
      <c r="I1777" t="s">
        <v>35479</v>
      </c>
      <c r="J1777" t="s">
        <v>35480</v>
      </c>
      <c r="K1777" t="s">
        <v>35481</v>
      </c>
      <c r="L1777" t="s">
        <v>35482</v>
      </c>
      <c r="M1777" t="s">
        <v>35483</v>
      </c>
      <c r="N1777" t="s">
        <v>35484</v>
      </c>
      <c r="O1777">
        <f>-608.717771359548 -103.333040692841 -733.762988804528</f>
        <v>-1445.8138008569172</v>
      </c>
      <c r="P1777">
        <f>-595.894580535656 -99.222479160934 -417.527432723311</f>
        <v>-1112.6444924199009</v>
      </c>
      <c r="Q1777">
        <f>-353.303306499886 -24.4825466259621 -474.144318179406</f>
        <v>-851.93017130525413</v>
      </c>
      <c r="R1777" t="s">
        <v>35485</v>
      </c>
      <c r="S1777" t="s">
        <v>35486</v>
      </c>
      <c r="T1777" t="s">
        <v>35487</v>
      </c>
      <c r="U1777" t="s">
        <v>35488</v>
      </c>
      <c r="V1777" t="s">
        <v>35489</v>
      </c>
      <c r="W1777" t="s">
        <v>35490</v>
      </c>
      <c r="X1777" t="s">
        <v>35491</v>
      </c>
      <c r="Y1777" t="s">
        <v>35492</v>
      </c>
    </row>
    <row r="1778" spans="1:25" x14ac:dyDescent="0.3">
      <c r="A1778">
        <v>88850</v>
      </c>
      <c r="B1778" t="s">
        <v>35493</v>
      </c>
      <c r="C1778" t="s">
        <v>35494</v>
      </c>
      <c r="D1778" t="s">
        <v>35495</v>
      </c>
      <c r="E1778" t="s">
        <v>35496</v>
      </c>
      <c r="F1778" t="s">
        <v>35497</v>
      </c>
      <c r="G1778" t="s">
        <v>35498</v>
      </c>
      <c r="H1778" t="s">
        <v>35499</v>
      </c>
      <c r="I1778" t="s">
        <v>35500</v>
      </c>
      <c r="J1778" t="s">
        <v>35501</v>
      </c>
      <c r="K1778" t="s">
        <v>35502</v>
      </c>
      <c r="L1778" t="s">
        <v>35503</v>
      </c>
      <c r="M1778" t="s">
        <v>35504</v>
      </c>
      <c r="N1778" t="s">
        <v>35505</v>
      </c>
      <c r="O1778">
        <f>-610.035593277438 -105.940657144128 -731.472471664562</f>
        <v>-1447.4487220861279</v>
      </c>
      <c r="P1778">
        <f>-596.500393352457 -98.9756699612346 -415.316693852953</f>
        <v>-1110.7927571666446</v>
      </c>
      <c r="Q1778">
        <f>-353.373192367863 -26.0369011038447 -471.98372132111</f>
        <v>-851.39381479281769</v>
      </c>
      <c r="R1778" t="s">
        <v>35506</v>
      </c>
      <c r="S1778" t="s">
        <v>35507</v>
      </c>
      <c r="T1778" t="s">
        <v>35508</v>
      </c>
      <c r="U1778" t="s">
        <v>35509</v>
      </c>
      <c r="V1778" t="s">
        <v>35510</v>
      </c>
      <c r="W1778" t="s">
        <v>35511</v>
      </c>
      <c r="X1778" t="s">
        <v>35512</v>
      </c>
      <c r="Y1778" t="s">
        <v>35513</v>
      </c>
    </row>
    <row r="1779" spans="1:25" x14ac:dyDescent="0.3">
      <c r="A1779">
        <v>88900</v>
      </c>
      <c r="B1779" t="s">
        <v>35514</v>
      </c>
      <c r="C1779" t="s">
        <v>35515</v>
      </c>
      <c r="D1779" t="s">
        <v>35516</v>
      </c>
      <c r="E1779" t="s">
        <v>35517</v>
      </c>
      <c r="F1779" t="s">
        <v>35518</v>
      </c>
      <c r="G1779" t="s">
        <v>35519</v>
      </c>
      <c r="H1779" t="s">
        <v>35520</v>
      </c>
      <c r="I1779" t="s">
        <v>35521</v>
      </c>
      <c r="J1779" t="s">
        <v>35522</v>
      </c>
      <c r="K1779" t="s">
        <v>35523</v>
      </c>
      <c r="L1779" t="s">
        <v>35524</v>
      </c>
      <c r="M1779" t="s">
        <v>35525</v>
      </c>
      <c r="N1779" t="s">
        <v>35526</v>
      </c>
      <c r="O1779">
        <f>-609.798854371242 -106.841989163883 -730.658087271166</f>
        <v>-1447.2989308062911</v>
      </c>
      <c r="P1779">
        <f>-596.325912758028 -98.7091766906727 -414.527543561043</f>
        <v>-1109.5626330097439</v>
      </c>
      <c r="Q1779">
        <f>-352.996242139496 -26.3263977520861 -471.038278778692</f>
        <v>-850.36091867027415</v>
      </c>
      <c r="R1779" t="s">
        <v>35527</v>
      </c>
      <c r="S1779" t="s">
        <v>35528</v>
      </c>
      <c r="T1779" t="s">
        <v>35529</v>
      </c>
      <c r="U1779" t="s">
        <v>35530</v>
      </c>
      <c r="V1779" t="s">
        <v>35531</v>
      </c>
      <c r="W1779" t="s">
        <v>35532</v>
      </c>
      <c r="X1779" t="s">
        <v>35533</v>
      </c>
      <c r="Y1779" t="s">
        <v>35534</v>
      </c>
    </row>
    <row r="1780" spans="1:25" x14ac:dyDescent="0.3">
      <c r="A1780">
        <v>88950</v>
      </c>
      <c r="B1780" t="s">
        <v>35535</v>
      </c>
      <c r="C1780" t="s">
        <v>35536</v>
      </c>
      <c r="D1780" t="s">
        <v>35537</v>
      </c>
      <c r="E1780" t="s">
        <v>35538</v>
      </c>
      <c r="F1780" t="s">
        <v>35539</v>
      </c>
      <c r="G1780" t="s">
        <v>35540</v>
      </c>
      <c r="H1780" t="s">
        <v>35541</v>
      </c>
      <c r="I1780" t="s">
        <v>35542</v>
      </c>
      <c r="J1780" t="s">
        <v>35543</v>
      </c>
      <c r="K1780" t="s">
        <v>35544</v>
      </c>
      <c r="L1780" t="s">
        <v>35545</v>
      </c>
      <c r="M1780" t="s">
        <v>35546</v>
      </c>
      <c r="N1780" t="s">
        <v>35547</v>
      </c>
      <c r="O1780">
        <f>-607.319990382682 -107.333268699866 -729.644077579206</f>
        <v>-1444.2973366617541</v>
      </c>
      <c r="P1780">
        <f>-594.258591683754 -97.9181804268089 -413.531922894642</f>
        <v>-1105.7086950052048</v>
      </c>
      <c r="Q1780">
        <f>-350.789381425561 -25.9094699339993 -469.919275507195</f>
        <v>-846.61812686675523</v>
      </c>
      <c r="R1780" t="s">
        <v>35548</v>
      </c>
      <c r="S1780" t="s">
        <v>35549</v>
      </c>
      <c r="T1780" t="s">
        <v>35550</v>
      </c>
      <c r="U1780" t="s">
        <v>35551</v>
      </c>
      <c r="V1780" t="s">
        <v>35552</v>
      </c>
      <c r="W1780" t="s">
        <v>35553</v>
      </c>
      <c r="X1780" t="s">
        <v>35554</v>
      </c>
      <c r="Y1780" t="s">
        <v>35555</v>
      </c>
    </row>
    <row r="1781" spans="1:25" x14ac:dyDescent="0.3">
      <c r="A1781">
        <v>89000</v>
      </c>
      <c r="B1781" t="s">
        <v>35556</v>
      </c>
      <c r="C1781" t="s">
        <v>35557</v>
      </c>
      <c r="D1781" t="s">
        <v>35558</v>
      </c>
      <c r="E1781" t="s">
        <v>35559</v>
      </c>
      <c r="F1781" t="s">
        <v>35560</v>
      </c>
      <c r="G1781" t="s">
        <v>35561</v>
      </c>
      <c r="H1781" t="s">
        <v>35562</v>
      </c>
      <c r="I1781" t="s">
        <v>35563</v>
      </c>
      <c r="J1781" t="s">
        <v>35564</v>
      </c>
      <c r="K1781" t="s">
        <v>35565</v>
      </c>
      <c r="L1781" t="s">
        <v>35566</v>
      </c>
      <c r="M1781" t="s">
        <v>35567</v>
      </c>
      <c r="N1781" t="s">
        <v>35568</v>
      </c>
      <c r="O1781">
        <f>-605.356918275895 -107.312932429393 -729.492020739497</f>
        <v>-1442.161871444785</v>
      </c>
      <c r="P1781">
        <f>-592.675420021401 -97.496900826426 -413.376501484197</f>
        <v>-1103.548822332024</v>
      </c>
      <c r="Q1781">
        <f>-349.261836210203 -25.1431725511318 -469.562136321197</f>
        <v>-843.96714508253172</v>
      </c>
      <c r="R1781" t="s">
        <v>35569</v>
      </c>
      <c r="S1781" t="s">
        <v>35570</v>
      </c>
      <c r="T1781" t="s">
        <v>35571</v>
      </c>
      <c r="U1781" t="s">
        <v>35572</v>
      </c>
      <c r="V1781" t="s">
        <v>35573</v>
      </c>
      <c r="W1781" t="s">
        <v>35574</v>
      </c>
      <c r="X1781" t="s">
        <v>35575</v>
      </c>
      <c r="Y1781" t="s">
        <v>35576</v>
      </c>
    </row>
    <row r="1782" spans="1:25" x14ac:dyDescent="0.3">
      <c r="A1782">
        <v>89050</v>
      </c>
      <c r="B1782" t="s">
        <v>35577</v>
      </c>
      <c r="C1782" t="s">
        <v>35578</v>
      </c>
      <c r="D1782" t="s">
        <v>35579</v>
      </c>
      <c r="E1782" t="s">
        <v>35580</v>
      </c>
      <c r="F1782" t="s">
        <v>35581</v>
      </c>
      <c r="G1782" t="s">
        <v>35582</v>
      </c>
      <c r="H1782" t="s">
        <v>35583</v>
      </c>
      <c r="I1782" t="s">
        <v>35584</v>
      </c>
      <c r="J1782" t="s">
        <v>35585</v>
      </c>
      <c r="K1782" t="s">
        <v>35586</v>
      </c>
      <c r="L1782" t="s">
        <v>35587</v>
      </c>
      <c r="M1782" t="s">
        <v>35588</v>
      </c>
      <c r="N1782" t="s">
        <v>35589</v>
      </c>
      <c r="O1782">
        <f>-601.751111363227 -108.426765131701 -729.390937080287</f>
        <v>-1439.568813575215</v>
      </c>
      <c r="P1782">
        <f>-589.85684882754 -98.260371937557 -413.255974232589</f>
        <v>-1101.3731949976859</v>
      </c>
      <c r="Q1782">
        <f>-346.942445419103 -24.045467291192 -469.173679123276</f>
        <v>-840.16159183357104</v>
      </c>
      <c r="R1782" t="s">
        <v>35590</v>
      </c>
      <c r="S1782" t="s">
        <v>35591</v>
      </c>
      <c r="T1782" t="s">
        <v>35592</v>
      </c>
      <c r="U1782" t="s">
        <v>35593</v>
      </c>
      <c r="V1782" t="s">
        <v>35594</v>
      </c>
      <c r="W1782" t="s">
        <v>35595</v>
      </c>
      <c r="X1782" t="s">
        <v>35596</v>
      </c>
      <c r="Y1782" t="s">
        <v>35597</v>
      </c>
    </row>
    <row r="1783" spans="1:25" x14ac:dyDescent="0.3">
      <c r="A1783">
        <v>89100</v>
      </c>
      <c r="B1783" t="s">
        <v>35598</v>
      </c>
      <c r="C1783" t="s">
        <v>35599</v>
      </c>
      <c r="D1783" t="s">
        <v>35600</v>
      </c>
      <c r="E1783" t="s">
        <v>35601</v>
      </c>
      <c r="F1783" t="s">
        <v>35602</v>
      </c>
      <c r="G1783" t="s">
        <v>35603</v>
      </c>
      <c r="H1783" t="s">
        <v>35604</v>
      </c>
      <c r="I1783" t="s">
        <v>35605</v>
      </c>
      <c r="J1783" t="s">
        <v>35606</v>
      </c>
      <c r="K1783" t="s">
        <v>35607</v>
      </c>
      <c r="L1783" t="s">
        <v>35608</v>
      </c>
      <c r="M1783" t="s">
        <v>35609</v>
      </c>
      <c r="N1783" t="s">
        <v>35610</v>
      </c>
      <c r="O1783">
        <f>-599.686737957665 -109.288613297363 -729.511430686739</f>
        <v>-1438.4867819417668</v>
      </c>
      <c r="P1783">
        <f>-587.54845927461 -99.0913910720454 -413.38672442194</f>
        <v>-1100.0265747685953</v>
      </c>
      <c r="Q1783">
        <f>-344.978452387353 -23.7857390666664 -469.341137583674</f>
        <v>-838.10532903769342</v>
      </c>
      <c r="R1783" t="s">
        <v>35611</v>
      </c>
      <c r="S1783" t="s">
        <v>35612</v>
      </c>
      <c r="T1783" t="s">
        <v>35613</v>
      </c>
      <c r="U1783" t="s">
        <v>35614</v>
      </c>
      <c r="V1783" t="s">
        <v>35615</v>
      </c>
      <c r="W1783" t="s">
        <v>35616</v>
      </c>
      <c r="X1783" t="s">
        <v>35617</v>
      </c>
      <c r="Y1783" t="s">
        <v>35618</v>
      </c>
    </row>
    <row r="1784" spans="1:25" x14ac:dyDescent="0.3">
      <c r="A1784">
        <v>89150</v>
      </c>
      <c r="B1784" t="s">
        <v>35619</v>
      </c>
      <c r="C1784" t="s">
        <v>35620</v>
      </c>
      <c r="D1784" t="s">
        <v>35621</v>
      </c>
      <c r="E1784" t="s">
        <v>35622</v>
      </c>
      <c r="F1784" t="s">
        <v>35623</v>
      </c>
      <c r="G1784" t="s">
        <v>35624</v>
      </c>
      <c r="H1784" t="s">
        <v>35625</v>
      </c>
      <c r="I1784" t="s">
        <v>35626</v>
      </c>
      <c r="J1784" t="s">
        <v>35627</v>
      </c>
      <c r="K1784" t="s">
        <v>35628</v>
      </c>
      <c r="L1784" t="s">
        <v>35629</v>
      </c>
      <c r="M1784" t="s">
        <v>35630</v>
      </c>
      <c r="N1784" t="s">
        <v>35631</v>
      </c>
      <c r="O1784">
        <f>-596.721207805394 -111.15805943038 -729.810724144791</f>
        <v>-1437.6899913805651</v>
      </c>
      <c r="P1784">
        <f>-583.867748942355 -101.432760720769 -413.699242991574</f>
        <v>-1098.9997526546981</v>
      </c>
      <c r="Q1784">
        <f>-342.116166112979 -24.0827804484996 -470.401942846915</f>
        <v>-836.60088940839364</v>
      </c>
      <c r="R1784" t="s">
        <v>35632</v>
      </c>
      <c r="S1784" t="s">
        <v>35633</v>
      </c>
      <c r="T1784" t="s">
        <v>35634</v>
      </c>
      <c r="U1784" t="s">
        <v>35635</v>
      </c>
      <c r="V1784" t="s">
        <v>35636</v>
      </c>
      <c r="W1784" t="s">
        <v>35637</v>
      </c>
      <c r="X1784" t="s">
        <v>35638</v>
      </c>
      <c r="Y1784" t="s">
        <v>35639</v>
      </c>
    </row>
    <row r="1785" spans="1:25" x14ac:dyDescent="0.3">
      <c r="A1785">
        <v>89200</v>
      </c>
      <c r="B1785" t="s">
        <v>35640</v>
      </c>
      <c r="C1785" t="s">
        <v>35641</v>
      </c>
      <c r="D1785" t="s">
        <v>35642</v>
      </c>
      <c r="E1785" t="s">
        <v>35643</v>
      </c>
      <c r="F1785" t="s">
        <v>35644</v>
      </c>
      <c r="G1785" t="s">
        <v>35645</v>
      </c>
      <c r="H1785" t="s">
        <v>35646</v>
      </c>
      <c r="I1785" t="s">
        <v>35647</v>
      </c>
      <c r="J1785" t="s">
        <v>35648</v>
      </c>
      <c r="K1785" t="s">
        <v>35649</v>
      </c>
      <c r="L1785" t="s">
        <v>35650</v>
      </c>
      <c r="M1785" t="s">
        <v>35651</v>
      </c>
      <c r="N1785" t="s">
        <v>35652</v>
      </c>
      <c r="O1785">
        <f>-595.758246805033 -111.779012027999 -729.776431305343</f>
        <v>-1437.313690138375</v>
      </c>
      <c r="P1785">
        <f>-582.395223341763 -102.610624894748 -413.669526705493</f>
        <v>-1098.6753749420041</v>
      </c>
      <c r="Q1785">
        <f>-340.976900717957 -24.5787885025134 -470.856055197274</f>
        <v>-836.41174441774433</v>
      </c>
      <c r="R1785" t="s">
        <v>35653</v>
      </c>
      <c r="S1785" t="s">
        <v>35654</v>
      </c>
      <c r="T1785" t="s">
        <v>35655</v>
      </c>
      <c r="U1785" t="s">
        <v>35656</v>
      </c>
      <c r="V1785" t="s">
        <v>35657</v>
      </c>
      <c r="W1785" t="s">
        <v>35658</v>
      </c>
      <c r="X1785" t="s">
        <v>35659</v>
      </c>
      <c r="Y1785" t="s">
        <v>35660</v>
      </c>
    </row>
    <row r="1786" spans="1:25" x14ac:dyDescent="0.3">
      <c r="A1786">
        <v>89250</v>
      </c>
      <c r="B1786" t="s">
        <v>35661</v>
      </c>
      <c r="C1786" t="s">
        <v>35662</v>
      </c>
      <c r="D1786" t="s">
        <v>35663</v>
      </c>
      <c r="E1786" t="s">
        <v>35664</v>
      </c>
      <c r="F1786" t="s">
        <v>35665</v>
      </c>
      <c r="G1786" t="s">
        <v>35666</v>
      </c>
      <c r="H1786" t="s">
        <v>35667</v>
      </c>
      <c r="I1786" t="s">
        <v>35668</v>
      </c>
      <c r="J1786" t="s">
        <v>35669</v>
      </c>
      <c r="K1786" t="s">
        <v>35670</v>
      </c>
      <c r="L1786" t="s">
        <v>35671</v>
      </c>
      <c r="M1786" t="s">
        <v>35672</v>
      </c>
      <c r="N1786" t="s">
        <v>35673</v>
      </c>
      <c r="O1786">
        <f>-593.048098906678 -113.43718501686 -729.052479127848</f>
        <v>-1435.5377630513858</v>
      </c>
      <c r="P1786">
        <f>-579.04050822736 -105.025414766215 -412.952436783447</f>
        <v>-1097.0183597770219</v>
      </c>
      <c r="Q1786">
        <f>-338.052238167878 -26.3109429299644 -471.010532661541</f>
        <v>-835.37371375938346</v>
      </c>
      <c r="R1786" t="s">
        <v>35674</v>
      </c>
      <c r="S1786" t="s">
        <v>35675</v>
      </c>
      <c r="T1786" t="s">
        <v>35676</v>
      </c>
      <c r="U1786" t="s">
        <v>35677</v>
      </c>
      <c r="V1786" t="s">
        <v>35678</v>
      </c>
      <c r="W1786" t="s">
        <v>35679</v>
      </c>
      <c r="X1786" t="s">
        <v>35680</v>
      </c>
      <c r="Y1786" t="s">
        <v>35681</v>
      </c>
    </row>
    <row r="1787" spans="1:25" x14ac:dyDescent="0.3">
      <c r="A1787">
        <v>89300</v>
      </c>
      <c r="B1787" t="s">
        <v>35682</v>
      </c>
      <c r="C1787" t="s">
        <v>35683</v>
      </c>
      <c r="D1787" t="s">
        <v>35684</v>
      </c>
      <c r="E1787" t="s">
        <v>35685</v>
      </c>
      <c r="F1787" t="s">
        <v>35686</v>
      </c>
      <c r="G1787" t="s">
        <v>35687</v>
      </c>
      <c r="H1787" t="s">
        <v>35688</v>
      </c>
      <c r="I1787" t="s">
        <v>35689</v>
      </c>
      <c r="J1787" t="s">
        <v>35690</v>
      </c>
      <c r="K1787" t="s">
        <v>35691</v>
      </c>
      <c r="L1787" t="s">
        <v>35692</v>
      </c>
      <c r="M1787" t="s">
        <v>35693</v>
      </c>
      <c r="N1787" t="s">
        <v>35694</v>
      </c>
      <c r="O1787">
        <f>-592.197033451442 -114.915095755452 -728.242430739171</f>
        <v>-1435.3545599460649</v>
      </c>
      <c r="P1787">
        <f>-577.852110563682 -106.795629143398 -412.149850008183</f>
        <v>-1096.797589715263</v>
      </c>
      <c r="Q1787">
        <f>-336.963214368861 -27.9536888536421 -470.446816012509</f>
        <v>-835.36371923501201</v>
      </c>
      <c r="R1787" t="s">
        <v>35695</v>
      </c>
      <c r="S1787" t="s">
        <v>35696</v>
      </c>
      <c r="T1787" t="s">
        <v>35697</v>
      </c>
      <c r="U1787" t="s">
        <v>35698</v>
      </c>
      <c r="V1787" t="s">
        <v>35699</v>
      </c>
      <c r="W1787" t="s">
        <v>35700</v>
      </c>
      <c r="X1787" t="s">
        <v>35701</v>
      </c>
      <c r="Y1787" t="s">
        <v>35702</v>
      </c>
    </row>
    <row r="1788" spans="1:25" x14ac:dyDescent="0.3">
      <c r="A1788">
        <v>89350</v>
      </c>
      <c r="B1788" t="s">
        <v>35703</v>
      </c>
      <c r="C1788" t="s">
        <v>35704</v>
      </c>
      <c r="D1788" t="s">
        <v>35705</v>
      </c>
      <c r="E1788" t="s">
        <v>35706</v>
      </c>
      <c r="F1788" t="s">
        <v>35707</v>
      </c>
      <c r="G1788" t="s">
        <v>35708</v>
      </c>
      <c r="H1788" t="s">
        <v>35709</v>
      </c>
      <c r="I1788" t="s">
        <v>35710</v>
      </c>
      <c r="J1788" t="s">
        <v>35711</v>
      </c>
      <c r="K1788" t="s">
        <v>35712</v>
      </c>
      <c r="L1788" t="s">
        <v>35713</v>
      </c>
      <c r="M1788" t="s">
        <v>35714</v>
      </c>
      <c r="N1788" t="s">
        <v>35715</v>
      </c>
      <c r="O1788">
        <f>-589.650753040047 -118.280205979566 -726.712215343859</f>
        <v>-1434.6431743634721</v>
      </c>
      <c r="P1788">
        <f>-575.474352281187 -110.116668814827 -410.613111355206</f>
        <v>-1096.2041324512199</v>
      </c>
      <c r="Q1788">
        <f>-334.64889178195 -31.2314093183228 -469.113205174253</f>
        <v>-834.99350627452577</v>
      </c>
      <c r="R1788" t="s">
        <v>35716</v>
      </c>
      <c r="S1788" t="s">
        <v>35717</v>
      </c>
      <c r="T1788" t="s">
        <v>35718</v>
      </c>
      <c r="U1788" t="s">
        <v>35719</v>
      </c>
      <c r="V1788" t="s">
        <v>35720</v>
      </c>
      <c r="W1788" t="s">
        <v>35721</v>
      </c>
      <c r="X1788" t="s">
        <v>35722</v>
      </c>
      <c r="Y1788" t="s">
        <v>35723</v>
      </c>
    </row>
    <row r="1789" spans="1:25" x14ac:dyDescent="0.3">
      <c r="A1789">
        <v>89400</v>
      </c>
      <c r="B1789" t="s">
        <v>35724</v>
      </c>
      <c r="C1789" t="s">
        <v>35725</v>
      </c>
      <c r="D1789" t="s">
        <v>35726</v>
      </c>
      <c r="E1789" t="s">
        <v>35727</v>
      </c>
      <c r="F1789" t="s">
        <v>35728</v>
      </c>
      <c r="G1789" t="s">
        <v>35729</v>
      </c>
      <c r="H1789" t="s">
        <v>35730</v>
      </c>
      <c r="I1789" t="s">
        <v>35731</v>
      </c>
      <c r="J1789" t="s">
        <v>35732</v>
      </c>
      <c r="K1789" t="s">
        <v>35733</v>
      </c>
      <c r="L1789" t="s">
        <v>35734</v>
      </c>
      <c r="M1789" t="s">
        <v>35735</v>
      </c>
      <c r="N1789" t="s">
        <v>35736</v>
      </c>
      <c r="O1789">
        <f>-588.270077411419 -120.061077753246 -726.235468616142</f>
        <v>-1434.566623780807</v>
      </c>
      <c r="P1789">
        <f>-574.418867802094 -111.448985735333 -410.133874776566</f>
        <v>-1096.001728313993</v>
      </c>
      <c r="Q1789">
        <f>-333.690346455467 -32.2256843143089 -468.576276897108</f>
        <v>-834.49230766688402</v>
      </c>
      <c r="R1789" t="s">
        <v>35737</v>
      </c>
      <c r="S1789" t="s">
        <v>35738</v>
      </c>
      <c r="T1789" t="s">
        <v>35739</v>
      </c>
      <c r="U1789" t="s">
        <v>35740</v>
      </c>
      <c r="V1789" t="s">
        <v>35741</v>
      </c>
      <c r="W1789" t="s">
        <v>35742</v>
      </c>
      <c r="X1789" t="s">
        <v>35743</v>
      </c>
      <c r="Y1789" t="s">
        <v>35744</v>
      </c>
    </row>
    <row r="1790" spans="1:25" x14ac:dyDescent="0.3">
      <c r="A1790">
        <v>89450</v>
      </c>
      <c r="B1790" t="s">
        <v>35745</v>
      </c>
      <c r="C1790" t="s">
        <v>35746</v>
      </c>
      <c r="D1790" t="s">
        <v>35747</v>
      </c>
      <c r="E1790" t="s">
        <v>35748</v>
      </c>
      <c r="F1790" t="s">
        <v>35749</v>
      </c>
      <c r="G1790" t="s">
        <v>35750</v>
      </c>
      <c r="H1790" t="s">
        <v>35751</v>
      </c>
      <c r="I1790" t="s">
        <v>35752</v>
      </c>
      <c r="J1790" t="s">
        <v>35753</v>
      </c>
      <c r="K1790" t="s">
        <v>35754</v>
      </c>
      <c r="L1790" t="s">
        <v>35755</v>
      </c>
      <c r="M1790" t="s">
        <v>35756</v>
      </c>
      <c r="N1790" t="s">
        <v>35757</v>
      </c>
      <c r="O1790">
        <f>-587.536337947064 -123.898922611787 -725.206340035815</f>
        <v>-1436.641600594666</v>
      </c>
      <c r="P1790">
        <f>-574.240347878252 -114.048759733462 -409.117157845453</f>
        <v>-1097.4062654571671</v>
      </c>
      <c r="Q1790">
        <f>-333.847240329374 -33.3140158018758 -466.867534019656</f>
        <v>-834.02879015090582</v>
      </c>
      <c r="R1790" t="s">
        <v>35758</v>
      </c>
      <c r="S1790" t="s">
        <v>35759</v>
      </c>
      <c r="T1790" t="s">
        <v>35760</v>
      </c>
      <c r="U1790" t="s">
        <v>35761</v>
      </c>
      <c r="V1790" t="s">
        <v>35762</v>
      </c>
      <c r="W1790" t="s">
        <v>35763</v>
      </c>
      <c r="X1790" t="s">
        <v>35764</v>
      </c>
      <c r="Y1790" t="s">
        <v>35765</v>
      </c>
    </row>
    <row r="1791" spans="1:25" x14ac:dyDescent="0.3">
      <c r="A1791">
        <v>89500</v>
      </c>
      <c r="B1791" t="s">
        <v>35766</v>
      </c>
      <c r="C1791" t="s">
        <v>35767</v>
      </c>
      <c r="D1791" t="s">
        <v>35768</v>
      </c>
      <c r="E1791" t="s">
        <v>35769</v>
      </c>
      <c r="F1791" t="s">
        <v>35770</v>
      </c>
      <c r="G1791" t="s">
        <v>35771</v>
      </c>
      <c r="H1791" t="s">
        <v>35772</v>
      </c>
      <c r="I1791" t="s">
        <v>35773</v>
      </c>
      <c r="J1791" t="s">
        <v>35774</v>
      </c>
      <c r="K1791" t="s">
        <v>35775</v>
      </c>
      <c r="L1791" t="s">
        <v>35776</v>
      </c>
      <c r="M1791" t="s">
        <v>35777</v>
      </c>
      <c r="N1791" t="s">
        <v>35778</v>
      </c>
      <c r="O1791">
        <f>-587.801361990657 -126.064809494947 -724.782426950372</f>
        <v>-1438.6485984359761</v>
      </c>
      <c r="P1791">
        <f>-574.834314998432 -115.276216306964 -408.7101579799</f>
        <v>-1098.8206892852959</v>
      </c>
      <c r="Q1791">
        <f>-334.676435589281 -33.5955079077801 -466.10800903449</f>
        <v>-834.37995253155111</v>
      </c>
      <c r="R1791" t="s">
        <v>35779</v>
      </c>
      <c r="S1791" t="s">
        <v>35780</v>
      </c>
      <c r="T1791" t="s">
        <v>35781</v>
      </c>
      <c r="U1791" t="s">
        <v>35782</v>
      </c>
      <c r="V1791" t="s">
        <v>35783</v>
      </c>
      <c r="W1791" t="s">
        <v>35784</v>
      </c>
      <c r="X1791" t="s">
        <v>35785</v>
      </c>
      <c r="Y1791" t="s">
        <v>35786</v>
      </c>
    </row>
    <row r="1792" spans="1:25" x14ac:dyDescent="0.3">
      <c r="A1792">
        <v>89550</v>
      </c>
      <c r="B1792" t="s">
        <v>35787</v>
      </c>
      <c r="C1792" t="s">
        <v>35788</v>
      </c>
      <c r="D1792" t="s">
        <v>35789</v>
      </c>
      <c r="E1792" t="s">
        <v>35790</v>
      </c>
      <c r="F1792" t="s">
        <v>35791</v>
      </c>
      <c r="G1792" t="s">
        <v>35792</v>
      </c>
      <c r="H1792" t="s">
        <v>35793</v>
      </c>
      <c r="I1792" t="s">
        <v>35794</v>
      </c>
      <c r="J1792" t="s">
        <v>35795</v>
      </c>
      <c r="K1792" t="s">
        <v>35796</v>
      </c>
      <c r="L1792" t="s">
        <v>35797</v>
      </c>
      <c r="M1792" t="s">
        <v>35798</v>
      </c>
      <c r="N1792" t="s">
        <v>35799</v>
      </c>
      <c r="O1792">
        <f>-588.44139336103 -130.550058335326 -724.003007706711</f>
        <v>-1442.9944594030671</v>
      </c>
      <c r="P1792">
        <f>-575.643351910122 -118.49147268468 -407.969765233574</f>
        <v>-1102.104589828376</v>
      </c>
      <c r="Q1792">
        <f>-336.166674028224 -34.1663521596999 -464.38131453019</f>
        <v>-834.71434071811393</v>
      </c>
      <c r="R1792" t="s">
        <v>35800</v>
      </c>
      <c r="S1792" t="s">
        <v>35801</v>
      </c>
      <c r="T1792" t="s">
        <v>35802</v>
      </c>
      <c r="U1792" t="s">
        <v>35803</v>
      </c>
      <c r="V1792" t="s">
        <v>35804</v>
      </c>
      <c r="W1792" t="s">
        <v>35805</v>
      </c>
      <c r="X1792" t="s">
        <v>35806</v>
      </c>
      <c r="Y1792" t="s">
        <v>35807</v>
      </c>
    </row>
    <row r="1793" spans="1:25" x14ac:dyDescent="0.3">
      <c r="A1793">
        <v>89600</v>
      </c>
      <c r="B1793" t="s">
        <v>35808</v>
      </c>
      <c r="C1793" t="s">
        <v>35809</v>
      </c>
      <c r="D1793" t="s">
        <v>35810</v>
      </c>
      <c r="E1793" t="s">
        <v>35811</v>
      </c>
      <c r="F1793" t="s">
        <v>35812</v>
      </c>
      <c r="G1793" t="s">
        <v>35813</v>
      </c>
      <c r="H1793" t="s">
        <v>35814</v>
      </c>
      <c r="I1793" t="s">
        <v>35815</v>
      </c>
      <c r="J1793" t="s">
        <v>35816</v>
      </c>
      <c r="K1793" t="s">
        <v>35817</v>
      </c>
      <c r="L1793" t="s">
        <v>35818</v>
      </c>
      <c r="M1793" t="s">
        <v>35819</v>
      </c>
      <c r="N1793" t="s">
        <v>35820</v>
      </c>
      <c r="O1793">
        <f>-589.160822674931 -133.083182439089 -723.467869424841</f>
        <v>-1445.7118745388609</v>
      </c>
      <c r="P1793">
        <f>-576.445716749781 -120.256208687334 -407.461605513007</f>
        <v>-1104.1635309501221</v>
      </c>
      <c r="Q1793">
        <f>-337.518066720088 -34.0871275511966 -463.412460187263</f>
        <v>-835.01765445854755</v>
      </c>
      <c r="R1793" t="s">
        <v>35821</v>
      </c>
      <c r="S1793" t="s">
        <v>35822</v>
      </c>
      <c r="T1793" t="s">
        <v>35823</v>
      </c>
      <c r="U1793" t="s">
        <v>35824</v>
      </c>
      <c r="V1793" t="s">
        <v>35825</v>
      </c>
      <c r="W1793" t="s">
        <v>35826</v>
      </c>
      <c r="X1793" t="s">
        <v>35827</v>
      </c>
      <c r="Y1793" t="s">
        <v>35828</v>
      </c>
    </row>
    <row r="1794" spans="1:25" x14ac:dyDescent="0.3">
      <c r="A1794">
        <v>89650</v>
      </c>
      <c r="B1794" t="s">
        <v>35829</v>
      </c>
      <c r="C1794" t="s">
        <v>35830</v>
      </c>
      <c r="D1794" t="s">
        <v>35831</v>
      </c>
      <c r="E1794" t="s">
        <v>35832</v>
      </c>
      <c r="F1794" t="s">
        <v>35833</v>
      </c>
      <c r="G1794" t="s">
        <v>35834</v>
      </c>
      <c r="H1794" t="s">
        <v>35835</v>
      </c>
      <c r="I1794" t="s">
        <v>35836</v>
      </c>
      <c r="J1794" t="s">
        <v>35837</v>
      </c>
      <c r="K1794" t="s">
        <v>35838</v>
      </c>
      <c r="L1794" t="s">
        <v>35839</v>
      </c>
      <c r="M1794" t="s">
        <v>35840</v>
      </c>
      <c r="N1794" t="s">
        <v>35841</v>
      </c>
      <c r="O1794">
        <f>-590.299837152487 -137.889222204462 -722.344412616888</f>
        <v>-1450.5334719738371</v>
      </c>
      <c r="P1794">
        <f>-577.796149100648 -122.4427174079 -406.447003308258</f>
        <v>-1106.685869816806</v>
      </c>
      <c r="Q1794">
        <f>-339.461703759301 -34.167792043391 -461.640225406259</f>
        <v>-835.26972120895095</v>
      </c>
      <c r="R1794" t="s">
        <v>35842</v>
      </c>
      <c r="S1794" t="s">
        <v>35843</v>
      </c>
      <c r="T1794" t="s">
        <v>35844</v>
      </c>
      <c r="U1794" t="s">
        <v>35845</v>
      </c>
      <c r="V1794" t="s">
        <v>35846</v>
      </c>
      <c r="W1794" t="s">
        <v>35847</v>
      </c>
      <c r="X1794" t="s">
        <v>35848</v>
      </c>
      <c r="Y1794" t="s">
        <v>35849</v>
      </c>
    </row>
    <row r="1795" spans="1:25" x14ac:dyDescent="0.3">
      <c r="A1795">
        <v>89700</v>
      </c>
      <c r="B1795" t="s">
        <v>35850</v>
      </c>
      <c r="C1795" t="s">
        <v>35851</v>
      </c>
      <c r="D1795" t="s">
        <v>35852</v>
      </c>
      <c r="E1795" t="s">
        <v>35853</v>
      </c>
      <c r="F1795" t="s">
        <v>35854</v>
      </c>
      <c r="G1795" t="s">
        <v>35855</v>
      </c>
      <c r="H1795" t="s">
        <v>35856</v>
      </c>
      <c r="I1795" t="s">
        <v>35857</v>
      </c>
      <c r="J1795" t="s">
        <v>35858</v>
      </c>
      <c r="K1795" t="s">
        <v>35859</v>
      </c>
      <c r="L1795" t="s">
        <v>35860</v>
      </c>
      <c r="M1795" t="s">
        <v>35861</v>
      </c>
      <c r="N1795">
        <f>-573.55922501271 -1.26663032043901 -766.349213680023</f>
        <v>-1341.1750690131721</v>
      </c>
      <c r="O1795">
        <f>-590.980734945899 -140.309814688572 -721.782456033717</f>
        <v>-1453.0730056681882</v>
      </c>
      <c r="P1795">
        <f>-578.367897947679 -123.461010726301 -405.960847854098</f>
        <v>-1107.789756528078</v>
      </c>
      <c r="Q1795">
        <f>-340.288284279177 -34.3020501208204 -460.832092558007</f>
        <v>-835.42242695800439</v>
      </c>
      <c r="R1795" t="s">
        <v>35862</v>
      </c>
      <c r="S1795" t="s">
        <v>35863</v>
      </c>
      <c r="T1795" t="s">
        <v>35864</v>
      </c>
      <c r="U1795" t="s">
        <v>35865</v>
      </c>
      <c r="V1795" t="s">
        <v>35866</v>
      </c>
      <c r="W1795" t="s">
        <v>35867</v>
      </c>
      <c r="X1795" t="s">
        <v>35868</v>
      </c>
      <c r="Y1795" t="s">
        <v>35869</v>
      </c>
    </row>
    <row r="1796" spans="1:25" x14ac:dyDescent="0.3">
      <c r="A1796">
        <v>89750</v>
      </c>
      <c r="B1796" t="s">
        <v>35870</v>
      </c>
      <c r="C1796" t="s">
        <v>35871</v>
      </c>
      <c r="D1796" t="s">
        <v>35872</v>
      </c>
      <c r="E1796" t="s">
        <v>35873</v>
      </c>
      <c r="F1796" t="s">
        <v>35874</v>
      </c>
      <c r="G1796" t="s">
        <v>35875</v>
      </c>
      <c r="H1796" t="s">
        <v>35876</v>
      </c>
      <c r="I1796">
        <f>-527.095918972471 -2.52511718724306 -930.639076456035</f>
        <v>-1460.2601126157492</v>
      </c>
      <c r="J1796" t="s">
        <v>35877</v>
      </c>
      <c r="K1796" t="s">
        <v>35878</v>
      </c>
      <c r="L1796" t="s">
        <v>35879</v>
      </c>
      <c r="M1796" t="s">
        <v>35880</v>
      </c>
      <c r="N1796">
        <f>-576.463389870818 -6.26844192626991 -766.016888475052</f>
        <v>-1348.74872027214</v>
      </c>
      <c r="O1796">
        <f>-592.78751932776 -145.246881919467 -720.833210664936</f>
        <v>-1458.8676119121631</v>
      </c>
      <c r="P1796">
        <f>-579.459389333635 -126.307350931357 -405.159600556987</f>
        <v>-1110.926340821979</v>
      </c>
      <c r="Q1796">
        <f>-341.648584689801 -36.3700489624944 -459.925847510017</f>
        <v>-837.9444811623124</v>
      </c>
      <c r="R1796" t="s">
        <v>35881</v>
      </c>
      <c r="S1796" t="s">
        <v>35882</v>
      </c>
      <c r="T1796" t="s">
        <v>35883</v>
      </c>
      <c r="U1796" t="s">
        <v>35884</v>
      </c>
      <c r="V1796" t="s">
        <v>35885</v>
      </c>
      <c r="W1796" t="s">
        <v>35886</v>
      </c>
      <c r="X1796" t="s">
        <v>35887</v>
      </c>
      <c r="Y1796" t="s">
        <v>35888</v>
      </c>
    </row>
    <row r="1797" spans="1:25" x14ac:dyDescent="0.3">
      <c r="A1797">
        <v>89800</v>
      </c>
      <c r="B1797" t="s">
        <v>35889</v>
      </c>
      <c r="C1797" t="s">
        <v>35890</v>
      </c>
      <c r="D1797" t="s">
        <v>35891</v>
      </c>
      <c r="E1797" t="s">
        <v>35892</v>
      </c>
      <c r="F1797" t="s">
        <v>35893</v>
      </c>
      <c r="G1797" t="s">
        <v>35894</v>
      </c>
      <c r="H1797" t="s">
        <v>35895</v>
      </c>
      <c r="I1797">
        <f>-528.227657905489 -5.1358378080396 -930.459922743313</f>
        <v>-1463.8234184568414</v>
      </c>
      <c r="J1797" t="s">
        <v>35896</v>
      </c>
      <c r="K1797" t="s">
        <v>35897</v>
      </c>
      <c r="L1797" t="s">
        <v>35898</v>
      </c>
      <c r="M1797" t="s">
        <v>35899</v>
      </c>
      <c r="N1797">
        <f>-577.630899379787 -8.61552232938345 -765.900468214932</f>
        <v>-1352.1468899241024</v>
      </c>
      <c r="O1797">
        <f>-593.583268661994 -147.571207980054 -720.502346067822</f>
        <v>-1461.6568227098701</v>
      </c>
      <c r="P1797">
        <f>-579.535830997268 -128.372113185651 -404.875479522629</f>
        <v>-1112.7834237055481</v>
      </c>
      <c r="Q1797">
        <f>-341.997876140538 -37.7445782933945 -459.688140507076</f>
        <v>-839.43059494100851</v>
      </c>
      <c r="R1797" t="s">
        <v>35900</v>
      </c>
      <c r="S1797" t="s">
        <v>35901</v>
      </c>
      <c r="T1797" t="s">
        <v>35902</v>
      </c>
      <c r="U1797" t="s">
        <v>35903</v>
      </c>
      <c r="V1797" t="s">
        <v>35904</v>
      </c>
      <c r="W1797" t="s">
        <v>35905</v>
      </c>
      <c r="X1797" t="s">
        <v>35906</v>
      </c>
      <c r="Y1797" t="s">
        <v>35907</v>
      </c>
    </row>
    <row r="1798" spans="1:25" x14ac:dyDescent="0.3">
      <c r="A1798">
        <v>89850</v>
      </c>
      <c r="B1798" t="s">
        <v>35908</v>
      </c>
      <c r="C1798" t="s">
        <v>35909</v>
      </c>
      <c r="D1798" t="s">
        <v>35910</v>
      </c>
      <c r="E1798" t="s">
        <v>35911</v>
      </c>
      <c r="F1798" t="s">
        <v>35912</v>
      </c>
      <c r="G1798" t="s">
        <v>35913</v>
      </c>
      <c r="H1798" t="s">
        <v>35914</v>
      </c>
      <c r="I1798">
        <f>-530.156432734432 -10.6461097986434 -929.843814546362</f>
        <v>-1470.6463570794372</v>
      </c>
      <c r="J1798" t="s">
        <v>35915</v>
      </c>
      <c r="K1798" t="s">
        <v>35916</v>
      </c>
      <c r="L1798" t="s">
        <v>35917</v>
      </c>
      <c r="M1798" t="s">
        <v>35918</v>
      </c>
      <c r="N1798">
        <f>-579.700467498416 -13.6066889507055 -765.374340778701</f>
        <v>-1358.6814972278225</v>
      </c>
      <c r="O1798">
        <f>-595.18199283355 -152.469893402073 -719.565095439005</f>
        <v>-1467.216981674628</v>
      </c>
      <c r="P1798">
        <f>-580.498746458643 -133.188453727386 -403.972352520012</f>
        <v>-1117.659552706041</v>
      </c>
      <c r="Q1798">
        <f>-343.243043270849 -42.3109462945007 -459.587404599452</f>
        <v>-845.14139416480168</v>
      </c>
      <c r="R1798" t="s">
        <v>35919</v>
      </c>
      <c r="S1798" t="s">
        <v>35920</v>
      </c>
      <c r="T1798" t="s">
        <v>35921</v>
      </c>
      <c r="U1798" t="s">
        <v>35922</v>
      </c>
      <c r="V1798" t="s">
        <v>35923</v>
      </c>
      <c r="W1798" t="s">
        <v>35924</v>
      </c>
      <c r="X1798" t="s">
        <v>35925</v>
      </c>
      <c r="Y1798" t="s">
        <v>35926</v>
      </c>
    </row>
    <row r="1799" spans="1:25" x14ac:dyDescent="0.3">
      <c r="A1799">
        <v>89900</v>
      </c>
      <c r="B1799" t="s">
        <v>35927</v>
      </c>
      <c r="C1799" t="s">
        <v>35928</v>
      </c>
      <c r="D1799" t="s">
        <v>35929</v>
      </c>
      <c r="E1799" t="s">
        <v>35930</v>
      </c>
      <c r="F1799" t="s">
        <v>35931</v>
      </c>
      <c r="G1799" t="s">
        <v>35932</v>
      </c>
      <c r="H1799" t="s">
        <v>35933</v>
      </c>
      <c r="I1799">
        <f>-531.284395051937 -13.4668121475206 -929.419458522259</f>
        <v>-1474.1706657217167</v>
      </c>
      <c r="J1799" t="s">
        <v>35934</v>
      </c>
      <c r="K1799" t="s">
        <v>35935</v>
      </c>
      <c r="L1799" t="s">
        <v>35936</v>
      </c>
      <c r="M1799" t="s">
        <v>35937</v>
      </c>
      <c r="N1799">
        <f>-580.928234063704 -16.2152651661989 -764.974401509265</f>
        <v>-1362.1179007391679</v>
      </c>
      <c r="O1799">
        <f>-596.642782890261 -154.99509677795 -719.002412820429</f>
        <v>-1470.6402924886399</v>
      </c>
      <c r="P1799">
        <f>-581.269651571323 -136.146084297611 -403.416377544534</f>
        <v>-1120.8321134134681</v>
      </c>
      <c r="Q1799">
        <f>-344.310962622538 -44.9209053120118 -459.724505071961</f>
        <v>-848.95637300651083</v>
      </c>
      <c r="R1799" t="s">
        <v>35938</v>
      </c>
      <c r="S1799" t="s">
        <v>35939</v>
      </c>
      <c r="T1799" t="s">
        <v>35940</v>
      </c>
      <c r="U1799" t="s">
        <v>35941</v>
      </c>
      <c r="V1799" t="s">
        <v>35942</v>
      </c>
      <c r="W1799" t="s">
        <v>35943</v>
      </c>
      <c r="X1799" t="s">
        <v>35944</v>
      </c>
      <c r="Y1799" t="s">
        <v>35945</v>
      </c>
    </row>
    <row r="1800" spans="1:25" x14ac:dyDescent="0.3">
      <c r="A1800">
        <v>89950</v>
      </c>
      <c r="B1800" t="s">
        <v>35946</v>
      </c>
      <c r="C1800" t="s">
        <v>35947</v>
      </c>
      <c r="D1800" t="s">
        <v>35948</v>
      </c>
      <c r="E1800" t="s">
        <v>35949</v>
      </c>
      <c r="F1800" t="s">
        <v>35950</v>
      </c>
      <c r="G1800" t="s">
        <v>35951</v>
      </c>
      <c r="H1800">
        <f>-573.660512752494 -3.96890793476728 -835.86004317525</f>
        <v>-1413.4894638625112</v>
      </c>
      <c r="I1800">
        <f>-533.730802984826 -18.598109704027 -928.459127262432</f>
        <v>-1480.7880399512851</v>
      </c>
      <c r="J1800" t="s">
        <v>35952</v>
      </c>
      <c r="K1800" t="s">
        <v>35953</v>
      </c>
      <c r="L1800" t="s">
        <v>35954</v>
      </c>
      <c r="M1800" t="s">
        <v>35955</v>
      </c>
      <c r="N1800">
        <f>-583.386466455901 -21.069368289455 -763.98572455201</f>
        <v>-1368.441559297366</v>
      </c>
      <c r="O1800">
        <f>-600.042876966451 -159.67084027074 -717.773072541734</f>
        <v>-1477.486789778925</v>
      </c>
      <c r="P1800">
        <f>-581.909798549169 -142.109552971921 -402.259249133679</f>
        <v>-1126.278600654769</v>
      </c>
      <c r="Q1800">
        <f>-346.201466481738 -49.1097816303847 -460.865357587807</f>
        <v>-856.17660569992972</v>
      </c>
      <c r="R1800" t="s">
        <v>35956</v>
      </c>
      <c r="S1800" t="s">
        <v>35957</v>
      </c>
      <c r="T1800" t="s">
        <v>35958</v>
      </c>
      <c r="U1800" t="s">
        <v>35959</v>
      </c>
      <c r="V1800" t="s">
        <v>35960</v>
      </c>
      <c r="W1800" t="s">
        <v>35961</v>
      </c>
      <c r="X1800" t="s">
        <v>35962</v>
      </c>
      <c r="Y1800" t="s">
        <v>35963</v>
      </c>
    </row>
    <row r="1801" spans="1:25" x14ac:dyDescent="0.3">
      <c r="A1801">
        <v>90000</v>
      </c>
      <c r="B1801" t="s">
        <v>35964</v>
      </c>
      <c r="C1801" t="s">
        <v>35965</v>
      </c>
      <c r="D1801" t="s">
        <v>35966</v>
      </c>
      <c r="E1801" t="s">
        <v>35967</v>
      </c>
      <c r="F1801" t="s">
        <v>35968</v>
      </c>
      <c r="G1801" t="s">
        <v>35969</v>
      </c>
      <c r="H1801">
        <f>-574.827810934247 -6.92004544695025 -835.260441369437</f>
        <v>-1417.0082977506343</v>
      </c>
      <c r="I1801">
        <f>-534.914649308495 -21.5686364282601 -927.863605498763</f>
        <v>-1484.3468912355181</v>
      </c>
      <c r="J1801" t="s">
        <v>35970</v>
      </c>
      <c r="K1801" t="s">
        <v>35971</v>
      </c>
      <c r="L1801" t="s">
        <v>35972</v>
      </c>
      <c r="M1801" t="s">
        <v>35973</v>
      </c>
      <c r="N1801">
        <f>-584.570015384614 -23.8280692655807 -763.342968596685</f>
        <v>-1371.7410532468796</v>
      </c>
      <c r="O1801">
        <f>-601.618890026783 -162.284788568848 -716.866122019729</f>
        <v>-1480.7698006153601</v>
      </c>
      <c r="P1801">
        <f>-581.89037959965 -145.247217679286 -401.419209394511</f>
        <v>-1128.556806673447</v>
      </c>
      <c r="Q1801">
        <f>-347.053076345702 -50.8850693843628 -461.329858637362</f>
        <v>-859.26800436742678</v>
      </c>
      <c r="R1801" t="s">
        <v>35974</v>
      </c>
      <c r="S1801" t="s">
        <v>35975</v>
      </c>
      <c r="T1801" t="s">
        <v>35976</v>
      </c>
      <c r="U1801" t="s">
        <v>35977</v>
      </c>
      <c r="V1801" t="s">
        <v>35978</v>
      </c>
      <c r="W1801" t="s">
        <v>35979</v>
      </c>
      <c r="X1801" t="s">
        <v>35980</v>
      </c>
      <c r="Y1801" t="s">
        <v>35981</v>
      </c>
    </row>
    <row r="1802" spans="1:25" x14ac:dyDescent="0.3">
      <c r="A1802">
        <v>90050</v>
      </c>
      <c r="B1802" t="s">
        <v>35982</v>
      </c>
      <c r="C1802" t="s">
        <v>35983</v>
      </c>
      <c r="D1802" t="s">
        <v>35984</v>
      </c>
      <c r="E1802" t="s">
        <v>35985</v>
      </c>
      <c r="F1802" t="s">
        <v>35986</v>
      </c>
      <c r="G1802" t="s">
        <v>35987</v>
      </c>
      <c r="H1802">
        <f>-577.151200586672 -12.86176479196 -834.073128903401</f>
        <v>-1424.0860942820329</v>
      </c>
      <c r="I1802">
        <f>-537.368500577955 -27.5944978450628 -926.719041475104</f>
        <v>-1491.6820398981217</v>
      </c>
      <c r="J1802" t="s">
        <v>35988</v>
      </c>
      <c r="K1802" t="s">
        <v>35989</v>
      </c>
      <c r="L1802" t="s">
        <v>35990</v>
      </c>
      <c r="M1802" t="s">
        <v>35991</v>
      </c>
      <c r="N1802">
        <f>-586.894906246496 -29.3154929200691 -762.05062193369</f>
        <v>-1378.2610211002552</v>
      </c>
      <c r="O1802">
        <f>-604.609619202202 -167.528586578752 -715.067365576035</f>
        <v>-1487.2055713569889</v>
      </c>
      <c r="P1802">
        <f>-582.19900446691 -151.074415876699 -399.768718229633</f>
        <v>-1133.042138573242</v>
      </c>
      <c r="Q1802">
        <f>-349.257557451864 -53.4930933389022 -461.883272149597</f>
        <v>-864.63392294036316</v>
      </c>
      <c r="R1802" t="s">
        <v>35992</v>
      </c>
      <c r="S1802" t="s">
        <v>35993</v>
      </c>
      <c r="T1802" t="s">
        <v>35994</v>
      </c>
      <c r="U1802" t="s">
        <v>35995</v>
      </c>
      <c r="V1802" t="s">
        <v>35996</v>
      </c>
      <c r="W1802" t="s">
        <v>35997</v>
      </c>
      <c r="X1802" t="s">
        <v>35998</v>
      </c>
      <c r="Y1802" t="s">
        <v>35999</v>
      </c>
    </row>
    <row r="1803" spans="1:25" x14ac:dyDescent="0.3">
      <c r="A1803">
        <v>90100</v>
      </c>
      <c r="B1803" t="s">
        <v>36000</v>
      </c>
      <c r="C1803" t="s">
        <v>36001</v>
      </c>
      <c r="D1803" t="s">
        <v>36002</v>
      </c>
      <c r="E1803" t="s">
        <v>36003</v>
      </c>
      <c r="F1803" t="s">
        <v>36004</v>
      </c>
      <c r="G1803" t="s">
        <v>36005</v>
      </c>
      <c r="H1803">
        <f>-578.081303877511 -15.2925771354655 -833.713954921638</f>
        <v>-1427.0878359346145</v>
      </c>
      <c r="I1803">
        <f>-538.401558727454 -30.1066114639973 -926.391183961923</f>
        <v>-1494.8993541533744</v>
      </c>
      <c r="J1803" t="s">
        <v>36006</v>
      </c>
      <c r="K1803" t="s">
        <v>36007</v>
      </c>
      <c r="L1803" t="s">
        <v>36008</v>
      </c>
      <c r="M1803" t="s">
        <v>36009</v>
      </c>
      <c r="N1803">
        <f>-587.840720269055 -31.5316948621056 -761.644699825453</f>
        <v>-1381.0171149566136</v>
      </c>
      <c r="O1803">
        <f>-606.078488226696 -169.603699437599 -714.468348614558</f>
        <v>-1490.150536278853</v>
      </c>
      <c r="P1803">
        <f>-582.422754986521 -153.37233366709 -399.249189047633</f>
        <v>-1135.044277701244</v>
      </c>
      <c r="Q1803">
        <f>-350.252362234364 -54.3359199703225 -461.944863316647</f>
        <v>-866.53314552133349</v>
      </c>
      <c r="R1803" t="s">
        <v>36010</v>
      </c>
      <c r="S1803" t="s">
        <v>36011</v>
      </c>
      <c r="T1803" t="s">
        <v>36012</v>
      </c>
      <c r="U1803" t="s">
        <v>36013</v>
      </c>
      <c r="V1803" t="s">
        <v>36014</v>
      </c>
      <c r="W1803" t="s">
        <v>36015</v>
      </c>
      <c r="X1803" t="s">
        <v>36016</v>
      </c>
      <c r="Y1803" t="s">
        <v>36017</v>
      </c>
    </row>
    <row r="1804" spans="1:25" x14ac:dyDescent="0.3">
      <c r="A1804">
        <v>90150</v>
      </c>
      <c r="B1804" t="s">
        <v>36018</v>
      </c>
      <c r="C1804" t="s">
        <v>36019</v>
      </c>
      <c r="D1804" t="s">
        <v>36020</v>
      </c>
      <c r="E1804" t="s">
        <v>36021</v>
      </c>
      <c r="F1804" t="s">
        <v>36022</v>
      </c>
      <c r="G1804" t="s">
        <v>36023</v>
      </c>
      <c r="H1804">
        <f>-579.421633002693 -20.7874462542188 -833.010165443782</f>
        <v>-1433.2192447006937</v>
      </c>
      <c r="I1804">
        <f>-540.01919439522 -35.7701625014157 -925.778540423955</f>
        <v>-1501.5678973205906</v>
      </c>
      <c r="J1804" t="s">
        <v>36024</v>
      </c>
      <c r="K1804" t="s">
        <v>36025</v>
      </c>
      <c r="L1804" t="s">
        <v>36026</v>
      </c>
      <c r="M1804" t="s">
        <v>36027</v>
      </c>
      <c r="N1804">
        <f>-589.24992184041 -36.6294730669317 -760.862182102957</f>
        <v>-1386.7415770102989</v>
      </c>
      <c r="O1804">
        <f>-608.479453854956 -174.409072927846 -713.220783711886</f>
        <v>-1496.1093104946881</v>
      </c>
      <c r="P1804">
        <f>-582.434410166786 -159.425954158012 -398.12819316843</f>
        <v>-1139.9885574932282</v>
      </c>
      <c r="Q1804">
        <f>-351.857716345905 -57.0066405238178 -461.268745442008</f>
        <v>-870.1331023117308</v>
      </c>
      <c r="R1804" t="s">
        <v>36028</v>
      </c>
      <c r="S1804" t="s">
        <v>36029</v>
      </c>
      <c r="T1804" t="s">
        <v>36030</v>
      </c>
      <c r="U1804" t="s">
        <v>36031</v>
      </c>
      <c r="V1804">
        <f>-537.1866048087 -3.7151813125862 -222.609938448421</f>
        <v>-763.51172456970721</v>
      </c>
      <c r="W1804" t="s">
        <v>36032</v>
      </c>
      <c r="X1804" t="s">
        <v>36033</v>
      </c>
      <c r="Y1804" t="s">
        <v>36034</v>
      </c>
    </row>
    <row r="1805" spans="1:25" x14ac:dyDescent="0.3">
      <c r="A1805">
        <v>90200</v>
      </c>
      <c r="B1805" t="s">
        <v>36035</v>
      </c>
      <c r="C1805" t="s">
        <v>36036</v>
      </c>
      <c r="D1805" t="s">
        <v>36037</v>
      </c>
      <c r="E1805" t="s">
        <v>36038</v>
      </c>
      <c r="F1805" t="s">
        <v>36039</v>
      </c>
      <c r="G1805" t="s">
        <v>36040</v>
      </c>
      <c r="H1805">
        <f>-580.088134834077 -23.7693586750602 -832.575517166019</f>
        <v>-1436.4330106751563</v>
      </c>
      <c r="I1805">
        <f>-540.848730079039 -38.9193366749937 -925.385672560018</f>
        <v>-1505.1537393140507</v>
      </c>
      <c r="J1805" t="s">
        <v>36041</v>
      </c>
      <c r="K1805" t="s">
        <v>36042</v>
      </c>
      <c r="L1805" t="s">
        <v>36043</v>
      </c>
      <c r="M1805" t="s">
        <v>36044</v>
      </c>
      <c r="N1805">
        <f>-589.964179308524 -39.3599298328058 -760.379099270332</f>
        <v>-1389.7032084116618</v>
      </c>
      <c r="O1805">
        <f>-609.586889069667 -177.003813016178 -712.473138607241</f>
        <v>-1499.0638406930861</v>
      </c>
      <c r="P1805">
        <f>-582.49347262733 -162.405817705114 -397.450909042001</f>
        <v>-1142.3501993744451</v>
      </c>
      <c r="Q1805">
        <f>-352.823574260936 -58.0044762788351 -460.650435986848</f>
        <v>-871.47848652661912</v>
      </c>
      <c r="R1805" t="s">
        <v>36045</v>
      </c>
      <c r="S1805" t="s">
        <v>36046</v>
      </c>
      <c r="T1805" t="s">
        <v>36047</v>
      </c>
      <c r="U1805" t="s">
        <v>36048</v>
      </c>
      <c r="V1805">
        <f>-537.164029400476 -5.73246295500213 -222.455611019774</f>
        <v>-765.35210337525211</v>
      </c>
      <c r="W1805" t="s">
        <v>36049</v>
      </c>
      <c r="X1805" t="s">
        <v>36050</v>
      </c>
      <c r="Y1805" t="s">
        <v>36051</v>
      </c>
    </row>
    <row r="1806" spans="1:25" x14ac:dyDescent="0.3">
      <c r="A1806">
        <v>90250</v>
      </c>
      <c r="B1806" t="s">
        <v>36052</v>
      </c>
      <c r="C1806" t="s">
        <v>36053</v>
      </c>
      <c r="D1806" t="s">
        <v>36054</v>
      </c>
      <c r="E1806" t="s">
        <v>36055</v>
      </c>
      <c r="F1806" t="s">
        <v>36056</v>
      </c>
      <c r="G1806" t="s">
        <v>36057</v>
      </c>
      <c r="H1806">
        <f>-580.293313294758 -26.5839495484109 -832.207013474043</f>
        <v>-1439.084276317212</v>
      </c>
      <c r="I1806">
        <f>-541.175308516023 -41.9107568873056 -925.03939970978</f>
        <v>-1508.1254651131087</v>
      </c>
      <c r="J1806" t="s">
        <v>36058</v>
      </c>
      <c r="K1806" t="s">
        <v>36059</v>
      </c>
      <c r="L1806" t="s">
        <v>36060</v>
      </c>
      <c r="M1806" t="s">
        <v>36061</v>
      </c>
      <c r="N1806">
        <f>-590.214729792879 -41.9357901963127 -759.965721279904</f>
        <v>-1392.1162412690956</v>
      </c>
      <c r="O1806">
        <f>-610.140764111866 -179.445085091813 -711.794522875492</f>
        <v>-1501.3803720791711</v>
      </c>
      <c r="P1806">
        <f>-582.007808075149 -164.74851221886 -396.867960315923</f>
        <v>-1143.6242806099322</v>
      </c>
      <c r="Q1806">
        <f>-353.001608977635 -58.8442160819936 -459.974933157525</f>
        <v>-871.82075821715353</v>
      </c>
      <c r="R1806" t="s">
        <v>36062</v>
      </c>
      <c r="S1806" t="s">
        <v>36063</v>
      </c>
      <c r="T1806" t="s">
        <v>36064</v>
      </c>
      <c r="U1806" t="s">
        <v>36065</v>
      </c>
      <c r="V1806">
        <f>-537.234727422227 -7.45900829543987 -222.323326893508</f>
        <v>-767.01706261117488</v>
      </c>
      <c r="W1806" t="s">
        <v>36066</v>
      </c>
      <c r="X1806" t="s">
        <v>36067</v>
      </c>
      <c r="Y1806" t="s">
        <v>36068</v>
      </c>
    </row>
    <row r="1807" spans="1:25" x14ac:dyDescent="0.3">
      <c r="A1807">
        <v>90300</v>
      </c>
      <c r="B1807" t="s">
        <v>36069</v>
      </c>
      <c r="C1807" t="s">
        <v>36070</v>
      </c>
      <c r="D1807" t="s">
        <v>36071</v>
      </c>
      <c r="E1807" t="s">
        <v>36072</v>
      </c>
      <c r="F1807" t="s">
        <v>36073</v>
      </c>
      <c r="G1807" t="s">
        <v>36074</v>
      </c>
      <c r="H1807">
        <f>-581.536197407234 -32.1896498127262 -831.063826799182</f>
        <v>-1444.7896740191422</v>
      </c>
      <c r="I1807">
        <f>-542.61450186455 -48.0823579528389 -923.883480392034</f>
        <v>-1514.580340209423</v>
      </c>
      <c r="J1807" t="s">
        <v>36075</v>
      </c>
      <c r="K1807" t="s">
        <v>36076</v>
      </c>
      <c r="L1807" t="s">
        <v>36077</v>
      </c>
      <c r="M1807" t="s">
        <v>36078</v>
      </c>
      <c r="N1807">
        <f>-591.432338455849 -46.9769204280473 -758.701334743126</f>
        <v>-1397.1105936270224</v>
      </c>
      <c r="O1807">
        <f>-611.906030924267 -184.151918986835 -709.845820349792</f>
        <v>-1505.9037702608939</v>
      </c>
      <c r="P1807">
        <f>-581.838990835765 -168.22134216675 -395.158205658852</f>
        <v>-1145.2185386613669</v>
      </c>
      <c r="Q1807">
        <f>-353.512864091209 -60.8392773559199 -458.232161470349</f>
        <v>-872.58430291747788</v>
      </c>
      <c r="R1807" t="s">
        <v>36079</v>
      </c>
      <c r="S1807" t="s">
        <v>36080</v>
      </c>
      <c r="T1807" t="s">
        <v>36081</v>
      </c>
      <c r="U1807" t="s">
        <v>36082</v>
      </c>
      <c r="V1807">
        <f>-537.403676756878 -10.468501707876 -221.644228793048</f>
        <v>-769.51640725780203</v>
      </c>
      <c r="W1807" t="s">
        <v>36083</v>
      </c>
      <c r="X1807" t="s">
        <v>36084</v>
      </c>
      <c r="Y1807" t="s">
        <v>36085</v>
      </c>
    </row>
    <row r="1808" spans="1:25" x14ac:dyDescent="0.3">
      <c r="A1808">
        <v>90350</v>
      </c>
      <c r="B1808" t="s">
        <v>36086</v>
      </c>
      <c r="C1808" t="s">
        <v>36087</v>
      </c>
      <c r="D1808" t="s">
        <v>36088</v>
      </c>
      <c r="E1808" t="s">
        <v>36089</v>
      </c>
      <c r="F1808" t="s">
        <v>36090</v>
      </c>
      <c r="G1808">
        <f>-591.915675491837 -1.39533013576871 -682.289253309688</f>
        <v>-1275.6002589372938</v>
      </c>
      <c r="H1808">
        <f>-581.405852270622 -38.6488481490596 -829.604337149151</f>
        <v>-1449.6590375688324</v>
      </c>
      <c r="I1808">
        <f>-542.49015132926 -55.2993858189382 -922.293729587023</f>
        <v>-1520.0832667352211</v>
      </c>
      <c r="J1808" t="s">
        <v>36091</v>
      </c>
      <c r="K1808" t="s">
        <v>36092</v>
      </c>
      <c r="L1808" t="s">
        <v>36093</v>
      </c>
      <c r="M1808" t="s">
        <v>36094</v>
      </c>
      <c r="N1808">
        <f>-591.434129481354 -52.6337630187113 -757.100667680777</f>
        <v>-1401.1685601808422</v>
      </c>
      <c r="O1808">
        <f>-612.742845743353 -189.32026089425 -707.270978029087</f>
        <v>-1509.3340846666899</v>
      </c>
      <c r="P1808">
        <f>-581.170372992752 -172.190449006695 -392.793655258097</f>
        <v>-1146.1544772575439</v>
      </c>
      <c r="Q1808">
        <f>-352.636832313575 -65.4827560933875 -456.259760827915</f>
        <v>-874.37934923487751</v>
      </c>
      <c r="R1808" t="s">
        <v>36095</v>
      </c>
      <c r="S1808" t="s">
        <v>36096</v>
      </c>
      <c r="T1808" t="s">
        <v>36097</v>
      </c>
      <c r="U1808" t="s">
        <v>36098</v>
      </c>
      <c r="V1808">
        <f>-536.783097355408 -12.919377454539 -220.856195228652</f>
        <v>-770.55867003859908</v>
      </c>
      <c r="W1808" t="s">
        <v>36099</v>
      </c>
      <c r="X1808" t="s">
        <v>36100</v>
      </c>
      <c r="Y1808" t="s">
        <v>36101</v>
      </c>
    </row>
    <row r="1809" spans="1:25" x14ac:dyDescent="0.3">
      <c r="A1809">
        <v>90400</v>
      </c>
      <c r="B1809" t="s">
        <v>36102</v>
      </c>
      <c r="C1809" t="s">
        <v>36103</v>
      </c>
      <c r="D1809" t="s">
        <v>36104</v>
      </c>
      <c r="E1809" t="s">
        <v>36105</v>
      </c>
      <c r="F1809" t="s">
        <v>36106</v>
      </c>
      <c r="G1809">
        <f>-591.494498156866 -3.74225806228854 -681.603514980822</f>
        <v>-1276.8402711999765</v>
      </c>
      <c r="H1809">
        <f>-581.052387693743 -42.0270061553393 -828.658791784348</f>
        <v>-1451.7381856334302</v>
      </c>
      <c r="I1809">
        <f>-542.158375732055 -59.1691387659141 -921.267614895314</f>
        <v>-1522.5951293932831</v>
      </c>
      <c r="J1809" t="s">
        <v>36107</v>
      </c>
      <c r="K1809" t="s">
        <v>36108</v>
      </c>
      <c r="L1809" t="s">
        <v>36109</v>
      </c>
      <c r="M1809" t="s">
        <v>36110</v>
      </c>
      <c r="N1809">
        <f>-591.19376237924 -55.4813540104427 -756.070531953445</f>
        <v>-1402.7456483431276</v>
      </c>
      <c r="O1809">
        <f>-612.897742202491 -191.879276636277 -705.574541675806</f>
        <v>-1510.351560514574</v>
      </c>
      <c r="P1809">
        <f>-580.613573530269 -173.848507382138 -391.219956180792</f>
        <v>-1145.6820370931991</v>
      </c>
      <c r="Q1809">
        <f>-351.682846504969 -68.2248725716569 -455.066777326773</f>
        <v>-874.97449640339892</v>
      </c>
      <c r="R1809" t="s">
        <v>36111</v>
      </c>
      <c r="S1809" t="s">
        <v>36112</v>
      </c>
      <c r="T1809" t="s">
        <v>36113</v>
      </c>
      <c r="U1809" t="s">
        <v>36114</v>
      </c>
      <c r="V1809">
        <f>-536.542234454506 -13.5060174196621 -220.318496905379</f>
        <v>-770.36674877954704</v>
      </c>
      <c r="W1809" t="s">
        <v>36115</v>
      </c>
      <c r="X1809" t="s">
        <v>36116</v>
      </c>
      <c r="Y1809" t="s">
        <v>36117</v>
      </c>
    </row>
    <row r="1810" spans="1:25" x14ac:dyDescent="0.3">
      <c r="A1810">
        <v>90450</v>
      </c>
      <c r="B1810" t="s">
        <v>36118</v>
      </c>
      <c r="C1810" t="s">
        <v>36119</v>
      </c>
      <c r="D1810" t="s">
        <v>36120</v>
      </c>
      <c r="E1810" t="s">
        <v>36121</v>
      </c>
      <c r="F1810" t="s">
        <v>36122</v>
      </c>
      <c r="G1810">
        <f>-591.126590256898 -7.83734501662487 -680.193422899122</f>
        <v>-1279.1573581726448</v>
      </c>
      <c r="H1810">
        <f>-580.699944336743 -48.0084272863026 -826.745763125933</f>
        <v>-1455.4541347489785</v>
      </c>
      <c r="I1810">
        <f>-541.90474686126 -65.9770630455073 -919.239198598307</f>
        <v>-1527.1210085050743</v>
      </c>
      <c r="J1810" t="s">
        <v>36123</v>
      </c>
      <c r="K1810" t="s">
        <v>36124</v>
      </c>
      <c r="L1810" t="s">
        <v>36125</v>
      </c>
      <c r="M1810" t="s">
        <v>36126</v>
      </c>
      <c r="N1810">
        <f>-591.033456469987 -60.4978181367975 -754.012334048893</f>
        <v>-1405.5436086556774</v>
      </c>
      <c r="O1810">
        <f>-613.618782523484 -196.150651534718 -701.944582852174</f>
        <v>-1511.7140169103759</v>
      </c>
      <c r="P1810">
        <f>-579.806490340447 -175.61268908683 -387.90461045404</f>
        <v>-1143.323789881317</v>
      </c>
      <c r="Q1810">
        <f>-349.689389395173 -72.8573587259871 -452.165893688159</f>
        <v>-874.71264180931917</v>
      </c>
      <c r="R1810" t="s">
        <v>36127</v>
      </c>
      <c r="S1810" t="s">
        <v>36128</v>
      </c>
      <c r="T1810" t="s">
        <v>36129</v>
      </c>
      <c r="U1810" t="s">
        <v>36130</v>
      </c>
      <c r="V1810">
        <f>-536.284730256062 -14.4512497365922 -219.397835334859</f>
        <v>-770.13381532751316</v>
      </c>
      <c r="W1810" t="s">
        <v>36131</v>
      </c>
      <c r="X1810" t="s">
        <v>36132</v>
      </c>
      <c r="Y1810" t="s">
        <v>36133</v>
      </c>
    </row>
    <row r="1811" spans="1:25" x14ac:dyDescent="0.3">
      <c r="A1811">
        <v>90500</v>
      </c>
      <c r="B1811" t="s">
        <v>36134</v>
      </c>
      <c r="C1811" t="s">
        <v>36135</v>
      </c>
      <c r="D1811" t="s">
        <v>36136</v>
      </c>
      <c r="E1811" t="s">
        <v>36137</v>
      </c>
      <c r="F1811" t="s">
        <v>36138</v>
      </c>
      <c r="G1811">
        <f>-591.222287669 -9.57321297174016 -679.41192768902</f>
        <v>-1280.2074283297602</v>
      </c>
      <c r="H1811">
        <f>-580.779747945653 -50.6889985623302 -825.7009419283</f>
        <v>-1457.1696884362832</v>
      </c>
      <c r="I1811">
        <f>-542.029886103308 -69.0563186445424 -918.13516548314</f>
        <v>-1529.2213702309905</v>
      </c>
      <c r="J1811">
        <f>-579.62319689742 -2.29313946803094 -769.049254818971</f>
        <v>-1350.965591184422</v>
      </c>
      <c r="K1811" t="s">
        <v>36139</v>
      </c>
      <c r="L1811" t="s">
        <v>36140</v>
      </c>
      <c r="M1811" t="s">
        <v>36141</v>
      </c>
      <c r="N1811">
        <f>-591.177342701484 -62.6999075758885 -752.896070515587</f>
        <v>-1406.7733207929596</v>
      </c>
      <c r="O1811">
        <f>-613.936710867898 -198.055186456819 -700.086640371933</f>
        <v>-1512.0785376966501</v>
      </c>
      <c r="P1811">
        <f>-579.511415146857 -176.002479288421 -386.216006589267</f>
        <v>-1141.7299010245449</v>
      </c>
      <c r="Q1811">
        <f>-348.999405448856 -74.2898820625327 -450.720381214186</f>
        <v>-874.00966872557467</v>
      </c>
      <c r="R1811" t="s">
        <v>36142</v>
      </c>
      <c r="S1811" t="s">
        <v>36143</v>
      </c>
      <c r="T1811" t="s">
        <v>36144</v>
      </c>
      <c r="U1811" t="s">
        <v>36145</v>
      </c>
      <c r="V1811">
        <f>-536.25948704487 -14.5286188441644 -218.886661215479</f>
        <v>-769.67476710451331</v>
      </c>
      <c r="W1811" t="s">
        <v>36146</v>
      </c>
      <c r="X1811" t="s">
        <v>36147</v>
      </c>
      <c r="Y1811" t="s">
        <v>36148</v>
      </c>
    </row>
    <row r="1812" spans="1:25" x14ac:dyDescent="0.3">
      <c r="A1812">
        <v>90550</v>
      </c>
      <c r="B1812" t="s">
        <v>36149</v>
      </c>
      <c r="C1812" t="s">
        <v>36150</v>
      </c>
      <c r="D1812" t="s">
        <v>36151</v>
      </c>
      <c r="E1812" t="s">
        <v>36152</v>
      </c>
      <c r="F1812" t="s">
        <v>36153</v>
      </c>
      <c r="G1812">
        <f>-590.943999913176 -12.717741564351 -678.04940004473</f>
        <v>-1281.7111415222569</v>
      </c>
      <c r="H1812">
        <f>-580.217283850075 -55.1380558139933 -823.944822601702</f>
        <v>-1459.3001622657703</v>
      </c>
      <c r="I1812">
        <f>-541.361706125459 -74.0708939452491 -916.220240117904</f>
        <v>-1531.6528401886121</v>
      </c>
      <c r="J1812">
        <f>-579.156728364135 -6.24044583543215 -767.723555013823</f>
        <v>-1353.1207292133902</v>
      </c>
      <c r="K1812" t="s">
        <v>36154</v>
      </c>
      <c r="L1812" t="s">
        <v>36155</v>
      </c>
      <c r="M1812" t="s">
        <v>36156</v>
      </c>
      <c r="N1812">
        <f>-590.770261855487 -66.4963078141682 -751.057596829848</f>
        <v>-1408.324166499503</v>
      </c>
      <c r="O1812">
        <f>-613.573117574048 -201.42368340812 -697.197415995088</f>
        <v>-1512.194216977256</v>
      </c>
      <c r="P1812">
        <f>-578.799961030046 -177.029633285101 -383.53843572856</f>
        <v>-1139.368030043707</v>
      </c>
      <c r="Q1812">
        <f>-348.104415503859 -75.9258430772384 -448.343235197615</f>
        <v>-872.37349377871237</v>
      </c>
      <c r="R1812" t="s">
        <v>36157</v>
      </c>
      <c r="S1812" t="s">
        <v>36158</v>
      </c>
      <c r="T1812" t="s">
        <v>36159</v>
      </c>
      <c r="U1812" t="s">
        <v>36160</v>
      </c>
      <c r="V1812">
        <f>-535.562652903872 -15.1371234915117 -217.981690502505</f>
        <v>-768.68146689788875</v>
      </c>
      <c r="W1812" t="s">
        <v>36161</v>
      </c>
      <c r="X1812" t="s">
        <v>36162</v>
      </c>
      <c r="Y1812" t="s">
        <v>36163</v>
      </c>
    </row>
    <row r="1813" spans="1:25" x14ac:dyDescent="0.3">
      <c r="A1813">
        <v>90600</v>
      </c>
      <c r="B1813" t="s">
        <v>36164</v>
      </c>
      <c r="C1813" t="s">
        <v>36165</v>
      </c>
      <c r="D1813" t="s">
        <v>36166</v>
      </c>
      <c r="E1813" t="s">
        <v>36167</v>
      </c>
      <c r="F1813" t="s">
        <v>36168</v>
      </c>
      <c r="G1813">
        <f>-590.81641468291 -14.3252857475161 -677.47628430275</f>
        <v>-1282.6179847331759</v>
      </c>
      <c r="H1813">
        <f>-579.92578036003 -57.3491889791179 -823.182604603098</f>
        <v>-1460.4575739422457</v>
      </c>
      <c r="I1813">
        <f>-540.952065622821 -76.5276927178661 -915.357552684619</f>
        <v>-1532.837311025306</v>
      </c>
      <c r="J1813">
        <f>-578.96062718 -8.21410452012947 -767.166987965469</f>
        <v>-1354.3417196655985</v>
      </c>
      <c r="K1813" t="s">
        <v>36169</v>
      </c>
      <c r="L1813" t="s">
        <v>36170</v>
      </c>
      <c r="M1813" t="s">
        <v>36171</v>
      </c>
      <c r="N1813">
        <f>-590.52845498981 -68.410753378575 -750.257022070806</f>
        <v>-1409.1962304391909</v>
      </c>
      <c r="O1813">
        <f>-613.137950770077 -203.199812902887 -695.996079074404</f>
        <v>-1512.333842747368</v>
      </c>
      <c r="P1813">
        <f>-578.580269528556 -177.691128738834 -382.401987271469</f>
        <v>-1138.6733855388588</v>
      </c>
      <c r="Q1813">
        <f>-347.920633631249 -76.5246693975801 -447.236629701353</f>
        <v>-871.6819327301821</v>
      </c>
      <c r="R1813" t="s">
        <v>36172</v>
      </c>
      <c r="S1813" t="s">
        <v>36173</v>
      </c>
      <c r="T1813" t="s">
        <v>36174</v>
      </c>
      <c r="U1813" t="s">
        <v>36175</v>
      </c>
      <c r="V1813">
        <f>-535.256251712675 -15.3841179974482 -217.565392055622</f>
        <v>-768.20576176574514</v>
      </c>
      <c r="W1813" t="s">
        <v>36176</v>
      </c>
      <c r="X1813" t="s">
        <v>36177</v>
      </c>
      <c r="Y1813" t="s">
        <v>36178</v>
      </c>
    </row>
    <row r="1814" spans="1:25" x14ac:dyDescent="0.3">
      <c r="A1814">
        <v>90650</v>
      </c>
      <c r="B1814" t="s">
        <v>36179</v>
      </c>
      <c r="C1814" t="s">
        <v>36180</v>
      </c>
      <c r="D1814" t="s">
        <v>36181</v>
      </c>
      <c r="E1814" t="s">
        <v>36182</v>
      </c>
      <c r="F1814" t="s">
        <v>36183</v>
      </c>
      <c r="G1814">
        <f>-589.815207708575 -16.8774094733172 -676.767806024479</f>
        <v>-1283.4604232063712</v>
      </c>
      <c r="H1814">
        <f>-578.717153195138 -60.8291200709315 -822.181373044966</f>
        <v>-1461.7276463110356</v>
      </c>
      <c r="I1814">
        <f>-539.582358596034 -80.3685466172971 -914.212263857878</f>
        <v>-1534.1631690712093</v>
      </c>
      <c r="J1814">
        <f>-577.931326253003 -11.3224957292146 -766.491240853071</f>
        <v>-1355.7450628352885</v>
      </c>
      <c r="K1814" t="s">
        <v>36184</v>
      </c>
      <c r="L1814" t="s">
        <v>36185</v>
      </c>
      <c r="M1814" t="s">
        <v>36186</v>
      </c>
      <c r="N1814">
        <f>-589.32399725158 -71.4412306279411 -749.18964285226</f>
        <v>-1409.9548707317811</v>
      </c>
      <c r="O1814">
        <f>-611.555901214451 -205.984789181434 -694.168249094896</f>
        <v>-1511.7089394907809</v>
      </c>
      <c r="P1814">
        <f>-577.086276503434 -178.953753825656 -380.692060604568</f>
        <v>-1136.7320909336579</v>
      </c>
      <c r="Q1814">
        <f>-346.78856465222 -77.0699343845772 -445.689793454682</f>
        <v>-869.54829249147917</v>
      </c>
      <c r="R1814" t="s">
        <v>36187</v>
      </c>
      <c r="S1814" t="s">
        <v>36188</v>
      </c>
      <c r="T1814" t="s">
        <v>36189</v>
      </c>
      <c r="U1814" t="s">
        <v>36190</v>
      </c>
      <c r="V1814">
        <f>-534.464120765969 -15.5523921136464 -217.093335260507</f>
        <v>-767.10984814012249</v>
      </c>
      <c r="W1814" t="s">
        <v>36191</v>
      </c>
      <c r="X1814" t="s">
        <v>36192</v>
      </c>
      <c r="Y1814" t="s">
        <v>36193</v>
      </c>
    </row>
    <row r="1815" spans="1:25" x14ac:dyDescent="0.3">
      <c r="A1815">
        <v>90700</v>
      </c>
      <c r="B1815" t="s">
        <v>36194</v>
      </c>
      <c r="C1815" t="s">
        <v>36195</v>
      </c>
      <c r="D1815" t="s">
        <v>36196</v>
      </c>
      <c r="E1815" t="s">
        <v>36197</v>
      </c>
      <c r="F1815" t="s">
        <v>36198</v>
      </c>
      <c r="G1815">
        <f>-589.251280393313 -18.2735927136615 -676.582740050526</f>
        <v>-1284.1076131575005</v>
      </c>
      <c r="H1815">
        <f>-577.975345860247 -62.6091928842775 -821.865960461945</f>
        <v>-1462.4504992064694</v>
      </c>
      <c r="I1815">
        <f>-538.76863380014 -82.3004139249687 -913.833712763131</f>
        <v>-1534.9027604882397</v>
      </c>
      <c r="J1815">
        <f>-577.341427199915 -12.9428506716331 -766.316149428135</f>
        <v>-1356.6004272996829</v>
      </c>
      <c r="K1815" t="s">
        <v>36199</v>
      </c>
      <c r="L1815" t="s">
        <v>36200</v>
      </c>
      <c r="M1815" t="s">
        <v>36201</v>
      </c>
      <c r="N1815">
        <f>-588.587706271625 -73.0412627342432 -748.849109226821</f>
        <v>-1410.4780782326893</v>
      </c>
      <c r="O1815">
        <f>-610.583978968407 -207.509336722715 -693.52879560369</f>
        <v>-1511.6221112948119</v>
      </c>
      <c r="P1815">
        <f>-576.346934760366 -179.619445896394 -380.10222325972</f>
        <v>-1136.06860391648</v>
      </c>
      <c r="Q1815">
        <f>-346.214766735458 -77.4445417997401 -445.229323471415</f>
        <v>-868.88863200661308</v>
      </c>
      <c r="R1815" t="s">
        <v>36202</v>
      </c>
      <c r="S1815" t="s">
        <v>36203</v>
      </c>
      <c r="T1815" t="s">
        <v>36204</v>
      </c>
      <c r="U1815" t="s">
        <v>36205</v>
      </c>
      <c r="V1815">
        <f>-534.055453356544 -16.3340847954896 -217.043080878693</f>
        <v>-767.43261903072664</v>
      </c>
      <c r="W1815" t="s">
        <v>36206</v>
      </c>
      <c r="X1815" t="s">
        <v>36207</v>
      </c>
      <c r="Y1815" t="s">
        <v>36208</v>
      </c>
    </row>
    <row r="1816" spans="1:25" x14ac:dyDescent="0.3">
      <c r="A1816">
        <v>90750</v>
      </c>
      <c r="B1816" t="s">
        <v>36209</v>
      </c>
      <c r="C1816" t="s">
        <v>36210</v>
      </c>
      <c r="D1816" t="s">
        <v>36211</v>
      </c>
      <c r="E1816" t="s">
        <v>36212</v>
      </c>
      <c r="F1816" t="s">
        <v>36213</v>
      </c>
      <c r="G1816">
        <f>-588.430069172386 -20.0302538524469 -676.397253247363</f>
        <v>-1284.8575762721957</v>
      </c>
      <c r="H1816">
        <f>-576.743828312955 -64.8973941919515 -821.484634320081</f>
        <v>-1463.1258568249875</v>
      </c>
      <c r="I1816">
        <f>-537.460310110958 -84.83909803576 -913.365628030022</f>
        <v>-1535.6650361767399</v>
      </c>
      <c r="J1816">
        <f>-576.469929558305 -14.9980030270017 -766.141260841035</f>
        <v>-1357.6091934263418</v>
      </c>
      <c r="K1816" t="s">
        <v>36214</v>
      </c>
      <c r="L1816" t="s">
        <v>36215</v>
      </c>
      <c r="M1816" t="s">
        <v>36216</v>
      </c>
      <c r="N1816">
        <f>-587.359361804493 -75.0920717251316 -748.434736052443</f>
        <v>-1410.8861695820676</v>
      </c>
      <c r="O1816">
        <f>-608.649667943165 -209.491590475286 -692.675254019591</f>
        <v>-1510.8165124380421</v>
      </c>
      <c r="P1816">
        <f>-574.988856763689 -180.289044183756 -379.305920691123</f>
        <v>-1134.583821638568</v>
      </c>
      <c r="Q1816">
        <f>-344.953066626331 -77.7180792725193 -444.150119135574</f>
        <v>-866.82126503442441</v>
      </c>
      <c r="R1816" t="s">
        <v>36217</v>
      </c>
      <c r="S1816" t="s">
        <v>36218</v>
      </c>
      <c r="T1816" t="s">
        <v>36219</v>
      </c>
      <c r="U1816" t="s">
        <v>36220</v>
      </c>
      <c r="V1816">
        <f>-533.788141518425 -16.844916061085 -216.960960779457</f>
        <v>-767.59401835896699</v>
      </c>
      <c r="W1816" t="s">
        <v>36221</v>
      </c>
      <c r="X1816" t="s">
        <v>36222</v>
      </c>
      <c r="Y1816" t="s">
        <v>36223</v>
      </c>
    </row>
    <row r="1817" spans="1:25" x14ac:dyDescent="0.3">
      <c r="A1817">
        <v>90800</v>
      </c>
      <c r="B1817" t="s">
        <v>36224</v>
      </c>
      <c r="C1817" t="s">
        <v>36225</v>
      </c>
      <c r="D1817" t="s">
        <v>36226</v>
      </c>
      <c r="E1817" t="s">
        <v>36227</v>
      </c>
      <c r="F1817" t="s">
        <v>36228</v>
      </c>
      <c r="G1817">
        <f>-587.987036272984 -20.5519166825519 -676.509595473957</f>
        <v>-1285.0485484294929</v>
      </c>
      <c r="H1817">
        <f>-576.100187710706 -65.5315216461839 -821.546014883584</f>
        <v>-1463.1777242404739</v>
      </c>
      <c r="I1817">
        <f>-536.827484033344 -85.5279641550394 -913.41967408235</f>
        <v>-1535.7751222707334</v>
      </c>
      <c r="J1817">
        <f>-575.982833226821 -15.5778151522705 -766.251035215081</f>
        <v>-1357.8116835941723</v>
      </c>
      <c r="K1817" t="s">
        <v>36229</v>
      </c>
      <c r="L1817" t="s">
        <v>36230</v>
      </c>
      <c r="M1817" t="s">
        <v>36231</v>
      </c>
      <c r="N1817">
        <f>-586.736683091633 -75.6810581917726 -748.492698530743</f>
        <v>-1410.9104398141487</v>
      </c>
      <c r="O1817">
        <f>-607.729389744454 -210.091058579839 -692.621789228457</f>
        <v>-1510.4422375527502</v>
      </c>
      <c r="P1817">
        <f>-574.54852985208 -180.376949134671 -379.249273228045</f>
        <v>-1134.1747522147962</v>
      </c>
      <c r="Q1817">
        <f>-344.534346090368 -77.633388089112 -443.896797406237</f>
        <v>-866.06453158571708</v>
      </c>
      <c r="R1817" t="s">
        <v>36232</v>
      </c>
      <c r="S1817" t="s">
        <v>36233</v>
      </c>
      <c r="T1817" t="s">
        <v>36234</v>
      </c>
      <c r="U1817" t="s">
        <v>36235</v>
      </c>
      <c r="V1817">
        <f>-533.620116761359 -17.2874686773138 -217.152678870556</f>
        <v>-768.06026430922873</v>
      </c>
      <c r="W1817" t="s">
        <v>36236</v>
      </c>
      <c r="X1817" t="s">
        <v>36237</v>
      </c>
      <c r="Y1817" t="s">
        <v>36238</v>
      </c>
    </row>
    <row r="1818" spans="1:25" x14ac:dyDescent="0.3">
      <c r="A1818">
        <v>90850</v>
      </c>
      <c r="B1818" t="s">
        <v>36239</v>
      </c>
      <c r="C1818" t="s">
        <v>36240</v>
      </c>
      <c r="D1818" t="s">
        <v>36241</v>
      </c>
      <c r="E1818" t="s">
        <v>36242</v>
      </c>
      <c r="F1818" t="s">
        <v>36243</v>
      </c>
      <c r="G1818">
        <f>-586.778987819125 -21.2008518771545 -676.742207537591</f>
        <v>-1284.7220472338704</v>
      </c>
      <c r="H1818">
        <f>-574.466519875961 -65.9649465768645 -821.809756528529</f>
        <v>-1462.2412229813544</v>
      </c>
      <c r="I1818">
        <f>-535.226562741243 -85.8357108503116 -913.724681898093</f>
        <v>-1534.7869554896474</v>
      </c>
      <c r="J1818">
        <f>-574.746513104683 -16.0609704048142 -766.470477222299</f>
        <v>-1357.2779607317962</v>
      </c>
      <c r="K1818" t="s">
        <v>36244</v>
      </c>
      <c r="L1818" t="s">
        <v>36245</v>
      </c>
      <c r="M1818" t="s">
        <v>36246</v>
      </c>
      <c r="N1818">
        <f>-585.082295086629 -76.2554644614198 -748.773149328563</f>
        <v>-1410.1109088766118</v>
      </c>
      <c r="O1818">
        <f>-605.203883797862 -210.831620064656 -693.006574410211</f>
        <v>-1509.042078272729</v>
      </c>
      <c r="P1818">
        <f>-573.34258427402 -181.049098828111 -379.503848609261</f>
        <v>-1133.8955317113921</v>
      </c>
      <c r="Q1818">
        <f>-343.309873499883 -77.9209254618067 -443.46925313703</f>
        <v>-864.70005209871965</v>
      </c>
      <c r="R1818" t="s">
        <v>36247</v>
      </c>
      <c r="S1818" t="s">
        <v>36248</v>
      </c>
      <c r="T1818" t="s">
        <v>36249</v>
      </c>
      <c r="U1818" t="s">
        <v>36250</v>
      </c>
      <c r="V1818">
        <f>-533.609271447571 -18.5099696883344 -217.258590610209</f>
        <v>-769.37783174611445</v>
      </c>
      <c r="W1818" t="s">
        <v>36251</v>
      </c>
      <c r="X1818" t="s">
        <v>36252</v>
      </c>
      <c r="Y1818" t="s">
        <v>36253</v>
      </c>
    </row>
    <row r="1819" spans="1:25" x14ac:dyDescent="0.3">
      <c r="A1819">
        <v>90900</v>
      </c>
      <c r="B1819" t="s">
        <v>36254</v>
      </c>
      <c r="C1819" t="s">
        <v>36255</v>
      </c>
      <c r="D1819" t="s">
        <v>36256</v>
      </c>
      <c r="E1819" t="s">
        <v>36257</v>
      </c>
      <c r="F1819" t="s">
        <v>36258</v>
      </c>
      <c r="G1819">
        <f>-586.297140798738 -21.0853054382858 -676.829553572234</f>
        <v>-1284.2119998092578</v>
      </c>
      <c r="H1819">
        <f>-573.7988747665 -65.523684652126 -821.981433865363</f>
        <v>-1461.303993283989</v>
      </c>
      <c r="I1819">
        <f>-534.571462719804 -85.2489666818279 -913.93307223968</f>
        <v>-1533.7535016413119</v>
      </c>
      <c r="J1819">
        <f>-574.29315263334 -15.7250471703174 -766.548767822579</f>
        <v>-1356.5669676262364</v>
      </c>
      <c r="K1819" t="s">
        <v>36259</v>
      </c>
      <c r="L1819" t="s">
        <v>36260</v>
      </c>
      <c r="M1819" t="s">
        <v>36261</v>
      </c>
      <c r="N1819">
        <f>-584.364776672368 -75.9971180058396 -748.963607876122</f>
        <v>-1409.3255025543294</v>
      </c>
      <c r="O1819">
        <f>-603.911674780771 -210.761901571682 -693.439277478058</f>
        <v>-1508.1128538305111</v>
      </c>
      <c r="P1819">
        <f>-573.010014866637 -180.910590829424 -379.846907106158</f>
        <v>-1133.767512802219</v>
      </c>
      <c r="Q1819">
        <f>-342.848395277809 -77.7549376867986 -443.302248922124</f>
        <v>-863.90558188673162</v>
      </c>
      <c r="R1819" t="s">
        <v>36262</v>
      </c>
      <c r="S1819" t="s">
        <v>36263</v>
      </c>
      <c r="T1819" t="s">
        <v>36264</v>
      </c>
      <c r="U1819" t="s">
        <v>36265</v>
      </c>
      <c r="V1819">
        <f>-533.38123339405 -19.0844413296548 -217.240499860734</f>
        <v>-769.70617458443883</v>
      </c>
      <c r="W1819" t="s">
        <v>36266</v>
      </c>
      <c r="X1819" t="s">
        <v>36267</v>
      </c>
      <c r="Y1819" t="s">
        <v>36268</v>
      </c>
    </row>
    <row r="1820" spans="1:25" x14ac:dyDescent="0.3">
      <c r="A1820">
        <v>90950</v>
      </c>
      <c r="B1820" t="s">
        <v>36269</v>
      </c>
      <c r="C1820" t="s">
        <v>36270</v>
      </c>
      <c r="D1820" t="s">
        <v>36271</v>
      </c>
      <c r="E1820" t="s">
        <v>36272</v>
      </c>
      <c r="F1820" t="s">
        <v>36273</v>
      </c>
      <c r="G1820">
        <f>-585.789937901336 -20.0709304052952 -677.014747224505</f>
        <v>-1282.8756155311362</v>
      </c>
      <c r="H1820">
        <f>-573.092742293311 -63.4741421797786 -822.462149728396</f>
        <v>-1459.0290342014855</v>
      </c>
      <c r="I1820">
        <f>-533.942293278351 -82.619858508309 -914.569054525031</f>
        <v>-1531.1312063116911</v>
      </c>
      <c r="J1820">
        <f>-573.949370689586 -14.0354238944934 -766.712723977309</f>
        <v>-1354.6975185613883</v>
      </c>
      <c r="K1820" t="s">
        <v>36274</v>
      </c>
      <c r="L1820" t="s">
        <v>36275</v>
      </c>
      <c r="M1820" t="s">
        <v>36276</v>
      </c>
      <c r="N1820">
        <f>-583.472274316857 -74.503764422726 -749.499692739191</f>
        <v>-1407.4757314787739</v>
      </c>
      <c r="O1820">
        <f>-601.831140428579 -209.743902099751 -694.727605692669</f>
        <v>-1506.3026482209991</v>
      </c>
      <c r="P1820">
        <f>-572.558130567616 -180.564714056969 -380.91591176865</f>
        <v>-1134.038756393235</v>
      </c>
      <c r="Q1820">
        <f>-342.148257782276 -76.9866381590597 -442.7618099516</f>
        <v>-861.89670589293564</v>
      </c>
      <c r="R1820" t="s">
        <v>36277</v>
      </c>
      <c r="S1820" t="s">
        <v>36278</v>
      </c>
      <c r="T1820" t="s">
        <v>36279</v>
      </c>
      <c r="U1820" t="s">
        <v>36280</v>
      </c>
      <c r="V1820">
        <f>-533.112324964901 -19.5076285407095 -217.02886384573</f>
        <v>-769.64881735134043</v>
      </c>
      <c r="W1820" t="s">
        <v>36281</v>
      </c>
      <c r="X1820" t="s">
        <v>36282</v>
      </c>
      <c r="Y1820" t="s">
        <v>36283</v>
      </c>
    </row>
    <row r="1821" spans="1:25" x14ac:dyDescent="0.3">
      <c r="A1821">
        <v>91000</v>
      </c>
      <c r="B1821" t="s">
        <v>36284</v>
      </c>
      <c r="C1821" t="s">
        <v>36285</v>
      </c>
      <c r="D1821" t="s">
        <v>36286</v>
      </c>
      <c r="E1821" t="s">
        <v>36287</v>
      </c>
      <c r="F1821" t="s">
        <v>36288</v>
      </c>
      <c r="G1821">
        <f>-585.313714730797 -19.1824972509916 -677.207513240502</f>
        <v>-1281.7037252222904</v>
      </c>
      <c r="H1821">
        <f>-572.547277364961 -61.8208816663449 -822.874917272867</f>
        <v>-1457.243076304173</v>
      </c>
      <c r="I1821">
        <f>-533.447190093141 -80.5150588899547 -915.095916805423</f>
        <v>-1529.0581657885186</v>
      </c>
      <c r="J1821">
        <f>-573.576802872962 -12.6580980392145 -766.884968214188</f>
        <v>-1353.1198691263644</v>
      </c>
      <c r="K1821" t="s">
        <v>36289</v>
      </c>
      <c r="L1821" t="s">
        <v>36290</v>
      </c>
      <c r="M1821" t="s">
        <v>36291</v>
      </c>
      <c r="N1821">
        <f>-582.815206214158 -73.2513258986948 -749.958257656405</f>
        <v>-1406.0247897692579</v>
      </c>
      <c r="O1821">
        <f>-600.630803045202 -208.782140733386 -695.720382168793</f>
        <v>-1505.1333259473809</v>
      </c>
      <c r="P1821">
        <f>-572.272118890491 -180.30050779384 -381.760499478529</f>
        <v>-1134.33312616286</v>
      </c>
      <c r="Q1821">
        <f>-341.783245269294 -76.3173989013879 -442.624735623969</f>
        <v>-860.72537979465096</v>
      </c>
      <c r="R1821" t="s">
        <v>36292</v>
      </c>
      <c r="S1821" t="s">
        <v>36293</v>
      </c>
      <c r="T1821" t="s">
        <v>36294</v>
      </c>
      <c r="U1821" t="s">
        <v>36295</v>
      </c>
      <c r="V1821">
        <f>-532.826407550165 -19.652311736452 -216.964701762972</f>
        <v>-769.44342104958901</v>
      </c>
      <c r="W1821" t="s">
        <v>36296</v>
      </c>
      <c r="X1821" t="s">
        <v>36297</v>
      </c>
      <c r="Y1821" t="s">
        <v>36298</v>
      </c>
    </row>
    <row r="1822" spans="1:25" x14ac:dyDescent="0.3">
      <c r="A1822">
        <v>91050</v>
      </c>
      <c r="B1822" t="s">
        <v>36299</v>
      </c>
      <c r="C1822" t="s">
        <v>36300</v>
      </c>
      <c r="D1822" t="s">
        <v>36301</v>
      </c>
      <c r="E1822" t="s">
        <v>36302</v>
      </c>
      <c r="F1822" t="s">
        <v>36303</v>
      </c>
      <c r="G1822">
        <f>-584.717601601309 -17.2958897132443 -677.597079603397</f>
        <v>-1279.6105709179501</v>
      </c>
      <c r="H1822">
        <f>-571.789708818573 -58.4214330010578 -823.684596858649</f>
        <v>-1453.8957386782799</v>
      </c>
      <c r="I1822">
        <f>-532.784957878604 -76.1564716532649 -916.134976117195</f>
        <v>-1525.0764056490639</v>
      </c>
      <c r="J1822">
        <f>-573.138595268711 -9.81220435736989 -767.219981830447</f>
        <v>-1350.1707814565279</v>
      </c>
      <c r="K1822" t="s">
        <v>36304</v>
      </c>
      <c r="L1822" t="s">
        <v>36305</v>
      </c>
      <c r="M1822" t="s">
        <v>36306</v>
      </c>
      <c r="N1822">
        <f>-581.881206576729 -70.6370893658751 -750.870638978913</f>
        <v>-1403.3889349215171</v>
      </c>
      <c r="O1822">
        <f>-598.657059126128 -206.779906938102 -697.888061920609</f>
        <v>-1503.3250279848389</v>
      </c>
      <c r="P1822">
        <f>-572.396904441082 -179.754650476057 -383.617088228904</f>
        <v>-1135.7686431460429</v>
      </c>
      <c r="Q1822">
        <f>-341.777535456884 -74.9796989641547 -442.599921838465</f>
        <v>-859.35715625950365</v>
      </c>
      <c r="R1822" t="s">
        <v>36307</v>
      </c>
      <c r="S1822" t="s">
        <v>36308</v>
      </c>
      <c r="T1822" t="s">
        <v>36309</v>
      </c>
      <c r="U1822" t="s">
        <v>36310</v>
      </c>
      <c r="V1822">
        <f>-532.25948051331 -19.9315813659885 -216.824112294199</f>
        <v>-769.01517417349748</v>
      </c>
      <c r="W1822" t="s">
        <v>36311</v>
      </c>
      <c r="X1822" t="s">
        <v>36312</v>
      </c>
      <c r="Y1822" t="s">
        <v>36313</v>
      </c>
    </row>
    <row r="1823" spans="1:25" x14ac:dyDescent="0.3">
      <c r="A1823">
        <v>91100</v>
      </c>
      <c r="B1823" t="s">
        <v>36314</v>
      </c>
      <c r="C1823" t="s">
        <v>36315</v>
      </c>
      <c r="D1823" t="s">
        <v>36316</v>
      </c>
      <c r="E1823" t="s">
        <v>36317</v>
      </c>
      <c r="F1823" t="s">
        <v>36318</v>
      </c>
      <c r="G1823">
        <f>-584.910901077466 -15.9574929036761 -677.67370364029</f>
        <v>-1278.542097621432</v>
      </c>
      <c r="H1823">
        <f>-572.046383100826 -56.4271992925999 -823.949735905548</f>
        <v>-1452.4233182989738</v>
      </c>
      <c r="I1823">
        <f>-533.084858916273 -73.7096682730331 -916.50409897407</f>
        <v>-1523.298626163376</v>
      </c>
      <c r="J1823">
        <f>-573.447671643279 -8.06328373661177 -767.276313178266</f>
        <v>-1348.7872685581569</v>
      </c>
      <c r="K1823" t="s">
        <v>36319</v>
      </c>
      <c r="L1823" t="s">
        <v>36320</v>
      </c>
      <c r="M1823" t="s">
        <v>36321</v>
      </c>
      <c r="N1823">
        <f>-582.029352308763 -68.9779720410536 -751.17794037368</f>
        <v>-1402.1852647234966</v>
      </c>
      <c r="O1823">
        <f>-598.547669926926 -205.315525104744 -698.677825357293</f>
        <v>-1502.541020388963</v>
      </c>
      <c r="P1823">
        <f>-572.749541804195 -179.344181427143 -384.279818708555</f>
        <v>-1136.3735419398931</v>
      </c>
      <c r="Q1823">
        <f>-342.152901193252 -74.1774427952232 -442.650864414085</f>
        <v>-858.98120840256024</v>
      </c>
      <c r="R1823" t="s">
        <v>36322</v>
      </c>
      <c r="S1823" t="s">
        <v>36323</v>
      </c>
      <c r="T1823" t="s">
        <v>36324</v>
      </c>
      <c r="U1823" t="s">
        <v>36325</v>
      </c>
      <c r="V1823">
        <f>-532.168635495949 -19.5496474304794 -216.673620828171</f>
        <v>-768.39190375459941</v>
      </c>
      <c r="W1823" t="s">
        <v>36326</v>
      </c>
      <c r="X1823" t="s">
        <v>36327</v>
      </c>
      <c r="Y1823" t="s">
        <v>36328</v>
      </c>
    </row>
    <row r="1824" spans="1:25" x14ac:dyDescent="0.3">
      <c r="A1824">
        <v>91150</v>
      </c>
      <c r="B1824" t="s">
        <v>36329</v>
      </c>
      <c r="C1824" t="s">
        <v>36330</v>
      </c>
      <c r="D1824" t="s">
        <v>36331</v>
      </c>
      <c r="E1824" t="s">
        <v>36332</v>
      </c>
      <c r="F1824" t="s">
        <v>36333</v>
      </c>
      <c r="G1824">
        <f>-585.289951191047 -14.1114846895247 -677.976277270999</f>
        <v>-1277.3777131515708</v>
      </c>
      <c r="H1824">
        <f>-572.826069681762 -53.8875295768349 -824.477247278444</f>
        <v>-1451.1908465370409</v>
      </c>
      <c r="I1824">
        <f>-534.018647336561 -70.5258704849657 -917.214103486945</f>
        <v>-1521.7586213084717</v>
      </c>
      <c r="J1824">
        <f>-574.150575241112 -5.78412766603557 -767.580588283492</f>
        <v>-1347.5152911906398</v>
      </c>
      <c r="K1824" t="s">
        <v>36334</v>
      </c>
      <c r="L1824" t="s">
        <v>36335</v>
      </c>
      <c r="M1824" t="s">
        <v>36336</v>
      </c>
      <c r="N1824">
        <f>-582.531272152629 -66.7916048824439 -751.729624949005</f>
        <v>-1401.0525019840779</v>
      </c>
      <c r="O1824">
        <f>-598.529724316239 -203.440638658515 -699.820920618306</f>
        <v>-1501.7912835930601</v>
      </c>
      <c r="P1824">
        <f>-572.793372864322 -178.701348504651 -385.318469130145</f>
        <v>-1136.813190499118</v>
      </c>
      <c r="Q1824">
        <f>-342.396451355349 -73.1613452027516 -443.804421579003</f>
        <v>-859.36221813710358</v>
      </c>
      <c r="R1824" t="s">
        <v>36337</v>
      </c>
      <c r="S1824" t="s">
        <v>36338</v>
      </c>
      <c r="T1824" t="s">
        <v>36339</v>
      </c>
      <c r="U1824" t="s">
        <v>36340</v>
      </c>
      <c r="V1824">
        <f>-532.189830351317 -18.7912045494951 -216.870940704352</f>
        <v>-767.85197560516417</v>
      </c>
      <c r="W1824" t="s">
        <v>36341</v>
      </c>
      <c r="X1824" t="s">
        <v>36342</v>
      </c>
      <c r="Y1824" t="s">
        <v>36343</v>
      </c>
    </row>
    <row r="1825" spans="1:25" x14ac:dyDescent="0.3">
      <c r="A1825">
        <v>91200</v>
      </c>
      <c r="B1825" t="s">
        <v>36344</v>
      </c>
      <c r="C1825" t="s">
        <v>36345</v>
      </c>
      <c r="D1825" t="s">
        <v>36346</v>
      </c>
      <c r="E1825" t="s">
        <v>36347</v>
      </c>
      <c r="F1825" t="s">
        <v>36348</v>
      </c>
      <c r="G1825">
        <f>-585.204155406582 -13.1254001482206 -678.141412396965</f>
        <v>-1276.4709679517678</v>
      </c>
      <c r="H1825">
        <f>-572.940505332201 -52.6998239059853 -824.713983077217</f>
        <v>-1450.3543123154034</v>
      </c>
      <c r="I1825">
        <f>-534.181851120649 -69.1261724540898 -917.50904756664</f>
        <v>-1520.8170711413786</v>
      </c>
      <c r="J1825">
        <f>-574.215204745644 -4.67178780519561 -767.752468572522</f>
        <v>-1346.6394611233618</v>
      </c>
      <c r="K1825" t="s">
        <v>36349</v>
      </c>
      <c r="L1825" t="s">
        <v>36350</v>
      </c>
      <c r="M1825" t="s">
        <v>36351</v>
      </c>
      <c r="N1825">
        <f>-582.518371490343 -65.7069886692434 -751.967804828419</f>
        <v>-1400.1931649880055</v>
      </c>
      <c r="O1825">
        <f>-598.330136285825 -202.439965561996 -700.234628202905</f>
        <v>-1501.004730050726</v>
      </c>
      <c r="P1825">
        <f>-572.419524815903 -178.051033873924 -385.719083007774</f>
        <v>-1136.189641697601</v>
      </c>
      <c r="Q1825">
        <f>-342.045319650596 -72.6508351846093 -444.545868345113</f>
        <v>-859.24202318031826</v>
      </c>
      <c r="R1825" t="s">
        <v>36352</v>
      </c>
      <c r="S1825" t="s">
        <v>36353</v>
      </c>
      <c r="T1825" t="s">
        <v>36354</v>
      </c>
      <c r="U1825" t="s">
        <v>36355</v>
      </c>
      <c r="V1825">
        <f>-532.21824419028 -18.042298222991 -216.964165900242</f>
        <v>-767.22470831351302</v>
      </c>
      <c r="W1825" t="s">
        <v>36356</v>
      </c>
      <c r="X1825" t="s">
        <v>36357</v>
      </c>
      <c r="Y1825" t="s">
        <v>36358</v>
      </c>
    </row>
    <row r="1826" spans="1:25" x14ac:dyDescent="0.3">
      <c r="A1826">
        <v>91250</v>
      </c>
      <c r="B1826" t="s">
        <v>36359</v>
      </c>
      <c r="C1826" t="s">
        <v>36360</v>
      </c>
      <c r="D1826" t="s">
        <v>36361</v>
      </c>
      <c r="E1826" t="s">
        <v>36362</v>
      </c>
      <c r="F1826" t="s">
        <v>36363</v>
      </c>
      <c r="G1826">
        <f>-585.88909565333 -10.7649520362668 -678.273214103506</f>
        <v>-1274.9272617931028</v>
      </c>
      <c r="H1826">
        <f>-573.876177682113 -50.0787261003209 -824.936488659796</f>
        <v>-1448.89139244223</v>
      </c>
      <c r="I1826">
        <f>-535.204440294764 -66.2334866598178 -917.815541324488</f>
        <v>-1519.2534682790697</v>
      </c>
      <c r="J1826">
        <f>-575.104820968506 -2.14654971787724 -767.893359395913</f>
        <v>-1345.1447300822963</v>
      </c>
      <c r="K1826" t="s">
        <v>36364</v>
      </c>
      <c r="L1826" t="s">
        <v>36365</v>
      </c>
      <c r="M1826" t="s">
        <v>36366</v>
      </c>
      <c r="N1826">
        <f>-583.278189192191 -63.2206649376605 -752.191698901869</f>
        <v>-1398.6905530317204</v>
      </c>
      <c r="O1826">
        <f>-598.578682160702 -200.122667917452 -700.743381073156</f>
        <v>-1499.44473115131</v>
      </c>
      <c r="P1826">
        <f>-572.274309007231 -176.113254021064 -386.231352571352</f>
        <v>-1134.6189155996469</v>
      </c>
      <c r="Q1826">
        <f>-341.812046459603 -71.2090191277119 -445.597211960482</f>
        <v>-858.61827754779688</v>
      </c>
      <c r="R1826" t="s">
        <v>36367</v>
      </c>
      <c r="S1826" t="s">
        <v>36368</v>
      </c>
      <c r="T1826" t="s">
        <v>36369</v>
      </c>
      <c r="U1826" t="s">
        <v>36370</v>
      </c>
      <c r="V1826">
        <f>-532.609947427244 -16.7585512402345 -217.088970790599</f>
        <v>-766.45746945807753</v>
      </c>
      <c r="W1826" t="s">
        <v>36371</v>
      </c>
      <c r="X1826" t="s">
        <v>36372</v>
      </c>
      <c r="Y1826" t="s">
        <v>36373</v>
      </c>
    </row>
    <row r="1827" spans="1:25" x14ac:dyDescent="0.3">
      <c r="A1827">
        <v>91300</v>
      </c>
      <c r="B1827" t="s">
        <v>36374</v>
      </c>
      <c r="C1827" t="s">
        <v>36375</v>
      </c>
      <c r="D1827" t="s">
        <v>36376</v>
      </c>
      <c r="E1827" t="s">
        <v>36377</v>
      </c>
      <c r="F1827" t="s">
        <v>36378</v>
      </c>
      <c r="G1827">
        <f>-586.218641819442 -9.35987592022883 -678.347804762775</f>
        <v>-1273.9263225024458</v>
      </c>
      <c r="H1827">
        <f>-574.318150643833 -48.5567718157779 -825.051545696157</f>
        <v>-1447.9264681557679</v>
      </c>
      <c r="I1827">
        <f>-535.695823628679 -64.6386599225104 -917.963639730231</f>
        <v>-1518.2981232814204</v>
      </c>
      <c r="J1827">
        <f>-575.513841792641 -0.668903490871415 -767.970365682611</f>
        <v>-1344.1531109661234</v>
      </c>
      <c r="K1827" t="s">
        <v>36379</v>
      </c>
      <c r="L1827" t="s">
        <v>36380</v>
      </c>
      <c r="M1827" t="s">
        <v>36381</v>
      </c>
      <c r="N1827">
        <f>-583.653691160849 -61.7577804200248 -752.30873620658</f>
        <v>-1397.7202077874538</v>
      </c>
      <c r="O1827">
        <f>-598.772196546166 -198.726624820514 -700.990992322238</f>
        <v>-1498.4898136889178</v>
      </c>
      <c r="P1827">
        <f>-572.435199150085 -175.079540240439 -386.454153172143</f>
        <v>-1133.968892562667</v>
      </c>
      <c r="Q1827">
        <f>-341.899635670623 -70.3328875267037 -445.813717521345</f>
        <v>-858.0462407186717</v>
      </c>
      <c r="R1827" t="s">
        <v>36382</v>
      </c>
      <c r="S1827" t="s">
        <v>36383</v>
      </c>
      <c r="T1827" t="s">
        <v>36384</v>
      </c>
      <c r="U1827" t="s">
        <v>36385</v>
      </c>
      <c r="V1827">
        <f>-533.078979743667 -15.8466391313916 -217.120929102746</f>
        <v>-766.04654797780461</v>
      </c>
      <c r="W1827" t="s">
        <v>36386</v>
      </c>
      <c r="X1827" t="s">
        <v>36387</v>
      </c>
      <c r="Y1827" t="s">
        <v>36388</v>
      </c>
    </row>
    <row r="1828" spans="1:25" x14ac:dyDescent="0.3">
      <c r="A1828">
        <v>91350</v>
      </c>
      <c r="B1828" t="s">
        <v>36389</v>
      </c>
      <c r="C1828" t="s">
        <v>36390</v>
      </c>
      <c r="D1828" t="s">
        <v>36391</v>
      </c>
      <c r="E1828" t="s">
        <v>36392</v>
      </c>
      <c r="F1828" t="s">
        <v>36393</v>
      </c>
      <c r="G1828">
        <f>-586.989001830692 -6.24329364052114 -678.484084289848</f>
        <v>-1271.7163797610613</v>
      </c>
      <c r="H1828">
        <f>-575.497872516067 -45.1136894621167 -825.307338286025</f>
        <v>-1445.9189002642088</v>
      </c>
      <c r="I1828">
        <f>-537.025350757466 -61.1047515753432 -918.297176762081</f>
        <v>-1516.4272790948903</v>
      </c>
      <c r="J1828" t="s">
        <v>36394</v>
      </c>
      <c r="K1828" t="s">
        <v>36395</v>
      </c>
      <c r="L1828" t="s">
        <v>36396</v>
      </c>
      <c r="M1828" t="s">
        <v>36397</v>
      </c>
      <c r="N1828">
        <f>-584.615733738559 -58.478114516254 -752.566801701704</f>
        <v>-1395.6606499565169</v>
      </c>
      <c r="O1828">
        <f>-599.491129470964 -195.619396782677 -701.630271957772</f>
        <v>-1496.740798211413</v>
      </c>
      <c r="P1828">
        <f>-573.235265974645 -172.876103485305 -387.020028329005</f>
        <v>-1133.1313977889552</v>
      </c>
      <c r="Q1828">
        <f>-342.548544003349 -68.1817898747211 -445.882409703612</f>
        <v>-856.61274358168203</v>
      </c>
      <c r="R1828" t="s">
        <v>36398</v>
      </c>
      <c r="S1828" t="s">
        <v>36399</v>
      </c>
      <c r="T1828" t="s">
        <v>36400</v>
      </c>
      <c r="U1828" t="s">
        <v>36401</v>
      </c>
      <c r="V1828">
        <f>-533.608082954386 -13.596403885768 -217.197021917802</f>
        <v>-764.40150875795598</v>
      </c>
      <c r="W1828" t="s">
        <v>36402</v>
      </c>
      <c r="X1828" t="s">
        <v>36403</v>
      </c>
      <c r="Y1828" t="s">
        <v>36404</v>
      </c>
    </row>
    <row r="1829" spans="1:25" x14ac:dyDescent="0.3">
      <c r="A1829">
        <v>91400</v>
      </c>
      <c r="B1829" t="s">
        <v>36405</v>
      </c>
      <c r="C1829" t="s">
        <v>36406</v>
      </c>
      <c r="D1829" t="s">
        <v>36407</v>
      </c>
      <c r="E1829" t="s">
        <v>36408</v>
      </c>
      <c r="F1829" t="s">
        <v>36409</v>
      </c>
      <c r="G1829">
        <f>-587.520276762227 -4.46337513593195 -678.551491007634</f>
        <v>-1270.535142905793</v>
      </c>
      <c r="H1829">
        <f>-576.180183605554 -43.2102711087648 -825.419155532591</f>
        <v>-1444.8096102469099</v>
      </c>
      <c r="I1829">
        <f>-537.769488119975 -59.1713788621503 -918.4398207234</f>
        <v>-1515.3806877055254</v>
      </c>
      <c r="J1829" t="s">
        <v>36410</v>
      </c>
      <c r="K1829" t="s">
        <v>36411</v>
      </c>
      <c r="L1829" t="s">
        <v>36412</v>
      </c>
      <c r="M1829" t="s">
        <v>36413</v>
      </c>
      <c r="N1829">
        <f>-585.22441714959 -56.6357211932255 -752.680801556651</f>
        <v>-1394.5409398994666</v>
      </c>
      <c r="O1829">
        <f>-600.038593494397 -193.833920482624 -701.91949619472</f>
        <v>-1495.7920101717409</v>
      </c>
      <c r="P1829">
        <f>-573.958346450515 -171.441898681958 -387.269615823267</f>
        <v>-1132.66986095574</v>
      </c>
      <c r="Q1829">
        <f>-343.163046476988 -66.8256343333486 -445.844560843343</f>
        <v>-855.83324165367958</v>
      </c>
      <c r="R1829" t="s">
        <v>36414</v>
      </c>
      <c r="S1829" t="s">
        <v>36415</v>
      </c>
      <c r="T1829" t="s">
        <v>36416</v>
      </c>
      <c r="U1829" t="s">
        <v>36417</v>
      </c>
      <c r="V1829">
        <f>-533.854674971517 -12.2530650877755 -217.263779379002</f>
        <v>-763.37151943829463</v>
      </c>
      <c r="W1829" t="s">
        <v>36418</v>
      </c>
      <c r="X1829" t="s">
        <v>36419</v>
      </c>
      <c r="Y1829" t="s">
        <v>36420</v>
      </c>
    </row>
    <row r="1830" spans="1:25" x14ac:dyDescent="0.3">
      <c r="A1830">
        <v>91450</v>
      </c>
      <c r="B1830" t="s">
        <v>36421</v>
      </c>
      <c r="C1830" t="s">
        <v>36422</v>
      </c>
      <c r="D1830" t="s">
        <v>36423</v>
      </c>
      <c r="E1830" t="s">
        <v>36424</v>
      </c>
      <c r="F1830" t="s">
        <v>36425</v>
      </c>
      <c r="G1830">
        <f>-588.364093055871 -0.932999326795851 -678.809789148977</f>
        <v>-1268.1068815316439</v>
      </c>
      <c r="H1830">
        <f>-577.367966402176 -39.328250503588 -825.795833672507</f>
        <v>-1442.4920505782711</v>
      </c>
      <c r="I1830">
        <f>-539.037008916157 -55.1790131615705 -918.868211198584</f>
        <v>-1513.0842332763116</v>
      </c>
      <c r="J1830" t="s">
        <v>36426</v>
      </c>
      <c r="K1830" t="s">
        <v>36427</v>
      </c>
      <c r="L1830" t="s">
        <v>36428</v>
      </c>
      <c r="M1830" t="s">
        <v>36429</v>
      </c>
      <c r="N1830">
        <f>-586.259391358458 -52.9259596050278 -753.070587738306</f>
        <v>-1392.2559387017918</v>
      </c>
      <c r="O1830">
        <f>-601.090568169482 -190.229584903476 -702.566238343872</f>
        <v>-1493.8863914168301</v>
      </c>
      <c r="P1830">
        <f>-575.29982776879 -168.371277644071 -387.854847859518</f>
        <v>-1131.525953272379</v>
      </c>
      <c r="Q1830">
        <f>-344.006379621 -64.4255054581615 -445.653392504265</f>
        <v>-854.08527758342643</v>
      </c>
      <c r="R1830" t="s">
        <v>36430</v>
      </c>
      <c r="S1830" t="s">
        <v>36431</v>
      </c>
      <c r="T1830" t="s">
        <v>36432</v>
      </c>
      <c r="U1830" t="s">
        <v>36433</v>
      </c>
      <c r="V1830">
        <f>-534.627865715066 -9.73759869757291 -217.419496152813</f>
        <v>-761.78496056545191</v>
      </c>
      <c r="W1830" t="s">
        <v>36434</v>
      </c>
      <c r="X1830" t="s">
        <v>36435</v>
      </c>
      <c r="Y1830" t="s">
        <v>36436</v>
      </c>
    </row>
    <row r="1831" spans="1:25" x14ac:dyDescent="0.3">
      <c r="A1831">
        <v>91500</v>
      </c>
      <c r="B1831" t="s">
        <v>36437</v>
      </c>
      <c r="C1831" t="s">
        <v>36438</v>
      </c>
      <c r="D1831" t="s">
        <v>36439</v>
      </c>
      <c r="E1831" t="s">
        <v>36440</v>
      </c>
      <c r="F1831" t="s">
        <v>36441</v>
      </c>
      <c r="G1831" t="s">
        <v>36442</v>
      </c>
      <c r="H1831">
        <f>-578.063579887781 -37.7560613939623 -825.909974186978</f>
        <v>-1441.7296154687215</v>
      </c>
      <c r="I1831">
        <f>-539.737466172675 -53.5985911602919 -918.985804515191</f>
        <v>-1512.3218618481578</v>
      </c>
      <c r="J1831" t="s">
        <v>36443</v>
      </c>
      <c r="K1831" t="s">
        <v>36444</v>
      </c>
      <c r="L1831" t="s">
        <v>36445</v>
      </c>
      <c r="M1831" t="s">
        <v>36446</v>
      </c>
      <c r="N1831">
        <f>-586.904036106653 -51.3812502225205 -753.18376130632</f>
        <v>-1391.4690476354936</v>
      </c>
      <c r="O1831">
        <f>-601.732288799578 -188.713403612709 -702.790124689959</f>
        <v>-1493.2358171022461</v>
      </c>
      <c r="P1831">
        <f>-576.167402769573 -167.009226932682 -388.049729902095</f>
        <v>-1131.2263596043499</v>
      </c>
      <c r="Q1831">
        <f>-344.630589362735 -63.3871021101189 -445.453621336866</f>
        <v>-853.47131280971985</v>
      </c>
      <c r="R1831" t="s">
        <v>36447</v>
      </c>
      <c r="S1831" t="s">
        <v>36448</v>
      </c>
      <c r="T1831" t="s">
        <v>36449</v>
      </c>
      <c r="U1831" t="s">
        <v>36450</v>
      </c>
      <c r="V1831">
        <f>-535.061197823647 -8.86025903688272 -217.54092799384</f>
        <v>-761.4623848543697</v>
      </c>
      <c r="W1831" t="s">
        <v>36451</v>
      </c>
      <c r="X1831" t="s">
        <v>36452</v>
      </c>
      <c r="Y1831" t="s">
        <v>36453</v>
      </c>
    </row>
    <row r="1832" spans="1:25" x14ac:dyDescent="0.3">
      <c r="A1832">
        <v>91550</v>
      </c>
      <c r="B1832" t="s">
        <v>36454</v>
      </c>
      <c r="C1832" t="s">
        <v>36455</v>
      </c>
      <c r="D1832" t="s">
        <v>36456</v>
      </c>
      <c r="E1832" t="s">
        <v>36457</v>
      </c>
      <c r="F1832" t="s">
        <v>36458</v>
      </c>
      <c r="G1832" t="s">
        <v>36459</v>
      </c>
      <c r="H1832">
        <f>-579.170668720227 -33.9926657364261 -826.217177179053</f>
        <v>-1439.3805116357062</v>
      </c>
      <c r="I1832">
        <f>-540.848578018472 -49.8105368040293 -919.298844877438</f>
        <v>-1509.9579596999392</v>
      </c>
      <c r="J1832" t="s">
        <v>36460</v>
      </c>
      <c r="K1832" t="s">
        <v>36461</v>
      </c>
      <c r="L1832" t="s">
        <v>36462</v>
      </c>
      <c r="M1832" t="s">
        <v>36463</v>
      </c>
      <c r="N1832">
        <f>-587.974705717811 -47.7201326429919 -753.505745774556</f>
        <v>-1389.2005841353589</v>
      </c>
      <c r="O1832">
        <f>-603.120198278574 -185.132911264629 -703.393268001914</f>
        <v>-1491.646377545117</v>
      </c>
      <c r="P1832">
        <f>-578.024441858996 -163.771390184253 -388.591583517129</f>
        <v>-1130.387415560378</v>
      </c>
      <c r="Q1832">
        <f>-345.943137925215 -60.957461643197 -445.244945173825</f>
        <v>-852.14554474223701</v>
      </c>
      <c r="R1832" t="s">
        <v>36464</v>
      </c>
      <c r="S1832" t="s">
        <v>36465</v>
      </c>
      <c r="T1832" t="s">
        <v>36466</v>
      </c>
      <c r="U1832" t="s">
        <v>36467</v>
      </c>
      <c r="V1832">
        <f>-536.025454035757 -6.70143359837443 -217.755120584813</f>
        <v>-760.48200821894443</v>
      </c>
      <c r="W1832" t="s">
        <v>36468</v>
      </c>
      <c r="X1832" t="s">
        <v>36469</v>
      </c>
      <c r="Y1832" t="s">
        <v>36470</v>
      </c>
    </row>
    <row r="1833" spans="1:25" x14ac:dyDescent="0.3">
      <c r="A1833">
        <v>91600</v>
      </c>
      <c r="B1833" t="s">
        <v>36471</v>
      </c>
      <c r="C1833" t="s">
        <v>36472</v>
      </c>
      <c r="D1833" t="s">
        <v>36473</v>
      </c>
      <c r="E1833" t="s">
        <v>36474</v>
      </c>
      <c r="F1833" t="s">
        <v>36475</v>
      </c>
      <c r="G1833" t="s">
        <v>36476</v>
      </c>
      <c r="H1833">
        <f>-579.900850568681 -32.2277341976198 -826.313555535493</f>
        <v>-1438.4421403017939</v>
      </c>
      <c r="I1833">
        <f>-541.583863527973 -48.053521900642 -919.395951267207</f>
        <v>-1509.0333366958221</v>
      </c>
      <c r="J1833" t="s">
        <v>36477</v>
      </c>
      <c r="K1833" t="s">
        <v>36478</v>
      </c>
      <c r="L1833" t="s">
        <v>36479</v>
      </c>
      <c r="M1833" t="s">
        <v>36480</v>
      </c>
      <c r="N1833">
        <f>-588.688973503946 -45.98050982359 -753.604872532757</f>
        <v>-1388.2743558602929</v>
      </c>
      <c r="O1833">
        <f>-603.977180559571 -183.43655521317 -703.648486122614</f>
        <v>-1491.0622218953549</v>
      </c>
      <c r="P1833">
        <f>-579.137328391705 -162.122670816436 -388.823379046172</f>
        <v>-1130.0833782543129</v>
      </c>
      <c r="Q1833">
        <f>-346.794296073688 -59.7550922837205 -445.211811536555</f>
        <v>-851.76119989396352</v>
      </c>
      <c r="R1833" t="s">
        <v>36481</v>
      </c>
      <c r="S1833" t="s">
        <v>36482</v>
      </c>
      <c r="T1833" t="s">
        <v>36483</v>
      </c>
      <c r="U1833" t="s">
        <v>36484</v>
      </c>
      <c r="V1833">
        <f>-536.555353062324 -5.50068133656306 -217.847168081848</f>
        <v>-759.90320248073499</v>
      </c>
      <c r="W1833" t="s">
        <v>36485</v>
      </c>
      <c r="X1833" t="s">
        <v>36486</v>
      </c>
      <c r="Y1833" t="s">
        <v>36487</v>
      </c>
    </row>
    <row r="1834" spans="1:25" x14ac:dyDescent="0.3">
      <c r="A1834">
        <v>91650</v>
      </c>
      <c r="B1834" t="s">
        <v>36488</v>
      </c>
      <c r="C1834" t="s">
        <v>36489</v>
      </c>
      <c r="D1834" t="s">
        <v>36490</v>
      </c>
      <c r="E1834" t="s">
        <v>36491</v>
      </c>
      <c r="F1834" t="s">
        <v>36492</v>
      </c>
      <c r="G1834" t="s">
        <v>36493</v>
      </c>
      <c r="H1834">
        <f>-581.117121345413 -28.5739861911444 -826.633571321897</f>
        <v>-1436.3246788584543</v>
      </c>
      <c r="I1834">
        <f>-542.819057402668 -44.4227382009721 -919.719754651794</f>
        <v>-1506.9615502554341</v>
      </c>
      <c r="J1834" t="s">
        <v>36494</v>
      </c>
      <c r="K1834" t="s">
        <v>36495</v>
      </c>
      <c r="L1834" t="s">
        <v>36496</v>
      </c>
      <c r="M1834" t="s">
        <v>36497</v>
      </c>
      <c r="N1834">
        <f>-589.902143375793 -42.3773158424602 -753.934147935688</f>
        <v>-1386.2136071539412</v>
      </c>
      <c r="O1834">
        <f>-605.734414040015 -179.864797245555 -704.212975250902</f>
        <v>-1489.8121865364719</v>
      </c>
      <c r="P1834">
        <f>-581.116044424627 -159.407755444277 -389.313515853701</f>
        <v>-1129.8373157226051</v>
      </c>
      <c r="Q1834">
        <f>-348.602699951621 -57.3584510636372 -445.576604547015</f>
        <v>-851.53775556227311</v>
      </c>
      <c r="R1834" t="s">
        <v>36498</v>
      </c>
      <c r="S1834" t="s">
        <v>36499</v>
      </c>
      <c r="T1834" t="s">
        <v>36500</v>
      </c>
      <c r="U1834" t="s">
        <v>36501</v>
      </c>
      <c r="V1834">
        <f>-537.595088335688 -2.90325415204601 -218.109566994265</f>
        <v>-758.60790948199906</v>
      </c>
      <c r="W1834" t="s">
        <v>36502</v>
      </c>
      <c r="X1834" t="s">
        <v>36503</v>
      </c>
      <c r="Y1834" t="s">
        <v>36504</v>
      </c>
    </row>
    <row r="1835" spans="1:25" x14ac:dyDescent="0.3">
      <c r="A1835">
        <v>91700</v>
      </c>
      <c r="B1835" t="s">
        <v>36505</v>
      </c>
      <c r="C1835" t="s">
        <v>36506</v>
      </c>
      <c r="D1835" t="s">
        <v>36507</v>
      </c>
      <c r="E1835" t="s">
        <v>36508</v>
      </c>
      <c r="F1835" t="s">
        <v>36509</v>
      </c>
      <c r="G1835" t="s">
        <v>36510</v>
      </c>
      <c r="H1835">
        <f>-581.873098437497 -26.4028161391936 -826.796268470428</f>
        <v>-1435.0721830471186</v>
      </c>
      <c r="I1835">
        <f>-543.591837139453 -42.2656728449601 -919.887140680843</f>
        <v>-1505.7446506652561</v>
      </c>
      <c r="J1835" t="s">
        <v>36511</v>
      </c>
      <c r="K1835" t="s">
        <v>36512</v>
      </c>
      <c r="L1835" t="s">
        <v>36513</v>
      </c>
      <c r="M1835" t="s">
        <v>36514</v>
      </c>
      <c r="N1835">
        <f>-590.608473457958 -40.2555427569166 -754.100428513843</f>
        <v>-1384.9644447287176</v>
      </c>
      <c r="O1835">
        <f>-606.63780236676 -177.774185138585 -704.546450655807</f>
        <v>-1488.9584381611521</v>
      </c>
      <c r="P1835">
        <f>-582.009519551305 -157.777341820592 -389.618264740977</f>
        <v>-1129.4051261128739</v>
      </c>
      <c r="Q1835">
        <f>-349.400775595822 -55.9232318923096 -445.840823830596</f>
        <v>-851.16483131872758</v>
      </c>
      <c r="R1835" t="s">
        <v>36515</v>
      </c>
      <c r="S1835" t="s">
        <v>36516</v>
      </c>
      <c r="T1835" t="s">
        <v>36517</v>
      </c>
      <c r="U1835" t="s">
        <v>36518</v>
      </c>
      <c r="V1835">
        <f>-538.053717052702 -1.52350349239867 -218.170048623842</f>
        <v>-757.74726916894269</v>
      </c>
      <c r="W1835" t="s">
        <v>36519</v>
      </c>
      <c r="X1835" t="s">
        <v>36520</v>
      </c>
      <c r="Y1835" t="s">
        <v>36521</v>
      </c>
    </row>
    <row r="1836" spans="1:25" x14ac:dyDescent="0.3">
      <c r="A1836">
        <v>91750</v>
      </c>
      <c r="B1836" t="s">
        <v>36522</v>
      </c>
      <c r="C1836" t="s">
        <v>36523</v>
      </c>
      <c r="D1836" t="s">
        <v>36524</v>
      </c>
      <c r="E1836" t="s">
        <v>36525</v>
      </c>
      <c r="F1836" t="s">
        <v>36526</v>
      </c>
      <c r="G1836" t="s">
        <v>36527</v>
      </c>
      <c r="H1836">
        <f>-583.010061213576 -22.9929817536757 -826.89989488301</f>
        <v>-1432.9029378502619</v>
      </c>
      <c r="I1836">
        <f>-544.712683074641 -38.8805410787829 -919.97997526837</f>
        <v>-1503.573199421794</v>
      </c>
      <c r="J1836" t="s">
        <v>36528</v>
      </c>
      <c r="K1836" t="s">
        <v>36529</v>
      </c>
      <c r="L1836" t="s">
        <v>36530</v>
      </c>
      <c r="M1836" t="s">
        <v>36531</v>
      </c>
      <c r="N1836">
        <f>-591.737476034611 -36.9280326406934 -754.218695633793</f>
        <v>-1382.8842043090974</v>
      </c>
      <c r="O1836">
        <f>-608.240529047535 -174.502166450689 -704.960815591756</f>
        <v>-1487.7035110899801</v>
      </c>
      <c r="P1836">
        <f>-583.509122091171 -155.251156143613 -389.994200334851</f>
        <v>-1128.754478569635</v>
      </c>
      <c r="Q1836">
        <f>-350.594196141772 -54.0947105694039 -446.208838301146</f>
        <v>-850.89774501232182</v>
      </c>
      <c r="R1836" t="s">
        <v>36532</v>
      </c>
      <c r="S1836" t="s">
        <v>36533</v>
      </c>
      <c r="T1836" t="s">
        <v>36534</v>
      </c>
      <c r="U1836" t="s">
        <v>36535</v>
      </c>
      <c r="V1836" t="s">
        <v>36536</v>
      </c>
      <c r="W1836" t="s">
        <v>36537</v>
      </c>
      <c r="X1836" t="s">
        <v>36538</v>
      </c>
      <c r="Y1836" t="s">
        <v>36539</v>
      </c>
    </row>
    <row r="1837" spans="1:25" x14ac:dyDescent="0.3">
      <c r="A1837">
        <v>91800</v>
      </c>
      <c r="B1837" t="s">
        <v>36540</v>
      </c>
      <c r="C1837" t="s">
        <v>36541</v>
      </c>
      <c r="D1837" t="s">
        <v>36542</v>
      </c>
      <c r="E1837" t="s">
        <v>36543</v>
      </c>
      <c r="F1837" t="s">
        <v>36544</v>
      </c>
      <c r="G1837" t="s">
        <v>36545</v>
      </c>
      <c r="H1837">
        <f>-583.415627369924 -21.0324732163755 -827.092785784838</f>
        <v>-1431.5408863711375</v>
      </c>
      <c r="I1837">
        <f>-545.108529284364 -36.9184999218142 -920.169089064447</f>
        <v>-1502.1961182706252</v>
      </c>
      <c r="J1837" t="s">
        <v>36546</v>
      </c>
      <c r="K1837" t="s">
        <v>36547</v>
      </c>
      <c r="L1837" t="s">
        <v>36548</v>
      </c>
      <c r="M1837" t="s">
        <v>36549</v>
      </c>
      <c r="N1837">
        <f>-592.163938928434 -35.016064502962 -754.423477844546</f>
        <v>-1381.6034812759422</v>
      </c>
      <c r="O1837">
        <f>-608.849218209537 -172.614694035499 -705.291809833681</f>
        <v>-1486.7557220787171</v>
      </c>
      <c r="P1837">
        <f>-584.01424314301 -153.774750150931 -390.308515247668</f>
        <v>-1128.0975085416092</v>
      </c>
      <c r="Q1837">
        <f>-350.93595234923 -53.0229151353051 -446.572499497797</f>
        <v>-850.53136698233209</v>
      </c>
      <c r="R1837" t="s">
        <v>36550</v>
      </c>
      <c r="S1837" t="s">
        <v>36551</v>
      </c>
      <c r="T1837" t="s">
        <v>36552</v>
      </c>
      <c r="U1837" t="s">
        <v>36553</v>
      </c>
      <c r="V1837" t="s">
        <v>36554</v>
      </c>
      <c r="W1837" t="s">
        <v>36555</v>
      </c>
      <c r="X1837" t="s">
        <v>36556</v>
      </c>
      <c r="Y1837" t="s">
        <v>36557</v>
      </c>
    </row>
    <row r="1838" spans="1:25" x14ac:dyDescent="0.3">
      <c r="A1838">
        <v>91850</v>
      </c>
      <c r="B1838" t="s">
        <v>36558</v>
      </c>
      <c r="C1838" t="s">
        <v>36559</v>
      </c>
      <c r="D1838" t="s">
        <v>36560</v>
      </c>
      <c r="E1838" t="s">
        <v>36561</v>
      </c>
      <c r="F1838" t="s">
        <v>36562</v>
      </c>
      <c r="G1838" t="s">
        <v>36563</v>
      </c>
      <c r="H1838">
        <f>-584.018385056139 -17.9224471243539 -827.659952134638</f>
        <v>-1429.600784315131</v>
      </c>
      <c r="I1838">
        <f>-545.658108737587 -33.7979554416678 -920.716133399638</f>
        <v>-1500.1721975788928</v>
      </c>
      <c r="J1838" t="s">
        <v>36564</v>
      </c>
      <c r="K1838" t="s">
        <v>36565</v>
      </c>
      <c r="L1838" t="s">
        <v>36566</v>
      </c>
      <c r="M1838" t="s">
        <v>36567</v>
      </c>
      <c r="N1838">
        <f>-592.792781986575 -31.9951190548168 -755.010772471964</f>
        <v>-1379.7986735133559</v>
      </c>
      <c r="O1838">
        <f>-609.682975281739 -169.648465606049 -706.121202051429</f>
        <v>-1485.452642939217</v>
      </c>
      <c r="P1838">
        <f>-584.693861382771 -151.465415415207 -391.111618045687</f>
        <v>-1127.270894843665</v>
      </c>
      <c r="Q1838">
        <f>-351.089939272599 -51.7482035681762 -447.037722963197</f>
        <v>-849.87586580397215</v>
      </c>
      <c r="R1838" t="s">
        <v>36568</v>
      </c>
      <c r="S1838" t="s">
        <v>36569</v>
      </c>
      <c r="T1838" t="s">
        <v>36570</v>
      </c>
      <c r="U1838" t="s">
        <v>36571</v>
      </c>
      <c r="V1838" t="s">
        <v>36572</v>
      </c>
      <c r="W1838" t="s">
        <v>36573</v>
      </c>
      <c r="X1838" t="s">
        <v>36574</v>
      </c>
      <c r="Y1838" t="s">
        <v>36575</v>
      </c>
    </row>
    <row r="1839" spans="1:25" x14ac:dyDescent="0.3">
      <c r="A1839">
        <v>91900</v>
      </c>
      <c r="B1839" t="s">
        <v>36576</v>
      </c>
      <c r="C1839" t="s">
        <v>36577</v>
      </c>
      <c r="D1839" t="s">
        <v>36578</v>
      </c>
      <c r="E1839" t="s">
        <v>36579</v>
      </c>
      <c r="F1839" t="s">
        <v>36580</v>
      </c>
      <c r="G1839" t="s">
        <v>36581</v>
      </c>
      <c r="H1839">
        <f>-584.038756831842 -16.2466205546412 -827.995707141322</f>
        <v>-1428.2810845278052</v>
      </c>
      <c r="I1839">
        <f>-545.624009610723 -32.0819966689146 -921.036199934112</f>
        <v>-1498.7422062137496</v>
      </c>
      <c r="J1839" t="s">
        <v>36582</v>
      </c>
      <c r="K1839" t="s">
        <v>36583</v>
      </c>
      <c r="L1839" t="s">
        <v>36584</v>
      </c>
      <c r="M1839" t="s">
        <v>36585</v>
      </c>
      <c r="N1839">
        <f>-592.857708647888 -30.3974042487758 -755.367255609518</f>
        <v>-1378.6223685061818</v>
      </c>
      <c r="O1839">
        <f>-609.7294756586 -168.097095626377 -706.560525219974</f>
        <v>-1484.3870965049509</v>
      </c>
      <c r="P1839">
        <f>-584.506897562424 -150.119275785927 -391.557632159912</f>
        <v>-1126.183805508263</v>
      </c>
      <c r="Q1839">
        <f>-350.767050773072 -50.6481760096848 -447.353821723644</f>
        <v>-848.76904850640085</v>
      </c>
      <c r="R1839" t="s">
        <v>36586</v>
      </c>
      <c r="S1839" t="s">
        <v>36587</v>
      </c>
      <c r="T1839" t="s">
        <v>36588</v>
      </c>
      <c r="U1839" t="s">
        <v>36589</v>
      </c>
      <c r="V1839" t="s">
        <v>36590</v>
      </c>
      <c r="W1839" t="s">
        <v>36591</v>
      </c>
      <c r="X1839" t="s">
        <v>36592</v>
      </c>
      <c r="Y1839" t="s">
        <v>36593</v>
      </c>
    </row>
    <row r="1840" spans="1:25" x14ac:dyDescent="0.3">
      <c r="A1840">
        <v>91950</v>
      </c>
      <c r="B1840" t="s">
        <v>36594</v>
      </c>
      <c r="C1840" t="s">
        <v>36595</v>
      </c>
      <c r="D1840" t="s">
        <v>36596</v>
      </c>
      <c r="E1840" t="s">
        <v>36597</v>
      </c>
      <c r="F1840" t="s">
        <v>36598</v>
      </c>
      <c r="G1840" t="s">
        <v>36599</v>
      </c>
      <c r="H1840">
        <f>-584.159181571358 -13.2308103799253 -828.5751059393</f>
        <v>-1425.9650978905834</v>
      </c>
      <c r="I1840">
        <f>-545.612616699866 -29.0841648780495 -921.55794220906</f>
        <v>-1496.2547237869753</v>
      </c>
      <c r="J1840" t="s">
        <v>36600</v>
      </c>
      <c r="K1840" t="s">
        <v>36601</v>
      </c>
      <c r="L1840" t="s">
        <v>36602</v>
      </c>
      <c r="M1840" t="s">
        <v>36603</v>
      </c>
      <c r="N1840">
        <f>-593.094237378499 -27.4055876529321 -755.965470492616</f>
        <v>-1376.4652955240472</v>
      </c>
      <c r="O1840">
        <f>-609.921176137119 -165.156099824441 -707.362986219879</f>
        <v>-1482.4402621814388</v>
      </c>
      <c r="P1840">
        <f>-584.900146907519 -147.426767665796 -392.32987904815</f>
        <v>-1124.6567936214651</v>
      </c>
      <c r="Q1840">
        <f>-350.926520347798 -49.0179428539862 -449.022953136948</f>
        <v>-848.96741633873216</v>
      </c>
      <c r="R1840" t="s">
        <v>36604</v>
      </c>
      <c r="S1840" t="s">
        <v>36605</v>
      </c>
      <c r="T1840" t="s">
        <v>36606</v>
      </c>
      <c r="U1840" t="s">
        <v>36607</v>
      </c>
      <c r="V1840" t="s">
        <v>36608</v>
      </c>
      <c r="W1840" t="s">
        <v>36609</v>
      </c>
      <c r="X1840" t="s">
        <v>36610</v>
      </c>
      <c r="Y1840" t="s">
        <v>36611</v>
      </c>
    </row>
    <row r="1841" spans="1:25" x14ac:dyDescent="0.3">
      <c r="A1841">
        <v>92000</v>
      </c>
      <c r="B1841" t="s">
        <v>36612</v>
      </c>
      <c r="C1841" t="s">
        <v>36613</v>
      </c>
      <c r="D1841" t="s">
        <v>36614</v>
      </c>
      <c r="E1841" t="s">
        <v>36615</v>
      </c>
      <c r="F1841" t="s">
        <v>36616</v>
      </c>
      <c r="G1841" t="s">
        <v>36617</v>
      </c>
      <c r="H1841">
        <f>-584.265183422683 -11.9016288127688 -828.837094058622</f>
        <v>-1425.0039062940737</v>
      </c>
      <c r="I1841">
        <f>-545.678593881913 -27.7389311793805 -921.806203750282</f>
        <v>-1495.2237288115755</v>
      </c>
      <c r="J1841" t="s">
        <v>36618</v>
      </c>
      <c r="K1841" t="s">
        <v>36619</v>
      </c>
      <c r="L1841" t="s">
        <v>36620</v>
      </c>
      <c r="M1841" t="s">
        <v>36621</v>
      </c>
      <c r="N1841">
        <f>-593.22592273387 -26.1214354466971 -756.239390552734</f>
        <v>-1375.5867487333012</v>
      </c>
      <c r="O1841">
        <f>-610.191391845609 -163.89858686543 -707.708145131141</f>
        <v>-1481.7981238421801</v>
      </c>
      <c r="P1841">
        <f>-584.76618877513 -146.539339570586 -392.686846170914</f>
        <v>-1123.99237451663</v>
      </c>
      <c r="Q1841">
        <f>-350.410264461829 -49.1594379627625 -449.577212368383</f>
        <v>-849.14691479297448</v>
      </c>
      <c r="R1841" t="s">
        <v>36622</v>
      </c>
      <c r="S1841" t="s">
        <v>36623</v>
      </c>
      <c r="T1841" t="s">
        <v>36624</v>
      </c>
      <c r="U1841" t="s">
        <v>36625</v>
      </c>
      <c r="V1841" t="s">
        <v>36626</v>
      </c>
      <c r="W1841" t="s">
        <v>36627</v>
      </c>
      <c r="X1841" t="s">
        <v>36628</v>
      </c>
      <c r="Y1841" t="s">
        <v>36629</v>
      </c>
    </row>
    <row r="1842" spans="1:25" x14ac:dyDescent="0.3">
      <c r="A1842">
        <v>92050</v>
      </c>
      <c r="B1842" t="s">
        <v>36630</v>
      </c>
      <c r="C1842" t="s">
        <v>36631</v>
      </c>
      <c r="D1842" t="s">
        <v>36632</v>
      </c>
      <c r="E1842" t="s">
        <v>36633</v>
      </c>
      <c r="F1842" t="s">
        <v>36634</v>
      </c>
      <c r="G1842" t="s">
        <v>36635</v>
      </c>
      <c r="H1842">
        <f>-584.555825613686 -9.31750500090725 -829.176170737354</f>
        <v>-1423.0495013519471</v>
      </c>
      <c r="I1842">
        <f>-545.797264538645 -25.1956038560007 -922.066721695643</f>
        <v>-1493.0595900902886</v>
      </c>
      <c r="J1842" t="s">
        <v>36636</v>
      </c>
      <c r="K1842" t="s">
        <v>36637</v>
      </c>
      <c r="L1842" t="s">
        <v>36638</v>
      </c>
      <c r="M1842" t="s">
        <v>36639</v>
      </c>
      <c r="N1842">
        <f>-593.636201335386 -23.6165280437485 -756.609007339155</f>
        <v>-1373.8617367182896</v>
      </c>
      <c r="O1842">
        <f>-610.843907802524 -161.416140167988 -708.252876235146</f>
        <v>-1480.512924205658</v>
      </c>
      <c r="P1842">
        <f>-585.594024023089 -144.961812348838 -393.168905016841</f>
        <v>-1123.7247413887681</v>
      </c>
      <c r="Q1842">
        <f>-351.149645097415 -47.8121003871408 -450.088265339627</f>
        <v>-849.05001082418278</v>
      </c>
      <c r="R1842" t="s">
        <v>36640</v>
      </c>
      <c r="S1842" t="s">
        <v>36641</v>
      </c>
      <c r="T1842" t="s">
        <v>36642</v>
      </c>
      <c r="U1842" t="s">
        <v>36643</v>
      </c>
      <c r="V1842" t="s">
        <v>36644</v>
      </c>
      <c r="W1842" t="s">
        <v>36645</v>
      </c>
      <c r="X1842" t="s">
        <v>36646</v>
      </c>
      <c r="Y1842" t="s">
        <v>36647</v>
      </c>
    </row>
    <row r="1843" spans="1:25" x14ac:dyDescent="0.3">
      <c r="A1843">
        <v>92100</v>
      </c>
      <c r="B1843" t="s">
        <v>36648</v>
      </c>
      <c r="C1843" t="s">
        <v>36649</v>
      </c>
      <c r="D1843" t="s">
        <v>36650</v>
      </c>
      <c r="E1843" t="s">
        <v>36651</v>
      </c>
      <c r="F1843" t="s">
        <v>36652</v>
      </c>
      <c r="G1843" t="s">
        <v>36653</v>
      </c>
      <c r="H1843">
        <f>-584.631429927587 -8.35426271264306 -829.28635823166</f>
        <v>-1422.2720508718899</v>
      </c>
      <c r="I1843">
        <f>-545.773848394653 -24.2575934693306 -922.131125142525</f>
        <v>-1492.1625670065087</v>
      </c>
      <c r="J1843" t="s">
        <v>36654</v>
      </c>
      <c r="K1843" t="s">
        <v>36655</v>
      </c>
      <c r="L1843" t="s">
        <v>36656</v>
      </c>
      <c r="M1843" t="s">
        <v>36657</v>
      </c>
      <c r="N1843">
        <f>-593.76955371151 -22.6915596111684 -756.733836710678</f>
        <v>-1373.1949500333562</v>
      </c>
      <c r="O1843">
        <f>-611.033422421026 -160.528227580123 -708.487123028873</f>
        <v>-1480.0487730300219</v>
      </c>
      <c r="P1843">
        <f>-585.864089110831 -144.391543903881 -393.380364667369</f>
        <v>-1123.6359976820809</v>
      </c>
      <c r="Q1843">
        <f>-351.393249849753 -46.9657782576305 -449.715909668867</f>
        <v>-848.07493777625052</v>
      </c>
      <c r="R1843" t="s">
        <v>36658</v>
      </c>
      <c r="S1843" t="s">
        <v>36659</v>
      </c>
      <c r="T1843" t="s">
        <v>36660</v>
      </c>
      <c r="U1843" t="s">
        <v>36661</v>
      </c>
      <c r="V1843" t="s">
        <v>36662</v>
      </c>
      <c r="W1843" t="s">
        <v>36663</v>
      </c>
      <c r="X1843" t="s">
        <v>36664</v>
      </c>
      <c r="Y1843" t="s">
        <v>36665</v>
      </c>
    </row>
    <row r="1844" spans="1:25" x14ac:dyDescent="0.3">
      <c r="A1844">
        <v>92150</v>
      </c>
      <c r="B1844" t="s">
        <v>36666</v>
      </c>
      <c r="C1844" t="s">
        <v>36667</v>
      </c>
      <c r="D1844" t="s">
        <v>36668</v>
      </c>
      <c r="E1844" t="s">
        <v>36669</v>
      </c>
      <c r="F1844" t="s">
        <v>36670</v>
      </c>
      <c r="G1844" t="s">
        <v>36671</v>
      </c>
      <c r="H1844">
        <f>-585.004640104776 -6.57069882530053 -829.586634071175</f>
        <v>-1421.1619730012515</v>
      </c>
      <c r="I1844">
        <f>-545.926795479625 -22.5021387199084 -922.334068604587</f>
        <v>-1490.7630028041203</v>
      </c>
      <c r="J1844" t="s">
        <v>36672</v>
      </c>
      <c r="K1844" t="s">
        <v>36673</v>
      </c>
      <c r="L1844" t="s">
        <v>36674</v>
      </c>
      <c r="M1844" t="s">
        <v>36675</v>
      </c>
      <c r="N1844">
        <f>-594.277399755865 -20.9586744583606 -757.06128195367</f>
        <v>-1372.2973561678955</v>
      </c>
      <c r="O1844">
        <f>-611.653012762834 -158.794602236483 -708.861753443289</f>
        <v>-1479.309368442606</v>
      </c>
      <c r="P1844">
        <f>-586.816012936851 -142.068705395148 -393.759232693292</f>
        <v>-1122.643951025291</v>
      </c>
      <c r="Q1844">
        <f>-352.068530183745 -44.5600818977978 -448.784222544948</f>
        <v>-845.41283462649085</v>
      </c>
      <c r="R1844" t="s">
        <v>36676</v>
      </c>
      <c r="S1844" t="s">
        <v>36677</v>
      </c>
      <c r="T1844" t="s">
        <v>36678</v>
      </c>
      <c r="U1844" t="s">
        <v>36679</v>
      </c>
      <c r="V1844" t="s">
        <v>36680</v>
      </c>
      <c r="W1844" t="s">
        <v>36681</v>
      </c>
      <c r="X1844" t="s">
        <v>36682</v>
      </c>
      <c r="Y1844" t="s">
        <v>36683</v>
      </c>
    </row>
    <row r="1845" spans="1:25" x14ac:dyDescent="0.3">
      <c r="A1845">
        <v>92200</v>
      </c>
      <c r="B1845" t="s">
        <v>36684</v>
      </c>
      <c r="C1845" t="s">
        <v>36685</v>
      </c>
      <c r="D1845" t="s">
        <v>36686</v>
      </c>
      <c r="E1845" t="s">
        <v>36687</v>
      </c>
      <c r="F1845" t="s">
        <v>36688</v>
      </c>
      <c r="G1845" t="s">
        <v>36689</v>
      </c>
      <c r="H1845">
        <f>-584.976685181987 -5.920089654034 -829.819876523096</f>
        <v>-1420.7166513591169</v>
      </c>
      <c r="I1845">
        <f>-545.814991594029 -21.8415893854225 -922.533707079555</f>
        <v>-1490.1902880590064</v>
      </c>
      <c r="J1845" t="s">
        <v>36690</v>
      </c>
      <c r="K1845" t="s">
        <v>36691</v>
      </c>
      <c r="L1845" t="s">
        <v>36692</v>
      </c>
      <c r="M1845" t="s">
        <v>36693</v>
      </c>
      <c r="N1845">
        <f>-594.324033550946 -20.3058275588299 -757.303702110068</f>
        <v>-1371.933563219844</v>
      </c>
      <c r="O1845">
        <f>-611.708455599205 -158.136448626098 -709.098252824001</f>
        <v>-1478.9431570493039</v>
      </c>
      <c r="P1845">
        <f>-587.195269827941 -140.952141264564 -393.994997114667</f>
        <v>-1122.1424082071721</v>
      </c>
      <c r="Q1845">
        <f>-352.330856232948 -43.4889874473205 -448.600093813459</f>
        <v>-844.4199374937275</v>
      </c>
      <c r="R1845" t="s">
        <v>36694</v>
      </c>
      <c r="S1845" t="s">
        <v>36695</v>
      </c>
      <c r="T1845" t="s">
        <v>36696</v>
      </c>
      <c r="U1845" t="s">
        <v>36697</v>
      </c>
      <c r="V1845" t="s">
        <v>36698</v>
      </c>
      <c r="W1845" t="s">
        <v>36699</v>
      </c>
      <c r="X1845" t="s">
        <v>36700</v>
      </c>
      <c r="Y1845" t="s">
        <v>36701</v>
      </c>
    </row>
    <row r="1846" spans="1:25" x14ac:dyDescent="0.3">
      <c r="A1846">
        <v>92250</v>
      </c>
      <c r="B1846" t="s">
        <v>36702</v>
      </c>
      <c r="C1846" t="s">
        <v>36703</v>
      </c>
      <c r="D1846" t="s">
        <v>36704</v>
      </c>
      <c r="E1846" t="s">
        <v>36705</v>
      </c>
      <c r="F1846" t="s">
        <v>36706</v>
      </c>
      <c r="G1846" t="s">
        <v>36707</v>
      </c>
      <c r="H1846">
        <f>-585.234261397667 -5.47369658922074 -830.02300597999</f>
        <v>-1420.7309639668777</v>
      </c>
      <c r="I1846">
        <f>-546.013438890905 -21.4203052769916 -922.707622211509</f>
        <v>-1490.1413663794056</v>
      </c>
      <c r="J1846" t="s">
        <v>36708</v>
      </c>
      <c r="K1846" t="s">
        <v>36709</v>
      </c>
      <c r="L1846" t="s">
        <v>36710</v>
      </c>
      <c r="M1846" t="s">
        <v>36711</v>
      </c>
      <c r="N1846">
        <f>-594.634253658965 -19.8365040187071 -757.509095095988</f>
        <v>-1371.97985277366</v>
      </c>
      <c r="O1846">
        <f>-612.062714972856 -157.640568482766 -709.262068948175</f>
        <v>-1478.9653524037972</v>
      </c>
      <c r="P1846">
        <f>-587.940392596332 -139.967491856332 -394.155743446366</f>
        <v>-1122.0636278990301</v>
      </c>
      <c r="Q1846">
        <f>-352.940412420956 -42.6501820756529 -448.436648376542</f>
        <v>-844.02724287315095</v>
      </c>
      <c r="R1846" t="s">
        <v>36712</v>
      </c>
      <c r="S1846" t="s">
        <v>36713</v>
      </c>
      <c r="T1846" t="s">
        <v>36714</v>
      </c>
      <c r="U1846" t="s">
        <v>36715</v>
      </c>
      <c r="V1846" t="s">
        <v>36716</v>
      </c>
      <c r="W1846" t="s">
        <v>36717</v>
      </c>
      <c r="X1846" t="s">
        <v>36718</v>
      </c>
      <c r="Y1846" t="s">
        <v>36719</v>
      </c>
    </row>
    <row r="1847" spans="1:25" x14ac:dyDescent="0.3">
      <c r="A1847">
        <v>92300</v>
      </c>
      <c r="B1847" t="s">
        <v>36720</v>
      </c>
      <c r="C1847" t="s">
        <v>36721</v>
      </c>
      <c r="D1847" t="s">
        <v>36722</v>
      </c>
      <c r="E1847" t="s">
        <v>36723</v>
      </c>
      <c r="F1847" t="s">
        <v>36724</v>
      </c>
      <c r="G1847" t="s">
        <v>36725</v>
      </c>
      <c r="H1847">
        <f>-585.316493501006 -5.33515720665635 -830.686591788006</f>
        <v>-1421.3382424956685</v>
      </c>
      <c r="I1847">
        <f>-546.039258660174 -21.4060283062026 -923.325671744834</f>
        <v>-1490.7709587112108</v>
      </c>
      <c r="J1847" t="s">
        <v>36726</v>
      </c>
      <c r="K1847" t="s">
        <v>36727</v>
      </c>
      <c r="L1847" t="s">
        <v>36728</v>
      </c>
      <c r="M1847" t="s">
        <v>36729</v>
      </c>
      <c r="N1847">
        <f>-594.881358203171 -19.6036733457144 -758.175575130971</f>
        <v>-1372.6606066798563</v>
      </c>
      <c r="O1847">
        <f>-612.604464289109 -157.335540610281 -709.820071669467</f>
        <v>-1479.7600765688571</v>
      </c>
      <c r="P1847">
        <f>-589.435465622929 -138.797392217676 -394.692145035452</f>
        <v>-1122.9250028760571</v>
      </c>
      <c r="Q1847">
        <f>-354.038563856245 -42.1030988561124 -448.362881469577</f>
        <v>-844.50454418193442</v>
      </c>
      <c r="R1847" t="s">
        <v>36730</v>
      </c>
      <c r="S1847" t="s">
        <v>36731</v>
      </c>
      <c r="T1847" t="s">
        <v>36732</v>
      </c>
      <c r="U1847" t="s">
        <v>36733</v>
      </c>
      <c r="V1847" t="s">
        <v>36734</v>
      </c>
      <c r="W1847" t="s">
        <v>36735</v>
      </c>
      <c r="X1847" t="s">
        <v>36736</v>
      </c>
      <c r="Y1847" t="s">
        <v>36737</v>
      </c>
    </row>
    <row r="1848" spans="1:25" x14ac:dyDescent="0.3">
      <c r="A1848">
        <v>92350</v>
      </c>
      <c r="B1848" t="s">
        <v>36738</v>
      </c>
      <c r="C1848" t="s">
        <v>36739</v>
      </c>
      <c r="D1848" t="s">
        <v>36740</v>
      </c>
      <c r="E1848" t="s">
        <v>36741</v>
      </c>
      <c r="F1848" t="s">
        <v>36742</v>
      </c>
      <c r="G1848" t="s">
        <v>36743</v>
      </c>
      <c r="H1848">
        <f>-585.888940293443 -5.83408926313071 -831.225605964171</f>
        <v>-1422.9486355207448</v>
      </c>
      <c r="I1848">
        <f>-546.634737115575 -22.1534310657589 -923.831057745802</f>
        <v>-1492.6192259271361</v>
      </c>
      <c r="J1848" t="s">
        <v>36744</v>
      </c>
      <c r="K1848" t="s">
        <v>36745</v>
      </c>
      <c r="L1848" t="s">
        <v>36746</v>
      </c>
      <c r="M1848" t="s">
        <v>36747</v>
      </c>
      <c r="N1848">
        <f>-595.597378427998 -19.9266104496001 -758.699329362708</f>
        <v>-1374.2233182403061</v>
      </c>
      <c r="O1848">
        <f>-613.861588902272 -157.504106067474 -710.102896143518</f>
        <v>-1481.4685911132642</v>
      </c>
      <c r="P1848">
        <f>-590.792412643178 -138.491471841535 -394.995649372505</f>
        <v>-1124.279533857218</v>
      </c>
      <c r="Q1848">
        <f>-355.016272153192 -43.029742231639 -449.205838563892</f>
        <v>-847.2518529487229</v>
      </c>
      <c r="R1848" t="s">
        <v>36748</v>
      </c>
      <c r="S1848" t="s">
        <v>36749</v>
      </c>
      <c r="T1848" t="s">
        <v>36750</v>
      </c>
      <c r="U1848" t="s">
        <v>36751</v>
      </c>
      <c r="V1848" t="s">
        <v>36752</v>
      </c>
      <c r="W1848" t="s">
        <v>36753</v>
      </c>
      <c r="X1848" t="s">
        <v>36754</v>
      </c>
      <c r="Y1848" t="s">
        <v>36755</v>
      </c>
    </row>
    <row r="1849" spans="1:25" x14ac:dyDescent="0.3">
      <c r="A1849">
        <v>92400</v>
      </c>
      <c r="B1849" t="s">
        <v>36756</v>
      </c>
      <c r="C1849" t="s">
        <v>36757</v>
      </c>
      <c r="D1849" t="s">
        <v>36758</v>
      </c>
      <c r="E1849" t="s">
        <v>36759</v>
      </c>
      <c r="F1849" t="s">
        <v>36760</v>
      </c>
      <c r="G1849" t="s">
        <v>36761</v>
      </c>
      <c r="H1849">
        <f>-586.400467968562 -6.15522827565031 -831.399291859056</f>
        <v>-1423.9549881032683</v>
      </c>
      <c r="I1849">
        <f>-547.189953136684 -22.6235743040416 -923.996769373081</f>
        <v>-1493.8102968138066</v>
      </c>
      <c r="J1849" t="s">
        <v>36762</v>
      </c>
      <c r="K1849" t="s">
        <v>36763</v>
      </c>
      <c r="L1849" t="s">
        <v>36764</v>
      </c>
      <c r="M1849" t="s">
        <v>36765</v>
      </c>
      <c r="N1849">
        <f>-596.174784069877 -20.163674583044 -758.865557083056</f>
        <v>-1375.204015735977</v>
      </c>
      <c r="O1849">
        <f>-614.846057332389 -157.644548043574 -710.149128515525</f>
        <v>-1482.639733891488</v>
      </c>
      <c r="P1849">
        <f>-591.552585031536 -138.693639532698 -395.054687944661</f>
        <v>-1125.300912508895</v>
      </c>
      <c r="Q1849">
        <f>-355.813926167028 -43.6057269387418 -450.078431473013</f>
        <v>-849.49808457878271</v>
      </c>
      <c r="R1849" t="s">
        <v>36766</v>
      </c>
      <c r="S1849" t="s">
        <v>36767</v>
      </c>
      <c r="T1849" t="s">
        <v>36768</v>
      </c>
      <c r="U1849" t="s">
        <v>36769</v>
      </c>
      <c r="V1849" t="s">
        <v>36770</v>
      </c>
      <c r="W1849" t="s">
        <v>36771</v>
      </c>
      <c r="X1849" t="s">
        <v>36772</v>
      </c>
      <c r="Y1849" t="s">
        <v>36773</v>
      </c>
    </row>
    <row r="1850" spans="1:25" x14ac:dyDescent="0.3">
      <c r="A1850">
        <v>92450</v>
      </c>
      <c r="B1850" t="s">
        <v>36774</v>
      </c>
      <c r="C1850" t="s">
        <v>36775</v>
      </c>
      <c r="D1850" t="s">
        <v>36776</v>
      </c>
      <c r="E1850" t="s">
        <v>36777</v>
      </c>
      <c r="F1850" t="s">
        <v>36778</v>
      </c>
      <c r="G1850" t="s">
        <v>36779</v>
      </c>
      <c r="H1850">
        <f>-586.877032311009 -6.46960277272476 -831.496168654464</f>
        <v>-1424.8428037381977</v>
      </c>
      <c r="I1850">
        <f>-547.725284793072 -23.1049927546722 -924.088736593062</f>
        <v>-1494.9190141408062</v>
      </c>
      <c r="J1850" t="s">
        <v>36780</v>
      </c>
      <c r="K1850" t="s">
        <v>36781</v>
      </c>
      <c r="L1850" t="s">
        <v>36782</v>
      </c>
      <c r="M1850" t="s">
        <v>36783</v>
      </c>
      <c r="N1850">
        <f>-596.699392247619 -20.4044272331814 -758.954732785311</f>
        <v>-1376.0585522661113</v>
      </c>
      <c r="O1850">
        <f>-615.697149529626 -157.807713967999 -710.140208779878</f>
        <v>-1483.645072277503</v>
      </c>
      <c r="P1850">
        <f>-591.867287890612 -138.633923185996 -395.099519870285</f>
        <v>-1125.600730946893</v>
      </c>
      <c r="Q1850">
        <f>-356.046787934673 -44.2193342133873 -450.926222499401</f>
        <v>-851.19234464746125</v>
      </c>
      <c r="R1850" t="s">
        <v>36784</v>
      </c>
      <c r="S1850" t="s">
        <v>36785</v>
      </c>
      <c r="T1850" t="s">
        <v>36786</v>
      </c>
      <c r="U1850" t="s">
        <v>36787</v>
      </c>
      <c r="V1850" t="s">
        <v>36788</v>
      </c>
      <c r="W1850" t="s">
        <v>36789</v>
      </c>
      <c r="X1850" t="s">
        <v>36790</v>
      </c>
      <c r="Y1850" t="s">
        <v>36791</v>
      </c>
    </row>
    <row r="1851" spans="1:25" x14ac:dyDescent="0.3">
      <c r="A1851">
        <v>92500</v>
      </c>
      <c r="B1851" t="s">
        <v>36792</v>
      </c>
      <c r="C1851" t="s">
        <v>36793</v>
      </c>
      <c r="D1851" t="s">
        <v>36794</v>
      </c>
      <c r="E1851" t="s">
        <v>36795</v>
      </c>
      <c r="F1851" t="s">
        <v>36796</v>
      </c>
      <c r="G1851" t="s">
        <v>36797</v>
      </c>
      <c r="H1851">
        <f>-588.289638894545 -6.30825758400122 -831.564131586881</f>
        <v>-1426.1620280654272</v>
      </c>
      <c r="I1851">
        <f>-549.341047962317 -23.2743254734865 -924.182336660731</f>
        <v>-1496.7977100965345</v>
      </c>
      <c r="J1851" t="s">
        <v>36798</v>
      </c>
      <c r="K1851" t="s">
        <v>36799</v>
      </c>
      <c r="L1851" t="s">
        <v>36800</v>
      </c>
      <c r="M1851" t="s">
        <v>36801</v>
      </c>
      <c r="N1851">
        <f>-598.111435932378 -20.103578205386 -758.995942237015</f>
        <v>-1377.210956374779</v>
      </c>
      <c r="O1851">
        <f>-617.715874963329 -157.341640296012 -709.931375476781</f>
        <v>-1484.9888907361219</v>
      </c>
      <c r="P1851">
        <f>-592.82468743961 -138.271066863371 -394.966427211379</f>
        <v>-1126.06218151436</v>
      </c>
      <c r="Q1851">
        <f>-356.981361612402 -44.9507188950711 -452.510373190699</f>
        <v>-854.44245369817213</v>
      </c>
      <c r="R1851" t="s">
        <v>36802</v>
      </c>
      <c r="S1851" t="s">
        <v>36803</v>
      </c>
      <c r="T1851" t="s">
        <v>36804</v>
      </c>
      <c r="U1851" t="s">
        <v>36805</v>
      </c>
      <c r="V1851" t="s">
        <v>36806</v>
      </c>
      <c r="W1851" t="s">
        <v>36807</v>
      </c>
      <c r="X1851" t="s">
        <v>36808</v>
      </c>
      <c r="Y1851" t="s">
        <v>36809</v>
      </c>
    </row>
    <row r="1852" spans="1:25" x14ac:dyDescent="0.3">
      <c r="A1852">
        <v>92550</v>
      </c>
      <c r="B1852" t="s">
        <v>36810</v>
      </c>
      <c r="C1852" t="s">
        <v>36811</v>
      </c>
      <c r="D1852" t="s">
        <v>36812</v>
      </c>
      <c r="E1852" t="s">
        <v>36813</v>
      </c>
      <c r="F1852" t="s">
        <v>36814</v>
      </c>
      <c r="G1852" t="s">
        <v>36815</v>
      </c>
      <c r="H1852">
        <f>-589.191011060863 -6.07536119164929 -831.816893966504</f>
        <v>-1427.0832662190164</v>
      </c>
      <c r="I1852">
        <f>-550.486822975832 -23.2498845542058 -924.49917735826</f>
        <v>-1498.2358848882977</v>
      </c>
      <c r="J1852" t="s">
        <v>36816</v>
      </c>
      <c r="K1852" t="s">
        <v>36817</v>
      </c>
      <c r="L1852" t="s">
        <v>36818</v>
      </c>
      <c r="M1852" t="s">
        <v>36819</v>
      </c>
      <c r="N1852">
        <f>-598.959289327408 -19.7997011604947 -759.228115619996</f>
        <v>-1377.9871061078986</v>
      </c>
      <c r="O1852">
        <f>-619.039106105509 -156.912181129986 -709.992267843517</f>
        <v>-1485.943555079012</v>
      </c>
      <c r="P1852">
        <f>-593.204521730519 -138.02707354641 -395.092166557078</f>
        <v>-1126.323761834007</v>
      </c>
      <c r="Q1852">
        <f>-357.300411341248 -45.6515789620288 -453.897583988353</f>
        <v>-856.84957429162978</v>
      </c>
      <c r="R1852" t="s">
        <v>36820</v>
      </c>
      <c r="S1852" t="s">
        <v>36821</v>
      </c>
      <c r="T1852" t="s">
        <v>36822</v>
      </c>
      <c r="U1852" t="s">
        <v>36823</v>
      </c>
      <c r="V1852" t="s">
        <v>36824</v>
      </c>
      <c r="W1852" t="s">
        <v>36825</v>
      </c>
      <c r="X1852" t="s">
        <v>36826</v>
      </c>
      <c r="Y1852" t="s">
        <v>36827</v>
      </c>
    </row>
    <row r="1853" spans="1:25" x14ac:dyDescent="0.3">
      <c r="A1853">
        <v>92600</v>
      </c>
      <c r="B1853" t="s">
        <v>36828</v>
      </c>
      <c r="C1853" t="s">
        <v>36829</v>
      </c>
      <c r="D1853" t="s">
        <v>36830</v>
      </c>
      <c r="E1853" t="s">
        <v>36831</v>
      </c>
      <c r="F1853" t="s">
        <v>36832</v>
      </c>
      <c r="G1853" t="s">
        <v>36833</v>
      </c>
      <c r="H1853">
        <f>-589.753537952601 -5.62745328025299 -831.97898156315</f>
        <v>-1427.3599727960041</v>
      </c>
      <c r="I1853">
        <f>-551.197152172094 -22.8433112575297 -924.715204437134</f>
        <v>-1498.7556678667577</v>
      </c>
      <c r="J1853" t="s">
        <v>36834</v>
      </c>
      <c r="K1853" t="s">
        <v>36835</v>
      </c>
      <c r="L1853" t="s">
        <v>36836</v>
      </c>
      <c r="M1853" t="s">
        <v>36837</v>
      </c>
      <c r="N1853">
        <f>-599.466165804804 -19.3690782556812 -759.385983300432</f>
        <v>-1378.2212273609171</v>
      </c>
      <c r="O1853">
        <f>-619.744396870804 -156.406471180073 -710.041181492299</f>
        <v>-1486.1920495431759</v>
      </c>
      <c r="P1853">
        <f>-593.355369526353 -137.339408671494 -395.197884651397</f>
        <v>-1125.8926628492441</v>
      </c>
      <c r="Q1853">
        <f>-357.21780383003 -45.7672226951273 -454.321738183564</f>
        <v>-857.30676470872129</v>
      </c>
      <c r="R1853" t="s">
        <v>36838</v>
      </c>
      <c r="S1853" t="s">
        <v>36839</v>
      </c>
      <c r="T1853" t="s">
        <v>36840</v>
      </c>
      <c r="U1853" t="s">
        <v>36841</v>
      </c>
      <c r="V1853" t="s">
        <v>36842</v>
      </c>
      <c r="W1853" t="s">
        <v>36843</v>
      </c>
      <c r="X1853" t="s">
        <v>36844</v>
      </c>
      <c r="Y1853" t="s">
        <v>36845</v>
      </c>
    </row>
    <row r="1854" spans="1:25" x14ac:dyDescent="0.3">
      <c r="A1854">
        <v>92650</v>
      </c>
      <c r="B1854" t="s">
        <v>36846</v>
      </c>
      <c r="C1854" t="s">
        <v>36847</v>
      </c>
      <c r="D1854" t="s">
        <v>36848</v>
      </c>
      <c r="E1854" t="s">
        <v>36849</v>
      </c>
      <c r="F1854" t="s">
        <v>36850</v>
      </c>
      <c r="G1854" t="s">
        <v>36851</v>
      </c>
      <c r="H1854">
        <f>-590.652777378219 -5.44383400870819 -832.206301452164</f>
        <v>-1428.3029128390913</v>
      </c>
      <c r="I1854">
        <f>-552.492994045113 -22.7353385549917 -925.092374824415</f>
        <v>-1500.3207074245197</v>
      </c>
      <c r="J1854" t="s">
        <v>36852</v>
      </c>
      <c r="K1854" t="s">
        <v>36853</v>
      </c>
      <c r="L1854" t="s">
        <v>36854</v>
      </c>
      <c r="M1854" t="s">
        <v>36855</v>
      </c>
      <c r="N1854">
        <f>-600.263060362732 -19.1581971838359 -759.594452654424</f>
        <v>-1379.0157102009919</v>
      </c>
      <c r="O1854">
        <f>-620.873899430384 -156.06719343583 -710.026002123503</f>
        <v>-1486.9670949897168</v>
      </c>
      <c r="P1854">
        <f>-593.665208243842 -136.695262780591 -395.271204589924</f>
        <v>-1125.6316756143572</v>
      </c>
      <c r="Q1854">
        <f>-357.07407972023 -46.4913708674063 -454.684667088343</f>
        <v>-858.25011767597925</v>
      </c>
      <c r="R1854" t="s">
        <v>36856</v>
      </c>
      <c r="S1854" t="s">
        <v>36857</v>
      </c>
      <c r="T1854" t="s">
        <v>36858</v>
      </c>
      <c r="U1854" t="s">
        <v>36859</v>
      </c>
      <c r="V1854" t="s">
        <v>36860</v>
      </c>
      <c r="W1854" t="s">
        <v>36861</v>
      </c>
      <c r="X1854" t="s">
        <v>36862</v>
      </c>
      <c r="Y1854" t="s">
        <v>36863</v>
      </c>
    </row>
    <row r="1855" spans="1:25" x14ac:dyDescent="0.3">
      <c r="A1855">
        <v>92700</v>
      </c>
      <c r="B1855" t="s">
        <v>36864</v>
      </c>
      <c r="C1855" t="s">
        <v>36865</v>
      </c>
      <c r="D1855" t="s">
        <v>36866</v>
      </c>
      <c r="E1855" t="s">
        <v>36867</v>
      </c>
      <c r="F1855" t="s">
        <v>36868</v>
      </c>
      <c r="G1855" t="s">
        <v>36869</v>
      </c>
      <c r="H1855">
        <f>-590.852562821921 -5.43028578688394 -832.366917202176</f>
        <v>-1428.6497658109809</v>
      </c>
      <c r="I1855">
        <f>-552.949085153209 -22.7567205150736 -925.35131222214</f>
        <v>-1501.0571178904227</v>
      </c>
      <c r="J1855" t="s">
        <v>36870</v>
      </c>
      <c r="K1855" t="s">
        <v>36871</v>
      </c>
      <c r="L1855" t="s">
        <v>36872</v>
      </c>
      <c r="M1855" t="s">
        <v>36873</v>
      </c>
      <c r="N1855">
        <f>-600.408025035669 -19.1497246843162 -759.748796111968</f>
        <v>-1379.3065458319531</v>
      </c>
      <c r="O1855">
        <f>-621.115387312304 -156.009019624746 -710.083740103699</f>
        <v>-1487.2081470407491</v>
      </c>
      <c r="P1855">
        <f>-593.491978435544 -136.594399436977 -395.367690399927</f>
        <v>-1125.454068272448</v>
      </c>
      <c r="Q1855">
        <f>-356.815311502115 -46.8296286576408 -455.104532847503</f>
        <v>-858.74947300725876</v>
      </c>
      <c r="R1855" t="s">
        <v>36874</v>
      </c>
      <c r="S1855" t="s">
        <v>36875</v>
      </c>
      <c r="T1855" t="s">
        <v>36876</v>
      </c>
      <c r="U1855" t="s">
        <v>36877</v>
      </c>
      <c r="V1855" t="s">
        <v>36878</v>
      </c>
      <c r="W1855" t="s">
        <v>36879</v>
      </c>
      <c r="X1855" t="s">
        <v>36880</v>
      </c>
      <c r="Y1855" t="s">
        <v>36881</v>
      </c>
    </row>
    <row r="1856" spans="1:25" x14ac:dyDescent="0.3">
      <c r="A1856">
        <v>92750</v>
      </c>
      <c r="B1856" t="s">
        <v>36882</v>
      </c>
      <c r="C1856" t="s">
        <v>36883</v>
      </c>
      <c r="D1856" t="s">
        <v>36884</v>
      </c>
      <c r="E1856" t="s">
        <v>36885</v>
      </c>
      <c r="F1856" t="s">
        <v>36886</v>
      </c>
      <c r="G1856" t="s">
        <v>36887</v>
      </c>
      <c r="H1856">
        <f>-591.495661994492 -4.84409499089986 -832.589678324108</f>
        <v>-1428.9294353094999</v>
      </c>
      <c r="I1856">
        <f>-554.195639769156 -22.2309601160288 -925.806503954661</f>
        <v>-1502.2331038398456</v>
      </c>
      <c r="J1856" t="s">
        <v>36888</v>
      </c>
      <c r="K1856" t="s">
        <v>36889</v>
      </c>
      <c r="L1856" t="s">
        <v>36890</v>
      </c>
      <c r="M1856" t="s">
        <v>36891</v>
      </c>
      <c r="N1856">
        <f>-600.928724786163 -18.5841081989911 -759.959448358092</f>
        <v>-1379.4722813432461</v>
      </c>
      <c r="O1856">
        <f>-621.782039061982 -155.377669491646 -710.189608947836</f>
        <v>-1487.3493175014639</v>
      </c>
      <c r="P1856">
        <f>-593.010582479164 -136.54448777362 -395.541022274569</f>
        <v>-1125.096092527353</v>
      </c>
      <c r="Q1856">
        <f>-356.379753001854 -47.2075354070075 -456.095306944605</f>
        <v>-859.68259535346647</v>
      </c>
      <c r="R1856" t="s">
        <v>36892</v>
      </c>
      <c r="S1856" t="s">
        <v>36893</v>
      </c>
      <c r="T1856" t="s">
        <v>36894</v>
      </c>
      <c r="U1856" t="s">
        <v>36895</v>
      </c>
      <c r="V1856" t="s">
        <v>36896</v>
      </c>
      <c r="W1856" t="s">
        <v>36897</v>
      </c>
      <c r="X1856" t="s">
        <v>36898</v>
      </c>
      <c r="Y1856" t="s">
        <v>36899</v>
      </c>
    </row>
    <row r="1857" spans="1:25" x14ac:dyDescent="0.3">
      <c r="A1857">
        <v>92800</v>
      </c>
      <c r="B1857" t="s">
        <v>36900</v>
      </c>
      <c r="C1857" t="s">
        <v>36901</v>
      </c>
      <c r="D1857" t="s">
        <v>36902</v>
      </c>
      <c r="E1857" t="s">
        <v>36903</v>
      </c>
      <c r="F1857" t="s">
        <v>36904</v>
      </c>
      <c r="G1857" t="s">
        <v>36905</v>
      </c>
      <c r="H1857">
        <f>-592.160275721789 -4.48767280098835 -832.529949096418</f>
        <v>-1429.1778976191954</v>
      </c>
      <c r="I1857">
        <f>-555.213508643827 -21.9183146026061 -925.87912455397</f>
        <v>-1503.0109478004031</v>
      </c>
      <c r="J1857" t="s">
        <v>36906</v>
      </c>
      <c r="K1857" t="s">
        <v>36907</v>
      </c>
      <c r="L1857" t="s">
        <v>36908</v>
      </c>
      <c r="M1857" t="s">
        <v>36909</v>
      </c>
      <c r="N1857">
        <f>-601.50761185542 -18.221182982045 -759.887356378352</f>
        <v>-1379.6161512158169</v>
      </c>
      <c r="O1857">
        <f>-622.508087960739 -154.96882480914 -710.048128844467</f>
        <v>-1487.5250416143458</v>
      </c>
      <c r="P1857">
        <f>-593.074947097854 -136.24387247174 -395.454231666443</f>
        <v>-1124.773051236037</v>
      </c>
      <c r="Q1857">
        <f>-356.520466068292 -47.0355350403255 -456.494365741756</f>
        <v>-860.05036685037351</v>
      </c>
      <c r="R1857" t="s">
        <v>36910</v>
      </c>
      <c r="S1857" t="s">
        <v>36911</v>
      </c>
      <c r="T1857" t="s">
        <v>36912</v>
      </c>
      <c r="U1857" t="s">
        <v>36913</v>
      </c>
      <c r="V1857" t="s">
        <v>36914</v>
      </c>
      <c r="W1857" t="s">
        <v>36915</v>
      </c>
      <c r="X1857" t="s">
        <v>36916</v>
      </c>
      <c r="Y1857" t="s">
        <v>36917</v>
      </c>
    </row>
    <row r="1858" spans="1:25" x14ac:dyDescent="0.3">
      <c r="A1858">
        <v>92850</v>
      </c>
      <c r="B1858" t="s">
        <v>36918</v>
      </c>
      <c r="C1858" t="s">
        <v>36919</v>
      </c>
      <c r="D1858" t="s">
        <v>36920</v>
      </c>
      <c r="E1858" t="s">
        <v>36921</v>
      </c>
      <c r="F1858" t="s">
        <v>36922</v>
      </c>
      <c r="G1858" t="s">
        <v>36923</v>
      </c>
      <c r="H1858">
        <f>-592.796372466403 -3.96195268739467 -832.364408766263</f>
        <v>-1429.1227339200605</v>
      </c>
      <c r="I1858">
        <f>-556.411285484888 -21.4714573504273 -925.919411649522</f>
        <v>-1503.8021544848373</v>
      </c>
      <c r="J1858" t="s">
        <v>36924</v>
      </c>
      <c r="K1858" t="s">
        <v>36925</v>
      </c>
      <c r="L1858" t="s">
        <v>36926</v>
      </c>
      <c r="M1858" t="s">
        <v>36927</v>
      </c>
      <c r="N1858">
        <f>-602.092604412416 -17.6654901402318 -759.709671716515</f>
        <v>-1379.4677662691629</v>
      </c>
      <c r="O1858">
        <f>-623.326965523087 -154.35472724443 -709.817757333246</f>
        <v>-1487.4994501007632</v>
      </c>
      <c r="P1858">
        <f>-592.666028741343 -135.699281378052 -395.337152465111</f>
        <v>-1123.7024625845061</v>
      </c>
      <c r="Q1858">
        <f>-356.026682407807 -47.1696335734933 -457.032869840957</f>
        <v>-860.22918582225725</v>
      </c>
      <c r="R1858" t="s">
        <v>36928</v>
      </c>
      <c r="S1858" t="s">
        <v>36929</v>
      </c>
      <c r="T1858" t="s">
        <v>36930</v>
      </c>
      <c r="U1858" t="s">
        <v>36931</v>
      </c>
      <c r="V1858" t="s">
        <v>36932</v>
      </c>
      <c r="W1858" t="s">
        <v>36933</v>
      </c>
      <c r="X1858" t="s">
        <v>36934</v>
      </c>
      <c r="Y1858" t="s">
        <v>36935</v>
      </c>
    </row>
    <row r="1859" spans="1:25" x14ac:dyDescent="0.3">
      <c r="A1859">
        <v>92900</v>
      </c>
      <c r="B1859" t="s">
        <v>36936</v>
      </c>
      <c r="C1859" t="s">
        <v>36937</v>
      </c>
      <c r="D1859" t="s">
        <v>36938</v>
      </c>
      <c r="E1859" t="s">
        <v>36939</v>
      </c>
      <c r="F1859" t="s">
        <v>36940</v>
      </c>
      <c r="G1859" t="s">
        <v>36941</v>
      </c>
      <c r="H1859">
        <f>-593.099406296534 -4.0692972012032 -832.319065851999</f>
        <v>-1429.487769349736</v>
      </c>
      <c r="I1859">
        <f>-556.927806984822 -21.6303465949715 -925.946967640544</f>
        <v>-1504.5051212203375</v>
      </c>
      <c r="J1859" t="s">
        <v>36942</v>
      </c>
      <c r="K1859" t="s">
        <v>36943</v>
      </c>
      <c r="L1859" t="s">
        <v>36944</v>
      </c>
      <c r="M1859" t="s">
        <v>36945</v>
      </c>
      <c r="N1859">
        <f>-602.363206984501 -17.7400016954631 -759.653923258684</f>
        <v>-1379.7571319386479</v>
      </c>
      <c r="O1859">
        <f>-623.753151662041 -154.369399742775 -709.682769609467</f>
        <v>-1487.805321014283</v>
      </c>
      <c r="P1859">
        <f>-592.810028662177 -135.792655380576 -395.225009851224</f>
        <v>-1123.8276938939771</v>
      </c>
      <c r="Q1859">
        <f>-356.14699743509 -47.6404191918579 -457.368810195609</f>
        <v>-861.15622682255685</v>
      </c>
      <c r="R1859" t="s">
        <v>36946</v>
      </c>
      <c r="S1859" t="s">
        <v>36947</v>
      </c>
      <c r="T1859" t="s">
        <v>36948</v>
      </c>
      <c r="U1859" t="s">
        <v>36949</v>
      </c>
      <c r="V1859" t="s">
        <v>36950</v>
      </c>
      <c r="W1859" t="s">
        <v>36951</v>
      </c>
      <c r="X1859" t="s">
        <v>36952</v>
      </c>
      <c r="Y1859" t="s">
        <v>36953</v>
      </c>
    </row>
    <row r="1860" spans="1:25" x14ac:dyDescent="0.3">
      <c r="A1860">
        <v>92950</v>
      </c>
      <c r="B1860" t="s">
        <v>36954</v>
      </c>
      <c r="C1860" t="s">
        <v>36955</v>
      </c>
      <c r="D1860" t="s">
        <v>36956</v>
      </c>
      <c r="E1860" t="s">
        <v>36957</v>
      </c>
      <c r="F1860" t="s">
        <v>36958</v>
      </c>
      <c r="G1860" t="s">
        <v>36959</v>
      </c>
      <c r="H1860">
        <f>-593.422421501964 -3.44946975920158 -832.445457957804</f>
        <v>-1429.3173492189696</v>
      </c>
      <c r="I1860">
        <f>-557.545777905799 -21.0907246914344 -926.171913579646</f>
        <v>-1504.8084161768793</v>
      </c>
      <c r="J1860" t="s">
        <v>36960</v>
      </c>
      <c r="K1860" t="s">
        <v>36961</v>
      </c>
      <c r="L1860" t="s">
        <v>36962</v>
      </c>
      <c r="M1860" t="s">
        <v>36963</v>
      </c>
      <c r="N1860">
        <f>-602.680410306982 -17.1020530445716 -759.77631794073</f>
        <v>-1379.5587812922836</v>
      </c>
      <c r="O1860">
        <f>-624.351779536083 -153.674928006786 -709.749182002564</f>
        <v>-1487.7758895454331</v>
      </c>
      <c r="P1860">
        <f>-593.047990052723 -135.353351542688 -395.312212990586</f>
        <v>-1123.7135545859969</v>
      </c>
      <c r="Q1860">
        <f>-356.312558602625 -47.7957932526964 -458.018277225805</f>
        <v>-862.12662908112634</v>
      </c>
      <c r="R1860" t="s">
        <v>36964</v>
      </c>
      <c r="S1860" t="s">
        <v>36965</v>
      </c>
      <c r="T1860" t="s">
        <v>36966</v>
      </c>
      <c r="U1860" t="s">
        <v>36967</v>
      </c>
      <c r="V1860" t="s">
        <v>36968</v>
      </c>
      <c r="W1860" t="s">
        <v>36969</v>
      </c>
      <c r="X1860" t="s">
        <v>36970</v>
      </c>
      <c r="Y1860" t="s">
        <v>36971</v>
      </c>
    </row>
    <row r="1861" spans="1:25" x14ac:dyDescent="0.3">
      <c r="A1861">
        <v>93000</v>
      </c>
      <c r="B1861" t="s">
        <v>36972</v>
      </c>
      <c r="C1861" t="s">
        <v>36973</v>
      </c>
      <c r="D1861" t="s">
        <v>36974</v>
      </c>
      <c r="E1861" t="s">
        <v>36975</v>
      </c>
      <c r="F1861" t="s">
        <v>36976</v>
      </c>
      <c r="G1861" t="s">
        <v>36977</v>
      </c>
      <c r="H1861">
        <f>-593.610625054143 -3.49297773795186 -832.483148743466</f>
        <v>-1429.5867515355608</v>
      </c>
      <c r="I1861">
        <f>-557.79762954748 -21.2101815623679 -926.219577096584</f>
        <v>-1505.2273882064319</v>
      </c>
      <c r="J1861" t="s">
        <v>36978</v>
      </c>
      <c r="K1861" t="s">
        <v>36979</v>
      </c>
      <c r="L1861" t="s">
        <v>36980</v>
      </c>
      <c r="M1861" t="s">
        <v>36981</v>
      </c>
      <c r="N1861">
        <f>-602.852587195715 -17.1182258187779 -759.806805550412</f>
        <v>-1379.777618564905</v>
      </c>
      <c r="O1861">
        <f>-624.642802225831 -153.658488804071 -709.758596707663</f>
        <v>-1488.0598877375651</v>
      </c>
      <c r="P1861">
        <f>-593.239694493671 -135.288613689587 -395.334341154547</f>
        <v>-1123.8626493378051</v>
      </c>
      <c r="Q1861">
        <f>-356.517201321355 -47.8930933572255 -458.314937176118</f>
        <v>-862.72523185469845</v>
      </c>
      <c r="R1861" t="s">
        <v>36982</v>
      </c>
      <c r="S1861" t="s">
        <v>36983</v>
      </c>
      <c r="T1861" t="s">
        <v>36984</v>
      </c>
      <c r="U1861" t="s">
        <v>36985</v>
      </c>
      <c r="V1861" t="s">
        <v>36986</v>
      </c>
      <c r="W1861" t="s">
        <v>36987</v>
      </c>
      <c r="X1861" t="s">
        <v>36988</v>
      </c>
      <c r="Y1861" t="s">
        <v>36989</v>
      </c>
    </row>
    <row r="1862" spans="1:25" x14ac:dyDescent="0.3">
      <c r="A1862">
        <v>93050</v>
      </c>
      <c r="B1862" t="s">
        <v>36990</v>
      </c>
      <c r="C1862" t="s">
        <v>36991</v>
      </c>
      <c r="D1862" t="s">
        <v>36992</v>
      </c>
      <c r="E1862" t="s">
        <v>36993</v>
      </c>
      <c r="F1862" t="s">
        <v>36994</v>
      </c>
      <c r="G1862" t="s">
        <v>36995</v>
      </c>
      <c r="H1862">
        <f>-594.220634425868 -2.57951775727356 -832.764661018354</f>
        <v>-1429.5648132014956</v>
      </c>
      <c r="I1862">
        <f>-558.487120236866 -20.3891137873479 -926.513895048887</f>
        <v>-1505.390129073101</v>
      </c>
      <c r="J1862" t="s">
        <v>36996</v>
      </c>
      <c r="K1862" t="s">
        <v>36997</v>
      </c>
      <c r="L1862" t="s">
        <v>36998</v>
      </c>
      <c r="M1862" t="s">
        <v>36999</v>
      </c>
      <c r="N1862">
        <f>-603.387598070066 -16.2043486141446 -760.07873052814</f>
        <v>-1379.6706772123507</v>
      </c>
      <c r="O1862">
        <f>-625.447373329532 -152.684257178818 -709.979690380658</f>
        <v>-1488.1113208890079</v>
      </c>
      <c r="P1862">
        <f>-593.522115599243 -134.215558493287 -395.61384652208</f>
        <v>-1123.3515206146099</v>
      </c>
      <c r="Q1862">
        <f>-356.43519979432 -47.4308778739364 -458.066030177137</f>
        <v>-861.93210784539338</v>
      </c>
      <c r="R1862" t="s">
        <v>37000</v>
      </c>
      <c r="S1862" t="s">
        <v>37001</v>
      </c>
      <c r="T1862" t="s">
        <v>37002</v>
      </c>
      <c r="U1862" t="s">
        <v>37003</v>
      </c>
      <c r="V1862" t="s">
        <v>37004</v>
      </c>
      <c r="W1862" t="s">
        <v>37005</v>
      </c>
      <c r="X1862" t="s">
        <v>37006</v>
      </c>
      <c r="Y1862" t="s">
        <v>37007</v>
      </c>
    </row>
    <row r="1863" spans="1:25" x14ac:dyDescent="0.3">
      <c r="A1863">
        <v>93100</v>
      </c>
      <c r="B1863" t="s">
        <v>37008</v>
      </c>
      <c r="C1863" t="s">
        <v>37009</v>
      </c>
      <c r="D1863" t="s">
        <v>37010</v>
      </c>
      <c r="E1863" t="s">
        <v>37011</v>
      </c>
      <c r="F1863" t="s">
        <v>37012</v>
      </c>
      <c r="G1863" t="s">
        <v>37013</v>
      </c>
      <c r="H1863">
        <f>-594.595436461266 -2.27132502655885 -832.864041786295</f>
        <v>-1429.7308032741198</v>
      </c>
      <c r="I1863">
        <f>-558.905216404359 -20.1134046592502 -926.62355467552</f>
        <v>-1505.6421757391292</v>
      </c>
      <c r="J1863" t="s">
        <v>37014</v>
      </c>
      <c r="K1863" t="s">
        <v>37015</v>
      </c>
      <c r="L1863" t="s">
        <v>37016</v>
      </c>
      <c r="M1863" t="s">
        <v>37017</v>
      </c>
      <c r="N1863">
        <f>-603.690895661516 -15.8935808581293 -760.168698947043</f>
        <v>-1379.7531754666884</v>
      </c>
      <c r="O1863">
        <f>-625.799001803786 -152.366456521581 -710.048470520776</f>
        <v>-1488.2139288461431</v>
      </c>
      <c r="P1863">
        <f>-593.752038314093 -133.737009529978 -395.704365692485</f>
        <v>-1123.1934135365559</v>
      </c>
      <c r="Q1863">
        <f>-356.533158397645 -47.1704941784553 -457.958023308868</f>
        <v>-861.66167588496842</v>
      </c>
      <c r="R1863" t="s">
        <v>37018</v>
      </c>
      <c r="S1863" t="s">
        <v>37019</v>
      </c>
      <c r="T1863" t="s">
        <v>37020</v>
      </c>
      <c r="U1863" t="s">
        <v>37021</v>
      </c>
      <c r="V1863" t="s">
        <v>37022</v>
      </c>
      <c r="W1863" t="s">
        <v>37023</v>
      </c>
      <c r="X1863" t="s">
        <v>37024</v>
      </c>
      <c r="Y1863" t="s">
        <v>37025</v>
      </c>
    </row>
    <row r="1864" spans="1:25" x14ac:dyDescent="0.3">
      <c r="A1864">
        <v>93150</v>
      </c>
      <c r="B1864" t="s">
        <v>37026</v>
      </c>
      <c r="C1864" t="s">
        <v>37027</v>
      </c>
      <c r="D1864" t="s">
        <v>37028</v>
      </c>
      <c r="E1864" t="s">
        <v>37029</v>
      </c>
      <c r="F1864" t="s">
        <v>37030</v>
      </c>
      <c r="G1864" t="s">
        <v>37031</v>
      </c>
      <c r="H1864">
        <f>-594.919866061093 -1.21761723977287 -833.017470902494</f>
        <v>-1429.1549542033599</v>
      </c>
      <c r="I1864">
        <f>-559.297641236863 -19.0529122966167 -926.804096974378</f>
        <v>-1505.1546505078577</v>
      </c>
      <c r="J1864" t="s">
        <v>37032</v>
      </c>
      <c r="K1864" t="s">
        <v>37033</v>
      </c>
      <c r="L1864" t="s">
        <v>37034</v>
      </c>
      <c r="M1864" t="s">
        <v>37035</v>
      </c>
      <c r="N1864">
        <f>-603.895801133157 -14.8719399134786 -760.313181413103</f>
        <v>-1379.0809224597388</v>
      </c>
      <c r="O1864">
        <f>-626.269273370178 -151.30284389468 -710.24457382703</f>
        <v>-1487.8166910918881</v>
      </c>
      <c r="P1864">
        <f>-594.472583324599 -133.227695345317 -395.842881821591</f>
        <v>-1123.543160491507</v>
      </c>
      <c r="Q1864">
        <f>-357.434667286702 -46.387579707641 -458.40369218821</f>
        <v>-862.22593918255302</v>
      </c>
      <c r="R1864" t="s">
        <v>37036</v>
      </c>
      <c r="S1864" t="s">
        <v>37037</v>
      </c>
      <c r="T1864" t="s">
        <v>37038</v>
      </c>
      <c r="U1864" t="s">
        <v>37039</v>
      </c>
      <c r="V1864" t="s">
        <v>37040</v>
      </c>
      <c r="W1864" t="s">
        <v>37041</v>
      </c>
      <c r="X1864" t="s">
        <v>37042</v>
      </c>
      <c r="Y1864" t="s">
        <v>37043</v>
      </c>
    </row>
    <row r="1865" spans="1:25" x14ac:dyDescent="0.3">
      <c r="A1865">
        <v>93200</v>
      </c>
      <c r="B1865" t="s">
        <v>37044</v>
      </c>
      <c r="C1865" t="s">
        <v>37045</v>
      </c>
      <c r="D1865" t="s">
        <v>37046</v>
      </c>
      <c r="E1865" t="s">
        <v>37047</v>
      </c>
      <c r="F1865" t="s">
        <v>37048</v>
      </c>
      <c r="G1865" t="s">
        <v>37049</v>
      </c>
      <c r="H1865">
        <f>-594.672544439566 -0.559683996715144 -833.125379904062</f>
        <v>-1428.3576083403432</v>
      </c>
      <c r="I1865">
        <f>-559.109016784161 -18.3726217785709 -926.93860240835</f>
        <v>-1504.420240971082</v>
      </c>
      <c r="J1865" t="s">
        <v>37050</v>
      </c>
      <c r="K1865" t="s">
        <v>37051</v>
      </c>
      <c r="L1865" t="s">
        <v>37052</v>
      </c>
      <c r="M1865" t="s">
        <v>37053</v>
      </c>
      <c r="N1865">
        <f>-603.61751635384 -14.25699585881 -760.425399223781</f>
        <v>-1378.2999114364311</v>
      </c>
      <c r="O1865">
        <f>-626.218179619535 -150.664891361266 -710.380326541025</f>
        <v>-1487.2633975218259</v>
      </c>
      <c r="P1865">
        <f>-594.558917023035 -132.600589137514 -395.964037566778</f>
        <v>-1123.1235437273269</v>
      </c>
      <c r="Q1865">
        <f>-357.335310019035 -46.3039760385912 -458.573172042683</f>
        <v>-862.21245810030916</v>
      </c>
      <c r="R1865" t="s">
        <v>37054</v>
      </c>
      <c r="S1865" t="s">
        <v>37055</v>
      </c>
      <c r="T1865" t="s">
        <v>37056</v>
      </c>
      <c r="U1865" t="s">
        <v>37057</v>
      </c>
      <c r="V1865" t="s">
        <v>37058</v>
      </c>
      <c r="W1865" t="s">
        <v>37059</v>
      </c>
      <c r="X1865" t="s">
        <v>37060</v>
      </c>
      <c r="Y1865" t="s">
        <v>37061</v>
      </c>
    </row>
    <row r="1866" spans="1:25" x14ac:dyDescent="0.3">
      <c r="A1866">
        <v>93250</v>
      </c>
      <c r="B1866" t="s">
        <v>37062</v>
      </c>
      <c r="C1866" t="s">
        <v>37063</v>
      </c>
      <c r="D1866" t="s">
        <v>37064</v>
      </c>
      <c r="E1866" t="s">
        <v>37065</v>
      </c>
      <c r="F1866" t="s">
        <v>37066</v>
      </c>
      <c r="G1866" t="s">
        <v>37067</v>
      </c>
      <c r="H1866" t="s">
        <v>37068</v>
      </c>
      <c r="I1866">
        <f>-558.580897205304 -16.3158665492364 -927.489026457514</f>
        <v>-1502.3857902120544</v>
      </c>
      <c r="J1866" t="s">
        <v>37069</v>
      </c>
      <c r="K1866" t="s">
        <v>37070</v>
      </c>
      <c r="L1866" t="s">
        <v>37071</v>
      </c>
      <c r="M1866" t="s">
        <v>37072</v>
      </c>
      <c r="N1866">
        <f>-602.810218161036 -12.3179691594571 -760.922835684628</f>
        <v>-1376.0510230051211</v>
      </c>
      <c r="O1866">
        <f>-625.558166966966 -148.76081302053 -710.993455747829</f>
        <v>-1485.3124357353249</v>
      </c>
      <c r="P1866">
        <f>-593.968618180696 -130.900224514717 -396.558639213549</f>
        <v>-1121.4274819089619</v>
      </c>
      <c r="Q1866">
        <f>-356.238488980383 -45.7284349749704 -458.785605233417</f>
        <v>-860.7525291887705</v>
      </c>
      <c r="R1866" t="s">
        <v>37073</v>
      </c>
      <c r="S1866" t="s">
        <v>37074</v>
      </c>
      <c r="T1866" t="s">
        <v>37075</v>
      </c>
      <c r="U1866" t="s">
        <v>37076</v>
      </c>
      <c r="V1866" t="s">
        <v>37077</v>
      </c>
      <c r="W1866" t="s">
        <v>37078</v>
      </c>
      <c r="X1866" t="s">
        <v>37079</v>
      </c>
      <c r="Y1866" t="s">
        <v>37080</v>
      </c>
    </row>
    <row r="1867" spans="1:25" x14ac:dyDescent="0.3">
      <c r="A1867">
        <v>93300</v>
      </c>
      <c r="B1867" t="s">
        <v>37081</v>
      </c>
      <c r="C1867" t="s">
        <v>37082</v>
      </c>
      <c r="D1867" t="s">
        <v>37083</v>
      </c>
      <c r="E1867" t="s">
        <v>37084</v>
      </c>
      <c r="F1867" t="s">
        <v>37085</v>
      </c>
      <c r="G1867" t="s">
        <v>37086</v>
      </c>
      <c r="H1867" t="s">
        <v>37087</v>
      </c>
      <c r="I1867">
        <f>-558.333084748838 -15.0683585537981 -927.69943804601</f>
        <v>-1501.100881348646</v>
      </c>
      <c r="J1867" t="s">
        <v>37088</v>
      </c>
      <c r="K1867" t="s">
        <v>37089</v>
      </c>
      <c r="L1867" t="s">
        <v>37090</v>
      </c>
      <c r="M1867" t="s">
        <v>37091</v>
      </c>
      <c r="N1867">
        <f>-602.443725712864 -11.2779083890267 -761.111314842431</f>
        <v>-1374.8329489443217</v>
      </c>
      <c r="O1867">
        <f>-625.245180115923 -147.789917604586 -711.384129880226</f>
        <v>-1484.419227600735</v>
      </c>
      <c r="P1867">
        <f>-593.704897380087 -130.503195504126 -396.912200820286</f>
        <v>-1121.1202937044991</v>
      </c>
      <c r="Q1867">
        <f>-355.898316154217 -45.4620962880305 -459.025874614597</f>
        <v>-860.38628705684459</v>
      </c>
      <c r="R1867" t="s">
        <v>37092</v>
      </c>
      <c r="S1867" t="s">
        <v>37093</v>
      </c>
      <c r="T1867" t="s">
        <v>37094</v>
      </c>
      <c r="U1867" t="s">
        <v>37095</v>
      </c>
      <c r="V1867" t="s">
        <v>37096</v>
      </c>
      <c r="W1867" t="s">
        <v>37097</v>
      </c>
      <c r="X1867" t="s">
        <v>37098</v>
      </c>
      <c r="Y1867" t="s">
        <v>37099</v>
      </c>
    </row>
    <row r="1868" spans="1:25" x14ac:dyDescent="0.3">
      <c r="A1868">
        <v>93350</v>
      </c>
      <c r="B1868" t="s">
        <v>37100</v>
      </c>
      <c r="C1868" t="s">
        <v>37101</v>
      </c>
      <c r="D1868" t="s">
        <v>37102</v>
      </c>
      <c r="E1868" t="s">
        <v>37103</v>
      </c>
      <c r="F1868" t="s">
        <v>37104</v>
      </c>
      <c r="G1868" t="s">
        <v>37105</v>
      </c>
      <c r="H1868" t="s">
        <v>37106</v>
      </c>
      <c r="I1868">
        <f>-557.756582044894 -12.288909059751 -928.143226507924</f>
        <v>-1498.188717612569</v>
      </c>
      <c r="J1868" t="s">
        <v>37107</v>
      </c>
      <c r="K1868" t="s">
        <v>37108</v>
      </c>
      <c r="L1868" t="s">
        <v>37109</v>
      </c>
      <c r="M1868" t="s">
        <v>37110</v>
      </c>
      <c r="N1868">
        <f>-601.675776690759 -9.16224966321055 -761.487918809153</f>
        <v>-1372.3259451631225</v>
      </c>
      <c r="O1868">
        <f>-624.398743067924 -145.848873454055 -712.22582353209</f>
        <v>-1482.473440054069</v>
      </c>
      <c r="P1868">
        <f>-592.907196818755 -129.515592897406 -397.698004053868</f>
        <v>-1120.120793770029</v>
      </c>
      <c r="Q1868">
        <f>-355.197375998882 -44.1641119985424 -459.756127314657</f>
        <v>-859.1176153120814</v>
      </c>
      <c r="R1868" t="s">
        <v>37111</v>
      </c>
      <c r="S1868" t="s">
        <v>37112</v>
      </c>
      <c r="T1868" t="s">
        <v>37113</v>
      </c>
      <c r="U1868" t="s">
        <v>37114</v>
      </c>
      <c r="V1868" t="s">
        <v>37115</v>
      </c>
      <c r="W1868" t="s">
        <v>37116</v>
      </c>
      <c r="X1868" t="s">
        <v>37117</v>
      </c>
      <c r="Y1868" t="s">
        <v>37118</v>
      </c>
    </row>
    <row r="1869" spans="1:25" x14ac:dyDescent="0.3">
      <c r="A1869">
        <v>93400</v>
      </c>
      <c r="B1869" t="s">
        <v>37119</v>
      </c>
      <c r="C1869" t="s">
        <v>37120</v>
      </c>
      <c r="D1869" t="s">
        <v>37121</v>
      </c>
      <c r="E1869" t="s">
        <v>37122</v>
      </c>
      <c r="F1869" t="s">
        <v>37123</v>
      </c>
      <c r="G1869" t="s">
        <v>37124</v>
      </c>
      <c r="H1869" t="s">
        <v>37125</v>
      </c>
      <c r="I1869">
        <f>-557.348306100474 -10.8404181712183 -928.371360212565</f>
        <v>-1496.5600844842575</v>
      </c>
      <c r="J1869" t="s">
        <v>37126</v>
      </c>
      <c r="K1869" t="s">
        <v>37127</v>
      </c>
      <c r="L1869" t="s">
        <v>37128</v>
      </c>
      <c r="M1869" t="s">
        <v>37129</v>
      </c>
      <c r="N1869">
        <f>-601.120663253825 -8.13304447151287 -761.668306466408</f>
        <v>-1370.9220141917458</v>
      </c>
      <c r="O1869">
        <f>-623.800962212958 -144.903977496666 -712.644874629479</f>
        <v>-1481.349814339103</v>
      </c>
      <c r="P1869">
        <f>-592.233389147531 -129.314288862994 -398.08701943948</f>
        <v>-1119.634697450005</v>
      </c>
      <c r="Q1869">
        <f>-354.704211626604 -43.6502107089653 -460.405608002408</f>
        <v>-858.76003033797724</v>
      </c>
      <c r="R1869" t="s">
        <v>37130</v>
      </c>
      <c r="S1869" t="s">
        <v>37131</v>
      </c>
      <c r="T1869" t="s">
        <v>37132</v>
      </c>
      <c r="U1869" t="s">
        <v>37133</v>
      </c>
      <c r="V1869" t="s">
        <v>37134</v>
      </c>
      <c r="W1869" t="s">
        <v>37135</v>
      </c>
      <c r="X1869" t="s">
        <v>37136</v>
      </c>
      <c r="Y1869" t="s">
        <v>37137</v>
      </c>
    </row>
    <row r="1870" spans="1:25" x14ac:dyDescent="0.3">
      <c r="A1870">
        <v>93450</v>
      </c>
      <c r="B1870" t="s">
        <v>37138</v>
      </c>
      <c r="C1870" t="s">
        <v>37139</v>
      </c>
      <c r="D1870" t="s">
        <v>37140</v>
      </c>
      <c r="E1870" t="s">
        <v>37141</v>
      </c>
      <c r="F1870" t="s">
        <v>37142</v>
      </c>
      <c r="G1870" t="s">
        <v>37143</v>
      </c>
      <c r="H1870" t="s">
        <v>37144</v>
      </c>
      <c r="I1870">
        <f>-556.654280081555 -7.49156696498321 -928.793080162177</f>
        <v>-1492.9389272087153</v>
      </c>
      <c r="J1870" t="s">
        <v>37145</v>
      </c>
      <c r="K1870" t="s">
        <v>37146</v>
      </c>
      <c r="L1870" t="s">
        <v>37147</v>
      </c>
      <c r="M1870" t="s">
        <v>37148</v>
      </c>
      <c r="N1870">
        <f>-600.307351992931 -5.57299135500987 -762.058810323526</f>
        <v>-1367.939153671467</v>
      </c>
      <c r="O1870">
        <f>-623.04401986759 -142.474230135058 -713.45737309769</f>
        <v>-1478.975623100338</v>
      </c>
      <c r="P1870">
        <f>-591.02736454849 -128.568915639672 -398.866026709611</f>
        <v>-1118.462306897773</v>
      </c>
      <c r="Q1870">
        <f>-353.958068146486 -42.5956956280884 -462.496137962358</f>
        <v>-859.04990173693238</v>
      </c>
      <c r="R1870" t="s">
        <v>37149</v>
      </c>
      <c r="S1870" t="s">
        <v>37150</v>
      </c>
      <c r="T1870" t="s">
        <v>37151</v>
      </c>
      <c r="U1870" t="s">
        <v>37152</v>
      </c>
      <c r="V1870" t="s">
        <v>37153</v>
      </c>
      <c r="W1870" t="s">
        <v>37154</v>
      </c>
      <c r="X1870" t="s">
        <v>37155</v>
      </c>
      <c r="Y1870" t="s">
        <v>37156</v>
      </c>
    </row>
    <row r="1871" spans="1:25" x14ac:dyDescent="0.3">
      <c r="A1871">
        <v>93500</v>
      </c>
      <c r="B1871" t="s">
        <v>37157</v>
      </c>
      <c r="C1871" t="s">
        <v>37158</v>
      </c>
      <c r="D1871" t="s">
        <v>37159</v>
      </c>
      <c r="E1871" t="s">
        <v>37160</v>
      </c>
      <c r="F1871" t="s">
        <v>37161</v>
      </c>
      <c r="G1871" t="s">
        <v>37162</v>
      </c>
      <c r="H1871" t="s">
        <v>37163</v>
      </c>
      <c r="I1871">
        <f>-556.419890253718 -6.08649574675969 -928.991474370598</f>
        <v>-1491.4978603710756</v>
      </c>
      <c r="J1871" t="s">
        <v>37164</v>
      </c>
      <c r="K1871" t="s">
        <v>37165</v>
      </c>
      <c r="L1871" t="s">
        <v>37166</v>
      </c>
      <c r="M1871" t="s">
        <v>37167</v>
      </c>
      <c r="N1871">
        <f>-599.988037338443 -4.44027585137822 -762.241427277308</f>
        <v>-1366.6697404671293</v>
      </c>
      <c r="O1871">
        <f>-622.850344435596 -141.388411851268 -713.799033062145</f>
        <v>-1478.037789349009</v>
      </c>
      <c r="P1871">
        <f>-590.546981052018 -128.283670456872 -399.202437549477</f>
        <v>-1118.0330890583671</v>
      </c>
      <c r="Q1871">
        <f>-353.302311324483 -42.842395096652 -462.895456280179</f>
        <v>-859.0401627013141</v>
      </c>
      <c r="R1871" t="s">
        <v>37168</v>
      </c>
      <c r="S1871" t="s">
        <v>37169</v>
      </c>
      <c r="T1871" t="s">
        <v>37170</v>
      </c>
      <c r="U1871" t="s">
        <v>37171</v>
      </c>
      <c r="V1871" t="s">
        <v>37172</v>
      </c>
      <c r="W1871" t="s">
        <v>37173</v>
      </c>
      <c r="X1871" t="s">
        <v>37174</v>
      </c>
      <c r="Y1871" t="s">
        <v>37175</v>
      </c>
    </row>
    <row r="1872" spans="1:25" x14ac:dyDescent="0.3">
      <c r="A1872">
        <v>93550</v>
      </c>
      <c r="B1872" t="s">
        <v>37176</v>
      </c>
      <c r="C1872" t="s">
        <v>37177</v>
      </c>
      <c r="D1872" t="s">
        <v>37178</v>
      </c>
      <c r="E1872" t="s">
        <v>37179</v>
      </c>
      <c r="F1872" t="s">
        <v>37180</v>
      </c>
      <c r="G1872" t="s">
        <v>37181</v>
      </c>
      <c r="H1872" t="s">
        <v>37182</v>
      </c>
      <c r="I1872">
        <f>-556.002524354457 -3.68543718186678 -929.325652261477</f>
        <v>-1489.0136137978006</v>
      </c>
      <c r="J1872" t="s">
        <v>37183</v>
      </c>
      <c r="K1872" t="s">
        <v>37184</v>
      </c>
      <c r="L1872" t="s">
        <v>37185</v>
      </c>
      <c r="M1872" t="s">
        <v>37186</v>
      </c>
      <c r="N1872">
        <f>-599.350701818548 -2.40687238753139 -762.527154252474</f>
        <v>-1364.2847284585534</v>
      </c>
      <c r="O1872">
        <f>-622.512971639311 -139.389188092617 -714.339066033837</f>
        <v>-1476.241225765765</v>
      </c>
      <c r="P1872">
        <f>-589.713640897189 -126.900256359265 -399.768715084707</f>
        <v>-1116.3826123411609</v>
      </c>
      <c r="Q1872">
        <f>-351.517388815459 -43.1757414130273 -462.177381071832</f>
        <v>-856.8705113003183</v>
      </c>
      <c r="R1872" t="s">
        <v>37187</v>
      </c>
      <c r="S1872" t="s">
        <v>37188</v>
      </c>
      <c r="T1872" t="s">
        <v>37189</v>
      </c>
      <c r="U1872" t="s">
        <v>37190</v>
      </c>
      <c r="V1872" t="s">
        <v>37191</v>
      </c>
      <c r="W1872" t="s">
        <v>37192</v>
      </c>
      <c r="X1872" t="s">
        <v>37193</v>
      </c>
      <c r="Y1872" t="s">
        <v>37194</v>
      </c>
    </row>
    <row r="1873" spans="1:25" x14ac:dyDescent="0.3">
      <c r="A1873">
        <v>93600</v>
      </c>
      <c r="B1873" t="s">
        <v>37195</v>
      </c>
      <c r="C1873" t="s">
        <v>37196</v>
      </c>
      <c r="D1873" t="s">
        <v>37197</v>
      </c>
      <c r="E1873" t="s">
        <v>37198</v>
      </c>
      <c r="F1873" t="s">
        <v>37199</v>
      </c>
      <c r="G1873" t="s">
        <v>37200</v>
      </c>
      <c r="H1873" t="s">
        <v>37201</v>
      </c>
      <c r="I1873">
        <f>-555.766030665594 -2.68295307178965 -929.465786024475</f>
        <v>-1487.9147697618587</v>
      </c>
      <c r="J1873" t="s">
        <v>37202</v>
      </c>
      <c r="K1873" t="s">
        <v>37203</v>
      </c>
      <c r="L1873" t="s">
        <v>37204</v>
      </c>
      <c r="M1873" t="s">
        <v>37205</v>
      </c>
      <c r="N1873">
        <f>-598.973975083161 -1.49351295771243 -762.627004607669</f>
        <v>-1363.0944926485427</v>
      </c>
      <c r="O1873">
        <f>-622.278753689224 -138.487533637573 -714.515023686473</f>
        <v>-1475.2813110132702</v>
      </c>
      <c r="P1873">
        <f>-589.368787411224 -125.986599559246 -399.956773396218</f>
        <v>-1115.312160366688</v>
      </c>
      <c r="Q1873">
        <f>-350.656455749004 -42.8417127990667 -461.156552296614</f>
        <v>-854.65472084468468</v>
      </c>
      <c r="R1873" t="s">
        <v>37206</v>
      </c>
      <c r="S1873" t="s">
        <v>37207</v>
      </c>
      <c r="T1873" t="s">
        <v>37208</v>
      </c>
      <c r="U1873" t="s">
        <v>37209</v>
      </c>
      <c r="V1873" t="s">
        <v>37210</v>
      </c>
      <c r="W1873" t="s">
        <v>37211</v>
      </c>
      <c r="X1873" t="s">
        <v>37212</v>
      </c>
      <c r="Y1873" t="s">
        <v>37213</v>
      </c>
    </row>
    <row r="1874" spans="1:25" x14ac:dyDescent="0.3">
      <c r="A1874">
        <v>93650</v>
      </c>
      <c r="B1874" t="s">
        <v>37214</v>
      </c>
      <c r="C1874" t="s">
        <v>37215</v>
      </c>
      <c r="D1874" t="s">
        <v>37216</v>
      </c>
      <c r="E1874" t="s">
        <v>37217</v>
      </c>
      <c r="F1874" t="s">
        <v>37218</v>
      </c>
      <c r="G1874" t="s">
        <v>37219</v>
      </c>
      <c r="H1874" t="s">
        <v>37220</v>
      </c>
      <c r="I1874">
        <f>-555.19186568023 -0.492179471730211 -929.689735395305</f>
        <v>-1485.3737805472651</v>
      </c>
      <c r="J1874" t="s">
        <v>37221</v>
      </c>
      <c r="K1874" t="s">
        <v>37222</v>
      </c>
      <c r="L1874" t="s">
        <v>37223</v>
      </c>
      <c r="M1874" t="s">
        <v>37224</v>
      </c>
      <c r="N1874" t="s">
        <v>37225</v>
      </c>
      <c r="O1874">
        <f>-621.454707303853 -136.470364919234 -714.809933005049</f>
        <v>-1472.7350052281358</v>
      </c>
      <c r="P1874">
        <f>-589.141446983572 -123.953255065199 -400.190663071341</f>
        <v>-1113.2853651201119</v>
      </c>
      <c r="Q1874">
        <f>-350.191040360187 -40.77753762993 -460.411556694552</f>
        <v>-851.38013468466897</v>
      </c>
      <c r="R1874" t="s">
        <v>37226</v>
      </c>
      <c r="S1874" t="s">
        <v>37227</v>
      </c>
      <c r="T1874" t="s">
        <v>37228</v>
      </c>
      <c r="U1874" t="s">
        <v>37229</v>
      </c>
      <c r="V1874" t="s">
        <v>37230</v>
      </c>
      <c r="W1874" t="s">
        <v>37231</v>
      </c>
      <c r="X1874" t="s">
        <v>37232</v>
      </c>
      <c r="Y1874" t="s">
        <v>37233</v>
      </c>
    </row>
    <row r="1875" spans="1:25" x14ac:dyDescent="0.3">
      <c r="A1875">
        <v>93700</v>
      </c>
      <c r="B1875" t="s">
        <v>37234</v>
      </c>
      <c r="C1875" t="s">
        <v>37235</v>
      </c>
      <c r="D1875" t="s">
        <v>37236</v>
      </c>
      <c r="E1875" t="s">
        <v>37237</v>
      </c>
      <c r="F1875" t="s">
        <v>37238</v>
      </c>
      <c r="G1875" t="s">
        <v>37239</v>
      </c>
      <c r="H1875" t="s">
        <v>37240</v>
      </c>
      <c r="I1875" t="s">
        <v>37241</v>
      </c>
      <c r="J1875" t="s">
        <v>37242</v>
      </c>
      <c r="K1875" t="s">
        <v>37243</v>
      </c>
      <c r="L1875" t="s">
        <v>37244</v>
      </c>
      <c r="M1875" t="s">
        <v>37245</v>
      </c>
      <c r="N1875" t="s">
        <v>37246</v>
      </c>
      <c r="O1875">
        <f>-621.344260661404 -135.221239397678 -714.874953664994</f>
        <v>-1471.440453724076</v>
      </c>
      <c r="P1875">
        <f>-588.866133668344 -122.752552779975 -400.27064786193</f>
        <v>-1111.8893343102491</v>
      </c>
      <c r="Q1875">
        <f>-349.966508318909 -39.3506335961656 -460.38007231239</f>
        <v>-849.69721422746466</v>
      </c>
      <c r="R1875" t="s">
        <v>37247</v>
      </c>
      <c r="S1875" t="s">
        <v>37248</v>
      </c>
      <c r="T1875" t="s">
        <v>37249</v>
      </c>
      <c r="U1875" t="s">
        <v>37250</v>
      </c>
      <c r="V1875" t="s">
        <v>37251</v>
      </c>
      <c r="W1875" t="s">
        <v>37252</v>
      </c>
      <c r="X1875" t="s">
        <v>37253</v>
      </c>
      <c r="Y1875" t="s">
        <v>37254</v>
      </c>
    </row>
    <row r="1876" spans="1:25" x14ac:dyDescent="0.3">
      <c r="A1876">
        <v>93750</v>
      </c>
      <c r="B1876" t="s">
        <v>37255</v>
      </c>
      <c r="C1876" t="s">
        <v>37256</v>
      </c>
      <c r="D1876" t="s">
        <v>37257</v>
      </c>
      <c r="E1876" t="s">
        <v>37258</v>
      </c>
      <c r="F1876" t="s">
        <v>37259</v>
      </c>
      <c r="G1876" t="s">
        <v>37260</v>
      </c>
      <c r="H1876" t="s">
        <v>37261</v>
      </c>
      <c r="I1876" t="s">
        <v>37262</v>
      </c>
      <c r="J1876" t="s">
        <v>37263</v>
      </c>
      <c r="K1876" t="s">
        <v>37264</v>
      </c>
      <c r="L1876" t="s">
        <v>37265</v>
      </c>
      <c r="M1876" t="s">
        <v>37266</v>
      </c>
      <c r="N1876" t="s">
        <v>37267</v>
      </c>
      <c r="O1876">
        <f>-621.002833105072 -133.708384082134 -714.593560453113</f>
        <v>-1469.3047776403191</v>
      </c>
      <c r="P1876">
        <f>-588.169276923414 -121.396653911633 -400.01995736344</f>
        <v>-1109.5858881984871</v>
      </c>
      <c r="Q1876">
        <f>-349.548268706087 -37.2599654510362 -460.212114086718</f>
        <v>-847.02034824384123</v>
      </c>
      <c r="R1876" t="s">
        <v>37268</v>
      </c>
      <c r="S1876" t="s">
        <v>37269</v>
      </c>
      <c r="T1876" t="s">
        <v>37270</v>
      </c>
      <c r="U1876" t="s">
        <v>37271</v>
      </c>
      <c r="V1876" t="s">
        <v>37272</v>
      </c>
      <c r="W1876" t="s">
        <v>37273</v>
      </c>
      <c r="X1876" t="s">
        <v>37274</v>
      </c>
      <c r="Y1876" t="s">
        <v>37275</v>
      </c>
    </row>
    <row r="1877" spans="1:25" x14ac:dyDescent="0.3">
      <c r="A1877">
        <v>93800</v>
      </c>
      <c r="B1877" t="s">
        <v>37276</v>
      </c>
      <c r="C1877" t="s">
        <v>37277</v>
      </c>
      <c r="D1877" t="s">
        <v>37278</v>
      </c>
      <c r="E1877" t="s">
        <v>37279</v>
      </c>
      <c r="F1877" t="s">
        <v>37280</v>
      </c>
      <c r="G1877" t="s">
        <v>37281</v>
      </c>
      <c r="H1877" t="s">
        <v>37282</v>
      </c>
      <c r="I1877" t="s">
        <v>37283</v>
      </c>
      <c r="J1877" t="s">
        <v>37284</v>
      </c>
      <c r="K1877" t="s">
        <v>37285</v>
      </c>
      <c r="L1877" t="s">
        <v>37286</v>
      </c>
      <c r="M1877" t="s">
        <v>37287</v>
      </c>
      <c r="N1877" t="s">
        <v>37288</v>
      </c>
      <c r="O1877">
        <f>-621.293263163381 -133.076635766053 -714.411286398169</f>
        <v>-1468.781185327603</v>
      </c>
      <c r="P1877">
        <f>-588.346660151245 -121.047516570272 -399.838521903506</f>
        <v>-1109.232698625023</v>
      </c>
      <c r="Q1877">
        <f>-349.769603318747 -36.6376741096085 -459.822238482381</f>
        <v>-846.2295159107365</v>
      </c>
      <c r="R1877" t="s">
        <v>37289</v>
      </c>
      <c r="S1877" t="s">
        <v>37290</v>
      </c>
      <c r="T1877" t="s">
        <v>37291</v>
      </c>
      <c r="U1877" t="s">
        <v>37292</v>
      </c>
      <c r="V1877" t="s">
        <v>37293</v>
      </c>
      <c r="W1877" t="s">
        <v>37294</v>
      </c>
      <c r="X1877" t="s">
        <v>37295</v>
      </c>
      <c r="Y1877" t="s">
        <v>37296</v>
      </c>
    </row>
    <row r="1878" spans="1:25" x14ac:dyDescent="0.3">
      <c r="A1878">
        <v>93850</v>
      </c>
      <c r="B1878" t="s">
        <v>37297</v>
      </c>
      <c r="C1878" t="s">
        <v>37298</v>
      </c>
      <c r="D1878" t="s">
        <v>37299</v>
      </c>
      <c r="E1878" t="s">
        <v>37300</v>
      </c>
      <c r="F1878" t="s">
        <v>37301</v>
      </c>
      <c r="G1878" t="s">
        <v>37302</v>
      </c>
      <c r="H1878" t="s">
        <v>37303</v>
      </c>
      <c r="I1878" t="s">
        <v>37304</v>
      </c>
      <c r="J1878" t="s">
        <v>37305</v>
      </c>
      <c r="K1878" t="s">
        <v>37306</v>
      </c>
      <c r="L1878" t="s">
        <v>37307</v>
      </c>
      <c r="M1878" t="s">
        <v>37308</v>
      </c>
      <c r="N1878" t="s">
        <v>37309</v>
      </c>
      <c r="O1878">
        <f>-621.023678256782 -131.01464557915 -714.84785078646</f>
        <v>-1466.886174622392</v>
      </c>
      <c r="P1878">
        <f>-588.705727154892 -120.124985444245 -400.168366506526</f>
        <v>-1108.999079105663</v>
      </c>
      <c r="Q1878">
        <f>-350.405242632542 -34.9712256942125 -460.1997997776</f>
        <v>-845.57626810435454</v>
      </c>
      <c r="R1878" t="s">
        <v>37310</v>
      </c>
      <c r="S1878" t="s">
        <v>37311</v>
      </c>
      <c r="T1878" t="s">
        <v>37312</v>
      </c>
      <c r="U1878" t="s">
        <v>37313</v>
      </c>
      <c r="V1878" t="s">
        <v>37314</v>
      </c>
      <c r="W1878" t="s">
        <v>37315</v>
      </c>
      <c r="X1878" t="s">
        <v>37316</v>
      </c>
      <c r="Y1878" t="s">
        <v>37317</v>
      </c>
    </row>
    <row r="1879" spans="1:25" x14ac:dyDescent="0.3">
      <c r="A1879">
        <v>93900</v>
      </c>
      <c r="B1879" t="s">
        <v>37318</v>
      </c>
      <c r="C1879" t="s">
        <v>37319</v>
      </c>
      <c r="D1879" t="s">
        <v>37320</v>
      </c>
      <c r="E1879" t="s">
        <v>37321</v>
      </c>
      <c r="F1879" t="s">
        <v>37322</v>
      </c>
      <c r="G1879" t="s">
        <v>37323</v>
      </c>
      <c r="H1879" t="s">
        <v>37324</v>
      </c>
      <c r="I1879" t="s">
        <v>37325</v>
      </c>
      <c r="J1879" t="s">
        <v>37326</v>
      </c>
      <c r="K1879" t="s">
        <v>37327</v>
      </c>
      <c r="L1879" t="s">
        <v>37328</v>
      </c>
      <c r="M1879" t="s">
        <v>37329</v>
      </c>
      <c r="N1879" t="s">
        <v>37330</v>
      </c>
      <c r="O1879">
        <f>-620.758572545615 -130.626811990711 -715.388295659198</f>
        <v>-1466.7736801955239</v>
      </c>
      <c r="P1879">
        <f>-589.492359108313 -120.470881879637 -400.578152409211</f>
        <v>-1110.5413933971611</v>
      </c>
      <c r="Q1879">
        <f>-351.323825249246 -34.6241179280904 -460.144653151639</f>
        <v>-846.09259632897533</v>
      </c>
      <c r="R1879" t="s">
        <v>37331</v>
      </c>
      <c r="S1879" t="s">
        <v>37332</v>
      </c>
      <c r="T1879" t="s">
        <v>37333</v>
      </c>
      <c r="U1879" t="s">
        <v>37334</v>
      </c>
      <c r="V1879" t="s">
        <v>37335</v>
      </c>
      <c r="W1879" t="s">
        <v>37336</v>
      </c>
      <c r="X1879" t="s">
        <v>37337</v>
      </c>
      <c r="Y1879" t="s">
        <v>37338</v>
      </c>
    </row>
    <row r="1880" spans="1:25" x14ac:dyDescent="0.3">
      <c r="A1880">
        <v>93950</v>
      </c>
      <c r="B1880" t="s">
        <v>37339</v>
      </c>
      <c r="C1880" t="s">
        <v>37340</v>
      </c>
      <c r="D1880" t="s">
        <v>37341</v>
      </c>
      <c r="E1880" t="s">
        <v>37342</v>
      </c>
      <c r="F1880" t="s">
        <v>37343</v>
      </c>
      <c r="G1880" t="s">
        <v>37344</v>
      </c>
      <c r="H1880" t="s">
        <v>37345</v>
      </c>
      <c r="I1880" t="s">
        <v>37346</v>
      </c>
      <c r="J1880" t="s">
        <v>37347</v>
      </c>
      <c r="K1880" t="s">
        <v>37348</v>
      </c>
      <c r="L1880" t="s">
        <v>37349</v>
      </c>
      <c r="M1880" t="s">
        <v>37350</v>
      </c>
      <c r="N1880" t="s">
        <v>37351</v>
      </c>
      <c r="O1880">
        <f>-620.356681297217 -130.983680112806 -716.73994098768</f>
        <v>-1468.0803023977032</v>
      </c>
      <c r="P1880">
        <f>-590.217693970231 -123.816584611732 -401.737539139317</f>
        <v>-1115.7718177212801</v>
      </c>
      <c r="Q1880">
        <f>-352.618863459369 -34.7279610268593 -458.764480729573</f>
        <v>-846.11130521580128</v>
      </c>
      <c r="R1880" t="s">
        <v>37352</v>
      </c>
      <c r="S1880" t="s">
        <v>37353</v>
      </c>
      <c r="T1880" t="s">
        <v>37354</v>
      </c>
      <c r="U1880" t="s">
        <v>37355</v>
      </c>
      <c r="V1880" t="s">
        <v>37356</v>
      </c>
      <c r="W1880" t="s">
        <v>37357</v>
      </c>
      <c r="X1880" t="s">
        <v>37358</v>
      </c>
      <c r="Y1880" t="s">
        <v>37359</v>
      </c>
    </row>
    <row r="1881" spans="1:25" x14ac:dyDescent="0.3">
      <c r="A1881">
        <v>94000</v>
      </c>
      <c r="B1881" t="s">
        <v>37360</v>
      </c>
      <c r="C1881" t="s">
        <v>37361</v>
      </c>
      <c r="D1881" t="s">
        <v>37362</v>
      </c>
      <c r="E1881" t="s">
        <v>37363</v>
      </c>
      <c r="F1881" t="s">
        <v>37364</v>
      </c>
      <c r="G1881" t="s">
        <v>37365</v>
      </c>
      <c r="H1881" t="s">
        <v>37366</v>
      </c>
      <c r="I1881" t="s">
        <v>37367</v>
      </c>
      <c r="J1881" t="s">
        <v>37368</v>
      </c>
      <c r="K1881" t="s">
        <v>37369</v>
      </c>
      <c r="L1881" t="s">
        <v>37370</v>
      </c>
      <c r="M1881" t="s">
        <v>37371</v>
      </c>
      <c r="N1881" t="s">
        <v>37372</v>
      </c>
      <c r="O1881">
        <f>-620.09821150425 -131.309464412192 -717.819145995866</f>
        <v>-1469.226821912308</v>
      </c>
      <c r="P1881">
        <f>-590.449485263247 -125.161928170175 -402.748698932502</f>
        <v>-1118.3601123659239</v>
      </c>
      <c r="Q1881">
        <f>-353.076559203712 -34.5308227526554 -458.26579746191</f>
        <v>-845.87317941827746</v>
      </c>
      <c r="R1881" t="s">
        <v>37373</v>
      </c>
      <c r="S1881" t="s">
        <v>37374</v>
      </c>
      <c r="T1881" t="s">
        <v>37375</v>
      </c>
      <c r="U1881" t="s">
        <v>37376</v>
      </c>
      <c r="V1881" t="s">
        <v>37377</v>
      </c>
      <c r="W1881" t="s">
        <v>37378</v>
      </c>
      <c r="X1881" t="s">
        <v>37379</v>
      </c>
      <c r="Y1881" t="s">
        <v>37380</v>
      </c>
    </row>
    <row r="1882" spans="1:25" x14ac:dyDescent="0.3">
      <c r="A1882">
        <v>94050</v>
      </c>
      <c r="B1882" t="s">
        <v>37381</v>
      </c>
      <c r="C1882" t="s">
        <v>37382</v>
      </c>
      <c r="D1882" t="s">
        <v>37383</v>
      </c>
      <c r="E1882" t="s">
        <v>37384</v>
      </c>
      <c r="F1882" t="s">
        <v>37385</v>
      </c>
      <c r="G1882" t="s">
        <v>37386</v>
      </c>
      <c r="H1882" t="s">
        <v>37387</v>
      </c>
      <c r="I1882" t="s">
        <v>37388</v>
      </c>
      <c r="J1882" t="s">
        <v>37389</v>
      </c>
      <c r="K1882" t="s">
        <v>37390</v>
      </c>
      <c r="L1882" t="s">
        <v>37391</v>
      </c>
      <c r="M1882" t="s">
        <v>37392</v>
      </c>
      <c r="N1882" t="s">
        <v>37393</v>
      </c>
      <c r="O1882">
        <f>-618.89464345368 -131.777548528695 -719.947380817251</f>
        <v>-1470.619572799626</v>
      </c>
      <c r="P1882">
        <f>-591.247163642907 -127.206212542773 -404.668338167893</f>
        <v>-1123.121714353573</v>
      </c>
      <c r="Q1882">
        <f>-354.19663354226 -34.2511800056426 -457.663144334939</f>
        <v>-846.1109578828416</v>
      </c>
      <c r="R1882" t="s">
        <v>37394</v>
      </c>
      <c r="S1882" t="s">
        <v>37395</v>
      </c>
      <c r="T1882" t="s">
        <v>37396</v>
      </c>
      <c r="U1882" t="s">
        <v>37397</v>
      </c>
      <c r="V1882" t="s">
        <v>37398</v>
      </c>
      <c r="W1882" t="s">
        <v>37399</v>
      </c>
      <c r="X1882" t="s">
        <v>37400</v>
      </c>
      <c r="Y1882" t="s">
        <v>37401</v>
      </c>
    </row>
    <row r="1883" spans="1:25" x14ac:dyDescent="0.3">
      <c r="A1883">
        <v>94100</v>
      </c>
      <c r="B1883" t="s">
        <v>37402</v>
      </c>
      <c r="C1883" t="s">
        <v>37403</v>
      </c>
      <c r="D1883" t="s">
        <v>37404</v>
      </c>
      <c r="E1883" t="s">
        <v>37405</v>
      </c>
      <c r="F1883" t="s">
        <v>37406</v>
      </c>
      <c r="G1883" t="s">
        <v>37407</v>
      </c>
      <c r="H1883" t="s">
        <v>37408</v>
      </c>
      <c r="I1883" t="s">
        <v>37409</v>
      </c>
      <c r="J1883" t="s">
        <v>37410</v>
      </c>
      <c r="K1883" t="s">
        <v>37411</v>
      </c>
      <c r="L1883" t="s">
        <v>37412</v>
      </c>
      <c r="M1883" t="s">
        <v>37413</v>
      </c>
      <c r="N1883" t="s">
        <v>37414</v>
      </c>
      <c r="O1883">
        <f>-618.174354612928 -132.091422716915 -721.091030875103</f>
        <v>-1471.356808204946</v>
      </c>
      <c r="P1883">
        <f>-592.218449097368 -127.906943558949 -405.662796833924</f>
        <v>-1125.7881894902409</v>
      </c>
      <c r="Q1883">
        <f>-355.43912730916 -33.7503356446041 -457.740940832812</f>
        <v>-846.93040378657611</v>
      </c>
      <c r="R1883" t="s">
        <v>37415</v>
      </c>
      <c r="S1883" t="s">
        <v>37416</v>
      </c>
      <c r="T1883" t="s">
        <v>37417</v>
      </c>
      <c r="U1883" t="s">
        <v>37418</v>
      </c>
      <c r="V1883" t="s">
        <v>37419</v>
      </c>
      <c r="W1883" t="s">
        <v>37420</v>
      </c>
      <c r="X1883" t="s">
        <v>37421</v>
      </c>
      <c r="Y1883" t="s">
        <v>37422</v>
      </c>
    </row>
    <row r="1884" spans="1:25" x14ac:dyDescent="0.3">
      <c r="A1884">
        <v>94150</v>
      </c>
      <c r="B1884" t="s">
        <v>37423</v>
      </c>
      <c r="C1884" t="s">
        <v>37424</v>
      </c>
      <c r="D1884" t="s">
        <v>37425</v>
      </c>
      <c r="E1884" t="s">
        <v>37426</v>
      </c>
      <c r="F1884" t="s">
        <v>37427</v>
      </c>
      <c r="G1884" t="s">
        <v>37428</v>
      </c>
      <c r="H1884" t="s">
        <v>37429</v>
      </c>
      <c r="I1884" t="s">
        <v>37430</v>
      </c>
      <c r="J1884" t="s">
        <v>37431</v>
      </c>
      <c r="K1884" t="s">
        <v>37432</v>
      </c>
      <c r="L1884" t="s">
        <v>37433</v>
      </c>
      <c r="M1884" t="s">
        <v>37434</v>
      </c>
      <c r="N1884" t="s">
        <v>37435</v>
      </c>
      <c r="O1884">
        <f>-618.069824872346 -133.81132028662 -723.214203792202</f>
        <v>-1475.095348951168</v>
      </c>
      <c r="P1884">
        <f>-594.872122246676 -131.665772225232 -407.550868616259</f>
        <v>-1134.0887630881671</v>
      </c>
      <c r="Q1884">
        <f>-359.700039333799 -32.5703475910107 -457.712984711664</f>
        <v>-849.98337163647375</v>
      </c>
      <c r="R1884" t="s">
        <v>37436</v>
      </c>
      <c r="S1884" t="s">
        <v>37437</v>
      </c>
      <c r="T1884" t="s">
        <v>37438</v>
      </c>
      <c r="U1884" t="s">
        <v>37439</v>
      </c>
      <c r="V1884" t="s">
        <v>37440</v>
      </c>
      <c r="W1884" t="s">
        <v>37441</v>
      </c>
      <c r="X1884" t="s">
        <v>37442</v>
      </c>
      <c r="Y1884" t="s">
        <v>37443</v>
      </c>
    </row>
    <row r="1885" spans="1:25" x14ac:dyDescent="0.3">
      <c r="A1885">
        <v>94200</v>
      </c>
      <c r="B1885" t="s">
        <v>37444</v>
      </c>
      <c r="C1885" t="s">
        <v>37445</v>
      </c>
      <c r="D1885" t="s">
        <v>37446</v>
      </c>
      <c r="E1885" t="s">
        <v>37447</v>
      </c>
      <c r="F1885" t="s">
        <v>37448</v>
      </c>
      <c r="G1885" t="s">
        <v>37449</v>
      </c>
      <c r="H1885" t="s">
        <v>37450</v>
      </c>
      <c r="I1885" t="s">
        <v>37451</v>
      </c>
      <c r="J1885" t="s">
        <v>37452</v>
      </c>
      <c r="K1885" t="s">
        <v>37453</v>
      </c>
      <c r="L1885" t="s">
        <v>37454</v>
      </c>
      <c r="M1885" t="s">
        <v>37455</v>
      </c>
      <c r="N1885" t="s">
        <v>37456</v>
      </c>
      <c r="O1885">
        <f>-619.121170805084 -136.769246339386 -723.492571933141</f>
        <v>-1479.382989077611</v>
      </c>
      <c r="P1885">
        <f>-596.590369079266 -136.404541954753 -407.77369993071</f>
        <v>-1140.7686109647289</v>
      </c>
      <c r="Q1885">
        <f>-362.53498598785 -34.2030370092174 -456.916243739124</f>
        <v>-853.6542667361914</v>
      </c>
      <c r="R1885" t="s">
        <v>37457</v>
      </c>
      <c r="S1885" t="s">
        <v>37458</v>
      </c>
      <c r="T1885" t="s">
        <v>37459</v>
      </c>
      <c r="U1885" t="s">
        <v>37460</v>
      </c>
      <c r="V1885" t="s">
        <v>37461</v>
      </c>
      <c r="W1885" t="s">
        <v>37462</v>
      </c>
      <c r="X1885" t="s">
        <v>37463</v>
      </c>
      <c r="Y1885" t="s">
        <v>37464</v>
      </c>
    </row>
    <row r="1886" spans="1:25" x14ac:dyDescent="0.3">
      <c r="A1886">
        <v>94250</v>
      </c>
      <c r="B1886" t="s">
        <v>37465</v>
      </c>
      <c r="C1886" t="s">
        <v>37466</v>
      </c>
      <c r="D1886" t="s">
        <v>37467</v>
      </c>
      <c r="E1886" t="s">
        <v>37468</v>
      </c>
      <c r="F1886" t="s">
        <v>37469</v>
      </c>
      <c r="G1886" t="s">
        <v>37470</v>
      </c>
      <c r="H1886" t="s">
        <v>37471</v>
      </c>
      <c r="I1886">
        <f>-548.051403433756 -1.61165023187139 -929.916677157637</f>
        <v>-1479.5797308232645</v>
      </c>
      <c r="J1886" t="s">
        <v>37472</v>
      </c>
      <c r="K1886" t="s">
        <v>37473</v>
      </c>
      <c r="L1886" t="s">
        <v>37474</v>
      </c>
      <c r="M1886" t="s">
        <v>37475</v>
      </c>
      <c r="N1886">
        <f>-596.541029933497 -4.97601956975845 -764.069350653312</f>
        <v>-1365.5864001565674</v>
      </c>
      <c r="O1886">
        <f>-622.829401892739 -143.593764414827 -722.534662450007</f>
        <v>-1488.957828757573</v>
      </c>
      <c r="P1886">
        <f>-599.585483057134 -145.91182709978 -406.875771358085</f>
        <v>-1152.3730815149988</v>
      </c>
      <c r="Q1886">
        <f>-366.944303099371 -39.7064969092868 -454.210221082025</f>
        <v>-860.8610210906827</v>
      </c>
      <c r="R1886" t="s">
        <v>37476</v>
      </c>
      <c r="S1886" t="s">
        <v>37477</v>
      </c>
      <c r="T1886" t="s">
        <v>37478</v>
      </c>
      <c r="U1886" t="s">
        <v>37479</v>
      </c>
      <c r="V1886" t="s">
        <v>37480</v>
      </c>
      <c r="W1886" t="s">
        <v>37481</v>
      </c>
      <c r="X1886" t="s">
        <v>37482</v>
      </c>
      <c r="Y1886" t="s">
        <v>37483</v>
      </c>
    </row>
    <row r="1887" spans="1:25" x14ac:dyDescent="0.3">
      <c r="A1887">
        <v>94300</v>
      </c>
      <c r="B1887" t="s">
        <v>37484</v>
      </c>
      <c r="C1887" t="s">
        <v>37485</v>
      </c>
      <c r="D1887" t="s">
        <v>37486</v>
      </c>
      <c r="E1887" t="s">
        <v>37487</v>
      </c>
      <c r="F1887" t="s">
        <v>37488</v>
      </c>
      <c r="G1887" t="s">
        <v>37489</v>
      </c>
      <c r="H1887" t="s">
        <v>37490</v>
      </c>
      <c r="I1887">
        <f>-547.791562177088 -5.99786802460097 -929.79668679394</f>
        <v>-1483.586116995629</v>
      </c>
      <c r="J1887" t="s">
        <v>37491</v>
      </c>
      <c r="K1887" t="s">
        <v>37492</v>
      </c>
      <c r="L1887" t="s">
        <v>37493</v>
      </c>
      <c r="M1887" t="s">
        <v>37494</v>
      </c>
      <c r="N1887">
        <f>-596.994194992964 -8.42396471142653 -764.006975792657</f>
        <v>-1369.4251354970474</v>
      </c>
      <c r="O1887">
        <f>-624.577371645206 -146.656675963752 -721.993781084874</f>
        <v>-1493.227828693832</v>
      </c>
      <c r="P1887">
        <f>-601.407891330828 -148.357043404057 -406.325375621518</f>
        <v>-1156.0903103564028</v>
      </c>
      <c r="Q1887">
        <f>-368.727000152245 -42.09203537285 -453.329726163572</f>
        <v>-864.14876168866704</v>
      </c>
      <c r="R1887" t="s">
        <v>37495</v>
      </c>
      <c r="S1887" t="s">
        <v>37496</v>
      </c>
      <c r="T1887" t="s">
        <v>37497</v>
      </c>
      <c r="U1887" t="s">
        <v>37498</v>
      </c>
      <c r="V1887" t="s">
        <v>37499</v>
      </c>
      <c r="W1887" t="s">
        <v>37500</v>
      </c>
      <c r="X1887" t="s">
        <v>37501</v>
      </c>
      <c r="Y1887" t="s">
        <v>37502</v>
      </c>
    </row>
    <row r="1888" spans="1:25" x14ac:dyDescent="0.3">
      <c r="A1888">
        <v>94350</v>
      </c>
      <c r="B1888" t="s">
        <v>37503</v>
      </c>
      <c r="C1888" t="s">
        <v>37504</v>
      </c>
      <c r="D1888" t="s">
        <v>37505</v>
      </c>
      <c r="E1888" t="s">
        <v>37506</v>
      </c>
      <c r="F1888" t="s">
        <v>37507</v>
      </c>
      <c r="G1888" t="s">
        <v>37508</v>
      </c>
      <c r="H1888" t="s">
        <v>37509</v>
      </c>
      <c r="I1888">
        <f>-547.93883485711 -12.8829547933555 -929.42711544212</f>
        <v>-1490.2489050925856</v>
      </c>
      <c r="J1888" t="s">
        <v>37510</v>
      </c>
      <c r="K1888" t="s">
        <v>37511</v>
      </c>
      <c r="L1888" t="s">
        <v>37512</v>
      </c>
      <c r="M1888" t="s">
        <v>37513</v>
      </c>
      <c r="N1888">
        <f>-597.947347072359 -13.6498380695965 -763.640342127753</f>
        <v>-1375.2375272697086</v>
      </c>
      <c r="O1888">
        <f>-627.18449884364 -151.258181229094 -720.717598128769</f>
        <v>-1499.1602782015029</v>
      </c>
      <c r="P1888">
        <f>-605.984263798313 -149.173813290568 -404.91320750147</f>
        <v>-1160.0712845903511</v>
      </c>
      <c r="Q1888">
        <f>-372.393368946503 -44.836734675035 -451.722440151118</f>
        <v>-868.9525437726561</v>
      </c>
      <c r="R1888" t="s">
        <v>37514</v>
      </c>
      <c r="S1888" t="s">
        <v>37515</v>
      </c>
      <c r="T1888" t="s">
        <v>37516</v>
      </c>
      <c r="U1888" t="s">
        <v>37517</v>
      </c>
      <c r="V1888" t="s">
        <v>37518</v>
      </c>
      <c r="W1888" t="s">
        <v>37519</v>
      </c>
      <c r="X1888" t="s">
        <v>37520</v>
      </c>
      <c r="Y1888" t="s">
        <v>37521</v>
      </c>
    </row>
    <row r="1889" spans="1:25" x14ac:dyDescent="0.3">
      <c r="A1889">
        <v>94400</v>
      </c>
      <c r="B1889" t="s">
        <v>37522</v>
      </c>
      <c r="C1889" t="s">
        <v>37523</v>
      </c>
      <c r="D1889" t="s">
        <v>37524</v>
      </c>
      <c r="E1889" t="s">
        <v>37525</v>
      </c>
      <c r="F1889" t="s">
        <v>37526</v>
      </c>
      <c r="G1889" t="s">
        <v>37527</v>
      </c>
      <c r="H1889">
        <f>-584.872416823933 -1.26118839614946 -835.158177078067</f>
        <v>-1421.2917822981494</v>
      </c>
      <c r="I1889">
        <f>-548.08053755707 -15.5745931637364 -929.096820205295</f>
        <v>-1492.7519509261015</v>
      </c>
      <c r="J1889" t="s">
        <v>37528</v>
      </c>
      <c r="K1889" t="s">
        <v>37529</v>
      </c>
      <c r="L1889" t="s">
        <v>37530</v>
      </c>
      <c r="M1889" t="s">
        <v>37531</v>
      </c>
      <c r="N1889">
        <f>-598.379971411465 -15.7152388202705 -763.314313941531</f>
        <v>-1377.4095241732666</v>
      </c>
      <c r="O1889">
        <f>-628.377638629928 -153.02233829011 -720.046248157762</f>
        <v>-1501.4462250778001</v>
      </c>
      <c r="P1889">
        <f>-608.287456114874 -149.790956538511 -404.178899326566</f>
        <v>-1162.2573119799508</v>
      </c>
      <c r="Q1889">
        <f>-374.178443102981 -46.4391450065614 -450.583995368794</f>
        <v>-871.20158347833637</v>
      </c>
      <c r="R1889" t="s">
        <v>37532</v>
      </c>
      <c r="S1889" t="s">
        <v>37533</v>
      </c>
      <c r="T1889" t="s">
        <v>37534</v>
      </c>
      <c r="U1889" t="s">
        <v>37535</v>
      </c>
      <c r="V1889" t="s">
        <v>37536</v>
      </c>
      <c r="W1889" t="s">
        <v>37537</v>
      </c>
      <c r="X1889" t="s">
        <v>37538</v>
      </c>
      <c r="Y1889" t="s">
        <v>37539</v>
      </c>
    </row>
    <row r="1890" spans="1:25" x14ac:dyDescent="0.3">
      <c r="A1890">
        <v>94450</v>
      </c>
      <c r="B1890" t="s">
        <v>37540</v>
      </c>
      <c r="C1890" t="s">
        <v>37541</v>
      </c>
      <c r="D1890" t="s">
        <v>37542</v>
      </c>
      <c r="E1890" t="s">
        <v>37543</v>
      </c>
      <c r="F1890" t="s">
        <v>37544</v>
      </c>
      <c r="G1890" t="s">
        <v>37545</v>
      </c>
      <c r="H1890">
        <f>-585.582814247701 -4.22372026601426 -834.643050348208</f>
        <v>-1424.4495848619233</v>
      </c>
      <c r="I1890">
        <f>-548.808971360182 -18.9575796863558 -928.523637086667</f>
        <v>-1496.2901881332048</v>
      </c>
      <c r="J1890" t="s">
        <v>37546</v>
      </c>
      <c r="K1890" t="s">
        <v>37547</v>
      </c>
      <c r="L1890" t="s">
        <v>37548</v>
      </c>
      <c r="M1890" t="s">
        <v>37549</v>
      </c>
      <c r="N1890">
        <f>-599.530532638762 -18.2976446126271 -762.80774825267</f>
        <v>-1380.6359255040591</v>
      </c>
      <c r="O1890">
        <f>-630.528911782936 -155.309856654248 -719.279525402388</f>
        <v>-1505.1182938395718</v>
      </c>
      <c r="P1890">
        <f>-612.253705066082 -151.054728621686 -403.314124318121</f>
        <v>-1166.622558005889</v>
      </c>
      <c r="Q1890">
        <f>-376.866760788575 -49.8829585970548 -448.027731540314</f>
        <v>-874.77745092594387</v>
      </c>
      <c r="R1890" t="s">
        <v>37550</v>
      </c>
      <c r="S1890" t="s">
        <v>37551</v>
      </c>
      <c r="T1890" t="s">
        <v>37552</v>
      </c>
      <c r="U1890" t="s">
        <v>37553</v>
      </c>
      <c r="V1890" t="s">
        <v>37554</v>
      </c>
      <c r="W1890" t="s">
        <v>37555</v>
      </c>
      <c r="X1890" t="s">
        <v>37556</v>
      </c>
      <c r="Y1890" t="s">
        <v>37557</v>
      </c>
    </row>
    <row r="1891" spans="1:25" x14ac:dyDescent="0.3">
      <c r="A1891">
        <v>94500</v>
      </c>
      <c r="B1891" t="s">
        <v>37558</v>
      </c>
      <c r="C1891" t="s">
        <v>37559</v>
      </c>
      <c r="D1891" t="s">
        <v>37560</v>
      </c>
      <c r="E1891" t="s">
        <v>37561</v>
      </c>
      <c r="F1891" t="s">
        <v>37562</v>
      </c>
      <c r="G1891" t="s">
        <v>37563</v>
      </c>
      <c r="H1891">
        <f>-586.500319195162 -4.65792616828443 -834.532335621886</f>
        <v>-1425.6905809853324</v>
      </c>
      <c r="I1891">
        <f>-549.712244166107 -19.4849404897558 -928.39281837616</f>
        <v>-1497.5900030320227</v>
      </c>
      <c r="J1891" t="s">
        <v>37564</v>
      </c>
      <c r="K1891" t="s">
        <v>37565</v>
      </c>
      <c r="L1891" t="s">
        <v>37566</v>
      </c>
      <c r="M1891" t="s">
        <v>37567</v>
      </c>
      <c r="N1891">
        <f>-600.470299513797 -18.7560085426654 -762.70617346834</f>
        <v>-1381.9324815248024</v>
      </c>
      <c r="O1891">
        <f>-631.551060759278 -155.752004396097 -719.193428486551</f>
        <v>-1506.496493641926</v>
      </c>
      <c r="P1891">
        <f>-613.854614595731 -151.358328508948 -403.197135499634</f>
        <v>-1168.4100786043132</v>
      </c>
      <c r="Q1891">
        <f>-378.04735202591 -50.8918765058262 -447.282032876251</f>
        <v>-876.22126140798719</v>
      </c>
      <c r="R1891" t="s">
        <v>37568</v>
      </c>
      <c r="S1891" t="s">
        <v>37569</v>
      </c>
      <c r="T1891" t="s">
        <v>37570</v>
      </c>
      <c r="U1891" t="s">
        <v>37571</v>
      </c>
      <c r="V1891" t="s">
        <v>37572</v>
      </c>
      <c r="W1891" t="s">
        <v>37573</v>
      </c>
      <c r="X1891" t="s">
        <v>37574</v>
      </c>
      <c r="Y1891" t="s">
        <v>37575</v>
      </c>
    </row>
    <row r="1892" spans="1:25" x14ac:dyDescent="0.3">
      <c r="A1892">
        <v>94550</v>
      </c>
      <c r="B1892" t="s">
        <v>37576</v>
      </c>
      <c r="C1892" t="s">
        <v>37577</v>
      </c>
      <c r="D1892" t="s">
        <v>37578</v>
      </c>
      <c r="E1892" t="s">
        <v>37579</v>
      </c>
      <c r="F1892" t="s">
        <v>37580</v>
      </c>
      <c r="G1892" t="s">
        <v>37581</v>
      </c>
      <c r="H1892">
        <f>-587.706362359601 -4.58787487970496 -834.489337786783</f>
        <v>-1426.783575026089</v>
      </c>
      <c r="I1892">
        <f>-550.885161657069 -19.4288244817408 -928.334509930268</f>
        <v>-1498.6484960690777</v>
      </c>
      <c r="J1892" t="s">
        <v>37582</v>
      </c>
      <c r="K1892" t="s">
        <v>37583</v>
      </c>
      <c r="L1892" t="s">
        <v>37584</v>
      </c>
      <c r="M1892" t="s">
        <v>37585</v>
      </c>
      <c r="N1892">
        <f>-601.588745387031 -18.8591877954591 -762.680334733865</f>
        <v>-1383.1282679163551</v>
      </c>
      <c r="O1892">
        <f>-632.369722430661 -155.972370439453 -719.379735427065</f>
        <v>-1507.7218282971789</v>
      </c>
      <c r="P1892">
        <f>-615.513374533605 -151.196006084406 -403.343025340787</f>
        <v>-1170.0524059587979</v>
      </c>
      <c r="Q1892">
        <f>-378.752926387725 -52.7937913476586 -446.972695162371</f>
        <v>-878.51941289775459</v>
      </c>
      <c r="R1892" t="s">
        <v>37586</v>
      </c>
      <c r="S1892" t="s">
        <v>37587</v>
      </c>
      <c r="T1892" t="s">
        <v>37588</v>
      </c>
      <c r="U1892" t="s">
        <v>37589</v>
      </c>
      <c r="V1892" t="s">
        <v>37590</v>
      </c>
      <c r="W1892" t="s">
        <v>37591</v>
      </c>
      <c r="X1892" t="s">
        <v>37592</v>
      </c>
      <c r="Y1892" t="s">
        <v>37593</v>
      </c>
    </row>
    <row r="1893" spans="1:25" x14ac:dyDescent="0.3">
      <c r="A1893">
        <v>94600</v>
      </c>
      <c r="B1893" t="s">
        <v>37594</v>
      </c>
      <c r="C1893" t="s">
        <v>37595</v>
      </c>
      <c r="D1893" t="s">
        <v>37596</v>
      </c>
      <c r="E1893" t="s">
        <v>37597</v>
      </c>
      <c r="F1893" t="s">
        <v>37598</v>
      </c>
      <c r="G1893" t="s">
        <v>37599</v>
      </c>
      <c r="H1893">
        <f>-588.173917492359 -4.85258876907229 -834.346922647028</f>
        <v>-1427.3734289084593</v>
      </c>
      <c r="I1893">
        <f>-551.371329391273 -19.640972518121 -928.207755951072</f>
        <v>-1499.2200578604661</v>
      </c>
      <c r="J1893" t="s">
        <v>37600</v>
      </c>
      <c r="K1893" t="s">
        <v>37601</v>
      </c>
      <c r="L1893" t="s">
        <v>37602</v>
      </c>
      <c r="M1893" t="s">
        <v>37603</v>
      </c>
      <c r="N1893">
        <f>-601.993554083461 -19.1399914709531 -762.529089562105</f>
        <v>-1383.6626351165191</v>
      </c>
      <c r="O1893">
        <f>-632.552389031918 -156.297428440645 -719.241158981743</f>
        <v>-1508.090976454306</v>
      </c>
      <c r="P1893">
        <f>-615.796201039841 -151.215448619272 -403.203766923847</f>
        <v>-1170.21541658296</v>
      </c>
      <c r="Q1893">
        <f>-378.612749135268 -53.847961177226 -446.857168293709</f>
        <v>-879.31787860620307</v>
      </c>
      <c r="R1893" t="s">
        <v>37604</v>
      </c>
      <c r="S1893" t="s">
        <v>37605</v>
      </c>
      <c r="T1893" t="s">
        <v>37606</v>
      </c>
      <c r="U1893" t="s">
        <v>37607</v>
      </c>
      <c r="V1893" t="s">
        <v>37608</v>
      </c>
      <c r="W1893" t="s">
        <v>37609</v>
      </c>
      <c r="X1893" t="s">
        <v>37610</v>
      </c>
      <c r="Y1893" t="s">
        <v>37611</v>
      </c>
    </row>
    <row r="1894" spans="1:25" x14ac:dyDescent="0.3">
      <c r="A1894">
        <v>94650</v>
      </c>
      <c r="B1894" t="s">
        <v>37612</v>
      </c>
      <c r="C1894" t="s">
        <v>37613</v>
      </c>
      <c r="D1894" t="s">
        <v>37614</v>
      </c>
      <c r="E1894" t="s">
        <v>37615</v>
      </c>
      <c r="F1894" t="s">
        <v>37616</v>
      </c>
      <c r="G1894" t="s">
        <v>37617</v>
      </c>
      <c r="H1894">
        <f>-588.936152393972 -4.24982783055572 -834.274401139826</f>
        <v>-1427.4603813643537</v>
      </c>
      <c r="I1894">
        <f>-552.309462621978 -18.7193600897419 -928.253677176519</f>
        <v>-1499.2824998882388</v>
      </c>
      <c r="J1894" t="s">
        <v>37618</v>
      </c>
      <c r="K1894" t="s">
        <v>37619</v>
      </c>
      <c r="L1894" t="s">
        <v>37620</v>
      </c>
      <c r="M1894" t="s">
        <v>37621</v>
      </c>
      <c r="N1894">
        <f>-602.49540778319 -18.6847046208628 -762.43640820822</f>
        <v>-1383.6165206122728</v>
      </c>
      <c r="O1894">
        <f>-632.208327687196 -156.085599702053 -719.267271769278</f>
        <v>-1507.561199158527</v>
      </c>
      <c r="P1894">
        <f>-615.630525442125 -150.606060225333 -403.227242721547</f>
        <v>-1169.4638283890049</v>
      </c>
      <c r="Q1894">
        <f>-377.941787576145 -54.5569926968736 -447.053173850941</f>
        <v>-879.5519541239596</v>
      </c>
      <c r="R1894" t="s">
        <v>37622</v>
      </c>
      <c r="S1894" t="s">
        <v>37623</v>
      </c>
      <c r="T1894" t="s">
        <v>37624</v>
      </c>
      <c r="U1894" t="s">
        <v>37625</v>
      </c>
      <c r="V1894" t="s">
        <v>37626</v>
      </c>
      <c r="W1894" t="s">
        <v>37627</v>
      </c>
      <c r="X1894" t="s">
        <v>37628</v>
      </c>
      <c r="Y1894" t="s">
        <v>37629</v>
      </c>
    </row>
    <row r="1895" spans="1:25" x14ac:dyDescent="0.3">
      <c r="A1895">
        <v>94700</v>
      </c>
      <c r="B1895" t="s">
        <v>37630</v>
      </c>
      <c r="C1895" t="s">
        <v>37631</v>
      </c>
      <c r="D1895" t="s">
        <v>37632</v>
      </c>
      <c r="E1895" t="s">
        <v>37633</v>
      </c>
      <c r="F1895" t="s">
        <v>37634</v>
      </c>
      <c r="G1895" t="s">
        <v>37635</v>
      </c>
      <c r="H1895">
        <f>-589.249310670568 -3.96522947212174 -834.215058222274</f>
        <v>-1427.4295983649638</v>
      </c>
      <c r="I1895">
        <f>-552.754382463353 -18.3040741180629 -928.265496164686</f>
        <v>-1499.3239527461019</v>
      </c>
      <c r="J1895" t="s">
        <v>37636</v>
      </c>
      <c r="K1895" t="s">
        <v>37637</v>
      </c>
      <c r="L1895" t="s">
        <v>37638</v>
      </c>
      <c r="M1895" t="s">
        <v>37639</v>
      </c>
      <c r="N1895">
        <f>-602.603598931083 -18.4344278605548 -762.345635506103</f>
        <v>-1383.3836622977408</v>
      </c>
      <c r="O1895">
        <f>-631.689621220751 -155.955573950643 -719.173842765986</f>
        <v>-1506.81903793738</v>
      </c>
      <c r="P1895">
        <f>-615.133456456261 -150.345833330144 -403.13489215546</f>
        <v>-1168.6141819418649</v>
      </c>
      <c r="Q1895">
        <f>-377.341412171689 -54.5954122469607 -447.053909926474</f>
        <v>-878.99073434512366</v>
      </c>
      <c r="R1895" t="s">
        <v>37640</v>
      </c>
      <c r="S1895" t="s">
        <v>37641</v>
      </c>
      <c r="T1895" t="s">
        <v>37642</v>
      </c>
      <c r="U1895" t="s">
        <v>37643</v>
      </c>
      <c r="V1895" t="s">
        <v>37644</v>
      </c>
      <c r="W1895" t="s">
        <v>37645</v>
      </c>
      <c r="X1895" t="s">
        <v>37646</v>
      </c>
      <c r="Y1895" t="s">
        <v>37647</v>
      </c>
    </row>
    <row r="1896" spans="1:25" x14ac:dyDescent="0.3">
      <c r="A1896">
        <v>94750</v>
      </c>
      <c r="B1896" t="s">
        <v>37648</v>
      </c>
      <c r="C1896" t="s">
        <v>37649</v>
      </c>
      <c r="D1896" t="s">
        <v>37650</v>
      </c>
      <c r="E1896" t="s">
        <v>37651</v>
      </c>
      <c r="F1896" t="s">
        <v>37652</v>
      </c>
      <c r="G1896" t="s">
        <v>37653</v>
      </c>
      <c r="H1896">
        <f>-588.344702782538 -1.99499003530148 -834.54352619461</f>
        <v>-1424.8832190124494</v>
      </c>
      <c r="I1896">
        <f>-552.077851516332 -16.0378497636162 -928.72688639611</f>
        <v>-1496.8425876760582</v>
      </c>
      <c r="J1896" t="s">
        <v>37654</v>
      </c>
      <c r="K1896" t="s">
        <v>37655</v>
      </c>
      <c r="L1896" t="s">
        <v>37656</v>
      </c>
      <c r="M1896" t="s">
        <v>37657</v>
      </c>
      <c r="N1896">
        <f>-601.522672532138 -16.7475732592965 -762.699126659739</f>
        <v>-1380.9693724511735</v>
      </c>
      <c r="O1896">
        <f>-629.399120141192 -154.628510892718 -719.840733186638</f>
        <v>-1503.8683642205478</v>
      </c>
      <c r="P1896">
        <f>-612.923673014934 -149.238942049924 -403.793709404131</f>
        <v>-1165.9563244689891</v>
      </c>
      <c r="Q1896">
        <f>-375.080511085297 -53.5507572347962 -447.571386064545</f>
        <v>-876.20265438463821</v>
      </c>
      <c r="R1896" t="s">
        <v>37658</v>
      </c>
      <c r="S1896" t="s">
        <v>37659</v>
      </c>
      <c r="T1896" t="s">
        <v>37660</v>
      </c>
      <c r="U1896" t="s">
        <v>37661</v>
      </c>
      <c r="V1896" t="s">
        <v>37662</v>
      </c>
      <c r="W1896" t="s">
        <v>37663</v>
      </c>
      <c r="X1896" t="s">
        <v>37664</v>
      </c>
      <c r="Y1896" t="s">
        <v>37665</v>
      </c>
    </row>
    <row r="1897" spans="1:25" x14ac:dyDescent="0.3">
      <c r="A1897">
        <v>94800</v>
      </c>
      <c r="B1897" t="s">
        <v>37666</v>
      </c>
      <c r="C1897" t="s">
        <v>37667</v>
      </c>
      <c r="D1897" t="s">
        <v>37668</v>
      </c>
      <c r="E1897" t="s">
        <v>37669</v>
      </c>
      <c r="F1897" t="s">
        <v>37670</v>
      </c>
      <c r="G1897" t="s">
        <v>37671</v>
      </c>
      <c r="H1897">
        <f>-588.026701152428 -0.601207244308171 -834.894360532075</f>
        <v>-1423.5222689288112</v>
      </c>
      <c r="I1897">
        <f>-551.936729340621 -14.4444744707008 -929.175134996763</f>
        <v>-1495.5563388080848</v>
      </c>
      <c r="J1897" t="s">
        <v>37672</v>
      </c>
      <c r="K1897" t="s">
        <v>37673</v>
      </c>
      <c r="L1897" t="s">
        <v>37674</v>
      </c>
      <c r="M1897" t="s">
        <v>37675</v>
      </c>
      <c r="N1897">
        <f>-601.031035760454 -15.6247682374396 -763.074460211836</f>
        <v>-1379.7302642097297</v>
      </c>
      <c r="O1897">
        <f>-628.038786569884 -153.789275247512 -720.525035972298</f>
        <v>-1502.3530977896939</v>
      </c>
      <c r="P1897">
        <f>-611.863126621699 -148.618264584329 -404.459024685338</f>
        <v>-1164.9404158913662</v>
      </c>
      <c r="Q1897">
        <f>-374.094068381165 -52.6937550001783 -448.120998920508</f>
        <v>-874.90882230185127</v>
      </c>
      <c r="R1897" t="s">
        <v>37676</v>
      </c>
      <c r="S1897" t="s">
        <v>37677</v>
      </c>
      <c r="T1897" t="s">
        <v>37678</v>
      </c>
      <c r="U1897" t="s">
        <v>37679</v>
      </c>
      <c r="V1897" t="s">
        <v>37680</v>
      </c>
      <c r="W1897" t="s">
        <v>37681</v>
      </c>
      <c r="X1897" t="s">
        <v>37682</v>
      </c>
      <c r="Y1897" t="s">
        <v>37683</v>
      </c>
    </row>
    <row r="1898" spans="1:25" x14ac:dyDescent="0.3">
      <c r="A1898">
        <v>94850</v>
      </c>
      <c r="B1898" t="s">
        <v>37684</v>
      </c>
      <c r="C1898" t="s">
        <v>37685</v>
      </c>
      <c r="D1898" t="s">
        <v>37686</v>
      </c>
      <c r="E1898" t="s">
        <v>37687</v>
      </c>
      <c r="F1898" t="s">
        <v>37688</v>
      </c>
      <c r="G1898" t="s">
        <v>37689</v>
      </c>
      <c r="H1898" t="s">
        <v>37690</v>
      </c>
      <c r="I1898">
        <f>-552.239256400203 -8.88548314983935 -930.466368174043</f>
        <v>-1491.5911077240853</v>
      </c>
      <c r="J1898" t="s">
        <v>37691</v>
      </c>
      <c r="K1898" t="s">
        <v>37692</v>
      </c>
      <c r="L1898" t="s">
        <v>37693</v>
      </c>
      <c r="M1898" t="s">
        <v>37694</v>
      </c>
      <c r="N1898">
        <f>-600.431377501304 -11.5559362959085 -764.244767801327</f>
        <v>-1376.2320815985395</v>
      </c>
      <c r="O1898">
        <f>-625.377519328717 -150.487005908384 -722.973045198678</f>
        <v>-1498.8375704357791</v>
      </c>
      <c r="P1898">
        <f>-609.890690793976 -146.274037326365 -406.858110340304</f>
        <v>-1163.0228384606451</v>
      </c>
      <c r="Q1898">
        <f>-372.530635538733 -49.2446434477262 -450.304164712183</f>
        <v>-872.07944369864231</v>
      </c>
      <c r="R1898" t="s">
        <v>37695</v>
      </c>
      <c r="S1898" t="s">
        <v>37696</v>
      </c>
      <c r="T1898" t="s">
        <v>37697</v>
      </c>
      <c r="U1898" t="s">
        <v>37698</v>
      </c>
      <c r="V1898" t="s">
        <v>37699</v>
      </c>
      <c r="W1898" t="s">
        <v>37700</v>
      </c>
      <c r="X1898" t="s">
        <v>37701</v>
      </c>
      <c r="Y1898" t="s">
        <v>37702</v>
      </c>
    </row>
    <row r="1899" spans="1:25" x14ac:dyDescent="0.3">
      <c r="A1899">
        <v>94900</v>
      </c>
      <c r="B1899" t="s">
        <v>37703</v>
      </c>
      <c r="C1899" t="s">
        <v>37704</v>
      </c>
      <c r="D1899" t="s">
        <v>37705</v>
      </c>
      <c r="E1899" t="s">
        <v>37706</v>
      </c>
      <c r="F1899" t="s">
        <v>37707</v>
      </c>
      <c r="G1899" t="s">
        <v>37708</v>
      </c>
      <c r="H1899" t="s">
        <v>37709</v>
      </c>
      <c r="I1899">
        <f>-551.66204405667 -5.69402792517289 -931.275420030352</f>
        <v>-1488.6314920121949</v>
      </c>
      <c r="J1899" t="s">
        <v>37710</v>
      </c>
      <c r="K1899" t="s">
        <v>37711</v>
      </c>
      <c r="L1899" t="s">
        <v>37712</v>
      </c>
      <c r="M1899" t="s">
        <v>37713</v>
      </c>
      <c r="N1899">
        <f>-599.436816345035 -9.4112324872565 -765.030386870046</f>
        <v>-1373.8784357023374</v>
      </c>
      <c r="O1899">
        <f>-623.121269220632 -148.772636667924 -724.522277814878</f>
        <v>-1496.4161837034339</v>
      </c>
      <c r="P1899">
        <f>-608.109496710278 -145.77529294124 -408.370597367553</f>
        <v>-1162.2553870190709</v>
      </c>
      <c r="Q1899">
        <f>-370.849880017709 -48.2554192337167 -451.263815617613</f>
        <v>-870.36911486903864</v>
      </c>
      <c r="R1899" t="s">
        <v>37714</v>
      </c>
      <c r="S1899" t="s">
        <v>37715</v>
      </c>
      <c r="T1899" t="s">
        <v>37716</v>
      </c>
      <c r="U1899" t="s">
        <v>37717</v>
      </c>
      <c r="V1899" t="s">
        <v>37718</v>
      </c>
      <c r="W1899" t="s">
        <v>37719</v>
      </c>
      <c r="X1899" t="s">
        <v>37720</v>
      </c>
      <c r="Y1899" t="s">
        <v>37721</v>
      </c>
    </row>
    <row r="1900" spans="1:25" x14ac:dyDescent="0.3">
      <c r="A1900">
        <v>94950</v>
      </c>
      <c r="B1900" t="s">
        <v>37722</v>
      </c>
      <c r="C1900" t="s">
        <v>37723</v>
      </c>
      <c r="D1900" t="s">
        <v>37724</v>
      </c>
      <c r="E1900" t="s">
        <v>37725</v>
      </c>
      <c r="F1900" t="s">
        <v>37726</v>
      </c>
      <c r="G1900" t="s">
        <v>37727</v>
      </c>
      <c r="H1900" t="s">
        <v>37728</v>
      </c>
      <c r="I1900" t="s">
        <v>37729</v>
      </c>
      <c r="J1900" t="s">
        <v>37730</v>
      </c>
      <c r="K1900" t="s">
        <v>37731</v>
      </c>
      <c r="L1900" t="s">
        <v>37732</v>
      </c>
      <c r="M1900" t="s">
        <v>37733</v>
      </c>
      <c r="N1900">
        <f>-598.470193943081 -5.11105407762389 -766.367492700783</f>
        <v>-1369.9487407214879</v>
      </c>
      <c r="O1900">
        <f>-619.030506753048 -145.495657871053 -727.662414826615</f>
        <v>-1492.1885794507161</v>
      </c>
      <c r="P1900">
        <f>-605.672600673697 -144.391841423492 -411.424435277124</f>
        <v>-1161.488877374313</v>
      </c>
      <c r="Q1900">
        <f>-368.795297667847 -45.6998174839074 -453.745706662579</f>
        <v>-868.24082181433346</v>
      </c>
      <c r="R1900" t="s">
        <v>37734</v>
      </c>
      <c r="S1900" t="s">
        <v>37735</v>
      </c>
      <c r="T1900" t="s">
        <v>37736</v>
      </c>
      <c r="U1900" t="s">
        <v>37737</v>
      </c>
      <c r="V1900" t="s">
        <v>37738</v>
      </c>
      <c r="W1900" t="s">
        <v>37739</v>
      </c>
      <c r="X1900" t="s">
        <v>37740</v>
      </c>
      <c r="Y1900" t="s">
        <v>37741</v>
      </c>
    </row>
    <row r="1901" spans="1:25" x14ac:dyDescent="0.3">
      <c r="A1901">
        <v>95000</v>
      </c>
      <c r="B1901" t="s">
        <v>37742</v>
      </c>
      <c r="C1901" t="s">
        <v>37743</v>
      </c>
      <c r="D1901" t="s">
        <v>37744</v>
      </c>
      <c r="E1901" t="s">
        <v>37745</v>
      </c>
      <c r="F1901" t="s">
        <v>37746</v>
      </c>
      <c r="G1901" t="s">
        <v>37747</v>
      </c>
      <c r="H1901" t="s">
        <v>37748</v>
      </c>
      <c r="I1901" t="s">
        <v>37749</v>
      </c>
      <c r="J1901" t="s">
        <v>37750</v>
      </c>
      <c r="K1901" t="s">
        <v>37751</v>
      </c>
      <c r="L1901" t="s">
        <v>37752</v>
      </c>
      <c r="M1901" t="s">
        <v>37753</v>
      </c>
      <c r="N1901">
        <f>-597.803755845533 -2.60861637742536 -767.178358895473</f>
        <v>-1367.5907311184314</v>
      </c>
      <c r="O1901">
        <f>-617.187617583373 -143.382366252837 -729.363211864712</f>
        <v>-1489.9331957009219</v>
      </c>
      <c r="P1901">
        <f>-604.031472535243 -143.87764039316 -413.115066216523</f>
        <v>-1161.0241791449259</v>
      </c>
      <c r="Q1901">
        <f>-367.5900060389 -44.1862536974198 -455.531276217256</f>
        <v>-867.30753595357578</v>
      </c>
      <c r="R1901" t="s">
        <v>37754</v>
      </c>
      <c r="S1901" t="s">
        <v>37755</v>
      </c>
      <c r="T1901" t="s">
        <v>37756</v>
      </c>
      <c r="U1901" t="s">
        <v>37757</v>
      </c>
      <c r="V1901" t="s">
        <v>37758</v>
      </c>
      <c r="W1901" t="s">
        <v>37759</v>
      </c>
      <c r="X1901" t="s">
        <v>37760</v>
      </c>
      <c r="Y1901" t="s">
        <v>37761</v>
      </c>
    </row>
    <row r="1902" spans="1:25" x14ac:dyDescent="0.3">
      <c r="A1902">
        <v>95050</v>
      </c>
      <c r="B1902" t="s">
        <v>37762</v>
      </c>
      <c r="C1902" t="s">
        <v>37763</v>
      </c>
      <c r="D1902" t="s">
        <v>37764</v>
      </c>
      <c r="E1902" t="s">
        <v>37765</v>
      </c>
      <c r="F1902" t="s">
        <v>37766</v>
      </c>
      <c r="G1902" t="s">
        <v>37767</v>
      </c>
      <c r="H1902" t="s">
        <v>37768</v>
      </c>
      <c r="I1902" t="s">
        <v>37769</v>
      </c>
      <c r="J1902" t="s">
        <v>37770</v>
      </c>
      <c r="K1902" t="s">
        <v>37771</v>
      </c>
      <c r="L1902" t="s">
        <v>37772</v>
      </c>
      <c r="M1902" t="s">
        <v>37773</v>
      </c>
      <c r="N1902" t="s">
        <v>37774</v>
      </c>
      <c r="O1902">
        <f>-614.71611459129 -139.251760053682 -732.732006893145</f>
        <v>-1486.6998815381171</v>
      </c>
      <c r="P1902">
        <f>-601.428611450262 -143.004696094197 -416.511190138722</f>
        <v>-1160.944497683181</v>
      </c>
      <c r="Q1902">
        <f>-366.184375745818 -40.5533462347988 -459.007435514701</f>
        <v>-865.74515749531781</v>
      </c>
      <c r="R1902" t="s">
        <v>37775</v>
      </c>
      <c r="S1902" t="s">
        <v>37776</v>
      </c>
      <c r="T1902" t="s">
        <v>37777</v>
      </c>
      <c r="U1902" t="s">
        <v>37778</v>
      </c>
      <c r="V1902" t="s">
        <v>37779</v>
      </c>
      <c r="W1902" t="s">
        <v>37780</v>
      </c>
      <c r="X1902" t="s">
        <v>37781</v>
      </c>
      <c r="Y1902" t="s">
        <v>37782</v>
      </c>
    </row>
    <row r="1903" spans="1:25" x14ac:dyDescent="0.3">
      <c r="A1903">
        <v>95100</v>
      </c>
      <c r="B1903" t="s">
        <v>37783</v>
      </c>
      <c r="C1903" t="s">
        <v>37784</v>
      </c>
      <c r="D1903" t="s">
        <v>37785</v>
      </c>
      <c r="E1903" t="s">
        <v>37786</v>
      </c>
      <c r="F1903" t="s">
        <v>37787</v>
      </c>
      <c r="G1903" t="s">
        <v>37788</v>
      </c>
      <c r="H1903" t="s">
        <v>37789</v>
      </c>
      <c r="I1903" t="s">
        <v>37790</v>
      </c>
      <c r="J1903" t="s">
        <v>37791</v>
      </c>
      <c r="K1903" t="s">
        <v>37792</v>
      </c>
      <c r="L1903" t="s">
        <v>37793</v>
      </c>
      <c r="M1903" t="s">
        <v>37794</v>
      </c>
      <c r="N1903" t="s">
        <v>37795</v>
      </c>
      <c r="O1903">
        <f>-613.534884940818 -137.52462230471 -734.259748707159</f>
        <v>-1485.3192559526869</v>
      </c>
      <c r="P1903">
        <f>-600.433528684565 -142.975604534843 -418.056097023459</f>
        <v>-1161.4652302428669</v>
      </c>
      <c r="Q1903">
        <f>-365.837646538962 -39.004940684894 -460.446184321534</f>
        <v>-865.28877154539009</v>
      </c>
      <c r="R1903" t="s">
        <v>37796</v>
      </c>
      <c r="S1903" t="s">
        <v>37797</v>
      </c>
      <c r="T1903" t="s">
        <v>37798</v>
      </c>
      <c r="U1903" t="s">
        <v>37799</v>
      </c>
      <c r="V1903" t="s">
        <v>37800</v>
      </c>
      <c r="W1903" t="s">
        <v>37801</v>
      </c>
      <c r="X1903" t="s">
        <v>37802</v>
      </c>
      <c r="Y1903" t="s">
        <v>37803</v>
      </c>
    </row>
    <row r="1904" spans="1:25" x14ac:dyDescent="0.3">
      <c r="A1904">
        <v>95150</v>
      </c>
      <c r="B1904" t="s">
        <v>37804</v>
      </c>
      <c r="C1904" t="s">
        <v>37805</v>
      </c>
      <c r="D1904" t="s">
        <v>37806</v>
      </c>
      <c r="E1904" t="s">
        <v>37807</v>
      </c>
      <c r="F1904" t="s">
        <v>37808</v>
      </c>
      <c r="G1904" t="s">
        <v>37809</v>
      </c>
      <c r="H1904" t="s">
        <v>37810</v>
      </c>
      <c r="I1904" t="s">
        <v>37811</v>
      </c>
      <c r="J1904" t="s">
        <v>37812</v>
      </c>
      <c r="K1904" t="s">
        <v>37813</v>
      </c>
      <c r="L1904" t="s">
        <v>37814</v>
      </c>
      <c r="M1904" t="s">
        <v>37815</v>
      </c>
      <c r="N1904" t="s">
        <v>37816</v>
      </c>
      <c r="O1904">
        <f>-610.733813144682 -134.066972316235 -736.952978959319</f>
        <v>-1481.7537644202362</v>
      </c>
      <c r="P1904">
        <f>-598.920972637633 -141.939678104152 -420.749526437061</f>
        <v>-1161.610177178846</v>
      </c>
      <c r="Q1904">
        <f>-365.06027496834 -35.8837122030881 -462.021460105466</f>
        <v>-862.96544727689411</v>
      </c>
      <c r="R1904" t="s">
        <v>37817</v>
      </c>
      <c r="S1904" t="s">
        <v>37818</v>
      </c>
      <c r="T1904" t="s">
        <v>37819</v>
      </c>
      <c r="U1904" t="s">
        <v>37820</v>
      </c>
      <c r="V1904" t="s">
        <v>37821</v>
      </c>
      <c r="W1904" t="s">
        <v>37822</v>
      </c>
      <c r="X1904" t="s">
        <v>37823</v>
      </c>
      <c r="Y1904" t="s">
        <v>37824</v>
      </c>
    </row>
    <row r="1905" spans="1:25" x14ac:dyDescent="0.3">
      <c r="A1905">
        <v>95200</v>
      </c>
      <c r="B1905" t="s">
        <v>37825</v>
      </c>
      <c r="C1905" t="s">
        <v>37826</v>
      </c>
      <c r="D1905" t="s">
        <v>37827</v>
      </c>
      <c r="E1905" t="s">
        <v>37828</v>
      </c>
      <c r="F1905" t="s">
        <v>37829</v>
      </c>
      <c r="G1905" t="s">
        <v>37830</v>
      </c>
      <c r="H1905" t="s">
        <v>37831</v>
      </c>
      <c r="I1905" t="s">
        <v>37832</v>
      </c>
      <c r="J1905" t="s">
        <v>37833</v>
      </c>
      <c r="K1905" t="s">
        <v>37834</v>
      </c>
      <c r="L1905" t="s">
        <v>37835</v>
      </c>
      <c r="M1905" t="s">
        <v>37836</v>
      </c>
      <c r="N1905" t="s">
        <v>37837</v>
      </c>
      <c r="O1905">
        <f>-610.101421595344 -132.905251098105 -737.808610302557</f>
        <v>-1480.8152829960059</v>
      </c>
      <c r="P1905">
        <f>-598.76839985469 -141.571427756339 -421.608241501033</f>
        <v>-1161.9480691120621</v>
      </c>
      <c r="Q1905">
        <f>-365.259402100026 -34.560693785521 -462.404057616933</f>
        <v>-862.22415350248002</v>
      </c>
      <c r="R1905" t="s">
        <v>37838</v>
      </c>
      <c r="S1905" t="s">
        <v>37839</v>
      </c>
      <c r="T1905" t="s">
        <v>37840</v>
      </c>
      <c r="U1905" t="s">
        <v>37841</v>
      </c>
      <c r="V1905" t="s">
        <v>37842</v>
      </c>
      <c r="W1905" t="s">
        <v>37843</v>
      </c>
      <c r="X1905" t="s">
        <v>37844</v>
      </c>
      <c r="Y1905" t="s">
        <v>37845</v>
      </c>
    </row>
    <row r="1906" spans="1:25" x14ac:dyDescent="0.3">
      <c r="A1906">
        <v>95250</v>
      </c>
      <c r="B1906" t="s">
        <v>37846</v>
      </c>
      <c r="C1906" t="s">
        <v>37847</v>
      </c>
      <c r="D1906" t="s">
        <v>37848</v>
      </c>
      <c r="E1906" t="s">
        <v>37849</v>
      </c>
      <c r="F1906" t="s">
        <v>37850</v>
      </c>
      <c r="G1906" t="s">
        <v>37851</v>
      </c>
      <c r="H1906" t="s">
        <v>37852</v>
      </c>
      <c r="I1906" t="s">
        <v>37853</v>
      </c>
      <c r="J1906" t="s">
        <v>37854</v>
      </c>
      <c r="K1906" t="s">
        <v>37855</v>
      </c>
      <c r="L1906" t="s">
        <v>37856</v>
      </c>
      <c r="M1906" t="s">
        <v>37857</v>
      </c>
      <c r="N1906" t="s">
        <v>37858</v>
      </c>
      <c r="O1906">
        <f>-609.706857785444 -132.075587820666 -738.4760383788</f>
        <v>-1480.2584839849101</v>
      </c>
      <c r="P1906">
        <f>-598.449498544802 -141.067466004247 -422.282057830342</f>
        <v>-1161.7990223793911</v>
      </c>
      <c r="Q1906">
        <f>-365.134777731335 -33.3941868597011 -462.441410011575</f>
        <v>-860.97037460261117</v>
      </c>
      <c r="R1906" t="s">
        <v>37859</v>
      </c>
      <c r="S1906" t="s">
        <v>37860</v>
      </c>
      <c r="T1906" t="s">
        <v>37861</v>
      </c>
      <c r="U1906" t="s">
        <v>37862</v>
      </c>
      <c r="V1906" t="s">
        <v>37863</v>
      </c>
      <c r="W1906" t="s">
        <v>37864</v>
      </c>
      <c r="X1906" t="s">
        <v>37865</v>
      </c>
      <c r="Y1906" t="s">
        <v>37866</v>
      </c>
    </row>
    <row r="1907" spans="1:25" x14ac:dyDescent="0.3">
      <c r="A1907">
        <v>95300</v>
      </c>
      <c r="B1907" t="s">
        <v>37867</v>
      </c>
      <c r="C1907" t="s">
        <v>37868</v>
      </c>
      <c r="D1907" t="s">
        <v>37869</v>
      </c>
      <c r="E1907" t="s">
        <v>37870</v>
      </c>
      <c r="F1907" t="s">
        <v>37871</v>
      </c>
      <c r="G1907" t="s">
        <v>37872</v>
      </c>
      <c r="H1907" t="s">
        <v>37873</v>
      </c>
      <c r="I1907" t="s">
        <v>37874</v>
      </c>
      <c r="J1907" t="s">
        <v>37875</v>
      </c>
      <c r="K1907" t="s">
        <v>37876</v>
      </c>
      <c r="L1907" t="s">
        <v>37877</v>
      </c>
      <c r="M1907" t="s">
        <v>37878</v>
      </c>
      <c r="N1907" t="s">
        <v>37879</v>
      </c>
      <c r="O1907">
        <f>-610.275545354206 -131.976012403364 -738.230852201042</f>
        <v>-1480.4824099586122</v>
      </c>
      <c r="P1907">
        <f>-598.683495046366 -140.710096789873 -422.041786519268</f>
        <v>-1161.4353783555071</v>
      </c>
      <c r="Q1907">
        <f>-365.231805013385 -33.3393808258963 -462.214788603928</f>
        <v>-860.78597444320928</v>
      </c>
      <c r="R1907" t="s">
        <v>37880</v>
      </c>
      <c r="S1907" t="s">
        <v>37881</v>
      </c>
      <c r="T1907" t="s">
        <v>37882</v>
      </c>
      <c r="U1907" t="s">
        <v>37883</v>
      </c>
      <c r="V1907" t="s">
        <v>37884</v>
      </c>
      <c r="W1907" t="s">
        <v>37885</v>
      </c>
      <c r="X1907" t="s">
        <v>37886</v>
      </c>
      <c r="Y1907" t="s">
        <v>37887</v>
      </c>
    </row>
    <row r="1908" spans="1:25" x14ac:dyDescent="0.3">
      <c r="A1908">
        <v>95350</v>
      </c>
      <c r="B1908" t="s">
        <v>37888</v>
      </c>
      <c r="C1908" t="s">
        <v>37889</v>
      </c>
      <c r="D1908" t="s">
        <v>37890</v>
      </c>
      <c r="E1908" t="s">
        <v>37891</v>
      </c>
      <c r="F1908" t="s">
        <v>37892</v>
      </c>
      <c r="G1908" t="s">
        <v>37893</v>
      </c>
      <c r="H1908" t="s">
        <v>37894</v>
      </c>
      <c r="I1908" t="s">
        <v>37895</v>
      </c>
      <c r="J1908" t="s">
        <v>37896</v>
      </c>
      <c r="K1908" t="s">
        <v>37897</v>
      </c>
      <c r="L1908" t="s">
        <v>37898</v>
      </c>
      <c r="M1908" t="s">
        <v>37899</v>
      </c>
      <c r="N1908" t="s">
        <v>37900</v>
      </c>
      <c r="O1908">
        <f>-611.208555714333 -132.358911685782 -736.998858602419</f>
        <v>-1480.566326002534</v>
      </c>
      <c r="P1908">
        <f>-599.283096131062 -139.798623450004 -420.789140812114</f>
        <v>-1159.87086039318</v>
      </c>
      <c r="Q1908">
        <f>-365.075512158922 -34.4119370592867 -461.807729575278</f>
        <v>-861.29517879348668</v>
      </c>
      <c r="R1908" t="s">
        <v>37901</v>
      </c>
      <c r="S1908" t="s">
        <v>37902</v>
      </c>
      <c r="T1908" t="s">
        <v>37903</v>
      </c>
      <c r="U1908" t="s">
        <v>37904</v>
      </c>
      <c r="V1908" t="s">
        <v>37905</v>
      </c>
      <c r="W1908" t="s">
        <v>37906</v>
      </c>
      <c r="X1908" t="s">
        <v>37907</v>
      </c>
      <c r="Y1908" t="s">
        <v>37908</v>
      </c>
    </row>
    <row r="1909" spans="1:25" x14ac:dyDescent="0.3">
      <c r="A1909">
        <v>95400</v>
      </c>
      <c r="B1909" t="s">
        <v>37909</v>
      </c>
      <c r="C1909" t="s">
        <v>37910</v>
      </c>
      <c r="D1909" t="s">
        <v>37911</v>
      </c>
      <c r="E1909" t="s">
        <v>37912</v>
      </c>
      <c r="F1909" t="s">
        <v>37913</v>
      </c>
      <c r="G1909" t="s">
        <v>37914</v>
      </c>
      <c r="H1909" t="s">
        <v>37915</v>
      </c>
      <c r="I1909" t="s">
        <v>37916</v>
      </c>
      <c r="J1909" t="s">
        <v>37917</v>
      </c>
      <c r="K1909" t="s">
        <v>37918</v>
      </c>
      <c r="L1909" t="s">
        <v>37919</v>
      </c>
      <c r="M1909" t="s">
        <v>37920</v>
      </c>
      <c r="N1909" t="s">
        <v>37921</v>
      </c>
      <c r="O1909">
        <f>-612.031742563735 -132.710998185346 -736.003476738279</f>
        <v>-1480.7462174873599</v>
      </c>
      <c r="P1909">
        <f>-599.957022097481 -139.350486622271 -419.781488818762</f>
        <v>-1159.0889975385139</v>
      </c>
      <c r="Q1909">
        <f>-365.209668267081 -35.4789780328934 -461.572217381856</f>
        <v>-862.26086368183041</v>
      </c>
      <c r="R1909" t="s">
        <v>37922</v>
      </c>
      <c r="S1909" t="s">
        <v>37923</v>
      </c>
      <c r="T1909" t="s">
        <v>37924</v>
      </c>
      <c r="U1909" t="s">
        <v>37925</v>
      </c>
      <c r="V1909" t="s">
        <v>37926</v>
      </c>
      <c r="W1909" t="s">
        <v>37927</v>
      </c>
      <c r="X1909" t="s">
        <v>37928</v>
      </c>
      <c r="Y1909" t="s">
        <v>37929</v>
      </c>
    </row>
    <row r="1910" spans="1:25" x14ac:dyDescent="0.3">
      <c r="A1910">
        <v>95450</v>
      </c>
      <c r="B1910" t="s">
        <v>37930</v>
      </c>
      <c r="C1910" t="s">
        <v>37931</v>
      </c>
      <c r="D1910" t="s">
        <v>37932</v>
      </c>
      <c r="E1910" t="s">
        <v>37933</v>
      </c>
      <c r="F1910" t="s">
        <v>37934</v>
      </c>
      <c r="G1910" t="s">
        <v>37935</v>
      </c>
      <c r="H1910" t="s">
        <v>37936</v>
      </c>
      <c r="I1910" t="s">
        <v>37937</v>
      </c>
      <c r="J1910" t="s">
        <v>37938</v>
      </c>
      <c r="K1910" t="s">
        <v>37939</v>
      </c>
      <c r="L1910" t="s">
        <v>37940</v>
      </c>
      <c r="M1910" t="s">
        <v>37941</v>
      </c>
      <c r="N1910" t="s">
        <v>37942</v>
      </c>
      <c r="O1910">
        <f>-614.066195500665 -132.783632778098 -733.961543182326</f>
        <v>-1480.811371461089</v>
      </c>
      <c r="P1910">
        <f>-601.76624987445 -136.848827584259 -417.704704853361</f>
        <v>-1156.3197823120699</v>
      </c>
      <c r="Q1910">
        <f>-365.127335588802 -37.5401011877878 -459.916995856046</f>
        <v>-862.58443263263575</v>
      </c>
      <c r="R1910" t="s">
        <v>37943</v>
      </c>
      <c r="S1910" t="s">
        <v>37944</v>
      </c>
      <c r="T1910" t="s">
        <v>37945</v>
      </c>
      <c r="U1910" t="s">
        <v>37946</v>
      </c>
      <c r="V1910" t="s">
        <v>37947</v>
      </c>
      <c r="W1910" t="s">
        <v>37948</v>
      </c>
      <c r="X1910" t="s">
        <v>37949</v>
      </c>
      <c r="Y1910" t="s">
        <v>37950</v>
      </c>
    </row>
    <row r="1911" spans="1:25" x14ac:dyDescent="0.3">
      <c r="A1911">
        <v>95500</v>
      </c>
      <c r="B1911" t="s">
        <v>37951</v>
      </c>
      <c r="C1911" t="s">
        <v>37952</v>
      </c>
      <c r="D1911" t="s">
        <v>37953</v>
      </c>
      <c r="E1911" t="s">
        <v>37954</v>
      </c>
      <c r="F1911" t="s">
        <v>37955</v>
      </c>
      <c r="G1911" t="s">
        <v>37956</v>
      </c>
      <c r="H1911" t="s">
        <v>37957</v>
      </c>
      <c r="I1911" t="s">
        <v>37958</v>
      </c>
      <c r="J1911" t="s">
        <v>37959</v>
      </c>
      <c r="K1911" t="s">
        <v>37960</v>
      </c>
      <c r="L1911" t="s">
        <v>37961</v>
      </c>
      <c r="M1911" t="s">
        <v>37962</v>
      </c>
      <c r="N1911" t="s">
        <v>37963</v>
      </c>
      <c r="O1911">
        <f>-614.198875816388 -132.845381939617 -733.021446791079</f>
        <v>-1480.0657045470839</v>
      </c>
      <c r="P1911">
        <f>-601.973539928271 -135.076473787593 -416.743608253135</f>
        <v>-1153.7936219689991</v>
      </c>
      <c r="Q1911">
        <f>-364.042983899793 -38.7645323072468 -458.637571855018</f>
        <v>-861.44508806205772</v>
      </c>
      <c r="R1911" t="s">
        <v>37964</v>
      </c>
      <c r="S1911" t="s">
        <v>37965</v>
      </c>
      <c r="T1911" t="s">
        <v>37966</v>
      </c>
      <c r="U1911" t="s">
        <v>37967</v>
      </c>
      <c r="V1911" t="s">
        <v>37968</v>
      </c>
      <c r="W1911" t="s">
        <v>37969</v>
      </c>
      <c r="X1911" t="s">
        <v>37970</v>
      </c>
      <c r="Y1911" t="s">
        <v>37971</v>
      </c>
    </row>
    <row r="1912" spans="1:25" x14ac:dyDescent="0.3">
      <c r="A1912">
        <v>95550</v>
      </c>
      <c r="B1912" t="s">
        <v>37972</v>
      </c>
      <c r="C1912" t="s">
        <v>37973</v>
      </c>
      <c r="D1912" t="s">
        <v>37974</v>
      </c>
      <c r="E1912" t="s">
        <v>37975</v>
      </c>
      <c r="F1912" t="s">
        <v>37976</v>
      </c>
      <c r="G1912" t="s">
        <v>37977</v>
      </c>
      <c r="H1912" t="s">
        <v>37978</v>
      </c>
      <c r="I1912" t="s">
        <v>37979</v>
      </c>
      <c r="J1912" t="s">
        <v>37980</v>
      </c>
      <c r="K1912" t="s">
        <v>37981</v>
      </c>
      <c r="L1912" t="s">
        <v>37982</v>
      </c>
      <c r="M1912" t="s">
        <v>37983</v>
      </c>
      <c r="N1912" t="s">
        <v>37984</v>
      </c>
      <c r="O1912">
        <f>-615.257866362825 -133.549886257197 -730.91826649679</f>
        <v>-1479.726019116812</v>
      </c>
      <c r="P1912">
        <f>-603.165306037411 -132.570628119205 -414.628755546905</f>
        <v>-1150.364689703521</v>
      </c>
      <c r="Q1912">
        <f>-363.398140029417 -41.0013740494289 -456.686276411908</f>
        <v>-861.08579049075388</v>
      </c>
      <c r="R1912" t="s">
        <v>37985</v>
      </c>
      <c r="S1912" t="s">
        <v>37986</v>
      </c>
      <c r="T1912" t="s">
        <v>37987</v>
      </c>
      <c r="U1912" t="s">
        <v>37988</v>
      </c>
      <c r="V1912" t="s">
        <v>37989</v>
      </c>
      <c r="W1912" t="s">
        <v>37990</v>
      </c>
      <c r="X1912" t="s">
        <v>37991</v>
      </c>
      <c r="Y1912" t="s">
        <v>37992</v>
      </c>
    </row>
    <row r="1913" spans="1:25" x14ac:dyDescent="0.3">
      <c r="A1913">
        <v>95600</v>
      </c>
      <c r="B1913" t="s">
        <v>37993</v>
      </c>
      <c r="C1913" t="s">
        <v>37994</v>
      </c>
      <c r="D1913" t="s">
        <v>37995</v>
      </c>
      <c r="E1913" t="s">
        <v>37996</v>
      </c>
      <c r="F1913" t="s">
        <v>37997</v>
      </c>
      <c r="G1913" t="s">
        <v>37998</v>
      </c>
      <c r="H1913" t="s">
        <v>37999</v>
      </c>
      <c r="I1913" t="s">
        <v>38000</v>
      </c>
      <c r="J1913" t="s">
        <v>38001</v>
      </c>
      <c r="K1913" t="s">
        <v>38002</v>
      </c>
      <c r="L1913" t="s">
        <v>38003</v>
      </c>
      <c r="M1913" t="s">
        <v>38004</v>
      </c>
      <c r="N1913" t="s">
        <v>38005</v>
      </c>
      <c r="O1913">
        <f>-615.676444933313 -133.958419092401 -730.076519545386</f>
        <v>-1479.7113835710998</v>
      </c>
      <c r="P1913">
        <f>-603.102925912203 -131.775422027431 -413.811940885426</f>
        <v>-1148.69028882506</v>
      </c>
      <c r="Q1913">
        <f>-362.534815552183 -42.3791166670896 -455.970493215537</f>
        <v>-860.8844254348096</v>
      </c>
      <c r="R1913" t="s">
        <v>38006</v>
      </c>
      <c r="S1913" t="s">
        <v>38007</v>
      </c>
      <c r="T1913" t="s">
        <v>38008</v>
      </c>
      <c r="U1913" t="s">
        <v>38009</v>
      </c>
      <c r="V1913" t="s">
        <v>38010</v>
      </c>
      <c r="W1913" t="s">
        <v>38011</v>
      </c>
      <c r="X1913" t="s">
        <v>38012</v>
      </c>
      <c r="Y1913" t="s">
        <v>38013</v>
      </c>
    </row>
    <row r="1914" spans="1:25" x14ac:dyDescent="0.3">
      <c r="A1914">
        <v>95650</v>
      </c>
      <c r="B1914" t="s">
        <v>38014</v>
      </c>
      <c r="C1914" t="s">
        <v>38015</v>
      </c>
      <c r="D1914" t="s">
        <v>38016</v>
      </c>
      <c r="E1914" t="s">
        <v>38017</v>
      </c>
      <c r="F1914" t="s">
        <v>38018</v>
      </c>
      <c r="G1914" t="s">
        <v>38019</v>
      </c>
      <c r="H1914" t="s">
        <v>38020</v>
      </c>
      <c r="I1914" t="s">
        <v>38021</v>
      </c>
      <c r="J1914" t="s">
        <v>38022</v>
      </c>
      <c r="K1914" t="s">
        <v>38023</v>
      </c>
      <c r="L1914" t="s">
        <v>38024</v>
      </c>
      <c r="M1914" t="s">
        <v>38025</v>
      </c>
      <c r="N1914" t="s">
        <v>38026</v>
      </c>
      <c r="O1914">
        <f>-616.377345488006 -135.333703519148 -728.177184550855</f>
        <v>-1479.888233558009</v>
      </c>
      <c r="P1914">
        <f>-602.868226276734 -131.401341910433 -411.967966218013</f>
        <v>-1146.23753440518</v>
      </c>
      <c r="Q1914">
        <f>-361.514190838033 -44.7773450422636 -455.40256017729</f>
        <v>-861.69409605758665</v>
      </c>
      <c r="R1914" t="s">
        <v>38027</v>
      </c>
      <c r="S1914" t="s">
        <v>38028</v>
      </c>
      <c r="T1914" t="s">
        <v>38029</v>
      </c>
      <c r="U1914" t="s">
        <v>38030</v>
      </c>
      <c r="V1914" t="s">
        <v>38031</v>
      </c>
      <c r="W1914" t="s">
        <v>38032</v>
      </c>
      <c r="X1914" t="s">
        <v>38033</v>
      </c>
      <c r="Y1914" t="s">
        <v>38034</v>
      </c>
    </row>
    <row r="1915" spans="1:25" x14ac:dyDescent="0.3">
      <c r="A1915">
        <v>95700</v>
      </c>
      <c r="B1915" t="s">
        <v>38035</v>
      </c>
      <c r="C1915" t="s">
        <v>38036</v>
      </c>
      <c r="D1915" t="s">
        <v>38037</v>
      </c>
      <c r="E1915" t="s">
        <v>38038</v>
      </c>
      <c r="F1915" t="s">
        <v>38039</v>
      </c>
      <c r="G1915" t="s">
        <v>38040</v>
      </c>
      <c r="H1915" t="s">
        <v>38041</v>
      </c>
      <c r="I1915" t="s">
        <v>38042</v>
      </c>
      <c r="J1915" t="s">
        <v>38043</v>
      </c>
      <c r="K1915" t="s">
        <v>38044</v>
      </c>
      <c r="L1915" t="s">
        <v>38045</v>
      </c>
      <c r="M1915" t="s">
        <v>38046</v>
      </c>
      <c r="N1915" t="s">
        <v>38047</v>
      </c>
      <c r="O1915">
        <f>-616.930946023484 -136.121424845904 -727.206001574563</f>
        <v>-1480.258372443951</v>
      </c>
      <c r="P1915">
        <f>-602.617430132579 -131.289462688776 -411.044775009607</f>
        <v>-1144.9516678309619</v>
      </c>
      <c r="Q1915">
        <f>-360.956028922005 -45.9105965699533 -455.2292096413</f>
        <v>-862.09583513325833</v>
      </c>
      <c r="R1915" t="s">
        <v>38048</v>
      </c>
      <c r="S1915" t="s">
        <v>38049</v>
      </c>
      <c r="T1915" t="s">
        <v>38050</v>
      </c>
      <c r="U1915" t="s">
        <v>38051</v>
      </c>
      <c r="V1915" t="s">
        <v>38052</v>
      </c>
      <c r="W1915" t="s">
        <v>38053</v>
      </c>
      <c r="X1915" t="s">
        <v>38054</v>
      </c>
      <c r="Y1915" t="s">
        <v>38055</v>
      </c>
    </row>
    <row r="1916" spans="1:25" x14ac:dyDescent="0.3">
      <c r="A1916">
        <v>95750</v>
      </c>
      <c r="B1916" t="s">
        <v>38056</v>
      </c>
      <c r="C1916" t="s">
        <v>38057</v>
      </c>
      <c r="D1916" t="s">
        <v>38058</v>
      </c>
      <c r="E1916" t="s">
        <v>38059</v>
      </c>
      <c r="F1916" t="s">
        <v>38060</v>
      </c>
      <c r="G1916" t="s">
        <v>38061</v>
      </c>
      <c r="H1916" t="s">
        <v>38062</v>
      </c>
      <c r="I1916" t="s">
        <v>38063</v>
      </c>
      <c r="J1916" t="s">
        <v>38064</v>
      </c>
      <c r="K1916" t="s">
        <v>38065</v>
      </c>
      <c r="L1916" t="s">
        <v>38066</v>
      </c>
      <c r="M1916" t="s">
        <v>38067</v>
      </c>
      <c r="N1916" t="s">
        <v>38068</v>
      </c>
      <c r="O1916">
        <f>-616.638001748054 -138.136851964616 -725.524433250697</f>
        <v>-1480.299286963367</v>
      </c>
      <c r="P1916">
        <f>-600.567156122704 -132.153004762637 -409.467271755067</f>
        <v>-1142.1874326404079</v>
      </c>
      <c r="Q1916">
        <f>-358.927882815184 -47.7154131381789 -455.541311545037</f>
        <v>-862.18460749839983</v>
      </c>
      <c r="R1916" t="s">
        <v>38069</v>
      </c>
      <c r="S1916" t="s">
        <v>38070</v>
      </c>
      <c r="T1916" t="s">
        <v>38071</v>
      </c>
      <c r="U1916" t="s">
        <v>38072</v>
      </c>
      <c r="V1916" t="s">
        <v>38073</v>
      </c>
      <c r="W1916" t="s">
        <v>38074</v>
      </c>
      <c r="X1916" t="s">
        <v>38075</v>
      </c>
      <c r="Y1916" t="s">
        <v>38076</v>
      </c>
    </row>
    <row r="1917" spans="1:25" x14ac:dyDescent="0.3">
      <c r="A1917">
        <v>95800</v>
      </c>
      <c r="B1917" t="s">
        <v>38077</v>
      </c>
      <c r="C1917" t="s">
        <v>38078</v>
      </c>
      <c r="D1917" t="s">
        <v>38079</v>
      </c>
      <c r="E1917" t="s">
        <v>38080</v>
      </c>
      <c r="F1917" t="s">
        <v>38081</v>
      </c>
      <c r="G1917" t="s">
        <v>38082</v>
      </c>
      <c r="H1917" t="s">
        <v>38083</v>
      </c>
      <c r="I1917">
        <f>-545.243259678603 -0.0575871191854489 -932.900903765172</f>
        <v>-1478.2017505629603</v>
      </c>
      <c r="J1917" t="s">
        <v>38084</v>
      </c>
      <c r="K1917" t="s">
        <v>38085</v>
      </c>
      <c r="L1917" t="s">
        <v>38086</v>
      </c>
      <c r="M1917" t="s">
        <v>38087</v>
      </c>
      <c r="N1917">
        <f>-590.404413363393 -0.522881219594105 -766.238647488019</f>
        <v>-1357.1659420710062</v>
      </c>
      <c r="O1917">
        <f>-616.388233479408 -139.200010678434 -724.740031226464</f>
        <v>-1480.3282753843059</v>
      </c>
      <c r="P1917">
        <f>-599.585573762539 -132.100534894583 -408.744106583738</f>
        <v>-1140.43021524086</v>
      </c>
      <c r="Q1917">
        <f>-357.939719651221 -48.0703841528423 -455.522945209984</f>
        <v>-861.53304901404726</v>
      </c>
      <c r="R1917" t="s">
        <v>38088</v>
      </c>
      <c r="S1917" t="s">
        <v>38089</v>
      </c>
      <c r="T1917" t="s">
        <v>38090</v>
      </c>
      <c r="U1917" t="s">
        <v>38091</v>
      </c>
      <c r="V1917" t="s">
        <v>38092</v>
      </c>
      <c r="W1917" t="s">
        <v>38093</v>
      </c>
      <c r="X1917" t="s">
        <v>38094</v>
      </c>
      <c r="Y1917" t="s">
        <v>38095</v>
      </c>
    </row>
    <row r="1918" spans="1:25" x14ac:dyDescent="0.3">
      <c r="A1918">
        <v>95850</v>
      </c>
      <c r="B1918" t="s">
        <v>38096</v>
      </c>
      <c r="C1918" t="s">
        <v>38097</v>
      </c>
      <c r="D1918" t="s">
        <v>38098</v>
      </c>
      <c r="E1918" t="s">
        <v>38099</v>
      </c>
      <c r="F1918" t="s">
        <v>38100</v>
      </c>
      <c r="G1918" t="s">
        <v>38101</v>
      </c>
      <c r="H1918" t="s">
        <v>38102</v>
      </c>
      <c r="I1918">
        <f>-544.447178798003 -2.76302538040157 -932.566996683215</f>
        <v>-1479.7772008616198</v>
      </c>
      <c r="J1918" t="s">
        <v>38103</v>
      </c>
      <c r="K1918" t="s">
        <v>38104</v>
      </c>
      <c r="L1918" t="s">
        <v>38105</v>
      </c>
      <c r="M1918" t="s">
        <v>38106</v>
      </c>
      <c r="N1918">
        <f>-589.558230334356 -2.64537183327543 -765.873560210048</f>
        <v>-1358.0771623776795</v>
      </c>
      <c r="O1918">
        <f>-615.150047045535 -141.196661542269 -723.677931214399</f>
        <v>-1480.024639802203</v>
      </c>
      <c r="P1918">
        <f>-597.62225051565 -132.324605388454 -407.766134253559</f>
        <v>-1137.7129901576629</v>
      </c>
      <c r="Q1918">
        <f>-356.093829737988 -48.3164163790099 -455.186427302208</f>
        <v>-859.5966734192059</v>
      </c>
      <c r="R1918" t="s">
        <v>38107</v>
      </c>
      <c r="S1918" t="s">
        <v>38108</v>
      </c>
      <c r="T1918" t="s">
        <v>38109</v>
      </c>
      <c r="U1918" t="s">
        <v>38110</v>
      </c>
      <c r="V1918" t="s">
        <v>38111</v>
      </c>
      <c r="W1918" t="s">
        <v>38112</v>
      </c>
      <c r="X1918" t="s">
        <v>38113</v>
      </c>
      <c r="Y1918" t="s">
        <v>38114</v>
      </c>
    </row>
    <row r="1919" spans="1:25" x14ac:dyDescent="0.3">
      <c r="A1919">
        <v>95900</v>
      </c>
      <c r="B1919" t="s">
        <v>38115</v>
      </c>
      <c r="C1919" t="s">
        <v>38116</v>
      </c>
      <c r="D1919" t="s">
        <v>38117</v>
      </c>
      <c r="E1919" t="s">
        <v>38118</v>
      </c>
      <c r="F1919" t="s">
        <v>38119</v>
      </c>
      <c r="G1919" t="s">
        <v>38120</v>
      </c>
      <c r="H1919" t="s">
        <v>38121</v>
      </c>
      <c r="I1919">
        <f>-543.791610687795 -3.66513056830427 -932.532448943933</f>
        <v>-1479.9891902000322</v>
      </c>
      <c r="J1919" t="s">
        <v>38122</v>
      </c>
      <c r="K1919" t="s">
        <v>38123</v>
      </c>
      <c r="L1919" t="s">
        <v>38124</v>
      </c>
      <c r="M1919" t="s">
        <v>38125</v>
      </c>
      <c r="N1919">
        <f>-588.857691135465 -3.48152505724781 -765.818490760163</f>
        <v>-1358.1577069528757</v>
      </c>
      <c r="O1919">
        <f>-614.040826311822 -142.013466391184 -723.339125875461</f>
        <v>-1479.3934185784669</v>
      </c>
      <c r="P1919">
        <f>-596.568932350002 -132.267879517801 -407.450121424722</f>
        <v>-1136.286933292525</v>
      </c>
      <c r="Q1919">
        <f>-355.193068938082 -47.8633095470841 -454.943303904779</f>
        <v>-857.99968238994506</v>
      </c>
      <c r="R1919" t="s">
        <v>38126</v>
      </c>
      <c r="S1919" t="s">
        <v>38127</v>
      </c>
      <c r="T1919" t="s">
        <v>38128</v>
      </c>
      <c r="U1919" t="s">
        <v>38129</v>
      </c>
      <c r="V1919" t="s">
        <v>38130</v>
      </c>
      <c r="W1919" t="s">
        <v>38131</v>
      </c>
      <c r="X1919" t="s">
        <v>38132</v>
      </c>
      <c r="Y1919" t="s">
        <v>38133</v>
      </c>
    </row>
    <row r="1920" spans="1:25" x14ac:dyDescent="0.3">
      <c r="A1920">
        <v>95950</v>
      </c>
      <c r="B1920" t="s">
        <v>38134</v>
      </c>
      <c r="C1920" t="s">
        <v>38135</v>
      </c>
      <c r="D1920" t="s">
        <v>38136</v>
      </c>
      <c r="E1920" t="s">
        <v>38137</v>
      </c>
      <c r="F1920" t="s">
        <v>38138</v>
      </c>
      <c r="G1920" t="s">
        <v>38139</v>
      </c>
      <c r="H1920" t="s">
        <v>38140</v>
      </c>
      <c r="I1920">
        <f>-542.587473995684 -4.40390724698556 -932.690644208321</f>
        <v>-1479.6820254509907</v>
      </c>
      <c r="J1920" t="s">
        <v>38141</v>
      </c>
      <c r="K1920" t="s">
        <v>38142</v>
      </c>
      <c r="L1920" t="s">
        <v>38143</v>
      </c>
      <c r="M1920" t="s">
        <v>38144</v>
      </c>
      <c r="N1920">
        <f>-587.440723401141 -4.55054979145005 -765.905562256361</f>
        <v>-1357.8968354489521</v>
      </c>
      <c r="O1920">
        <f>-611.454372065549 -143.137717458395 -723.00936730362</f>
        <v>-1477.6014568275641</v>
      </c>
      <c r="P1920">
        <f>-593.919107641109 -132.997234887235 -407.136127246137</f>
        <v>-1134.0524697744809</v>
      </c>
      <c r="Q1920">
        <f>-353.263683386025 -46.7188405252289 -454.917456721739</f>
        <v>-854.89998063299288</v>
      </c>
      <c r="R1920" t="s">
        <v>38145</v>
      </c>
      <c r="S1920" t="s">
        <v>38146</v>
      </c>
      <c r="T1920" t="s">
        <v>38147</v>
      </c>
      <c r="U1920" t="s">
        <v>38148</v>
      </c>
      <c r="V1920" t="s">
        <v>38149</v>
      </c>
      <c r="W1920" t="s">
        <v>38150</v>
      </c>
      <c r="X1920" t="s">
        <v>38151</v>
      </c>
      <c r="Y1920" t="s">
        <v>38152</v>
      </c>
    </row>
    <row r="1921" spans="1:25" x14ac:dyDescent="0.3">
      <c r="A1921">
        <v>96000</v>
      </c>
      <c r="B1921" t="s">
        <v>38153</v>
      </c>
      <c r="C1921" t="s">
        <v>38154</v>
      </c>
      <c r="D1921" t="s">
        <v>38155</v>
      </c>
      <c r="E1921" t="s">
        <v>38156</v>
      </c>
      <c r="F1921" t="s">
        <v>38157</v>
      </c>
      <c r="G1921" t="s">
        <v>38158</v>
      </c>
      <c r="H1921" t="s">
        <v>38159</v>
      </c>
      <c r="I1921">
        <f>-542.456269142888 -4.49149892960012 -932.760656705747</f>
        <v>-1479.708424778235</v>
      </c>
      <c r="J1921" t="s">
        <v>38160</v>
      </c>
      <c r="K1921" t="s">
        <v>38161</v>
      </c>
      <c r="L1921" t="s">
        <v>38162</v>
      </c>
      <c r="M1921" t="s">
        <v>38163</v>
      </c>
      <c r="N1921">
        <f>-587.171247926277 -4.84209471965179 -765.943049316239</f>
        <v>-1357.9563919621678</v>
      </c>
      <c r="O1921">
        <f>-610.728794561624 -143.487491659307 -722.9376006798</f>
        <v>-1477.1538869007309</v>
      </c>
      <c r="P1921">
        <f>-592.825009618432 -132.992858643389 -407.096512997056</f>
        <v>-1132.914381258877</v>
      </c>
      <c r="Q1921">
        <f>-352.572128122932 -45.7088940350818 -455.076972528429</f>
        <v>-853.35799468644279</v>
      </c>
      <c r="R1921" t="s">
        <v>38164</v>
      </c>
      <c r="S1921" t="s">
        <v>38165</v>
      </c>
      <c r="T1921" t="s">
        <v>38166</v>
      </c>
      <c r="U1921" t="s">
        <v>38167</v>
      </c>
      <c r="V1921" t="s">
        <v>38168</v>
      </c>
      <c r="W1921" t="s">
        <v>38169</v>
      </c>
      <c r="X1921" t="s">
        <v>38170</v>
      </c>
      <c r="Y1921" t="s">
        <v>38171</v>
      </c>
    </row>
    <row r="1922" spans="1:25" x14ac:dyDescent="0.3">
      <c r="A1922">
        <v>96050</v>
      </c>
      <c r="B1922" t="s">
        <v>38172</v>
      </c>
      <c r="C1922" t="s">
        <v>38173</v>
      </c>
      <c r="D1922" t="s">
        <v>38174</v>
      </c>
      <c r="E1922" t="s">
        <v>38175</v>
      </c>
      <c r="F1922" t="s">
        <v>38176</v>
      </c>
      <c r="G1922" t="s">
        <v>38177</v>
      </c>
      <c r="H1922" t="s">
        <v>38178</v>
      </c>
      <c r="I1922">
        <f>-540.926069985141 -4.44368265571537 -932.912426978894</f>
        <v>-1478.2821796197504</v>
      </c>
      <c r="J1922" t="s">
        <v>38179</v>
      </c>
      <c r="K1922" t="s">
        <v>38180</v>
      </c>
      <c r="L1922" t="s">
        <v>38181</v>
      </c>
      <c r="M1922" t="s">
        <v>38182</v>
      </c>
      <c r="N1922">
        <f>-585.672400015494 -5.30098463759588 -766.108845043908</f>
        <v>-1357.0822296969977</v>
      </c>
      <c r="O1922">
        <f>-608.967397009298 -143.927298000507 -722.957866343011</f>
        <v>-1475.8525613528159</v>
      </c>
      <c r="P1922">
        <f>-589.880665916716 -133.82981578301 -407.173221178709</f>
        <v>-1130.8837028784351</v>
      </c>
      <c r="Q1922">
        <f>-350.367862061947 -44.7446492423358 -455.541512062767</f>
        <v>-850.65402336704983</v>
      </c>
      <c r="R1922" t="s">
        <v>38183</v>
      </c>
      <c r="S1922" t="s">
        <v>38184</v>
      </c>
      <c r="T1922" t="s">
        <v>38185</v>
      </c>
      <c r="U1922" t="s">
        <v>38186</v>
      </c>
      <c r="V1922" t="s">
        <v>38187</v>
      </c>
      <c r="W1922" t="s">
        <v>38188</v>
      </c>
      <c r="X1922" t="s">
        <v>38189</v>
      </c>
      <c r="Y1922" t="s">
        <v>38190</v>
      </c>
    </row>
    <row r="1923" spans="1:25" x14ac:dyDescent="0.3">
      <c r="A1923">
        <v>96100</v>
      </c>
      <c r="B1923" t="s">
        <v>38191</v>
      </c>
      <c r="C1923" t="s">
        <v>38192</v>
      </c>
      <c r="D1923" t="s">
        <v>38193</v>
      </c>
      <c r="E1923" t="s">
        <v>38194</v>
      </c>
      <c r="F1923" t="s">
        <v>38195</v>
      </c>
      <c r="G1923" t="s">
        <v>38196</v>
      </c>
      <c r="H1923" t="s">
        <v>38197</v>
      </c>
      <c r="I1923">
        <f>-539.8680898693 -4.69798406101262 -932.935489954947</f>
        <v>-1477.5015638852597</v>
      </c>
      <c r="J1923" t="s">
        <v>38198</v>
      </c>
      <c r="K1923" t="s">
        <v>38199</v>
      </c>
      <c r="L1923" t="s">
        <v>38200</v>
      </c>
      <c r="M1923" t="s">
        <v>38201</v>
      </c>
      <c r="N1923">
        <f>-584.667570663468 -5.70497212785297 -766.141791459018</f>
        <v>-1356.5143342503391</v>
      </c>
      <c r="O1923">
        <f>-607.969704578432 -144.329654381509 -722.963967702735</f>
        <v>-1475.2633266626758</v>
      </c>
      <c r="P1923">
        <f>-588.908084126126 -134.106808315965 -407.181872061995</f>
        <v>-1130.1967645040859</v>
      </c>
      <c r="Q1923">
        <f>-349.600426908886 -44.6117461486289 -455.808359692779</f>
        <v>-850.02053275029391</v>
      </c>
      <c r="R1923" t="s">
        <v>38202</v>
      </c>
      <c r="S1923" t="s">
        <v>38203</v>
      </c>
      <c r="T1923" t="s">
        <v>38204</v>
      </c>
      <c r="U1923" t="s">
        <v>38205</v>
      </c>
      <c r="V1923" t="s">
        <v>38206</v>
      </c>
      <c r="W1923" t="s">
        <v>38207</v>
      </c>
      <c r="X1923" t="s">
        <v>38208</v>
      </c>
      <c r="Y1923" t="s">
        <v>38209</v>
      </c>
    </row>
    <row r="1924" spans="1:25" x14ac:dyDescent="0.3">
      <c r="A1924">
        <v>96150</v>
      </c>
      <c r="B1924" t="s">
        <v>38210</v>
      </c>
      <c r="C1924" t="s">
        <v>38211</v>
      </c>
      <c r="D1924" t="s">
        <v>38212</v>
      </c>
      <c r="E1924" t="s">
        <v>38213</v>
      </c>
      <c r="F1924" t="s">
        <v>38214</v>
      </c>
      <c r="G1924" t="s">
        <v>38215</v>
      </c>
      <c r="H1924" t="s">
        <v>38216</v>
      </c>
      <c r="I1924">
        <f>-536.660998632348 -4.70215659348967 -932.853183767876</f>
        <v>-1474.2163389937136</v>
      </c>
      <c r="J1924" t="s">
        <v>38217</v>
      </c>
      <c r="K1924" t="s">
        <v>38218</v>
      </c>
      <c r="L1924" t="s">
        <v>38219</v>
      </c>
      <c r="M1924" t="s">
        <v>38220</v>
      </c>
      <c r="N1924">
        <f>-582.005557372258 -5.99079466588517 -766.196919409114</f>
        <v>-1354.1932714472571</v>
      </c>
      <c r="O1924">
        <f>-605.465942629598 -144.611195665605 -723.027721306844</f>
        <v>-1473.1048596020469</v>
      </c>
      <c r="P1924">
        <f>-586.888279327983 -134.416096505815 -407.21594170589</f>
        <v>-1128.520317539688</v>
      </c>
      <c r="Q1924">
        <f>-347.640491999559 -44.8511422518642 -456.007599024758</f>
        <v>-848.49923327618126</v>
      </c>
      <c r="R1924" t="s">
        <v>38221</v>
      </c>
      <c r="S1924" t="s">
        <v>38222</v>
      </c>
      <c r="T1924" t="s">
        <v>38223</v>
      </c>
      <c r="U1924" t="s">
        <v>38224</v>
      </c>
      <c r="V1924" t="s">
        <v>38225</v>
      </c>
      <c r="W1924" t="s">
        <v>38226</v>
      </c>
      <c r="X1924" t="s">
        <v>38227</v>
      </c>
      <c r="Y1924" t="s">
        <v>38228</v>
      </c>
    </row>
    <row r="1925" spans="1:25" x14ac:dyDescent="0.3">
      <c r="A1925">
        <v>96200</v>
      </c>
      <c r="B1925" t="s">
        <v>38229</v>
      </c>
      <c r="C1925" t="s">
        <v>38230</v>
      </c>
      <c r="D1925" t="s">
        <v>38231</v>
      </c>
      <c r="E1925" t="s">
        <v>38232</v>
      </c>
      <c r="F1925" t="s">
        <v>38233</v>
      </c>
      <c r="G1925" t="s">
        <v>38234</v>
      </c>
      <c r="H1925" t="s">
        <v>38235</v>
      </c>
      <c r="I1925">
        <f>-535.160342495355 -4.66722399482272 -932.795043977416</f>
        <v>-1472.6226104675939</v>
      </c>
      <c r="J1925" t="s">
        <v>38236</v>
      </c>
      <c r="K1925" t="s">
        <v>38237</v>
      </c>
      <c r="L1925" t="s">
        <v>38238</v>
      </c>
      <c r="M1925" t="s">
        <v>38239</v>
      </c>
      <c r="N1925">
        <f>-580.834492656296 -6.10831205935427 -766.231305019095</f>
        <v>-1353.1741097347453</v>
      </c>
      <c r="O1925">
        <f>-604.480300242316 -144.706254246424 -723.180556490067</f>
        <v>-1472.367110978807</v>
      </c>
      <c r="P1925">
        <f>-586.489395369576 -134.307360552071 -407.341397597125</f>
        <v>-1128.138153518772</v>
      </c>
      <c r="Q1925">
        <f>-347.192220253013 -44.8077190043641 -456.010760699215</f>
        <v>-848.01069995659213</v>
      </c>
      <c r="R1925" t="s">
        <v>38240</v>
      </c>
      <c r="S1925" t="s">
        <v>38241</v>
      </c>
      <c r="T1925" t="s">
        <v>38242</v>
      </c>
      <c r="U1925" t="s">
        <v>38243</v>
      </c>
      <c r="V1925" t="s">
        <v>38244</v>
      </c>
      <c r="W1925" t="s">
        <v>38245</v>
      </c>
      <c r="X1925" t="s">
        <v>38246</v>
      </c>
      <c r="Y1925" t="s">
        <v>38247</v>
      </c>
    </row>
    <row r="1926" spans="1:25" x14ac:dyDescent="0.3">
      <c r="A1926">
        <v>96250</v>
      </c>
      <c r="B1926" t="s">
        <v>38248</v>
      </c>
      <c r="C1926" t="s">
        <v>38249</v>
      </c>
      <c r="D1926" t="s">
        <v>38250</v>
      </c>
      <c r="E1926" t="s">
        <v>38251</v>
      </c>
      <c r="F1926" t="s">
        <v>38252</v>
      </c>
      <c r="G1926" t="s">
        <v>38253</v>
      </c>
      <c r="H1926" t="s">
        <v>38254</v>
      </c>
      <c r="I1926">
        <f>-532.869808839004 -5.24594301058227 -932.536195571969</f>
        <v>-1470.6519474215552</v>
      </c>
      <c r="J1926" t="s">
        <v>38255</v>
      </c>
      <c r="K1926" t="s">
        <v>38256</v>
      </c>
      <c r="L1926" t="s">
        <v>38257</v>
      </c>
      <c r="M1926" t="s">
        <v>38258</v>
      </c>
      <c r="N1926">
        <f>-578.993576819257 -6.75081577869051 -766.132840132464</f>
        <v>-1351.8772327304114</v>
      </c>
      <c r="O1926">
        <f>-602.55968826977 -145.381804379022 -723.171795720199</f>
        <v>-1471.1132883689911</v>
      </c>
      <c r="P1926">
        <f>-585.744268618372 -135.109316151353 -407.263673848703</f>
        <v>-1128.117258618428</v>
      </c>
      <c r="Q1926">
        <f>-346.315146336011 -45.4188443764692 -454.922459964961</f>
        <v>-846.65645067744117</v>
      </c>
      <c r="R1926" t="s">
        <v>38259</v>
      </c>
      <c r="S1926" t="s">
        <v>38260</v>
      </c>
      <c r="T1926" t="s">
        <v>38261</v>
      </c>
      <c r="U1926" t="s">
        <v>38262</v>
      </c>
      <c r="V1926" t="s">
        <v>38263</v>
      </c>
      <c r="W1926" t="s">
        <v>38264</v>
      </c>
      <c r="X1926" t="s">
        <v>38265</v>
      </c>
      <c r="Y1926" t="s">
        <v>38266</v>
      </c>
    </row>
    <row r="1927" spans="1:25" x14ac:dyDescent="0.3">
      <c r="A1927">
        <v>96300</v>
      </c>
      <c r="B1927" t="s">
        <v>38267</v>
      </c>
      <c r="C1927" t="s">
        <v>38268</v>
      </c>
      <c r="D1927" t="s">
        <v>38269</v>
      </c>
      <c r="E1927" t="s">
        <v>38270</v>
      </c>
      <c r="F1927" t="s">
        <v>38271</v>
      </c>
      <c r="G1927" t="s">
        <v>38272</v>
      </c>
      <c r="H1927" t="s">
        <v>38273</v>
      </c>
      <c r="I1927">
        <f>-532.032844186623 -6.17083136049682 -932.497166872853</f>
        <v>-1470.7008424199728</v>
      </c>
      <c r="J1927" t="s">
        <v>38274</v>
      </c>
      <c r="K1927" t="s">
        <v>38275</v>
      </c>
      <c r="L1927" t="s">
        <v>38276</v>
      </c>
      <c r="M1927" t="s">
        <v>38277</v>
      </c>
      <c r="N1927">
        <f>-578.303324064484 -7.58749684983788 -766.160359369732</f>
        <v>-1352.0511802840538</v>
      </c>
      <c r="O1927">
        <f>-601.733188600396 -146.267972330684 -723.175254736497</f>
        <v>-1471.176415667577</v>
      </c>
      <c r="P1927">
        <f>-585.153626062569 -135.437715579261 -407.273485242308</f>
        <v>-1127.864826884138</v>
      </c>
      <c r="Q1927">
        <f>-345.659091378669 -45.7844726571553 -454.673157960713</f>
        <v>-846.11672199653731</v>
      </c>
      <c r="R1927" t="s">
        <v>38278</v>
      </c>
      <c r="S1927" t="s">
        <v>38279</v>
      </c>
      <c r="T1927" t="s">
        <v>38280</v>
      </c>
      <c r="U1927" t="s">
        <v>38281</v>
      </c>
      <c r="V1927" t="s">
        <v>38282</v>
      </c>
      <c r="W1927" t="s">
        <v>38283</v>
      </c>
      <c r="X1927" t="s">
        <v>38284</v>
      </c>
      <c r="Y1927" t="s">
        <v>38285</v>
      </c>
    </row>
    <row r="1928" spans="1:25" x14ac:dyDescent="0.3">
      <c r="A1928">
        <v>96350</v>
      </c>
      <c r="B1928" t="s">
        <v>38286</v>
      </c>
      <c r="C1928" t="s">
        <v>38287</v>
      </c>
      <c r="D1928" t="s">
        <v>38288</v>
      </c>
      <c r="E1928" t="s">
        <v>38289</v>
      </c>
      <c r="F1928" t="s">
        <v>38290</v>
      </c>
      <c r="G1928" t="s">
        <v>38291</v>
      </c>
      <c r="H1928" t="s">
        <v>38292</v>
      </c>
      <c r="I1928">
        <f>-529.392881296394 -7.75596871486233 -932.234634361289</f>
        <v>-1469.3834843725454</v>
      </c>
      <c r="J1928" t="s">
        <v>38293</v>
      </c>
      <c r="K1928" t="s">
        <v>38294</v>
      </c>
      <c r="L1928" t="s">
        <v>38295</v>
      </c>
      <c r="M1928" t="s">
        <v>38296</v>
      </c>
      <c r="N1928">
        <f>-576.144088425353 -9.14793055918356 -766.035946930779</f>
        <v>-1351.3279659153154</v>
      </c>
      <c r="O1928">
        <f>-599.592892646479 -147.793934720618 -723.104903910046</f>
        <v>-1470.4917312771431</v>
      </c>
      <c r="P1928">
        <f>-583.153093462081 -136.891948337346 -407.198046917905</f>
        <v>-1127.2430887173318</v>
      </c>
      <c r="Q1928">
        <f>-343.654062032907 -47.0610297044937 -454.23725909805</f>
        <v>-844.95235083545072</v>
      </c>
      <c r="R1928" t="s">
        <v>38297</v>
      </c>
      <c r="S1928" t="s">
        <v>38298</v>
      </c>
      <c r="T1928" t="s">
        <v>38299</v>
      </c>
      <c r="U1928" t="s">
        <v>38300</v>
      </c>
      <c r="V1928" t="s">
        <v>38301</v>
      </c>
      <c r="W1928" t="s">
        <v>38302</v>
      </c>
      <c r="X1928" t="s">
        <v>38303</v>
      </c>
      <c r="Y1928" t="s">
        <v>38304</v>
      </c>
    </row>
    <row r="1929" spans="1:25" x14ac:dyDescent="0.3">
      <c r="A1929">
        <v>96400</v>
      </c>
      <c r="B1929" t="s">
        <v>38305</v>
      </c>
      <c r="C1929" t="s">
        <v>38306</v>
      </c>
      <c r="D1929" t="s">
        <v>38307</v>
      </c>
      <c r="E1929" t="s">
        <v>38308</v>
      </c>
      <c r="F1929" t="s">
        <v>38309</v>
      </c>
      <c r="G1929" t="s">
        <v>38310</v>
      </c>
      <c r="H1929" t="s">
        <v>38311</v>
      </c>
      <c r="I1929">
        <f>-528.794824327362 -8.7645824241154 -932.042383940078</f>
        <v>-1469.6017906915554</v>
      </c>
      <c r="J1929" t="s">
        <v>38312</v>
      </c>
      <c r="K1929" t="s">
        <v>38313</v>
      </c>
      <c r="L1929" t="s">
        <v>38314</v>
      </c>
      <c r="M1929" t="s">
        <v>38315</v>
      </c>
      <c r="N1929">
        <f>-575.639820509738 -9.96441766218309 -765.870767565271</f>
        <v>-1351.4750057371921</v>
      </c>
      <c r="O1929">
        <f>-599.190804648815 -148.620160974058 -722.883745015946</f>
        <v>-1470.6947106388188</v>
      </c>
      <c r="P1929">
        <f>-582.974789265828 -137.630101827304 -406.968408346946</f>
        <v>-1127.573299440078</v>
      </c>
      <c r="Q1929">
        <f>-343.495033514901 -47.728286798531 -453.970190659481</f>
        <v>-845.19351097291303</v>
      </c>
      <c r="R1929" t="s">
        <v>38316</v>
      </c>
      <c r="S1929" t="s">
        <v>38317</v>
      </c>
      <c r="T1929" t="s">
        <v>38318</v>
      </c>
      <c r="U1929" t="s">
        <v>38319</v>
      </c>
      <c r="V1929" t="s">
        <v>38320</v>
      </c>
      <c r="W1929" t="s">
        <v>38321</v>
      </c>
      <c r="X1929" t="s">
        <v>38322</v>
      </c>
      <c r="Y1929" t="s">
        <v>38323</v>
      </c>
    </row>
    <row r="1930" spans="1:25" x14ac:dyDescent="0.3">
      <c r="A1930">
        <v>96450</v>
      </c>
      <c r="B1930" t="s">
        <v>38324</v>
      </c>
      <c r="C1930" t="s">
        <v>38325</v>
      </c>
      <c r="D1930" t="s">
        <v>38326</v>
      </c>
      <c r="E1930" t="s">
        <v>38327</v>
      </c>
      <c r="F1930" t="s">
        <v>38328</v>
      </c>
      <c r="G1930" t="s">
        <v>38329</v>
      </c>
      <c r="H1930" t="s">
        <v>38330</v>
      </c>
      <c r="I1930">
        <f>-526.933697224247 -11.4708743162237 -931.266354687248</f>
        <v>-1469.6709262277186</v>
      </c>
      <c r="J1930" t="s">
        <v>38331</v>
      </c>
      <c r="K1930" t="s">
        <v>38332</v>
      </c>
      <c r="L1930" t="s">
        <v>38333</v>
      </c>
      <c r="M1930" t="s">
        <v>38334</v>
      </c>
      <c r="N1930">
        <f>-574.034432140573 -12.3035230260705 -765.149014435006</f>
        <v>-1351.4869696016494</v>
      </c>
      <c r="O1930">
        <f>-597.581026513545 -150.836716306793 -721.827916992933</f>
        <v>-1470.2456598132708</v>
      </c>
      <c r="P1930">
        <f>-581.568250267627 -139.038700668495 -405.931433884238</f>
        <v>-1126.5383848203601</v>
      </c>
      <c r="Q1930">
        <f>-342.003580878449 -49.5348306306815 -453.259045689254</f>
        <v>-844.79745719838445</v>
      </c>
      <c r="R1930" t="s">
        <v>38335</v>
      </c>
      <c r="S1930" t="s">
        <v>38336</v>
      </c>
      <c r="T1930" t="s">
        <v>38337</v>
      </c>
      <c r="U1930" t="s">
        <v>38338</v>
      </c>
      <c r="V1930" t="s">
        <v>38339</v>
      </c>
      <c r="W1930" t="s">
        <v>38340</v>
      </c>
      <c r="X1930" t="s">
        <v>38341</v>
      </c>
      <c r="Y1930" t="s">
        <v>38342</v>
      </c>
    </row>
    <row r="1931" spans="1:25" x14ac:dyDescent="0.3">
      <c r="A1931">
        <v>96500</v>
      </c>
      <c r="B1931" t="s">
        <v>38343</v>
      </c>
      <c r="C1931" t="s">
        <v>38344</v>
      </c>
      <c r="D1931" t="s">
        <v>38345</v>
      </c>
      <c r="E1931" t="s">
        <v>38346</v>
      </c>
      <c r="F1931" t="s">
        <v>38347</v>
      </c>
      <c r="G1931" t="s">
        <v>38348</v>
      </c>
      <c r="H1931" t="s">
        <v>38349</v>
      </c>
      <c r="I1931">
        <f>-526.752004667693 -13.0110786130961 -930.679423779961</f>
        <v>-1470.4425070607499</v>
      </c>
      <c r="J1931" t="s">
        <v>38350</v>
      </c>
      <c r="K1931" t="s">
        <v>38351</v>
      </c>
      <c r="L1931" t="s">
        <v>38352</v>
      </c>
      <c r="M1931" t="s">
        <v>38353</v>
      </c>
      <c r="N1931">
        <f>-573.925854110427 -13.5470467943494 -764.573613496057</f>
        <v>-1352.0465144008335</v>
      </c>
      <c r="O1931">
        <f>-597.525829318045 -151.998221859252 -721.035414940314</f>
        <v>-1470.559466117611</v>
      </c>
      <c r="P1931">
        <f>-581.624488775915 -139.668342695516 -405.153642287235</f>
        <v>-1126.4464737586659</v>
      </c>
      <c r="Q1931">
        <f>-341.947635839796 -50.5478768101889 -452.63623818393</f>
        <v>-845.13175083391491</v>
      </c>
      <c r="R1931" t="s">
        <v>38354</v>
      </c>
      <c r="S1931" t="s">
        <v>38355</v>
      </c>
      <c r="T1931" t="s">
        <v>38356</v>
      </c>
      <c r="U1931" t="s">
        <v>38357</v>
      </c>
      <c r="V1931" t="s">
        <v>38358</v>
      </c>
      <c r="W1931" t="s">
        <v>38359</v>
      </c>
      <c r="X1931" t="s">
        <v>38360</v>
      </c>
      <c r="Y1931" t="s">
        <v>38361</v>
      </c>
    </row>
    <row r="1932" spans="1:25" x14ac:dyDescent="0.3">
      <c r="A1932">
        <v>96550</v>
      </c>
      <c r="B1932" t="s">
        <v>38362</v>
      </c>
      <c r="C1932" t="s">
        <v>38363</v>
      </c>
      <c r="D1932" t="s">
        <v>38364</v>
      </c>
      <c r="E1932" t="s">
        <v>38365</v>
      </c>
      <c r="F1932" t="s">
        <v>38366</v>
      </c>
      <c r="G1932" t="s">
        <v>38367</v>
      </c>
      <c r="H1932">
        <f>-561.243039613267 -0.756603567600202 -835.223734823517</f>
        <v>-1397.2233780043844</v>
      </c>
      <c r="I1932">
        <f>-526.34578131324 -16.9496161277459 -929.579212062776</f>
        <v>-1472.8746095037618</v>
      </c>
      <c r="J1932" t="s">
        <v>38368</v>
      </c>
      <c r="K1932" t="s">
        <v>38369</v>
      </c>
      <c r="L1932" t="s">
        <v>38370</v>
      </c>
      <c r="M1932" t="s">
        <v>38371</v>
      </c>
      <c r="N1932">
        <f>-573.495314376595 -16.6223410679348 -763.452683900848</f>
        <v>-1353.5703393453778</v>
      </c>
      <c r="O1932">
        <f>-596.91669896902 -154.910820628598 -719.236817575177</f>
        <v>-1471.0643371727951</v>
      </c>
      <c r="P1932">
        <f>-581.484798111589 -141.067837221529 -403.394395647102</f>
        <v>-1125.94703098022</v>
      </c>
      <c r="Q1932">
        <f>-341.763205626548 -52.6489743280131 -451.950672209643</f>
        <v>-846.36285216420401</v>
      </c>
      <c r="R1932" t="s">
        <v>38372</v>
      </c>
      <c r="S1932" t="s">
        <v>38373</v>
      </c>
      <c r="T1932" t="s">
        <v>38374</v>
      </c>
      <c r="U1932" t="s">
        <v>38375</v>
      </c>
      <c r="V1932" t="s">
        <v>38376</v>
      </c>
      <c r="W1932" t="s">
        <v>38377</v>
      </c>
      <c r="X1932" t="s">
        <v>38378</v>
      </c>
      <c r="Y1932" t="s">
        <v>38379</v>
      </c>
    </row>
    <row r="1933" spans="1:25" x14ac:dyDescent="0.3">
      <c r="A1933">
        <v>96600</v>
      </c>
      <c r="B1933" t="s">
        <v>38380</v>
      </c>
      <c r="C1933" t="s">
        <v>38381</v>
      </c>
      <c r="D1933" t="s">
        <v>38382</v>
      </c>
      <c r="E1933" t="s">
        <v>38383</v>
      </c>
      <c r="F1933" t="s">
        <v>38384</v>
      </c>
      <c r="G1933" t="s">
        <v>38385</v>
      </c>
      <c r="H1933">
        <f>-560.997628487549 -2.53472114732804 -834.830544984557</f>
        <v>-1398.362894619434</v>
      </c>
      <c r="I1933">
        <f>-526.047452875041 -18.9177333439316 -929.1335052439</f>
        <v>-1474.0986914628725</v>
      </c>
      <c r="J1933" t="s">
        <v>38386</v>
      </c>
      <c r="K1933" t="s">
        <v>38387</v>
      </c>
      <c r="L1933" t="s">
        <v>38388</v>
      </c>
      <c r="M1933" t="s">
        <v>38389</v>
      </c>
      <c r="N1933">
        <f>-573.223827906337 -18.1885603681872 -763.008519502291</f>
        <v>-1354.4209077768151</v>
      </c>
      <c r="O1933">
        <f>-596.447126765506 -156.40491957931 -718.45446308969</f>
        <v>-1471.3065094345061</v>
      </c>
      <c r="P1933">
        <f>-581.280126526782 -141.511967698913 -402.647110641509</f>
        <v>-1125.4392048672041</v>
      </c>
      <c r="Q1933">
        <f>-341.612369382034 -53.3960881472924 -452.01296769926</f>
        <v>-847.02142522858639</v>
      </c>
      <c r="R1933" t="s">
        <v>38390</v>
      </c>
      <c r="S1933" t="s">
        <v>38391</v>
      </c>
      <c r="T1933" t="s">
        <v>38392</v>
      </c>
      <c r="U1933" t="s">
        <v>38393</v>
      </c>
      <c r="V1933" t="s">
        <v>38394</v>
      </c>
      <c r="W1933" t="s">
        <v>38395</v>
      </c>
      <c r="X1933" t="s">
        <v>38396</v>
      </c>
      <c r="Y1933" t="s">
        <v>38397</v>
      </c>
    </row>
    <row r="1934" spans="1:25" x14ac:dyDescent="0.3">
      <c r="A1934">
        <v>96650</v>
      </c>
      <c r="B1934" t="s">
        <v>38398</v>
      </c>
      <c r="C1934" t="s">
        <v>38399</v>
      </c>
      <c r="D1934" t="s">
        <v>38400</v>
      </c>
      <c r="E1934" t="s">
        <v>38401</v>
      </c>
      <c r="F1934" t="s">
        <v>38402</v>
      </c>
      <c r="G1934" t="s">
        <v>38403</v>
      </c>
      <c r="H1934">
        <f>-561.12292201941 -6.62202000802606 -834.11352624276</f>
        <v>-1401.8584682701962</v>
      </c>
      <c r="I1934">
        <f>-526.087737185581 -23.4413301307983 -928.308006483983</f>
        <v>-1477.8370738003623</v>
      </c>
      <c r="J1934" t="s">
        <v>38404</v>
      </c>
      <c r="K1934" t="s">
        <v>38405</v>
      </c>
      <c r="L1934" t="s">
        <v>38406</v>
      </c>
      <c r="M1934" t="s">
        <v>38407</v>
      </c>
      <c r="N1934">
        <f>-573.225732028471 -21.8057603105917 -762.169834640139</f>
        <v>-1357.2013269792019</v>
      </c>
      <c r="O1934">
        <f>-596.178735538397 -159.798385083871 -716.838217871277</f>
        <v>-1472.8153384935449</v>
      </c>
      <c r="P1934">
        <f>-580.725106690195 -143.527613976907 -401.112637065565</f>
        <v>-1125.365357732667</v>
      </c>
      <c r="Q1934">
        <f>-341.878316661961 -54.5589246034943 -452.870264428203</f>
        <v>-849.30750569365819</v>
      </c>
      <c r="R1934" t="s">
        <v>38408</v>
      </c>
      <c r="S1934" t="s">
        <v>38409</v>
      </c>
      <c r="T1934" t="s">
        <v>38410</v>
      </c>
      <c r="U1934" t="s">
        <v>38411</v>
      </c>
      <c r="V1934" t="s">
        <v>38412</v>
      </c>
      <c r="W1934" t="s">
        <v>38413</v>
      </c>
      <c r="X1934" t="s">
        <v>38414</v>
      </c>
      <c r="Y1934" t="s">
        <v>38415</v>
      </c>
    </row>
    <row r="1935" spans="1:25" x14ac:dyDescent="0.3">
      <c r="A1935">
        <v>96700</v>
      </c>
      <c r="B1935" t="s">
        <v>38416</v>
      </c>
      <c r="C1935" t="s">
        <v>38417</v>
      </c>
      <c r="D1935" t="s">
        <v>38418</v>
      </c>
      <c r="E1935" t="s">
        <v>38419</v>
      </c>
      <c r="F1935" t="s">
        <v>38420</v>
      </c>
      <c r="G1935" t="s">
        <v>38421</v>
      </c>
      <c r="H1935">
        <f>-561.691334240652 -8.89837278624211 -833.84565839256</f>
        <v>-1404.4353654194542</v>
      </c>
      <c r="I1935">
        <f>-526.6222794108 -26.0098905919062 -927.975053020294</f>
        <v>-1480.6072230230002</v>
      </c>
      <c r="J1935" t="s">
        <v>38422</v>
      </c>
      <c r="K1935" t="s">
        <v>38423</v>
      </c>
      <c r="L1935" t="s">
        <v>38424</v>
      </c>
      <c r="M1935" t="s">
        <v>38425</v>
      </c>
      <c r="N1935">
        <f>-573.685890912746 -23.8244446439495 -761.829933946196</f>
        <v>-1359.3402695028915</v>
      </c>
      <c r="O1935">
        <f>-596.493842306136 -161.685385024726 -716.026061866208</f>
        <v>-1474.20528919707</v>
      </c>
      <c r="P1935">
        <f>-580.531838967827 -144.652100762365 -400.365938669253</f>
        <v>-1125.5498783994449</v>
      </c>
      <c r="Q1935">
        <f>-342.111978923387 -55.1091283694767 -453.092419414043</f>
        <v>-850.31352670690671</v>
      </c>
      <c r="R1935" t="s">
        <v>38426</v>
      </c>
      <c r="S1935" t="s">
        <v>38427</v>
      </c>
      <c r="T1935" t="s">
        <v>38428</v>
      </c>
      <c r="U1935" t="s">
        <v>38429</v>
      </c>
      <c r="V1935" t="s">
        <v>38430</v>
      </c>
      <c r="W1935" t="s">
        <v>38431</v>
      </c>
      <c r="X1935" t="s">
        <v>38432</v>
      </c>
      <c r="Y1935" t="s">
        <v>38433</v>
      </c>
    </row>
    <row r="1936" spans="1:25" x14ac:dyDescent="0.3">
      <c r="A1936">
        <v>96750</v>
      </c>
      <c r="B1936" t="s">
        <v>38434</v>
      </c>
      <c r="C1936" t="s">
        <v>38435</v>
      </c>
      <c r="D1936" t="s">
        <v>38436</v>
      </c>
      <c r="E1936" t="s">
        <v>38437</v>
      </c>
      <c r="F1936" t="s">
        <v>38438</v>
      </c>
      <c r="G1936" t="s">
        <v>38439</v>
      </c>
      <c r="H1936">
        <f>-563.093446448535 -12.2181646001112 -833.732604856228</f>
        <v>-1409.0442159048744</v>
      </c>
      <c r="I1936">
        <f>-527.954510203964 -29.92896212985 -927.724820248081</f>
        <v>-1485.6082925818951</v>
      </c>
      <c r="J1936" t="s">
        <v>38440</v>
      </c>
      <c r="K1936" t="s">
        <v>38441</v>
      </c>
      <c r="L1936" t="s">
        <v>38442</v>
      </c>
      <c r="M1936" t="s">
        <v>38443</v>
      </c>
      <c r="N1936">
        <f>-574.841256076656 -26.7340527938875 -761.592441714136</f>
        <v>-1363.1677505846797</v>
      </c>
      <c r="O1936">
        <f>-597.341308068664 -164.347613842713 -714.841358133545</f>
        <v>-1476.5302800449222</v>
      </c>
      <c r="P1936">
        <f>-579.787155908114 -146.009932354834 -399.338843761553</f>
        <v>-1125.135932024501</v>
      </c>
      <c r="Q1936">
        <f>-342.130716598341 -55.3907022769584 -453.649245606123</f>
        <v>-851.17066448142236</v>
      </c>
      <c r="R1936" t="s">
        <v>38444</v>
      </c>
      <c r="S1936" t="s">
        <v>38445</v>
      </c>
      <c r="T1936" t="s">
        <v>38446</v>
      </c>
      <c r="U1936" t="s">
        <v>38447</v>
      </c>
      <c r="V1936" t="s">
        <v>38448</v>
      </c>
      <c r="W1936" t="s">
        <v>38449</v>
      </c>
      <c r="X1936" t="s">
        <v>38450</v>
      </c>
      <c r="Y1936" t="s">
        <v>38451</v>
      </c>
    </row>
    <row r="1937" spans="1:25" x14ac:dyDescent="0.3">
      <c r="A1937">
        <v>96800</v>
      </c>
      <c r="B1937" t="s">
        <v>38452</v>
      </c>
      <c r="C1937" t="s">
        <v>38453</v>
      </c>
      <c r="D1937" t="s">
        <v>38454</v>
      </c>
      <c r="E1937" t="s">
        <v>38455</v>
      </c>
      <c r="F1937" t="s">
        <v>38456</v>
      </c>
      <c r="G1937" t="s">
        <v>38457</v>
      </c>
      <c r="H1937">
        <f>-564.195826973234 -14.4191789014833 -834.240507186555</f>
        <v>-1412.8555130612722</v>
      </c>
      <c r="I1937">
        <f>-528.990048354632 -32.6128007134046 -928.115507628568</f>
        <v>-1489.7183566966046</v>
      </c>
      <c r="J1937" t="s">
        <v>38458</v>
      </c>
      <c r="K1937" t="s">
        <v>38459</v>
      </c>
      <c r="L1937" t="s">
        <v>38460</v>
      </c>
      <c r="M1937" t="s">
        <v>38461</v>
      </c>
      <c r="N1937">
        <f>-575.810394385122 -28.7806188900953 -762.047924061989</f>
        <v>-1366.6389373372062</v>
      </c>
      <c r="O1937">
        <f>-597.78812483832 -166.289053500083 -714.763688684163</f>
        <v>-1478.8408670225658</v>
      </c>
      <c r="P1937">
        <f>-579.484359508849 -146.719510446236 -399.377797605059</f>
        <v>-1125.5816675601441</v>
      </c>
      <c r="Q1937">
        <f>-342.075111366099 -55.5410286253936 -453.833111973384</f>
        <v>-851.44925196487657</v>
      </c>
      <c r="R1937" t="s">
        <v>38462</v>
      </c>
      <c r="S1937" t="s">
        <v>38463</v>
      </c>
      <c r="T1937" t="s">
        <v>38464</v>
      </c>
      <c r="U1937" t="s">
        <v>38465</v>
      </c>
      <c r="V1937" t="s">
        <v>38466</v>
      </c>
      <c r="W1937" t="s">
        <v>38467</v>
      </c>
      <c r="X1937" t="s">
        <v>38468</v>
      </c>
      <c r="Y1937" t="s">
        <v>38469</v>
      </c>
    </row>
    <row r="1938" spans="1:25" x14ac:dyDescent="0.3">
      <c r="A1938">
        <v>96850</v>
      </c>
      <c r="B1938" t="s">
        <v>38470</v>
      </c>
      <c r="C1938" t="s">
        <v>38471</v>
      </c>
      <c r="D1938" t="s">
        <v>38472</v>
      </c>
      <c r="E1938" t="s">
        <v>38473</v>
      </c>
      <c r="F1938" t="s">
        <v>38474</v>
      </c>
      <c r="G1938" t="s">
        <v>38475</v>
      </c>
      <c r="H1938">
        <f>-564.90801448859 -15.2319030115544 -834.474109881276</f>
        <v>-1414.6140273814203</v>
      </c>
      <c r="I1938">
        <f>-529.658134575193 -33.5754172714994 -928.303373452762</f>
        <v>-1491.5369252994544</v>
      </c>
      <c r="J1938" t="s">
        <v>38476</v>
      </c>
      <c r="K1938" t="s">
        <v>38477</v>
      </c>
      <c r="L1938" t="s">
        <v>38478</v>
      </c>
      <c r="M1938" t="s">
        <v>38479</v>
      </c>
      <c r="N1938">
        <f>-576.457578475377 -29.5803237801456 -762.268476777028</f>
        <v>-1368.3063790325505</v>
      </c>
      <c r="O1938">
        <f>-598.023186877411 -167.088136833757 -714.83481220451</f>
        <v>-1479.946135915678</v>
      </c>
      <c r="P1938">
        <f>-579.810769616102 -147.1137768898 -399.469173779487</f>
        <v>-1126.393720285389</v>
      </c>
      <c r="Q1938">
        <f>-342.522556537911 -55.4930939574643 -453.70953954618</f>
        <v>-851.72519004155527</v>
      </c>
      <c r="R1938" t="s">
        <v>38480</v>
      </c>
      <c r="S1938" t="s">
        <v>38481</v>
      </c>
      <c r="T1938" t="s">
        <v>38482</v>
      </c>
      <c r="U1938" t="s">
        <v>38483</v>
      </c>
      <c r="V1938" t="s">
        <v>38484</v>
      </c>
      <c r="W1938" t="s">
        <v>38485</v>
      </c>
      <c r="X1938" t="s">
        <v>38486</v>
      </c>
      <c r="Y1938" t="s">
        <v>38487</v>
      </c>
    </row>
    <row r="1939" spans="1:25" x14ac:dyDescent="0.3">
      <c r="A1939">
        <v>96900</v>
      </c>
      <c r="B1939" t="s">
        <v>38488</v>
      </c>
      <c r="C1939" t="s">
        <v>38489</v>
      </c>
      <c r="D1939" t="s">
        <v>38490</v>
      </c>
      <c r="E1939" t="s">
        <v>38491</v>
      </c>
      <c r="F1939" t="s">
        <v>38492</v>
      </c>
      <c r="G1939" t="s">
        <v>38493</v>
      </c>
      <c r="H1939">
        <f>-565.788975320057 -16.3858981605578 -834.44777772849</f>
        <v>-1416.6226512091048</v>
      </c>
      <c r="I1939">
        <f>-530.519370617166 -34.897044180896 -928.236739561931</f>
        <v>-1493.6531543599931</v>
      </c>
      <c r="J1939" t="s">
        <v>38494</v>
      </c>
      <c r="K1939" t="s">
        <v>38495</v>
      </c>
      <c r="L1939" t="s">
        <v>38496</v>
      </c>
      <c r="M1939" t="s">
        <v>38497</v>
      </c>
      <c r="N1939">
        <f>-577.241272912516 -30.6876434708898 -762.217481507046</f>
        <v>-1370.1463978904519</v>
      </c>
      <c r="O1939">
        <f>-598.455873962044 -168.182689574224 -714.660772584371</f>
        <v>-1481.2993361206391</v>
      </c>
      <c r="P1939">
        <f>-580.374526433548 -147.957126790557 -399.303528818424</f>
        <v>-1127.6351820425291</v>
      </c>
      <c r="Q1939">
        <f>-343.159018316015 -55.9215907989605 -453.158058240185</f>
        <v>-852.23866735516049</v>
      </c>
      <c r="R1939" t="s">
        <v>38498</v>
      </c>
      <c r="S1939" t="s">
        <v>38499</v>
      </c>
      <c r="T1939" t="s">
        <v>38500</v>
      </c>
      <c r="U1939" t="s">
        <v>38501</v>
      </c>
      <c r="V1939" t="s">
        <v>38502</v>
      </c>
      <c r="W1939" t="s">
        <v>38503</v>
      </c>
      <c r="X1939" t="s">
        <v>38504</v>
      </c>
      <c r="Y1939" t="s">
        <v>38505</v>
      </c>
    </row>
    <row r="1940" spans="1:25" x14ac:dyDescent="0.3">
      <c r="A1940">
        <v>96950</v>
      </c>
      <c r="B1940" t="s">
        <v>38506</v>
      </c>
      <c r="C1940" t="s">
        <v>38507</v>
      </c>
      <c r="D1940" t="s">
        <v>38508</v>
      </c>
      <c r="E1940" t="s">
        <v>38509</v>
      </c>
      <c r="F1940" t="s">
        <v>38510</v>
      </c>
      <c r="G1940" t="s">
        <v>38511</v>
      </c>
      <c r="H1940">
        <f>-567.177477572129 -18.9656652113743 -833.935650193503</f>
        <v>-1420.0787929770063</v>
      </c>
      <c r="I1940">
        <f>-531.823996133787 -37.7159732569397 -927.645585553302</f>
        <v>-1497.1855549440288</v>
      </c>
      <c r="J1940" t="s">
        <v>38512</v>
      </c>
      <c r="K1940" t="s">
        <v>38513</v>
      </c>
      <c r="L1940" t="s">
        <v>38514</v>
      </c>
      <c r="M1940" t="s">
        <v>38515</v>
      </c>
      <c r="N1940">
        <f>-578.549809842218 -33.0119232768144 -761.642664825583</f>
        <v>-1373.2043979446153</v>
      </c>
      <c r="O1940">
        <f>-599.448098946114 -170.368829627517 -713.49069693925</f>
        <v>-1483.307625512881</v>
      </c>
      <c r="P1940">
        <f>-580.750671362245 -149.183905256255 -398.232404742363</f>
        <v>-1128.166981360863</v>
      </c>
      <c r="Q1940">
        <f>-343.301218303823 -57.0135007535657 -450.810245259375</f>
        <v>-851.12496431676368</v>
      </c>
      <c r="R1940" t="s">
        <v>38516</v>
      </c>
      <c r="S1940" t="s">
        <v>38517</v>
      </c>
      <c r="T1940" t="s">
        <v>38518</v>
      </c>
      <c r="U1940" t="s">
        <v>38519</v>
      </c>
      <c r="V1940" t="s">
        <v>38520</v>
      </c>
      <c r="W1940" t="s">
        <v>38521</v>
      </c>
      <c r="X1940" t="s">
        <v>38522</v>
      </c>
      <c r="Y1940" t="s">
        <v>38523</v>
      </c>
    </row>
    <row r="1941" spans="1:25" x14ac:dyDescent="0.3">
      <c r="A1941">
        <v>97000</v>
      </c>
      <c r="B1941" t="s">
        <v>38524</v>
      </c>
      <c r="C1941" t="s">
        <v>38525</v>
      </c>
      <c r="D1941" t="s">
        <v>38526</v>
      </c>
      <c r="E1941" t="s">
        <v>38527</v>
      </c>
      <c r="F1941" t="s">
        <v>38528</v>
      </c>
      <c r="G1941" t="s">
        <v>38529</v>
      </c>
      <c r="H1941">
        <f>-567.929608219184 -20.3574897191376 -833.59070927758</f>
        <v>-1421.8778072159016</v>
      </c>
      <c r="I1941">
        <f>-532.606888707114 -39.2431617111173 -927.285024540258</f>
        <v>-1499.1350749584892</v>
      </c>
      <c r="J1941" t="s">
        <v>38530</v>
      </c>
      <c r="K1941" t="s">
        <v>38531</v>
      </c>
      <c r="L1941" t="s">
        <v>38532</v>
      </c>
      <c r="M1941" t="s">
        <v>38533</v>
      </c>
      <c r="N1941">
        <f>-579.212427050904 -34.2520402595778 -761.254338790087</f>
        <v>-1374.7188061005688</v>
      </c>
      <c r="O1941">
        <f>-600.001359039022 -171.507805923297 -712.77107463756</f>
        <v>-1484.280239599879</v>
      </c>
      <c r="P1941">
        <f>-580.913066951171 -149.529713324714 -397.590521505551</f>
        <v>-1128.033301781436</v>
      </c>
      <c r="Q1941">
        <f>-343.08372995376 -57.6582960894072 -448.960833899551</f>
        <v>-849.70285994271819</v>
      </c>
      <c r="R1941" t="s">
        <v>38534</v>
      </c>
      <c r="S1941" t="s">
        <v>38535</v>
      </c>
      <c r="T1941" t="s">
        <v>38536</v>
      </c>
      <c r="U1941" t="s">
        <v>38537</v>
      </c>
      <c r="V1941" t="s">
        <v>38538</v>
      </c>
      <c r="W1941" t="s">
        <v>38539</v>
      </c>
      <c r="X1941" t="s">
        <v>38540</v>
      </c>
      <c r="Y1941" t="s">
        <v>38541</v>
      </c>
    </row>
    <row r="1942" spans="1:25" x14ac:dyDescent="0.3">
      <c r="A1942">
        <v>97050</v>
      </c>
      <c r="B1942" t="s">
        <v>38542</v>
      </c>
      <c r="C1942" t="s">
        <v>38543</v>
      </c>
      <c r="D1942" t="s">
        <v>38544</v>
      </c>
      <c r="E1942" t="s">
        <v>38545</v>
      </c>
      <c r="F1942" t="s">
        <v>38546</v>
      </c>
      <c r="G1942" t="s">
        <v>38547</v>
      </c>
      <c r="H1942">
        <f>-568.966110552727 -22.3582631866775 -833.067872930499</f>
        <v>-1424.3922466699034</v>
      </c>
      <c r="I1942">
        <f>-533.744185015341 -41.3773150165514 -926.77312637385</f>
        <v>-1501.8946264057424</v>
      </c>
      <c r="J1942" t="s">
        <v>38548</v>
      </c>
      <c r="K1942" t="s">
        <v>38549</v>
      </c>
      <c r="L1942" t="s">
        <v>38550</v>
      </c>
      <c r="M1942" t="s">
        <v>38551</v>
      </c>
      <c r="N1942">
        <f>-580.083325884378 -36.0593676100066 -760.668947153163</f>
        <v>-1376.8116406475476</v>
      </c>
      <c r="O1942">
        <f>-600.957484833717 -173.137960140224 -711.700260409216</f>
        <v>-1485.7957053831569</v>
      </c>
      <c r="P1942">
        <f>-581.631570923177 -149.76714424591 -396.634341066797</f>
        <v>-1128.033056235884</v>
      </c>
      <c r="Q1942">
        <f>-343.26552933726 -57.8019537162131 -445.2768647485</f>
        <v>-846.34434780197307</v>
      </c>
      <c r="R1942" t="s">
        <v>38552</v>
      </c>
      <c r="S1942" t="s">
        <v>38553</v>
      </c>
      <c r="T1942" t="s">
        <v>38554</v>
      </c>
      <c r="U1942" t="s">
        <v>38555</v>
      </c>
      <c r="V1942" t="s">
        <v>38556</v>
      </c>
      <c r="W1942" t="s">
        <v>38557</v>
      </c>
      <c r="X1942" t="s">
        <v>38558</v>
      </c>
      <c r="Y1942" t="s">
        <v>38559</v>
      </c>
    </row>
    <row r="1943" spans="1:25" x14ac:dyDescent="0.3">
      <c r="A1943">
        <v>97100</v>
      </c>
      <c r="B1943" t="s">
        <v>38560</v>
      </c>
      <c r="C1943" t="s">
        <v>38561</v>
      </c>
      <c r="D1943" t="s">
        <v>38562</v>
      </c>
      <c r="E1943" t="s">
        <v>38563</v>
      </c>
      <c r="F1943" t="s">
        <v>38564</v>
      </c>
      <c r="G1943" t="s">
        <v>38565</v>
      </c>
      <c r="H1943">
        <f>-568.894687133308 -23.0323515590943 -832.82824405698</f>
        <v>-1424.7552827493823</v>
      </c>
      <c r="I1943">
        <f>-533.711036619755 -42.136633535095 -926.530568144883</f>
        <v>-1502.3782382997329</v>
      </c>
      <c r="J1943" t="s">
        <v>38566</v>
      </c>
      <c r="K1943" t="s">
        <v>38567</v>
      </c>
      <c r="L1943" t="s">
        <v>38568</v>
      </c>
      <c r="M1943" t="s">
        <v>38569</v>
      </c>
      <c r="N1943">
        <f>-580.007802329525 -36.6262699021416 -760.408497233543</f>
        <v>-1377.0425694652097</v>
      </c>
      <c r="O1943">
        <f>-600.918434439495 -173.61734568118 -711.249092446716</f>
        <v>-1485.7848725673909</v>
      </c>
      <c r="P1943">
        <f>-581.960381040357 -149.847987274607 -396.190678209075</f>
        <v>-1127.9990465240389</v>
      </c>
      <c r="Q1943">
        <f>-343.573628231618 -57.5101443507377 -444.018910942233</f>
        <v>-845.10268352458866</v>
      </c>
      <c r="R1943" t="s">
        <v>38570</v>
      </c>
      <c r="S1943" t="s">
        <v>38571</v>
      </c>
      <c r="T1943" t="s">
        <v>38572</v>
      </c>
      <c r="U1943" t="s">
        <v>38573</v>
      </c>
      <c r="V1943" t="s">
        <v>38574</v>
      </c>
      <c r="W1943" t="s">
        <v>38575</v>
      </c>
      <c r="X1943" t="s">
        <v>38576</v>
      </c>
      <c r="Y1943" t="s">
        <v>38577</v>
      </c>
    </row>
    <row r="1944" spans="1:25" x14ac:dyDescent="0.3">
      <c r="A1944">
        <v>97150</v>
      </c>
      <c r="B1944" t="s">
        <v>38578</v>
      </c>
      <c r="C1944" t="s">
        <v>38579</v>
      </c>
      <c r="D1944" t="s">
        <v>38580</v>
      </c>
      <c r="E1944" t="s">
        <v>38581</v>
      </c>
      <c r="F1944" t="s">
        <v>38582</v>
      </c>
      <c r="G1944" t="s">
        <v>38583</v>
      </c>
      <c r="H1944">
        <f>-568.951827538933 -23.7814218659447 -832.517536356107</f>
        <v>-1425.2507857609849</v>
      </c>
      <c r="I1944">
        <f>-533.797804116102 -42.969460212379 -926.213725993283</f>
        <v>-1502.980990321764</v>
      </c>
      <c r="J1944" t="s">
        <v>38584</v>
      </c>
      <c r="K1944" t="s">
        <v>38585</v>
      </c>
      <c r="L1944" t="s">
        <v>38586</v>
      </c>
      <c r="M1944" t="s">
        <v>38587</v>
      </c>
      <c r="N1944">
        <f>-580.08880132684 -37.2724190673651 -760.082118661892</f>
        <v>-1377.4433390560971</v>
      </c>
      <c r="O1944">
        <f>-601.086726296554 -174.209137179096 -710.777916499656</f>
        <v>-1486.073779975306</v>
      </c>
      <c r="P1944">
        <f>-582.39268872253 -150.319704771228 -395.712841622527</f>
        <v>-1128.425235116285</v>
      </c>
      <c r="Q1944">
        <f>-344.051095012274 -57.711657513278 -443.242594669941</f>
        <v>-845.00534719549296</v>
      </c>
      <c r="R1944" t="s">
        <v>38588</v>
      </c>
      <c r="S1944" t="s">
        <v>38589</v>
      </c>
      <c r="T1944" t="s">
        <v>38590</v>
      </c>
      <c r="U1944" t="s">
        <v>38591</v>
      </c>
      <c r="V1944" t="s">
        <v>38592</v>
      </c>
      <c r="W1944" t="s">
        <v>38593</v>
      </c>
      <c r="X1944" t="s">
        <v>38594</v>
      </c>
      <c r="Y1944" t="s">
        <v>38595</v>
      </c>
    </row>
    <row r="1945" spans="1:25" x14ac:dyDescent="0.3">
      <c r="A1945">
        <v>97200</v>
      </c>
      <c r="B1945" t="s">
        <v>38596</v>
      </c>
      <c r="C1945" t="s">
        <v>38597</v>
      </c>
      <c r="D1945" t="s">
        <v>38598</v>
      </c>
      <c r="E1945" t="s">
        <v>38599</v>
      </c>
      <c r="F1945" t="s">
        <v>38600</v>
      </c>
      <c r="G1945" t="s">
        <v>38601</v>
      </c>
      <c r="H1945">
        <f>-569.090317417489 -24.6319485849381 -832.325156661036</f>
        <v>-1426.0474226634631</v>
      </c>
      <c r="I1945">
        <f>-533.916571771697 -43.8545442322312 -926.006896626017</f>
        <v>-1503.7780126299454</v>
      </c>
      <c r="J1945" t="s">
        <v>38602</v>
      </c>
      <c r="K1945" t="s">
        <v>38603</v>
      </c>
      <c r="L1945" t="s">
        <v>38604</v>
      </c>
      <c r="M1945" t="s">
        <v>38605</v>
      </c>
      <c r="N1945">
        <f>-580.274645325613 -38.0916063381755 -759.891170803584</f>
        <v>-1378.2574224673726</v>
      </c>
      <c r="O1945">
        <f>-601.546728443811 -174.922981873492 -710.411350521507</f>
        <v>-1486.8810608388098</v>
      </c>
      <c r="P1945">
        <f>-582.670526507232 -150.535805845204 -395.395337228249</f>
        <v>-1128.601669580685</v>
      </c>
      <c r="Q1945">
        <f>-344.199890223862 -58.3793841128046 -443.154872528984</f>
        <v>-845.73414686565059</v>
      </c>
      <c r="R1945" t="s">
        <v>38606</v>
      </c>
      <c r="S1945" t="s">
        <v>38607</v>
      </c>
      <c r="T1945" t="s">
        <v>38608</v>
      </c>
      <c r="U1945" t="s">
        <v>38609</v>
      </c>
      <c r="V1945" t="s">
        <v>38610</v>
      </c>
      <c r="W1945" t="s">
        <v>38611</v>
      </c>
      <c r="X1945" t="s">
        <v>38612</v>
      </c>
      <c r="Y1945" t="s">
        <v>38613</v>
      </c>
    </row>
    <row r="1946" spans="1:25" x14ac:dyDescent="0.3">
      <c r="A1946">
        <v>97250</v>
      </c>
      <c r="B1946" t="s">
        <v>38614</v>
      </c>
      <c r="C1946" t="s">
        <v>38615</v>
      </c>
      <c r="D1946" t="s">
        <v>38616</v>
      </c>
      <c r="E1946" t="s">
        <v>38617</v>
      </c>
      <c r="F1946" t="s">
        <v>38618</v>
      </c>
      <c r="G1946" t="s">
        <v>38619</v>
      </c>
      <c r="H1946">
        <f>-569.873711911959 -24.7690081358772 -832.246664156668</f>
        <v>-1426.8893842045043</v>
      </c>
      <c r="I1946">
        <f>-534.650717134382 -44.0028251558203 -925.907736280145</f>
        <v>-1504.5612785703474</v>
      </c>
      <c r="J1946" t="s">
        <v>38620</v>
      </c>
      <c r="K1946" t="s">
        <v>38621</v>
      </c>
      <c r="L1946" t="s">
        <v>38622</v>
      </c>
      <c r="M1946" t="s">
        <v>38623</v>
      </c>
      <c r="N1946">
        <f>-580.949152931443 -38.2486033611225 -759.799746265159</f>
        <v>-1378.9975025577246</v>
      </c>
      <c r="O1946">
        <f>-602.167500671664 -175.090348191845 -710.314463985773</f>
        <v>-1487.5723128492821</v>
      </c>
      <c r="P1946">
        <f>-582.799106387112 -150.841817636829 -395.317640442147</f>
        <v>-1128.9585644660881</v>
      </c>
      <c r="Q1946">
        <f>-344.127033018426 -59.6221265623913 -443.862733013517</f>
        <v>-847.61189259433434</v>
      </c>
      <c r="R1946" t="s">
        <v>38624</v>
      </c>
      <c r="S1946" t="s">
        <v>38625</v>
      </c>
      <c r="T1946" t="s">
        <v>38626</v>
      </c>
      <c r="U1946" t="s">
        <v>38627</v>
      </c>
      <c r="V1946" t="s">
        <v>38628</v>
      </c>
      <c r="W1946" t="s">
        <v>38629</v>
      </c>
      <c r="X1946" t="s">
        <v>38630</v>
      </c>
      <c r="Y1946" t="s">
        <v>38631</v>
      </c>
    </row>
    <row r="1947" spans="1:25" x14ac:dyDescent="0.3">
      <c r="A1947">
        <v>97300</v>
      </c>
      <c r="B1947" t="s">
        <v>38632</v>
      </c>
      <c r="C1947" t="s">
        <v>38633</v>
      </c>
      <c r="D1947" t="s">
        <v>38634</v>
      </c>
      <c r="E1947" t="s">
        <v>38635</v>
      </c>
      <c r="F1947" t="s">
        <v>38636</v>
      </c>
      <c r="G1947" t="s">
        <v>38637</v>
      </c>
      <c r="H1947">
        <f>-569.882447288283 -24.8335048875093 -832.354869637181</f>
        <v>-1427.0708218129732</v>
      </c>
      <c r="I1947">
        <f>-534.589691324461 -43.9965197908377 -926.004224274602</f>
        <v>-1504.5904353899009</v>
      </c>
      <c r="J1947" t="s">
        <v>38638</v>
      </c>
      <c r="K1947" t="s">
        <v>38639</v>
      </c>
      <c r="L1947" t="s">
        <v>38640</v>
      </c>
      <c r="M1947" t="s">
        <v>38641</v>
      </c>
      <c r="N1947">
        <f>-580.938337462775 -38.3830498377587 -759.918045759014</f>
        <v>-1379.2394330595478</v>
      </c>
      <c r="O1947">
        <f>-602.155594072153 -175.241221728847 -710.476630165197</f>
        <v>-1487.8734459661969</v>
      </c>
      <c r="P1947">
        <f>-582.4719684496 -151.446327330421 -395.464596862758</f>
        <v>-1129.3828926427791</v>
      </c>
      <c r="Q1947">
        <f>-343.650027974498 -60.7729950488323 -444.296167113025</f>
        <v>-848.71919013635534</v>
      </c>
      <c r="R1947" t="s">
        <v>38642</v>
      </c>
      <c r="S1947" t="s">
        <v>38643</v>
      </c>
      <c r="T1947" t="s">
        <v>38644</v>
      </c>
      <c r="U1947" t="s">
        <v>38645</v>
      </c>
      <c r="V1947" t="s">
        <v>38646</v>
      </c>
      <c r="W1947" t="s">
        <v>38647</v>
      </c>
      <c r="X1947" t="s">
        <v>38648</v>
      </c>
      <c r="Y1947" t="s">
        <v>38649</v>
      </c>
    </row>
    <row r="1948" spans="1:25" x14ac:dyDescent="0.3">
      <c r="A1948">
        <v>97350</v>
      </c>
      <c r="B1948" t="s">
        <v>38650</v>
      </c>
      <c r="C1948" t="s">
        <v>38651</v>
      </c>
      <c r="D1948" t="s">
        <v>38652</v>
      </c>
      <c r="E1948" t="s">
        <v>38653</v>
      </c>
      <c r="F1948" t="s">
        <v>38654</v>
      </c>
      <c r="G1948" t="s">
        <v>38655</v>
      </c>
      <c r="H1948">
        <f>-570.216026769865 -24.3096445902298 -832.486980331249</f>
        <v>-1427.0126516913438</v>
      </c>
      <c r="I1948">
        <f>-534.7680932492 -43.1908988943146 -926.134707002792</f>
        <v>-1504.0936991463066</v>
      </c>
      <c r="J1948" t="s">
        <v>38656</v>
      </c>
      <c r="K1948" t="s">
        <v>38657</v>
      </c>
      <c r="L1948" t="s">
        <v>38658</v>
      </c>
      <c r="M1948" t="s">
        <v>38659</v>
      </c>
      <c r="N1948">
        <f>-581.23442739772 -38.0459932579763 -760.079528509348</f>
        <v>-1379.3599491650443</v>
      </c>
      <c r="O1948">
        <f>-602.149713165869 -175.014611971503 -710.824230585439</f>
        <v>-1487.9885557228108</v>
      </c>
      <c r="P1948">
        <f>-582.413498711562 -152.032161067521 -395.755103358258</f>
        <v>-1130.200763137341</v>
      </c>
      <c r="Q1948">
        <f>-343.409614392765 -62.1860278642165 -445.221252833488</f>
        <v>-850.81689509046942</v>
      </c>
      <c r="R1948" t="s">
        <v>38660</v>
      </c>
      <c r="S1948" t="s">
        <v>38661</v>
      </c>
      <c r="T1948" t="s">
        <v>38662</v>
      </c>
      <c r="U1948" t="s">
        <v>38663</v>
      </c>
      <c r="V1948" t="s">
        <v>38664</v>
      </c>
      <c r="W1948" t="s">
        <v>38665</v>
      </c>
      <c r="X1948" t="s">
        <v>38666</v>
      </c>
      <c r="Y1948" t="s">
        <v>38667</v>
      </c>
    </row>
    <row r="1949" spans="1:25" x14ac:dyDescent="0.3">
      <c r="A1949">
        <v>97400</v>
      </c>
      <c r="B1949" t="s">
        <v>38668</v>
      </c>
      <c r="C1949" t="s">
        <v>38669</v>
      </c>
      <c r="D1949" t="s">
        <v>38670</v>
      </c>
      <c r="E1949" t="s">
        <v>38671</v>
      </c>
      <c r="F1949" t="s">
        <v>38672</v>
      </c>
      <c r="G1949" t="s">
        <v>38673</v>
      </c>
      <c r="H1949">
        <f>-570.512395611441 -24.2200034846578 -832.548211704813</f>
        <v>-1427.2806108009117</v>
      </c>
      <c r="I1949">
        <f>-535.020779769472 -42.9182657179582 -926.216349361821</f>
        <v>-1504.1553948492513</v>
      </c>
      <c r="J1949" t="s">
        <v>38674</v>
      </c>
      <c r="K1949" t="s">
        <v>38675</v>
      </c>
      <c r="L1949" t="s">
        <v>38676</v>
      </c>
      <c r="M1949" t="s">
        <v>38677</v>
      </c>
      <c r="N1949">
        <f>-581.471937141237 -38.0590636941749 -760.151427635817</f>
        <v>-1379.6824284712288</v>
      </c>
      <c r="O1949">
        <f>-602.126352180667 -175.098473566355 -710.991853991278</f>
        <v>-1488.2166797383002</v>
      </c>
      <c r="P1949">
        <f>-582.445684994805 -152.575256827259 -395.886116103287</f>
        <v>-1130.9070579253512</v>
      </c>
      <c r="Q1949">
        <f>-343.463907915547 -62.9087794645716 -445.782805314149</f>
        <v>-852.15549269426765</v>
      </c>
      <c r="R1949" t="s">
        <v>38678</v>
      </c>
      <c r="S1949" t="s">
        <v>38679</v>
      </c>
      <c r="T1949" t="s">
        <v>38680</v>
      </c>
      <c r="U1949" t="s">
        <v>38681</v>
      </c>
      <c r="V1949">
        <f>-533.511231942032 -0.217220517451921 -223.729609137627</f>
        <v>-757.45806159711094</v>
      </c>
      <c r="W1949" t="s">
        <v>38682</v>
      </c>
      <c r="X1949" t="s">
        <v>38683</v>
      </c>
      <c r="Y1949" t="s">
        <v>38684</v>
      </c>
    </row>
    <row r="1950" spans="1:25" x14ac:dyDescent="0.3">
      <c r="A1950">
        <v>97450</v>
      </c>
      <c r="B1950" t="s">
        <v>38685</v>
      </c>
      <c r="C1950" t="s">
        <v>38686</v>
      </c>
      <c r="D1950" t="s">
        <v>38687</v>
      </c>
      <c r="E1950" t="s">
        <v>38688</v>
      </c>
      <c r="F1950" t="s">
        <v>38689</v>
      </c>
      <c r="G1950" t="s">
        <v>38690</v>
      </c>
      <c r="H1950">
        <f>-571.387039221256 -23.8912233570603 -832.870959692729</f>
        <v>-1428.1492222710453</v>
      </c>
      <c r="I1950">
        <f>-535.812283850094 -42.2184587483556 -926.580750056286</f>
        <v>-1504.6114926547357</v>
      </c>
      <c r="J1950" t="s">
        <v>38691</v>
      </c>
      <c r="K1950" t="s">
        <v>38692</v>
      </c>
      <c r="L1950" t="s">
        <v>38693</v>
      </c>
      <c r="M1950" t="s">
        <v>38694</v>
      </c>
      <c r="N1950">
        <f>-582.133058799173 -37.9365007631321 -760.481856183068</f>
        <v>-1380.5514157453731</v>
      </c>
      <c r="O1950">
        <f>-602.052784025918 -175.142967942124 -711.475465292238</f>
        <v>-1488.6712172602799</v>
      </c>
      <c r="P1950">
        <f>-582.130974645078 -153.071710571808 -396.353069351672</f>
        <v>-1131.5557545685581</v>
      </c>
      <c r="Q1950">
        <f>-343.516755155867 -63.0040916277469 -447.275839842053</f>
        <v>-853.79668662566689</v>
      </c>
      <c r="R1950" t="s">
        <v>38695</v>
      </c>
      <c r="S1950" t="s">
        <v>38696</v>
      </c>
      <c r="T1950" t="s">
        <v>38697</v>
      </c>
      <c r="U1950" t="s">
        <v>38698</v>
      </c>
      <c r="V1950">
        <f>-533.941308533866 -0.749731094085675 -223.93140419763</f>
        <v>-758.62244382558174</v>
      </c>
      <c r="W1950" t="s">
        <v>38699</v>
      </c>
      <c r="X1950" t="s">
        <v>38700</v>
      </c>
      <c r="Y1950" t="s">
        <v>38701</v>
      </c>
    </row>
    <row r="1951" spans="1:25" x14ac:dyDescent="0.3">
      <c r="A1951">
        <v>97500</v>
      </c>
      <c r="B1951" t="s">
        <v>38702</v>
      </c>
      <c r="C1951" t="s">
        <v>38703</v>
      </c>
      <c r="D1951" t="s">
        <v>38704</v>
      </c>
      <c r="E1951" t="s">
        <v>38705</v>
      </c>
      <c r="F1951" t="s">
        <v>38706</v>
      </c>
      <c r="G1951" t="s">
        <v>38707</v>
      </c>
      <c r="H1951">
        <f>-572.305346982692 -23.3709768575764 -832.980351049854</f>
        <v>-1428.6566748901223</v>
      </c>
      <c r="I1951">
        <f>-536.776717799454 -41.5154157100164 -926.743208573183</f>
        <v>-1505.0353420826534</v>
      </c>
      <c r="J1951" t="s">
        <v>38708</v>
      </c>
      <c r="K1951" t="s">
        <v>38709</v>
      </c>
      <c r="L1951" t="s">
        <v>38710</v>
      </c>
      <c r="M1951" t="s">
        <v>38711</v>
      </c>
      <c r="N1951">
        <f>-582.884037335642 -37.536057905056 -760.590015607443</f>
        <v>-1381.0101108481408</v>
      </c>
      <c r="O1951">
        <f>-602.448250120876 -174.819568678654 -711.647803927097</f>
        <v>-1488.9156227266271</v>
      </c>
      <c r="P1951">
        <f>-582.316019179246 -152.860842462699 -396.530868771764</f>
        <v>-1131.707730413709</v>
      </c>
      <c r="Q1951">
        <f>-343.919258324223 -62.4345974703549 -447.835267700434</f>
        <v>-854.18912349501193</v>
      </c>
      <c r="R1951" t="s">
        <v>38712</v>
      </c>
      <c r="S1951" t="s">
        <v>38713</v>
      </c>
      <c r="T1951" t="s">
        <v>38714</v>
      </c>
      <c r="U1951" t="s">
        <v>38715</v>
      </c>
      <c r="V1951">
        <f>-534.216078140882 -0.701181821592499 -223.934778743246</f>
        <v>-758.85203870572059</v>
      </c>
      <c r="W1951" t="s">
        <v>38716</v>
      </c>
      <c r="X1951" t="s">
        <v>38717</v>
      </c>
      <c r="Y1951" t="s">
        <v>38718</v>
      </c>
    </row>
    <row r="1952" spans="1:25" x14ac:dyDescent="0.3">
      <c r="A1952">
        <v>97550</v>
      </c>
      <c r="B1952" t="s">
        <v>38719</v>
      </c>
      <c r="C1952" t="s">
        <v>38720</v>
      </c>
      <c r="D1952" t="s">
        <v>38721</v>
      </c>
      <c r="E1952" t="s">
        <v>38722</v>
      </c>
      <c r="F1952" t="s">
        <v>38723</v>
      </c>
      <c r="G1952" t="s">
        <v>38724</v>
      </c>
      <c r="H1952">
        <f>-573.252578975237 -22.8315449218588 -833.153956095718</f>
        <v>-1429.2380799928137</v>
      </c>
      <c r="I1952">
        <f>-537.79383617892 -40.6639803257386 -927.003116597493</f>
        <v>-1505.4609331021516</v>
      </c>
      <c r="J1952" t="s">
        <v>38725</v>
      </c>
      <c r="K1952" t="s">
        <v>38726</v>
      </c>
      <c r="L1952" t="s">
        <v>38727</v>
      </c>
      <c r="M1952" t="s">
        <v>38728</v>
      </c>
      <c r="N1952">
        <f>-583.657801978008 -37.1890843982143 -760.776468726564</f>
        <v>-1381.6233551027863</v>
      </c>
      <c r="O1952">
        <f>-602.587894047791 -174.606586758359 -711.969338047568</f>
        <v>-1489.1638188537181</v>
      </c>
      <c r="P1952">
        <f>-582.130040144159 -152.630750927821 -396.874584047506</f>
        <v>-1131.6353751194861</v>
      </c>
      <c r="Q1952">
        <f>-344.205714377599 -61.2131152186443 -448.613211383611</f>
        <v>-854.03204097985429</v>
      </c>
      <c r="R1952" t="s">
        <v>38729</v>
      </c>
      <c r="S1952" t="s">
        <v>38730</v>
      </c>
      <c r="T1952" t="s">
        <v>38731</v>
      </c>
      <c r="U1952" t="s">
        <v>38732</v>
      </c>
      <c r="V1952">
        <f>-534.62917576339 -0.815834181671868 -223.962202385035</f>
        <v>-759.40721233009685</v>
      </c>
      <c r="W1952" t="s">
        <v>38733</v>
      </c>
      <c r="X1952" t="s">
        <v>38734</v>
      </c>
      <c r="Y1952" t="s">
        <v>38735</v>
      </c>
    </row>
    <row r="1953" spans="1:25" x14ac:dyDescent="0.3">
      <c r="A1953">
        <v>97600</v>
      </c>
      <c r="B1953" t="s">
        <v>38736</v>
      </c>
      <c r="C1953" t="s">
        <v>38737</v>
      </c>
      <c r="D1953" t="s">
        <v>38738</v>
      </c>
      <c r="E1953" t="s">
        <v>38739</v>
      </c>
      <c r="F1953" t="s">
        <v>38740</v>
      </c>
      <c r="G1953" t="s">
        <v>38741</v>
      </c>
      <c r="H1953">
        <f>-573.52800352697 -22.7668921891491 -833.199792286186</f>
        <v>-1429.4946880023051</v>
      </c>
      <c r="I1953">
        <f>-538.110450867052 -40.4906169079412 -927.084989000452</f>
        <v>-1505.6860567754452</v>
      </c>
      <c r="J1953" t="s">
        <v>38742</v>
      </c>
      <c r="K1953" t="s">
        <v>38743</v>
      </c>
      <c r="L1953" t="s">
        <v>38744</v>
      </c>
      <c r="M1953" t="s">
        <v>38745</v>
      </c>
      <c r="N1953">
        <f>-583.901277995951 -37.1705750652514 -760.826815518683</f>
        <v>-1381.8986685798855</v>
      </c>
      <c r="O1953">
        <f>-602.62396704776 -174.616201200841 -712.05801255309</f>
        <v>-1489.2981808016909</v>
      </c>
      <c r="P1953">
        <f>-582.074691541148 -152.673168665194 -396.966996242372</f>
        <v>-1131.714856448714</v>
      </c>
      <c r="Q1953">
        <f>-344.299072866974 -60.8335283563873 -448.641941454873</f>
        <v>-853.7745426782343</v>
      </c>
      <c r="R1953" t="s">
        <v>38746</v>
      </c>
      <c r="S1953" t="s">
        <v>38747</v>
      </c>
      <c r="T1953" t="s">
        <v>38748</v>
      </c>
      <c r="U1953" t="s">
        <v>38749</v>
      </c>
      <c r="V1953">
        <f>-534.689992414279 -0.990238810004243 -223.975246503069</f>
        <v>-759.65547772735226</v>
      </c>
      <c r="W1953" t="s">
        <v>38750</v>
      </c>
      <c r="X1953" t="s">
        <v>38751</v>
      </c>
      <c r="Y1953" t="s">
        <v>38752</v>
      </c>
    </row>
    <row r="1954" spans="1:25" x14ac:dyDescent="0.3">
      <c r="A1954">
        <v>97650</v>
      </c>
      <c r="B1954" t="s">
        <v>38753</v>
      </c>
      <c r="C1954" t="s">
        <v>38754</v>
      </c>
      <c r="D1954" t="s">
        <v>38755</v>
      </c>
      <c r="E1954" t="s">
        <v>38756</v>
      </c>
      <c r="F1954" t="s">
        <v>38757</v>
      </c>
      <c r="G1954" t="s">
        <v>38758</v>
      </c>
      <c r="H1954">
        <f>-573.895590052631 -23.2250496519242 -833.165133506725</f>
        <v>-1430.2857732112802</v>
      </c>
      <c r="I1954">
        <f>-538.586904820048 -40.8609990942374 -927.108048954639</f>
        <v>-1506.5559528689244</v>
      </c>
      <c r="J1954" t="s">
        <v>38759</v>
      </c>
      <c r="K1954" t="s">
        <v>38760</v>
      </c>
      <c r="L1954" t="s">
        <v>38761</v>
      </c>
      <c r="M1954" t="s">
        <v>38762</v>
      </c>
      <c r="N1954">
        <f>-584.221323771732 -37.6063402692999 -760.780924647799</f>
        <v>-1382.6085886888309</v>
      </c>
      <c r="O1954">
        <f>-602.867938945447 -175.059135815378 -712.001409305759</f>
        <v>-1489.9284840665841</v>
      </c>
      <c r="P1954">
        <f>-582.494454177047 -153.232377252374 -396.890904347115</f>
        <v>-1132.6177357765359</v>
      </c>
      <c r="Q1954">
        <f>-344.930814820361 -60.9210327600816 -448.700080750884</f>
        <v>-854.55192833132662</v>
      </c>
      <c r="R1954" t="s">
        <v>38763</v>
      </c>
      <c r="S1954" t="s">
        <v>38764</v>
      </c>
      <c r="T1954" t="s">
        <v>38765</v>
      </c>
      <c r="U1954" t="s">
        <v>38766</v>
      </c>
      <c r="V1954">
        <f>-534.80788299777 -1.22517831027344 -223.968751704276</f>
        <v>-760.00181301231942</v>
      </c>
      <c r="W1954" t="s">
        <v>38767</v>
      </c>
      <c r="X1954" t="s">
        <v>38768</v>
      </c>
      <c r="Y1954" t="s">
        <v>38769</v>
      </c>
    </row>
    <row r="1955" spans="1:25" x14ac:dyDescent="0.3">
      <c r="A1955">
        <v>97700</v>
      </c>
      <c r="B1955" t="s">
        <v>38770</v>
      </c>
      <c r="C1955" t="s">
        <v>38771</v>
      </c>
      <c r="D1955" t="s">
        <v>38772</v>
      </c>
      <c r="E1955" t="s">
        <v>38773</v>
      </c>
      <c r="F1955" t="s">
        <v>38774</v>
      </c>
      <c r="G1955" t="s">
        <v>38775</v>
      </c>
      <c r="H1955">
        <f>-574.312052178004 -23.2962288185996 -833.161672669097</f>
        <v>-1430.7699536657005</v>
      </c>
      <c r="I1955">
        <f>-539.097221591152 -40.9701767228895 -927.132636802754</f>
        <v>-1507.2000351167953</v>
      </c>
      <c r="J1955" t="s">
        <v>38776</v>
      </c>
      <c r="K1955" t="s">
        <v>38777</v>
      </c>
      <c r="L1955" t="s">
        <v>38778</v>
      </c>
      <c r="M1955" t="s">
        <v>38779</v>
      </c>
      <c r="N1955">
        <f>-584.571760985808 -37.6230748142644 -760.757274671542</f>
        <v>-1382.9521104716146</v>
      </c>
      <c r="O1955">
        <f>-603.252608484392 -175.060202912102 -711.916832514006</f>
        <v>-1490.2296439105</v>
      </c>
      <c r="P1955">
        <f>-582.835226552259 -153.168906973484 -396.813591090175</f>
        <v>-1132.817724615918</v>
      </c>
      <c r="Q1955">
        <f>-345.322919372338 -60.9612038419208 -449.041190516136</f>
        <v>-855.32531373039478</v>
      </c>
      <c r="R1955" t="s">
        <v>38780</v>
      </c>
      <c r="S1955" t="s">
        <v>38781</v>
      </c>
      <c r="T1955" t="s">
        <v>38782</v>
      </c>
      <c r="U1955" t="s">
        <v>38783</v>
      </c>
      <c r="V1955">
        <f>-534.772248625574 -0.969995019672368 -224.061875437048</f>
        <v>-759.80411908229439</v>
      </c>
      <c r="W1955" t="s">
        <v>38784</v>
      </c>
      <c r="X1955" t="s">
        <v>38785</v>
      </c>
      <c r="Y1955" t="s">
        <v>38786</v>
      </c>
    </row>
    <row r="1956" spans="1:25" x14ac:dyDescent="0.3">
      <c r="A1956">
        <v>97750</v>
      </c>
      <c r="B1956" t="s">
        <v>38787</v>
      </c>
      <c r="C1956" t="s">
        <v>38788</v>
      </c>
      <c r="D1956" t="s">
        <v>38789</v>
      </c>
      <c r="E1956" t="s">
        <v>38790</v>
      </c>
      <c r="F1956" t="s">
        <v>38791</v>
      </c>
      <c r="G1956" t="s">
        <v>38792</v>
      </c>
      <c r="H1956">
        <f>-575.099226549054 -23.8523617914844 -833.090900391263</f>
        <v>-1432.0424887318013</v>
      </c>
      <c r="I1956">
        <f>-540.104398419907 -41.6839376152943 -927.114107613501</f>
        <v>-1508.9024436487025</v>
      </c>
      <c r="J1956" t="s">
        <v>38793</v>
      </c>
      <c r="K1956" t="s">
        <v>38794</v>
      </c>
      <c r="L1956" t="s">
        <v>38795</v>
      </c>
      <c r="M1956" t="s">
        <v>38796</v>
      </c>
      <c r="N1956">
        <f>-585.193786892185 -38.0715056118695 -760.641997896248</f>
        <v>-1383.9072904003024</v>
      </c>
      <c r="O1956">
        <f>-604.034330624962 -175.443841646636 -711.70078979581</f>
        <v>-1491.1789620674081</v>
      </c>
      <c r="P1956">
        <f>-582.909969094175 -153.170802843265 -396.670913510009</f>
        <v>-1132.7516854474488</v>
      </c>
      <c r="Q1956">
        <f>-345.233071846747 -62.0406833790274 -450.028415718877</f>
        <v>-857.30217094465138</v>
      </c>
      <c r="R1956" t="s">
        <v>38797</v>
      </c>
      <c r="S1956" t="s">
        <v>38798</v>
      </c>
      <c r="T1956" t="s">
        <v>38799</v>
      </c>
      <c r="U1956" t="s">
        <v>38800</v>
      </c>
      <c r="V1956">
        <f>-534.692461778593 -1.45215992044795 -224.02796772189</f>
        <v>-760.17258942093099</v>
      </c>
      <c r="W1956" t="s">
        <v>38801</v>
      </c>
      <c r="X1956" t="s">
        <v>38802</v>
      </c>
      <c r="Y1956" t="s">
        <v>38803</v>
      </c>
    </row>
    <row r="1957" spans="1:25" x14ac:dyDescent="0.3">
      <c r="A1957">
        <v>97800</v>
      </c>
      <c r="B1957" t="s">
        <v>38804</v>
      </c>
      <c r="C1957" t="s">
        <v>38805</v>
      </c>
      <c r="D1957" t="s">
        <v>38806</v>
      </c>
      <c r="E1957" t="s">
        <v>38807</v>
      </c>
      <c r="F1957" t="s">
        <v>38808</v>
      </c>
      <c r="G1957" t="s">
        <v>38809</v>
      </c>
      <c r="H1957">
        <f>-575.489548528167 -24.056173510121 -832.900377189629</f>
        <v>-1432.4460992279169</v>
      </c>
      <c r="I1957">
        <f>-540.631753809039 -42.030233738212 -926.947451411055</f>
        <v>-1509.6094389583059</v>
      </c>
      <c r="J1957" t="s">
        <v>38810</v>
      </c>
      <c r="K1957" t="s">
        <v>38811</v>
      </c>
      <c r="L1957" t="s">
        <v>38812</v>
      </c>
      <c r="M1957" t="s">
        <v>38813</v>
      </c>
      <c r="N1957">
        <f>-585.550609384257 -38.2040916241334 -760.432880142365</f>
        <v>-1384.1875811507552</v>
      </c>
      <c r="O1957">
        <f>-604.631575554946 -175.526479004034 -711.41790171131</f>
        <v>-1491.5759562702901</v>
      </c>
      <c r="P1957">
        <f>-582.987587604426 -153.135166000033 -396.431551127874</f>
        <v>-1132.5543047323331</v>
      </c>
      <c r="Q1957">
        <f>-345.123680178465 -62.8438563836436 -450.37893002449</f>
        <v>-858.34646658659858</v>
      </c>
      <c r="R1957" t="s">
        <v>38814</v>
      </c>
      <c r="S1957" t="s">
        <v>38815</v>
      </c>
      <c r="T1957" t="s">
        <v>38816</v>
      </c>
      <c r="U1957" t="s">
        <v>38817</v>
      </c>
      <c r="V1957">
        <f>-534.669567588435 -1.27883936988952 -223.888580708766</f>
        <v>-759.83698766709051</v>
      </c>
      <c r="W1957" t="s">
        <v>38818</v>
      </c>
      <c r="X1957" t="s">
        <v>38819</v>
      </c>
      <c r="Y1957" t="s">
        <v>38820</v>
      </c>
    </row>
    <row r="1958" spans="1:25" x14ac:dyDescent="0.3">
      <c r="A1958">
        <v>97850</v>
      </c>
      <c r="B1958" t="s">
        <v>38821</v>
      </c>
      <c r="C1958" t="s">
        <v>38822</v>
      </c>
      <c r="D1958" t="s">
        <v>38823</v>
      </c>
      <c r="E1958" t="s">
        <v>38824</v>
      </c>
      <c r="F1958" t="s">
        <v>38825</v>
      </c>
      <c r="G1958" t="s">
        <v>38826</v>
      </c>
      <c r="H1958">
        <f>-575.89119689904 -24.2453367069525 -832.75441194154</f>
        <v>-1432.8909455475323</v>
      </c>
      <c r="I1958">
        <f>-541.297492357397 -42.5065592862287 -926.843650525118</f>
        <v>-1510.6477021687438</v>
      </c>
      <c r="J1958" t="s">
        <v>38827</v>
      </c>
      <c r="K1958" t="s">
        <v>38828</v>
      </c>
      <c r="L1958" t="s">
        <v>38829</v>
      </c>
      <c r="M1958" t="s">
        <v>38830</v>
      </c>
      <c r="N1958">
        <f>-585.944684376873 -38.2722233356162 -760.262521230523</f>
        <v>-1384.4794289430124</v>
      </c>
      <c r="O1958">
        <f>-605.516295624466 -175.470170092345 -711.0640932283</f>
        <v>-1492.0505589451109</v>
      </c>
      <c r="P1958">
        <f>-582.975037075025 -153.318860305808 -396.123762930112</f>
        <v>-1132.4176603109449</v>
      </c>
      <c r="Q1958">
        <f>-344.763277064551 -64.4628265943116 -450.912567925338</f>
        <v>-860.13867158420067</v>
      </c>
      <c r="R1958" t="s">
        <v>38831</v>
      </c>
      <c r="S1958" t="s">
        <v>38832</v>
      </c>
      <c r="T1958" t="s">
        <v>38833</v>
      </c>
      <c r="U1958" t="s">
        <v>38834</v>
      </c>
      <c r="V1958">
        <f>-534.606835070826 -1.27829026459743 -223.866105549175</f>
        <v>-759.7512308845985</v>
      </c>
      <c r="W1958" t="s">
        <v>38835</v>
      </c>
      <c r="X1958" t="s">
        <v>38836</v>
      </c>
      <c r="Y1958" t="s">
        <v>38837</v>
      </c>
    </row>
    <row r="1959" spans="1:25" x14ac:dyDescent="0.3">
      <c r="A1959">
        <v>97900</v>
      </c>
      <c r="B1959" t="s">
        <v>38838</v>
      </c>
      <c r="C1959" t="s">
        <v>38839</v>
      </c>
      <c r="D1959" t="s">
        <v>38840</v>
      </c>
      <c r="E1959" t="s">
        <v>38841</v>
      </c>
      <c r="F1959" t="s">
        <v>38842</v>
      </c>
      <c r="G1959" t="s">
        <v>38843</v>
      </c>
      <c r="H1959">
        <f>-576.397261805835 -24.5836821061831 -832.688882326349</f>
        <v>-1433.669826238367</v>
      </c>
      <c r="I1959">
        <f>-541.92239596558 -42.9847478852082 -926.794379836152</f>
        <v>-1511.7015236869402</v>
      </c>
      <c r="J1959" t="s">
        <v>38844</v>
      </c>
      <c r="K1959" t="s">
        <v>38845</v>
      </c>
      <c r="L1959" t="s">
        <v>38846</v>
      </c>
      <c r="M1959" t="s">
        <v>38847</v>
      </c>
      <c r="N1959">
        <f>-586.385601255348 -38.5583255365156 -760.177817725066</f>
        <v>-1385.1217445169295</v>
      </c>
      <c r="O1959">
        <f>-606.074173759036 -175.700125558851 -710.90140987842</f>
        <v>-1492.675709196307</v>
      </c>
      <c r="P1959">
        <f>-583.329451438081 -153.472610020558 -395.981167944656</f>
        <v>-1132.7832294032951</v>
      </c>
      <c r="Q1959">
        <f>-344.916561087084 -65.3989758013656 -451.157066681089</f>
        <v>-861.47260356953871</v>
      </c>
      <c r="R1959" t="s">
        <v>38848</v>
      </c>
      <c r="S1959" t="s">
        <v>38849</v>
      </c>
      <c r="T1959" t="s">
        <v>38850</v>
      </c>
      <c r="U1959" t="s">
        <v>38851</v>
      </c>
      <c r="V1959">
        <f>-534.62714578587 -1.39575830761348 -223.851654065235</f>
        <v>-759.87455815871851</v>
      </c>
      <c r="W1959" t="s">
        <v>38852</v>
      </c>
      <c r="X1959" t="s">
        <v>38853</v>
      </c>
      <c r="Y1959" t="s">
        <v>38854</v>
      </c>
    </row>
    <row r="1960" spans="1:25" x14ac:dyDescent="0.3">
      <c r="A1960">
        <v>97950</v>
      </c>
      <c r="B1960" t="s">
        <v>38855</v>
      </c>
      <c r="C1960" t="s">
        <v>38856</v>
      </c>
      <c r="D1960" t="s">
        <v>38857</v>
      </c>
      <c r="E1960" t="s">
        <v>38858</v>
      </c>
      <c r="F1960" t="s">
        <v>38859</v>
      </c>
      <c r="G1960" t="s">
        <v>38860</v>
      </c>
      <c r="H1960">
        <f>-577.960622592881 -25.4471382178688 -832.602668177579</f>
        <v>-1436.0104289883288</v>
      </c>
      <c r="I1960">
        <f>-543.787508042771 -44.1209547506217 -926.764638540671</f>
        <v>-1514.6731013340636</v>
      </c>
      <c r="J1960" t="s">
        <v>38861</v>
      </c>
      <c r="K1960" t="s">
        <v>38862</v>
      </c>
      <c r="L1960" t="s">
        <v>38863</v>
      </c>
      <c r="M1960" t="s">
        <v>38864</v>
      </c>
      <c r="N1960">
        <f>-587.716093239127 -39.2618409210385 -760.029358950786</f>
        <v>-1387.0072931109514</v>
      </c>
      <c r="O1960">
        <f>-607.579231316634 -176.279721987513 -710.47350270391</f>
        <v>-1494.3324560080569</v>
      </c>
      <c r="P1960">
        <f>-584.250896945793 -153.593339733006 -395.628596425341</f>
        <v>-1133.4728331041401</v>
      </c>
      <c r="Q1960">
        <f>-345.255578597187 -67.2452342422423 -451.011690168479</f>
        <v>-863.51250300790832</v>
      </c>
      <c r="R1960" t="s">
        <v>38865</v>
      </c>
      <c r="S1960" t="s">
        <v>38866</v>
      </c>
      <c r="T1960" t="s">
        <v>38867</v>
      </c>
      <c r="U1960" t="s">
        <v>38868</v>
      </c>
      <c r="V1960">
        <f>-534.650768887617 -1.63533618843304 -223.974247657074</f>
        <v>-760.26035273312402</v>
      </c>
      <c r="W1960" t="s">
        <v>38869</v>
      </c>
      <c r="X1960" t="s">
        <v>38870</v>
      </c>
      <c r="Y1960" t="s">
        <v>38871</v>
      </c>
    </row>
    <row r="1961" spans="1:25" x14ac:dyDescent="0.3">
      <c r="A1961">
        <v>98000</v>
      </c>
      <c r="B1961" t="s">
        <v>38872</v>
      </c>
      <c r="C1961" t="s">
        <v>38873</v>
      </c>
      <c r="D1961" t="s">
        <v>38874</v>
      </c>
      <c r="E1961" t="s">
        <v>38875</v>
      </c>
      <c r="F1961" t="s">
        <v>38876</v>
      </c>
      <c r="G1961" t="s">
        <v>38877</v>
      </c>
      <c r="H1961">
        <f>-578.527591874813 -25.8606571014564 -832.543438479333</f>
        <v>-1436.9316874556023</v>
      </c>
      <c r="I1961">
        <f>-544.472710623369 -44.6270126204819 -926.729808049188</f>
        <v>-1515.8295312930391</v>
      </c>
      <c r="J1961" t="s">
        <v>38878</v>
      </c>
      <c r="K1961" t="s">
        <v>38879</v>
      </c>
      <c r="L1961" t="s">
        <v>38880</v>
      </c>
      <c r="M1961" t="s">
        <v>38881</v>
      </c>
      <c r="N1961">
        <f>-588.1983803295 -39.6012138883693 -759.944597396162</f>
        <v>-1387.7441916140313</v>
      </c>
      <c r="O1961">
        <f>-608.090527974236 -176.567639265805 -710.252262913141</f>
        <v>-1494.910430153182</v>
      </c>
      <c r="P1961">
        <f>-584.576804357532 -153.3817175324 -395.457674375158</f>
        <v>-1133.4161962650899</v>
      </c>
      <c r="Q1961">
        <f>-345.180989964476 -68.0677290271721 -450.713567445912</f>
        <v>-863.96228643756012</v>
      </c>
      <c r="R1961" t="s">
        <v>38882</v>
      </c>
      <c r="S1961" t="s">
        <v>38883</v>
      </c>
      <c r="T1961" t="s">
        <v>38884</v>
      </c>
      <c r="U1961" t="s">
        <v>38885</v>
      </c>
      <c r="V1961">
        <f>-534.81034525892 -1.77505414217487 -224.005091897498</f>
        <v>-760.59049129859295</v>
      </c>
      <c r="W1961" t="s">
        <v>38886</v>
      </c>
      <c r="X1961" t="s">
        <v>38887</v>
      </c>
      <c r="Y1961" t="s">
        <v>38888</v>
      </c>
    </row>
    <row r="1962" spans="1:25" x14ac:dyDescent="0.3">
      <c r="A1962">
        <v>98050</v>
      </c>
      <c r="B1962" t="s">
        <v>38889</v>
      </c>
      <c r="C1962" t="s">
        <v>38890</v>
      </c>
      <c r="D1962" t="s">
        <v>38891</v>
      </c>
      <c r="E1962" t="s">
        <v>38892</v>
      </c>
      <c r="F1962" t="s">
        <v>38893</v>
      </c>
      <c r="G1962" t="s">
        <v>38894</v>
      </c>
      <c r="H1962">
        <f>-579.824198021243 -27.4558042336294 -832.300844004557</f>
        <v>-1439.5808462594293</v>
      </c>
      <c r="I1962">
        <f>-545.953547870651 -46.4444899856909 -926.509070511548</f>
        <v>-1518.90710836789</v>
      </c>
      <c r="J1962" t="s">
        <v>38895</v>
      </c>
      <c r="K1962" t="s">
        <v>38896</v>
      </c>
      <c r="L1962" t="s">
        <v>38897</v>
      </c>
      <c r="M1962" t="s">
        <v>38898</v>
      </c>
      <c r="N1962">
        <f>-589.393638429257 -40.980278782891 -759.648018201738</f>
        <v>-1390.0219354138858</v>
      </c>
      <c r="O1962">
        <f>-609.299542909831 -177.819354830682 -709.631966023331</f>
        <v>-1496.7508637638439</v>
      </c>
      <c r="P1962">
        <f>-585.48693037409 -154.00063935875 -394.906887969835</f>
        <v>-1134.394457702675</v>
      </c>
      <c r="Q1962">
        <f>-345.613556932896 -70.0340945018807 -450.155737652245</f>
        <v>-865.80338908702174</v>
      </c>
      <c r="R1962" t="s">
        <v>38899</v>
      </c>
      <c r="S1962" t="s">
        <v>38900</v>
      </c>
      <c r="T1962" t="s">
        <v>38901</v>
      </c>
      <c r="U1962" t="s">
        <v>38902</v>
      </c>
      <c r="V1962">
        <f>-534.979481851743 -2.44031321746915 -224.122166834731</f>
        <v>-761.54196190394305</v>
      </c>
      <c r="W1962" t="s">
        <v>38903</v>
      </c>
      <c r="X1962" t="s">
        <v>38904</v>
      </c>
      <c r="Y1962" t="s">
        <v>38905</v>
      </c>
    </row>
    <row r="1963" spans="1:25" x14ac:dyDescent="0.3">
      <c r="A1963">
        <v>98100</v>
      </c>
      <c r="B1963" t="s">
        <v>38906</v>
      </c>
      <c r="C1963" t="s">
        <v>38907</v>
      </c>
      <c r="D1963" t="s">
        <v>38908</v>
      </c>
      <c r="E1963" t="s">
        <v>38909</v>
      </c>
      <c r="F1963" t="s">
        <v>38910</v>
      </c>
      <c r="G1963" t="s">
        <v>38911</v>
      </c>
      <c r="H1963">
        <f>-580.267867093555 -28.3572110457827 -832.100468293859</f>
        <v>-1440.7255464331965</v>
      </c>
      <c r="I1963">
        <f>-546.466761096683 -47.4647909449853 -926.309593526445</f>
        <v>-1520.2411455681133</v>
      </c>
      <c r="J1963" t="s">
        <v>38912</v>
      </c>
      <c r="K1963" t="s">
        <v>38913</v>
      </c>
      <c r="L1963" t="s">
        <v>38914</v>
      </c>
      <c r="M1963" t="s">
        <v>38915</v>
      </c>
      <c r="N1963">
        <f>-589.802318008018 -41.7685207355936 -759.42193769291</f>
        <v>-1390.9927764365216</v>
      </c>
      <c r="O1963">
        <f>-609.823154485111 -178.540614717276 -709.243447367485</f>
        <v>-1497.607216569872</v>
      </c>
      <c r="P1963">
        <f>-585.754304855467 -154.732025985945 -394.537216693229</f>
        <v>-1135.023547534641</v>
      </c>
      <c r="Q1963">
        <f>-346.057984720067 -70.8568472560862 -450.685821799988</f>
        <v>-867.60065377614114</v>
      </c>
      <c r="R1963" t="s">
        <v>38916</v>
      </c>
      <c r="S1963" t="s">
        <v>38917</v>
      </c>
      <c r="T1963" t="s">
        <v>38918</v>
      </c>
      <c r="U1963" t="s">
        <v>38919</v>
      </c>
      <c r="V1963">
        <f>-535.052567142955 -2.81264137449048 -224.01235114062</f>
        <v>-761.87755965806548</v>
      </c>
      <c r="W1963" t="s">
        <v>38920</v>
      </c>
      <c r="X1963" t="s">
        <v>38921</v>
      </c>
      <c r="Y1963" t="s">
        <v>38922</v>
      </c>
    </row>
    <row r="1964" spans="1:25" x14ac:dyDescent="0.3">
      <c r="A1964">
        <v>98150</v>
      </c>
      <c r="B1964" t="s">
        <v>38923</v>
      </c>
      <c r="C1964" t="s">
        <v>38924</v>
      </c>
      <c r="D1964" t="s">
        <v>38925</v>
      </c>
      <c r="E1964" t="s">
        <v>38926</v>
      </c>
      <c r="F1964" t="s">
        <v>38927</v>
      </c>
      <c r="G1964" t="s">
        <v>38928</v>
      </c>
      <c r="H1964">
        <f>-581.965953118414 -29.7261756860404 -831.752477071654</f>
        <v>-1443.4446058761082</v>
      </c>
      <c r="I1964">
        <f>-548.296178724616 -49.0762648174425 -925.959279204833</f>
        <v>-1523.3317227468915</v>
      </c>
      <c r="J1964" t="s">
        <v>38929</v>
      </c>
      <c r="K1964" t="s">
        <v>38930</v>
      </c>
      <c r="L1964" t="s">
        <v>38931</v>
      </c>
      <c r="M1964" t="s">
        <v>38932</v>
      </c>
      <c r="N1964">
        <f>-591.322019474995 -42.9868317449746 -759.023377783077</f>
        <v>-1393.3322290030465</v>
      </c>
      <c r="O1964">
        <f>-611.622001522745 -179.585675779736 -708.532077218248</f>
        <v>-1499.7397545207291</v>
      </c>
      <c r="P1964">
        <f>-585.899079513323 -155.365117091177 -393.988269244945</f>
        <v>-1135.2524658494451</v>
      </c>
      <c r="Q1964">
        <f>-346.638102471235 -71.8197454237456 -452.438474159362</f>
        <v>-870.89632205434259</v>
      </c>
      <c r="R1964" t="s">
        <v>38933</v>
      </c>
      <c r="S1964" t="s">
        <v>38934</v>
      </c>
      <c r="T1964" t="s">
        <v>38935</v>
      </c>
      <c r="U1964" t="s">
        <v>38936</v>
      </c>
      <c r="V1964">
        <f>-535.274813615666 -3.49250548486987 -223.799218424725</f>
        <v>-762.56653752526086</v>
      </c>
      <c r="W1964" t="s">
        <v>38937</v>
      </c>
      <c r="X1964" t="s">
        <v>38938</v>
      </c>
      <c r="Y1964" t="s">
        <v>38939</v>
      </c>
    </row>
    <row r="1965" spans="1:25" x14ac:dyDescent="0.3">
      <c r="A1965">
        <v>98200</v>
      </c>
      <c r="B1965" t="s">
        <v>38940</v>
      </c>
      <c r="C1965" t="s">
        <v>38941</v>
      </c>
      <c r="D1965" t="s">
        <v>38942</v>
      </c>
      <c r="E1965" t="s">
        <v>38943</v>
      </c>
      <c r="F1965" t="s">
        <v>38944</v>
      </c>
      <c r="G1965" t="s">
        <v>38945</v>
      </c>
      <c r="H1965">
        <f>-582.737009921509 -30.6401723627152 -831.522271464345</f>
        <v>-1444.8994537485701</v>
      </c>
      <c r="I1965">
        <f>-549.173892746682 -50.1645129706821 -925.730989540873</f>
        <v>-1525.0693952582371</v>
      </c>
      <c r="J1965" t="s">
        <v>38946</v>
      </c>
      <c r="K1965" t="s">
        <v>38947</v>
      </c>
      <c r="L1965" t="s">
        <v>38948</v>
      </c>
      <c r="M1965" t="s">
        <v>38949</v>
      </c>
      <c r="N1965">
        <f>-591.976963119404 -43.7609357236491 -758.752749532378</f>
        <v>-1394.4906483754312</v>
      </c>
      <c r="O1965">
        <f>-612.291330582411 -180.258565489197 -707.934261126904</f>
        <v>-1500.4841571985119</v>
      </c>
      <c r="P1965">
        <f>-585.768774837098 -155.581068551011 -393.492228143411</f>
        <v>-1134.8420715315201</v>
      </c>
      <c r="Q1965">
        <f>-346.768576862201 -72.3001224914303 -453.369091978576</f>
        <v>-872.43779133220733</v>
      </c>
      <c r="R1965" t="s">
        <v>38950</v>
      </c>
      <c r="S1965" t="s">
        <v>38951</v>
      </c>
      <c r="T1965" t="s">
        <v>38952</v>
      </c>
      <c r="U1965" t="s">
        <v>38953</v>
      </c>
      <c r="V1965">
        <f>-535.39170255675 -3.53866051806526 -223.719660054028</f>
        <v>-762.65002312884326</v>
      </c>
      <c r="W1965" t="s">
        <v>38954</v>
      </c>
      <c r="X1965" t="s">
        <v>38955</v>
      </c>
      <c r="Y1965" t="s">
        <v>38956</v>
      </c>
    </row>
    <row r="1966" spans="1:25" x14ac:dyDescent="0.3">
      <c r="A1966">
        <v>98250</v>
      </c>
      <c r="B1966" t="s">
        <v>38957</v>
      </c>
      <c r="C1966" t="s">
        <v>38958</v>
      </c>
      <c r="D1966" t="s">
        <v>38959</v>
      </c>
      <c r="E1966" t="s">
        <v>38960</v>
      </c>
      <c r="F1966" t="s">
        <v>38961</v>
      </c>
      <c r="G1966" t="s">
        <v>38962</v>
      </c>
      <c r="H1966">
        <f>-583.664412422808 -32.434500464745 -830.994358470484</f>
        <v>-1447.0932713580371</v>
      </c>
      <c r="I1966">
        <f>-550.297401381698 -52.2610723350383 -925.209738958989</f>
        <v>-1527.7682126757254</v>
      </c>
      <c r="J1966" t="s">
        <v>38963</v>
      </c>
      <c r="K1966" t="s">
        <v>38964</v>
      </c>
      <c r="L1966" t="s">
        <v>38965</v>
      </c>
      <c r="M1966" t="s">
        <v>38966</v>
      </c>
      <c r="N1966">
        <f>-592.757679861017 -45.2793028901941 -758.157281164423</f>
        <v>-1396.1942639156341</v>
      </c>
      <c r="O1966">
        <f>-612.909502475763 -181.597952203159 -706.831160216071</f>
        <v>-1501.338614894993</v>
      </c>
      <c r="P1966">
        <f>-585.570550942962 -156.508538480351 -392.491610668323</f>
        <v>-1134.5707000916359</v>
      </c>
      <c r="Q1966">
        <f>-347.256648427345 -73.4275989751767 -455.309590649454</f>
        <v>-875.99383805197567</v>
      </c>
      <c r="R1966" t="s">
        <v>38967</v>
      </c>
      <c r="S1966" t="s">
        <v>38968</v>
      </c>
      <c r="T1966" t="s">
        <v>38969</v>
      </c>
      <c r="U1966" t="s">
        <v>38970</v>
      </c>
      <c r="V1966">
        <f>-535.384787621984 -3.86453774121885 -223.51792261667</f>
        <v>-762.76724797987288</v>
      </c>
      <c r="W1966" t="s">
        <v>38971</v>
      </c>
      <c r="X1966" t="s">
        <v>38972</v>
      </c>
      <c r="Y1966" t="s">
        <v>38973</v>
      </c>
    </row>
    <row r="1967" spans="1:25" x14ac:dyDescent="0.3">
      <c r="A1967">
        <v>98300</v>
      </c>
      <c r="B1967" t="s">
        <v>38974</v>
      </c>
      <c r="C1967" t="s">
        <v>38975</v>
      </c>
      <c r="D1967" t="s">
        <v>38976</v>
      </c>
      <c r="E1967" t="s">
        <v>38977</v>
      </c>
      <c r="F1967" t="s">
        <v>38978</v>
      </c>
      <c r="G1967" t="s">
        <v>38979</v>
      </c>
      <c r="H1967">
        <f>-583.712743575849 -33.1597033042997 -830.842521482766</f>
        <v>-1447.7149683629145</v>
      </c>
      <c r="I1967">
        <f>-550.392329149585 -53.1080826624921 -925.048779477686</f>
        <v>-1528.549191289763</v>
      </c>
      <c r="J1967" t="s">
        <v>38980</v>
      </c>
      <c r="K1967" t="s">
        <v>38981</v>
      </c>
      <c r="L1967" t="s">
        <v>38982</v>
      </c>
      <c r="M1967" t="s">
        <v>38983</v>
      </c>
      <c r="N1967">
        <f>-592.804463671438 -45.8882369890463 -757.984877838632</f>
        <v>-1396.6775784991164</v>
      </c>
      <c r="O1967">
        <f>-612.92011669592 -182.140183778946 -706.454429855586</f>
        <v>-1501.514730330452</v>
      </c>
      <c r="P1967">
        <f>-585.17586157468 -157.719938374976 -392.097922824612</f>
        <v>-1134.993722774268</v>
      </c>
      <c r="Q1967">
        <f>-347.438598466267 -74.2525205492966 -456.566607783335</f>
        <v>-878.2577267988986</v>
      </c>
      <c r="R1967" t="s">
        <v>38984</v>
      </c>
      <c r="S1967" t="s">
        <v>38985</v>
      </c>
      <c r="T1967" t="s">
        <v>38986</v>
      </c>
      <c r="U1967" t="s">
        <v>38987</v>
      </c>
      <c r="V1967">
        <f>-535.442740150096 -3.99067391937245 -223.52466992175</f>
        <v>-762.95808399121847</v>
      </c>
      <c r="W1967" t="s">
        <v>38988</v>
      </c>
      <c r="X1967" t="s">
        <v>38989</v>
      </c>
      <c r="Y1967" t="s">
        <v>38990</v>
      </c>
    </row>
    <row r="1968" spans="1:25" x14ac:dyDescent="0.3">
      <c r="A1968">
        <v>98350</v>
      </c>
      <c r="B1968" t="s">
        <v>38991</v>
      </c>
      <c r="C1968" t="s">
        <v>38992</v>
      </c>
      <c r="D1968" t="s">
        <v>38993</v>
      </c>
      <c r="E1968" t="s">
        <v>38994</v>
      </c>
      <c r="F1968" t="s">
        <v>38995</v>
      </c>
      <c r="G1968" t="s">
        <v>38996</v>
      </c>
      <c r="H1968">
        <f>-584.774335680928 -35.1516510126423 -830.450246457836</f>
        <v>-1450.3762331514063</v>
      </c>
      <c r="I1968">
        <f>-551.595985525854 -55.3626948215538 -924.650626308481</f>
        <v>-1531.6093066558888</v>
      </c>
      <c r="J1968" t="s">
        <v>38997</v>
      </c>
      <c r="K1968" t="s">
        <v>38998</v>
      </c>
      <c r="L1968" t="s">
        <v>38999</v>
      </c>
      <c r="M1968" t="s">
        <v>39000</v>
      </c>
      <c r="N1968">
        <f>-593.727266297818 -47.6761149883691 -757.539999681638</f>
        <v>-1398.9433809678253</v>
      </c>
      <c r="O1968">
        <f>-613.620890522621 -183.766816992592 -705.518348625881</f>
        <v>-1502.906056141094</v>
      </c>
      <c r="P1968">
        <f>-584.090415891374 -158.335800939362 -391.404712650621</f>
        <v>-1133.8309294813571</v>
      </c>
      <c r="Q1968">
        <f>-346.691007671984 -75.4984807596903 -457.899586605712</f>
        <v>-880.08907503738624</v>
      </c>
      <c r="R1968" t="s">
        <v>39001</v>
      </c>
      <c r="S1968" t="s">
        <v>39002</v>
      </c>
      <c r="T1968" t="s">
        <v>39003</v>
      </c>
      <c r="U1968" t="s">
        <v>39004</v>
      </c>
      <c r="V1968">
        <f>-535.584906730672 -4.78899239841191 -223.438512068597</f>
        <v>-763.81241119768083</v>
      </c>
      <c r="W1968" t="s">
        <v>39005</v>
      </c>
      <c r="X1968" t="s">
        <v>39006</v>
      </c>
      <c r="Y1968" t="s">
        <v>39007</v>
      </c>
    </row>
    <row r="1969" spans="1:25" x14ac:dyDescent="0.3">
      <c r="A1969">
        <v>98400</v>
      </c>
      <c r="B1969" t="s">
        <v>39008</v>
      </c>
      <c r="C1969" t="s">
        <v>39009</v>
      </c>
      <c r="D1969" t="s">
        <v>39010</v>
      </c>
      <c r="E1969" t="s">
        <v>39011</v>
      </c>
      <c r="F1969" t="s">
        <v>39012</v>
      </c>
      <c r="G1969" t="s">
        <v>39013</v>
      </c>
      <c r="H1969">
        <f>-584.860094086734 -36.3987833763075 -830.217038399478</f>
        <v>-1451.4759158625195</v>
      </c>
      <c r="I1969">
        <f>-551.762765187396 -56.752319495447 -924.415140593247</f>
        <v>-1532.9302252760899</v>
      </c>
      <c r="J1969" t="s">
        <v>39014</v>
      </c>
      <c r="K1969" t="s">
        <v>39015</v>
      </c>
      <c r="L1969" t="s">
        <v>39016</v>
      </c>
      <c r="M1969" t="s">
        <v>39017</v>
      </c>
      <c r="N1969">
        <f>-593.764676080578 -48.7756948144021 -757.275673141588</f>
        <v>-1399.8160440365682</v>
      </c>
      <c r="O1969">
        <f>-613.500155063074 -184.798107406718 -705.021617915066</f>
        <v>-1503.3198803848582</v>
      </c>
      <c r="P1969">
        <f>-583.786750993044 -159.43583056333 -390.91953801692</f>
        <v>-1134.1421195732942</v>
      </c>
      <c r="Q1969">
        <f>-346.660326748381 -76.5082381672617 -458.270409048367</f>
        <v>-881.43897396400973</v>
      </c>
      <c r="R1969" t="s">
        <v>39018</v>
      </c>
      <c r="S1969" t="s">
        <v>39019</v>
      </c>
      <c r="T1969" t="s">
        <v>39020</v>
      </c>
      <c r="U1969" t="s">
        <v>39021</v>
      </c>
      <c r="V1969">
        <f>-535.454657989627 -5.20947861867689 -223.43004921009</f>
        <v>-764.09418581839395</v>
      </c>
      <c r="W1969" t="s">
        <v>39022</v>
      </c>
      <c r="X1969" t="s">
        <v>39023</v>
      </c>
      <c r="Y1969" t="s">
        <v>39024</v>
      </c>
    </row>
    <row r="1970" spans="1:25" x14ac:dyDescent="0.3">
      <c r="A1970">
        <v>98450</v>
      </c>
      <c r="B1970" t="s">
        <v>39025</v>
      </c>
      <c r="C1970" t="s">
        <v>39026</v>
      </c>
      <c r="D1970" t="s">
        <v>39027</v>
      </c>
      <c r="E1970" t="s">
        <v>39028</v>
      </c>
      <c r="F1970" t="s">
        <v>39029</v>
      </c>
      <c r="G1970" t="s">
        <v>39030</v>
      </c>
      <c r="H1970">
        <f>-585.468057028769 -38.6742434378294 -829.934492595929</f>
        <v>-1454.0767930625275</v>
      </c>
      <c r="I1970">
        <f>-552.499710740587 -59.2322444593916 -924.133481776769</f>
        <v>-1535.8654369767478</v>
      </c>
      <c r="J1970" t="s">
        <v>39031</v>
      </c>
      <c r="K1970" t="s">
        <v>39032</v>
      </c>
      <c r="L1970" t="s">
        <v>39033</v>
      </c>
      <c r="M1970" t="s">
        <v>39034</v>
      </c>
      <c r="N1970">
        <f>-594.230416373103 -50.8546028263555 -756.942904269999</f>
        <v>-1402.0279234694576</v>
      </c>
      <c r="O1970">
        <f>-613.612811763032 -186.768581483489 -704.234291577065</f>
        <v>-1504.615684823586</v>
      </c>
      <c r="P1970">
        <f>-583.23778586367 -160.615362814608 -390.260532374978</f>
        <v>-1134.113681053256</v>
      </c>
      <c r="Q1970">
        <f>-346.308805311363 -77.4063133889195 -457.958125350537</f>
        <v>-881.67324405081945</v>
      </c>
      <c r="R1970" t="s">
        <v>39035</v>
      </c>
      <c r="S1970" t="s">
        <v>39036</v>
      </c>
      <c r="T1970" t="s">
        <v>39037</v>
      </c>
      <c r="U1970" t="s">
        <v>39038</v>
      </c>
      <c r="V1970">
        <f>-535.252643755192 -6.10713762778958 -223.425090925287</f>
        <v>-764.78487230826863</v>
      </c>
      <c r="W1970" t="s">
        <v>39039</v>
      </c>
      <c r="X1970" t="s">
        <v>39040</v>
      </c>
      <c r="Y1970" t="s">
        <v>39041</v>
      </c>
    </row>
    <row r="1971" spans="1:25" x14ac:dyDescent="0.3">
      <c r="A1971">
        <v>98500</v>
      </c>
      <c r="B1971" t="s">
        <v>39042</v>
      </c>
      <c r="C1971" t="s">
        <v>39043</v>
      </c>
      <c r="D1971" t="s">
        <v>39044</v>
      </c>
      <c r="E1971" t="s">
        <v>39045</v>
      </c>
      <c r="F1971" t="s">
        <v>39046</v>
      </c>
      <c r="G1971" t="s">
        <v>39047</v>
      </c>
      <c r="H1971">
        <f>-585.549294762104 -39.6869891869729 -829.837653873149</f>
        <v>-1455.0739378222258</v>
      </c>
      <c r="I1971">
        <f>-552.648844379442 -60.3226762937778 -924.043370418358</f>
        <v>-1537.0148910915777</v>
      </c>
      <c r="J1971" t="s">
        <v>39048</v>
      </c>
      <c r="K1971" t="s">
        <v>39049</v>
      </c>
      <c r="L1971" t="s">
        <v>39050</v>
      </c>
      <c r="M1971" t="s">
        <v>39051</v>
      </c>
      <c r="N1971">
        <f>-594.243616231584 -51.7853598128439 -756.824297717749</f>
        <v>-1402.853273762177</v>
      </c>
      <c r="O1971">
        <f>-613.381811787946 -187.665943012295 -703.9531243384</f>
        <v>-1505.000879138641</v>
      </c>
      <c r="P1971">
        <f>-583.103170800832 -161.376678006871 -389.981273298342</f>
        <v>-1134.461122106045</v>
      </c>
      <c r="Q1971">
        <f>-346.424560947713 -77.766087382801 -458.058803981489</f>
        <v>-882.24945231200309</v>
      </c>
      <c r="R1971" t="s">
        <v>39052</v>
      </c>
      <c r="S1971" t="s">
        <v>39053</v>
      </c>
      <c r="T1971" t="s">
        <v>39054</v>
      </c>
      <c r="U1971" t="s">
        <v>39055</v>
      </c>
      <c r="V1971">
        <f>-535.090386428048 -6.60810038166645 -223.465692919813</f>
        <v>-765.1641797295274</v>
      </c>
      <c r="W1971" t="s">
        <v>39056</v>
      </c>
      <c r="X1971" t="s">
        <v>39057</v>
      </c>
      <c r="Y1971" t="s">
        <v>39058</v>
      </c>
    </row>
    <row r="1972" spans="1:25" x14ac:dyDescent="0.3">
      <c r="A1972">
        <v>98550</v>
      </c>
      <c r="B1972" t="s">
        <v>39059</v>
      </c>
      <c r="C1972" t="s">
        <v>39060</v>
      </c>
      <c r="D1972" t="s">
        <v>39061</v>
      </c>
      <c r="E1972" t="s">
        <v>39062</v>
      </c>
      <c r="F1972" t="s">
        <v>39063</v>
      </c>
      <c r="G1972" t="s">
        <v>39064</v>
      </c>
      <c r="H1972">
        <f>-586.36787207161 -40.9602454023172 -829.714800100898</f>
        <v>-1457.0429175748252</v>
      </c>
      <c r="I1972">
        <f>-553.621135919706 -61.7012107495025 -923.951062480883</f>
        <v>-1539.2734091500915</v>
      </c>
      <c r="J1972" t="s">
        <v>39065</v>
      </c>
      <c r="K1972" t="s">
        <v>39066</v>
      </c>
      <c r="L1972" t="s">
        <v>39067</v>
      </c>
      <c r="M1972" t="s">
        <v>39068</v>
      </c>
      <c r="N1972">
        <f>-594.920946247688 -52.9866675169458 -756.672947724109</f>
        <v>-1404.5805614887427</v>
      </c>
      <c r="O1972">
        <f>-613.636466841635 -188.820025252776 -703.540467483636</f>
        <v>-1505.9969595780469</v>
      </c>
      <c r="P1972">
        <f>-582.751795554944 -162.053337184346 -389.668036326062</f>
        <v>-1134.4731690653521</v>
      </c>
      <c r="Q1972">
        <f>-346.738731428039 -77.1036193369473 -458.395353695743</f>
        <v>-882.23770446072922</v>
      </c>
      <c r="R1972" t="s">
        <v>39069</v>
      </c>
      <c r="S1972" t="s">
        <v>39070</v>
      </c>
      <c r="T1972" t="s">
        <v>39071</v>
      </c>
      <c r="U1972" t="s">
        <v>39072</v>
      </c>
      <c r="V1972">
        <f>-535.054385522875 -7.41783434393038 -223.592273614562</f>
        <v>-766.06449348136744</v>
      </c>
      <c r="W1972" t="s">
        <v>39073</v>
      </c>
      <c r="X1972" t="s">
        <v>39074</v>
      </c>
      <c r="Y1972" t="s">
        <v>39075</v>
      </c>
    </row>
    <row r="1973" spans="1:25" x14ac:dyDescent="0.3">
      <c r="A1973">
        <v>98600</v>
      </c>
      <c r="B1973" t="s">
        <v>39076</v>
      </c>
      <c r="C1973" t="s">
        <v>39077</v>
      </c>
      <c r="D1973" t="s">
        <v>39078</v>
      </c>
      <c r="E1973" t="s">
        <v>39079</v>
      </c>
      <c r="F1973" t="s">
        <v>39080</v>
      </c>
      <c r="G1973">
        <f>-594.285273326767 -0.28961562610683 -683.335887216013</f>
        <v>-1277.910776168887</v>
      </c>
      <c r="H1973">
        <f>-586.63279781466 -41.6078789170807 -829.740193594662</f>
        <v>-1457.9808703264025</v>
      </c>
      <c r="I1973">
        <f>-553.907182207068 -62.4153917743653 -923.969083971437</f>
        <v>-1540.2916579528703</v>
      </c>
      <c r="J1973" t="s">
        <v>39081</v>
      </c>
      <c r="K1973" t="s">
        <v>39082</v>
      </c>
      <c r="L1973" t="s">
        <v>39083</v>
      </c>
      <c r="M1973" t="s">
        <v>39084</v>
      </c>
      <c r="N1973">
        <f>-595.126336650427 -53.595829845776 -756.684988421439</f>
        <v>-1405.4071549176419</v>
      </c>
      <c r="O1973">
        <f>-613.630321352195 -189.435815518512 -703.488017626456</f>
        <v>-1506.5541544971629</v>
      </c>
      <c r="P1973">
        <f>-582.585371216925 -162.512023362636 -389.644937795354</f>
        <v>-1134.7423323749149</v>
      </c>
      <c r="Q1973">
        <f>-346.851809558105 -76.895501836841 -458.504002492786</f>
        <v>-882.25131388773207</v>
      </c>
      <c r="R1973" t="s">
        <v>39085</v>
      </c>
      <c r="S1973" t="s">
        <v>39086</v>
      </c>
      <c r="T1973" t="s">
        <v>39087</v>
      </c>
      <c r="U1973" t="s">
        <v>39088</v>
      </c>
      <c r="V1973">
        <f>-535.052948733251 -7.97227168886086 -223.74202280918</f>
        <v>-766.76724323129179</v>
      </c>
      <c r="W1973" t="s">
        <v>39089</v>
      </c>
      <c r="X1973" t="s">
        <v>39090</v>
      </c>
      <c r="Y1973" t="s">
        <v>39091</v>
      </c>
    </row>
    <row r="1974" spans="1:25" x14ac:dyDescent="0.3">
      <c r="A1974">
        <v>98650</v>
      </c>
      <c r="B1974" t="s">
        <v>39092</v>
      </c>
      <c r="C1974" t="s">
        <v>39093</v>
      </c>
      <c r="D1974" t="s">
        <v>39094</v>
      </c>
      <c r="E1974" t="s">
        <v>39095</v>
      </c>
      <c r="F1974" t="s">
        <v>39096</v>
      </c>
      <c r="G1974">
        <f>-595.121497355313 -1.44711013481611 -683.311765937862</f>
        <v>-1279.8803734279909</v>
      </c>
      <c r="H1974">
        <f>-587.659122655341 -42.7133256506555 -829.740634707935</f>
        <v>-1460.1130830139314</v>
      </c>
      <c r="I1974">
        <f>-555.03818059834 -63.5465110892675 -924.000062437378</f>
        <v>-1542.5847541249855</v>
      </c>
      <c r="J1974" t="s">
        <v>39097</v>
      </c>
      <c r="K1974" t="s">
        <v>39098</v>
      </c>
      <c r="L1974" t="s">
        <v>39099</v>
      </c>
      <c r="M1974" t="s">
        <v>39100</v>
      </c>
      <c r="N1974">
        <f>-595.960088817345 -54.7411473864788 -756.669925645195</f>
        <v>-1407.3711618490188</v>
      </c>
      <c r="O1974">
        <f>-613.877054786511 -190.638054551128 -703.423044805623</f>
        <v>-1507.9381541432622</v>
      </c>
      <c r="P1974">
        <f>-582.821690972842 -163.210234515151 -389.624644750366</f>
        <v>-1135.6565702383591</v>
      </c>
      <c r="Q1974">
        <f>-347.208051467606 -76.565588900834 -457.602432170043</f>
        <v>-881.37607253848307</v>
      </c>
      <c r="R1974" t="s">
        <v>39101</v>
      </c>
      <c r="S1974" t="s">
        <v>39102</v>
      </c>
      <c r="T1974" t="s">
        <v>39103</v>
      </c>
      <c r="U1974" t="s">
        <v>39104</v>
      </c>
      <c r="V1974">
        <f>-535.219033542685 -9.03763497082204 -223.833675587444</f>
        <v>-768.09034410095103</v>
      </c>
      <c r="W1974" t="s">
        <v>39105</v>
      </c>
      <c r="X1974" t="s">
        <v>39106</v>
      </c>
      <c r="Y1974" t="s">
        <v>39107</v>
      </c>
    </row>
    <row r="1975" spans="1:25" x14ac:dyDescent="0.3">
      <c r="A1975">
        <v>98700</v>
      </c>
      <c r="B1975" t="s">
        <v>39108</v>
      </c>
      <c r="C1975" t="s">
        <v>39109</v>
      </c>
      <c r="D1975" t="s">
        <v>39110</v>
      </c>
      <c r="E1975" t="s">
        <v>39111</v>
      </c>
      <c r="F1975" t="s">
        <v>39112</v>
      </c>
      <c r="G1975">
        <f>-595.581584315842 -1.88667956986531 -683.21372688388</f>
        <v>-1280.6819907695872</v>
      </c>
      <c r="H1975">
        <f>-588.225574290791 -43.099065529578 -829.663163164691</f>
        <v>-1460.9878029850599</v>
      </c>
      <c r="I1975">
        <f>-555.672386617292 -63.9202264641519 -923.948618599276</f>
        <v>-1543.5412316807199</v>
      </c>
      <c r="J1975" t="s">
        <v>39113</v>
      </c>
      <c r="K1975" t="s">
        <v>39114</v>
      </c>
      <c r="L1975" t="s">
        <v>39115</v>
      </c>
      <c r="M1975" t="s">
        <v>39116</v>
      </c>
      <c r="N1975">
        <f>-596.437578175567 -55.1587144583662 -756.587454822875</f>
        <v>-1408.1837474568081</v>
      </c>
      <c r="O1975">
        <f>-614.083782625901 -191.089325300854 -703.362774389348</f>
        <v>-1508.535882316103</v>
      </c>
      <c r="P1975">
        <f>-583.263070909653 -163.593279095727 -389.547088617552</f>
        <v>-1136.4034386229321</v>
      </c>
      <c r="Q1975">
        <f>-347.704410039676 -76.6537289243676 -457.338696342212</f>
        <v>-881.69683530625571</v>
      </c>
      <c r="R1975" t="s">
        <v>39117</v>
      </c>
      <c r="S1975" t="s">
        <v>39118</v>
      </c>
      <c r="T1975" t="s">
        <v>39119</v>
      </c>
      <c r="U1975" t="s">
        <v>39120</v>
      </c>
      <c r="V1975">
        <f>-535.303755218942 -9.63278255890855 -223.783747238843</f>
        <v>-768.72028501669354</v>
      </c>
      <c r="W1975" t="s">
        <v>39121</v>
      </c>
      <c r="X1975" t="s">
        <v>39122</v>
      </c>
      <c r="Y1975" t="s">
        <v>39123</v>
      </c>
    </row>
    <row r="1976" spans="1:25" x14ac:dyDescent="0.3">
      <c r="A1976">
        <v>98750</v>
      </c>
      <c r="B1976" t="s">
        <v>39124</v>
      </c>
      <c r="C1976" t="s">
        <v>39125</v>
      </c>
      <c r="D1976" t="s">
        <v>39126</v>
      </c>
      <c r="E1976" t="s">
        <v>39127</v>
      </c>
      <c r="F1976" t="s">
        <v>39128</v>
      </c>
      <c r="G1976">
        <f>-596.235792550847 -2.5775311217869 -683.121708480271</f>
        <v>-1281.935032152905</v>
      </c>
      <c r="H1976">
        <f>-589.057275065559 -43.6506948844478 -829.619046633763</f>
        <v>-1462.3270165837698</v>
      </c>
      <c r="I1976">
        <f>-556.632507022902 -64.3770660221607 -923.969650614796</f>
        <v>-1544.9792236598587</v>
      </c>
      <c r="J1976" t="s">
        <v>39129</v>
      </c>
      <c r="K1976" t="s">
        <v>39130</v>
      </c>
      <c r="L1976" t="s">
        <v>39131</v>
      </c>
      <c r="M1976" t="s">
        <v>39132</v>
      </c>
      <c r="N1976">
        <f>-597.184540349434 -55.7792766810676 -756.54534955226</f>
        <v>-1409.5091665827615</v>
      </c>
      <c r="O1976">
        <f>-614.663102741493 -191.738385106114 -703.315568041529</f>
        <v>-1509.7170558891362</v>
      </c>
      <c r="P1976">
        <f>-583.618326347052 -164.426590822417 -389.505901634541</f>
        <v>-1137.5508188040099</v>
      </c>
      <c r="Q1976">
        <f>-348.180601935672 -76.957936419483 -457.036546323358</f>
        <v>-882.17508467851303</v>
      </c>
      <c r="R1976" t="s">
        <v>39133</v>
      </c>
      <c r="S1976" t="s">
        <v>39134</v>
      </c>
      <c r="T1976" t="s">
        <v>39135</v>
      </c>
      <c r="U1976" t="s">
        <v>39136</v>
      </c>
      <c r="V1976">
        <f>-535.637422995432 -10.2427591395895 -223.691219359953</f>
        <v>-769.57140149497445</v>
      </c>
      <c r="W1976" t="s">
        <v>39137</v>
      </c>
      <c r="X1976" t="s">
        <v>39138</v>
      </c>
      <c r="Y1976" t="s">
        <v>39139</v>
      </c>
    </row>
    <row r="1977" spans="1:25" x14ac:dyDescent="0.3">
      <c r="A1977">
        <v>98800</v>
      </c>
      <c r="B1977" t="s">
        <v>39140</v>
      </c>
      <c r="C1977" t="s">
        <v>39141</v>
      </c>
      <c r="D1977" t="s">
        <v>39142</v>
      </c>
      <c r="E1977" t="s">
        <v>39143</v>
      </c>
      <c r="F1977" t="s">
        <v>39144</v>
      </c>
      <c r="G1977">
        <f>-596.683654642449 -3.03877320368564 -683.023200972911</f>
        <v>-1282.7456288190456</v>
      </c>
      <c r="H1977">
        <f>-589.704868852663 -44.0976210979947 -829.534191560253</f>
        <v>-1463.3366815109107</v>
      </c>
      <c r="I1977">
        <f>-557.350488304236 -64.8061769310476 -923.912827503774</f>
        <v>-1546.0694927390578</v>
      </c>
      <c r="J1977" t="s">
        <v>39145</v>
      </c>
      <c r="K1977" t="s">
        <v>39146</v>
      </c>
      <c r="L1977" t="s">
        <v>39147</v>
      </c>
      <c r="M1977" t="s">
        <v>39148</v>
      </c>
      <c r="N1977">
        <f>-597.750486283271 -56.230822354402 -756.452238381593</f>
        <v>-1410.4335470192659</v>
      </c>
      <c r="O1977">
        <f>-615.193985218086 -192.16565366667 -703.18053387794</f>
        <v>-1510.5401727626959</v>
      </c>
      <c r="P1977">
        <f>-583.992433765273 -165.099360793412 -389.365220740351</f>
        <v>-1138.4570152990359</v>
      </c>
      <c r="Q1977">
        <f>-348.689069316722 -77.2855838276964 -456.915845856325</f>
        <v>-882.89049900074338</v>
      </c>
      <c r="R1977" t="s">
        <v>39149</v>
      </c>
      <c r="S1977" t="s">
        <v>39150</v>
      </c>
      <c r="T1977" t="s">
        <v>39151</v>
      </c>
      <c r="U1977" t="s">
        <v>39152</v>
      </c>
      <c r="V1977">
        <f>-535.730276907503 -10.7128766094857 -223.597996814967</f>
        <v>-770.04115033195569</v>
      </c>
      <c r="W1977" t="s">
        <v>39153</v>
      </c>
      <c r="X1977" t="s">
        <v>39154</v>
      </c>
      <c r="Y1977" t="s">
        <v>39155</v>
      </c>
    </row>
    <row r="1978" spans="1:25" x14ac:dyDescent="0.3">
      <c r="A1978">
        <v>98850</v>
      </c>
      <c r="B1978" t="s">
        <v>39156</v>
      </c>
      <c r="C1978" t="s">
        <v>39157</v>
      </c>
      <c r="D1978" t="s">
        <v>39158</v>
      </c>
      <c r="E1978" t="s">
        <v>39159</v>
      </c>
      <c r="F1978" t="s">
        <v>39160</v>
      </c>
      <c r="G1978">
        <f>-597.364857626184 -3.56668574683454 -682.910025137065</f>
        <v>-1283.8415685100836</v>
      </c>
      <c r="H1978">
        <f>-590.552495600285 -44.6055389262629 -829.434382298045</f>
        <v>-1464.5924168245929</v>
      </c>
      <c r="I1978">
        <f>-558.269082547034 -65.3171377510689 -923.836733124427</f>
        <v>-1547.4229534225301</v>
      </c>
      <c r="J1978" t="s">
        <v>39161</v>
      </c>
      <c r="K1978" t="s">
        <v>39162</v>
      </c>
      <c r="L1978" t="s">
        <v>39163</v>
      </c>
      <c r="M1978" t="s">
        <v>39164</v>
      </c>
      <c r="N1978">
        <f>-598.516714394677 -56.7484873105335 -756.345138766707</f>
        <v>-1411.6103404719174</v>
      </c>
      <c r="O1978">
        <f>-615.827520762576 -192.727016909383 -703.089344395687</f>
        <v>-1511.643882067646</v>
      </c>
      <c r="P1978">
        <f>-584.601376244219 -165.656381844809 -389.276951501773</f>
        <v>-1139.534709590801</v>
      </c>
      <c r="Q1978">
        <f>-349.38160863567 -77.4053881209887 -456.548447601374</f>
        <v>-883.33544435803265</v>
      </c>
      <c r="R1978" t="s">
        <v>39165</v>
      </c>
      <c r="S1978" t="s">
        <v>39166</v>
      </c>
      <c r="T1978" t="s">
        <v>39167</v>
      </c>
      <c r="U1978" t="s">
        <v>39168</v>
      </c>
      <c r="V1978">
        <f>-535.852071361711 -11.3041596413909 -223.545889944692</f>
        <v>-770.7021209477939</v>
      </c>
      <c r="W1978" t="s">
        <v>39169</v>
      </c>
      <c r="X1978" t="s">
        <v>39170</v>
      </c>
      <c r="Y1978" t="s">
        <v>39171</v>
      </c>
    </row>
    <row r="1979" spans="1:25" x14ac:dyDescent="0.3">
      <c r="A1979">
        <v>98900</v>
      </c>
      <c r="B1979" t="s">
        <v>39172</v>
      </c>
      <c r="C1979" t="s">
        <v>39173</v>
      </c>
      <c r="D1979" t="s">
        <v>39174</v>
      </c>
      <c r="E1979" t="s">
        <v>39175</v>
      </c>
      <c r="F1979" t="s">
        <v>39176</v>
      </c>
      <c r="G1979">
        <f>-597.516475485926 -3.68934622229876 -682.884138733581</f>
        <v>-1284.0899604418059</v>
      </c>
      <c r="H1979">
        <f>-590.728293165685 -44.6635789561154 -829.42792224067</f>
        <v>-1464.8197943624705</v>
      </c>
      <c r="I1979">
        <f>-558.472123712079 -65.3558716956704 -923.843721064409</f>
        <v>-1547.6717164721586</v>
      </c>
      <c r="J1979" t="s">
        <v>39177</v>
      </c>
      <c r="K1979" t="s">
        <v>39178</v>
      </c>
      <c r="L1979" t="s">
        <v>39179</v>
      </c>
      <c r="M1979" t="s">
        <v>39180</v>
      </c>
      <c r="N1979">
        <f>-598.670000300447 -56.8402318672912 -756.341697049631</f>
        <v>-1411.8519292173692</v>
      </c>
      <c r="O1979">
        <f>-615.867449410892 -192.835660453313 -703.10521249008</f>
        <v>-1511.8083223542851</v>
      </c>
      <c r="P1979">
        <f>-584.775801329999 -165.736941798466 -389.281841213634</f>
        <v>-1139.7945843420989</v>
      </c>
      <c r="Q1979">
        <f>-349.525923468787 -77.513093104286 -456.483716965961</f>
        <v>-883.52273353903399</v>
      </c>
      <c r="R1979" t="s">
        <v>39181</v>
      </c>
      <c r="S1979" t="s">
        <v>39182</v>
      </c>
      <c r="T1979" t="s">
        <v>39183</v>
      </c>
      <c r="U1979" t="s">
        <v>39184</v>
      </c>
      <c r="V1979">
        <f>-535.887727775248 -11.4849725030338 -223.4774288647</f>
        <v>-770.8501291429817</v>
      </c>
      <c r="W1979" t="s">
        <v>39185</v>
      </c>
      <c r="X1979" t="s">
        <v>39186</v>
      </c>
      <c r="Y1979" t="s">
        <v>39187</v>
      </c>
    </row>
    <row r="1980" spans="1:25" x14ac:dyDescent="0.3">
      <c r="A1980">
        <v>98950</v>
      </c>
      <c r="B1980" t="s">
        <v>39188</v>
      </c>
      <c r="C1980" t="s">
        <v>39189</v>
      </c>
      <c r="D1980" t="s">
        <v>39190</v>
      </c>
      <c r="E1980" t="s">
        <v>39191</v>
      </c>
      <c r="F1980" t="s">
        <v>39192</v>
      </c>
      <c r="G1980">
        <f>-597.899277243519 -3.87661563921179 -682.751707285904</f>
        <v>-1284.5276001686348</v>
      </c>
      <c r="H1980">
        <f>-591.140662996011 -44.7817010174088 -829.31606117965</f>
        <v>-1465.2384251930698</v>
      </c>
      <c r="I1980">
        <f>-558.92700478615 -65.4683108546647 -923.747618649606</f>
        <v>-1548.1429342904207</v>
      </c>
      <c r="J1980" t="s">
        <v>39193</v>
      </c>
      <c r="K1980" t="s">
        <v>39194</v>
      </c>
      <c r="L1980" t="s">
        <v>39195</v>
      </c>
      <c r="M1980" t="s">
        <v>39196</v>
      </c>
      <c r="N1980">
        <f>-599.086475456301 -56.9901911483064 -756.235757466495</f>
        <v>-1412.3124240711022</v>
      </c>
      <c r="O1980">
        <f>-616.332034071659 -192.976965474968 -702.993038045971</f>
        <v>-1512.302037592598</v>
      </c>
      <c r="P1980">
        <f>-585.334000167465 -165.929383666574 -389.155861526863</f>
        <v>-1140.4192453609021</v>
      </c>
      <c r="Q1980">
        <f>-350.009581430662 -77.5041328216847 -455.829860754465</f>
        <v>-883.34357500681176</v>
      </c>
      <c r="R1980" t="s">
        <v>39197</v>
      </c>
      <c r="S1980" t="s">
        <v>39198</v>
      </c>
      <c r="T1980" t="s">
        <v>39199</v>
      </c>
      <c r="U1980" t="s">
        <v>39200</v>
      </c>
      <c r="V1980">
        <f>-536.091276983376 -11.7701481712907 -223.26981962795</f>
        <v>-771.1312447826167</v>
      </c>
      <c r="W1980" t="s">
        <v>39201</v>
      </c>
      <c r="X1980" t="s">
        <v>39202</v>
      </c>
      <c r="Y1980" t="s">
        <v>39203</v>
      </c>
    </row>
    <row r="1981" spans="1:25" x14ac:dyDescent="0.3">
      <c r="A1981">
        <v>99000</v>
      </c>
      <c r="B1981" t="s">
        <v>39204</v>
      </c>
      <c r="C1981" t="s">
        <v>39205</v>
      </c>
      <c r="D1981" t="s">
        <v>39206</v>
      </c>
      <c r="E1981" t="s">
        <v>39207</v>
      </c>
      <c r="F1981" t="s">
        <v>39208</v>
      </c>
      <c r="G1981">
        <f>-597.952893891074 -3.95724798483073 -682.724284410242</f>
        <v>-1284.6344262861467</v>
      </c>
      <c r="H1981">
        <f>-591.117208654136 -44.7974060524044 -829.303057410452</f>
        <v>-1465.2176721169924</v>
      </c>
      <c r="I1981">
        <f>-558.918005554471 -65.4780839273266 -923.7408523779</f>
        <v>-1548.1369418596976</v>
      </c>
      <c r="J1981" t="s">
        <v>39209</v>
      </c>
      <c r="K1981" t="s">
        <v>39210</v>
      </c>
      <c r="L1981" t="s">
        <v>39211</v>
      </c>
      <c r="M1981" t="s">
        <v>39212</v>
      </c>
      <c r="N1981">
        <f>-599.114516162722 -57.0364290697151 -756.233404522732</f>
        <v>-1412.3843497551693</v>
      </c>
      <c r="O1981">
        <f>-616.416119417957 -193.033859739617 -703.040637973608</f>
        <v>-1512.490617131182</v>
      </c>
      <c r="P1981">
        <f>-585.501955869851 -166.084507791398 -389.186769961022</f>
        <v>-1140.7732336222709</v>
      </c>
      <c r="Q1981">
        <f>-350.116223147766 -77.6801341393832 -455.671799384955</f>
        <v>-883.46815667210421</v>
      </c>
      <c r="R1981" t="s">
        <v>39213</v>
      </c>
      <c r="S1981" t="s">
        <v>39214</v>
      </c>
      <c r="T1981" t="s">
        <v>39215</v>
      </c>
      <c r="U1981" t="s">
        <v>39216</v>
      </c>
      <c r="V1981">
        <f>-536.21541631724 -11.7585658964167 -223.236563343849</f>
        <v>-771.21054555750584</v>
      </c>
      <c r="W1981" t="s">
        <v>39217</v>
      </c>
      <c r="X1981" t="s">
        <v>39218</v>
      </c>
      <c r="Y1981" t="s">
        <v>39219</v>
      </c>
    </row>
    <row r="1982" spans="1:25" x14ac:dyDescent="0.3">
      <c r="A1982">
        <v>99050</v>
      </c>
      <c r="B1982" t="s">
        <v>39220</v>
      </c>
      <c r="C1982" t="s">
        <v>39221</v>
      </c>
      <c r="D1982" t="s">
        <v>39222</v>
      </c>
      <c r="E1982" t="s">
        <v>39223</v>
      </c>
      <c r="F1982" t="s">
        <v>39224</v>
      </c>
      <c r="G1982">
        <f>-598.278573574313 -3.93193640984144 -682.689330396851</f>
        <v>-1284.8998403810056</v>
      </c>
      <c r="H1982">
        <f>-591.380627827836 -44.8073636873623 -829.255489282232</f>
        <v>-1465.4434807974303</v>
      </c>
      <c r="I1982">
        <f>-559.256202155868 -65.5128591650729 -923.71340208995</f>
        <v>-1548.4824634108909</v>
      </c>
      <c r="J1982" t="s">
        <v>39225</v>
      </c>
      <c r="K1982" t="s">
        <v>39226</v>
      </c>
      <c r="L1982" t="s">
        <v>39227</v>
      </c>
      <c r="M1982" t="s">
        <v>39228</v>
      </c>
      <c r="N1982">
        <f>-599.442956426355 -57.0239980326341 -756.189242562031</f>
        <v>-1412.65619702102</v>
      </c>
      <c r="O1982">
        <f>-616.85736438877 -192.978086545895 -702.960481320446</f>
        <v>-1512.795932255111</v>
      </c>
      <c r="P1982">
        <f>-585.843772461337 -165.761065587589 -389.13971421193</f>
        <v>-1140.7445522608559</v>
      </c>
      <c r="Q1982">
        <f>-350.282115655568 -77.5783341761656 -455.295346591862</f>
        <v>-883.15579642359558</v>
      </c>
      <c r="R1982" t="s">
        <v>39229</v>
      </c>
      <c r="S1982" t="s">
        <v>39230</v>
      </c>
      <c r="T1982" t="s">
        <v>39231</v>
      </c>
      <c r="U1982" t="s">
        <v>39232</v>
      </c>
      <c r="V1982">
        <f>-536.520157065468 -11.8896859253221 -223.222469655346</f>
        <v>-771.63231264613603</v>
      </c>
      <c r="W1982" t="s">
        <v>39233</v>
      </c>
      <c r="X1982" t="s">
        <v>39234</v>
      </c>
      <c r="Y1982" t="s">
        <v>39235</v>
      </c>
    </row>
    <row r="1983" spans="1:25" x14ac:dyDescent="0.3">
      <c r="A1983">
        <v>99100</v>
      </c>
      <c r="B1983" t="s">
        <v>39236</v>
      </c>
      <c r="C1983" t="s">
        <v>39237</v>
      </c>
      <c r="D1983" t="s">
        <v>39238</v>
      </c>
      <c r="E1983" t="s">
        <v>39239</v>
      </c>
      <c r="F1983" t="s">
        <v>39240</v>
      </c>
      <c r="G1983">
        <f>-598.502773114009 -3.87133887017593 -682.652552520321</f>
        <v>-1285.0266645045058</v>
      </c>
      <c r="H1983">
        <f>-591.709922942928 -44.7877348711812 -829.212084070363</f>
        <v>-1465.7097418844721</v>
      </c>
      <c r="I1983">
        <f>-559.692657165994 -65.532437518155 -923.697795500543</f>
        <v>-1548.9228901846918</v>
      </c>
      <c r="J1983" t="s">
        <v>39241</v>
      </c>
      <c r="K1983" t="s">
        <v>39242</v>
      </c>
      <c r="L1983" t="s">
        <v>39243</v>
      </c>
      <c r="M1983" t="s">
        <v>39244</v>
      </c>
      <c r="N1983">
        <f>-599.750431924551 -56.9796182353107 -756.139384413535</f>
        <v>-1412.8694345733966</v>
      </c>
      <c r="O1983">
        <f>-617.209211286764 -192.9303983637 -702.899989903323</f>
        <v>-1513.039599553787</v>
      </c>
      <c r="P1983">
        <f>-586.120243303543 -165.508093583398 -389.104462138862</f>
        <v>-1140.7327990258032</v>
      </c>
      <c r="Q1983">
        <f>-350.43166507049 -77.6196018278663 -455.19931037842</f>
        <v>-883.25057727677631</v>
      </c>
      <c r="R1983" t="s">
        <v>39245</v>
      </c>
      <c r="S1983" t="s">
        <v>39246</v>
      </c>
      <c r="T1983" t="s">
        <v>39247</v>
      </c>
      <c r="U1983" t="s">
        <v>39248</v>
      </c>
      <c r="V1983">
        <f>-536.683913430407 -11.8380365553169 -223.198092948253</f>
        <v>-771.72004293397686</v>
      </c>
      <c r="W1983" t="s">
        <v>39249</v>
      </c>
      <c r="X1983" t="s">
        <v>39250</v>
      </c>
      <c r="Y1983" t="s">
        <v>39251</v>
      </c>
    </row>
    <row r="1984" spans="1:25" x14ac:dyDescent="0.3">
      <c r="A1984">
        <v>99150</v>
      </c>
      <c r="B1984" t="s">
        <v>39252</v>
      </c>
      <c r="C1984" t="s">
        <v>39253</v>
      </c>
      <c r="D1984" t="s">
        <v>39254</v>
      </c>
      <c r="E1984" t="s">
        <v>39255</v>
      </c>
      <c r="F1984" t="s">
        <v>39256</v>
      </c>
      <c r="G1984">
        <f>-598.842458945591 -3.46842416345032 -682.721139802191</f>
        <v>-1285.0320229112324</v>
      </c>
      <c r="H1984">
        <f>-592.060277542255 -44.2924769210921 -829.306866911961</f>
        <v>-1465.6596213753082</v>
      </c>
      <c r="I1984">
        <f>-560.166274115552 -65.0292251678502 -923.836116086571</f>
        <v>-1549.0316153699732</v>
      </c>
      <c r="J1984" t="s">
        <v>39257</v>
      </c>
      <c r="K1984" t="s">
        <v>39258</v>
      </c>
      <c r="L1984" t="s">
        <v>39259</v>
      </c>
      <c r="M1984" t="s">
        <v>39260</v>
      </c>
      <c r="N1984">
        <f>-600.10953910279 -56.5283665328095 -756.242561621464</f>
        <v>-1412.8804672570636</v>
      </c>
      <c r="O1984">
        <f>-617.625328618282 -192.490127947379 -703.009215276587</f>
        <v>-1513.1246718422481</v>
      </c>
      <c r="P1984">
        <f>-586.469317831911 -165.110889255182 -389.216444989519</f>
        <v>-1140.796652076612</v>
      </c>
      <c r="Q1984">
        <f>-350.764288113567 -77.5075427459632 -455.630642029966</f>
        <v>-883.90247288949615</v>
      </c>
      <c r="R1984" t="s">
        <v>39261</v>
      </c>
      <c r="S1984" t="s">
        <v>39262</v>
      </c>
      <c r="T1984" t="s">
        <v>39263</v>
      </c>
      <c r="U1984" t="s">
        <v>39264</v>
      </c>
      <c r="V1984">
        <f>-536.954816926575 -11.8104594931967 -223.268534607177</f>
        <v>-772.03381102694868</v>
      </c>
      <c r="W1984" t="s">
        <v>39265</v>
      </c>
      <c r="X1984" t="s">
        <v>39266</v>
      </c>
      <c r="Y1984" t="s">
        <v>39267</v>
      </c>
    </row>
    <row r="1985" spans="1:25" x14ac:dyDescent="0.3">
      <c r="A1985">
        <v>99200</v>
      </c>
      <c r="B1985" t="s">
        <v>39268</v>
      </c>
      <c r="C1985" t="s">
        <v>39269</v>
      </c>
      <c r="D1985" t="s">
        <v>39270</v>
      </c>
      <c r="E1985" t="s">
        <v>39271</v>
      </c>
      <c r="F1985" t="s">
        <v>39272</v>
      </c>
      <c r="G1985">
        <f>-599.358301916354 -3.16722270487325 -682.691163339275</f>
        <v>-1285.2166879605022</v>
      </c>
      <c r="H1985">
        <f>-592.682215008991 -43.8980578835665 -829.307836898272</f>
        <v>-1465.8881097908293</v>
      </c>
      <c r="I1985">
        <f>-560.877973418866 -64.6542170947518 -923.862799185525</f>
        <v>-1549.3949896991426</v>
      </c>
      <c r="J1985" t="s">
        <v>39273</v>
      </c>
      <c r="K1985" t="s">
        <v>39274</v>
      </c>
      <c r="L1985" t="s">
        <v>39275</v>
      </c>
      <c r="M1985" t="s">
        <v>39276</v>
      </c>
      <c r="N1985">
        <f>-600.696691499369 -56.1778213719253 -756.246852736353</f>
        <v>-1413.1213656076475</v>
      </c>
      <c r="O1985">
        <f>-618.160080295721 -192.177901783192 -703.104693827687</f>
        <v>-1513.4426759066</v>
      </c>
      <c r="P1985">
        <f>-586.926887966235 -164.765671138726 -389.322512368579</f>
        <v>-1141.01507147354</v>
      </c>
      <c r="Q1985">
        <f>-351.37405789187 -76.8922501942683 -455.919545491197</f>
        <v>-884.18585357733537</v>
      </c>
      <c r="R1985" t="s">
        <v>39277</v>
      </c>
      <c r="S1985" t="s">
        <v>39278</v>
      </c>
      <c r="T1985" t="s">
        <v>39279</v>
      </c>
      <c r="U1985" t="s">
        <v>39280</v>
      </c>
      <c r="V1985">
        <f>-537.26665450514 -11.5646014199533 -223.228329812328</f>
        <v>-772.05958573742123</v>
      </c>
      <c r="W1985" t="s">
        <v>39281</v>
      </c>
      <c r="X1985" t="s">
        <v>39282</v>
      </c>
      <c r="Y1985" t="s">
        <v>39283</v>
      </c>
    </row>
    <row r="1986" spans="1:25" x14ac:dyDescent="0.3">
      <c r="A1986">
        <v>99250</v>
      </c>
      <c r="B1986" t="s">
        <v>39284</v>
      </c>
      <c r="C1986" t="s">
        <v>39285</v>
      </c>
      <c r="D1986" t="s">
        <v>39286</v>
      </c>
      <c r="E1986" t="s">
        <v>39287</v>
      </c>
      <c r="F1986" t="s">
        <v>39288</v>
      </c>
      <c r="G1986">
        <f>-599.767768750746 -2.10006402524233 -682.832663641629</f>
        <v>-1284.7004964176172</v>
      </c>
      <c r="H1986">
        <f>-593.217917123029 -42.2345304084972 -829.619297860905</f>
        <v>-1465.0717453924312</v>
      </c>
      <c r="I1986">
        <f>-561.551432576678 -62.8804322672193 -924.244591628086</f>
        <v>-1548.6764564719833</v>
      </c>
      <c r="J1986" t="s">
        <v>39289</v>
      </c>
      <c r="K1986" t="s">
        <v>39290</v>
      </c>
      <c r="L1986" t="s">
        <v>39291</v>
      </c>
      <c r="M1986" t="s">
        <v>39292</v>
      </c>
      <c r="N1986">
        <f>-601.265896631621 -54.7971131538526 -756.610229727553</f>
        <v>-1412.6732395130266</v>
      </c>
      <c r="O1986">
        <f>-619.003096298033 -190.934640484654 -703.91234970269</f>
        <v>-1513.850086485377</v>
      </c>
      <c r="P1986">
        <f>-587.743669058966 -164.189316650546 -390.075217594369</f>
        <v>-1142.0082033038809</v>
      </c>
      <c r="Q1986">
        <f>-352.41266353456 -75.7013997434637 -456.642968652977</f>
        <v>-884.75703193100071</v>
      </c>
      <c r="R1986" t="s">
        <v>39293</v>
      </c>
      <c r="S1986" t="s">
        <v>39294</v>
      </c>
      <c r="T1986" t="s">
        <v>39295</v>
      </c>
      <c r="U1986" t="s">
        <v>39296</v>
      </c>
      <c r="V1986">
        <f>-537.438181059211 -11.6302569605767 -223.209126242726</f>
        <v>-772.27756426251381</v>
      </c>
      <c r="W1986" t="s">
        <v>39297</v>
      </c>
      <c r="X1986" t="s">
        <v>39298</v>
      </c>
      <c r="Y1986" t="s">
        <v>39299</v>
      </c>
    </row>
    <row r="1987" spans="1:25" x14ac:dyDescent="0.3">
      <c r="A1987">
        <v>99300</v>
      </c>
      <c r="B1987" t="s">
        <v>39300</v>
      </c>
      <c r="C1987" t="s">
        <v>39301</v>
      </c>
      <c r="D1987" t="s">
        <v>39302</v>
      </c>
      <c r="E1987" t="s">
        <v>39303</v>
      </c>
      <c r="F1987" t="s">
        <v>39304</v>
      </c>
      <c r="G1987">
        <f>-599.788474034969 -1.36319235078032 -682.992269861003</f>
        <v>-1284.1439362467522</v>
      </c>
      <c r="H1987">
        <f>-593.279828827934 -41.0655017944033 -829.898221535438</f>
        <v>-1464.2435521577754</v>
      </c>
      <c r="I1987">
        <f>-561.703910033331 -61.5595782558853 -924.586858219369</f>
        <v>-1547.8503465085853</v>
      </c>
      <c r="J1987" t="s">
        <v>39305</v>
      </c>
      <c r="K1987" t="s">
        <v>39306</v>
      </c>
      <c r="L1987" t="s">
        <v>39307</v>
      </c>
      <c r="M1987" t="s">
        <v>39308</v>
      </c>
      <c r="N1987">
        <f>-601.363106337624 -53.8346481863217 -756.9288174439</f>
        <v>-1412.1265719678458</v>
      </c>
      <c r="O1987">
        <f>-619.319636587551 -190.045499378631 -704.513129894022</f>
        <v>-1513.878265860204</v>
      </c>
      <c r="P1987">
        <f>-588.018143621109 -163.985780410423 -390.62261001762</f>
        <v>-1142.6265340491518</v>
      </c>
      <c r="Q1987">
        <f>-352.723655676026 -75.310596221451 -457.070131517288</f>
        <v>-885.10438341476504</v>
      </c>
      <c r="R1987" t="s">
        <v>39309</v>
      </c>
      <c r="S1987" t="s">
        <v>39310</v>
      </c>
      <c r="T1987" t="s">
        <v>39311</v>
      </c>
      <c r="U1987" t="s">
        <v>39312</v>
      </c>
      <c r="V1987">
        <f>-537.465193585991 -11.6354928931003 -223.195775330955</f>
        <v>-772.29646181004625</v>
      </c>
      <c r="W1987" t="s">
        <v>39313</v>
      </c>
      <c r="X1987" t="s">
        <v>39314</v>
      </c>
      <c r="Y1987" t="s">
        <v>39315</v>
      </c>
    </row>
    <row r="1988" spans="1:25" x14ac:dyDescent="0.3">
      <c r="A1988">
        <v>99350</v>
      </c>
      <c r="B1988" t="s">
        <v>39316</v>
      </c>
      <c r="C1988" t="s">
        <v>39317</v>
      </c>
      <c r="D1988" t="s">
        <v>39318</v>
      </c>
      <c r="E1988" t="s">
        <v>39319</v>
      </c>
      <c r="F1988" t="s">
        <v>39320</v>
      </c>
      <c r="G1988" t="s">
        <v>39321</v>
      </c>
      <c r="H1988">
        <f>-594.100851247161 -38.6426897288379 -830.322713402238</f>
        <v>-1463.0662543782369</v>
      </c>
      <c r="I1988">
        <f>-562.709555627904 -58.8587744834242 -925.132400270711</f>
        <v>-1546.7007303820392</v>
      </c>
      <c r="J1988" t="s">
        <v>39322</v>
      </c>
      <c r="K1988" t="s">
        <v>39323</v>
      </c>
      <c r="L1988" t="s">
        <v>39324</v>
      </c>
      <c r="M1988" t="s">
        <v>39325</v>
      </c>
      <c r="N1988">
        <f>-602.217413602229 -51.7931983149212 -757.424942102046</f>
        <v>-1411.4355540191964</v>
      </c>
      <c r="O1988">
        <f>-620.570317510557 -188.180784197068 -705.609570817038</f>
        <v>-1514.360672524663</v>
      </c>
      <c r="P1988">
        <f>-589.394613064437 -163.902559521809 -391.563645952332</f>
        <v>-1144.8608185385781</v>
      </c>
      <c r="Q1988">
        <f>-354.404555957114 -74.5656746809423 -458.201787912477</f>
        <v>-887.17201855053327</v>
      </c>
      <c r="R1988" t="s">
        <v>39326</v>
      </c>
      <c r="S1988" t="s">
        <v>39327</v>
      </c>
      <c r="T1988" t="s">
        <v>39328</v>
      </c>
      <c r="U1988" t="s">
        <v>39329</v>
      </c>
      <c r="V1988">
        <f>-537.910614487829 -11.5732853280186 -223.136889359269</f>
        <v>-772.62078917511667</v>
      </c>
      <c r="W1988" t="s">
        <v>39330</v>
      </c>
      <c r="X1988" t="s">
        <v>39331</v>
      </c>
      <c r="Y1988" t="s">
        <v>39332</v>
      </c>
    </row>
    <row r="1989" spans="1:25" x14ac:dyDescent="0.3">
      <c r="A1989">
        <v>99400</v>
      </c>
      <c r="B1989" t="s">
        <v>39333</v>
      </c>
      <c r="C1989" t="s">
        <v>39334</v>
      </c>
      <c r="D1989" t="s">
        <v>39335</v>
      </c>
      <c r="E1989" t="s">
        <v>39336</v>
      </c>
      <c r="F1989" t="s">
        <v>39337</v>
      </c>
      <c r="G1989" t="s">
        <v>39338</v>
      </c>
      <c r="H1989">
        <f>-594.222451727748 -37.2636506542983 -830.657949206947</f>
        <v>-1462.1440515889933</v>
      </c>
      <c r="I1989">
        <f>-562.943416178945 -57.2990393658587 -925.543143850955</f>
        <v>-1545.7855993957587</v>
      </c>
      <c r="J1989" t="s">
        <v>39339</v>
      </c>
      <c r="K1989" t="s">
        <v>39340</v>
      </c>
      <c r="L1989" t="s">
        <v>39341</v>
      </c>
      <c r="M1989" t="s">
        <v>39342</v>
      </c>
      <c r="N1989">
        <f>-602.320190277846 -50.6280865068957 -757.796910452362</f>
        <v>-1410.7451872371037</v>
      </c>
      <c r="O1989">
        <f>-620.77988479738 -187.126756140639 -706.273950954054</f>
        <v>-1514.1805918920732</v>
      </c>
      <c r="P1989">
        <f>-589.744501824618 -163.57761275337 -392.15865122394</f>
        <v>-1145.4807658019281</v>
      </c>
      <c r="Q1989">
        <f>-354.805645175928 -74.1407838496914 -458.843261902821</f>
        <v>-887.78969092844045</v>
      </c>
      <c r="R1989" t="s">
        <v>39343</v>
      </c>
      <c r="S1989" t="s">
        <v>39344</v>
      </c>
      <c r="T1989" t="s">
        <v>39345</v>
      </c>
      <c r="U1989" t="s">
        <v>39346</v>
      </c>
      <c r="V1989">
        <f>-537.97832844321 -11.2615284685044 -223.252219162743</f>
        <v>-772.49207607445737</v>
      </c>
      <c r="W1989" t="s">
        <v>39347</v>
      </c>
      <c r="X1989" t="s">
        <v>39348</v>
      </c>
      <c r="Y1989" t="s">
        <v>39349</v>
      </c>
    </row>
    <row r="1990" spans="1:25" x14ac:dyDescent="0.3">
      <c r="A1990">
        <v>99450</v>
      </c>
      <c r="B1990" t="s">
        <v>39350</v>
      </c>
      <c r="C1990" t="s">
        <v>39351</v>
      </c>
      <c r="D1990" t="s">
        <v>39352</v>
      </c>
      <c r="E1990" t="s">
        <v>39353</v>
      </c>
      <c r="F1990" t="s">
        <v>39354</v>
      </c>
      <c r="G1990" t="s">
        <v>39355</v>
      </c>
      <c r="H1990">
        <f>-594.594622390702 -35.543236365949 -831.031494617912</f>
        <v>-1461.1693533745631</v>
      </c>
      <c r="I1990">
        <f>-563.555926969942 -55.4630976153798 -926.019852693846</f>
        <v>-1545.0388772791678</v>
      </c>
      <c r="J1990" t="s">
        <v>39356</v>
      </c>
      <c r="K1990" t="s">
        <v>39357</v>
      </c>
      <c r="L1990" t="s">
        <v>39358</v>
      </c>
      <c r="M1990" t="s">
        <v>39359</v>
      </c>
      <c r="N1990">
        <f>-602.62223141853 -49.2010696235811 -758.217182152649</f>
        <v>-1410.0404831947601</v>
      </c>
      <c r="O1990">
        <f>-621.127661057473 -185.91448434495 -707.379294057654</f>
        <v>-1514.421439460077</v>
      </c>
      <c r="P1990">
        <f>-590.428277045631 -163.738258771983 -393.131133847546</f>
        <v>-1147.2976696651599</v>
      </c>
      <c r="Q1990">
        <f>-355.494720445326 -74.1363777815032 -459.612735913073</f>
        <v>-889.24383413990222</v>
      </c>
      <c r="R1990" t="s">
        <v>39360</v>
      </c>
      <c r="S1990" t="s">
        <v>39361</v>
      </c>
      <c r="T1990" t="s">
        <v>39362</v>
      </c>
      <c r="U1990" t="s">
        <v>39363</v>
      </c>
      <c r="V1990">
        <f>-537.997726768031 -11.6098007252749 -223.231615304737</f>
        <v>-772.83914279804299</v>
      </c>
      <c r="W1990" t="s">
        <v>39364</v>
      </c>
      <c r="X1990" t="s">
        <v>39365</v>
      </c>
      <c r="Y1990" t="s">
        <v>39366</v>
      </c>
    </row>
    <row r="1991" spans="1:25" x14ac:dyDescent="0.3">
      <c r="A1991">
        <v>99500</v>
      </c>
      <c r="B1991" t="s">
        <v>39367</v>
      </c>
      <c r="C1991" t="s">
        <v>39368</v>
      </c>
      <c r="D1991" t="s">
        <v>39369</v>
      </c>
      <c r="E1991" t="s">
        <v>39370</v>
      </c>
      <c r="F1991" t="s">
        <v>39371</v>
      </c>
      <c r="G1991" t="s">
        <v>39372</v>
      </c>
      <c r="H1991">
        <f>-594.85703736096 -34.8152437297893 -831.179017072434</f>
        <v>-1460.8512981631834</v>
      </c>
      <c r="I1991">
        <f>-563.920475033253 -54.69282289431 -926.20943468695</f>
        <v>-1544.8227326145129</v>
      </c>
      <c r="J1991" t="s">
        <v>39373</v>
      </c>
      <c r="K1991" t="s">
        <v>39374</v>
      </c>
      <c r="L1991" t="s">
        <v>39375</v>
      </c>
      <c r="M1991" t="s">
        <v>39376</v>
      </c>
      <c r="N1991">
        <f>-602.867508265039 -48.560393924163 -758.379055407299</f>
        <v>-1409.806957596501</v>
      </c>
      <c r="O1991">
        <f>-621.677242755065 -185.305432388663 -707.652920749486</f>
        <v>-1514.635595893214</v>
      </c>
      <c r="P1991">
        <f>-590.859304104336 -163.875261204346 -393.364543530807</f>
        <v>-1148.099108839489</v>
      </c>
      <c r="Q1991">
        <f>-355.910783571331 -74.2731545850222 -459.792792090236</f>
        <v>-889.97673024658923</v>
      </c>
      <c r="R1991" t="s">
        <v>39377</v>
      </c>
      <c r="S1991" t="s">
        <v>39378</v>
      </c>
      <c r="T1991" t="s">
        <v>39379</v>
      </c>
      <c r="U1991" t="s">
        <v>39380</v>
      </c>
      <c r="V1991">
        <f>-538.018345614685 -11.5956335553219 -223.300211947225</f>
        <v>-772.91419111723189</v>
      </c>
      <c r="W1991" t="s">
        <v>39381</v>
      </c>
      <c r="X1991" t="s">
        <v>39382</v>
      </c>
      <c r="Y1991" t="s">
        <v>39383</v>
      </c>
    </row>
    <row r="1992" spans="1:25" x14ac:dyDescent="0.3">
      <c r="A1992">
        <v>99550</v>
      </c>
      <c r="B1992" t="s">
        <v>39384</v>
      </c>
      <c r="C1992" t="s">
        <v>39385</v>
      </c>
      <c r="D1992" t="s">
        <v>39386</v>
      </c>
      <c r="E1992" t="s">
        <v>39387</v>
      </c>
      <c r="F1992" t="s">
        <v>39388</v>
      </c>
      <c r="G1992" t="s">
        <v>39389</v>
      </c>
      <c r="H1992">
        <f>-593.813340169739 -34.4012045713954 -831.564402402011</f>
        <v>-1459.7789471431454</v>
      </c>
      <c r="I1992">
        <f>-562.989108268859 -54.2092969486354 -926.645862224078</f>
        <v>-1543.8442674415724</v>
      </c>
      <c r="J1992" t="s">
        <v>39390</v>
      </c>
      <c r="K1992" t="s">
        <v>39391</v>
      </c>
      <c r="L1992" t="s">
        <v>39392</v>
      </c>
      <c r="M1992" t="s">
        <v>39393</v>
      </c>
      <c r="N1992">
        <f>-601.883830575149 -48.2223665690381 -758.785535028524</f>
        <v>-1408.891732172711</v>
      </c>
      <c r="O1992">
        <f>-620.967904308236 -184.974714428311 -708.201384838578</f>
        <v>-1514.144003575125</v>
      </c>
      <c r="P1992">
        <f>-590.213544271406 -163.661155348536 -393.898897861067</f>
        <v>-1147.7735974810089</v>
      </c>
      <c r="Q1992">
        <f>-354.984721253782 -74.897993498291 -460.461489427099</f>
        <v>-890.34420417917204</v>
      </c>
      <c r="R1992" t="s">
        <v>39394</v>
      </c>
      <c r="S1992" t="s">
        <v>39395</v>
      </c>
      <c r="T1992" t="s">
        <v>39396</v>
      </c>
      <c r="U1992" t="s">
        <v>39397</v>
      </c>
      <c r="V1992">
        <f>-537.75844540957 -12.1561947438155 -223.598679334037</f>
        <v>-773.51331948742245</v>
      </c>
      <c r="W1992" t="s">
        <v>39398</v>
      </c>
      <c r="X1992" t="s">
        <v>39399</v>
      </c>
      <c r="Y1992" t="s">
        <v>39400</v>
      </c>
    </row>
    <row r="1993" spans="1:25" x14ac:dyDescent="0.3">
      <c r="A1993">
        <v>99600</v>
      </c>
      <c r="B1993" t="s">
        <v>39401</v>
      </c>
      <c r="C1993" t="s">
        <v>39402</v>
      </c>
      <c r="D1993" t="s">
        <v>39403</v>
      </c>
      <c r="E1993" t="s">
        <v>39404</v>
      </c>
      <c r="F1993" t="s">
        <v>39405</v>
      </c>
      <c r="G1993" t="s">
        <v>39406</v>
      </c>
      <c r="H1993">
        <f>-593.462591742493 -34.1973083121225 -831.783967978062</f>
        <v>-1459.4438680326775</v>
      </c>
      <c r="I1993">
        <f>-562.690724999886 -54.0113128914967 -926.881169969865</f>
        <v>-1543.5832078612477</v>
      </c>
      <c r="J1993" t="s">
        <v>39407</v>
      </c>
      <c r="K1993" t="s">
        <v>39408</v>
      </c>
      <c r="L1993" t="s">
        <v>39409</v>
      </c>
      <c r="M1993" t="s">
        <v>39410</v>
      </c>
      <c r="N1993">
        <f>-601.50720415869 -48.1101356571579 -759.019772824127</f>
        <v>-1408.6371126399749</v>
      </c>
      <c r="O1993">
        <f>-620.591783607379 -184.899878214656 -708.524128684487</f>
        <v>-1514.0157905065221</v>
      </c>
      <c r="P1993">
        <f>-589.888937911188 -163.578344341791 -394.217104002718</f>
        <v>-1147.6843862556971</v>
      </c>
      <c r="Q1993">
        <f>-354.474368227698 -75.2342904411872 -460.680409001696</f>
        <v>-890.3890676705812</v>
      </c>
      <c r="R1993" t="s">
        <v>39411</v>
      </c>
      <c r="S1993" t="s">
        <v>39412</v>
      </c>
      <c r="T1993" t="s">
        <v>39413</v>
      </c>
      <c r="U1993" t="s">
        <v>39414</v>
      </c>
      <c r="V1993">
        <f>-537.600417929164 -12.4618039567435 -223.711041084968</f>
        <v>-773.77326297087552</v>
      </c>
      <c r="W1993" t="s">
        <v>39415</v>
      </c>
      <c r="X1993" t="s">
        <v>39416</v>
      </c>
      <c r="Y1993" t="s">
        <v>39417</v>
      </c>
    </row>
    <row r="1994" spans="1:25" x14ac:dyDescent="0.3">
      <c r="A1994">
        <v>99650</v>
      </c>
      <c r="B1994" t="s">
        <v>39418</v>
      </c>
      <c r="C1994" t="s">
        <v>39419</v>
      </c>
      <c r="D1994" t="s">
        <v>39420</v>
      </c>
      <c r="E1994" t="s">
        <v>39421</v>
      </c>
      <c r="F1994" t="s">
        <v>39422</v>
      </c>
      <c r="G1994" t="s">
        <v>39423</v>
      </c>
      <c r="H1994">
        <f>-593.014922735227 -33.9840178191055 -832.524708922621</f>
        <v>-1459.5236494769533</v>
      </c>
      <c r="I1994">
        <f>-562.134192163533 -53.9134443083447 -927.56253969046</f>
        <v>-1543.6101761623377</v>
      </c>
      <c r="J1994" t="s">
        <v>39424</v>
      </c>
      <c r="K1994" t="s">
        <v>39425</v>
      </c>
      <c r="L1994" t="s">
        <v>39426</v>
      </c>
      <c r="M1994" t="s">
        <v>39427</v>
      </c>
      <c r="N1994">
        <f>-601.112705223769 -48.0450914903499 -759.794990093689</f>
        <v>-1408.952786807808</v>
      </c>
      <c r="O1994">
        <f>-620.20526535475 -184.91196277148 -709.547044676965</f>
        <v>-1514.6642728031952</v>
      </c>
      <c r="P1994">
        <f>-589.655730499108 -164.06430441352 -395.193282384958</f>
        <v>-1148.9133172975862</v>
      </c>
      <c r="Q1994">
        <f>-354.04154442999 -75.760281359124 -460.999141540884</f>
        <v>-890.800967329998</v>
      </c>
      <c r="R1994" t="s">
        <v>39428</v>
      </c>
      <c r="S1994" t="s">
        <v>39429</v>
      </c>
      <c r="T1994" t="s">
        <v>39430</v>
      </c>
      <c r="U1994" t="s">
        <v>39431</v>
      </c>
      <c r="V1994">
        <f>-537.273616498329 -13.8930386092338 -224.61994625609</f>
        <v>-775.78660136365284</v>
      </c>
      <c r="W1994" t="s">
        <v>39432</v>
      </c>
      <c r="X1994" t="s">
        <v>39433</v>
      </c>
      <c r="Y1994" t="s">
        <v>39434</v>
      </c>
    </row>
    <row r="1995" spans="1:25" x14ac:dyDescent="0.3">
      <c r="A1995">
        <v>99700</v>
      </c>
      <c r="B1995" t="s">
        <v>39435</v>
      </c>
      <c r="C1995" t="s">
        <v>39436</v>
      </c>
      <c r="D1995" t="s">
        <v>39437</v>
      </c>
      <c r="E1995" t="s">
        <v>39438</v>
      </c>
      <c r="F1995" t="s">
        <v>39439</v>
      </c>
      <c r="G1995" t="s">
        <v>39440</v>
      </c>
      <c r="H1995">
        <f>-592.796865284731 -34.1405085820312 -833.014056031249</f>
        <v>-1459.9514298980112</v>
      </c>
      <c r="I1995">
        <f>-561.861520299388 -54.1046066495752 -928.026801984332</f>
        <v>-1543.9929289332952</v>
      </c>
      <c r="J1995" t="s">
        <v>39441</v>
      </c>
      <c r="K1995" t="s">
        <v>39442</v>
      </c>
      <c r="L1995" t="s">
        <v>39443</v>
      </c>
      <c r="M1995" t="s">
        <v>39444</v>
      </c>
      <c r="N1995">
        <f>-600.915870001414 -48.2713253512845 -760.300220236029</f>
        <v>-1409.4874155887273</v>
      </c>
      <c r="O1995">
        <f>-619.928683083176 -185.207237506711 -710.204025307772</f>
        <v>-1515.3399458976592</v>
      </c>
      <c r="P1995">
        <f>-589.548279219501 -164.872490733826 -395.800186936255</f>
        <v>-1150.2209568895819</v>
      </c>
      <c r="Q1995">
        <f>-353.895333657921 -76.365828511905 -461.193876844662</f>
        <v>-891.45503901448797</v>
      </c>
      <c r="R1995" t="s">
        <v>39445</v>
      </c>
      <c r="S1995" t="s">
        <v>39446</v>
      </c>
      <c r="T1995" t="s">
        <v>39447</v>
      </c>
      <c r="U1995" t="s">
        <v>39448</v>
      </c>
      <c r="V1995">
        <f>-537.119597075481 -15.0882381314029 -225.236563164002</f>
        <v>-777.44439837088589</v>
      </c>
      <c r="W1995" t="s">
        <v>39449</v>
      </c>
      <c r="X1995" t="s">
        <v>39450</v>
      </c>
      <c r="Y1995" t="s">
        <v>39451</v>
      </c>
    </row>
    <row r="1996" spans="1:25" x14ac:dyDescent="0.3">
      <c r="A1996">
        <v>99750</v>
      </c>
      <c r="B1996" t="s">
        <v>39452</v>
      </c>
      <c r="C1996" t="s">
        <v>39453</v>
      </c>
      <c r="D1996" t="s">
        <v>39454</v>
      </c>
      <c r="E1996" t="s">
        <v>39455</v>
      </c>
      <c r="F1996" t="s">
        <v>39456</v>
      </c>
      <c r="G1996" t="s">
        <v>39457</v>
      </c>
      <c r="H1996">
        <f>-592.277010222033 -34.891869930981 -834.300079727626</f>
        <v>-1461.4689598806399</v>
      </c>
      <c r="I1996">
        <f>-561.252218396597 -54.671299049602 -929.322292068808</f>
        <v>-1545.2458095150068</v>
      </c>
      <c r="J1996" t="s">
        <v>39458</v>
      </c>
      <c r="K1996" t="s">
        <v>39459</v>
      </c>
      <c r="L1996" t="s">
        <v>39460</v>
      </c>
      <c r="M1996" t="s">
        <v>39461</v>
      </c>
      <c r="N1996">
        <f>-600.390689115461 -49.2363830596355 -761.627519889547</f>
        <v>-1411.2545920646435</v>
      </c>
      <c r="O1996">
        <f>-618.863659624276 -186.392795017636 -711.892288728152</f>
        <v>-1517.148743370064</v>
      </c>
      <c r="P1996">
        <f>-589.036023186165 -166.434331408258 -397.411565651726</f>
        <v>-1152.8819202461491</v>
      </c>
      <c r="Q1996">
        <f>-353.386322736131 -77.531542608554 -462.277337573368</f>
        <v>-893.19520291805293</v>
      </c>
      <c r="R1996" t="s">
        <v>39462</v>
      </c>
      <c r="S1996" t="s">
        <v>39463</v>
      </c>
      <c r="T1996" t="s">
        <v>39464</v>
      </c>
      <c r="U1996" t="s">
        <v>39465</v>
      </c>
      <c r="V1996">
        <f>-536.964847689239 -18.8846057861536 -226.950731788996</f>
        <v>-782.80018526438869</v>
      </c>
      <c r="W1996" t="s">
        <v>39466</v>
      </c>
      <c r="X1996" t="s">
        <v>39467</v>
      </c>
      <c r="Y1996" t="s">
        <v>39468</v>
      </c>
    </row>
    <row r="1997" spans="1:25" x14ac:dyDescent="0.3">
      <c r="A1997">
        <v>99800</v>
      </c>
      <c r="B1997" t="s">
        <v>39469</v>
      </c>
      <c r="C1997" t="s">
        <v>39470</v>
      </c>
      <c r="D1997" t="s">
        <v>39471</v>
      </c>
      <c r="E1997" t="s">
        <v>39472</v>
      </c>
      <c r="F1997" t="s">
        <v>39473</v>
      </c>
      <c r="G1997" t="s">
        <v>39474</v>
      </c>
      <c r="H1997">
        <f>-592.498171132876 -35.2510282255796 -835.083137475064</f>
        <v>-1462.8323368335195</v>
      </c>
      <c r="I1997">
        <f>-561.439841398408 -54.8751091853138 -930.126686380472</f>
        <v>-1546.441636964194</v>
      </c>
      <c r="J1997" t="s">
        <v>39475</v>
      </c>
      <c r="K1997" t="s">
        <v>39476</v>
      </c>
      <c r="L1997" t="s">
        <v>39477</v>
      </c>
      <c r="M1997" t="s">
        <v>39478</v>
      </c>
      <c r="N1997">
        <f>-600.577767999547 -49.7622382675585 -762.439710571713</f>
        <v>-1412.7797168388183</v>
      </c>
      <c r="O1997">
        <f>-618.69539892827 -187.061222194506 -712.997608735335</f>
        <v>-1518.7542298581111</v>
      </c>
      <c r="P1997">
        <f>-589.127892517887 -167.534713930853 -398.465117443317</f>
        <v>-1155.127723892057</v>
      </c>
      <c r="Q1997">
        <f>-353.575184094566 -78.1192995429434 -462.977625227239</f>
        <v>-894.67210886474845</v>
      </c>
      <c r="R1997" t="s">
        <v>39479</v>
      </c>
      <c r="S1997" t="s">
        <v>39480</v>
      </c>
      <c r="T1997" t="s">
        <v>39481</v>
      </c>
      <c r="U1997" t="s">
        <v>39482</v>
      </c>
      <c r="V1997">
        <f>-536.992607997857 -21.5754899271622 -228.066296250753</f>
        <v>-786.63439417577217</v>
      </c>
      <c r="W1997" t="s">
        <v>39483</v>
      </c>
      <c r="X1997" t="s">
        <v>39484</v>
      </c>
      <c r="Y1997" t="s">
        <v>39485</v>
      </c>
    </row>
    <row r="1998" spans="1:25" x14ac:dyDescent="0.3">
      <c r="A1998">
        <v>99850</v>
      </c>
      <c r="B1998" t="s">
        <v>39486</v>
      </c>
      <c r="C1998" t="s">
        <v>39487</v>
      </c>
      <c r="D1998" t="s">
        <v>39488</v>
      </c>
      <c r="E1998" t="s">
        <v>39489</v>
      </c>
      <c r="F1998" t="s">
        <v>39490</v>
      </c>
      <c r="G1998">
        <f>-599.567048577881 -1.21836980234409 -688.869582074932</f>
        <v>-1289.6550004551573</v>
      </c>
      <c r="H1998">
        <f>-593.047824405872 -36.5295532935728 -836.891950305573</f>
        <v>-1466.4693280050178</v>
      </c>
      <c r="I1998">
        <f>-561.924114661745 -55.7519202667818 -931.996096395275</f>
        <v>-1549.6721313238018</v>
      </c>
      <c r="J1998" t="s">
        <v>39491</v>
      </c>
      <c r="K1998" t="s">
        <v>39492</v>
      </c>
      <c r="L1998" t="s">
        <v>39493</v>
      </c>
      <c r="M1998" t="s">
        <v>39494</v>
      </c>
      <c r="N1998">
        <f>-601.019357464704 -51.4829495231053 -764.326420584629</f>
        <v>-1416.8287275724383</v>
      </c>
      <c r="O1998">
        <f>-618.61170945352 -189.174772903212 -715.757514918085</f>
        <v>-1523.543997274817</v>
      </c>
      <c r="P1998">
        <f>-589.630967354496 -171.625774764532 -401.05397961208</f>
        <v>-1162.3107217311081</v>
      </c>
      <c r="Q1998">
        <f>-354.556165166128 -80.1444102120185 -464.402602848921</f>
        <v>-899.10317822706747</v>
      </c>
      <c r="R1998" t="s">
        <v>39495</v>
      </c>
      <c r="S1998" t="s">
        <v>39496</v>
      </c>
      <c r="T1998" t="s">
        <v>39497</v>
      </c>
      <c r="U1998" t="s">
        <v>39498</v>
      </c>
      <c r="V1998">
        <f>-537.503892809783 -28.5651315575509 -230.583866428614</f>
        <v>-796.65289079594788</v>
      </c>
      <c r="W1998" t="s">
        <v>39499</v>
      </c>
      <c r="X1998" t="s">
        <v>39500</v>
      </c>
      <c r="Y1998" t="s">
        <v>39501</v>
      </c>
    </row>
    <row r="1999" spans="1:25" x14ac:dyDescent="0.3">
      <c r="A1999">
        <v>99900</v>
      </c>
      <c r="B1999" t="s">
        <v>39502</v>
      </c>
      <c r="C1999" t="s">
        <v>39503</v>
      </c>
      <c r="D1999" t="s">
        <v>39504</v>
      </c>
      <c r="E1999" t="s">
        <v>39505</v>
      </c>
      <c r="F1999" t="s">
        <v>39506</v>
      </c>
      <c r="G1999">
        <f>-599.525271458348 -1.890975051878 -689.777700748856</f>
        <v>-1291.1939472590821</v>
      </c>
      <c r="H1999">
        <f>-592.858482138606 -36.6093620763128 -837.933691762279</f>
        <v>-1467.4015359771977</v>
      </c>
      <c r="I1999">
        <f>-561.644601881853 -55.5039658088679 -933.074037194526</f>
        <v>-1550.2226048852467</v>
      </c>
      <c r="J1999" t="s">
        <v>39507</v>
      </c>
      <c r="K1999" t="s">
        <v>39508</v>
      </c>
      <c r="L1999" t="s">
        <v>39509</v>
      </c>
      <c r="M1999" t="s">
        <v>39510</v>
      </c>
      <c r="N1999">
        <f>-600.82078180076 -51.8650865666677 -765.430014352939</f>
        <v>-1418.1158827203667</v>
      </c>
      <c r="O1999">
        <f>-618.039196133765 -189.791934956939 -717.340912057501</f>
        <v>-1525.1720431482049</v>
      </c>
      <c r="P1999">
        <f>-589.515814153027 -173.458306184049 -402.530146303924</f>
        <v>-1165.504266641</v>
      </c>
      <c r="Q1999">
        <f>-354.720910102517 -80.7927166339823 -465.191569470965</f>
        <v>-900.70519620746427</v>
      </c>
      <c r="R1999" t="s">
        <v>39511</v>
      </c>
      <c r="S1999" t="s">
        <v>39512</v>
      </c>
      <c r="T1999" t="s">
        <v>39513</v>
      </c>
      <c r="U1999" t="s">
        <v>39514</v>
      </c>
      <c r="V1999">
        <f>-537.493135643256 -32.3099271540008 -232.017705543035</f>
        <v>-801.82076834029181</v>
      </c>
      <c r="W1999" t="s">
        <v>39515</v>
      </c>
      <c r="X1999" t="s">
        <v>39516</v>
      </c>
      <c r="Y1999" t="s">
        <v>39517</v>
      </c>
    </row>
    <row r="2000" spans="1:25" x14ac:dyDescent="0.3">
      <c r="A2000">
        <v>99950</v>
      </c>
      <c r="B2000" t="s">
        <v>39518</v>
      </c>
      <c r="C2000" t="s">
        <v>39519</v>
      </c>
      <c r="D2000" t="s">
        <v>39520</v>
      </c>
      <c r="E2000" t="s">
        <v>39521</v>
      </c>
      <c r="F2000" t="s">
        <v>39522</v>
      </c>
      <c r="G2000">
        <f>-598.882226991254 -2.91998083335474 -691.533359073376</f>
        <v>-1293.3355668979848</v>
      </c>
      <c r="H2000">
        <f>-591.814379836718 -36.0914057243955 -840.024711269807</f>
        <v>-1467.9304968309204</v>
      </c>
      <c r="I2000">
        <f>-560.41287275423 -54.0329106571542 -935.287737773457</f>
        <v>-1549.7335211848413</v>
      </c>
      <c r="J2000" t="s">
        <v>39523</v>
      </c>
      <c r="K2000" t="s">
        <v>39524</v>
      </c>
      <c r="L2000" t="s">
        <v>39525</v>
      </c>
      <c r="M2000" t="s">
        <v>39526</v>
      </c>
      <c r="N2000">
        <f>-599.738893727591 -52.1357190398855 -767.687352183745</f>
        <v>-1419.5619649512214</v>
      </c>
      <c r="O2000">
        <f>-616.105600150014 -190.581691501145 -720.899583871404</f>
        <v>-1527.5868755225629</v>
      </c>
      <c r="P2000">
        <f>-589.024172666758 -176.562571587706 -405.84997473504</f>
        <v>-1171.436718989504</v>
      </c>
      <c r="Q2000">
        <f>-354.794674835242 -81.4684788342538 -466.970390856075</f>
        <v>-903.23354452557078</v>
      </c>
      <c r="R2000" t="s">
        <v>39527</v>
      </c>
      <c r="S2000" t="s">
        <v>39528</v>
      </c>
      <c r="T2000" t="s">
        <v>39529</v>
      </c>
      <c r="U2000" t="s">
        <v>39530</v>
      </c>
      <c r="V2000">
        <f>-537.300934526605 -40.4956370201563 -234.432913671391</f>
        <v>-812.22948521815238</v>
      </c>
      <c r="W2000" t="s">
        <v>39531</v>
      </c>
      <c r="X2000" t="s">
        <v>39532</v>
      </c>
      <c r="Y2000" t="s">
        <v>39533</v>
      </c>
    </row>
    <row r="2001" spans="1:25" x14ac:dyDescent="0.3">
      <c r="A2001">
        <v>100000</v>
      </c>
      <c r="B2001" t="s">
        <v>39534</v>
      </c>
      <c r="C2001" t="s">
        <v>39535</v>
      </c>
      <c r="D2001" t="s">
        <v>39536</v>
      </c>
      <c r="E2001" t="s">
        <v>39537</v>
      </c>
      <c r="F2001" t="s">
        <v>39538</v>
      </c>
      <c r="G2001">
        <f>-598.290013127126 -3.7517399823609 -692.331346023355</f>
        <v>-1294.3730991328418</v>
      </c>
      <c r="H2001">
        <f>-590.93577878799 -35.9145991240457 -841.030579496082</f>
        <v>-1467.8809574081179</v>
      </c>
      <c r="I2001">
        <f>-559.426143156695 -53.2448703199623 -936.371074980602</f>
        <v>-1549.0420884572593</v>
      </c>
      <c r="J2001" t="s">
        <v>39539</v>
      </c>
      <c r="K2001" t="s">
        <v>39540</v>
      </c>
      <c r="L2001" t="s">
        <v>39541</v>
      </c>
      <c r="M2001" t="s">
        <v>39542</v>
      </c>
      <c r="N2001">
        <f>-598.857873865547 -52.4689400593919 -768.807922435294</f>
        <v>-1420.1347363602331</v>
      </c>
      <c r="O2001">
        <f>-614.771619052193 -191.242383024324 -722.812757017607</f>
        <v>-1528.8267590941241</v>
      </c>
      <c r="P2001">
        <f>-588.38803388281 -178.846664756745 -407.635842885412</f>
        <v>-1174.8705415249669</v>
      </c>
      <c r="Q2001">
        <f>-354.535405113683 -82.326100864138 -467.958200179441</f>
        <v>-904.81970615726209</v>
      </c>
      <c r="R2001" t="s">
        <v>39543</v>
      </c>
      <c r="S2001" t="s">
        <v>39544</v>
      </c>
      <c r="T2001" t="s">
        <v>39545</v>
      </c>
      <c r="U2001" t="s">
        <v>39546</v>
      </c>
      <c r="V2001">
        <f>-537.167342474427 -45.0821629136551 -235.485968960001</f>
        <v>-817.73547434808302</v>
      </c>
      <c r="W2001" t="s">
        <v>39547</v>
      </c>
      <c r="X2001" t="s">
        <v>39548</v>
      </c>
      <c r="Y2001" t="s">
        <v>39549</v>
      </c>
    </row>
    <row r="2002" spans="1:25" x14ac:dyDescent="0.3">
      <c r="A2002">
        <v>100050</v>
      </c>
      <c r="B2002" t="s">
        <v>39550</v>
      </c>
      <c r="C2002" t="s">
        <v>39551</v>
      </c>
      <c r="D2002" t="s">
        <v>39552</v>
      </c>
      <c r="E2002" t="s">
        <v>39553</v>
      </c>
      <c r="F2002" t="s">
        <v>39554</v>
      </c>
      <c r="G2002">
        <f>-597.647672446382 -7.42034403049807 -689.781999855762</f>
        <v>-1294.8500163326421</v>
      </c>
      <c r="H2002">
        <f>-589.719490578698 -37.2206432401628 -838.94334570354</f>
        <v>-1465.8834795224006</v>
      </c>
      <c r="I2002">
        <f>-557.915266600253 -53.034671320432 -934.449298855099</f>
        <v>-1545.3992367757839</v>
      </c>
      <c r="J2002" t="s">
        <v>39555</v>
      </c>
      <c r="K2002" t="s">
        <v>39556</v>
      </c>
      <c r="L2002" t="s">
        <v>39557</v>
      </c>
      <c r="M2002" t="s">
        <v>39558</v>
      </c>
      <c r="N2002">
        <f>-597.532327322324 -54.968728692278 -766.992753403453</f>
        <v>-1419.493809418055</v>
      </c>
      <c r="O2002">
        <f>-611.990577110553 -194.494780406375 -722.888815733383</f>
        <v>-1529.3741732503108</v>
      </c>
      <c r="P2002">
        <f>-586.849786381264 -185.432496772056 -407.496929094813</f>
        <v>-1179.779212248133</v>
      </c>
      <c r="Q2002">
        <f>-353.916709731193 -85.5713122616443 -465.909043269451</f>
        <v>-905.39706526228827</v>
      </c>
      <c r="R2002" t="s">
        <v>39559</v>
      </c>
      <c r="S2002" t="s">
        <v>39560</v>
      </c>
      <c r="T2002" t="s">
        <v>39561</v>
      </c>
      <c r="U2002" t="s">
        <v>39562</v>
      </c>
      <c r="V2002">
        <f>-536.757955018205 -54.6520214755334 -232.648921282902</f>
        <v>-824.05889777664038</v>
      </c>
      <c r="W2002" t="s">
        <v>39563</v>
      </c>
      <c r="X2002" t="s">
        <v>39564</v>
      </c>
      <c r="Y2002" t="s">
        <v>39565</v>
      </c>
    </row>
    <row r="2003" spans="1:25" x14ac:dyDescent="0.3">
      <c r="A2003">
        <v>100100</v>
      </c>
      <c r="B2003" t="s">
        <v>39566</v>
      </c>
      <c r="C2003" t="s">
        <v>39567</v>
      </c>
      <c r="D2003" t="s">
        <v>39568</v>
      </c>
      <c r="E2003" t="s">
        <v>39569</v>
      </c>
      <c r="F2003" t="s">
        <v>39570</v>
      </c>
      <c r="G2003">
        <f>-597.079634095614 -9.86331235510358 -690.645617766622</f>
        <v>-1297.5885642173396</v>
      </c>
      <c r="H2003">
        <f>-588.926688003632 -38.5841217298405 -840.006481269795</f>
        <v>-1467.5172910032675</v>
      </c>
      <c r="I2003">
        <f>-556.97492915241 -53.6048043523504 -935.591205402827</f>
        <v>-1546.1709389075872</v>
      </c>
      <c r="J2003" t="s">
        <v>39571</v>
      </c>
      <c r="K2003" t="s">
        <v>39572</v>
      </c>
      <c r="L2003" t="s">
        <v>39573</v>
      </c>
      <c r="M2003" t="s">
        <v>39574</v>
      </c>
      <c r="N2003">
        <f>-596.598075731384 -56.882216929649 -768.178504981137</f>
        <v>-1421.6587976421702</v>
      </c>
      <c r="O2003">
        <f>-609.951029142491 -196.797501752076 -724.996831338871</f>
        <v>-1531.7453622334378</v>
      </c>
      <c r="P2003">
        <f>-585.334520104481 -189.619541158593 -409.515088654033</f>
        <v>-1184.469149917107</v>
      </c>
      <c r="Q2003">
        <f>-353.060301991305 -87.7912276805349 -467.149594603106</f>
        <v>-908.00112427494582</v>
      </c>
      <c r="R2003" t="s">
        <v>39575</v>
      </c>
      <c r="S2003" t="s">
        <v>39576</v>
      </c>
      <c r="T2003" t="s">
        <v>39577</v>
      </c>
      <c r="U2003" t="s">
        <v>39578</v>
      </c>
      <c r="V2003">
        <f>-536.314482406087 -59.6408926881454 -234.073008069298</f>
        <v>-830.02838316353041</v>
      </c>
      <c r="W2003" t="s">
        <v>39579</v>
      </c>
      <c r="X2003" t="s">
        <v>39580</v>
      </c>
      <c r="Y2003" t="s">
        <v>39581</v>
      </c>
    </row>
    <row r="2004" spans="1:25" x14ac:dyDescent="0.3">
      <c r="A2004">
        <v>100150</v>
      </c>
      <c r="B2004" t="s">
        <v>39582</v>
      </c>
      <c r="C2004" t="s">
        <v>39583</v>
      </c>
      <c r="D2004" t="s">
        <v>39584</v>
      </c>
      <c r="E2004" t="s">
        <v>39585</v>
      </c>
      <c r="F2004" t="s">
        <v>39586</v>
      </c>
      <c r="G2004">
        <f>-594.927900007003 -14.0176443608716 -692.304877367167</f>
        <v>-1301.2504217350415</v>
      </c>
      <c r="H2004">
        <f>-586.656798209832 -40.9957804023088 -841.983776378034</f>
        <v>-1469.6363549901748</v>
      </c>
      <c r="I2004">
        <f>-554.48062314737 -54.5424526917049 -937.713492013278</f>
        <v>-1546.7365678523529</v>
      </c>
      <c r="J2004" t="s">
        <v>39587</v>
      </c>
      <c r="K2004" t="s">
        <v>39588</v>
      </c>
      <c r="L2004" t="s">
        <v>39589</v>
      </c>
      <c r="M2004" t="s">
        <v>39590</v>
      </c>
      <c r="N2004">
        <f>-593.886459468556 -60.1844373852008 -770.342785122671</f>
        <v>-1424.4136819764278</v>
      </c>
      <c r="O2004">
        <f>-605.031029469851 -200.741869615408 -728.561707137182</f>
        <v>-1534.3346062224409</v>
      </c>
      <c r="P2004">
        <f>-580.42256241725 -196.809507302905 -413.022199477699</f>
        <v>-1190.254269197854</v>
      </c>
      <c r="Q2004">
        <f>-349.768184387445 -90.9068538018425 -469.813632244356</f>
        <v>-910.48867043364339</v>
      </c>
      <c r="R2004" t="s">
        <v>39591</v>
      </c>
      <c r="S2004" t="s">
        <v>39592</v>
      </c>
      <c r="T2004" t="s">
        <v>39593</v>
      </c>
      <c r="U2004" t="s">
        <v>39594</v>
      </c>
      <c r="V2004">
        <f>-534.792674155207 -68.547038080066 -236.438648241711</f>
        <v>-839.77836047698406</v>
      </c>
      <c r="W2004" t="s">
        <v>39595</v>
      </c>
      <c r="X2004" t="s">
        <v>39596</v>
      </c>
      <c r="Y2004" t="s">
        <v>39597</v>
      </c>
    </row>
    <row r="2005" spans="1:25" x14ac:dyDescent="0.3">
      <c r="A2005">
        <v>100200</v>
      </c>
      <c r="B2005" t="s">
        <v>39598</v>
      </c>
      <c r="C2005" t="s">
        <v>39599</v>
      </c>
      <c r="D2005" t="s">
        <v>39600</v>
      </c>
      <c r="E2005" t="s">
        <v>39601</v>
      </c>
      <c r="F2005" t="s">
        <v>39602</v>
      </c>
      <c r="G2005">
        <f>-593.822090927009 -16.3515071321594 -690.226690179657</f>
        <v>-1300.4002882388254</v>
      </c>
      <c r="H2005">
        <f>-585.396331018972 -42.5260129321206 -840.039475127894</f>
        <v>-1467.9618190789865</v>
      </c>
      <c r="I2005">
        <f>-553.114500636735 -55.3521940624683 -935.832868262663</f>
        <v>-1544.2995629618663</v>
      </c>
      <c r="J2005" t="s">
        <v>39603</v>
      </c>
      <c r="K2005" t="s">
        <v>39604</v>
      </c>
      <c r="L2005" t="s">
        <v>39605</v>
      </c>
      <c r="M2005" t="s">
        <v>39606</v>
      </c>
      <c r="N2005">
        <f>-592.416134239125 -62.1266051611335 -768.489229170991</f>
        <v>-1423.0319685712495</v>
      </c>
      <c r="O2005">
        <f>-602.388491211756 -202.921864507346 -727.229586341979</f>
        <v>-1532.5399420610811</v>
      </c>
      <c r="P2005">
        <f>-577.423296803952 -200.315317689238 -411.704388263862</f>
        <v>-1189.443002757052</v>
      </c>
      <c r="Q2005">
        <f>-347.774214146272 -92.2768061913285 -468.546678705232</f>
        <v>-908.59769904283257</v>
      </c>
      <c r="R2005" t="s">
        <v>39607</v>
      </c>
      <c r="S2005" t="s">
        <v>39608</v>
      </c>
      <c r="T2005" t="s">
        <v>39609</v>
      </c>
      <c r="U2005" t="s">
        <v>39610</v>
      </c>
      <c r="V2005">
        <f>-533.589319443004 -72.4866562137524 -234.002233431118</f>
        <v>-840.07820908787448</v>
      </c>
      <c r="W2005" t="s">
        <v>39611</v>
      </c>
      <c r="X2005" t="s">
        <v>39612</v>
      </c>
      <c r="Y2005" t="s">
        <v>39613</v>
      </c>
    </row>
    <row r="2006" spans="1:25" x14ac:dyDescent="0.3">
      <c r="A2006">
        <v>100250</v>
      </c>
      <c r="B2006" t="s">
        <v>39614</v>
      </c>
      <c r="C2006" t="s">
        <v>39615</v>
      </c>
      <c r="D2006" t="s">
        <v>39616</v>
      </c>
      <c r="E2006" t="s">
        <v>39617</v>
      </c>
      <c r="F2006">
        <f>-592.452049292887 -5.82472350096538 -582.915846222339</f>
        <v>-1181.1926190161914</v>
      </c>
      <c r="G2006">
        <f>-592.661606804787 -21.6854598591078 -691.282108639529</f>
        <v>-1305.6291753034238</v>
      </c>
      <c r="H2006">
        <f>-583.994182329915 -46.8544878647799 -841.253363928016</f>
        <v>-1472.1020341227108</v>
      </c>
      <c r="I2006">
        <f>-551.590434112734 -58.5988483153264 -937.144137716241</f>
        <v>-1547.3334201443013</v>
      </c>
      <c r="J2006">
        <f>-585.099312992493 -4.45302805001553 -779.984998510466</f>
        <v>-1369.5373395529746</v>
      </c>
      <c r="K2006" t="s">
        <v>39618</v>
      </c>
      <c r="L2006" t="s">
        <v>39619</v>
      </c>
      <c r="M2006" t="s">
        <v>39620</v>
      </c>
      <c r="N2006">
        <f>-590.559161887015 -66.9829089732749 -769.806435901264</f>
        <v>-1427.3485067615538</v>
      </c>
      <c r="O2006">
        <f>-597.998225547232 -208.153020328931 -729.290338434662</f>
        <v>-1535.441584310825</v>
      </c>
      <c r="P2006">
        <f>-572.534407115416 -207.04840480578 -413.796358878123</f>
        <v>-1193.3791707993191</v>
      </c>
      <c r="Q2006">
        <f>-345.118197468346 -94.5823593515089 -471.026581688311</f>
        <v>-910.72713850816592</v>
      </c>
      <c r="R2006" t="s">
        <v>39621</v>
      </c>
      <c r="S2006" t="s">
        <v>39622</v>
      </c>
      <c r="T2006" t="s">
        <v>39623</v>
      </c>
      <c r="U2006" t="s">
        <v>39624</v>
      </c>
      <c r="V2006">
        <f>-530.584994179705 -79.4804506052485 -235.941593051305</f>
        <v>-846.00703783625841</v>
      </c>
      <c r="W2006" t="s">
        <v>39625</v>
      </c>
      <c r="X2006" t="s">
        <v>39626</v>
      </c>
      <c r="Y2006" t="s">
        <v>39627</v>
      </c>
    </row>
    <row r="2007" spans="1:25" x14ac:dyDescent="0.3">
      <c r="A2007">
        <v>100300</v>
      </c>
      <c r="B2007" t="s">
        <v>39628</v>
      </c>
      <c r="C2007" t="s">
        <v>39629</v>
      </c>
      <c r="D2007" t="s">
        <v>39630</v>
      </c>
      <c r="E2007" t="s">
        <v>39631</v>
      </c>
      <c r="F2007">
        <f>-590.800865708906 -7.48683579116662 -583.663365809506</f>
        <v>-1181.9510673095788</v>
      </c>
      <c r="G2007">
        <f>-590.913001699701 -23.0748231721663 -692.06950298311</f>
        <v>-1306.0573278549773</v>
      </c>
      <c r="H2007">
        <f>-582.137165865333 -47.8061170161773 -842.107159482291</f>
        <v>-1472.0504423638013</v>
      </c>
      <c r="I2007">
        <f>-549.673580884314 -59.0697209108361 -938.035463588289</f>
        <v>-1546.7787653834389</v>
      </c>
      <c r="J2007">
        <f>-583.575990638715 -5.56292720287028 -780.736521622738</f>
        <v>-1369.8754394643233</v>
      </c>
      <c r="K2007" t="s">
        <v>39632</v>
      </c>
      <c r="L2007" t="s">
        <v>39633</v>
      </c>
      <c r="M2007" t="s">
        <v>39634</v>
      </c>
      <c r="N2007">
        <f>-588.464382549212 -68.1636284337159 -770.703755386861</f>
        <v>-1427.331766369789</v>
      </c>
      <c r="O2007">
        <f>-594.6487353808 -209.460936110927 -730.388330620559</f>
        <v>-1534.498002112286</v>
      </c>
      <c r="P2007">
        <f>-568.651098385644 -209.080815875778 -414.936125986478</f>
        <v>-1192.6680402478999</v>
      </c>
      <c r="Q2007">
        <f>-342.256998039386 -94.5491806758689 -472.122412410694</f>
        <v>-908.92859112594897</v>
      </c>
      <c r="R2007" t="s">
        <v>39635</v>
      </c>
      <c r="S2007" t="s">
        <v>39636</v>
      </c>
      <c r="T2007" t="s">
        <v>39637</v>
      </c>
      <c r="U2007" t="s">
        <v>39638</v>
      </c>
      <c r="V2007">
        <f>-528.622575684707 -81.8218578916044 -236.845172722646</f>
        <v>-847.28960629895744</v>
      </c>
      <c r="W2007" t="s">
        <v>39639</v>
      </c>
      <c r="X2007" t="s">
        <v>39640</v>
      </c>
      <c r="Y2007" t="s">
        <v>39641</v>
      </c>
    </row>
    <row r="2008" spans="1:25" x14ac:dyDescent="0.3">
      <c r="A2008">
        <v>100350</v>
      </c>
      <c r="B2008" t="s">
        <v>39642</v>
      </c>
      <c r="C2008" t="s">
        <v>39643</v>
      </c>
      <c r="D2008" t="s">
        <v>39644</v>
      </c>
      <c r="E2008" t="s">
        <v>39645</v>
      </c>
      <c r="F2008">
        <f>-587.80539139127 -9.25627947011385 -584.668566354161</f>
        <v>-1181.730237215545</v>
      </c>
      <c r="G2008">
        <f>-587.740455440214 -24.3936919705968 -693.1383192275</f>
        <v>-1305.2724666383108</v>
      </c>
      <c r="H2008">
        <f>-578.733829083791 -48.3538096929451 -843.287537773057</f>
        <v>-1470.3751765497932</v>
      </c>
      <c r="I2008">
        <f>-546.194145152773 -58.7984020584362 -939.282724422726</f>
        <v>-1544.2752716339351</v>
      </c>
      <c r="J2008">
        <f>-580.828148016825 -6.39370309004834 -781.741811239327</f>
        <v>-1368.9636623462004</v>
      </c>
      <c r="K2008" t="s">
        <v>39646</v>
      </c>
      <c r="L2008" t="s">
        <v>39647</v>
      </c>
      <c r="M2008" t="s">
        <v>39648</v>
      </c>
      <c r="N2008">
        <f>-584.609807331626 -69.1106895126654 -771.960527950763</f>
        <v>-1425.6810247950543</v>
      </c>
      <c r="O2008">
        <f>-588.144681014814 -210.613843567976 -732.043852800065</f>
        <v>-1530.802377382855</v>
      </c>
      <c r="P2008">
        <f>-561.498400638177 -210.202683282362 -416.64573860035</f>
        <v>-1188.346822520889</v>
      </c>
      <c r="Q2008">
        <f>-336.699143859066 -91.8450361549153 -472.312866302011</f>
        <v>-900.85704631599231</v>
      </c>
      <c r="R2008" t="s">
        <v>39649</v>
      </c>
      <c r="S2008" t="s">
        <v>39650</v>
      </c>
      <c r="T2008" t="s">
        <v>39651</v>
      </c>
      <c r="U2008" t="s">
        <v>39652</v>
      </c>
      <c r="V2008">
        <f>-525.411332484101 -83.9439723877151 -237.814787116779</f>
        <v>-847.17009198859512</v>
      </c>
      <c r="W2008" t="s">
        <v>39653</v>
      </c>
      <c r="X2008" t="s">
        <v>39654</v>
      </c>
      <c r="Y2008" t="s">
        <v>39655</v>
      </c>
    </row>
    <row r="2009" spans="1:25" x14ac:dyDescent="0.3">
      <c r="A2009">
        <v>100400</v>
      </c>
      <c r="B2009" t="s">
        <v>39656</v>
      </c>
      <c r="C2009" t="s">
        <v>39657</v>
      </c>
      <c r="D2009" t="s">
        <v>39658</v>
      </c>
      <c r="E2009" t="s">
        <v>39659</v>
      </c>
      <c r="F2009">
        <f>-586.738986091595 -9.7696505835876 -584.888175625437</f>
        <v>-1181.3968123006198</v>
      </c>
      <c r="G2009">
        <f>-586.523463186772 -24.7771250472471 -693.375892584687</f>
        <v>-1304.6764808187061</v>
      </c>
      <c r="H2009">
        <f>-577.253307085742 -48.4645978310306 -843.552338224864</f>
        <v>-1469.2702431416365</v>
      </c>
      <c r="I2009">
        <f>-544.667212588332 -58.5688425065717 -939.568207154675</f>
        <v>-1542.8042622495786</v>
      </c>
      <c r="J2009">
        <f>-579.731253785129 -6.60373555068821 -781.953152216378</f>
        <v>-1368.2881415521952</v>
      </c>
      <c r="K2009" t="s">
        <v>39660</v>
      </c>
      <c r="L2009" t="s">
        <v>39661</v>
      </c>
      <c r="M2009" t="s">
        <v>39662</v>
      </c>
      <c r="N2009">
        <f>-582.978831186251 -69.3635027041343 -772.2544870781</f>
        <v>-1424.5968209684854</v>
      </c>
      <c r="O2009">
        <f>-585.299693023785 -210.907012303079 -732.520733124333</f>
        <v>-1528.727438451197</v>
      </c>
      <c r="P2009">
        <f>-558.898837764539 -210.389901241401 -417.102090097012</f>
        <v>-1186.390829102952</v>
      </c>
      <c r="Q2009">
        <f>-334.733677559418 -90.0168474305052 -470.975517785578</f>
        <v>-895.72604277550124</v>
      </c>
      <c r="R2009" t="s">
        <v>39663</v>
      </c>
      <c r="S2009" t="s">
        <v>39664</v>
      </c>
      <c r="T2009" t="s">
        <v>39665</v>
      </c>
      <c r="U2009" t="s">
        <v>39666</v>
      </c>
      <c r="V2009">
        <f>-523.931831642212 -84.0141051512824 -238.048044185961</f>
        <v>-845.99398097945539</v>
      </c>
      <c r="W2009" t="s">
        <v>39667</v>
      </c>
      <c r="X2009" t="s">
        <v>39668</v>
      </c>
      <c r="Y2009" t="s">
        <v>39669</v>
      </c>
    </row>
    <row r="2010" spans="1:25" x14ac:dyDescent="0.3">
      <c r="A2010">
        <v>100450</v>
      </c>
      <c r="B2010" t="s">
        <v>39670</v>
      </c>
      <c r="C2010" t="s">
        <v>39671</v>
      </c>
      <c r="D2010" t="s">
        <v>39672</v>
      </c>
      <c r="E2010" t="s">
        <v>39673</v>
      </c>
      <c r="F2010">
        <f>-585.161893236161 -10.4433741035106 -584.97155438529</f>
        <v>-1180.5768217249615</v>
      </c>
      <c r="G2010">
        <f>-584.501857234905 -25.4247218563528 -693.461024167717</f>
        <v>-1303.3876032589747</v>
      </c>
      <c r="H2010">
        <f>-574.460468311816 -48.9163961632803 -843.618737648263</f>
        <v>-1466.9956021233593</v>
      </c>
      <c r="I2010">
        <f>-541.613703567077 -58.4969621836868 -939.599318411426</f>
        <v>-1539.7099841621898</v>
      </c>
      <c r="J2010">
        <f>-577.772303540395 -7.11866904856666 -782.015874275287</f>
        <v>-1366.9068468642486</v>
      </c>
      <c r="K2010" t="s">
        <v>39674</v>
      </c>
      <c r="L2010" t="s">
        <v>39675</v>
      </c>
      <c r="M2010" t="s">
        <v>39676</v>
      </c>
      <c r="N2010">
        <f>-580.034680733275 -69.9253895943604 -772.341324651223</f>
        <v>-1422.3013949788583</v>
      </c>
      <c r="O2010">
        <f>-580.213533169951 -211.505762937301 -732.700822512535</f>
        <v>-1524.420118619787</v>
      </c>
      <c r="P2010">
        <f>-555.052950099437 -210.965172439129 -417.180889710726</f>
        <v>-1183.1990122492921</v>
      </c>
      <c r="Q2010">
        <f>-333.133425085693 -85.4055746179066 -468.450277904127</f>
        <v>-886.98927760772654</v>
      </c>
      <c r="R2010" t="s">
        <v>39677</v>
      </c>
      <c r="S2010" t="s">
        <v>39678</v>
      </c>
      <c r="T2010" t="s">
        <v>39679</v>
      </c>
      <c r="U2010" t="s">
        <v>39680</v>
      </c>
      <c r="V2010">
        <f>-521.4502413609 -83.1384933030981 -238.103106094723</f>
        <v>-842.69184075872113</v>
      </c>
      <c r="W2010" t="s">
        <v>39681</v>
      </c>
      <c r="X2010" t="s">
        <v>39682</v>
      </c>
      <c r="Y2010" t="s">
        <v>39683</v>
      </c>
    </row>
    <row r="2011" spans="1:25" x14ac:dyDescent="0.3">
      <c r="A2011">
        <v>100500</v>
      </c>
      <c r="B2011" t="s">
        <v>39684</v>
      </c>
      <c r="C2011" t="s">
        <v>39685</v>
      </c>
      <c r="D2011" t="s">
        <v>39686</v>
      </c>
      <c r="E2011" t="s">
        <v>39687</v>
      </c>
      <c r="F2011">
        <f>-584.763080830951 -11.1070071143146 -584.920905394406</f>
        <v>-1180.7909933396716</v>
      </c>
      <c r="G2011">
        <f>-583.928133876149 -26.2362838739787 -693.388683856187</f>
        <v>-1303.5531016063146</v>
      </c>
      <c r="H2011">
        <f>-573.55831848728 -49.8800614310859 -843.500278304451</f>
        <v>-1466.9386582228167</v>
      </c>
      <c r="I2011">
        <f>-540.56534855827 -59.332963902002 -939.443388634545</f>
        <v>-1539.3417010948169</v>
      </c>
      <c r="J2011">
        <f>-577.251116814332 -8.01478406888093 -781.964925578178</f>
        <v>-1367.230826461391</v>
      </c>
      <c r="K2011" t="s">
        <v>39688</v>
      </c>
      <c r="L2011" t="s">
        <v>39689</v>
      </c>
      <c r="M2011" t="s">
        <v>39690</v>
      </c>
      <c r="N2011">
        <f>-579.042171134691 -70.8220857917931 -772.196134825606</f>
        <v>-1422.0603917520903</v>
      </c>
      <c r="O2011">
        <f>-578.123223448496 -212.383653864167 -732.472759187868</f>
        <v>-1522.9796365005309</v>
      </c>
      <c r="P2011">
        <f>-553.73288659533 -211.49584885554 -416.89309111468</f>
        <v>-1182.12182656555</v>
      </c>
      <c r="Q2011">
        <f>-333.120314209899 -83.4896871698914 -467.75159109448</f>
        <v>-884.36159247427031</v>
      </c>
      <c r="R2011" t="s">
        <v>39691</v>
      </c>
      <c r="S2011" t="s">
        <v>39692</v>
      </c>
      <c r="T2011" t="s">
        <v>39693</v>
      </c>
      <c r="U2011" t="s">
        <v>39694</v>
      </c>
      <c r="V2011">
        <f>-520.177328586212 -82.8648204714954 -238.081140355828</f>
        <v>-841.1232894135353</v>
      </c>
      <c r="W2011" t="s">
        <v>39695</v>
      </c>
      <c r="X2011" t="s">
        <v>39696</v>
      </c>
      <c r="Y2011" t="s">
        <v>39697</v>
      </c>
    </row>
    <row r="2012" spans="1:25" x14ac:dyDescent="0.3">
      <c r="A2012">
        <v>100550</v>
      </c>
      <c r="B2012" t="s">
        <v>39698</v>
      </c>
      <c r="C2012" t="s">
        <v>39699</v>
      </c>
      <c r="D2012" t="s">
        <v>39700</v>
      </c>
      <c r="E2012" t="s">
        <v>39701</v>
      </c>
      <c r="F2012">
        <f>-583.906724271454 -12.6685930797722 -584.807020154158</f>
        <v>-1181.3823375053842</v>
      </c>
      <c r="G2012">
        <f>-582.759092431648 -28.0893834254323 -693.230835277911</f>
        <v>-1304.0793111349913</v>
      </c>
      <c r="H2012">
        <f>-571.867297906372 -52.0299297542517 -843.258245067668</f>
        <v>-1467.1554727282917</v>
      </c>
      <c r="I2012">
        <f>-538.495607035316 -61.3512842979098 -939.083278765226</f>
        <v>-1538.930170098452</v>
      </c>
      <c r="J2012">
        <f>-576.218766869933 -10.0384768258499 -781.852262357032</f>
        <v>-1368.109506052815</v>
      </c>
      <c r="K2012" t="s">
        <v>39702</v>
      </c>
      <c r="L2012" t="s">
        <v>39703</v>
      </c>
      <c r="M2012" t="s">
        <v>39704</v>
      </c>
      <c r="N2012">
        <f>-577.15442165837 -72.835482451698 -771.899306981817</f>
        <v>-1421.889211091885</v>
      </c>
      <c r="O2012">
        <f>-574.311110848831 -214.304966437032 -731.859939780261</f>
        <v>-1520.4760170661241</v>
      </c>
      <c r="P2012">
        <f>-550.544838645026 -212.032671695978 -416.239725891823</f>
        <v>-1178.8172362328269</v>
      </c>
      <c r="Q2012">
        <f>-332.307654030293 -80.1528537153615 -467.447985879319</f>
        <v>-879.90849362497352</v>
      </c>
      <c r="R2012" t="s">
        <v>39705</v>
      </c>
      <c r="S2012" t="s">
        <v>39706</v>
      </c>
      <c r="T2012" t="s">
        <v>39707</v>
      </c>
      <c r="U2012" t="s">
        <v>39708</v>
      </c>
      <c r="V2012">
        <f>-518.155008901067 -82.216358608958 -237.94465498735</f>
        <v>-838.316022497375</v>
      </c>
      <c r="W2012" t="s">
        <v>39709</v>
      </c>
      <c r="X2012" t="s">
        <v>39710</v>
      </c>
      <c r="Y2012" t="s">
        <v>39711</v>
      </c>
    </row>
    <row r="2013" spans="1:25" x14ac:dyDescent="0.3">
      <c r="A2013">
        <v>100600</v>
      </c>
      <c r="B2013" t="s">
        <v>39712</v>
      </c>
      <c r="C2013" t="s">
        <v>39713</v>
      </c>
      <c r="D2013" t="s">
        <v>39714</v>
      </c>
      <c r="E2013" t="s">
        <v>39715</v>
      </c>
      <c r="F2013">
        <f>-583.790903541486 -13.1069873043065 -584.741962453397</f>
        <v>-1181.6398532991896</v>
      </c>
      <c r="G2013">
        <f>-582.569603416778 -28.6518571940877 -693.147239862684</f>
        <v>-1304.3687004735498</v>
      </c>
      <c r="H2013">
        <f>-571.574327748653 -52.7275797367733 -843.145397749992</f>
        <v>-1467.4473052354183</v>
      </c>
      <c r="I2013">
        <f>-538.075972969291 -61.9908838749339 -938.9319227762</f>
        <v>-1538.998779620425</v>
      </c>
      <c r="J2013">
        <f>-576.161115952446 -10.680756624146 -781.79448995781</f>
        <v>-1368.636362534402</v>
      </c>
      <c r="K2013" t="s">
        <v>39716</v>
      </c>
      <c r="L2013" t="s">
        <v>39717</v>
      </c>
      <c r="M2013" t="s">
        <v>39718</v>
      </c>
      <c r="N2013">
        <f>-576.717676052616 -73.4688625245844 -771.757253425342</f>
        <v>-1421.9437920025425</v>
      </c>
      <c r="O2013">
        <f>-572.871786380384 -214.899251295485 -731.578909794899</f>
        <v>-1519.349947470768</v>
      </c>
      <c r="P2013">
        <f>-548.912061922859 -212.048420385601 -415.977746234448</f>
        <v>-1176.9382285429081</v>
      </c>
      <c r="Q2013">
        <f>-331.667345497662 -78.6602895793605 -467.498732673168</f>
        <v>-877.82636775019046</v>
      </c>
      <c r="R2013" t="s">
        <v>39719</v>
      </c>
      <c r="S2013" t="s">
        <v>39720</v>
      </c>
      <c r="T2013" t="s">
        <v>39721</v>
      </c>
      <c r="U2013" t="s">
        <v>39722</v>
      </c>
      <c r="V2013">
        <f>-517.562701213584 -81.9291346465679 -237.896488956798</f>
        <v>-837.38832481694999</v>
      </c>
      <c r="W2013" t="s">
        <v>39723</v>
      </c>
      <c r="X2013" t="s">
        <v>39724</v>
      </c>
      <c r="Y2013" t="s">
        <v>39725</v>
      </c>
    </row>
    <row r="2014" spans="1:25" x14ac:dyDescent="0.3">
      <c r="A2014">
        <v>100650</v>
      </c>
      <c r="B2014" t="s">
        <v>39726</v>
      </c>
      <c r="C2014" t="s">
        <v>39727</v>
      </c>
      <c r="D2014" t="s">
        <v>39728</v>
      </c>
      <c r="E2014" t="s">
        <v>39729</v>
      </c>
      <c r="F2014">
        <f>-584.444535318306 -13.1353203877726 -584.644878208383</f>
        <v>-1182.2247339144615</v>
      </c>
      <c r="G2014">
        <f>-583.150644121339 -28.709026044273 -693.045146040067</f>
        <v>-1304.904816205679</v>
      </c>
      <c r="H2014">
        <f>-572.024225284294 -52.7021977676576 -843.046969294523</f>
        <v>-1467.7733923464746</v>
      </c>
      <c r="I2014">
        <f>-538.375818740631 -61.7993909814065 -938.796730338465</f>
        <v>-1538.9719400605024</v>
      </c>
      <c r="J2014">
        <f>-577.027774318037 -10.692275134017 -781.703323719496</f>
        <v>-1369.4233731715499</v>
      </c>
      <c r="K2014" t="s">
        <v>39730</v>
      </c>
      <c r="L2014" t="s">
        <v>39731</v>
      </c>
      <c r="M2014" t="s">
        <v>39732</v>
      </c>
      <c r="N2014">
        <f>-576.866788005795 -73.479727089942 -771.648412595665</f>
        <v>-1421.9949276914022</v>
      </c>
      <c r="O2014">
        <f>-571.442400517623 -214.810555892809 -731.43101077284</f>
        <v>-1517.683967183272</v>
      </c>
      <c r="P2014">
        <f>-546.942942170207 -211.921532891343 -415.87175399517</f>
        <v>-1174.7362290567198</v>
      </c>
      <c r="Q2014">
        <f>-331.278603838677 -76.0247627282448 -467.47610020097</f>
        <v>-874.77946676789179</v>
      </c>
      <c r="R2014" t="s">
        <v>39733</v>
      </c>
      <c r="S2014" t="s">
        <v>39734</v>
      </c>
      <c r="T2014" t="s">
        <v>39735</v>
      </c>
      <c r="U2014" t="s">
        <v>39736</v>
      </c>
      <c r="V2014">
        <f>-517.33260132976 -80.8094640529106 -237.705949883404</f>
        <v>-835.84801526607453</v>
      </c>
      <c r="W2014" t="s">
        <v>39737</v>
      </c>
      <c r="X2014" t="s">
        <v>39738</v>
      </c>
      <c r="Y2014" t="s">
        <v>39739</v>
      </c>
    </row>
    <row r="2015" spans="1:25" x14ac:dyDescent="0.3">
      <c r="A2015">
        <v>100700</v>
      </c>
      <c r="B2015" t="s">
        <v>39740</v>
      </c>
      <c r="C2015" t="s">
        <v>39741</v>
      </c>
      <c r="D2015" t="s">
        <v>39742</v>
      </c>
      <c r="E2015" t="s">
        <v>39743</v>
      </c>
      <c r="F2015">
        <f>-584.814878575592 -13.1204754893253 -584.517693966741</f>
        <v>-1182.4530480316585</v>
      </c>
      <c r="G2015">
        <f>-583.537202603306 -28.6931408817416 -692.918398042699</f>
        <v>-1305.1487415277466</v>
      </c>
      <c r="H2015">
        <f>-572.450714133811 -52.6477795762673 -842.929419018944</f>
        <v>-1468.0279127290223</v>
      </c>
      <c r="I2015">
        <f>-538.793581420577 -61.7106802414075 -938.67934468437</f>
        <v>-1539.1836063463545</v>
      </c>
      <c r="J2015">
        <f>-577.536114566336 -10.6551010516269 -781.580537487896</f>
        <v>-1369.7717531058588</v>
      </c>
      <c r="K2015" t="s">
        <v>39744</v>
      </c>
      <c r="L2015" t="s">
        <v>39745</v>
      </c>
      <c r="M2015" t="s">
        <v>39746</v>
      </c>
      <c r="N2015">
        <f>-577.176134419197 -73.4420967070295 -771.527703594793</f>
        <v>-1422.1459347210193</v>
      </c>
      <c r="O2015">
        <f>-571.282382900061 -214.772265260372 -731.386831762839</f>
        <v>-1517.441479923272</v>
      </c>
      <c r="P2015">
        <f>-546.637446515305 -212.002475164266 -415.837933747745</f>
        <v>-1174.4778554273159</v>
      </c>
      <c r="Q2015">
        <f>-331.66934224652 -75.004992951566 -467.436758662708</f>
        <v>-874.11109386079397</v>
      </c>
      <c r="R2015" t="s">
        <v>39747</v>
      </c>
      <c r="S2015" t="s">
        <v>39748</v>
      </c>
      <c r="T2015" t="s">
        <v>39749</v>
      </c>
      <c r="U2015" t="s">
        <v>39750</v>
      </c>
      <c r="V2015">
        <f>-517.338739882425 -80.458913647419 -237.57445675949</f>
        <v>-835.37211028933393</v>
      </c>
      <c r="W2015" t="s">
        <v>39751</v>
      </c>
      <c r="X2015" t="s">
        <v>39752</v>
      </c>
      <c r="Y2015" t="s">
        <v>39753</v>
      </c>
    </row>
    <row r="2016" spans="1:25" x14ac:dyDescent="0.3">
      <c r="A2016">
        <v>100750</v>
      </c>
      <c r="B2016" t="s">
        <v>39754</v>
      </c>
      <c r="C2016" t="s">
        <v>39755</v>
      </c>
      <c r="D2016" t="s">
        <v>39756</v>
      </c>
      <c r="E2016" t="s">
        <v>39757</v>
      </c>
      <c r="F2016">
        <f>-585.998202006481 -12.3344708091565 -584.122514743265</f>
        <v>-1182.4551875589027</v>
      </c>
      <c r="G2016">
        <f>-584.721175867117 -27.8937397932987 -692.524989322236</f>
        <v>-1305.1399049826518</v>
      </c>
      <c r="H2016">
        <f>-573.626852800119 -51.8125331264407 -842.541068920171</f>
        <v>-1467.9804548467307</v>
      </c>
      <c r="I2016">
        <f>-540.028232517263 -60.8859437802129 -938.310563871702</f>
        <v>-1539.2247401691779</v>
      </c>
      <c r="J2016">
        <f>-578.770213559173 -9.83547861919562 -781.186481803639</f>
        <v>-1369.7921739820076</v>
      </c>
      <c r="K2016" t="s">
        <v>39758</v>
      </c>
      <c r="L2016" t="s">
        <v>39759</v>
      </c>
      <c r="M2016" t="s">
        <v>39760</v>
      </c>
      <c r="N2016">
        <f>-578.301279317882 -72.6229263327884 -771.140987254492</f>
        <v>-1422.0651929051623</v>
      </c>
      <c r="O2016">
        <f>-572.017696594674 -213.929979276494 -730.988398988308</f>
        <v>-1516.9360748594759</v>
      </c>
      <c r="P2016">
        <f>-547.199294308463 -210.995113524628 -415.454601590175</f>
        <v>-1173.6490094232659</v>
      </c>
      <c r="Q2016">
        <f>-332.960940237644 -72.9134258377624 -467.198446658426</f>
        <v>-873.07281273383251</v>
      </c>
      <c r="R2016" t="s">
        <v>39761</v>
      </c>
      <c r="S2016" t="s">
        <v>39762</v>
      </c>
      <c r="T2016" t="s">
        <v>39763</v>
      </c>
      <c r="U2016" t="s">
        <v>39764</v>
      </c>
      <c r="V2016">
        <f>-517.795457299437 -79.0749236864951 -237.319331460046</f>
        <v>-834.1897124459781</v>
      </c>
      <c r="W2016" t="s">
        <v>39765</v>
      </c>
      <c r="X2016" t="s">
        <v>39766</v>
      </c>
      <c r="Y2016" t="s">
        <v>39767</v>
      </c>
    </row>
    <row r="2017" spans="1:25" x14ac:dyDescent="0.3">
      <c r="A2017">
        <v>100800</v>
      </c>
      <c r="B2017" t="s">
        <v>39768</v>
      </c>
      <c r="C2017" t="s">
        <v>39769</v>
      </c>
      <c r="D2017" t="s">
        <v>39770</v>
      </c>
      <c r="E2017" t="s">
        <v>39771</v>
      </c>
      <c r="F2017">
        <f>-586.3863023729 -11.6928183742042 -584.058762061379</f>
        <v>-1182.137882808483</v>
      </c>
      <c r="G2017">
        <f>-585.095244900424 -27.2409770335818 -692.462731244396</f>
        <v>-1304.7989531784017</v>
      </c>
      <c r="H2017">
        <f>-573.97469422131 -51.1464730419002 -842.478952286704</f>
        <v>-1467.6001195499143</v>
      </c>
      <c r="I2017">
        <f>-540.394104647381 -60.2683630850441 -938.250176965344</f>
        <v>-1538.9126446977693</v>
      </c>
      <c r="J2017">
        <f>-579.083310806773 -9.17403958544686 -781.118257719288</f>
        <v>-1369.375608111508</v>
      </c>
      <c r="K2017" t="s">
        <v>39772</v>
      </c>
      <c r="L2017" t="s">
        <v>39773</v>
      </c>
      <c r="M2017" t="s">
        <v>39774</v>
      </c>
      <c r="N2017">
        <f>-578.706983198883 -71.964036716755 -771.084615491648</f>
        <v>-1421.755635407286</v>
      </c>
      <c r="O2017">
        <f>-572.640779531421 -213.298698107599 -730.905796849034</f>
        <v>-1516.845274488054</v>
      </c>
      <c r="P2017">
        <f>-548.064584986402 -210.176525178913 -415.354668766043</f>
        <v>-1173.5957789313579</v>
      </c>
      <c r="Q2017">
        <f>-333.882827891174 -71.9524157626478 -466.952540365463</f>
        <v>-872.7877840192848</v>
      </c>
      <c r="R2017" t="s">
        <v>39775</v>
      </c>
      <c r="S2017" t="s">
        <v>39776</v>
      </c>
      <c r="T2017" t="s">
        <v>39777</v>
      </c>
      <c r="U2017" t="s">
        <v>39778</v>
      </c>
      <c r="V2017">
        <f>-518.068264737602 -78.3247715093699 -237.283576729117</f>
        <v>-833.67661297608879</v>
      </c>
      <c r="W2017" t="s">
        <v>39779</v>
      </c>
      <c r="X2017" t="s">
        <v>39780</v>
      </c>
      <c r="Y2017" t="s">
        <v>39781</v>
      </c>
    </row>
    <row r="2018" spans="1:25" x14ac:dyDescent="0.3">
      <c r="A2018">
        <v>100850</v>
      </c>
      <c r="B2018" t="s">
        <v>39782</v>
      </c>
      <c r="C2018" t="s">
        <v>39783</v>
      </c>
      <c r="D2018" t="s">
        <v>39784</v>
      </c>
      <c r="E2018" t="s">
        <v>39785</v>
      </c>
      <c r="F2018">
        <f>-587.063181711289 -10.1489424056903 -584.19229281142</f>
        <v>-1181.4044169283993</v>
      </c>
      <c r="G2018">
        <f>-585.980346219624 -25.6610690635986 -692.603916656287</f>
        <v>-1304.2453319395095</v>
      </c>
      <c r="H2018">
        <f>-575.188067691786 -49.5496353990942 -842.646834324804</f>
        <v>-1467.3845374156842</v>
      </c>
      <c r="I2018">
        <f>-541.666597092449 -58.8624973721045 -938.420250418447</f>
        <v>-1538.9493448830005</v>
      </c>
      <c r="J2018">
        <f>-580.003555609682 -7.58173287633004 -781.259250898286</f>
        <v>-1368.8445393842981</v>
      </c>
      <c r="K2018" t="s">
        <v>39786</v>
      </c>
      <c r="L2018" t="s">
        <v>39787</v>
      </c>
      <c r="M2018" t="s">
        <v>39788</v>
      </c>
      <c r="N2018">
        <f>-579.923153673144 -70.377600845162 -771.255689118931</f>
        <v>-1421.556443637237</v>
      </c>
      <c r="O2018">
        <f>-574.313811520934 -211.729420000083 -731.13330771453</f>
        <v>-1517.1765392355469</v>
      </c>
      <c r="P2018">
        <f>-550.524447270761 -208.686944170052 -415.521217509934</f>
        <v>-1174.7326089507469</v>
      </c>
      <c r="Q2018">
        <f>-336.265489191875 -70.1884578010427 -466.05145793373</f>
        <v>-872.50540492664777</v>
      </c>
      <c r="R2018" t="s">
        <v>39789</v>
      </c>
      <c r="S2018" t="s">
        <v>39790</v>
      </c>
      <c r="T2018" t="s">
        <v>39791</v>
      </c>
      <c r="U2018" t="s">
        <v>39792</v>
      </c>
      <c r="V2018">
        <f>-518.634200257702 -76.8985176050839 -237.46246447776</f>
        <v>-832.99518234054585</v>
      </c>
      <c r="W2018" t="s">
        <v>39793</v>
      </c>
      <c r="X2018" t="s">
        <v>39794</v>
      </c>
      <c r="Y2018" t="s">
        <v>39795</v>
      </c>
    </row>
    <row r="2019" spans="1:25" x14ac:dyDescent="0.3">
      <c r="A2019">
        <v>100900</v>
      </c>
      <c r="B2019" t="s">
        <v>39796</v>
      </c>
      <c r="C2019" t="s">
        <v>39797</v>
      </c>
      <c r="D2019" t="s">
        <v>39798</v>
      </c>
      <c r="E2019" t="s">
        <v>39799</v>
      </c>
      <c r="F2019">
        <f>-587.038314691465 -9.37437383362099 -584.340849595835</f>
        <v>-1180.7535381209209</v>
      </c>
      <c r="G2019">
        <f>-586.01012462748 -24.8550445334311 -692.757440961303</f>
        <v>-1303.6226101222142</v>
      </c>
      <c r="H2019">
        <f>-575.325937828696 -48.7293426112591 -842.810369884039</f>
        <v>-1466.865650323994</v>
      </c>
      <c r="I2019">
        <f>-541.814836959983 -58.1558974662417 -938.576371798968</f>
        <v>-1538.5471062251927</v>
      </c>
      <c r="J2019">
        <f>-579.976235137525 -6.76601657066514 -781.406943020815</f>
        <v>-1368.1491947290051</v>
      </c>
      <c r="K2019" t="s">
        <v>39800</v>
      </c>
      <c r="L2019" t="s">
        <v>39801</v>
      </c>
      <c r="M2019" t="s">
        <v>39802</v>
      </c>
      <c r="N2019">
        <f>-580.130507479887 -69.5654130337584 -771.426251197733</f>
        <v>-1421.1221717113785</v>
      </c>
      <c r="O2019">
        <f>-574.936984325016 -210.955022047317 -731.352806983932</f>
        <v>-1517.2448133562652</v>
      </c>
      <c r="P2019">
        <f>-551.494944925471 -208.288928158642 -415.711328118235</f>
        <v>-1175.495201202348</v>
      </c>
      <c r="Q2019">
        <f>-337.110874958298 -69.7038930762645 -465.467682044376</f>
        <v>-872.28245007893838</v>
      </c>
      <c r="R2019" t="s">
        <v>39803</v>
      </c>
      <c r="S2019" t="s">
        <v>39804</v>
      </c>
      <c r="T2019" t="s">
        <v>39805</v>
      </c>
      <c r="U2019" t="s">
        <v>39806</v>
      </c>
      <c r="V2019">
        <f>-518.928194957233 -76.463978690506 -237.617542065634</f>
        <v>-833.009715713373</v>
      </c>
      <c r="W2019" t="s">
        <v>39807</v>
      </c>
      <c r="X2019" t="s">
        <v>39808</v>
      </c>
      <c r="Y2019" t="s">
        <v>39809</v>
      </c>
    </row>
    <row r="2020" spans="1:25" x14ac:dyDescent="0.3">
      <c r="A2020">
        <v>100950</v>
      </c>
      <c r="B2020" t="s">
        <v>39810</v>
      </c>
      <c r="C2020" t="s">
        <v>39811</v>
      </c>
      <c r="D2020" t="s">
        <v>39812</v>
      </c>
      <c r="E2020" t="s">
        <v>39813</v>
      </c>
      <c r="F2020">
        <f>-587.573676104181 -8.39401043027286 -584.594225508443</f>
        <v>-1180.5619120428969</v>
      </c>
      <c r="G2020">
        <f>-586.598876416375 -23.8308001047875 -693.01747556517</f>
        <v>-1303.4471520863326</v>
      </c>
      <c r="H2020">
        <f>-575.951321771238 -47.7282962671711 -843.0692912402</f>
        <v>-1466.7489092786091</v>
      </c>
      <c r="I2020">
        <f>-542.424711610511 -57.3496971734788 -938.810552031574</f>
        <v>-1538.584960815564</v>
      </c>
      <c r="J2020">
        <f>-580.359055343014 -5.75434034431598 -781.655417212049</f>
        <v>-1367.7688128993791</v>
      </c>
      <c r="K2020" t="s">
        <v>39814</v>
      </c>
      <c r="L2020" t="s">
        <v>39815</v>
      </c>
      <c r="M2020" t="s">
        <v>39816</v>
      </c>
      <c r="N2020">
        <f>-580.965952720483 -68.5544946859647 -771.696889387384</f>
        <v>-1421.2173367938317</v>
      </c>
      <c r="O2020">
        <f>-576.607297744413 -209.979353584595 -731.698243717165</f>
        <v>-1518.284895046173</v>
      </c>
      <c r="P2020">
        <f>-553.926171575718 -207.614196594441 -415.998760435424</f>
        <v>-1177.5391286055828</v>
      </c>
      <c r="Q2020">
        <f>-339.20318541354 -69.232796649494 -464.852591384486</f>
        <v>-873.28857344751998</v>
      </c>
      <c r="R2020" t="s">
        <v>39817</v>
      </c>
      <c r="S2020" t="s">
        <v>39818</v>
      </c>
      <c r="T2020" t="s">
        <v>39819</v>
      </c>
      <c r="U2020" t="s">
        <v>39820</v>
      </c>
      <c r="V2020">
        <f>-519.462414190305 -76.4786030737643 -237.944901693738</f>
        <v>-833.88591895780735</v>
      </c>
      <c r="W2020" t="s">
        <v>39821</v>
      </c>
      <c r="X2020" t="s">
        <v>39822</v>
      </c>
      <c r="Y2020" t="s">
        <v>39823</v>
      </c>
    </row>
    <row r="2021" spans="1:25" x14ac:dyDescent="0.3">
      <c r="A2021">
        <v>101000</v>
      </c>
      <c r="B2021" t="s">
        <v>39824</v>
      </c>
      <c r="C2021" t="s">
        <v>39825</v>
      </c>
      <c r="D2021" t="s">
        <v>39826</v>
      </c>
      <c r="E2021" t="s">
        <v>39827</v>
      </c>
      <c r="F2021">
        <f>-587.611661422156 -8.07282663481673 -584.810768424503</f>
        <v>-1180.4952564814757</v>
      </c>
      <c r="G2021">
        <f>-586.6620515067 -23.5361625238204 -693.230413156792</f>
        <v>-1303.4286271873125</v>
      </c>
      <c r="H2021">
        <f>-576.09537236654 -47.5205810446839 -843.274226345735</f>
        <v>-1466.8901797569588</v>
      </c>
      <c r="I2021">
        <f>-542.583361942533 -57.2503470082689 -939.009521389359</f>
        <v>-1538.843230340161</v>
      </c>
      <c r="J2021">
        <f>-580.35911112673 -5.51108528850861 -781.874315415405</f>
        <v>-1367.7445118306437</v>
      </c>
      <c r="K2021" t="s">
        <v>39828</v>
      </c>
      <c r="L2021" t="s">
        <v>39829</v>
      </c>
      <c r="M2021" t="s">
        <v>39830</v>
      </c>
      <c r="N2021">
        <f>-581.182455305671 -68.3053570687931 -771.894683719548</f>
        <v>-1421.3824960940121</v>
      </c>
      <c r="O2021">
        <f>-577.242912056595 -209.758378604835 -731.901965256398</f>
        <v>-1518.9032559178279</v>
      </c>
      <c r="P2021">
        <f>-554.802241237422 -207.448873094098 -416.184901699238</f>
        <v>-1178.4360160307579</v>
      </c>
      <c r="Q2021">
        <f>-339.851877256323 -69.371897407759 -464.90008178507</f>
        <v>-874.12385644915196</v>
      </c>
      <c r="R2021" t="s">
        <v>39831</v>
      </c>
      <c r="S2021" t="s">
        <v>39832</v>
      </c>
      <c r="T2021" t="s">
        <v>39833</v>
      </c>
      <c r="U2021" t="s">
        <v>39834</v>
      </c>
      <c r="V2021">
        <f>-519.931401206616 -76.6206114815146 -238.159757392845</f>
        <v>-834.71177008097561</v>
      </c>
      <c r="W2021" t="s">
        <v>39835</v>
      </c>
      <c r="X2021" t="s">
        <v>39836</v>
      </c>
      <c r="Y2021" t="s">
        <v>39837</v>
      </c>
    </row>
    <row r="2022" spans="1:25" x14ac:dyDescent="0.3">
      <c r="A2022">
        <v>101050</v>
      </c>
      <c r="B2022" t="s">
        <v>39838</v>
      </c>
      <c r="C2022" t="s">
        <v>39839</v>
      </c>
      <c r="D2022" t="s">
        <v>39840</v>
      </c>
      <c r="E2022" t="s">
        <v>39841</v>
      </c>
      <c r="F2022">
        <f>-588.189514679422 -7.75878562114067 -585.05873346432</f>
        <v>-1181.0070337648826</v>
      </c>
      <c r="G2022">
        <f>-587.360367916527 -23.3502779968321 -693.461021477906</f>
        <v>-1304.1716673912651</v>
      </c>
      <c r="H2022">
        <f>-577.016966036889 -47.6331668894841 -843.472274580041</f>
        <v>-1468.1224075064142</v>
      </c>
      <c r="I2022">
        <f>-543.557227449888 -57.5841953952075 -939.203151776011</f>
        <v>-1540.3445746211066</v>
      </c>
      <c r="J2022">
        <f>-580.981582397586 -5.50258038468426 -782.135255189381</f>
        <v>-1368.6194179716513</v>
      </c>
      <c r="K2022" t="s">
        <v>39842</v>
      </c>
      <c r="L2022" t="s">
        <v>39843</v>
      </c>
      <c r="M2022" t="s">
        <v>39844</v>
      </c>
      <c r="N2022">
        <f>-582.205628918414 -68.2748782806524 -772.058464297705</f>
        <v>-1422.5389714967714</v>
      </c>
      <c r="O2022">
        <f>-578.883770328418 -209.741167060288 -732.037729461049</f>
        <v>-1520.6626668497552</v>
      </c>
      <c r="P2022">
        <f>-556.567295815227 -207.494081909365 -416.31138128601</f>
        <v>-1180.3727590106021</v>
      </c>
      <c r="Q2022">
        <f>-341.166472107 -70.1555150390987 -465.123853007497</f>
        <v>-876.44584015359578</v>
      </c>
      <c r="R2022" t="s">
        <v>39845</v>
      </c>
      <c r="S2022" t="s">
        <v>39846</v>
      </c>
      <c r="T2022" t="s">
        <v>39847</v>
      </c>
      <c r="U2022" t="s">
        <v>39848</v>
      </c>
      <c r="V2022">
        <f>-520.972145839758 -76.9997955120193 -238.558690624061</f>
        <v>-836.53063197583833</v>
      </c>
      <c r="W2022" t="s">
        <v>39849</v>
      </c>
      <c r="X2022" t="s">
        <v>39850</v>
      </c>
      <c r="Y2022" t="s">
        <v>39851</v>
      </c>
    </row>
    <row r="2023" spans="1:25" x14ac:dyDescent="0.3">
      <c r="A2023">
        <v>101100</v>
      </c>
      <c r="B2023" t="s">
        <v>39852</v>
      </c>
      <c r="C2023" t="s">
        <v>39853</v>
      </c>
      <c r="D2023" t="s">
        <v>39854</v>
      </c>
      <c r="E2023" t="s">
        <v>39855</v>
      </c>
      <c r="F2023">
        <f>-588.463802701097 -8.06615365165137 -585.2283384402</f>
        <v>-1181.7582947929484</v>
      </c>
      <c r="G2023">
        <f>-587.682985303973 -23.6974239162709 -693.625278654446</f>
        <v>-1305.00568787469</v>
      </c>
      <c r="H2023">
        <f>-577.429448785177 -48.0958160745846 -843.623851984885</f>
        <v>-1469.1491168446466</v>
      </c>
      <c r="I2023">
        <f>-543.993250167921 -58.1177512266102 -939.355596720759</f>
        <v>-1541.4665981152903</v>
      </c>
      <c r="J2023">
        <f>-581.274730533833 -5.91885439692734 -782.311317003561</f>
        <v>-1369.5049019343214</v>
      </c>
      <c r="K2023" t="s">
        <v>39856</v>
      </c>
      <c r="L2023" t="s">
        <v>39857</v>
      </c>
      <c r="M2023" t="s">
        <v>39858</v>
      </c>
      <c r="N2023">
        <f>-582.657845573392 -68.6817884709234 -772.196940629193</f>
        <v>-1423.5365746735083</v>
      </c>
      <c r="O2023">
        <f>-579.714505284924 -210.14324971463 -732.126442928071</f>
        <v>-1521.984197927625</v>
      </c>
      <c r="P2023">
        <f>-557.263419854624 -207.996108298045 -416.409078508803</f>
        <v>-1181.668606661472</v>
      </c>
      <c r="Q2023">
        <f>-341.668870765215 -71.0357767030756 -465.428504424183</f>
        <v>-878.13315189247362</v>
      </c>
      <c r="R2023" t="s">
        <v>39859</v>
      </c>
      <c r="S2023" t="s">
        <v>39860</v>
      </c>
      <c r="T2023" t="s">
        <v>39861</v>
      </c>
      <c r="U2023" t="s">
        <v>39862</v>
      </c>
      <c r="V2023">
        <f>-521.440126375164 -77.6652753479957 -238.775464138803</f>
        <v>-837.88086586196277</v>
      </c>
      <c r="W2023" t="s">
        <v>39863</v>
      </c>
      <c r="X2023" t="s">
        <v>39864</v>
      </c>
      <c r="Y2023" t="s">
        <v>39865</v>
      </c>
    </row>
    <row r="2024" spans="1:25" x14ac:dyDescent="0.3">
      <c r="A2024">
        <v>101150</v>
      </c>
      <c r="B2024" t="s">
        <v>39866</v>
      </c>
      <c r="C2024" t="s">
        <v>39867</v>
      </c>
      <c r="D2024" t="s">
        <v>39868</v>
      </c>
      <c r="E2024" t="s">
        <v>39869</v>
      </c>
      <c r="F2024">
        <f>-588.762551781711 -9.33977575983764 -585.477843002133</f>
        <v>-1183.5801705436816</v>
      </c>
      <c r="G2024">
        <f>-588.022677653434 -25.0442731805392 -693.864478413449</f>
        <v>-1306.9314292474223</v>
      </c>
      <c r="H2024">
        <f>-577.910513898437 -49.6160856846791 -843.844348125524</f>
        <v>-1471.37094770864</v>
      </c>
      <c r="I2024">
        <f>-544.461992005891 -59.7678565293505 -939.558203427788</f>
        <v>-1543.7880519630296</v>
      </c>
      <c r="J2024">
        <f>-581.589968826186 -7.36958863335757 -782.569605983599</f>
        <v>-1371.5291634431426</v>
      </c>
      <c r="K2024" t="s">
        <v>39870</v>
      </c>
      <c r="L2024" t="s">
        <v>39871</v>
      </c>
      <c r="M2024" t="s">
        <v>39872</v>
      </c>
      <c r="N2024">
        <f>-583.179637921861 -70.1180963010575 -772.396315105277</f>
        <v>-1425.6940493281954</v>
      </c>
      <c r="O2024">
        <f>-580.535421213481 -211.581914964716 -732.358559865353</f>
        <v>-1524.4758960435499</v>
      </c>
      <c r="P2024">
        <f>-558.134820848684 -209.475752954973 -416.63720916346</f>
        <v>-1184.247782967117</v>
      </c>
      <c r="Q2024">
        <f>-342.166755247194 -73.2102282159555 -465.947914583358</f>
        <v>-881.32489804650754</v>
      </c>
      <c r="R2024" t="s">
        <v>39873</v>
      </c>
      <c r="S2024" t="s">
        <v>39874</v>
      </c>
      <c r="T2024" t="s">
        <v>39875</v>
      </c>
      <c r="U2024" t="s">
        <v>39876</v>
      </c>
      <c r="V2024">
        <f>-522.510162563935 -79.3601433560299 -238.973683642611</f>
        <v>-840.84398956257587</v>
      </c>
      <c r="W2024" t="s">
        <v>39877</v>
      </c>
      <c r="X2024" t="s">
        <v>39878</v>
      </c>
      <c r="Y2024" t="s">
        <v>39879</v>
      </c>
    </row>
    <row r="2025" spans="1:25" x14ac:dyDescent="0.3">
      <c r="A2025">
        <v>101200</v>
      </c>
      <c r="B2025" t="s">
        <v>39880</v>
      </c>
      <c r="C2025" t="s">
        <v>39881</v>
      </c>
      <c r="D2025" t="s">
        <v>39882</v>
      </c>
      <c r="E2025" t="s">
        <v>39883</v>
      </c>
      <c r="F2025">
        <f>-589.479281065332 -9.84848990633308 -585.405436058574</f>
        <v>-1184.7332070302391</v>
      </c>
      <c r="G2025">
        <f>-588.750713224135 -25.60292121493 -693.784959251685</f>
        <v>-1308.13859369075</v>
      </c>
      <c r="H2025">
        <f>-578.640143833085 -50.2745018911738 -843.748653401755</f>
        <v>-1472.6632991260137</v>
      </c>
      <c r="I2025">
        <f>-545.142862923966 -60.4885011745092 -939.438745824284</f>
        <v>-1545.0701099227592</v>
      </c>
      <c r="J2025">
        <f>-582.267236180867 -7.9879657485123 -782.498100083513</f>
        <v>-1372.7533020128924</v>
      </c>
      <c r="K2025" t="s">
        <v>39884</v>
      </c>
      <c r="L2025" t="s">
        <v>39885</v>
      </c>
      <c r="M2025" t="s">
        <v>39886</v>
      </c>
      <c r="N2025">
        <f>-583.960296624968 -70.7282240680513 -772.290486006805</f>
        <v>-1426.9790066998244</v>
      </c>
      <c r="O2025">
        <f>-581.425225671198 -212.198669948264 -732.263416897801</f>
        <v>-1525.8873125172631</v>
      </c>
      <c r="P2025">
        <f>-559.175428150979 -210.093811620541 -416.531388974017</f>
        <v>-1185.8006287455369</v>
      </c>
      <c r="Q2025">
        <f>-343.104384449375 -74.0082573678538 -465.888094611232</f>
        <v>-883.00073642846087</v>
      </c>
      <c r="R2025" t="s">
        <v>39887</v>
      </c>
      <c r="S2025" t="s">
        <v>39888</v>
      </c>
      <c r="T2025" t="s">
        <v>39889</v>
      </c>
      <c r="U2025" t="s">
        <v>39890</v>
      </c>
      <c r="V2025">
        <f>-523.248386467637 -79.9158132526333 -238.933223511331</f>
        <v>-842.09742323160128</v>
      </c>
      <c r="W2025" t="s">
        <v>39891</v>
      </c>
      <c r="X2025" t="s">
        <v>39892</v>
      </c>
      <c r="Y2025" t="s">
        <v>39893</v>
      </c>
    </row>
    <row r="2026" spans="1:25" x14ac:dyDescent="0.3">
      <c r="A2026">
        <v>101250</v>
      </c>
      <c r="B2026" t="s">
        <v>39894</v>
      </c>
      <c r="C2026" t="s">
        <v>39895</v>
      </c>
      <c r="D2026" t="s">
        <v>39896</v>
      </c>
      <c r="E2026" t="s">
        <v>39897</v>
      </c>
      <c r="F2026">
        <f>-590.917782400371 -10.9739329080391 -585.267827942357</f>
        <v>-1187.159543250767</v>
      </c>
      <c r="G2026">
        <f>-590.047963216372 -26.7417451566771 -693.644262736187</f>
        <v>-1310.4339711092362</v>
      </c>
      <c r="H2026">
        <f>-579.655537555676 -51.4061442508509 -843.589757113425</f>
        <v>-1474.6514389199519</v>
      </c>
      <c r="I2026">
        <f>-545.947264305732 -61.6749457055615 -939.199868753479</f>
        <v>-1546.8220787647724</v>
      </c>
      <c r="J2026">
        <f>-583.330903458303 -9.12370146380842 -782.339494149396</f>
        <v>-1374.7940990715074</v>
      </c>
      <c r="K2026" t="s">
        <v>39898</v>
      </c>
      <c r="L2026" t="s">
        <v>39899</v>
      </c>
      <c r="M2026" t="s">
        <v>39900</v>
      </c>
      <c r="N2026">
        <f>-585.176791650217 -71.8621704799424 -772.147598732588</f>
        <v>-1429.1865608627472</v>
      </c>
      <c r="O2026">
        <f>-582.892710004323 -213.380687007884 -732.232033996535</f>
        <v>-1528.5054310087421</v>
      </c>
      <c r="P2026">
        <f>-561.282359919102 -211.529991693062 -416.453985608974</f>
        <v>-1189.266337221138</v>
      </c>
      <c r="Q2026">
        <f>-345.126301720918 -75.4008759402181 -465.315981804936</f>
        <v>-885.84315946607205</v>
      </c>
      <c r="R2026" t="s">
        <v>39901</v>
      </c>
      <c r="S2026" t="s">
        <v>39902</v>
      </c>
      <c r="T2026" t="s">
        <v>39903</v>
      </c>
      <c r="U2026" t="s">
        <v>39904</v>
      </c>
      <c r="V2026">
        <f>-524.275905672737 -80.7564655616134 -238.900378229954</f>
        <v>-843.93274946430438</v>
      </c>
      <c r="W2026" t="s">
        <v>39905</v>
      </c>
      <c r="X2026" t="s">
        <v>39906</v>
      </c>
      <c r="Y2026" t="s">
        <v>39907</v>
      </c>
    </row>
    <row r="2027" spans="1:25" x14ac:dyDescent="0.3">
      <c r="A2027">
        <v>101300</v>
      </c>
      <c r="B2027" t="s">
        <v>39908</v>
      </c>
      <c r="C2027" t="s">
        <v>39909</v>
      </c>
      <c r="D2027" t="s">
        <v>39910</v>
      </c>
      <c r="E2027" t="s">
        <v>39911</v>
      </c>
      <c r="F2027">
        <f>-591.69257873431 -11.6223873105091 -585.19914421114</f>
        <v>-1188.5141102559592</v>
      </c>
      <c r="G2027">
        <f>-590.742543858115 -27.3301165544619 -693.583758495842</f>
        <v>-1311.6564189084188</v>
      </c>
      <c r="H2027">
        <f>-580.212974888456 -51.8529868994893 -843.542876000177</f>
        <v>-1475.6088377881224</v>
      </c>
      <c r="I2027">
        <f>-546.388159768231 -62.1091017832066 -939.113140029669</f>
        <v>-1547.6104015811065</v>
      </c>
      <c r="J2027">
        <f>-583.93159155825 -9.62858103362281 -782.255229851049</f>
        <v>-1375.8154024429218</v>
      </c>
      <c r="K2027" t="s">
        <v>39912</v>
      </c>
      <c r="L2027" t="s">
        <v>39913</v>
      </c>
      <c r="M2027" t="s">
        <v>39914</v>
      </c>
      <c r="N2027">
        <f>-585.812432083353 -72.3761446548714 -772.126158383319</f>
        <v>-1430.3147351215434</v>
      </c>
      <c r="O2027">
        <f>-583.5810454203 -213.939900619298 -732.385177183457</f>
        <v>-1529.9061232230551</v>
      </c>
      <c r="P2027">
        <f>-562.553257205307 -212.253018398783 -416.567012231796</f>
        <v>-1191.373287835886</v>
      </c>
      <c r="Q2027">
        <f>-346.405583199257 -75.9769085057099 -465.054764133427</f>
        <v>-887.43725583839387</v>
      </c>
      <c r="R2027" t="s">
        <v>39915</v>
      </c>
      <c r="S2027" t="s">
        <v>39916</v>
      </c>
      <c r="T2027" t="s">
        <v>39917</v>
      </c>
      <c r="U2027" t="s">
        <v>39918</v>
      </c>
      <c r="V2027">
        <f>-524.870200127357 -81.2741239802005 -238.777293954148</f>
        <v>-844.92161806170543</v>
      </c>
      <c r="W2027" t="s">
        <v>39919</v>
      </c>
      <c r="X2027" t="s">
        <v>39920</v>
      </c>
      <c r="Y2027" t="s">
        <v>39921</v>
      </c>
    </row>
    <row r="2028" spans="1:25" x14ac:dyDescent="0.3">
      <c r="A2028">
        <v>101350</v>
      </c>
      <c r="B2028" t="s">
        <v>39922</v>
      </c>
      <c r="C2028" t="s">
        <v>39923</v>
      </c>
      <c r="D2028" t="s">
        <v>39924</v>
      </c>
      <c r="E2028" t="s">
        <v>39925</v>
      </c>
      <c r="F2028">
        <f>-593.380955723437 -13.0327234861042 -584.812361754672</f>
        <v>-1191.2260409642131</v>
      </c>
      <c r="G2028">
        <f>-592.354957104765 -28.6024012032268 -693.216196108293</f>
        <v>-1314.1735544162848</v>
      </c>
      <c r="H2028">
        <f>-581.701872669988 -52.8468650725513 -843.211839746416</f>
        <v>-1477.7605774889553</v>
      </c>
      <c r="I2028">
        <f>-547.662405821759 -63.0275385695956 -938.714105256353</f>
        <v>-1549.4040496477076</v>
      </c>
      <c r="J2028">
        <f>-585.422190925933 -10.7372229096709 -781.845335823626</f>
        <v>-1378.0047496592299</v>
      </c>
      <c r="K2028" t="s">
        <v>39926</v>
      </c>
      <c r="L2028" t="s">
        <v>39927</v>
      </c>
      <c r="M2028" t="s">
        <v>39928</v>
      </c>
      <c r="N2028">
        <f>-587.408895808358 -73.5016783099058 -771.8415426746</f>
        <v>-1432.7521167928639</v>
      </c>
      <c r="O2028">
        <f>-585.268508860494 -215.134139452042 -732.357783060119</f>
        <v>-1532.7604313726551</v>
      </c>
      <c r="P2028">
        <f>-565.134234575968 -213.892543592961 -416.479321102124</f>
        <v>-1195.506099271053</v>
      </c>
      <c r="Q2028">
        <f>-348.885566394736 -77.372463840358 -463.816692091227</f>
        <v>-890.07472232632108</v>
      </c>
      <c r="R2028" t="s">
        <v>39929</v>
      </c>
      <c r="S2028" t="s">
        <v>39930</v>
      </c>
      <c r="T2028" t="s">
        <v>39931</v>
      </c>
      <c r="U2028" t="s">
        <v>39932</v>
      </c>
      <c r="V2028">
        <f>-526.567517952427 -82.3596181292853 -238.175637302776</f>
        <v>-847.10277338448827</v>
      </c>
      <c r="W2028" t="s">
        <v>39933</v>
      </c>
      <c r="X2028" t="s">
        <v>39934</v>
      </c>
      <c r="Y2028" t="s">
        <v>39935</v>
      </c>
    </row>
    <row r="2029" spans="1:25" x14ac:dyDescent="0.3">
      <c r="A2029">
        <v>101400</v>
      </c>
      <c r="B2029" t="s">
        <v>39936</v>
      </c>
      <c r="C2029" t="s">
        <v>39937</v>
      </c>
      <c r="D2029" t="s">
        <v>39938</v>
      </c>
      <c r="E2029" t="s">
        <v>39939</v>
      </c>
      <c r="F2029">
        <f>-594.072917322011 -13.0682669557487 -584.561890968695</f>
        <v>-1191.7030752464548</v>
      </c>
      <c r="G2029">
        <f>-593.02459803915 -28.6066635998411 -692.96995688714</f>
        <v>-1314.6012185261311</v>
      </c>
      <c r="H2029">
        <f>-582.34338470233 -52.7704815579347 -842.976616119909</f>
        <v>-1478.0904823801736</v>
      </c>
      <c r="I2029">
        <f>-548.247494610023 -62.9271037064661 -938.461280453086</f>
        <v>-1549.6358787695751</v>
      </c>
      <c r="J2029">
        <f>-586.022356081315 -10.694931188617 -781.584211392096</f>
        <v>-1378.3014986620281</v>
      </c>
      <c r="K2029" t="s">
        <v>39940</v>
      </c>
      <c r="L2029" t="s">
        <v>39941</v>
      </c>
      <c r="M2029" t="s">
        <v>39942</v>
      </c>
      <c r="N2029">
        <f>-588.11653076653 -73.4625741991917 -771.622525280965</f>
        <v>-1433.2016302466868</v>
      </c>
      <c r="O2029">
        <f>-586.210142175934 -215.120738574909 -732.221108855866</f>
        <v>-1533.551989606709</v>
      </c>
      <c r="P2029">
        <f>-566.449072315026 -213.973627665072 -416.318624762014</f>
        <v>-1196.7413247421121</v>
      </c>
      <c r="Q2029">
        <f>-350.079842348684 -77.5013475869148 -463.241182019622</f>
        <v>-890.82237195522077</v>
      </c>
      <c r="R2029" t="s">
        <v>39943</v>
      </c>
      <c r="S2029" t="s">
        <v>39944</v>
      </c>
      <c r="T2029" t="s">
        <v>39945</v>
      </c>
      <c r="U2029" t="s">
        <v>39946</v>
      </c>
      <c r="V2029">
        <f>-527.356241131115 -82.0265212930569 -237.745313751215</f>
        <v>-847.12807617538692</v>
      </c>
      <c r="W2029" t="s">
        <v>39947</v>
      </c>
      <c r="X2029" t="s">
        <v>39948</v>
      </c>
      <c r="Y2029" t="s">
        <v>39949</v>
      </c>
    </row>
    <row r="2030" spans="1:25" x14ac:dyDescent="0.3">
      <c r="A2030">
        <v>101450</v>
      </c>
      <c r="B2030" t="s">
        <v>39950</v>
      </c>
      <c r="C2030" t="s">
        <v>39951</v>
      </c>
      <c r="D2030" t="s">
        <v>39952</v>
      </c>
      <c r="E2030" t="s">
        <v>39953</v>
      </c>
      <c r="F2030">
        <f>-595.026857915488 -12.5198923428733 -583.975757463617</f>
        <v>-1191.5225077219784</v>
      </c>
      <c r="G2030">
        <f>-593.914289141907 -28.034269329336 -692.386654791337</f>
        <v>-1314.3352132625801</v>
      </c>
      <c r="H2030">
        <f>-583.137650585242 -52.1704871178972 -842.390968778553</f>
        <v>-1477.6991064816921</v>
      </c>
      <c r="I2030">
        <f>-549.00864768231 -62.4231417049488 -937.853308451227</f>
        <v>-1549.2850978384859</v>
      </c>
      <c r="J2030">
        <f>-586.670824833377 -10.1107393413832 -780.979080918218</f>
        <v>-1377.7606450929782</v>
      </c>
      <c r="K2030" t="s">
        <v>39954</v>
      </c>
      <c r="L2030" t="s">
        <v>39955</v>
      </c>
      <c r="M2030" t="s">
        <v>39956</v>
      </c>
      <c r="N2030">
        <f>-589.141165942002 -72.8711609277075 -771.058186620781</f>
        <v>-1433.0705134904906</v>
      </c>
      <c r="O2030">
        <f>-588.059785748801 -214.550813003444 -731.707446454497</f>
        <v>-1534.318045206742</v>
      </c>
      <c r="P2030">
        <f>-568.622367219425 -213.592876304739 -415.784269955952</f>
        <v>-1197.9995134801161</v>
      </c>
      <c r="Q2030">
        <f>-351.647717853722 -77.9401650758897 -462.286205223576</f>
        <v>-891.8740881531877</v>
      </c>
      <c r="R2030" t="s">
        <v>39957</v>
      </c>
      <c r="S2030" t="s">
        <v>39958</v>
      </c>
      <c r="T2030" t="s">
        <v>39959</v>
      </c>
      <c r="U2030" t="s">
        <v>39960</v>
      </c>
      <c r="V2030">
        <f>-528.750577307603 -81.2048876608719 -237.081491324245</f>
        <v>-847.03695629271988</v>
      </c>
      <c r="W2030" t="s">
        <v>39961</v>
      </c>
      <c r="X2030" t="s">
        <v>39962</v>
      </c>
      <c r="Y2030" t="s">
        <v>39963</v>
      </c>
    </row>
    <row r="2031" spans="1:25" x14ac:dyDescent="0.3">
      <c r="A2031">
        <v>101500</v>
      </c>
      <c r="B2031" t="s">
        <v>39964</v>
      </c>
      <c r="C2031" t="s">
        <v>39965</v>
      </c>
      <c r="D2031" t="s">
        <v>39966</v>
      </c>
      <c r="E2031" t="s">
        <v>39967</v>
      </c>
      <c r="F2031">
        <f>-594.62349275023 -12.1096094250056 -584.009520264894</f>
        <v>-1190.7426224401297</v>
      </c>
      <c r="G2031">
        <f>-593.482308180084 -27.6009526890691 -692.423445977353</f>
        <v>-1313.5067068465062</v>
      </c>
      <c r="H2031">
        <f>-582.705733164679 -51.7243591006953 -842.429781034478</f>
        <v>-1476.8598732998523</v>
      </c>
      <c r="I2031">
        <f>-548.597574045284 -62.0668771557615 -937.890053876309</f>
        <v>-1548.5545050773544</v>
      </c>
      <c r="J2031">
        <f>-586.121305080265 -9.67328173153001 -781.005418552043</f>
        <v>-1376.800005363838</v>
      </c>
      <c r="K2031" t="s">
        <v>39968</v>
      </c>
      <c r="L2031" t="s">
        <v>39969</v>
      </c>
      <c r="M2031" t="s">
        <v>39970</v>
      </c>
      <c r="N2031">
        <f>-588.826745804321 -72.4277370549167 -771.107855498853</f>
        <v>-1432.3623383580907</v>
      </c>
      <c r="O2031">
        <f>-588.319320790947 -214.11304268586 -731.709064596087</f>
        <v>-1534.1414280728941</v>
      </c>
      <c r="P2031">
        <f>-568.857966266342 -213.2089884113 -415.787241809082</f>
        <v>-1197.854196486724</v>
      </c>
      <c r="Q2031">
        <f>-351.427634089554 -78.2537669813644 -462.189594484699</f>
        <v>-891.87099555561736</v>
      </c>
      <c r="R2031" t="s">
        <v>39971</v>
      </c>
      <c r="S2031" t="s">
        <v>39972</v>
      </c>
      <c r="T2031" t="s">
        <v>39973</v>
      </c>
      <c r="U2031" t="s">
        <v>39974</v>
      </c>
      <c r="V2031">
        <f>-528.709390003669 -80.9553296980231 -237.040089216983</f>
        <v>-846.7048089186751</v>
      </c>
      <c r="W2031" t="s">
        <v>39975</v>
      </c>
      <c r="X2031" t="s">
        <v>39976</v>
      </c>
      <c r="Y2031" t="s">
        <v>39977</v>
      </c>
    </row>
    <row r="2032" spans="1:25" x14ac:dyDescent="0.3">
      <c r="A2032">
        <v>101550</v>
      </c>
      <c r="B2032" t="s">
        <v>39978</v>
      </c>
      <c r="C2032" t="s">
        <v>39979</v>
      </c>
      <c r="D2032" t="s">
        <v>39980</v>
      </c>
      <c r="E2032" t="s">
        <v>39981</v>
      </c>
      <c r="F2032">
        <f>-593.57450027552 -10.1346873312032 -584.048324570005</f>
        <v>-1187.7575121767281</v>
      </c>
      <c r="G2032">
        <f>-592.389901194158 -25.6699775416061 -692.45536358164</f>
        <v>-1310.515242317404</v>
      </c>
      <c r="H2032">
        <f>-581.567285167953 -49.9464688814231 -842.433912241603</f>
        <v>-1473.9476662909792</v>
      </c>
      <c r="I2032">
        <f>-547.456683074838 -60.5920410666158 -937.859870190992</f>
        <v>-1545.9085943324458</v>
      </c>
      <c r="J2032">
        <f>-584.727408138205 -7.84239110516082 -781.032109932342</f>
        <v>-1373.6019091757078</v>
      </c>
      <c r="K2032" t="s">
        <v>39982</v>
      </c>
      <c r="L2032" t="s">
        <v>39983</v>
      </c>
      <c r="M2032" t="s">
        <v>39984</v>
      </c>
      <c r="N2032">
        <f>-587.984474768932 -70.5673720853076 -771.114036338005</f>
        <v>-1429.6658831922446</v>
      </c>
      <c r="O2032">
        <f>-588.71863173946 -212.232475848029 -731.698379242574</f>
        <v>-1532.6494868300629</v>
      </c>
      <c r="P2032">
        <f>-569.291471586685 -211.481018781877 -415.773957826992</f>
        <v>-1196.5464481955539</v>
      </c>
      <c r="Q2032">
        <f>-350.924134213297 -78.0208723125193 -462.100344643529</f>
        <v>-891.04535116934539</v>
      </c>
      <c r="R2032" t="s">
        <v>39985</v>
      </c>
      <c r="S2032" t="s">
        <v>39986</v>
      </c>
      <c r="T2032" t="s">
        <v>39987</v>
      </c>
      <c r="U2032" t="s">
        <v>39988</v>
      </c>
      <c r="V2032">
        <f>-528.592589294779 -79.1875941710726 -237.030938242333</f>
        <v>-844.81112170818471</v>
      </c>
      <c r="W2032" t="s">
        <v>39989</v>
      </c>
      <c r="X2032" t="s">
        <v>39990</v>
      </c>
      <c r="Y2032" t="s">
        <v>39991</v>
      </c>
    </row>
    <row r="2033" spans="1:25" x14ac:dyDescent="0.3">
      <c r="A2033">
        <v>101600</v>
      </c>
      <c r="B2033" t="s">
        <v>39992</v>
      </c>
      <c r="C2033" t="s">
        <v>39993</v>
      </c>
      <c r="D2033" t="s">
        <v>39994</v>
      </c>
      <c r="E2033" t="s">
        <v>39995</v>
      </c>
      <c r="F2033">
        <f>-592.89301768989 -8.91559130515663 -584.28040475716</f>
        <v>-1186.0890137522067</v>
      </c>
      <c r="G2033">
        <f>-591.609927823344 -24.4854460961407 -692.681366620982</f>
        <v>-1308.7767405404666</v>
      </c>
      <c r="H2033">
        <f>-580.568178215818 -48.8504793322172 -842.629489587639</f>
        <v>-1472.0481471356743</v>
      </c>
      <c r="I2033">
        <f>-546.409289831046 -59.6392447752259 -938.022116377411</f>
        <v>-1544.0706509836828</v>
      </c>
      <c r="J2033">
        <f>-583.679468911453 -6.71590869427308 -781.246143728924</f>
        <v>-1371.64152133465</v>
      </c>
      <c r="K2033" t="s">
        <v>39996</v>
      </c>
      <c r="L2033" t="s">
        <v>39997</v>
      </c>
      <c r="M2033" t="s">
        <v>39998</v>
      </c>
      <c r="N2033">
        <f>-587.228144776365 -69.4235003938876 -771.318060733595</f>
        <v>-1427.9697059038476</v>
      </c>
      <c r="O2033">
        <f>-588.651819012578 -211.090349222806 -731.84442341404</f>
        <v>-1531.586591649424</v>
      </c>
      <c r="P2033">
        <f>-569.223365840249 -210.559331460742 -415.919675197567</f>
        <v>-1195.7023724985579</v>
      </c>
      <c r="Q2033">
        <f>-350.340749629446 -77.8741629282671 -462.040128227977</f>
        <v>-890.25504078569008</v>
      </c>
      <c r="R2033" t="s">
        <v>39999</v>
      </c>
      <c r="S2033" t="s">
        <v>40000</v>
      </c>
      <c r="T2033" t="s">
        <v>40001</v>
      </c>
      <c r="U2033" t="s">
        <v>40002</v>
      </c>
      <c r="V2033">
        <f>-527.804782134672 -78.1575735199516 -237.318748893792</f>
        <v>-843.28110454841556</v>
      </c>
      <c r="W2033" t="s">
        <v>40003</v>
      </c>
      <c r="X2033" t="s">
        <v>40004</v>
      </c>
      <c r="Y2033" t="s">
        <v>40005</v>
      </c>
    </row>
    <row r="2034" spans="1:25" x14ac:dyDescent="0.3">
      <c r="A2034">
        <v>101650</v>
      </c>
      <c r="B2034" t="s">
        <v>40006</v>
      </c>
      <c r="C2034" t="s">
        <v>40007</v>
      </c>
      <c r="D2034" t="s">
        <v>40008</v>
      </c>
      <c r="E2034" t="s">
        <v>40009</v>
      </c>
      <c r="F2034">
        <f>-590.413348420199 -6.58779220305511 -584.918588771018</f>
        <v>-1181.9197293942721</v>
      </c>
      <c r="G2034">
        <f>-588.963066918128 -22.2032397872423 -693.310839776813</f>
        <v>-1304.4771464821833</v>
      </c>
      <c r="H2034">
        <f>-577.671855080658 -46.6982890148723 -843.219298566074</f>
        <v>-1467.5894426616044</v>
      </c>
      <c r="I2034">
        <f>-543.379765588186 -57.7117907704185 -938.538395633938</f>
        <v>-1539.6299519925424</v>
      </c>
      <c r="J2034">
        <f>-580.685573507921 -4.51988836245342 -781.861080727447</f>
        <v>-1367.0665425978214</v>
      </c>
      <c r="K2034" t="s">
        <v>40010</v>
      </c>
      <c r="L2034" t="s">
        <v>40011</v>
      </c>
      <c r="M2034" t="s">
        <v>40012</v>
      </c>
      <c r="N2034">
        <f>-584.650154705488 -67.2001294275511 -771.917788665581</f>
        <v>-1423.7680727986203</v>
      </c>
      <c r="O2034">
        <f>-587.138488536653 -208.805472371742 -732.294700336457</f>
        <v>-1528.238661244852</v>
      </c>
      <c r="P2034">
        <f>-568.064428967882 -208.093783204258 -416.34878375155</f>
        <v>-1192.5069959236901</v>
      </c>
      <c r="Q2034">
        <f>-348.229621746103 -76.7184403567238 -461.683441935413</f>
        <v>-886.63150403823988</v>
      </c>
      <c r="R2034" t="s">
        <v>40013</v>
      </c>
      <c r="S2034" t="s">
        <v>40014</v>
      </c>
      <c r="T2034" t="s">
        <v>40015</v>
      </c>
      <c r="U2034" t="s">
        <v>40016</v>
      </c>
      <c r="V2034">
        <f>-526.154780161636 -76.3288449401419 -237.89785932382</f>
        <v>-840.38148442559805</v>
      </c>
      <c r="W2034" t="s">
        <v>40017</v>
      </c>
      <c r="X2034" t="s">
        <v>40018</v>
      </c>
      <c r="Y2034" t="s">
        <v>40019</v>
      </c>
    </row>
    <row r="2035" spans="1:25" x14ac:dyDescent="0.3">
      <c r="A2035">
        <v>101700</v>
      </c>
      <c r="B2035" t="s">
        <v>40020</v>
      </c>
      <c r="C2035" t="s">
        <v>40021</v>
      </c>
      <c r="D2035" t="s">
        <v>40022</v>
      </c>
      <c r="E2035" t="s">
        <v>40023</v>
      </c>
      <c r="F2035">
        <f>-589.473667542194 -5.75649880009532 -585.124199342034</f>
        <v>-1180.3543656843233</v>
      </c>
      <c r="G2035">
        <f>-587.976573944611 -21.3424320773855 -693.520028399397</f>
        <v>-1302.8390344213935</v>
      </c>
      <c r="H2035">
        <f>-576.607162510423 -45.792065964474 -843.429884741852</f>
        <v>-1465.829113216749</v>
      </c>
      <c r="I2035">
        <f>-542.268973777125 -56.8649403017291 -938.72556225207</f>
        <v>-1537.8594763309241</v>
      </c>
      <c r="J2035">
        <f>-579.604096245141 -3.63471538518831 -782.056466878393</f>
        <v>-1365.2952785087223</v>
      </c>
      <c r="K2035" t="s">
        <v>40024</v>
      </c>
      <c r="L2035" t="s">
        <v>40025</v>
      </c>
      <c r="M2035" t="s">
        <v>40026</v>
      </c>
      <c r="N2035">
        <f>-583.6714551599 -66.3130351699375 -772.142374961648</f>
        <v>-1422.1268652914855</v>
      </c>
      <c r="O2035">
        <f>-586.425260751584 -207.917787988377 -732.562684877033</f>
        <v>-1526.905733616994</v>
      </c>
      <c r="P2035">
        <f>-567.797467290682 -206.941221338436 -416.590902073187</f>
        <v>-1191.329590702305</v>
      </c>
      <c r="Q2035">
        <f>-347.552116688338 -76.0801105272737 -461.417367964426</f>
        <v>-885.04959518003761</v>
      </c>
      <c r="R2035" t="s">
        <v>40027</v>
      </c>
      <c r="S2035" t="s">
        <v>40028</v>
      </c>
      <c r="T2035" t="s">
        <v>40029</v>
      </c>
      <c r="U2035" t="s">
        <v>40030</v>
      </c>
      <c r="V2035">
        <f>-525.468725884003 -75.5589002595562 -238.041305083781</f>
        <v>-839.06893122734027</v>
      </c>
      <c r="W2035" t="s">
        <v>40031</v>
      </c>
      <c r="X2035" t="s">
        <v>40032</v>
      </c>
      <c r="Y2035" t="s">
        <v>40033</v>
      </c>
    </row>
    <row r="2036" spans="1:25" x14ac:dyDescent="0.3">
      <c r="A2036">
        <v>101750</v>
      </c>
      <c r="B2036" t="s">
        <v>40034</v>
      </c>
      <c r="C2036" t="s">
        <v>40035</v>
      </c>
      <c r="D2036" t="s">
        <v>40036</v>
      </c>
      <c r="E2036" t="s">
        <v>40037</v>
      </c>
      <c r="F2036">
        <f>-588.295953931786 -4.16360712799457 -585.324708196908</f>
        <v>-1177.7842692566887</v>
      </c>
      <c r="G2036">
        <f>-586.589385662135 -19.4581917284505 -693.759161151886</f>
        <v>-1299.8067385424715</v>
      </c>
      <c r="H2036">
        <f>-574.857959258066 -43.4254749904476 -843.71897829969</f>
        <v>-1462.0024125482037</v>
      </c>
      <c r="I2036">
        <f>-540.317878654105 -54.419916245318 -938.950805166085</f>
        <v>-1533.6886000655081</v>
      </c>
      <c r="J2036">
        <f>-577.979185509879 -1.46702173069212 -782.215646840252</f>
        <v>-1361.6618540808231</v>
      </c>
      <c r="K2036" t="s">
        <v>40038</v>
      </c>
      <c r="L2036" t="s">
        <v>40039</v>
      </c>
      <c r="M2036" t="s">
        <v>40040</v>
      </c>
      <c r="N2036">
        <f>-582.118250060348 -64.1743435694249 -772.517289983577</f>
        <v>-1418.8098836133499</v>
      </c>
      <c r="O2036">
        <f>-585.338185651843 -205.80148952562 -733.055164770438</f>
        <v>-1524.1948399479011</v>
      </c>
      <c r="P2036">
        <f>-567.324402192877 -204.957567706414 -417.047325934623</f>
        <v>-1189.3292958339139</v>
      </c>
      <c r="Q2036">
        <f>-346.568386790909 -74.6833691239837 -461.064070103445</f>
        <v>-882.3158260183377</v>
      </c>
      <c r="R2036" t="s">
        <v>40041</v>
      </c>
      <c r="S2036" t="s">
        <v>40042</v>
      </c>
      <c r="T2036" t="s">
        <v>40043</v>
      </c>
      <c r="U2036" t="s">
        <v>40044</v>
      </c>
      <c r="V2036">
        <f>-524.45890186252 -73.9906489284156 -238.165947036959</f>
        <v>-836.6154978278945</v>
      </c>
      <c r="W2036" t="s">
        <v>40045</v>
      </c>
      <c r="X2036" t="s">
        <v>40046</v>
      </c>
      <c r="Y2036" t="s">
        <v>40047</v>
      </c>
    </row>
    <row r="2037" spans="1:25" x14ac:dyDescent="0.3">
      <c r="A2037">
        <v>101800</v>
      </c>
      <c r="B2037" t="s">
        <v>40048</v>
      </c>
      <c r="C2037" t="s">
        <v>40049</v>
      </c>
      <c r="D2037" t="s">
        <v>40050</v>
      </c>
      <c r="E2037" t="s">
        <v>40051</v>
      </c>
      <c r="F2037">
        <f>-587.440521500154 -3.50532474628415 -585.463771294458</f>
        <v>-1176.4096175408961</v>
      </c>
      <c r="G2037">
        <f>-585.58543944092 -18.6460028793381 -693.917189740754</f>
        <v>-1298.148632061012</v>
      </c>
      <c r="H2037">
        <f>-573.664082162072 -42.3559308107394 -843.902999539421</f>
        <v>-1459.9230125122324</v>
      </c>
      <c r="I2037">
        <f>-539.034694104387 -53.276500165705 -939.110915652125</f>
        <v>-1531.4221099222168</v>
      </c>
      <c r="J2037">
        <f>-576.871335782942 -0.502658159966195 -782.33251507569</f>
        <v>-1359.7065090185984</v>
      </c>
      <c r="K2037" t="s">
        <v>40052</v>
      </c>
      <c r="L2037" t="s">
        <v>40053</v>
      </c>
      <c r="M2037" t="s">
        <v>40054</v>
      </c>
      <c r="N2037">
        <f>-581.006505936242 -63.2273521993765 -772.745543784431</f>
        <v>-1416.9794019200494</v>
      </c>
      <c r="O2037">
        <f>-584.372762333893 -204.883832772002 -733.420175049459</f>
        <v>-1522.676770155354</v>
      </c>
      <c r="P2037">
        <f>-566.687534759256 -204.088956297727 -417.39354929373</f>
        <v>-1188.170040350713</v>
      </c>
      <c r="Q2037">
        <f>-345.829468007992 -73.8991227035027 -461.147155463887</f>
        <v>-880.87574617538166</v>
      </c>
      <c r="R2037" t="s">
        <v>40055</v>
      </c>
      <c r="S2037" t="s">
        <v>40056</v>
      </c>
      <c r="T2037" t="s">
        <v>40057</v>
      </c>
      <c r="U2037" t="s">
        <v>40058</v>
      </c>
      <c r="V2037">
        <f>-523.971830401049 -73.3591219655874 -238.242796338619</f>
        <v>-835.57374870525541</v>
      </c>
      <c r="W2037" t="s">
        <v>40059</v>
      </c>
      <c r="X2037" t="s">
        <v>40060</v>
      </c>
      <c r="Y2037" t="s">
        <v>40061</v>
      </c>
    </row>
    <row r="2038" spans="1:25" x14ac:dyDescent="0.3">
      <c r="A2038">
        <v>101850</v>
      </c>
      <c r="B2038" t="s">
        <v>40062</v>
      </c>
      <c r="C2038" t="s">
        <v>40063</v>
      </c>
      <c r="D2038" t="s">
        <v>40064</v>
      </c>
      <c r="E2038" t="s">
        <v>40065</v>
      </c>
      <c r="F2038">
        <f>-586.930188507145 -2.29496843513453 -585.596555691833</f>
        <v>-1174.8217126341124</v>
      </c>
      <c r="G2038">
        <f>-584.79065913226 -17.2416717685077 -694.071735292319</f>
        <v>-1296.1040661930865</v>
      </c>
      <c r="H2038">
        <f>-572.412621256463 -40.6206674897269 -844.07254002244</f>
        <v>-1457.1058287686299</v>
      </c>
      <c r="I2038">
        <f>-537.565379377907 -51.3866232526429 -939.218412069927</f>
        <v>-1528.1704147004771</v>
      </c>
      <c r="J2038" t="s">
        <v>40066</v>
      </c>
      <c r="K2038" t="s">
        <v>40067</v>
      </c>
      <c r="L2038" t="s">
        <v>40068</v>
      </c>
      <c r="M2038" t="s">
        <v>40069</v>
      </c>
      <c r="N2038">
        <f>-579.926716685803 -61.6513746499442 -772.979849805375</f>
        <v>-1414.5579411411222</v>
      </c>
      <c r="O2038">
        <f>-583.262042772887 -203.343179207655 -733.798751102098</f>
        <v>-1520.4039730826398</v>
      </c>
      <c r="P2038">
        <f>-565.977627515189 -202.681588884065 -417.74961237182</f>
        <v>-1186.408828771074</v>
      </c>
      <c r="Q2038">
        <f>-345.186616769208 -72.3083446216906 -461.295323485769</f>
        <v>-878.79028487666756</v>
      </c>
      <c r="R2038" t="s">
        <v>40070</v>
      </c>
      <c r="S2038" t="s">
        <v>40071</v>
      </c>
      <c r="T2038" t="s">
        <v>40072</v>
      </c>
      <c r="U2038" t="s">
        <v>40073</v>
      </c>
      <c r="V2038">
        <f>-523.766897225602 -72.050546704383 -238.307560463984</f>
        <v>-834.12500439396899</v>
      </c>
      <c r="W2038" t="s">
        <v>40074</v>
      </c>
      <c r="X2038" t="s">
        <v>40075</v>
      </c>
      <c r="Y2038" t="s">
        <v>40076</v>
      </c>
    </row>
    <row r="2039" spans="1:25" x14ac:dyDescent="0.3">
      <c r="A2039">
        <v>101900</v>
      </c>
      <c r="B2039" t="s">
        <v>40077</v>
      </c>
      <c r="C2039" t="s">
        <v>40078</v>
      </c>
      <c r="D2039" t="s">
        <v>40079</v>
      </c>
      <c r="E2039" t="s">
        <v>40080</v>
      </c>
      <c r="F2039">
        <f>-586.370812063365 -2.19438996999366 -585.778736532737</f>
        <v>-1174.3439385660954</v>
      </c>
      <c r="G2039">
        <f>-584.109476495872 -17.0841690406102 -694.259439809155</f>
        <v>-1295.4530853456372</v>
      </c>
      <c r="H2039">
        <f>-571.589790856288 -40.3677792971179 -844.263246292262</f>
        <v>-1456.2208164456679</v>
      </c>
      <c r="I2039">
        <f>-536.655669603819 -51.0744199983022 -939.384034291445</f>
        <v>-1527.1141238935661</v>
      </c>
      <c r="J2039" t="s">
        <v>40081</v>
      </c>
      <c r="K2039" t="s">
        <v>40082</v>
      </c>
      <c r="L2039" t="s">
        <v>40083</v>
      </c>
      <c r="M2039" t="s">
        <v>40084</v>
      </c>
      <c r="N2039">
        <f>-579.160626186392 -61.4442107545617 -773.190182907036</f>
        <v>-1413.7950198479898</v>
      </c>
      <c r="O2039">
        <f>-582.588543540171 -203.137860258097 -734.033294556983</f>
        <v>-1519.7596983552512</v>
      </c>
      <c r="P2039">
        <f>-565.335450437288 -202.493677411556 -417.98263639807</f>
        <v>-1185.8117642469142</v>
      </c>
      <c r="Q2039">
        <f>-344.673539457748 -71.9466457721699 -461.661500805035</f>
        <v>-878.28168603495294</v>
      </c>
      <c r="R2039" t="s">
        <v>40085</v>
      </c>
      <c r="S2039" t="s">
        <v>40086</v>
      </c>
      <c r="T2039" t="s">
        <v>40087</v>
      </c>
      <c r="U2039" t="s">
        <v>40088</v>
      </c>
      <c r="V2039">
        <f>-523.505341786529 -71.9449473956613 -238.403643861603</f>
        <v>-833.85393304379329</v>
      </c>
      <c r="W2039" t="s">
        <v>40089</v>
      </c>
      <c r="X2039" t="s">
        <v>40090</v>
      </c>
      <c r="Y2039" t="s">
        <v>40091</v>
      </c>
    </row>
    <row r="2040" spans="1:25" x14ac:dyDescent="0.3">
      <c r="A2040">
        <v>101950</v>
      </c>
      <c r="B2040" t="s">
        <v>40092</v>
      </c>
      <c r="C2040" t="s">
        <v>40093</v>
      </c>
      <c r="D2040" t="s">
        <v>40094</v>
      </c>
      <c r="E2040" t="s">
        <v>40095</v>
      </c>
      <c r="F2040">
        <f>-585.956692650846 -1.30223927993448 -586.002289974512</f>
        <v>-1173.2612219052926</v>
      </c>
      <c r="G2040">
        <f>-583.435380033732 -16.0236390152294 -694.499975620336</f>
        <v>-1293.9589946692975</v>
      </c>
      <c r="H2040">
        <f>-570.533183339281 -39.0120129160995 -844.517024488942</f>
        <v>-1454.0622207443225</v>
      </c>
      <c r="I2040">
        <f>-535.382697413441 -49.554073626409 -939.576326233663</f>
        <v>-1524.513097273513</v>
      </c>
      <c r="J2040" t="s">
        <v>40096</v>
      </c>
      <c r="K2040" t="s">
        <v>40097</v>
      </c>
      <c r="L2040" t="s">
        <v>40098</v>
      </c>
      <c r="M2040" t="s">
        <v>40099</v>
      </c>
      <c r="N2040">
        <f>-578.169535109809 -60.2339901191758 -773.494199856127</f>
        <v>-1411.8977250851117</v>
      </c>
      <c r="O2040">
        <f>-581.237921336076 -201.981558445548 -734.420522839943</f>
        <v>-1517.640002621567</v>
      </c>
      <c r="P2040">
        <f>-564.095678298998 -201.587617937249 -418.363425591078</f>
        <v>-1184.046721827325</v>
      </c>
      <c r="Q2040">
        <f>-343.854956759476 -70.3956320360415 -462.235508314472</f>
        <v>-876.48609710998949</v>
      </c>
      <c r="R2040" t="s">
        <v>40100</v>
      </c>
      <c r="S2040" t="s">
        <v>40101</v>
      </c>
      <c r="T2040" t="s">
        <v>40102</v>
      </c>
      <c r="U2040" t="s">
        <v>40103</v>
      </c>
      <c r="V2040">
        <f>-523.488878744498 -70.8766554056725 -238.516680564658</f>
        <v>-832.88221471482859</v>
      </c>
      <c r="W2040" t="s">
        <v>40104</v>
      </c>
      <c r="X2040" t="s">
        <v>40105</v>
      </c>
      <c r="Y2040" t="s">
        <v>40106</v>
      </c>
    </row>
    <row r="2041" spans="1:25" x14ac:dyDescent="0.3">
      <c r="A2041">
        <v>102000</v>
      </c>
      <c r="B2041" t="s">
        <v>40107</v>
      </c>
      <c r="C2041" t="s">
        <v>40108</v>
      </c>
      <c r="D2041" t="s">
        <v>40109</v>
      </c>
      <c r="E2041" t="s">
        <v>40110</v>
      </c>
      <c r="F2041">
        <f>-585.852052757136 -1.16836714692284 -586.060530552592</f>
        <v>-1173.080950456651</v>
      </c>
      <c r="G2041">
        <f>-583.211720878461 -15.79404884539 -694.568377149603</f>
        <v>-1293.5741468734541</v>
      </c>
      <c r="H2041">
        <f>-570.130219330173 -38.6100294955662 -844.596144236073</f>
        <v>-1453.336393061812</v>
      </c>
      <c r="I2041">
        <f>-534.868678117444 -49.0596520934025 -939.624562254852</f>
        <v>-1523.5528924656985</v>
      </c>
      <c r="J2041" t="s">
        <v>40111</v>
      </c>
      <c r="K2041" t="s">
        <v>40112</v>
      </c>
      <c r="L2041" t="s">
        <v>40113</v>
      </c>
      <c r="M2041" t="s">
        <v>40114</v>
      </c>
      <c r="N2041">
        <f>-577.771833995455 -59.9172767675962 -773.599400103052</f>
        <v>-1411.288510866103</v>
      </c>
      <c r="O2041">
        <f>-580.635932735579 -201.676827771939 -734.613086258081</f>
        <v>-1516.9258467655991</v>
      </c>
      <c r="P2041">
        <f>-563.780694664898 -201.292761032697 -418.540343332892</f>
        <v>-1183.6137990304869</v>
      </c>
      <c r="Q2041">
        <f>-343.833818759869 -69.6025018818373 -462.393429332609</f>
        <v>-875.82974997431529</v>
      </c>
      <c r="R2041" t="s">
        <v>40115</v>
      </c>
      <c r="S2041" t="s">
        <v>40116</v>
      </c>
      <c r="T2041" t="s">
        <v>40117</v>
      </c>
      <c r="U2041" t="s">
        <v>40118</v>
      </c>
      <c r="V2041">
        <f>-523.534050946054 -70.6339303164765 -238.554199775526</f>
        <v>-832.72218103805653</v>
      </c>
      <c r="W2041" t="s">
        <v>40119</v>
      </c>
      <c r="X2041" t="s">
        <v>40120</v>
      </c>
      <c r="Y2041" t="s">
        <v>40121</v>
      </c>
    </row>
    <row r="2042" spans="1:25" x14ac:dyDescent="0.3">
      <c r="A2042">
        <v>102050</v>
      </c>
      <c r="B2042" t="s">
        <v>40122</v>
      </c>
      <c r="C2042" t="s">
        <v>40123</v>
      </c>
      <c r="D2042" t="s">
        <v>40124</v>
      </c>
      <c r="E2042" t="s">
        <v>40125</v>
      </c>
      <c r="F2042">
        <f>-586.059475431623 -0.621778150641497 -586.121852017313</f>
        <v>-1172.8031055995775</v>
      </c>
      <c r="G2042">
        <f>-583.127721943657 -14.9757395744506 -694.658488652531</f>
        <v>-1292.7619501706386</v>
      </c>
      <c r="H2042">
        <f>-569.563700884599 -37.297385071067 -844.717749782569</f>
        <v>-1451.5788357382348</v>
      </c>
      <c r="I2042">
        <f>-534.110496889519 -47.4512505316208 -939.707058435186</f>
        <v>-1521.2688058563258</v>
      </c>
      <c r="J2042" t="s">
        <v>40126</v>
      </c>
      <c r="K2042" t="s">
        <v>40127</v>
      </c>
      <c r="L2042" t="s">
        <v>40128</v>
      </c>
      <c r="M2042" t="s">
        <v>40129</v>
      </c>
      <c r="N2042">
        <f>-577.209987322172 -58.8477721017992 -773.795057668617</f>
        <v>-1409.8528170925883</v>
      </c>
      <c r="O2042">
        <f>-579.368452408195 -200.666780530561 -734.969891453927</f>
        <v>-1515.005124392683</v>
      </c>
      <c r="P2042">
        <f>-562.940161961871 -200.577389562091 -418.87454751031</f>
        <v>-1182.3920990342722</v>
      </c>
      <c r="Q2042">
        <f>-343.688151212179 -67.552689861866 -462.176462310219</f>
        <v>-873.41730338426396</v>
      </c>
      <c r="R2042" t="s">
        <v>40130</v>
      </c>
      <c r="S2042" t="s">
        <v>40131</v>
      </c>
      <c r="T2042" t="s">
        <v>40132</v>
      </c>
      <c r="U2042" t="s">
        <v>40133</v>
      </c>
      <c r="V2042">
        <f>-523.471460312368 -70.2596782041542 -238.570288232277</f>
        <v>-832.30142674879914</v>
      </c>
      <c r="W2042" t="s">
        <v>40134</v>
      </c>
      <c r="X2042" t="s">
        <v>40135</v>
      </c>
      <c r="Y2042" t="s">
        <v>40136</v>
      </c>
    </row>
    <row r="2043" spans="1:25" x14ac:dyDescent="0.3">
      <c r="A2043">
        <v>102100</v>
      </c>
      <c r="B2043" t="s">
        <v>40137</v>
      </c>
      <c r="C2043" t="s">
        <v>40138</v>
      </c>
      <c r="D2043" t="s">
        <v>40139</v>
      </c>
      <c r="E2043" t="s">
        <v>40140</v>
      </c>
      <c r="F2043">
        <f>-586.391738960364 -0.476435172611524 -586.09277488952</f>
        <v>-1172.9609490224957</v>
      </c>
      <c r="G2043">
        <f>-583.398523813464 -14.7512037356339 -694.638135303906</f>
        <v>-1292.7878628530038</v>
      </c>
      <c r="H2043">
        <f>-569.741826531922 -36.9167109552111 -844.712143863655</f>
        <v>-1451.3706813507881</v>
      </c>
      <c r="I2043">
        <f>-534.223973960409 -46.9487047730756 -939.690192196957</f>
        <v>-1520.8628709304417</v>
      </c>
      <c r="J2043" t="s">
        <v>40141</v>
      </c>
      <c r="K2043" t="s">
        <v>40142</v>
      </c>
      <c r="L2043" t="s">
        <v>40143</v>
      </c>
      <c r="M2043" t="s">
        <v>40144</v>
      </c>
      <c r="N2043">
        <f>-577.329556318851 -58.5446850498635 -773.806709155063</f>
        <v>-1409.6809505237775</v>
      </c>
      <c r="O2043">
        <f>-579.018138278134 -200.372130331557 -735.056402815491</f>
        <v>-1514.4466714251821</v>
      </c>
      <c r="P2043">
        <f>-562.869878058661 -200.192906859127 -418.94662478641</f>
        <v>-1182.0094097041979</v>
      </c>
      <c r="Q2043">
        <f>-343.974360305614 -66.4649364891595 -461.884141944831</f>
        <v>-872.32343873960463</v>
      </c>
      <c r="R2043" t="s">
        <v>40145</v>
      </c>
      <c r="S2043" t="s">
        <v>40146</v>
      </c>
      <c r="T2043" t="s">
        <v>40147</v>
      </c>
      <c r="U2043" t="s">
        <v>40148</v>
      </c>
      <c r="V2043">
        <f>-523.553958069258 -70.0969781020922 -238.553050250764</f>
        <v>-832.20398642211421</v>
      </c>
      <c r="W2043" t="s">
        <v>40149</v>
      </c>
      <c r="X2043" t="s">
        <v>40150</v>
      </c>
      <c r="Y2043" t="s">
        <v>40151</v>
      </c>
    </row>
    <row r="2044" spans="1:25" x14ac:dyDescent="0.3">
      <c r="A2044">
        <v>102150</v>
      </c>
      <c r="B2044" t="s">
        <v>40152</v>
      </c>
      <c r="C2044" t="s">
        <v>40153</v>
      </c>
      <c r="D2044" t="s">
        <v>40154</v>
      </c>
      <c r="E2044" t="s">
        <v>40155</v>
      </c>
      <c r="F2044">
        <f>-586.846881958065 -1.13582616649414 -585.928329500033</f>
        <v>-1173.9110376245922</v>
      </c>
      <c r="G2044">
        <f>-583.718414049593 -15.2869877932178 -694.486198564321</f>
        <v>-1293.4916004071317</v>
      </c>
      <c r="H2044">
        <f>-569.874219672013 -37.187635355387 -844.581777226964</f>
        <v>-1451.6436322543641</v>
      </c>
      <c r="I2044">
        <f>-534.295264728693 -46.9441451543662 -939.565631272238</f>
        <v>-1520.8050411552972</v>
      </c>
      <c r="J2044" t="s">
        <v>40156</v>
      </c>
      <c r="K2044" t="s">
        <v>40157</v>
      </c>
      <c r="L2044" t="s">
        <v>40158</v>
      </c>
      <c r="M2044" t="s">
        <v>40159</v>
      </c>
      <c r="N2044">
        <f>-577.373051495368 -58.9465058177818 -773.706920835338</f>
        <v>-1410.026478148488</v>
      </c>
      <c r="O2044">
        <f>-578.351839256789 -200.808274582117 -735.029573197016</f>
        <v>-1514.1896870359219</v>
      </c>
      <c r="P2044">
        <f>-562.526711788338 -200.597423425884 -418.903411514659</f>
        <v>-1182.0275467288811</v>
      </c>
      <c r="Q2044">
        <f>-344.366682979158 -65.5584460410924 -461.479590332675</f>
        <v>-871.40471935292544</v>
      </c>
      <c r="R2044" t="s">
        <v>40160</v>
      </c>
      <c r="S2044" t="s">
        <v>40161</v>
      </c>
      <c r="T2044" t="s">
        <v>40162</v>
      </c>
      <c r="U2044" t="s">
        <v>40163</v>
      </c>
      <c r="V2044">
        <f>-523.675725374724 -70.1269345947879 -238.287390592653</f>
        <v>-832.09005056216495</v>
      </c>
      <c r="W2044" t="s">
        <v>40164</v>
      </c>
      <c r="X2044" t="s">
        <v>40165</v>
      </c>
      <c r="Y2044" t="s">
        <v>40166</v>
      </c>
    </row>
    <row r="2045" spans="1:25" x14ac:dyDescent="0.3">
      <c r="A2045">
        <v>102200</v>
      </c>
      <c r="B2045" t="s">
        <v>40167</v>
      </c>
      <c r="C2045" t="s">
        <v>40168</v>
      </c>
      <c r="D2045" t="s">
        <v>40169</v>
      </c>
      <c r="E2045" t="s">
        <v>40170</v>
      </c>
      <c r="F2045">
        <f>-587.066140958265 -1.19807285090462 -585.848772120714</f>
        <v>-1174.1129859298835</v>
      </c>
      <c r="G2045">
        <f>-583.862707740758 -15.2893381733212 -694.412189033526</f>
        <v>-1293.5642349476052</v>
      </c>
      <c r="H2045">
        <f>-569.917824018712 -37.069886542621 -844.516050635044</f>
        <v>-1451.5037611963771</v>
      </c>
      <c r="I2045">
        <f>-534.33469292476 -46.7102057981423 -939.510217942397</f>
        <v>-1520.5551166652995</v>
      </c>
      <c r="J2045" t="s">
        <v>40171</v>
      </c>
      <c r="K2045" t="s">
        <v>40172</v>
      </c>
      <c r="L2045" t="s">
        <v>40173</v>
      </c>
      <c r="M2045" t="s">
        <v>40174</v>
      </c>
      <c r="N2045">
        <f>-577.378891663538 -58.8878901043049 -773.655365443603</f>
        <v>-1409.9221472114459</v>
      </c>
      <c r="O2045">
        <f>-577.978752020124 -200.770162366475 -734.990757932335</f>
        <v>-1513.739672318934</v>
      </c>
      <c r="P2045">
        <f>-562.265864962319 -200.312655642394 -418.859364828863</f>
        <v>-1181.437885433576</v>
      </c>
      <c r="Q2045">
        <f>-344.366687544085 -64.8495023817696 -461.42371053766</f>
        <v>-870.63990046351455</v>
      </c>
      <c r="R2045" t="s">
        <v>40175</v>
      </c>
      <c r="S2045" t="s">
        <v>40176</v>
      </c>
      <c r="T2045" t="s">
        <v>40177</v>
      </c>
      <c r="U2045" t="s">
        <v>40178</v>
      </c>
      <c r="V2045">
        <f>-523.751282409779 -69.849194176576 -238.228790673792</f>
        <v>-831.82926726014705</v>
      </c>
      <c r="W2045" t="s">
        <v>40179</v>
      </c>
      <c r="X2045" t="s">
        <v>40180</v>
      </c>
      <c r="Y2045" t="s">
        <v>40181</v>
      </c>
    </row>
    <row r="2046" spans="1:25" x14ac:dyDescent="0.3">
      <c r="A2046">
        <v>102250</v>
      </c>
      <c r="B2046" t="s">
        <v>40182</v>
      </c>
      <c r="C2046" t="s">
        <v>40183</v>
      </c>
      <c r="D2046" t="s">
        <v>40184</v>
      </c>
      <c r="E2046" t="s">
        <v>40185</v>
      </c>
      <c r="F2046">
        <f>-587.615412741933 -0.934719970437065 -585.844683090332</f>
        <v>-1174.3948158027019</v>
      </c>
      <c r="G2046">
        <f>-584.282947503437 -14.7562007629078 -694.438988085039</f>
        <v>-1293.4781363513839</v>
      </c>
      <c r="H2046">
        <f>-570.102281092187 -36.0829555001997 -844.585747585418</f>
        <v>-1450.7709841778046</v>
      </c>
      <c r="I2046">
        <f>-534.511290123059 -45.4577326012544 -939.603533006017</f>
        <v>-1519.5725557303304</v>
      </c>
      <c r="J2046" t="s">
        <v>40186</v>
      </c>
      <c r="K2046" t="s">
        <v>40187</v>
      </c>
      <c r="L2046" t="s">
        <v>40188</v>
      </c>
      <c r="M2046" t="s">
        <v>40189</v>
      </c>
      <c r="N2046">
        <f>-577.543110515236 -58.1183665809554 -773.790471974521</f>
        <v>-1409.4519490707123</v>
      </c>
      <c r="O2046">
        <f>-577.575244611243 -200.052085470075 -735.354720074741</f>
        <v>-1512.9820501560589</v>
      </c>
      <c r="P2046">
        <f>-561.943407315739 -199.901684140459 -419.218984648313</f>
        <v>-1181.0640761045111</v>
      </c>
      <c r="Q2046">
        <f>-344.769590381102 -63.2631531571295 -461.733529223091</f>
        <v>-869.76627276132251</v>
      </c>
      <c r="R2046" t="s">
        <v>40190</v>
      </c>
      <c r="S2046" t="s">
        <v>40191</v>
      </c>
      <c r="T2046" t="s">
        <v>40192</v>
      </c>
      <c r="U2046" t="s">
        <v>40193</v>
      </c>
      <c r="V2046">
        <f>-523.620123342168 -69.6571285455286 -238.287912355292</f>
        <v>-831.56516424298866</v>
      </c>
      <c r="W2046" t="s">
        <v>40194</v>
      </c>
      <c r="X2046" t="s">
        <v>40195</v>
      </c>
      <c r="Y2046" t="s">
        <v>40196</v>
      </c>
    </row>
    <row r="2047" spans="1:25" x14ac:dyDescent="0.3">
      <c r="A2047">
        <v>102300</v>
      </c>
      <c r="B2047" t="s">
        <v>40197</v>
      </c>
      <c r="C2047" t="s">
        <v>40198</v>
      </c>
      <c r="D2047" t="s">
        <v>40199</v>
      </c>
      <c r="E2047" t="s">
        <v>40200</v>
      </c>
      <c r="F2047">
        <f>-587.730307077644 -0.708553880949729 -585.905447472751</f>
        <v>-1174.3443084313449</v>
      </c>
      <c r="G2047">
        <f>-584.329726786821 -14.495823916986 -694.501990286969</f>
        <v>-1293.327540990776</v>
      </c>
      <c r="H2047">
        <f>-570.039248533763 -35.7546606646036 -844.648135855274</f>
        <v>-1450.4420450536406</v>
      </c>
      <c r="I2047">
        <f>-534.463931869488 -45.0682302390393 -939.677741910712</f>
        <v>-1519.2099040192393</v>
      </c>
      <c r="J2047" t="s">
        <v>40201</v>
      </c>
      <c r="K2047" t="s">
        <v>40202</v>
      </c>
      <c r="L2047" t="s">
        <v>40203</v>
      </c>
      <c r="M2047" t="s">
        <v>40204</v>
      </c>
      <c r="N2047">
        <f>-577.473181309593 -57.8234388694971 -773.862427701405</f>
        <v>-1409.1590478804951</v>
      </c>
      <c r="O2047">
        <f>-577.139784538899 -199.786012499803 -735.58279553455</f>
        <v>-1512.5085925732519</v>
      </c>
      <c r="P2047">
        <f>-561.687679360884 -199.881020004061 -419.438209923912</f>
        <v>-1181.0069092888571</v>
      </c>
      <c r="Q2047">
        <f>-344.795305170176 -62.7320110865013 -461.745352671988</f>
        <v>-869.27266892866533</v>
      </c>
      <c r="R2047" t="s">
        <v>40205</v>
      </c>
      <c r="S2047" t="s">
        <v>40206</v>
      </c>
      <c r="T2047" t="s">
        <v>40207</v>
      </c>
      <c r="U2047" t="s">
        <v>40208</v>
      </c>
      <c r="V2047">
        <f>-523.745116401044 -69.4711631150004 -238.345021034504</f>
        <v>-831.56130055054837</v>
      </c>
      <c r="W2047" t="s">
        <v>40209</v>
      </c>
      <c r="X2047" t="s">
        <v>40210</v>
      </c>
      <c r="Y2047" t="s">
        <v>40211</v>
      </c>
    </row>
    <row r="2048" spans="1:25" x14ac:dyDescent="0.3">
      <c r="A2048">
        <v>102350</v>
      </c>
      <c r="B2048" t="s">
        <v>40212</v>
      </c>
      <c r="C2048" t="s">
        <v>40213</v>
      </c>
      <c r="D2048" t="s">
        <v>40214</v>
      </c>
      <c r="E2048" t="s">
        <v>40215</v>
      </c>
      <c r="F2048">
        <f>-587.906961363597 -0.412568233386175 -586.061059562851</f>
        <v>-1174.3805891598342</v>
      </c>
      <c r="G2048">
        <f>-584.438282413587 -14.3379213908408 -694.63767291975</f>
        <v>-1293.413876724178</v>
      </c>
      <c r="H2048">
        <f>-569.990821847123 -35.8244097194565 -844.73646225334</f>
        <v>-1450.5516938199196</v>
      </c>
      <c r="I2048">
        <f>-534.452034309452 -45.1440276081239 -939.779183795779</f>
        <v>-1519.3752457133548</v>
      </c>
      <c r="J2048" t="s">
        <v>40216</v>
      </c>
      <c r="K2048" t="s">
        <v>40217</v>
      </c>
      <c r="L2048" t="s">
        <v>40218</v>
      </c>
      <c r="M2048" t="s">
        <v>40219</v>
      </c>
      <c r="N2048">
        <f>-577.462758054353 -57.7866048232769 -773.921482804281</f>
        <v>-1409.170845681911</v>
      </c>
      <c r="O2048">
        <f>-576.722871085788 -199.772436588529 -735.699349666071</f>
        <v>-1512.1946573403879</v>
      </c>
      <c r="P2048">
        <f>-561.661845960585 -199.840805692974 -419.535884355601</f>
        <v>-1181.03853600916</v>
      </c>
      <c r="Q2048">
        <f>-345.053603144407 -62.2085653498909 -461.729190036873</f>
        <v>-868.99135853117082</v>
      </c>
      <c r="R2048" t="s">
        <v>40220</v>
      </c>
      <c r="S2048" t="s">
        <v>40221</v>
      </c>
      <c r="T2048" t="s">
        <v>40222</v>
      </c>
      <c r="U2048" t="s">
        <v>40223</v>
      </c>
      <c r="V2048">
        <f>-523.904453926519 -68.9710801004633 -238.576230486186</f>
        <v>-831.4517645131682</v>
      </c>
      <c r="W2048" t="s">
        <v>40224</v>
      </c>
      <c r="X2048" t="s">
        <v>40225</v>
      </c>
      <c r="Y2048" t="s">
        <v>40226</v>
      </c>
    </row>
    <row r="2049" spans="1:25" x14ac:dyDescent="0.3">
      <c r="A2049">
        <v>102400</v>
      </c>
      <c r="B2049" t="s">
        <v>40227</v>
      </c>
      <c r="C2049" t="s">
        <v>40228</v>
      </c>
      <c r="D2049" t="s">
        <v>40229</v>
      </c>
      <c r="E2049" t="s">
        <v>40230</v>
      </c>
      <c r="F2049">
        <f>-587.614212553166 -0.42337890611261 -586.244033540531</f>
        <v>-1174.2816249998095</v>
      </c>
      <c r="G2049">
        <f>-584.067580360384 -14.431969848986 -694.807410106844</f>
        <v>-1293.3069603162139</v>
      </c>
      <c r="H2049">
        <f>-569.485653345881 -36.0654033565346 -844.872000420473</f>
        <v>-1450.4230571228886</v>
      </c>
      <c r="I2049">
        <f>-533.933550212896 -45.4001410322816 -939.908342534033</f>
        <v>-1519.2420337792105</v>
      </c>
      <c r="J2049" t="s">
        <v>40231</v>
      </c>
      <c r="K2049" t="s">
        <v>40232</v>
      </c>
      <c r="L2049" t="s">
        <v>40233</v>
      </c>
      <c r="M2049" t="s">
        <v>40234</v>
      </c>
      <c r="N2049">
        <f>-577.008946685992 -57.9585223376638 -774.041151356944</f>
        <v>-1409.0086203806</v>
      </c>
      <c r="O2049">
        <f>-576.169911077925 -199.927964855488 -735.736989460884</f>
        <v>-1511.8348653942971</v>
      </c>
      <c r="P2049">
        <f>-561.1887499185 -199.923854494289 -419.569814903666</f>
        <v>-1180.682419316455</v>
      </c>
      <c r="Q2049">
        <f>-344.542478548886 -62.3456576847425 -461.744191995334</f>
        <v>-868.63232822896248</v>
      </c>
      <c r="R2049" t="s">
        <v>40235</v>
      </c>
      <c r="S2049" t="s">
        <v>40236</v>
      </c>
      <c r="T2049" t="s">
        <v>40237</v>
      </c>
      <c r="U2049" t="s">
        <v>40238</v>
      </c>
      <c r="V2049">
        <f>-523.725973100781 -69.1653950688698 -238.76050640531</f>
        <v>-831.65187457496074</v>
      </c>
      <c r="W2049" t="s">
        <v>40239</v>
      </c>
      <c r="X2049" t="s">
        <v>40240</v>
      </c>
      <c r="Y2049" t="s">
        <v>40241</v>
      </c>
    </row>
    <row r="2050" spans="1:25" x14ac:dyDescent="0.3">
      <c r="A2050">
        <v>102450</v>
      </c>
      <c r="B2050" t="s">
        <v>40242</v>
      </c>
      <c r="C2050" t="s">
        <v>40243</v>
      </c>
      <c r="D2050" t="s">
        <v>40244</v>
      </c>
      <c r="E2050" t="s">
        <v>40245</v>
      </c>
      <c r="F2050">
        <f>-586.691382035182 -0.69361647483305 -586.661639588658</f>
        <v>-1174.0466380986732</v>
      </c>
      <c r="G2050">
        <f>-583.075204913635 -14.7876615346998 -695.211797994989</f>
        <v>-1293.0746644433239</v>
      </c>
      <c r="H2050">
        <f>-568.392349931057 -36.5607572664749 -845.246204591551</f>
        <v>-1450.1993117890829</v>
      </c>
      <c r="I2050">
        <f>-532.785586183504 -45.8745185775208 -940.264075783616</f>
        <v>-1518.9241805446409</v>
      </c>
      <c r="J2050" t="s">
        <v>40246</v>
      </c>
      <c r="K2050" t="s">
        <v>40247</v>
      </c>
      <c r="L2050" t="s">
        <v>40248</v>
      </c>
      <c r="M2050" t="s">
        <v>40249</v>
      </c>
      <c r="N2050">
        <f>-575.896992234643 -58.3891470529958 -774.393395554432</f>
        <v>-1408.6795348420708</v>
      </c>
      <c r="O2050">
        <f>-574.752653156856 -200.353000503777 -736.038336674468</f>
        <v>-1511.1439903351011</v>
      </c>
      <c r="P2050">
        <f>-560.412813814631 -199.671495550299 -419.841952838503</f>
        <v>-1179.926262203433</v>
      </c>
      <c r="Q2050">
        <f>-343.472931909591 -62.4660959112815 -461.720466211246</f>
        <v>-867.65949403211857</v>
      </c>
      <c r="R2050" t="s">
        <v>40250</v>
      </c>
      <c r="S2050" t="s">
        <v>40251</v>
      </c>
      <c r="T2050" t="s">
        <v>40252</v>
      </c>
      <c r="U2050" t="s">
        <v>40253</v>
      </c>
      <c r="V2050">
        <f>-523.48761846513 -69.5459253077893 -239.060111175406</f>
        <v>-832.09365494832537</v>
      </c>
      <c r="W2050" t="s">
        <v>40254</v>
      </c>
      <c r="X2050" t="s">
        <v>40255</v>
      </c>
      <c r="Y2050" t="s">
        <v>40256</v>
      </c>
    </row>
    <row r="2051" spans="1:25" x14ac:dyDescent="0.3">
      <c r="A2051">
        <v>102500</v>
      </c>
      <c r="B2051" t="s">
        <v>40257</v>
      </c>
      <c r="C2051" t="s">
        <v>40258</v>
      </c>
      <c r="D2051" t="s">
        <v>40259</v>
      </c>
      <c r="E2051" t="s">
        <v>40260</v>
      </c>
      <c r="F2051">
        <f>-586.540681146392 -0.24729335820178 -586.782266073999</f>
        <v>-1173.5702405785928</v>
      </c>
      <c r="G2051">
        <f>-582.799954815336 -14.224363730989 -695.343297583331</f>
        <v>-1292.3676161296562</v>
      </c>
      <c r="H2051">
        <f>-567.877712509162 -35.8027487412395 -845.382147422255</f>
        <v>-1449.0626086726566</v>
      </c>
      <c r="I2051">
        <f>-532.174170615715 -44.9818627878872 -940.376875116579</f>
        <v>-1517.5329085201811</v>
      </c>
      <c r="J2051" t="s">
        <v>40261</v>
      </c>
      <c r="K2051" t="s">
        <v>40262</v>
      </c>
      <c r="L2051" t="s">
        <v>40263</v>
      </c>
      <c r="M2051" t="s">
        <v>40264</v>
      </c>
      <c r="N2051">
        <f>-575.430741067958 -57.7241766389065 -774.563252543186</f>
        <v>-1407.7181702500507</v>
      </c>
      <c r="O2051">
        <f>-574.136231625494 -199.70612378363 -736.234991889575</f>
        <v>-1510.0773472986989</v>
      </c>
      <c r="P2051">
        <f>-560.094228229611 -199.05538153145 -420.025372862375</f>
        <v>-1179.1749826234359</v>
      </c>
      <c r="Q2051">
        <f>-343.043648810988 -61.9392041044326 -461.621382793884</f>
        <v>-866.60423570930448</v>
      </c>
      <c r="R2051" t="s">
        <v>40265</v>
      </c>
      <c r="S2051" t="s">
        <v>40266</v>
      </c>
      <c r="T2051" t="s">
        <v>40267</v>
      </c>
      <c r="U2051" t="s">
        <v>40268</v>
      </c>
      <c r="V2051">
        <f>-523.595170782989 -69.0461104646777 -239.172408598901</f>
        <v>-831.81368984656774</v>
      </c>
      <c r="W2051" t="s">
        <v>40269</v>
      </c>
      <c r="X2051" t="s">
        <v>40270</v>
      </c>
      <c r="Y2051" t="s">
        <v>40271</v>
      </c>
    </row>
    <row r="2052" spans="1:25" x14ac:dyDescent="0.3">
      <c r="A2052">
        <v>102550</v>
      </c>
      <c r="B2052" t="s">
        <v>40272</v>
      </c>
      <c r="C2052" t="s">
        <v>40273</v>
      </c>
      <c r="D2052" t="s">
        <v>40274</v>
      </c>
      <c r="E2052" t="s">
        <v>40275</v>
      </c>
      <c r="F2052">
        <f>-586.398007735298 -0.24435353285395 -586.951168138347</f>
        <v>-1173.5935294064991</v>
      </c>
      <c r="G2052">
        <f>-582.511584931108 -14.0681200460773 -695.526775643428</f>
        <v>-1292.1064806206132</v>
      </c>
      <c r="H2052">
        <f>-567.279302786896 -35.3795565716641 -845.572834807929</f>
        <v>-1448.231694166489</v>
      </c>
      <c r="I2052">
        <f>-531.367451370631 -44.2850959966548 -940.514931181675</f>
        <v>-1516.1674785489608</v>
      </c>
      <c r="J2052" t="s">
        <v>40276</v>
      </c>
      <c r="K2052" t="s">
        <v>40277</v>
      </c>
      <c r="L2052" t="s">
        <v>40278</v>
      </c>
      <c r="M2052" t="s">
        <v>40279</v>
      </c>
      <c r="N2052">
        <f>-574.78295876697 -57.4294553920166 -774.788450131217</f>
        <v>-1407.0008642902035</v>
      </c>
      <c r="O2052">
        <f>-572.845848729478 -199.432814060906 -736.640101071002</f>
        <v>-1508.9187638613862</v>
      </c>
      <c r="P2052">
        <f>-559.623581866586 -198.688506593264 -420.395203326399</f>
        <v>-1178.707291786249</v>
      </c>
      <c r="Q2052">
        <f>-342.484683175756 -61.539167774521 -461.417314194282</f>
        <v>-865.44116514455902</v>
      </c>
      <c r="R2052" t="s">
        <v>40280</v>
      </c>
      <c r="S2052" t="s">
        <v>40281</v>
      </c>
      <c r="T2052" t="s">
        <v>40282</v>
      </c>
      <c r="U2052" t="s">
        <v>40283</v>
      </c>
      <c r="V2052">
        <f>-523.395501293448 -69.5716618181714 -239.411528901464</f>
        <v>-832.37869201308331</v>
      </c>
      <c r="W2052" t="s">
        <v>40284</v>
      </c>
      <c r="X2052" t="s">
        <v>40285</v>
      </c>
      <c r="Y2052" t="s">
        <v>40286</v>
      </c>
    </row>
    <row r="2053" spans="1:25" x14ac:dyDescent="0.3">
      <c r="A2053">
        <v>102600</v>
      </c>
      <c r="B2053" t="s">
        <v>40287</v>
      </c>
      <c r="C2053" t="s">
        <v>40288</v>
      </c>
      <c r="D2053" t="s">
        <v>40289</v>
      </c>
      <c r="E2053" t="s">
        <v>40290</v>
      </c>
      <c r="F2053">
        <f>-585.784886306636 -0.719965560433145 -587.001545526585</f>
        <v>-1173.5063973936542</v>
      </c>
      <c r="G2053">
        <f>-581.742491735038 -14.4589883023737 -695.582228231013</f>
        <v>-1291.7837082684246</v>
      </c>
      <c r="H2053">
        <f>-566.281934924112 -35.6162564616526 -845.626709721733</f>
        <v>-1447.5249011074975</v>
      </c>
      <c r="I2053">
        <f>-530.258562021596 -44.343914928783 -940.543079037021</f>
        <v>-1515.1455559874</v>
      </c>
      <c r="J2053" t="s">
        <v>40291</v>
      </c>
      <c r="K2053" t="s">
        <v>40292</v>
      </c>
      <c r="L2053" t="s">
        <v>40293</v>
      </c>
      <c r="M2053" t="s">
        <v>40294</v>
      </c>
      <c r="N2053">
        <f>-573.768432954395 -57.7398819694476 -774.863606088471</f>
        <v>-1406.3719210123136</v>
      </c>
      <c r="O2053">
        <f>-571.425368062827 -199.751598564381 -736.785441394685</f>
        <v>-1507.962408021893</v>
      </c>
      <c r="P2053">
        <f>-558.344193358506 -199.163026963272 -420.534255307489</f>
        <v>-1178.0414756292671</v>
      </c>
      <c r="Q2053">
        <f>-341.331669388075 -61.7518229893821 -461.348313623344</f>
        <v>-864.43180600080109</v>
      </c>
      <c r="R2053" t="s">
        <v>40295</v>
      </c>
      <c r="S2053" t="s">
        <v>40296</v>
      </c>
      <c r="T2053" t="s">
        <v>40297</v>
      </c>
      <c r="U2053" t="s">
        <v>40298</v>
      </c>
      <c r="V2053">
        <f>-523.205922573668 -70.251189590961 -239.490023638847</f>
        <v>-832.94713580347593</v>
      </c>
      <c r="W2053" t="s">
        <v>40299</v>
      </c>
      <c r="X2053" t="s">
        <v>40300</v>
      </c>
      <c r="Y2053" t="s">
        <v>40301</v>
      </c>
    </row>
    <row r="2054" spans="1:25" x14ac:dyDescent="0.3">
      <c r="A2054">
        <v>102650</v>
      </c>
      <c r="B2054" t="s">
        <v>40302</v>
      </c>
      <c r="C2054" t="s">
        <v>40303</v>
      </c>
      <c r="D2054" t="s">
        <v>40304</v>
      </c>
      <c r="E2054" t="s">
        <v>40305</v>
      </c>
      <c r="F2054">
        <f>-585.572802444185 -1.22168836038178 -586.962619558651</f>
        <v>-1173.7571103632176</v>
      </c>
      <c r="G2054">
        <f>-581.290946884263 -14.941923523923 -695.536489081389</f>
        <v>-1291.769359489575</v>
      </c>
      <c r="H2054">
        <f>-565.417930838793 -36.0436728408352 -845.545666532999</f>
        <v>-1447.0072702126272</v>
      </c>
      <c r="I2054">
        <f>-529.18678404214 -44.4967296110654 -940.407822529623</f>
        <v>-1514.0913361828284</v>
      </c>
      <c r="J2054" t="s">
        <v>40306</v>
      </c>
      <c r="K2054" t="s">
        <v>40307</v>
      </c>
      <c r="L2054" t="s">
        <v>40308</v>
      </c>
      <c r="M2054" t="s">
        <v>40309</v>
      </c>
      <c r="N2054">
        <f>-572.821367512743 -58.1939715332783 -774.78224831377</f>
        <v>-1405.7975873597911</v>
      </c>
      <c r="O2054">
        <f>-569.536466783856 -200.172066960975 -736.646300777231</f>
        <v>-1506.354834522062</v>
      </c>
      <c r="P2054">
        <f>-556.630462156685 -199.399707547232 -420.38847105183</f>
        <v>-1176.418640755747</v>
      </c>
      <c r="Q2054">
        <f>-340.134254431925 -61.2790235007693 -461.548191557728</f>
        <v>-862.96146949042236</v>
      </c>
      <c r="R2054" t="s">
        <v>40310</v>
      </c>
      <c r="S2054" t="s">
        <v>40311</v>
      </c>
      <c r="T2054" t="s">
        <v>40312</v>
      </c>
      <c r="U2054" t="s">
        <v>40313</v>
      </c>
      <c r="V2054">
        <f>-523.231793837747 -71.046452436901 -239.485222519475</f>
        <v>-833.7634687941229</v>
      </c>
      <c r="W2054" t="s">
        <v>40314</v>
      </c>
      <c r="X2054" t="s">
        <v>40315</v>
      </c>
      <c r="Y2054" t="s">
        <v>40316</v>
      </c>
    </row>
    <row r="2055" spans="1:25" x14ac:dyDescent="0.3">
      <c r="A2055">
        <v>102700</v>
      </c>
      <c r="B2055" t="s">
        <v>40317</v>
      </c>
      <c r="C2055" t="s">
        <v>40318</v>
      </c>
      <c r="D2055" t="s">
        <v>40319</v>
      </c>
      <c r="E2055" t="s">
        <v>40320</v>
      </c>
      <c r="F2055">
        <f>-585.431391775792 -2.07926907670396 -586.957377302705</f>
        <v>-1174.4680381552012</v>
      </c>
      <c r="G2055">
        <f>-580.943286553796 -15.7379099246491 -695.530549403696</f>
        <v>-1292.2117458821413</v>
      </c>
      <c r="H2055">
        <f>-564.717072484286 -36.700269545119 -845.52150491745</f>
        <v>-1446.9388469468549</v>
      </c>
      <c r="I2055">
        <f>-528.344964349329 -45.0138547571507 -940.342141348169</f>
        <v>-1513.7009604546488</v>
      </c>
      <c r="J2055" t="s">
        <v>40321</v>
      </c>
      <c r="K2055" t="s">
        <v>40322</v>
      </c>
      <c r="L2055" t="s">
        <v>40323</v>
      </c>
      <c r="M2055" t="s">
        <v>40324</v>
      </c>
      <c r="N2055">
        <f>-572.118321310241 -58.9154143262485 -774.778083994947</f>
        <v>-1405.8118196314365</v>
      </c>
      <c r="O2055">
        <f>-568.2843277069 -200.876348383617 -736.59356498455</f>
        <v>-1505.7542410750671</v>
      </c>
      <c r="P2055">
        <f>-555.276441078181 -200.013581727304 -420.340158316276</f>
        <v>-1175.6301811217611</v>
      </c>
      <c r="Q2055">
        <f>-339.166621080349 -61.3333539712525 -461.64860946297</f>
        <v>-862.14858451457144</v>
      </c>
      <c r="R2055" t="s">
        <v>40325</v>
      </c>
      <c r="S2055" t="s">
        <v>40326</v>
      </c>
      <c r="T2055" t="s">
        <v>40327</v>
      </c>
      <c r="U2055" t="s">
        <v>40328</v>
      </c>
      <c r="V2055">
        <f>-523.049794449339 -71.9273207909579 -239.477897683577</f>
        <v>-834.45501292387382</v>
      </c>
      <c r="W2055" t="s">
        <v>40329</v>
      </c>
      <c r="X2055" t="s">
        <v>40330</v>
      </c>
      <c r="Y2055" t="s">
        <v>40331</v>
      </c>
    </row>
    <row r="2056" spans="1:25" x14ac:dyDescent="0.3">
      <c r="A2056">
        <v>102750</v>
      </c>
      <c r="B2056" t="s">
        <v>40332</v>
      </c>
      <c r="C2056" t="s">
        <v>40333</v>
      </c>
      <c r="D2056" t="s">
        <v>40334</v>
      </c>
      <c r="E2056" t="s">
        <v>40335</v>
      </c>
      <c r="F2056">
        <f>-585.64389527823 -4.22382321885181 -586.78067123692</f>
        <v>-1176.648389734002</v>
      </c>
      <c r="G2056">
        <f>-580.947168245592 -17.7505698844333 -695.361542762332</f>
        <v>-1294.0592808923573</v>
      </c>
      <c r="H2056">
        <f>-564.416928002863 -38.416863716221 -845.360452649253</f>
        <v>-1448.194244368337</v>
      </c>
      <c r="I2056">
        <f>-527.792955040961 -46.5342290722467 -940.101089253066</f>
        <v>-1514.4282733662737</v>
      </c>
      <c r="J2056" t="s">
        <v>40336</v>
      </c>
      <c r="K2056" t="s">
        <v>40337</v>
      </c>
      <c r="L2056" t="s">
        <v>40338</v>
      </c>
      <c r="M2056" t="s">
        <v>40339</v>
      </c>
      <c r="N2056">
        <f>-571.645724700958 -60.7675767118496 -774.641862902086</f>
        <v>-1407.0551643148938</v>
      </c>
      <c r="O2056">
        <f>-566.512610355619 -202.723269274303 -736.640564512768</f>
        <v>-1505.8764441426902</v>
      </c>
      <c r="P2056">
        <f>-553.700103983098 -202.002854969755 -420.378932718865</f>
        <v>-1176.0818916717178</v>
      </c>
      <c r="Q2056">
        <f>-338.692737960231 -61.5899352458479 -461.587061877269</f>
        <v>-861.8697350833479</v>
      </c>
      <c r="R2056" t="s">
        <v>40340</v>
      </c>
      <c r="S2056" t="s">
        <v>40341</v>
      </c>
      <c r="T2056" t="s">
        <v>40342</v>
      </c>
      <c r="U2056" t="s">
        <v>40343</v>
      </c>
      <c r="V2056">
        <f>-522.952302285893 -73.7156457578584 -239.283332540056</f>
        <v>-835.95128058380737</v>
      </c>
      <c r="W2056" t="s">
        <v>40344</v>
      </c>
      <c r="X2056" t="s">
        <v>40345</v>
      </c>
      <c r="Y2056" t="s">
        <v>40346</v>
      </c>
    </row>
    <row r="2057" spans="1:25" x14ac:dyDescent="0.3">
      <c r="A2057">
        <v>102800</v>
      </c>
      <c r="B2057" t="s">
        <v>40347</v>
      </c>
      <c r="C2057" t="s">
        <v>40348</v>
      </c>
      <c r="D2057" t="s">
        <v>40349</v>
      </c>
      <c r="E2057" t="s">
        <v>40350</v>
      </c>
      <c r="F2057">
        <f>-586.212744604408 -5.27885659444944 -586.628496568848</f>
        <v>-1178.1200977677054</v>
      </c>
      <c r="G2057">
        <f>-581.538509871782 -18.7572378593524 -695.216360646263</f>
        <v>-1295.5121083773975</v>
      </c>
      <c r="H2057">
        <f>-565.045656301661 -39.3066258572523 -845.235389615648</f>
        <v>-1449.5876717745614</v>
      </c>
      <c r="I2057">
        <f>-528.335495886028 -47.3397122076187 -939.949816882469</f>
        <v>-1515.6250249761156</v>
      </c>
      <c r="J2057" t="s">
        <v>40351</v>
      </c>
      <c r="K2057" t="s">
        <v>40352</v>
      </c>
      <c r="L2057" t="s">
        <v>40353</v>
      </c>
      <c r="M2057" t="s">
        <v>40354</v>
      </c>
      <c r="N2057">
        <f>-572.115819724112 -61.7097179475954 -774.517398784272</f>
        <v>-1408.3429364559795</v>
      </c>
      <c r="O2057">
        <f>-566.291133497662 -203.670589395355 -736.614791890587</f>
        <v>-1506.5765147836041</v>
      </c>
      <c r="P2057">
        <f>-553.453090856755 -203.189397585344 -420.353588419353</f>
        <v>-1176.9960768614519</v>
      </c>
      <c r="Q2057">
        <f>-339.158756006988 -61.6441090077873 -461.401456457143</f>
        <v>-862.20432147191832</v>
      </c>
      <c r="R2057" t="s">
        <v>40355</v>
      </c>
      <c r="S2057" t="s">
        <v>40356</v>
      </c>
      <c r="T2057" t="s">
        <v>40357</v>
      </c>
      <c r="U2057" t="s">
        <v>40358</v>
      </c>
      <c r="V2057">
        <f>-522.921403796734 -74.5953847995618 -239.199645998749</f>
        <v>-836.7164345950448</v>
      </c>
      <c r="W2057" t="s">
        <v>40359</v>
      </c>
      <c r="X2057" t="s">
        <v>40360</v>
      </c>
      <c r="Y2057" t="s">
        <v>40361</v>
      </c>
    </row>
    <row r="2058" spans="1:25" x14ac:dyDescent="0.3">
      <c r="A2058">
        <v>102850</v>
      </c>
      <c r="B2058" t="s">
        <v>40362</v>
      </c>
      <c r="C2058" t="s">
        <v>40363</v>
      </c>
      <c r="D2058" t="s">
        <v>40364</v>
      </c>
      <c r="E2058" t="s">
        <v>40365</v>
      </c>
      <c r="F2058">
        <f>-586.795815299142 -7.69024787222398 -586.377712905754</f>
        <v>-1180.8637760771198</v>
      </c>
      <c r="G2058">
        <f>-582.188962001762 -21.0895461147381 -694.978348665026</f>
        <v>-1298.256856781526</v>
      </c>
      <c r="H2058">
        <f>-565.88903152516 -41.4737957538179 -845.040974474259</f>
        <v>-1452.4038017532368</v>
      </c>
      <c r="I2058">
        <f>-529.127040813698 -49.311597785124 -939.751594742602</f>
        <v>-1518.1902333414241</v>
      </c>
      <c r="J2058">
        <f>-573.525329525574 -0.958830736029647 -782.967218885273</f>
        <v>-1357.4513791468767</v>
      </c>
      <c r="K2058" t="s">
        <v>40366</v>
      </c>
      <c r="L2058" t="s">
        <v>40367</v>
      </c>
      <c r="M2058" t="s">
        <v>40368</v>
      </c>
      <c r="N2058">
        <f>-572.677140239311 -63.9499448950679 -774.318593371451</f>
        <v>-1410.9456785058301</v>
      </c>
      <c r="O2058">
        <f>-565.917553391453 -205.890066157098 -736.498644149741</f>
        <v>-1508.306263698292</v>
      </c>
      <c r="P2058">
        <f>-552.843283743719 -205.542076468226 -420.247086162007</f>
        <v>-1178.632446373952</v>
      </c>
      <c r="Q2058">
        <f>-339.792486386711 -62.1488025615287 -461.354040461141</f>
        <v>-863.29532940938066</v>
      </c>
      <c r="R2058" t="s">
        <v>40369</v>
      </c>
      <c r="S2058" t="s">
        <v>40370</v>
      </c>
      <c r="T2058" t="s">
        <v>40371</v>
      </c>
      <c r="U2058" t="s">
        <v>40372</v>
      </c>
      <c r="V2058">
        <f>-523.091957909676 -76.8163682367399 -238.959861006367</f>
        <v>-838.86818715278287</v>
      </c>
      <c r="W2058" t="s">
        <v>40373</v>
      </c>
      <c r="X2058" t="s">
        <v>40374</v>
      </c>
      <c r="Y2058" t="s">
        <v>40375</v>
      </c>
    </row>
    <row r="2059" spans="1:25" x14ac:dyDescent="0.3">
      <c r="A2059">
        <v>102900</v>
      </c>
      <c r="B2059" t="s">
        <v>40376</v>
      </c>
      <c r="C2059" t="s">
        <v>40377</v>
      </c>
      <c r="D2059" t="s">
        <v>40378</v>
      </c>
      <c r="E2059" t="s">
        <v>40379</v>
      </c>
      <c r="F2059">
        <f>-587.1622917665 -8.40185794364194 -586.2600536282</f>
        <v>-1181.8242033383419</v>
      </c>
      <c r="G2059">
        <f>-582.578220849434 -21.8105496871636 -694.86039708551</f>
        <v>-1299.2491676221077</v>
      </c>
      <c r="H2059">
        <f>-566.331974968749 -42.1998653750799 -844.928232036858</f>
        <v>-1453.4600723806871</v>
      </c>
      <c r="I2059">
        <f>-529.609028043864 -49.9764501985751 -939.659020175688</f>
        <v>-1519.244498418127</v>
      </c>
      <c r="J2059">
        <f>-574.006609976244 -1.68453045733327 -782.859377127009</f>
        <v>-1358.5505175605863</v>
      </c>
      <c r="K2059" t="s">
        <v>40380</v>
      </c>
      <c r="L2059" t="s">
        <v>40381</v>
      </c>
      <c r="M2059" t="s">
        <v>40382</v>
      </c>
      <c r="N2059">
        <f>-573.034312320912 -64.6718463793463 -774.196242910905</f>
        <v>-1411.9024016111634</v>
      </c>
      <c r="O2059">
        <f>-566.012515326054 -206.588844363973 -736.347411205589</f>
        <v>-1508.948770895616</v>
      </c>
      <c r="P2059">
        <f>-552.762884726195 -206.097447982948 -420.103160195841</f>
        <v>-1178.9634929049839</v>
      </c>
      <c r="Q2059">
        <f>-340.148972547985 -62.1413754980896 -461.503899660054</f>
        <v>-863.79424770612854</v>
      </c>
      <c r="R2059" t="s">
        <v>40383</v>
      </c>
      <c r="S2059" t="s">
        <v>40384</v>
      </c>
      <c r="T2059" t="s">
        <v>40385</v>
      </c>
      <c r="U2059" t="s">
        <v>40386</v>
      </c>
      <c r="V2059">
        <f>-523.437246804611 -77.375655576517 -238.800598312097</f>
        <v>-839.61350069322509</v>
      </c>
      <c r="W2059" t="s">
        <v>40387</v>
      </c>
      <c r="X2059" t="s">
        <v>40388</v>
      </c>
      <c r="Y2059" t="s">
        <v>40389</v>
      </c>
    </row>
    <row r="2060" spans="1:25" x14ac:dyDescent="0.3">
      <c r="A2060">
        <v>102950</v>
      </c>
      <c r="B2060" t="s">
        <v>40390</v>
      </c>
      <c r="C2060" t="s">
        <v>40391</v>
      </c>
      <c r="D2060" t="s">
        <v>40392</v>
      </c>
      <c r="E2060" t="s">
        <v>40393</v>
      </c>
      <c r="F2060">
        <f>-587.090294132916 -9.69452850258459 -586.066923167448</f>
        <v>-1182.8517458029487</v>
      </c>
      <c r="G2060">
        <f>-582.397456548205 -23.1770912329413 -694.65350247844</f>
        <v>-1300.2280502595863</v>
      </c>
      <c r="H2060">
        <f>-566.014132533273 -43.6771629371442 -844.691289836043</f>
        <v>-1454.3825853064602</v>
      </c>
      <c r="I2060">
        <f>-529.280687778478 -51.422626642772 -939.420638725873</f>
        <v>-1520.1239531471228</v>
      </c>
      <c r="J2060">
        <f>-573.756825035603 -3.11640698012594 -782.660630170757</f>
        <v>-1359.533862186486</v>
      </c>
      <c r="K2060" t="s">
        <v>40394</v>
      </c>
      <c r="L2060" t="s">
        <v>40395</v>
      </c>
      <c r="M2060" t="s">
        <v>40396</v>
      </c>
      <c r="N2060">
        <f>-572.769686609218 -66.096621957587 -773.947727059055</f>
        <v>-1412.81403562586</v>
      </c>
      <c r="O2060">
        <f>-565.65357765455 -207.969801127081 -735.947968308294</f>
        <v>-1509.571347089925</v>
      </c>
      <c r="P2060">
        <f>-551.88428234836 -207.496280973988 -419.725959976059</f>
        <v>-1179.106523298407</v>
      </c>
      <c r="Q2060">
        <f>-339.97333516152 -62.7638845313085 -462.01459869697</f>
        <v>-864.75181838979847</v>
      </c>
      <c r="R2060" t="s">
        <v>40397</v>
      </c>
      <c r="S2060" t="s">
        <v>40398</v>
      </c>
      <c r="T2060" t="s">
        <v>40399</v>
      </c>
      <c r="U2060" t="s">
        <v>40400</v>
      </c>
      <c r="V2060">
        <f>-523.662499022955 -78.5812058406491 -238.500485626974</f>
        <v>-840.74419049057815</v>
      </c>
      <c r="W2060" t="s">
        <v>40401</v>
      </c>
      <c r="X2060" t="s">
        <v>40402</v>
      </c>
      <c r="Y2060" t="s">
        <v>40403</v>
      </c>
    </row>
    <row r="2061" spans="1:25" x14ac:dyDescent="0.3">
      <c r="A2061">
        <v>103000</v>
      </c>
      <c r="B2061" t="s">
        <v>40404</v>
      </c>
      <c r="C2061" t="s">
        <v>40405</v>
      </c>
      <c r="D2061" t="s">
        <v>40406</v>
      </c>
      <c r="E2061" t="s">
        <v>40407</v>
      </c>
      <c r="F2061">
        <f>-586.982926152211 -10.3545474682099 -585.986873989751</f>
        <v>-1183.324347610172</v>
      </c>
      <c r="G2061">
        <f>-582.27258804086 -23.9132841891113 -694.563286012761</f>
        <v>-1300.7491582427324</v>
      </c>
      <c r="H2061">
        <f>-565.850785531283 -44.5415886549081 -844.579249749668</f>
        <v>-1454.971623935859</v>
      </c>
      <c r="I2061">
        <f>-529.103939472221 -52.3476758240885 -939.298301193719</f>
        <v>-1520.7499164900285</v>
      </c>
      <c r="J2061">
        <f>-573.581585359614 -3.92697866232625 -782.582453984501</f>
        <v>-1360.0910180064411</v>
      </c>
      <c r="K2061" t="s">
        <v>40408</v>
      </c>
      <c r="L2061" t="s">
        <v>40409</v>
      </c>
      <c r="M2061" t="s">
        <v>40410</v>
      </c>
      <c r="N2061">
        <f>-572.65226949236 -66.9013954197157 -773.82124311622</f>
        <v>-1413.3749080282955</v>
      </c>
      <c r="O2061">
        <f>-565.660708620376 -208.74072648748 -735.679160857048</f>
        <v>-1510.0805959649042</v>
      </c>
      <c r="P2061">
        <f>-551.618531774705 -208.41539500681 -419.46893476534</f>
        <v>-1179.502861546855</v>
      </c>
      <c r="Q2061">
        <f>-339.913869176884 -63.5170285003122 -462.22017166472</f>
        <v>-865.65106934191624</v>
      </c>
      <c r="R2061" t="s">
        <v>40411</v>
      </c>
      <c r="S2061" t="s">
        <v>40412</v>
      </c>
      <c r="T2061" t="s">
        <v>40413</v>
      </c>
      <c r="U2061" t="s">
        <v>40414</v>
      </c>
      <c r="V2061">
        <f>-523.545643762245 -79.2233293113061 -238.378930145872</f>
        <v>-841.14790321942314</v>
      </c>
      <c r="W2061" t="s">
        <v>40415</v>
      </c>
      <c r="X2061" t="s">
        <v>40416</v>
      </c>
      <c r="Y2061" t="s">
        <v>40417</v>
      </c>
    </row>
    <row r="2062" spans="1:25" x14ac:dyDescent="0.3">
      <c r="A2062">
        <v>103050</v>
      </c>
      <c r="B2062" t="s">
        <v>40418</v>
      </c>
      <c r="C2062" t="s">
        <v>40419</v>
      </c>
      <c r="D2062" t="s">
        <v>40420</v>
      </c>
      <c r="E2062" t="s">
        <v>40421</v>
      </c>
      <c r="F2062">
        <f>-586.641206282377 -10.7291009172457 -585.934444969112</f>
        <v>-1183.3047521687345</v>
      </c>
      <c r="G2062">
        <f>-581.950357457465 -24.3707023157432 -694.501310933666</f>
        <v>-1300.8223707068742</v>
      </c>
      <c r="H2062">
        <f>-565.5718576134 -45.1345409166606 -844.503289293962</f>
        <v>-1455.2096878240227</v>
      </c>
      <c r="I2062">
        <f>-528.823164650833 -53.0283716784105 -939.214398563107</f>
        <v>-1521.0659348923505</v>
      </c>
      <c r="J2062">
        <f>-573.236315175175 -4.46256486644176 -782.535870167409</f>
        <v>-1360.2347502090258</v>
      </c>
      <c r="K2062" t="s">
        <v>40422</v>
      </c>
      <c r="L2062" t="s">
        <v>40423</v>
      </c>
      <c r="M2062" t="s">
        <v>40424</v>
      </c>
      <c r="N2062">
        <f>-572.401402232263 -67.4317957442152 -773.728357276638</f>
        <v>-1413.5615552531162</v>
      </c>
      <c r="O2062">
        <f>-565.574740921961 -209.255899848609 -735.477763843713</f>
        <v>-1510.3084046142831</v>
      </c>
      <c r="P2062">
        <f>-551.280625782816 -208.857737076554 -419.278974340995</f>
        <v>-1179.417337200365</v>
      </c>
      <c r="Q2062">
        <f>-339.582859428181 -64.0451338431619 -462.353367205261</f>
        <v>-865.98136047660387</v>
      </c>
      <c r="R2062" t="s">
        <v>40425</v>
      </c>
      <c r="S2062" t="s">
        <v>40426</v>
      </c>
      <c r="T2062" t="s">
        <v>40427</v>
      </c>
      <c r="U2062" t="s">
        <v>40428</v>
      </c>
      <c r="V2062">
        <f>-523.300133591052 -79.418105205109 -238.32606191273</f>
        <v>-841.044300708891</v>
      </c>
      <c r="W2062" t="s">
        <v>40429</v>
      </c>
      <c r="X2062" t="s">
        <v>40430</v>
      </c>
      <c r="Y2062" t="s">
        <v>40431</v>
      </c>
    </row>
    <row r="2063" spans="1:25" x14ac:dyDescent="0.3">
      <c r="A2063">
        <v>103100</v>
      </c>
      <c r="B2063" t="s">
        <v>40432</v>
      </c>
      <c r="C2063" t="s">
        <v>40433</v>
      </c>
      <c r="D2063" t="s">
        <v>40434</v>
      </c>
      <c r="E2063" t="s">
        <v>40435</v>
      </c>
      <c r="F2063">
        <f>-585.26263060363 -11.558697080938 -585.834317692963</f>
        <v>-1182.6556453775311</v>
      </c>
      <c r="G2063">
        <f>-580.513504971665 -25.3055718115411 -694.385377394446</f>
        <v>-1300.2044541776522</v>
      </c>
      <c r="H2063">
        <f>-564.077445647597 -46.2484848739797 -844.356160669466</f>
        <v>-1454.6820911910427</v>
      </c>
      <c r="I2063">
        <f>-527.296343968235 -54.2537529775809 -939.045399875763</f>
        <v>-1520.5954968215788</v>
      </c>
      <c r="J2063">
        <f>-571.700735475852 -5.50080342987966 -782.433447594109</f>
        <v>-1359.6349864998406</v>
      </c>
      <c r="K2063" t="s">
        <v>40436</v>
      </c>
      <c r="L2063" t="s">
        <v>40437</v>
      </c>
      <c r="M2063" t="s">
        <v>40438</v>
      </c>
      <c r="N2063">
        <f>-570.999055565113 -68.4629867447377 -773.564148294002</f>
        <v>-1413.0261906038527</v>
      </c>
      <c r="O2063">
        <f>-564.543532905359 -210.247112982764 -735.071373001259</f>
        <v>-1509.8620188893819</v>
      </c>
      <c r="P2063">
        <f>-549.969140214915 -209.405589359721 -418.886236181227</f>
        <v>-1178.260965755863</v>
      </c>
      <c r="Q2063">
        <f>-337.75046782612 -65.4478630914173 -462.26219244648</f>
        <v>-865.46052336401726</v>
      </c>
      <c r="R2063" t="s">
        <v>40439</v>
      </c>
      <c r="S2063" t="s">
        <v>40440</v>
      </c>
      <c r="T2063" t="s">
        <v>40441</v>
      </c>
      <c r="U2063" t="s">
        <v>40442</v>
      </c>
      <c r="V2063">
        <f>-522.262872812537 -80.0601926832635 -238.16024424532</f>
        <v>-840.48330974112048</v>
      </c>
      <c r="W2063" t="s">
        <v>40443</v>
      </c>
      <c r="X2063" t="s">
        <v>40444</v>
      </c>
      <c r="Y2063" t="s">
        <v>40445</v>
      </c>
    </row>
    <row r="2064" spans="1:25" x14ac:dyDescent="0.3">
      <c r="A2064">
        <v>103150</v>
      </c>
      <c r="B2064" t="s">
        <v>40446</v>
      </c>
      <c r="C2064" t="s">
        <v>40447</v>
      </c>
      <c r="D2064" t="s">
        <v>40448</v>
      </c>
      <c r="E2064">
        <f>-579.369099435507 -0.458044191350098 -477.007734556124</f>
        <v>-1056.8348781829811</v>
      </c>
      <c r="F2064">
        <f>-584.09699936698 -12.5208834115463 -585.75955623365</f>
        <v>-1182.3774390121762</v>
      </c>
      <c r="G2064">
        <f>-579.368229529859 -26.3470755798902 -694.301492738153</f>
        <v>-1300.0167978479021</v>
      </c>
      <c r="H2064">
        <f>-562.972633916062 -47.4061065415175 -844.260452184912</f>
        <v>-1454.6391926424915</v>
      </c>
      <c r="I2064">
        <f>-526.182465687056 -55.4765204783054 -938.940598251249</f>
        <v>-1520.5995844166105</v>
      </c>
      <c r="J2064">
        <f>-570.524587280257 -6.60909962078694 -782.361351455019</f>
        <v>-1359.4950383560631</v>
      </c>
      <c r="K2064" t="s">
        <v>40449</v>
      </c>
      <c r="L2064" t="s">
        <v>40450</v>
      </c>
      <c r="M2064" t="s">
        <v>40451</v>
      </c>
      <c r="N2064">
        <f>-569.92979873854 -69.5671675655483 -773.455062114428</f>
        <v>-1412.9520284185162</v>
      </c>
      <c r="O2064">
        <f>-563.759208690076 -211.318913131604 -734.810657822376</f>
        <v>-1509.8887796440561</v>
      </c>
      <c r="P2064">
        <f>-549.034980139421 -210.464487799761 -418.63241559058</f>
        <v>-1178.131883529762</v>
      </c>
      <c r="Q2064">
        <f>-336.946915604205 -66.2091236660028 -461.656626548551</f>
        <v>-864.81266581875877</v>
      </c>
      <c r="R2064" t="s">
        <v>40452</v>
      </c>
      <c r="S2064" t="s">
        <v>40453</v>
      </c>
      <c r="T2064" t="s">
        <v>40454</v>
      </c>
      <c r="U2064" t="s">
        <v>40455</v>
      </c>
      <c r="V2064">
        <f>-520.954576660549 -80.6056093205444 -238.057145626786</f>
        <v>-839.61733160787946</v>
      </c>
      <c r="W2064" t="s">
        <v>40456</v>
      </c>
      <c r="X2064" t="s">
        <v>40457</v>
      </c>
      <c r="Y2064" t="s">
        <v>40458</v>
      </c>
    </row>
    <row r="2065" spans="1:25" x14ac:dyDescent="0.3">
      <c r="A2065">
        <v>103200</v>
      </c>
      <c r="B2065" t="s">
        <v>40459</v>
      </c>
      <c r="C2065" t="s">
        <v>40460</v>
      </c>
      <c r="D2065" t="s">
        <v>40461</v>
      </c>
      <c r="E2065">
        <f>-578.521681179899 -0.915289097588591 -477.054773484559</f>
        <v>-1056.4917437620466</v>
      </c>
      <c r="F2065">
        <f>-583.214194628225 -12.9749838586511 -585.808641503647</f>
        <v>-1181.9978199905231</v>
      </c>
      <c r="G2065">
        <f>-578.479775116731 -26.7892987640187 -694.35179845892</f>
        <v>-1299.6208723396699</v>
      </c>
      <c r="H2065">
        <f>-562.107442611771 -47.8246680959111 -844.316631725528</f>
        <v>-1454.2487424332103</v>
      </c>
      <c r="I2065">
        <f>-525.32495956129 -55.8932059980216 -938.999976123275</f>
        <v>-1520.2181416825865</v>
      </c>
      <c r="J2065">
        <f>-569.636864815847 -7.0370952430622 -782.408557853405</f>
        <v>-1359.0825179123144</v>
      </c>
      <c r="K2065" t="s">
        <v>40462</v>
      </c>
      <c r="L2065" t="s">
        <v>40463</v>
      </c>
      <c r="M2065" t="s">
        <v>40464</v>
      </c>
      <c r="N2065">
        <f>-569.066476851459 -69.9972438999244 -773.514927210037</f>
        <v>-1412.5786479614203</v>
      </c>
      <c r="O2065">
        <f>-562.982114462682 -211.72634611282 -734.803673213289</f>
        <v>-1509.5121337887911</v>
      </c>
      <c r="P2065">
        <f>-548.175105953661 -211.036946110267 -418.628937770097</f>
        <v>-1177.8409898340251</v>
      </c>
      <c r="Q2065">
        <f>-336.551037183185 -66.2129393510989 -462.026035726115</f>
        <v>-864.79001226039895</v>
      </c>
      <c r="R2065" t="s">
        <v>40465</v>
      </c>
      <c r="S2065" t="s">
        <v>40466</v>
      </c>
      <c r="T2065" t="s">
        <v>40467</v>
      </c>
      <c r="U2065" t="s">
        <v>40468</v>
      </c>
      <c r="V2065">
        <f>-520.116896079162 -80.9062884515737 -238.054945242635</f>
        <v>-839.07812977337062</v>
      </c>
      <c r="W2065" t="s">
        <v>40469</v>
      </c>
      <c r="X2065" t="s">
        <v>40470</v>
      </c>
      <c r="Y2065" t="s">
        <v>40471</v>
      </c>
    </row>
    <row r="2066" spans="1:25" x14ac:dyDescent="0.3">
      <c r="A2066">
        <v>103250</v>
      </c>
      <c r="B2066" t="s">
        <v>40472</v>
      </c>
      <c r="C2066" t="s">
        <v>40473</v>
      </c>
      <c r="D2066" t="s">
        <v>40474</v>
      </c>
      <c r="E2066">
        <f>-576.618732054917 -2.19117506353644 -477.154265160637</f>
        <v>-1055.9641722790905</v>
      </c>
      <c r="F2066">
        <f>-581.214092499548 -14.2911357949582 -585.907856979797</f>
        <v>-1181.4130852743033</v>
      </c>
      <c r="G2066">
        <f>-576.422505737075 -28.1193854562259 -694.446562264426</f>
        <v>-1298.9884534577268</v>
      </c>
      <c r="H2066">
        <f>-560.011622870132 -49.1439049004538 -844.408731105356</f>
        <v>-1453.5642588759417</v>
      </c>
      <c r="I2066">
        <f>-523.267614279702 -57.1177417527463 -939.115035580264</f>
        <v>-1519.5003916127123</v>
      </c>
      <c r="J2066">
        <f>-567.673015256094 -8.36382907125051 -782.511990762093</f>
        <v>-1358.5488350894375</v>
      </c>
      <c r="K2066" t="s">
        <v>40475</v>
      </c>
      <c r="L2066" t="s">
        <v>40476</v>
      </c>
      <c r="M2066" t="s">
        <v>40477</v>
      </c>
      <c r="N2066">
        <f>-566.872839046986 -71.3186166990948 -773.59829651634</f>
        <v>-1411.7897522624207</v>
      </c>
      <c r="O2066">
        <f>-560.344568714721 -213.004551598914 -734.733287037114</f>
        <v>-1508.082407350749</v>
      </c>
      <c r="P2066">
        <f>-545.750445330195 -211.650563028737 -418.550720295496</f>
        <v>-1175.9517286544281</v>
      </c>
      <c r="Q2066">
        <f>-334.048942264322 -67.0338454617929 -462.260568820136</f>
        <v>-863.3433565462509</v>
      </c>
      <c r="R2066" t="s">
        <v>40478</v>
      </c>
      <c r="S2066" t="s">
        <v>40479</v>
      </c>
      <c r="T2066" t="s">
        <v>40480</v>
      </c>
      <c r="U2066" t="s">
        <v>40481</v>
      </c>
      <c r="V2066">
        <f>-518.450016235089 -81.90503780432 -238.02020375988</f>
        <v>-838.3752577992891</v>
      </c>
      <c r="W2066" t="s">
        <v>40482</v>
      </c>
      <c r="X2066" t="s">
        <v>40483</v>
      </c>
      <c r="Y2066" t="s">
        <v>40484</v>
      </c>
    </row>
    <row r="2067" spans="1:25" x14ac:dyDescent="0.3">
      <c r="A2067">
        <v>103300</v>
      </c>
      <c r="B2067" t="s">
        <v>40485</v>
      </c>
      <c r="C2067" t="s">
        <v>40486</v>
      </c>
      <c r="D2067" t="s">
        <v>40487</v>
      </c>
      <c r="E2067">
        <f>-575.852028483193 -2.58481136793232 -477.213232109432</f>
        <v>-1055.6500719605572</v>
      </c>
      <c r="F2067">
        <f>-580.419087156889 -14.7257976212551 -585.963390266669</f>
        <v>-1181.1082750448131</v>
      </c>
      <c r="G2067">
        <f>-575.621563312168 -28.582242350586 -694.498315812562</f>
        <v>-1298.7021214753158</v>
      </c>
      <c r="H2067">
        <f>-559.225495920502 -49.6318633429031 -844.45862109295</f>
        <v>-1453.3159803563551</v>
      </c>
      <c r="I2067">
        <f>-522.500161475192 -57.5358389844344 -939.177952266793</f>
        <v>-1519.2139527264194</v>
      </c>
      <c r="J2067">
        <f>-566.96773422839 -8.84396149066499 -782.577085292495</f>
        <v>-1358.38878101155</v>
      </c>
      <c r="K2067" t="s">
        <v>40488</v>
      </c>
      <c r="L2067" t="s">
        <v>40489</v>
      </c>
      <c r="M2067" t="s">
        <v>40490</v>
      </c>
      <c r="N2067">
        <f>-565.992777810189 -71.7921444620927 -773.634593542046</f>
        <v>-1411.4195158143275</v>
      </c>
      <c r="O2067">
        <f>-559.135436307149 -213.430959820993 -734.727495757844</f>
        <v>-1507.2938918859861</v>
      </c>
      <c r="P2067">
        <f>-544.692779068806 -211.526466827396 -418.540735144052</f>
        <v>-1174.7599810402539</v>
      </c>
      <c r="Q2067">
        <f>-332.629148351524 -67.3815798494568 -462.053174497499</f>
        <v>-862.06390269847975</v>
      </c>
      <c r="R2067" t="s">
        <v>40491</v>
      </c>
      <c r="S2067" t="s">
        <v>40492</v>
      </c>
      <c r="T2067" t="s">
        <v>40493</v>
      </c>
      <c r="U2067" t="s">
        <v>40494</v>
      </c>
      <c r="V2067">
        <f>-517.616503569713 -81.9417709251136 -238.104024449011</f>
        <v>-837.66229894383764</v>
      </c>
      <c r="W2067" t="s">
        <v>40495</v>
      </c>
      <c r="X2067" t="s">
        <v>40496</v>
      </c>
      <c r="Y2067" t="s">
        <v>40497</v>
      </c>
    </row>
    <row r="2068" spans="1:25" x14ac:dyDescent="0.3">
      <c r="A2068">
        <v>103350</v>
      </c>
      <c r="B2068" t="s">
        <v>40498</v>
      </c>
      <c r="C2068" t="s">
        <v>40499</v>
      </c>
      <c r="D2068" t="s">
        <v>40500</v>
      </c>
      <c r="E2068">
        <f>-574.471067382386 -3.24253326124131 -477.341219899122</f>
        <v>-1055.0548205427492</v>
      </c>
      <c r="F2068">
        <f>-578.826368635384 -15.5122747663818 -586.085493149532</f>
        <v>-1180.4241365512978</v>
      </c>
      <c r="G2068">
        <f>-573.857179189962 -29.5052002407808 -694.595228016665</f>
        <v>-1297.957607447408</v>
      </c>
      <c r="H2068">
        <f>-557.265395350208 -50.7527712506192 -844.506101450287</f>
        <v>-1452.5242680511142</v>
      </c>
      <c r="I2068">
        <f>-520.480457050564 -58.5535597872504 -939.21085191344</f>
        <v>-1518.2448687512544</v>
      </c>
      <c r="J2068">
        <f>-565.195986761604 -9.88671000697721 -782.700043009009</f>
        <v>-1357.7827397775902</v>
      </c>
      <c r="K2068" t="s">
        <v>40501</v>
      </c>
      <c r="L2068" t="s">
        <v>40502</v>
      </c>
      <c r="M2068" t="s">
        <v>40503</v>
      </c>
      <c r="N2068">
        <f>-564.017470005771 -72.816128019082 -773.650271965918</f>
        <v>-1410.4838699907709</v>
      </c>
      <c r="O2068">
        <f>-556.763773269025 -214.411784474903 -734.641760956646</f>
        <v>-1505.8173187005741</v>
      </c>
      <c r="P2068">
        <f>-542.696576299829 -212.325319541679 -418.439358840927</f>
        <v>-1173.4612546824351</v>
      </c>
      <c r="Q2068">
        <f>-329.998137342132 -68.9610519901324 -461.429177798416</f>
        <v>-860.38836713068031</v>
      </c>
      <c r="R2068" t="s">
        <v>40504</v>
      </c>
      <c r="S2068" t="s">
        <v>40505</v>
      </c>
      <c r="T2068" t="s">
        <v>40506</v>
      </c>
      <c r="U2068" t="s">
        <v>40507</v>
      </c>
      <c r="V2068">
        <f>-516.595175564192 -82.0366878052751 -238.12187804319</f>
        <v>-836.75374141265706</v>
      </c>
      <c r="W2068" t="s">
        <v>40508</v>
      </c>
      <c r="X2068" t="s">
        <v>40509</v>
      </c>
      <c r="Y2068" t="s">
        <v>40510</v>
      </c>
    </row>
    <row r="2069" spans="1:25" x14ac:dyDescent="0.3">
      <c r="A2069">
        <v>103400</v>
      </c>
      <c r="B2069" t="s">
        <v>40511</v>
      </c>
      <c r="C2069" t="s">
        <v>40512</v>
      </c>
      <c r="D2069" t="s">
        <v>40513</v>
      </c>
      <c r="E2069">
        <f>-574.099111544629 -3.40070668827487 -477.332150602983</f>
        <v>-1054.831968835887</v>
      </c>
      <c r="F2069">
        <f>-578.387433720252 -15.7006761409447 -586.075704895456</f>
        <v>-1180.1638147566528</v>
      </c>
      <c r="G2069">
        <f>-573.332107114166 -29.7152277861517 -694.578635897849</f>
        <v>-1297.6259707981667</v>
      </c>
      <c r="H2069">
        <f>-556.600926169329 -50.9817960419598 -844.471312932722</f>
        <v>-1452.0540351440109</v>
      </c>
      <c r="I2069">
        <f>-519.737340390869 -58.7161761135624 -939.150987051535</f>
        <v>-1517.6045035559664</v>
      </c>
      <c r="J2069">
        <f>-564.644073919148 -10.1098012497513 -782.683825497112</f>
        <v>-1357.4377006660113</v>
      </c>
      <c r="K2069" t="s">
        <v>40514</v>
      </c>
      <c r="L2069" t="s">
        <v>40515</v>
      </c>
      <c r="M2069" t="s">
        <v>40516</v>
      </c>
      <c r="N2069">
        <f>-563.363817690578 -73.0342373279318 -773.613172690404</f>
        <v>-1410.0112277089138</v>
      </c>
      <c r="O2069">
        <f>-555.929662626118 -214.615175020772 -734.544860109368</f>
        <v>-1505.0896977562579</v>
      </c>
      <c r="P2069">
        <f>-541.95413236011 -212.326651954064 -418.339789094919</f>
        <v>-1172.6205734090929</v>
      </c>
      <c r="Q2069">
        <f>-329.298662575107 -69.0024785454628 -461.6744888514</f>
        <v>-859.97562997196974</v>
      </c>
      <c r="R2069" t="s">
        <v>40517</v>
      </c>
      <c r="S2069" t="s">
        <v>40518</v>
      </c>
      <c r="T2069" t="s">
        <v>40519</v>
      </c>
      <c r="U2069" t="s">
        <v>40520</v>
      </c>
      <c r="V2069">
        <f>-516.23775720599 -82.1764432036191 -238.062472849293</f>
        <v>-836.47667325890211</v>
      </c>
      <c r="W2069" t="s">
        <v>40521</v>
      </c>
      <c r="X2069" t="s">
        <v>40522</v>
      </c>
      <c r="Y2069" t="s">
        <v>40523</v>
      </c>
    </row>
    <row r="2070" spans="1:25" x14ac:dyDescent="0.3">
      <c r="A2070">
        <v>103450</v>
      </c>
      <c r="B2070" t="s">
        <v>40524</v>
      </c>
      <c r="C2070" t="s">
        <v>40525</v>
      </c>
      <c r="D2070" t="s">
        <v>40526</v>
      </c>
      <c r="E2070">
        <f>-573.381695059684 -4.554787558275 -477.329778339973</f>
        <v>-1055.266260957932</v>
      </c>
      <c r="F2070">
        <f>-577.639443392026 -16.945795962033 -586.064236721341</f>
        <v>-1180.6494760753999</v>
      </c>
      <c r="G2070">
        <f>-572.540760663427 -31.0078113023086 -694.55897131948</f>
        <v>-1298.1075432852156</v>
      </c>
      <c r="H2070">
        <f>-555.73533928692 -52.2927627942014 -844.440720339681</f>
        <v>-1452.4688224208023</v>
      </c>
      <c r="I2070">
        <f>-518.65043280268 -59.880633895703 -939.045811204916</f>
        <v>-1517.5768779032992</v>
      </c>
      <c r="J2070">
        <f>-563.970149172045 -11.4193400416143 -782.679315164301</f>
        <v>-1358.0688043779603</v>
      </c>
      <c r="K2070" t="s">
        <v>40527</v>
      </c>
      <c r="L2070" t="s">
        <v>40528</v>
      </c>
      <c r="M2070" t="s">
        <v>40529</v>
      </c>
      <c r="N2070">
        <f>-562.372244013145 -74.3303397509603 -773.565963556483</f>
        <v>-1410.2685473205884</v>
      </c>
      <c r="O2070">
        <f>-554.257381271205 -215.828462170913 -734.385027039213</f>
        <v>-1504.4708704813311</v>
      </c>
      <c r="P2070">
        <f>-540.179451385292 -213.205646872061 -418.18717422925</f>
        <v>-1171.5722724866032</v>
      </c>
      <c r="Q2070">
        <f>-328.288341564155 -69.1652869135594 -462.870326085938</f>
        <v>-860.32395456365248</v>
      </c>
      <c r="R2070" t="s">
        <v>40530</v>
      </c>
      <c r="S2070" t="s">
        <v>40531</v>
      </c>
      <c r="T2070" t="s">
        <v>40532</v>
      </c>
      <c r="U2070" t="s">
        <v>40533</v>
      </c>
      <c r="V2070">
        <f>-515.131730855245 -82.7486854404078 -238.014513756803</f>
        <v>-835.89493005245583</v>
      </c>
      <c r="W2070" t="s">
        <v>40534</v>
      </c>
      <c r="X2070" t="s">
        <v>40535</v>
      </c>
      <c r="Y2070" t="s">
        <v>40536</v>
      </c>
    </row>
    <row r="2071" spans="1:25" x14ac:dyDescent="0.3">
      <c r="A2071">
        <v>103500</v>
      </c>
      <c r="B2071" t="s">
        <v>40537</v>
      </c>
      <c r="C2071" t="s">
        <v>40538</v>
      </c>
      <c r="D2071" t="s">
        <v>40539</v>
      </c>
      <c r="E2071">
        <f>-572.800527892293 -5.33924163301248 -477.263735869247</f>
        <v>-1055.4035053945524</v>
      </c>
      <c r="F2071">
        <f>-577.023622795465 -17.7573405041793 -585.996422347224</f>
        <v>-1180.7773856468684</v>
      </c>
      <c r="G2071">
        <f>-571.942768104094 -31.8460794774347 -694.488659795132</f>
        <v>-1298.2775073766607</v>
      </c>
      <c r="H2071">
        <f>-555.216273300068 -53.167878921436 -844.373960073854</f>
        <v>-1452.7581122953579</v>
      </c>
      <c r="I2071">
        <f>-518.021969344913 -60.6918762102935 -938.941180728268</f>
        <v>-1517.6550262834744</v>
      </c>
      <c r="J2071">
        <f>-563.486712177308 -12.2821604127145 -782.625538751837</f>
        <v>-1358.3944113418595</v>
      </c>
      <c r="K2071" t="s">
        <v>40540</v>
      </c>
      <c r="L2071" t="s">
        <v>40541</v>
      </c>
      <c r="M2071" t="s">
        <v>40542</v>
      </c>
      <c r="N2071">
        <f>-561.747670874551 -75.1851480162514 -773.483225840516</f>
        <v>-1410.4160447313184</v>
      </c>
      <c r="O2071">
        <f>-553.255286590795 -216.651380473329 -734.299764909465</f>
        <v>-1504.2064319735891</v>
      </c>
      <c r="P2071">
        <f>-538.860231066793 -214.309774361506 -418.113825731662</f>
        <v>-1171.283831159961</v>
      </c>
      <c r="Q2071">
        <f>-327.489532834191 -69.6098522660843 -463.129426497615</f>
        <v>-860.22881159789029</v>
      </c>
      <c r="R2071" t="s">
        <v>40543</v>
      </c>
      <c r="S2071" t="s">
        <v>40544</v>
      </c>
      <c r="T2071" t="s">
        <v>40545</v>
      </c>
      <c r="U2071" t="s">
        <v>40546</v>
      </c>
      <c r="V2071">
        <f>-514.601565318079 -83.3109590694084 -237.93231972979</f>
        <v>-835.84484411727738</v>
      </c>
      <c r="W2071" t="s">
        <v>40547</v>
      </c>
      <c r="X2071" t="s">
        <v>40548</v>
      </c>
      <c r="Y2071" t="s">
        <v>40549</v>
      </c>
    </row>
    <row r="2072" spans="1:25" x14ac:dyDescent="0.3">
      <c r="A2072">
        <v>103550</v>
      </c>
      <c r="B2072" t="s">
        <v>40550</v>
      </c>
      <c r="C2072" t="s">
        <v>40551</v>
      </c>
      <c r="D2072" t="s">
        <v>40552</v>
      </c>
      <c r="E2072">
        <f>-572.326193476263 -6.4394600177202 -477.153996068049</f>
        <v>-1055.9196495620322</v>
      </c>
      <c r="F2072">
        <f>-576.625928369685 -19.0219404937266 -585.864718992342</f>
        <v>-1181.5125878557535</v>
      </c>
      <c r="G2072">
        <f>-571.645507811489 -33.2982370558389 -694.337016755793</f>
        <v>-1299.2807616231207</v>
      </c>
      <c r="H2072">
        <f>-555.082514240439 -54.9015423862723 -844.200201586105</f>
        <v>-1454.1842582128161</v>
      </c>
      <c r="I2072">
        <f>-517.71038821935 -62.413566484133 -938.698175757687</f>
        <v>-1518.8221304611698</v>
      </c>
      <c r="J2072">
        <f>-563.433207154919 -13.9065802888112 -782.534970416518</f>
        <v>-1359.8747578602483</v>
      </c>
      <c r="K2072" t="s">
        <v>40553</v>
      </c>
      <c r="L2072" t="s">
        <v>40554</v>
      </c>
      <c r="M2072" t="s">
        <v>40555</v>
      </c>
      <c r="N2072">
        <f>-561.389032722204 -76.7789382904502 -773.245720567177</f>
        <v>-1411.4136915798313</v>
      </c>
      <c r="O2072">
        <f>-552.051903089501 -218.161409127286 -733.921790866408</f>
        <v>-1504.135103083195</v>
      </c>
      <c r="P2072">
        <f>-537.376665384317 -216.145433235646 -417.746489639835</f>
        <v>-1171.268588259798</v>
      </c>
      <c r="Q2072">
        <f>-327.073759010943 -70.3725576376345 -464.276037499648</f>
        <v>-861.72235414822546</v>
      </c>
      <c r="R2072" t="s">
        <v>40556</v>
      </c>
      <c r="S2072" t="s">
        <v>40557</v>
      </c>
      <c r="T2072" t="s">
        <v>40558</v>
      </c>
      <c r="U2072" t="s">
        <v>40559</v>
      </c>
      <c r="V2072">
        <f>-513.882034806081 -84.0957217660465 -237.838054479614</f>
        <v>-835.81581105174155</v>
      </c>
      <c r="W2072" t="s">
        <v>40560</v>
      </c>
      <c r="X2072" t="s">
        <v>40561</v>
      </c>
      <c r="Y2072" t="s">
        <v>40562</v>
      </c>
    </row>
    <row r="2073" spans="1:25" x14ac:dyDescent="0.3">
      <c r="A2073">
        <v>103600</v>
      </c>
      <c r="B2073" t="s">
        <v>40563</v>
      </c>
      <c r="C2073" t="s">
        <v>40564</v>
      </c>
      <c r="D2073" t="s">
        <v>40565</v>
      </c>
      <c r="E2073">
        <f>-571.934187662962 -7.02552652448223 -477.142634604408</f>
        <v>-1056.1023487918521</v>
      </c>
      <c r="F2073">
        <f>-576.277576707976 -19.6842600801185 -585.84276195018</f>
        <v>-1181.8045987382745</v>
      </c>
      <c r="G2073">
        <f>-571.369184330507 -34.0460069241752 -694.307157949298</f>
        <v>-1299.7223492039802</v>
      </c>
      <c r="H2073">
        <f>-554.934929750278 -55.7753704978985 -844.166188032838</f>
        <v>-1454.8764882810146</v>
      </c>
      <c r="I2073">
        <f>-517.54525730351 -63.2436768939185 -938.660833138051</f>
        <v>-1519.4497673354795</v>
      </c>
      <c r="J2073">
        <f>-563.306189588008 -14.7321507531278 -782.535871366431</f>
        <v>-1360.574211707567</v>
      </c>
      <c r="K2073" t="s">
        <v>40566</v>
      </c>
      <c r="L2073" t="s">
        <v>40567</v>
      </c>
      <c r="M2073" t="s">
        <v>40568</v>
      </c>
      <c r="N2073">
        <f>-561.106965913634 -77.5894518275074 -773.180442192068</f>
        <v>-1411.8768599332093</v>
      </c>
      <c r="O2073">
        <f>-551.375233653305 -218.922570035224 -733.751523793577</f>
        <v>-1504.049327482106</v>
      </c>
      <c r="P2073">
        <f>-536.427371902448 -216.653026222534 -417.590839248748</f>
        <v>-1170.67123737373</v>
      </c>
      <c r="Q2073">
        <f>-326.38693839387 -70.7217520408215 -464.804672976057</f>
        <v>-861.91336341074862</v>
      </c>
      <c r="R2073" t="s">
        <v>40569</v>
      </c>
      <c r="S2073" t="s">
        <v>40570</v>
      </c>
      <c r="T2073" t="s">
        <v>40571</v>
      </c>
      <c r="U2073" t="s">
        <v>40572</v>
      </c>
      <c r="V2073">
        <f>-513.298203021921 -84.7716094739198 -237.828392990495</f>
        <v>-835.89820548633577</v>
      </c>
      <c r="W2073" t="s">
        <v>40573</v>
      </c>
      <c r="X2073" t="s">
        <v>40574</v>
      </c>
      <c r="Y2073" t="s">
        <v>40575</v>
      </c>
    </row>
    <row r="2074" spans="1:25" x14ac:dyDescent="0.3">
      <c r="A2074">
        <v>103650</v>
      </c>
      <c r="B2074" t="s">
        <v>40576</v>
      </c>
      <c r="C2074" t="s">
        <v>40577</v>
      </c>
      <c r="D2074" t="s">
        <v>40578</v>
      </c>
      <c r="E2074">
        <f>-570.910343378046 -8.34400569306081 -477.209757478741</f>
        <v>-1056.4641065498479</v>
      </c>
      <c r="F2074">
        <f>-575.184350327662 -21.1908767313483 -585.890733174798</f>
        <v>-1182.2659602338083</v>
      </c>
      <c r="G2074">
        <f>-570.256606997685 -35.7759711913868 -694.324328349278</f>
        <v>-1300.3569065383499</v>
      </c>
      <c r="H2074">
        <f>-553.84742441669 -57.8488509815359 -844.135975844776</f>
        <v>-1455.8322512430018</v>
      </c>
      <c r="I2074">
        <f>-516.364572703155 -65.2744286351356 -938.597043808101</f>
        <v>-1520.2360451463915</v>
      </c>
      <c r="J2074">
        <f>-562.335464598248 -16.6711045965744 -782.611404646378</f>
        <v>-1361.6179738412004</v>
      </c>
      <c r="K2074" t="s">
        <v>40579</v>
      </c>
      <c r="L2074" t="s">
        <v>40580</v>
      </c>
      <c r="M2074" t="s">
        <v>40581</v>
      </c>
      <c r="N2074">
        <f>-559.880522046737 -79.493455161183 -773.086402201089</f>
        <v>-1412.460379409009</v>
      </c>
      <c r="O2074">
        <f>-549.476658173367 -220.706590712146 -733.385043673565</f>
        <v>-1503.5682925590779</v>
      </c>
      <c r="P2074">
        <f>-534.412600756935 -218.479274111913 -417.229465513564</f>
        <v>-1170.121340382412</v>
      </c>
      <c r="Q2074">
        <f>-325.258849789445 -72.0587222994974 -466.805693670514</f>
        <v>-864.12326575945644</v>
      </c>
      <c r="R2074" t="s">
        <v>40582</v>
      </c>
      <c r="S2074" t="s">
        <v>40583</v>
      </c>
      <c r="T2074" t="s">
        <v>40584</v>
      </c>
      <c r="U2074" t="s">
        <v>40585</v>
      </c>
      <c r="V2074">
        <f>-512.472690985865 -85.6529287913264 -237.873538546914</f>
        <v>-835.99915832410545</v>
      </c>
      <c r="W2074" t="s">
        <v>40586</v>
      </c>
      <c r="X2074" t="s">
        <v>40587</v>
      </c>
      <c r="Y2074" t="s">
        <v>40588</v>
      </c>
    </row>
    <row r="2075" spans="1:25" x14ac:dyDescent="0.3">
      <c r="A2075">
        <v>103700</v>
      </c>
      <c r="B2075" t="s">
        <v>40589</v>
      </c>
      <c r="C2075" t="s">
        <v>40590</v>
      </c>
      <c r="D2075" t="s">
        <v>40591</v>
      </c>
      <c r="E2075">
        <f>-570.437019520276 -8.99969661287679 -477.248410247171</f>
        <v>-1056.6851263803237</v>
      </c>
      <c r="F2075">
        <f>-574.65138587511 -21.883410303492 -585.927271631713</f>
        <v>-1182.4620678103151</v>
      </c>
      <c r="G2075">
        <f>-569.660317117932 -36.5250242659593 -694.350336940045</f>
        <v>-1300.5356783239363</v>
      </c>
      <c r="H2075">
        <f>-553.159621517732 -58.6960038173146 -844.137373614598</f>
        <v>-1455.9929989496445</v>
      </c>
      <c r="I2075">
        <f>-515.620205349841 -66.0889267306165 -938.578489558836</f>
        <v>-1520.2876216392935</v>
      </c>
      <c r="J2075">
        <f>-561.723961255905 -17.480166680678 -782.649064540299</f>
        <v>-1361.8531924768822</v>
      </c>
      <c r="K2075" t="s">
        <v>40592</v>
      </c>
      <c r="L2075" t="s">
        <v>40593</v>
      </c>
      <c r="M2075" t="s">
        <v>40594</v>
      </c>
      <c r="N2075">
        <f>-559.19731482498 -80.2919889756415 -773.073431458101</f>
        <v>-1412.5627352587226</v>
      </c>
      <c r="O2075">
        <f>-548.590469338851 -221.463957399551 -733.294888142652</f>
        <v>-1503.3493148810539</v>
      </c>
      <c r="P2075">
        <f>-533.697418010902 -219.074851926323 -417.132396983042</f>
        <v>-1169.9046669202671</v>
      </c>
      <c r="Q2075">
        <f>-324.533852206969 -72.6041290022885 -466.518490643844</f>
        <v>-863.65647185310149</v>
      </c>
      <c r="R2075" t="s">
        <v>40595</v>
      </c>
      <c r="S2075" t="s">
        <v>40596</v>
      </c>
      <c r="T2075" t="s">
        <v>40597</v>
      </c>
      <c r="U2075" t="s">
        <v>40598</v>
      </c>
      <c r="V2075">
        <f>-512.020985658828 -86.4398139665846 -237.902307382894</f>
        <v>-836.36310700830654</v>
      </c>
      <c r="W2075" t="s">
        <v>40599</v>
      </c>
      <c r="X2075" t="s">
        <v>40600</v>
      </c>
      <c r="Y2075" t="s">
        <v>40601</v>
      </c>
    </row>
    <row r="2076" spans="1:25" x14ac:dyDescent="0.3">
      <c r="A2076">
        <v>103750</v>
      </c>
      <c r="B2076" t="s">
        <v>40602</v>
      </c>
      <c r="C2076" t="s">
        <v>40603</v>
      </c>
      <c r="D2076" t="s">
        <v>40604</v>
      </c>
      <c r="E2076">
        <f>-569.634531088343 -10.1633473251754 -477.293128748567</f>
        <v>-1057.0910071620856</v>
      </c>
      <c r="F2076">
        <f>-573.765793561029 -23.130671654128 -585.965277636731</f>
        <v>-1182.861742851888</v>
      </c>
      <c r="G2076">
        <f>-568.733876225695 -37.8981800800444 -694.369347209471</f>
        <v>-1301.0014035152103</v>
      </c>
      <c r="H2076">
        <f>-552.220914883878 -60.2874541820879 -844.122648674373</f>
        <v>-1456.6310177403388</v>
      </c>
      <c r="I2076">
        <f>-514.644377629061 -67.6738952288485 -938.549458588548</f>
        <v>-1520.8677314464576</v>
      </c>
      <c r="J2076">
        <f>-560.78589335567 -18.981767286933 -782.694668943612</f>
        <v>-1362.462329586215</v>
      </c>
      <c r="K2076" t="s">
        <v>40605</v>
      </c>
      <c r="L2076" t="s">
        <v>40606</v>
      </c>
      <c r="M2076" t="s">
        <v>40607</v>
      </c>
      <c r="N2076">
        <f>-558.268920235157 -81.7800319757502 -773.028248221958</f>
        <v>-1413.0772004328651</v>
      </c>
      <c r="O2076">
        <f>-547.549658956909 -222.885407342178 -733.066000061147</f>
        <v>-1503.5010663602338</v>
      </c>
      <c r="P2076">
        <f>-532.748661392 -220.627394485385 -416.898191685372</f>
        <v>-1170.274247562757</v>
      </c>
      <c r="Q2076">
        <f>-324.630610952337 -72.7308986455855 -466.451657434301</f>
        <v>-863.81316703222353</v>
      </c>
      <c r="R2076" t="s">
        <v>40608</v>
      </c>
      <c r="S2076" t="s">
        <v>40609</v>
      </c>
      <c r="T2076" t="s">
        <v>40610</v>
      </c>
      <c r="U2076" t="s">
        <v>40611</v>
      </c>
      <c r="V2076">
        <f>-511.571431651937 -87.6894798906177 -237.842912689021</f>
        <v>-837.10382423157569</v>
      </c>
      <c r="W2076" t="s">
        <v>40612</v>
      </c>
      <c r="X2076" t="s">
        <v>40613</v>
      </c>
      <c r="Y2076" t="s">
        <v>40614</v>
      </c>
    </row>
    <row r="2077" spans="1:25" x14ac:dyDescent="0.3">
      <c r="A2077">
        <v>103800</v>
      </c>
      <c r="B2077" t="s">
        <v>40615</v>
      </c>
      <c r="C2077" t="s">
        <v>40616</v>
      </c>
      <c r="D2077" t="s">
        <v>40617</v>
      </c>
      <c r="E2077">
        <f>-569.339084035525 -10.8377155723911 -477.234940410515</f>
        <v>-1057.4117400184311</v>
      </c>
      <c r="F2077">
        <f>-573.453623528129 -23.8419066281839 -585.903230389309</f>
        <v>-1183.198760545622</v>
      </c>
      <c r="G2077">
        <f>-568.427750738923 -38.6593596295039 -694.300860065843</f>
        <v>-1301.3879704342698</v>
      </c>
      <c r="H2077">
        <f>-551.946823218574 -61.1313169309962 -844.045281195856</f>
        <v>-1457.1234213454261</v>
      </c>
      <c r="I2077">
        <f>-514.387338074343 -68.5238462037451 -938.478433147217</f>
        <v>-1521.389617425305</v>
      </c>
      <c r="J2077">
        <f>-560.470839959594 -19.7901668877254 -782.635359872672</f>
        <v>-1362.8963667199914</v>
      </c>
      <c r="K2077" t="s">
        <v>40618</v>
      </c>
      <c r="L2077" t="s">
        <v>40619</v>
      </c>
      <c r="M2077" t="s">
        <v>40620</v>
      </c>
      <c r="N2077">
        <f>-558.007433570891 -82.5861704608872 -772.940609283978</f>
        <v>-1413.534213315756</v>
      </c>
      <c r="O2077">
        <f>-547.313937608065 -223.691395487398 -732.983573547265</f>
        <v>-1503.9889066427281</v>
      </c>
      <c r="P2077">
        <f>-532.458390531353 -221.358015124887 -416.818900247915</f>
        <v>-1170.6353059041551</v>
      </c>
      <c r="Q2077">
        <f>-324.825101722428 -72.8918158636733 -466.701301150173</f>
        <v>-864.41821873627418</v>
      </c>
      <c r="R2077" t="s">
        <v>40621</v>
      </c>
      <c r="S2077" t="s">
        <v>40622</v>
      </c>
      <c r="T2077" t="s">
        <v>40623</v>
      </c>
      <c r="U2077" t="s">
        <v>40624</v>
      </c>
      <c r="V2077">
        <f>-511.493598527924 -88.2752682560799 -237.739085209993</f>
        <v>-837.50795199399681</v>
      </c>
      <c r="W2077" t="s">
        <v>40625</v>
      </c>
      <c r="X2077" t="s">
        <v>40626</v>
      </c>
      <c r="Y2077" t="s">
        <v>40627</v>
      </c>
    </row>
    <row r="2078" spans="1:25" x14ac:dyDescent="0.3">
      <c r="A2078">
        <v>103850</v>
      </c>
      <c r="B2078" t="s">
        <v>40628</v>
      </c>
      <c r="C2078" t="s">
        <v>40629</v>
      </c>
      <c r="D2078" t="s">
        <v>40630</v>
      </c>
      <c r="E2078">
        <f>-569.336742354808 -11.8988562470835 -477.098421319832</f>
        <v>-1058.3340199217237</v>
      </c>
      <c r="F2078">
        <f>-573.520762918122 -24.9060987873551 -585.763720239708</f>
        <v>-1184.1905819451852</v>
      </c>
      <c r="G2078">
        <f>-568.56027813281 -39.7398672041363 -694.162087874493</f>
        <v>-1302.4622332114393</v>
      </c>
      <c r="H2078">
        <f>-552.165932997292 -62.2492681290456 -843.910511295272</f>
        <v>-1458.3257124216098</v>
      </c>
      <c r="I2078">
        <f>-514.708338626406 -69.6458329884496 -938.38374526781</f>
        <v>-1522.7379168826656</v>
      </c>
      <c r="J2078">
        <f>-560.573239621326 -20.8884013108185 -782.49769639211</f>
        <v>-1363.9593373242546</v>
      </c>
      <c r="K2078" t="s">
        <v>40631</v>
      </c>
      <c r="L2078" t="s">
        <v>40632</v>
      </c>
      <c r="M2078" t="s">
        <v>40633</v>
      </c>
      <c r="N2078">
        <f>-558.26664344034 -83.690708651624 -772.805132171414</f>
        <v>-1414.7624842633782</v>
      </c>
      <c r="O2078">
        <f>-547.822090143908 -224.8445982551 -732.89453526554</f>
        <v>-1505.5612236645479</v>
      </c>
      <c r="P2078">
        <f>-532.407988921227 -222.800521741452 -416.754656984266</f>
        <v>-1171.9631676469451</v>
      </c>
      <c r="Q2078">
        <f>-325.412028099759 -73.5916631624257 -467.068127307509</f>
        <v>-866.07181856969373</v>
      </c>
      <c r="R2078" t="s">
        <v>40634</v>
      </c>
      <c r="S2078" t="s">
        <v>40635</v>
      </c>
      <c r="T2078" t="s">
        <v>40636</v>
      </c>
      <c r="U2078" t="s">
        <v>40637</v>
      </c>
      <c r="V2078">
        <f>-511.434471414019 -89.3829838930735 -237.590950867296</f>
        <v>-838.40840617438846</v>
      </c>
      <c r="W2078" t="s">
        <v>40638</v>
      </c>
      <c r="X2078" t="s">
        <v>40639</v>
      </c>
      <c r="Y2078" t="s">
        <v>40640</v>
      </c>
    </row>
    <row r="2079" spans="1:25" x14ac:dyDescent="0.3">
      <c r="A2079">
        <v>103900</v>
      </c>
      <c r="B2079" t="s">
        <v>40641</v>
      </c>
      <c r="C2079" t="s">
        <v>40642</v>
      </c>
      <c r="D2079" t="s">
        <v>40643</v>
      </c>
      <c r="E2079">
        <f>-569.251610065939 -12.2217560229438 -477.080439973127</f>
        <v>-1058.5538060620097</v>
      </c>
      <c r="F2079">
        <f>-573.483649611904 -25.1791746530516 -585.749675824021</f>
        <v>-1184.4125000889767</v>
      </c>
      <c r="G2079">
        <f>-568.596562406847 -39.9567795253612 -694.159067957356</f>
        <v>-1302.7124098895642</v>
      </c>
      <c r="H2079">
        <f>-552.329767216876 -62.3812846951926 -843.93406389425</f>
        <v>-1458.6451158063187</v>
      </c>
      <c r="I2079">
        <f>-514.932194400355 -69.7398666851563 -938.434107295951</f>
        <v>-1523.1061683814623</v>
      </c>
      <c r="J2079">
        <f>-560.655417063065 -21.0536869342647 -782.487857574112</f>
        <v>-1364.1969615714415</v>
      </c>
      <c r="K2079" t="s">
        <v>40644</v>
      </c>
      <c r="L2079" t="s">
        <v>40645</v>
      </c>
      <c r="M2079" t="s">
        <v>40646</v>
      </c>
      <c r="N2079">
        <f>-558.399320790375 -83.8645484599024 -772.838771326062</f>
        <v>-1415.1026405763394</v>
      </c>
      <c r="O2079">
        <f>-548.022332090649 -225.058643091841 -733.048845928607</f>
        <v>-1506.129821111097</v>
      </c>
      <c r="P2079">
        <f>-532.608528559389 -223.195594063601 -416.907714675112</f>
        <v>-1172.711837298102</v>
      </c>
      <c r="Q2079">
        <f>-325.593624653225 -73.8681623639842 -466.789654441159</f>
        <v>-866.25144145836816</v>
      </c>
      <c r="R2079" t="s">
        <v>40647</v>
      </c>
      <c r="S2079" t="s">
        <v>40648</v>
      </c>
      <c r="T2079" t="s">
        <v>40649</v>
      </c>
      <c r="U2079" t="s">
        <v>40650</v>
      </c>
      <c r="V2079">
        <f>-511.464195581107 -89.7229004869981 -237.548808476118</f>
        <v>-838.7359045442231</v>
      </c>
      <c r="W2079" t="s">
        <v>40651</v>
      </c>
      <c r="X2079" t="s">
        <v>40652</v>
      </c>
      <c r="Y2079" t="s">
        <v>40653</v>
      </c>
    </row>
    <row r="2080" spans="1:25" x14ac:dyDescent="0.3">
      <c r="A2080">
        <v>103950</v>
      </c>
      <c r="B2080" t="s">
        <v>40654</v>
      </c>
      <c r="C2080" t="s">
        <v>40655</v>
      </c>
      <c r="D2080">
        <f>-554.052251875084 -0.586222213463458 -357.432178243274</f>
        <v>-912.07065233182152</v>
      </c>
      <c r="E2080">
        <f>-568.987899531115 -12.7551471963447 -477.095938040676</f>
        <v>-1058.8389847681358</v>
      </c>
      <c r="F2080">
        <f>-573.344249727118 -25.5775961352654 -585.77634319317</f>
        <v>-1184.6981890555535</v>
      </c>
      <c r="G2080">
        <f>-568.639958915741 -40.212094586466 -694.213264619479</f>
        <v>-1303.065318121686</v>
      </c>
      <c r="H2080">
        <f>-552.685966789523 -62.4271068234551 -844.053065336577</f>
        <v>-1459.1661389495553</v>
      </c>
      <c r="I2080">
        <f>-515.456749650774 -69.6511983422834 -938.629926936044</f>
        <v>-1523.7378749291013</v>
      </c>
      <c r="J2080">
        <f>-560.835859038474 -21.183153889329 -782.527142192709</f>
        <v>-1364.5461551205121</v>
      </c>
      <c r="K2080" t="s">
        <v>40656</v>
      </c>
      <c r="L2080" t="s">
        <v>40657</v>
      </c>
      <c r="M2080" t="s">
        <v>40658</v>
      </c>
      <c r="N2080">
        <f>-558.654337630256 -84.0121778618135 -772.980082525358</f>
        <v>-1415.6465980174276</v>
      </c>
      <c r="O2080">
        <f>-548.204324151037 -225.294309022566 -733.537798482505</f>
        <v>-1507.0364316561081</v>
      </c>
      <c r="P2080">
        <f>-532.956781140359 -224.112445515231 -417.385469099675</f>
        <v>-1174.454695755265</v>
      </c>
      <c r="Q2080">
        <f>-325.810458933707 -74.5323474059814 -465.947249726996</f>
        <v>-866.29005606668443</v>
      </c>
      <c r="R2080" t="s">
        <v>40659</v>
      </c>
      <c r="S2080" t="s">
        <v>40660</v>
      </c>
      <c r="T2080" t="s">
        <v>40661</v>
      </c>
      <c r="U2080" t="s">
        <v>40662</v>
      </c>
      <c r="V2080">
        <f>-511.432090706859 -90.632466177335 -237.607449001141</f>
        <v>-839.67200588533501</v>
      </c>
      <c r="W2080" t="s">
        <v>40663</v>
      </c>
      <c r="X2080" t="s">
        <v>40664</v>
      </c>
      <c r="Y2080" t="s">
        <v>40665</v>
      </c>
    </row>
    <row r="2081" spans="1:25" x14ac:dyDescent="0.3">
      <c r="A2081">
        <v>104000</v>
      </c>
      <c r="B2081" t="s">
        <v>40666</v>
      </c>
      <c r="C2081" t="s">
        <v>40667</v>
      </c>
      <c r="D2081">
        <f>-553.75992804897 -0.989759267501995 -357.515746901781</f>
        <v>-912.26543421825295</v>
      </c>
      <c r="E2081">
        <f>-568.771601572254 -13.0744546107501 -477.178417673641</f>
        <v>-1059.024473856645</v>
      </c>
      <c r="F2081">
        <f>-573.241586809611 -25.8270806427112 -585.862543544134</f>
        <v>-1184.9312109964562</v>
      </c>
      <c r="G2081">
        <f>-568.694994762222 -40.3970432097712 -694.314834671198</f>
        <v>-1303.4068726431913</v>
      </c>
      <c r="H2081">
        <f>-553.004918690447 -62.5269256946733 -844.195142364293</f>
        <v>-1459.7269867494133</v>
      </c>
      <c r="I2081">
        <f>-515.91215510108 -69.6550914329324 -938.832867538807</f>
        <v>-1524.4001140728194</v>
      </c>
      <c r="J2081">
        <f>-561.016354043239 -21.3164256698627 -782.628644465205</f>
        <v>-1364.9614241783065</v>
      </c>
      <c r="K2081" t="s">
        <v>40668</v>
      </c>
      <c r="L2081" t="s">
        <v>40669</v>
      </c>
      <c r="M2081" t="s">
        <v>40670</v>
      </c>
      <c r="N2081">
        <f>-558.878234588982 -84.1538662158839 -773.126780323918</f>
        <v>-1416.1588811287838</v>
      </c>
      <c r="O2081">
        <f>-548.43292757752 -225.448293185292 -733.781532222435</f>
        <v>-1507.6627529852469</v>
      </c>
      <c r="P2081">
        <f>-533.305290360291 -224.624148099477 -417.622389396132</f>
        <v>-1175.5518278559</v>
      </c>
      <c r="Q2081">
        <f>-326.260789563691 -74.8045144386269 -465.878929745227</f>
        <v>-866.9442337475449</v>
      </c>
      <c r="R2081" t="s">
        <v>40671</v>
      </c>
      <c r="S2081" t="s">
        <v>40672</v>
      </c>
      <c r="T2081" t="s">
        <v>40673</v>
      </c>
      <c r="U2081" t="s">
        <v>40674</v>
      </c>
      <c r="V2081">
        <f>-511.258088429384 -91.3485190708345 -237.664897724241</f>
        <v>-840.27150522445947</v>
      </c>
      <c r="W2081" t="s">
        <v>40675</v>
      </c>
      <c r="X2081" t="s">
        <v>40676</v>
      </c>
      <c r="Y2081" t="s">
        <v>40677</v>
      </c>
    </row>
    <row r="2082" spans="1:25" x14ac:dyDescent="0.3">
      <c r="A2082">
        <v>104050</v>
      </c>
      <c r="B2082" t="s">
        <v>40678</v>
      </c>
      <c r="C2082" t="s">
        <v>40679</v>
      </c>
      <c r="D2082">
        <f>-552.930684941959 -2.07018896489399 -357.593732813815</f>
        <v>-912.59460672066803</v>
      </c>
      <c r="E2082">
        <f>-567.989368535039 -13.9964366279983 -477.266448588915</f>
        <v>-1059.2522537519524</v>
      </c>
      <c r="F2082">
        <f>-572.632884870102 -26.683546435063 -585.95099749471</f>
        <v>-1185.267428799875</v>
      </c>
      <c r="G2082">
        <f>-568.389717482331 -41.2607824497283 -694.414501259858</f>
        <v>-1304.0650011919172</v>
      </c>
      <c r="H2082">
        <f>-553.253785941003 -63.4724422836078 -844.339671592302</f>
        <v>-1461.0658998169129</v>
      </c>
      <c r="I2082">
        <f>-516.496388675787 -70.5302345436998 -939.113524874209</f>
        <v>-1526.1401480936956</v>
      </c>
      <c r="J2082">
        <f>-560.970344730996 -22.2251137487277 -782.760306788014</f>
        <v>-1365.9557652677377</v>
      </c>
      <c r="K2082" t="s">
        <v>40680</v>
      </c>
      <c r="L2082" t="s">
        <v>40681</v>
      </c>
      <c r="M2082" t="s">
        <v>40682</v>
      </c>
      <c r="N2082">
        <f>-558.931554759679 -85.0638101893063 -773.244800133064</f>
        <v>-1417.2401650820493</v>
      </c>
      <c r="O2082">
        <f>-548.484904397312 -226.376262512049 -733.96599202689</f>
        <v>-1508.8271589362512</v>
      </c>
      <c r="P2082">
        <f>-532.845074971558 -225.464677344725 -417.831890498589</f>
        <v>-1176.1416428148721</v>
      </c>
      <c r="Q2082">
        <f>-325.949151980908 -75.5701112824899 -466.491442970756</f>
        <v>-868.01070623415399</v>
      </c>
      <c r="R2082" t="s">
        <v>40683</v>
      </c>
      <c r="S2082" t="s">
        <v>40684</v>
      </c>
      <c r="T2082" t="s">
        <v>40685</v>
      </c>
      <c r="U2082" t="s">
        <v>40686</v>
      </c>
      <c r="V2082">
        <f>-511.08983666394 -93.1310565343261 -237.714376352374</f>
        <v>-841.9352695506401</v>
      </c>
      <c r="W2082" t="s">
        <v>40687</v>
      </c>
      <c r="X2082" t="s">
        <v>40688</v>
      </c>
      <c r="Y2082" t="s">
        <v>40689</v>
      </c>
    </row>
    <row r="2083" spans="1:25" x14ac:dyDescent="0.3">
      <c r="A2083">
        <v>104100</v>
      </c>
      <c r="B2083" t="s">
        <v>40690</v>
      </c>
      <c r="C2083" t="s">
        <v>40691</v>
      </c>
      <c r="D2083">
        <f>-552.665315543503 -2.36673899196764 -357.586724632166</f>
        <v>-912.6187791676366</v>
      </c>
      <c r="E2083">
        <f>-567.784725448863 -14.241873600245 -477.25685572561</f>
        <v>-1059.2834547747179</v>
      </c>
      <c r="F2083">
        <f>-572.525568287041 -26.9343793112132 -585.936528083503</f>
        <v>-1185.3964756817572</v>
      </c>
      <c r="G2083">
        <f>-568.421654552104 -41.5664192702211 -694.398104436272</f>
        <v>-1304.3861782585971</v>
      </c>
      <c r="H2083">
        <f>-553.522131993384 -63.904075710033 -844.328188291972</f>
        <v>-1461.7543959953891</v>
      </c>
      <c r="I2083">
        <f>-516.960533582817 -71.0122696543522 -939.173998119427</f>
        <v>-1527.1468013565961</v>
      </c>
      <c r="J2083">
        <f>-561.081498337871 -22.6022899318613 -782.765786638957</f>
        <v>-1366.4495749086893</v>
      </c>
      <c r="K2083" t="s">
        <v>40692</v>
      </c>
      <c r="L2083" t="s">
        <v>40693</v>
      </c>
      <c r="M2083" t="s">
        <v>40694</v>
      </c>
      <c r="N2083">
        <f>-559.147967475026 -85.4384340058703 -773.211842648482</f>
        <v>-1417.7982441293784</v>
      </c>
      <c r="O2083">
        <f>-548.820987189461 -226.757234008489 -733.899374534216</f>
        <v>-1509.477595732166</v>
      </c>
      <c r="P2083">
        <f>-532.720924891483 -225.550745500969 -417.789409192347</f>
        <v>-1176.061079584799</v>
      </c>
      <c r="Q2083">
        <f>-325.65248030096 -76.1487600648535 -467.223702622662</f>
        <v>-869.02494298847546</v>
      </c>
      <c r="R2083" t="s">
        <v>40695</v>
      </c>
      <c r="S2083" t="s">
        <v>40696</v>
      </c>
      <c r="T2083" t="s">
        <v>40697</v>
      </c>
      <c r="U2083" t="s">
        <v>40698</v>
      </c>
      <c r="V2083">
        <f>-511.145299870483 -93.7041405013464 -237.705351322062</f>
        <v>-842.55479169389139</v>
      </c>
      <c r="W2083" t="s">
        <v>40699</v>
      </c>
      <c r="X2083" t="s">
        <v>40700</v>
      </c>
      <c r="Y2083" t="s">
        <v>40701</v>
      </c>
    </row>
    <row r="2084" spans="1:25" x14ac:dyDescent="0.3">
      <c r="A2084">
        <v>104150</v>
      </c>
      <c r="B2084" t="s">
        <v>40702</v>
      </c>
      <c r="C2084" t="s">
        <v>40703</v>
      </c>
      <c r="D2084">
        <f>-552.198708103362 -2.70182432078802 -357.57542207621</f>
        <v>-912.47595450035999</v>
      </c>
      <c r="E2084">
        <f>-567.433472138809 -14.5373468289457 -477.234914197349</f>
        <v>-1059.2057331651035</v>
      </c>
      <c r="F2084">
        <f>-572.345685905507 -27.2653033512883 -585.902845751399</f>
        <v>-1185.5138350081943</v>
      </c>
      <c r="G2084">
        <f>-568.479344466366 -42.000630979664 -694.359097411631</f>
        <v>-1304.839072857661</v>
      </c>
      <c r="H2084">
        <f>-553.977249824639 -64.5497128414392 -844.296523920278</f>
        <v>-1462.823486586356</v>
      </c>
      <c r="I2084">
        <f>-517.732398219895 -71.796540348163 -939.253239347281</f>
        <v>-1528.7821779153392</v>
      </c>
      <c r="J2084">
        <f>-561.249825950572 -23.1557957220589 -782.761420840124</f>
        <v>-1367.167042512755</v>
      </c>
      <c r="K2084" t="s">
        <v>40704</v>
      </c>
      <c r="L2084" t="s">
        <v>40705</v>
      </c>
      <c r="M2084" t="s">
        <v>40706</v>
      </c>
      <c r="N2084">
        <f>-559.538132136435 -85.989087159594 -773.146401786052</f>
        <v>-1418.6736210820809</v>
      </c>
      <c r="O2084">
        <f>-549.566914614879 -227.330556186938 -733.826447190329</f>
        <v>-1510.723917992146</v>
      </c>
      <c r="P2084">
        <f>-533.09839410538 -225.894765223921 -417.73629846311</f>
        <v>-1176.729457792411</v>
      </c>
      <c r="Q2084">
        <f>-325.007990851196 -78.1556022384608 -467.871915596335</f>
        <v>-871.03550868599177</v>
      </c>
      <c r="R2084" t="s">
        <v>40707</v>
      </c>
      <c r="S2084" t="s">
        <v>40708</v>
      </c>
      <c r="T2084" t="s">
        <v>40709</v>
      </c>
      <c r="U2084" t="s">
        <v>40710</v>
      </c>
      <c r="V2084">
        <f>-511.246162086351 -94.1649729408604 -237.661436803379</f>
        <v>-843.07257183059028</v>
      </c>
      <c r="W2084" t="s">
        <v>40711</v>
      </c>
      <c r="X2084" t="s">
        <v>40712</v>
      </c>
      <c r="Y2084" t="s">
        <v>40713</v>
      </c>
    </row>
    <row r="2085" spans="1:25" x14ac:dyDescent="0.3">
      <c r="A2085">
        <v>104200</v>
      </c>
      <c r="B2085" t="s">
        <v>40714</v>
      </c>
      <c r="C2085" t="s">
        <v>40715</v>
      </c>
      <c r="D2085">
        <f>-551.772992078131 -2.81200779293106 -357.587607827611</f>
        <v>-912.172607698673</v>
      </c>
      <c r="E2085">
        <f>-567.057742377482 -14.6649695289756 -477.238940697989</f>
        <v>-1058.9616526044465</v>
      </c>
      <c r="F2085">
        <f>-572.069217503924 -27.4483959768522 -585.895940612919</f>
        <v>-1185.4135540936954</v>
      </c>
      <c r="G2085">
        <f>-568.355870561029 -42.2786976469868 -694.344527740388</f>
        <v>-1304.9790959484037</v>
      </c>
      <c r="H2085">
        <f>-554.121763382805 -65.0007547615132 -844.281562960523</f>
        <v>-1463.4040811048412</v>
      </c>
      <c r="I2085">
        <f>-518.012605139681 -72.3531324244538 -939.281909756279</f>
        <v>-1529.6476473204139</v>
      </c>
      <c r="J2085">
        <f>-561.208888751611 -23.5329019494742 -782.774538270562</f>
        <v>-1367.516328971647</v>
      </c>
      <c r="K2085" t="s">
        <v>40716</v>
      </c>
      <c r="L2085" t="s">
        <v>40717</v>
      </c>
      <c r="M2085" t="s">
        <v>40718</v>
      </c>
      <c r="N2085">
        <f>-559.630907817854 -86.3610324345842 -773.103534679374</f>
        <v>-1419.0954749318121</v>
      </c>
      <c r="O2085">
        <f>-549.781630378294 -227.708909485045 -733.782461652277</f>
        <v>-1511.2730015156162</v>
      </c>
      <c r="P2085">
        <f>-533.315005383726 -226.21377363949 -417.692595800139</f>
        <v>-1177.2213748233548</v>
      </c>
      <c r="Q2085">
        <f>-324.57672018812 -79.4138260968905 -467.893778857865</f>
        <v>-871.88432514287547</v>
      </c>
      <c r="R2085" t="s">
        <v>40719</v>
      </c>
      <c r="S2085" t="s">
        <v>40720</v>
      </c>
      <c r="T2085" t="s">
        <v>40721</v>
      </c>
      <c r="U2085" t="s">
        <v>40722</v>
      </c>
      <c r="V2085">
        <f>-511.059310014506 -94.2881212524732 -237.692083773193</f>
        <v>-843.0395150401722</v>
      </c>
      <c r="W2085" t="s">
        <v>40723</v>
      </c>
      <c r="X2085" t="s">
        <v>40724</v>
      </c>
      <c r="Y2085" t="s">
        <v>40725</v>
      </c>
    </row>
    <row r="2086" spans="1:25" x14ac:dyDescent="0.3">
      <c r="A2086">
        <v>104250</v>
      </c>
      <c r="B2086" t="s">
        <v>40726</v>
      </c>
      <c r="C2086" t="s">
        <v>40727</v>
      </c>
      <c r="D2086">
        <f>-550.866197661123 -2.28474756072765 -357.6416951878</f>
        <v>-910.79264040965063</v>
      </c>
      <c r="E2086">
        <f>-566.310388940566 -14.1987091728092 -477.266540849357</f>
        <v>-1057.7756389627323</v>
      </c>
      <c r="F2086">
        <f>-571.567957352174 -27.1068548137369 -585.896990882946</f>
        <v>-1184.571803048857</v>
      </c>
      <c r="G2086">
        <f>-568.202807543982 -42.1339730068736 -694.330072587939</f>
        <v>-1304.6668531387945</v>
      </c>
      <c r="H2086">
        <f>-554.558235982573 -65.2074848649762 -844.268229114296</f>
        <v>-1464.0339499618453</v>
      </c>
      <c r="I2086">
        <f>-518.683077514491 -72.7921850137672 -939.338788510912</f>
        <v>-1530.81405103917</v>
      </c>
      <c r="J2086">
        <f>-561.238850936411 -23.5894888882947 -782.817072572045</f>
        <v>-1367.6454123967508</v>
      </c>
      <c r="K2086" t="s">
        <v>40728</v>
      </c>
      <c r="L2086" t="s">
        <v>40729</v>
      </c>
      <c r="M2086" t="s">
        <v>40730</v>
      </c>
      <c r="N2086">
        <f>-559.952311723062 -86.4068091256898 -773.033272650997</f>
        <v>-1419.3923934997488</v>
      </c>
      <c r="O2086">
        <f>-550.498679338302 -227.743681069125 -733.560945297925</f>
        <v>-1511.8033057053519</v>
      </c>
      <c r="P2086">
        <f>-533.745625813764 -226.336054629931 -417.485793815756</f>
        <v>-1177.567474259451</v>
      </c>
      <c r="Q2086">
        <f>-324.272722450194 -80.7262242492856 -468.091311394948</f>
        <v>-873.09025809442755</v>
      </c>
      <c r="R2086" t="s">
        <v>40731</v>
      </c>
      <c r="S2086" t="s">
        <v>40732</v>
      </c>
      <c r="T2086" t="s">
        <v>40733</v>
      </c>
      <c r="U2086" t="s">
        <v>40734</v>
      </c>
      <c r="V2086">
        <f>-510.55538076355 -93.8538604421188 -237.73886511072</f>
        <v>-842.14810631638875</v>
      </c>
      <c r="W2086" t="s">
        <v>40735</v>
      </c>
      <c r="X2086" t="s">
        <v>40736</v>
      </c>
      <c r="Y2086" t="s">
        <v>40737</v>
      </c>
    </row>
    <row r="2087" spans="1:25" x14ac:dyDescent="0.3">
      <c r="A2087">
        <v>104300</v>
      </c>
      <c r="B2087" t="s">
        <v>40738</v>
      </c>
      <c r="C2087" t="s">
        <v>40739</v>
      </c>
      <c r="D2087">
        <f>-550.444493634069 -2.19795132394923 -357.679686799783</f>
        <v>-910.32213175780123</v>
      </c>
      <c r="E2087">
        <f>-565.999974229394 -14.1604307670367 -477.285286295094</f>
        <v>-1057.4456912915248</v>
      </c>
      <c r="F2087">
        <f>-571.3980239927 -27.1505034315538 -585.899175231145</f>
        <v>-1184.4477026553989</v>
      </c>
      <c r="G2087">
        <f>-568.213033590745 -42.2973754344922 -694.320961185587</f>
        <v>-1304.8313702108242</v>
      </c>
      <c r="H2087">
        <f>-554.859391481913 -65.5766686362745 -844.253458469655</f>
        <v>-1464.6895185878425</v>
      </c>
      <c r="I2087">
        <f>-519.08690183044 -73.2889397425637 -939.352504248634</f>
        <v>-1531.7283458216375</v>
      </c>
      <c r="J2087">
        <f>-561.360337278798 -23.8723732510108 -782.841598605202</f>
        <v>-1368.0743091350109</v>
      </c>
      <c r="K2087" t="s">
        <v>40740</v>
      </c>
      <c r="L2087" t="s">
        <v>40741</v>
      </c>
      <c r="M2087" t="s">
        <v>40742</v>
      </c>
      <c r="N2087">
        <f>-560.175610080087 -86.6802146544499 -772.984218352887</f>
        <v>-1419.840043087424</v>
      </c>
      <c r="O2087">
        <f>-550.815292660439 -228.004591366213 -733.443446278639</f>
        <v>-1512.2633303052912</v>
      </c>
      <c r="P2087">
        <f>-533.818017504676 -226.402982882381 -417.382174940992</f>
        <v>-1177.603175328049</v>
      </c>
      <c r="Q2087">
        <f>-324.241141327911 -81.0110560604922 -468.18369519655</f>
        <v>-873.43589258495319</v>
      </c>
      <c r="R2087" t="s">
        <v>40743</v>
      </c>
      <c r="S2087" t="s">
        <v>40744</v>
      </c>
      <c r="T2087" t="s">
        <v>40745</v>
      </c>
      <c r="U2087" t="s">
        <v>40746</v>
      </c>
      <c r="V2087">
        <f>-510.26767205414 -93.8783003617518 -237.721869512828</f>
        <v>-841.86784192871983</v>
      </c>
      <c r="W2087" t="s">
        <v>40747</v>
      </c>
      <c r="X2087" t="s">
        <v>40748</v>
      </c>
      <c r="Y2087" t="s">
        <v>40749</v>
      </c>
    </row>
    <row r="2088" spans="1:25" x14ac:dyDescent="0.3">
      <c r="A2088">
        <v>104350</v>
      </c>
      <c r="B2088" t="s">
        <v>40750</v>
      </c>
      <c r="C2088" t="s">
        <v>40751</v>
      </c>
      <c r="D2088">
        <f>-550.152729500832 -1.38130446236801 -357.629056167122</f>
        <v>-909.16309013032196</v>
      </c>
      <c r="E2088">
        <f>-565.948122509114 -13.4697922339077 -477.190574017403</f>
        <v>-1056.6084887604247</v>
      </c>
      <c r="F2088">
        <f>-571.641737840705 -26.62324096521 -585.76962035505</f>
        <v>-1184.0345991609652</v>
      </c>
      <c r="G2088">
        <f>-568.829852495268 -41.9819718517465 -694.171853158633</f>
        <v>-1304.9836775056474</v>
      </c>
      <c r="H2088">
        <f>-556.074001118717 -65.6053929577119 -844.102674173544</f>
        <v>-1465.7820682499728</v>
      </c>
      <c r="I2088">
        <f>-520.5375851392 -73.5575762450831 -939.270452993492</f>
        <v>-1533.365614377775</v>
      </c>
      <c r="J2088">
        <f>-562.23705890653 -23.7573761845883 -782.753780161681</f>
        <v>-1368.7482152527994</v>
      </c>
      <c r="K2088" t="s">
        <v>40752</v>
      </c>
      <c r="L2088" t="s">
        <v>40753</v>
      </c>
      <c r="M2088" t="s">
        <v>40754</v>
      </c>
      <c r="N2088">
        <f>-561.199067376888 -86.5481700730501 -772.772073414263</f>
        <v>-1420.5193108642011</v>
      </c>
      <c r="O2088">
        <f>-551.871854620894 -227.856587555612 -733.154293137835</f>
        <v>-1512.8827353143411</v>
      </c>
      <c r="P2088">
        <f>-534.46369875188 -226.235471971922 -417.115552615002</f>
        <v>-1177.814723338804</v>
      </c>
      <c r="Q2088">
        <f>-325.030352597918 -80.7873373961425 -468.346073214903</f>
        <v>-874.16376320896347</v>
      </c>
      <c r="R2088" t="s">
        <v>40755</v>
      </c>
      <c r="S2088" t="s">
        <v>40756</v>
      </c>
      <c r="T2088" t="s">
        <v>40757</v>
      </c>
      <c r="U2088" t="s">
        <v>40758</v>
      </c>
      <c r="V2088">
        <f>-510.246424520024 -92.9887876707226 -237.609500012551</f>
        <v>-840.8447122032976</v>
      </c>
      <c r="W2088" t="s">
        <v>40759</v>
      </c>
      <c r="X2088" t="s">
        <v>40760</v>
      </c>
      <c r="Y2088" t="s">
        <v>40761</v>
      </c>
    </row>
    <row r="2089" spans="1:25" x14ac:dyDescent="0.3">
      <c r="A2089">
        <v>104400</v>
      </c>
      <c r="B2089" t="s">
        <v>40762</v>
      </c>
      <c r="C2089" t="s">
        <v>40763</v>
      </c>
      <c r="D2089">
        <f>-550.288085735149 -0.98660355667834 -357.520577889173</f>
        <v>-908.79526718100033</v>
      </c>
      <c r="E2089">
        <f>-566.19767390694 -13.1258478833985 -477.061715934224</f>
        <v>-1056.3852377245626</v>
      </c>
      <c r="F2089">
        <f>-571.973211941546 -26.3525645206787 -585.627558377244</f>
        <v>-1183.9533348394687</v>
      </c>
      <c r="G2089">
        <f>-569.221513258568 -41.8114562414884 -694.017179006256</f>
        <v>-1305.0501485063123</v>
      </c>
      <c r="H2089">
        <f>-556.526560681302 -65.6017133366958 -843.926648767931</f>
        <v>-1466.0549227859287</v>
      </c>
      <c r="I2089">
        <f>-521.023777903331 -73.6791027009699 -939.096427043015</f>
        <v>-1533.7993076473158</v>
      </c>
      <c r="J2089">
        <f>-562.616897809106 -23.6840745965034 -782.618161045014</f>
        <v>-1368.9191334506233</v>
      </c>
      <c r="K2089" t="s">
        <v>40764</v>
      </c>
      <c r="L2089" t="s">
        <v>40765</v>
      </c>
      <c r="M2089" t="s">
        <v>40766</v>
      </c>
      <c r="N2089">
        <f>-561.670482530819 -86.4664562247693 -772.57456843963</f>
        <v>-1420.7115071952182</v>
      </c>
      <c r="O2089">
        <f>-552.291290446412 -227.774046524899 -732.961312628607</f>
        <v>-1513.0266495999178</v>
      </c>
      <c r="P2089">
        <f>-534.726791399257 -226.127520809081 -416.931343426782</f>
        <v>-1177.7856556351201</v>
      </c>
      <c r="Q2089">
        <f>-325.533979317255 -80.4474387343714 -468.484612127614</f>
        <v>-874.46603017924042</v>
      </c>
      <c r="R2089" t="s">
        <v>40767</v>
      </c>
      <c r="S2089" t="s">
        <v>40768</v>
      </c>
      <c r="T2089" t="s">
        <v>40769</v>
      </c>
      <c r="U2089" t="s">
        <v>40770</v>
      </c>
      <c r="V2089">
        <f>-510.331167560756 -92.4792243605204 -237.505716510874</f>
        <v>-840.31610843215037</v>
      </c>
      <c r="W2089" t="s">
        <v>40771</v>
      </c>
      <c r="X2089" t="s">
        <v>40772</v>
      </c>
      <c r="Y2089" t="s">
        <v>40773</v>
      </c>
    </row>
    <row r="2090" spans="1:25" x14ac:dyDescent="0.3">
      <c r="A2090">
        <v>104450</v>
      </c>
      <c r="B2090" t="s">
        <v>40774</v>
      </c>
      <c r="C2090" t="s">
        <v>40775</v>
      </c>
      <c r="D2090" t="s">
        <v>40776</v>
      </c>
      <c r="E2090">
        <f>-567.335454904323 -11.6951278376989 -476.831217478283</f>
        <v>-1055.861800220305</v>
      </c>
      <c r="F2090">
        <f>-573.223928632351 -25.0260085445075 -585.378352677648</f>
        <v>-1183.6282898545064</v>
      </c>
      <c r="G2090">
        <f>-570.481377692695 -40.6058713060917 -693.750771839743</f>
        <v>-1304.8380208385297</v>
      </c>
      <c r="H2090">
        <f>-557.692331317903 -64.5842507101019 -843.622404824818</f>
        <v>-1465.8989868528229</v>
      </c>
      <c r="I2090">
        <f>-522.150148711963 -72.8498939552097 -938.76135119309</f>
        <v>-1533.7613938602626</v>
      </c>
      <c r="J2090">
        <f>-563.752981748379 -22.58786999737 -782.364893889404</f>
        <v>-1368.7057456351531</v>
      </c>
      <c r="K2090" t="s">
        <v>40777</v>
      </c>
      <c r="L2090" t="s">
        <v>40778</v>
      </c>
      <c r="M2090" t="s">
        <v>40779</v>
      </c>
      <c r="N2090">
        <f>-562.949164342249 -85.3612877309059 -772.252881005587</f>
        <v>-1420.5633330787418</v>
      </c>
      <c r="O2090">
        <f>-553.673172424284 -226.666458578356 -732.665401667297</f>
        <v>-1513.005032669937</v>
      </c>
      <c r="P2090">
        <f>-536.017479126543 -225.179348944223 -416.639736747886</f>
        <v>-1177.8365648186518</v>
      </c>
      <c r="Q2090">
        <f>-327.151489145698 -79.2296420649764 -468.752400202763</f>
        <v>-875.13353141343737</v>
      </c>
      <c r="R2090" t="s">
        <v>40780</v>
      </c>
      <c r="S2090" t="s">
        <v>40781</v>
      </c>
      <c r="T2090" t="s">
        <v>40782</v>
      </c>
      <c r="U2090" t="s">
        <v>40783</v>
      </c>
      <c r="V2090">
        <f>-510.881276975814 -90.5073966746946 -237.449592901672</f>
        <v>-838.83826655218058</v>
      </c>
      <c r="W2090" t="s">
        <v>40784</v>
      </c>
      <c r="X2090" t="s">
        <v>40785</v>
      </c>
      <c r="Y2090" t="s">
        <v>40786</v>
      </c>
    </row>
    <row r="2091" spans="1:25" x14ac:dyDescent="0.3">
      <c r="A2091">
        <v>104500</v>
      </c>
      <c r="B2091" t="s">
        <v>40787</v>
      </c>
      <c r="C2091" t="s">
        <v>40788</v>
      </c>
      <c r="D2091" t="s">
        <v>40789</v>
      </c>
      <c r="E2091">
        <f>-567.796278642662 -11.1345210521212 -476.802531853945</f>
        <v>-1055.7333315487281</v>
      </c>
      <c r="F2091">
        <f>-573.730889176567 -24.5164451069495 -585.340821961449</f>
        <v>-1183.5881562449654</v>
      </c>
      <c r="G2091">
        <f>-570.99959207159 -40.1527249370429 -693.705483744778</f>
        <v>-1304.8578007534109</v>
      </c>
      <c r="H2091">
        <f>-558.190635416373 -64.217133220492 -843.561539275228</f>
        <v>-1465.969307912093</v>
      </c>
      <c r="I2091">
        <f>-522.591618144014 -72.6064233002741 -938.668541262387</f>
        <v>-1533.866582706675</v>
      </c>
      <c r="J2091">
        <f>-564.239691445395 -22.1850677195728 -782.327419411107</f>
        <v>-1368.7521785760748</v>
      </c>
      <c r="K2091" t="s">
        <v>40790</v>
      </c>
      <c r="L2091" t="s">
        <v>40791</v>
      </c>
      <c r="M2091" t="s">
        <v>40792</v>
      </c>
      <c r="N2091">
        <f>-563.476708106916 -84.9536640524908 -772.182574645781</f>
        <v>-1420.6129468051877</v>
      </c>
      <c r="O2091">
        <f>-554.151418151329 -226.268713855366 -732.602930156277</f>
        <v>-1513.0230621629721</v>
      </c>
      <c r="P2091">
        <f>-536.552092443502 -224.964540756058 -416.573151171207</f>
        <v>-1178.0897843707671</v>
      </c>
      <c r="Q2091">
        <f>-327.715006694604 -79.0090455230647 -468.785501040873</f>
        <v>-875.5095532585417</v>
      </c>
      <c r="R2091" t="s">
        <v>40793</v>
      </c>
      <c r="S2091" t="s">
        <v>40794</v>
      </c>
      <c r="T2091" t="s">
        <v>40795</v>
      </c>
      <c r="U2091" t="s">
        <v>40796</v>
      </c>
      <c r="V2091">
        <f>-511.070085752962 -89.7850864173066 -237.49795498595</f>
        <v>-838.35312715621853</v>
      </c>
      <c r="W2091" t="s">
        <v>40797</v>
      </c>
      <c r="X2091" t="s">
        <v>40798</v>
      </c>
      <c r="Y2091" t="s">
        <v>40799</v>
      </c>
    </row>
    <row r="2092" spans="1:25" x14ac:dyDescent="0.3">
      <c r="A2092">
        <v>104550</v>
      </c>
      <c r="B2092" t="s">
        <v>40800</v>
      </c>
      <c r="C2092" t="s">
        <v>40801</v>
      </c>
      <c r="D2092" t="s">
        <v>40802</v>
      </c>
      <c r="E2092">
        <f>-568.234871781693 -9.87809180903088 -476.897907191337</f>
        <v>-1055.0108707820609</v>
      </c>
      <c r="F2092">
        <f>-574.119316193549 -23.301705043303 -585.433755792506</f>
        <v>-1182.854777029358</v>
      </c>
      <c r="G2092">
        <f>-571.357328280835 -39.0069212978548 -693.787666062332</f>
        <v>-1304.1519156410218</v>
      </c>
      <c r="H2092">
        <f>-558.52692970376 -63.197619393049 -843.621472284859</f>
        <v>-1465.3460213816679</v>
      </c>
      <c r="I2092">
        <f>-522.792055758184 -71.8204473247432 -938.656533013383</f>
        <v>-1533.2690360963102</v>
      </c>
      <c r="J2092">
        <f>-564.571767800033 -21.1136293614653 -782.42261157913</f>
        <v>-1368.1080087406283</v>
      </c>
      <c r="K2092" t="s">
        <v>40803</v>
      </c>
      <c r="L2092" t="s">
        <v>40804</v>
      </c>
      <c r="M2092" t="s">
        <v>40805</v>
      </c>
      <c r="N2092">
        <f>-563.836261287842 -83.8743513272706 -772.226904660902</f>
        <v>-1419.9375172760147</v>
      </c>
      <c r="O2092">
        <f>-554.430356911234 -225.180780980446 -732.672646628022</f>
        <v>-1512.2837845197018</v>
      </c>
      <c r="P2092">
        <f>-537.219613208531 -223.599984638217 -416.622847043063</f>
        <v>-1177.442444889811</v>
      </c>
      <c r="Q2092">
        <f>-328.306826839982 -77.926194595788 -469.316757322775</f>
        <v>-875.54977875854502</v>
      </c>
      <c r="R2092" t="s">
        <v>40806</v>
      </c>
      <c r="S2092" t="s">
        <v>40807</v>
      </c>
      <c r="T2092" t="s">
        <v>40808</v>
      </c>
      <c r="U2092" t="s">
        <v>40809</v>
      </c>
      <c r="V2092">
        <f>-511.567406258242 -88.6568337245794 -237.615517750855</f>
        <v>-837.83975773367638</v>
      </c>
      <c r="W2092" t="s">
        <v>40810</v>
      </c>
      <c r="X2092" t="s">
        <v>40811</v>
      </c>
      <c r="Y2092" t="s">
        <v>40812</v>
      </c>
    </row>
    <row r="2093" spans="1:25" x14ac:dyDescent="0.3">
      <c r="A2093">
        <v>104600</v>
      </c>
      <c r="B2093" t="s">
        <v>40813</v>
      </c>
      <c r="C2093" t="s">
        <v>40814</v>
      </c>
      <c r="D2093" t="s">
        <v>40815</v>
      </c>
      <c r="E2093">
        <f>-568.712294749311 -9.05027381594804 -476.984639082257</f>
        <v>-1054.747207647516</v>
      </c>
      <c r="F2093">
        <f>-574.565381512017 -22.4751439012068 -585.522041439535</f>
        <v>-1182.5625668527587</v>
      </c>
      <c r="G2093">
        <f>-571.753472660501 -38.1968928444331 -693.87216086261</f>
        <v>-1303.822526367544</v>
      </c>
      <c r="H2093">
        <f>-558.835001801646 -62.42675670528 -843.69220487554</f>
        <v>-1464.9539633824661</v>
      </c>
      <c r="I2093">
        <f>-523.037968766961 -71.1540589843579 -938.694264777961</f>
        <v>-1532.8862925292799</v>
      </c>
      <c r="J2093">
        <f>-564.900373704043 -20.3264392477365 -782.506587364862</f>
        <v>-1367.7334003166416</v>
      </c>
      <c r="K2093" t="s">
        <v>40816</v>
      </c>
      <c r="L2093" t="s">
        <v>40817</v>
      </c>
      <c r="M2093" t="s">
        <v>40818</v>
      </c>
      <c r="N2093">
        <f>-564.201616089552 -83.0852082853477 -772.29644845919</f>
        <v>-1419.5832728340897</v>
      </c>
      <c r="O2093">
        <f>-554.88677688224 -224.401610440122 -732.705287295283</f>
        <v>-1511.993674617645</v>
      </c>
      <c r="P2093">
        <f>-537.883794197894 -222.53452806194 -416.645808949886</f>
        <v>-1177.06413120972</v>
      </c>
      <c r="Q2093">
        <f>-328.821492587408 -77.1822303974574 -469.633751178437</f>
        <v>-875.63747416330239</v>
      </c>
      <c r="R2093" t="s">
        <v>40819</v>
      </c>
      <c r="S2093" t="s">
        <v>40820</v>
      </c>
      <c r="T2093" t="s">
        <v>40821</v>
      </c>
      <c r="U2093" t="s">
        <v>40822</v>
      </c>
      <c r="V2093">
        <f>-512.088481673621 -87.9674932387862 -237.706934996594</f>
        <v>-837.76290990900122</v>
      </c>
      <c r="W2093" t="s">
        <v>40823</v>
      </c>
      <c r="X2093" t="s">
        <v>40824</v>
      </c>
      <c r="Y2093" t="s">
        <v>40825</v>
      </c>
    </row>
    <row r="2094" spans="1:25" x14ac:dyDescent="0.3">
      <c r="A2094">
        <v>104650</v>
      </c>
      <c r="B2094" t="s">
        <v>40826</v>
      </c>
      <c r="C2094" t="s">
        <v>40827</v>
      </c>
      <c r="D2094" t="s">
        <v>40828</v>
      </c>
      <c r="E2094">
        <f>-569.093418447207 -7.6101437201266 -477.281874760568</f>
        <v>-1053.9854369279017</v>
      </c>
      <c r="F2094">
        <f>-574.745581288568 -20.9968930557633 -585.834559378765</f>
        <v>-1181.5770337230963</v>
      </c>
      <c r="G2094">
        <f>-571.777810966514 -36.7361945675881 -694.178089280891</f>
        <v>-1302.6920948149932</v>
      </c>
      <c r="H2094">
        <f>-558.691414560919 -61.0505499772823 -843.969926939873</f>
        <v>-1463.7118914780744</v>
      </c>
      <c r="I2094">
        <f>-522.819822621545 -69.9849680173867 -938.924451114928</f>
        <v>-1531.7292417538597</v>
      </c>
      <c r="J2094">
        <f>-564.742029373767 -18.913730725886 -782.8077087764</f>
        <v>-1366.463468876053</v>
      </c>
      <c r="K2094" t="s">
        <v>40829</v>
      </c>
      <c r="L2094" t="s">
        <v>40830</v>
      </c>
      <c r="M2094" t="s">
        <v>40831</v>
      </c>
      <c r="N2094">
        <f>-564.221486800132 -81.670633253383 -772.575504610475</f>
        <v>-1418.4676246639901</v>
      </c>
      <c r="O2094">
        <f>-555.316209036191 -222.953236520523 -732.821429902696</f>
        <v>-1511.09087545941</v>
      </c>
      <c r="P2094">
        <f>-538.468917912306 -220.489298039381 -416.757641954999</f>
        <v>-1175.7158579066859</v>
      </c>
      <c r="Q2094">
        <f>-328.829477672773 -76.1016804921101 -470.101535656276</f>
        <v>-875.03269382115911</v>
      </c>
      <c r="R2094" t="s">
        <v>40832</v>
      </c>
      <c r="S2094" t="s">
        <v>40833</v>
      </c>
      <c r="T2094" t="s">
        <v>40834</v>
      </c>
      <c r="U2094" t="s">
        <v>40835</v>
      </c>
      <c r="V2094">
        <f>-513.233959059119 -86.6948597330087 -237.96237699709</f>
        <v>-837.8911957892177</v>
      </c>
      <c r="W2094" t="s">
        <v>40836</v>
      </c>
      <c r="X2094" t="s">
        <v>40837</v>
      </c>
      <c r="Y2094" t="s">
        <v>40838</v>
      </c>
    </row>
    <row r="2095" spans="1:25" x14ac:dyDescent="0.3">
      <c r="A2095">
        <v>104700</v>
      </c>
      <c r="B2095" t="s">
        <v>40839</v>
      </c>
      <c r="C2095" t="s">
        <v>40840</v>
      </c>
      <c r="D2095" t="s">
        <v>40841</v>
      </c>
      <c r="E2095">
        <f>-569.339141200409 -6.83353369429152 -477.524147202211</f>
        <v>-1053.6968220969115</v>
      </c>
      <c r="F2095">
        <f>-574.908407513425 -20.1943411295818 -586.084393707824</f>
        <v>-1181.187142350831</v>
      </c>
      <c r="G2095">
        <f>-571.849107341665 -35.9435616401972 -694.423793237887</f>
        <v>-1302.2164622197492</v>
      </c>
      <c r="H2095">
        <f>-558.627687703009 -60.3100260714054 -844.195373702273</f>
        <v>-1463.1330874766873</v>
      </c>
      <c r="I2095">
        <f>-522.710635752106 -69.3178033405124 -939.125870176192</f>
        <v>-1531.1543092688103</v>
      </c>
      <c r="J2095">
        <f>-564.667091659604 -18.1505690805564 -783.047662019705</f>
        <v>-1365.8653227598652</v>
      </c>
      <c r="K2095" t="s">
        <v>40842</v>
      </c>
      <c r="L2095" t="s">
        <v>40843</v>
      </c>
      <c r="M2095" t="s">
        <v>40844</v>
      </c>
      <c r="N2095">
        <f>-564.288379589149 -80.9066783978886 -772.804412250545</f>
        <v>-1417.9994702375827</v>
      </c>
      <c r="O2095">
        <f>-555.727853939601 -222.211573559581 -732.982643152442</f>
        <v>-1510.9220706516239</v>
      </c>
      <c r="P2095">
        <f>-538.939466283349 -219.527110709848 -416.917415392728</f>
        <v>-1175.383992385925</v>
      </c>
      <c r="Q2095">
        <f>-329.035454120816 -75.6101310835874 -470.492064052902</f>
        <v>-875.13764925730538</v>
      </c>
      <c r="R2095" t="s">
        <v>40845</v>
      </c>
      <c r="S2095" t="s">
        <v>40846</v>
      </c>
      <c r="T2095" t="s">
        <v>40847</v>
      </c>
      <c r="U2095" t="s">
        <v>40848</v>
      </c>
      <c r="V2095">
        <f>-513.7568648227 -86.4107993600307 -238.191981159512</f>
        <v>-838.35964534224274</v>
      </c>
      <c r="W2095" t="s">
        <v>40849</v>
      </c>
      <c r="X2095" t="s">
        <v>40850</v>
      </c>
      <c r="Y2095" t="s">
        <v>40851</v>
      </c>
    </row>
    <row r="2096" spans="1:25" x14ac:dyDescent="0.3">
      <c r="A2096">
        <v>104750</v>
      </c>
      <c r="B2096" t="s">
        <v>40852</v>
      </c>
      <c r="C2096" t="s">
        <v>40853</v>
      </c>
      <c r="D2096" t="s">
        <v>40854</v>
      </c>
      <c r="E2096">
        <f>-568.902529033968 -5.64324198056055 -478.154564179435</f>
        <v>-1052.7003351939636</v>
      </c>
      <c r="F2096">
        <f>-574.203931478307 -18.8312909770586 -586.749403086445</f>
        <v>-1179.7846255418108</v>
      </c>
      <c r="G2096">
        <f>-570.978641579196 -34.4614481165704 -695.101296924453</f>
        <v>-1300.5413866202193</v>
      </c>
      <c r="H2096">
        <f>-557.633256931858 -58.7184185669506 -844.879515479625</f>
        <v>-1461.2311909784335</v>
      </c>
      <c r="I2096">
        <f>-521.776790332697 -67.8168596528037 -939.82425318358</f>
        <v>-1529.4179031690808</v>
      </c>
      <c r="J2096">
        <f>-563.588706119089 -16.6013019734711 -783.694483610252</f>
        <v>-1363.8844917028121</v>
      </c>
      <c r="K2096" t="s">
        <v>40855</v>
      </c>
      <c r="L2096" t="s">
        <v>40856</v>
      </c>
      <c r="M2096" t="s">
        <v>40857</v>
      </c>
      <c r="N2096">
        <f>-563.487621010674 -79.3696519098069 -773.520040893961</f>
        <v>-1416.377313814442</v>
      </c>
      <c r="O2096">
        <f>-555.763366643986 -220.706116546564 -733.635290811153</f>
        <v>-1510.1047740017029</v>
      </c>
      <c r="P2096">
        <f>-538.969824283271 -218.131253413642 -417.569644678418</f>
        <v>-1174.670722375331</v>
      </c>
      <c r="Q2096">
        <f>-328.391976228585 -75.2067362441095 -471.157172745357</f>
        <v>-874.7558852180515</v>
      </c>
      <c r="R2096" t="s">
        <v>40858</v>
      </c>
      <c r="S2096" t="s">
        <v>40859</v>
      </c>
      <c r="T2096" t="s">
        <v>40860</v>
      </c>
      <c r="U2096" t="s">
        <v>40861</v>
      </c>
      <c r="V2096">
        <f>-514.708774954702 -86.2664264009548 -238.677786922825</f>
        <v>-839.65298827848176</v>
      </c>
      <c r="W2096" t="s">
        <v>40862</v>
      </c>
      <c r="X2096" t="s">
        <v>40863</v>
      </c>
      <c r="Y2096" t="s">
        <v>40864</v>
      </c>
    </row>
    <row r="2097" spans="1:25" x14ac:dyDescent="0.3">
      <c r="A2097">
        <v>104800</v>
      </c>
      <c r="B2097" t="s">
        <v>40865</v>
      </c>
      <c r="C2097" t="s">
        <v>40866</v>
      </c>
      <c r="D2097" t="s">
        <v>40867</v>
      </c>
      <c r="E2097">
        <f>-568.298966193487 -5.34843390375295 -478.512007118668</f>
        <v>-1052.159407215908</v>
      </c>
      <c r="F2097">
        <f>-573.435553275357 -18.425893629512 -587.127889470361</f>
        <v>-1178.9893363752299</v>
      </c>
      <c r="G2097">
        <f>-570.115626503383 -33.9767809832703 -695.488446378053</f>
        <v>-1299.5808538647063</v>
      </c>
      <c r="H2097">
        <f>-556.711648177186 -58.154177955976 -845.274320340487</f>
        <v>-1460.1401464736491</v>
      </c>
      <c r="I2097">
        <f>-520.855512351474 -67.2906201322463 -940.21555299161</f>
        <v>-1528.3616854753304</v>
      </c>
      <c r="J2097">
        <f>-562.618825890033 -16.0685034346935 -784.062961227277</f>
        <v>-1362.7502905520037</v>
      </c>
      <c r="K2097" t="s">
        <v>40868</v>
      </c>
      <c r="L2097" t="s">
        <v>40869</v>
      </c>
      <c r="M2097" t="s">
        <v>40870</v>
      </c>
      <c r="N2097">
        <f>-562.666189482599 -78.8443411758367 -773.934342457215</f>
        <v>-1415.4448731156508</v>
      </c>
      <c r="O2097">
        <f>-555.356516886019 -220.212985613769 -734.125711786797</f>
        <v>-1509.6952142865848</v>
      </c>
      <c r="P2097">
        <f>-538.868806793463 -217.78127823108 -418.042829839983</f>
        <v>-1174.6929148645261</v>
      </c>
      <c r="Q2097">
        <f>-327.897574239987 -75.4108285946132 -471.557879935926</f>
        <v>-874.86628277052614</v>
      </c>
      <c r="R2097" t="s">
        <v>40871</v>
      </c>
      <c r="S2097" t="s">
        <v>40872</v>
      </c>
      <c r="T2097" t="s">
        <v>40873</v>
      </c>
      <c r="U2097" t="s">
        <v>40874</v>
      </c>
      <c r="V2097">
        <f>-515.097361012101 -86.5761651636409 -238.909806717717</f>
        <v>-840.58333289345887</v>
      </c>
      <c r="W2097" t="s">
        <v>40875</v>
      </c>
      <c r="X2097" t="s">
        <v>40876</v>
      </c>
      <c r="Y2097" t="s">
        <v>40877</v>
      </c>
    </row>
    <row r="2098" spans="1:25" x14ac:dyDescent="0.3">
      <c r="A2098">
        <v>104850</v>
      </c>
      <c r="B2098" t="s">
        <v>40878</v>
      </c>
      <c r="C2098" t="s">
        <v>40879</v>
      </c>
      <c r="D2098" t="s">
        <v>40880</v>
      </c>
      <c r="E2098">
        <f>-567.428035803975 -4.40462002032922 -479.151949726926</f>
        <v>-1050.9846055512303</v>
      </c>
      <c r="F2098">
        <f>-572.285176598214 -17.2666068486291 -587.806559938104</f>
        <v>-1177.3583433849471</v>
      </c>
      <c r="G2098">
        <f>-568.832722792458 -32.67105503224 -696.183753071979</f>
        <v>-1297.6875308966769</v>
      </c>
      <c r="H2098">
        <f>-555.396826682993 -56.7133692927859 -845.988457364626</f>
        <v>-1458.0986533404048</v>
      </c>
      <c r="I2098">
        <f>-519.590674667452 -65.8618299098321 -940.947443408635</f>
        <v>-1526.399947985919</v>
      </c>
      <c r="J2098">
        <f>-561.150387155836 -14.6811499808145 -784.725935175086</f>
        <v>-1360.5574723117365</v>
      </c>
      <c r="K2098" t="s">
        <v>40881</v>
      </c>
      <c r="L2098" t="s">
        <v>40882</v>
      </c>
      <c r="M2098" t="s">
        <v>40883</v>
      </c>
      <c r="N2098">
        <f>-561.533239532614 -77.469608894 -774.683274774235</f>
        <v>-1413.6861232008489</v>
      </c>
      <c r="O2098">
        <f>-555.061358717454 -218.905830004028 -734.986305299404</f>
        <v>-1508.953494020886</v>
      </c>
      <c r="P2098">
        <f>-538.745912229408 -216.576130512924 -418.893691986046</f>
        <v>-1174.215734728378</v>
      </c>
      <c r="Q2098">
        <f>-326.730588668695 -75.573498599416 -471.901360879334</f>
        <v>-874.20544814744494</v>
      </c>
      <c r="R2098" t="s">
        <v>40884</v>
      </c>
      <c r="S2098" t="s">
        <v>40885</v>
      </c>
      <c r="T2098" t="s">
        <v>40886</v>
      </c>
      <c r="U2098" t="s">
        <v>40887</v>
      </c>
      <c r="V2098">
        <f>-516.170321448759 -87.1803299671869 -239.306948127699</f>
        <v>-842.65759954364489</v>
      </c>
      <c r="W2098" t="s">
        <v>40888</v>
      </c>
      <c r="X2098" t="s">
        <v>40889</v>
      </c>
      <c r="Y2098" t="s">
        <v>40890</v>
      </c>
    </row>
    <row r="2099" spans="1:25" x14ac:dyDescent="0.3">
      <c r="A2099">
        <v>104900</v>
      </c>
      <c r="B2099" t="s">
        <v>40891</v>
      </c>
      <c r="C2099" t="s">
        <v>40892</v>
      </c>
      <c r="D2099" t="s">
        <v>40893</v>
      </c>
      <c r="E2099">
        <f>-567.168742767146 -3.9472693608088 -479.433031781148</f>
        <v>-1050.5490439091027</v>
      </c>
      <c r="F2099">
        <f>-571.851839373177 -16.71488808519 -588.106412659727</f>
        <v>-1176.6731401180939</v>
      </c>
      <c r="G2099">
        <f>-568.270338699139 -32.0673913441117 -696.48681729688</f>
        <v>-1296.8245473401307</v>
      </c>
      <c r="H2099">
        <f>-554.702178136342 -56.080713713643 -846.284266333982</f>
        <v>-1457.067158183967</v>
      </c>
      <c r="I2099">
        <f>-518.844927237402 -65.211627536318 -941.225672907833</f>
        <v>-1525.282227681553</v>
      </c>
      <c r="J2099">
        <f>-560.406654241944 -14.0596738954295 -785.009379886819</f>
        <v>-1359.4757080241925</v>
      </c>
      <c r="K2099" t="s">
        <v>40894</v>
      </c>
      <c r="L2099" t="s">
        <v>40895</v>
      </c>
      <c r="M2099" t="s">
        <v>40896</v>
      </c>
      <c r="N2099">
        <f>-561.004631512493 -76.8514427898586 -774.997730931289</f>
        <v>-1412.8538052336405</v>
      </c>
      <c r="O2099">
        <f>-555.01844452418 -218.318416423261 -735.316517011002</f>
        <v>-1508.6533779584429</v>
      </c>
      <c r="P2099">
        <f>-538.897343154508 -216.075095653314 -419.213171385014</f>
        <v>-1174.1856101928361</v>
      </c>
      <c r="Q2099">
        <f>-326.391414431542 -75.7396901696922 -472.026693639837</f>
        <v>-874.15779824107119</v>
      </c>
      <c r="R2099" t="s">
        <v>40897</v>
      </c>
      <c r="S2099" t="s">
        <v>40898</v>
      </c>
      <c r="T2099" t="s">
        <v>40899</v>
      </c>
      <c r="U2099" t="s">
        <v>40900</v>
      </c>
      <c r="V2099">
        <f>-516.899213695247 -87.1670721616871 -239.493908970296</f>
        <v>-843.56019482723013</v>
      </c>
      <c r="W2099" t="s">
        <v>40901</v>
      </c>
      <c r="X2099" t="s">
        <v>40902</v>
      </c>
      <c r="Y2099" t="s">
        <v>40903</v>
      </c>
    </row>
    <row r="2100" spans="1:25" x14ac:dyDescent="0.3">
      <c r="A2100">
        <v>104950</v>
      </c>
      <c r="B2100" t="s">
        <v>40904</v>
      </c>
      <c r="C2100" t="s">
        <v>40905</v>
      </c>
      <c r="D2100" t="s">
        <v>40906</v>
      </c>
      <c r="E2100">
        <f>-566.674873722375 -3.34778005940766 -480.077295614547</f>
        <v>-1050.0999493963295</v>
      </c>
      <c r="F2100">
        <f>-570.994618682441 -15.9412770999784 -588.786072949602</f>
        <v>-1175.7219687320214</v>
      </c>
      <c r="G2100">
        <f>-567.153006797512 -31.1969970309476 -697.171331429093</f>
        <v>-1295.5213352575527</v>
      </c>
      <c r="H2100">
        <f>-553.331565984608 -55.1549962115267 -846.954545035171</f>
        <v>-1455.4411072313058</v>
      </c>
      <c r="I2100">
        <f>-517.310022181483 -64.2119291039651 -941.840697332303</f>
        <v>-1523.3626486177509</v>
      </c>
      <c r="J2100">
        <f>-558.940662870288 -13.1562477098291 -785.655445158006</f>
        <v>-1357.7523557381232</v>
      </c>
      <c r="K2100" t="s">
        <v>40907</v>
      </c>
      <c r="L2100" t="s">
        <v>40908</v>
      </c>
      <c r="M2100" t="s">
        <v>40909</v>
      </c>
      <c r="N2100">
        <f>-559.953587468006 -75.9524021167379 -775.704697810637</f>
        <v>-1411.6106873953809</v>
      </c>
      <c r="O2100">
        <f>-555.033617694849 -217.49511384464 -736.122199031623</f>
        <v>-1508.650930571112</v>
      </c>
      <c r="P2100">
        <f>-539.54931108905 -215.345217650175 -419.986501924175</f>
        <v>-1174.8810306634</v>
      </c>
      <c r="Q2100">
        <f>-326.112229980499 -76.2299663229783 -472.270430986956</f>
        <v>-874.61262729043324</v>
      </c>
      <c r="R2100" t="s">
        <v>40910</v>
      </c>
      <c r="S2100" t="s">
        <v>40911</v>
      </c>
      <c r="T2100" t="s">
        <v>40912</v>
      </c>
      <c r="U2100" t="s">
        <v>40913</v>
      </c>
      <c r="V2100">
        <f>-518.35405600801 -87.5649836476779 -240.025449173189</f>
        <v>-845.94448882887696</v>
      </c>
      <c r="W2100" t="s">
        <v>40914</v>
      </c>
      <c r="X2100" t="s">
        <v>40915</v>
      </c>
      <c r="Y2100" t="s">
        <v>40916</v>
      </c>
    </row>
    <row r="2101" spans="1:25" x14ac:dyDescent="0.3">
      <c r="A2101">
        <v>105000</v>
      </c>
      <c r="B2101" t="s">
        <v>40917</v>
      </c>
      <c r="C2101" t="s">
        <v>40918</v>
      </c>
      <c r="D2101" t="s">
        <v>40919</v>
      </c>
      <c r="E2101">
        <f>-566.849648458257 -2.7848331975795 -480.353729876566</f>
        <v>-1049.9882115324024</v>
      </c>
      <c r="F2101">
        <f>-571.006482131127 -15.2949593758954 -589.078543321236</f>
        <v>-1175.3799848282583</v>
      </c>
      <c r="G2101">
        <f>-567.024515638512 -30.5031119790558 -697.465346659106</f>
        <v>-1294.9929742766737</v>
      </c>
      <c r="H2101">
        <f>-553.032321346675 -54.4320206495406 -847.237276348102</f>
        <v>-1454.7016183443175</v>
      </c>
      <c r="I2101">
        <f>-516.837391052494 -63.4635665043616 -942.05997496732</f>
        <v>-1522.3609325241755</v>
      </c>
      <c r="J2101">
        <f>-558.616720609921 -12.4455026142874 -785.927744590104</f>
        <v>-1356.9899678143124</v>
      </c>
      <c r="K2101" t="s">
        <v>40920</v>
      </c>
      <c r="L2101" t="s">
        <v>40921</v>
      </c>
      <c r="M2101" t="s">
        <v>40922</v>
      </c>
      <c r="N2101">
        <f>-559.830094490041 -75.2429717101968 -776.00795929398</f>
        <v>-1411.0810254942178</v>
      </c>
      <c r="O2101">
        <f>-555.419349163739 -216.806829076433 -736.471173666319</f>
        <v>-1508.6973519064909</v>
      </c>
      <c r="P2101">
        <f>-540.442366280015 -214.608105817273 -420.311366155168</f>
        <v>-1175.361838252456</v>
      </c>
      <c r="Q2101">
        <f>-326.46875680994 -76.1584770367907 -472.167349310938</f>
        <v>-874.79458315766874</v>
      </c>
      <c r="R2101" t="s">
        <v>40923</v>
      </c>
      <c r="S2101" t="s">
        <v>40924</v>
      </c>
      <c r="T2101" t="s">
        <v>40925</v>
      </c>
      <c r="U2101" t="s">
        <v>40926</v>
      </c>
      <c r="V2101">
        <f>-519.378991730634 -87.3600956648665 -240.265634956993</f>
        <v>-847.00472235249356</v>
      </c>
      <c r="W2101" t="s">
        <v>40927</v>
      </c>
      <c r="X2101" t="s">
        <v>40928</v>
      </c>
      <c r="Y2101" t="s">
        <v>40929</v>
      </c>
    </row>
    <row r="2102" spans="1:25" x14ac:dyDescent="0.3">
      <c r="A2102">
        <v>105050</v>
      </c>
      <c r="B2102" t="s">
        <v>40930</v>
      </c>
      <c r="C2102" t="s">
        <v>40931</v>
      </c>
      <c r="D2102" t="s">
        <v>40932</v>
      </c>
      <c r="E2102">
        <f>-567.366106895366 -1.98825593173421 -480.738900767352</f>
        <v>-1050.0932635944523</v>
      </c>
      <c r="F2102">
        <f>-571.11053979337 -14.4177634854177 -589.487790008692</f>
        <v>-1175.0160932874796</v>
      </c>
      <c r="G2102">
        <f>-566.714679662199 -29.6145901870806 -697.860253190512</f>
        <v>-1294.1895230397918</v>
      </c>
      <c r="H2102">
        <f>-552.148936127761 -53.6013436921175 -847.568339709241</f>
        <v>-1453.3186195291196</v>
      </c>
      <c r="I2102">
        <f>-515.631509510303 -62.6111806410115 -942.269293104844</f>
        <v>-1520.5119832561586</v>
      </c>
      <c r="J2102">
        <f>-557.820174633898 -11.5921022774341 -786.282230706388</f>
        <v>-1355.6945076177201</v>
      </c>
      <c r="K2102" t="s">
        <v>40933</v>
      </c>
      <c r="L2102" t="s">
        <v>40934</v>
      </c>
      <c r="M2102" t="s">
        <v>40935</v>
      </c>
      <c r="N2102">
        <f>-559.367499782885 -74.3837985514987 -776.372054593068</f>
        <v>-1410.1233529274518</v>
      </c>
      <c r="O2102">
        <f>-555.97454191616 -215.966537223192 -736.799121833579</f>
        <v>-1508.740200972931</v>
      </c>
      <c r="P2102">
        <f>-542.17998687071 -213.663109228286 -420.586258241185</f>
        <v>-1176.4293543401809</v>
      </c>
      <c r="Q2102">
        <f>-327.221693890101 -76.4237955872247 -471.579860350552</f>
        <v>-875.22534982787761</v>
      </c>
      <c r="R2102" t="s">
        <v>40936</v>
      </c>
      <c r="S2102" t="s">
        <v>40937</v>
      </c>
      <c r="T2102" t="s">
        <v>40938</v>
      </c>
      <c r="U2102" t="s">
        <v>40939</v>
      </c>
      <c r="V2102">
        <f>-521.069558273384 -86.9514155588515 -240.64270703738</f>
        <v>-848.66368086961552</v>
      </c>
      <c r="W2102" t="s">
        <v>40940</v>
      </c>
      <c r="X2102" t="s">
        <v>40941</v>
      </c>
      <c r="Y2102" t="s">
        <v>40942</v>
      </c>
    </row>
    <row r="2103" spans="1:25" x14ac:dyDescent="0.3">
      <c r="A2103">
        <v>105100</v>
      </c>
      <c r="B2103" t="s">
        <v>40943</v>
      </c>
      <c r="C2103" t="s">
        <v>40944</v>
      </c>
      <c r="D2103" t="s">
        <v>40945</v>
      </c>
      <c r="E2103">
        <f>-567.460997958548 -1.66918355288215 -480.85675841458</f>
        <v>-1049.9869399260101</v>
      </c>
      <c r="F2103">
        <f>-570.948019835726 -14.0356022300655 -589.621436163449</f>
        <v>-1174.6050582292405</v>
      </c>
      <c r="G2103">
        <f>-566.26334948724 -29.1906840888451 -697.987660449196</f>
        <v>-1293.4416940252811</v>
      </c>
      <c r="H2103">
        <f>-551.265082935646 -53.141608975276 -847.658586245603</f>
        <v>-1452.065278156525</v>
      </c>
      <c r="I2103">
        <f>-514.538268137383 -62.1162667824117 -942.28194381008</f>
        <v>-1518.9364787298746</v>
      </c>
      <c r="J2103">
        <f>-557.075338726959 -11.1474258927342 -786.375315983645</f>
        <v>-1354.5980806033381</v>
      </c>
      <c r="K2103" t="s">
        <v>40946</v>
      </c>
      <c r="L2103" t="s">
        <v>40947</v>
      </c>
      <c r="M2103" t="s">
        <v>40948</v>
      </c>
      <c r="N2103">
        <f>-558.727402021538 -73.9407105970278 -776.492353116057</f>
        <v>-1409.1604657346227</v>
      </c>
      <c r="O2103">
        <f>-555.640321813198 -215.565232569131 -736.970024601607</f>
        <v>-1508.175578983936</v>
      </c>
      <c r="P2103">
        <f>-542.62860986909 -213.014198751706 -420.725832280361</f>
        <v>-1176.3686409011571</v>
      </c>
      <c r="Q2103">
        <f>-327.253806981295 -76.2867504858817 -471.335766596391</f>
        <v>-874.87632406356761</v>
      </c>
      <c r="R2103" t="s">
        <v>40949</v>
      </c>
      <c r="S2103" t="s">
        <v>40950</v>
      </c>
      <c r="T2103" t="s">
        <v>40951</v>
      </c>
      <c r="U2103" t="s">
        <v>40952</v>
      </c>
      <c r="V2103">
        <f>-521.705670094803 -86.7268016126277 -240.798849375619</f>
        <v>-849.23132108304981</v>
      </c>
      <c r="W2103" t="s">
        <v>40953</v>
      </c>
      <c r="X2103" t="s">
        <v>40954</v>
      </c>
      <c r="Y2103" t="s">
        <v>40955</v>
      </c>
    </row>
    <row r="2104" spans="1:25" x14ac:dyDescent="0.3">
      <c r="A2104">
        <v>105150</v>
      </c>
      <c r="B2104" t="s">
        <v>40956</v>
      </c>
      <c r="C2104" t="s">
        <v>40957</v>
      </c>
      <c r="D2104" t="s">
        <v>40958</v>
      </c>
      <c r="E2104">
        <f>-567.934651137384 -0.414349024707036 -481.114714670914</f>
        <v>-1049.463714833005</v>
      </c>
      <c r="F2104">
        <f>-571.047322926509 -12.6768631407475 -589.902462729912</f>
        <v>-1173.6266487971684</v>
      </c>
      <c r="G2104">
        <f>-565.873908103008 -27.7351126704257 -698.26002718315</f>
        <v>-1291.8690479565837</v>
      </c>
      <c r="H2104">
        <f>-550.080286888554 -51.5581327885859 -847.869498124108</f>
        <v>-1449.5079178012479</v>
      </c>
      <c r="I2104">
        <f>-512.953903564186 -60.4678196550207 -942.34297039798</f>
        <v>-1515.7646936171868</v>
      </c>
      <c r="J2104">
        <f>-556.193864807775 -9.61649485279478 -786.579722263282</f>
        <v>-1352.3900819238515</v>
      </c>
      <c r="K2104" t="s">
        <v>40959</v>
      </c>
      <c r="L2104" t="s">
        <v>40960</v>
      </c>
      <c r="M2104" t="s">
        <v>40961</v>
      </c>
      <c r="N2104">
        <f>-557.943143579289 -72.417813618839 -776.76427575132</f>
        <v>-1407.125232949448</v>
      </c>
      <c r="O2104">
        <f>-555.213771162895 -214.054820703488 -737.33678485195</f>
        <v>-1506.605376718333</v>
      </c>
      <c r="P2104">
        <f>-543.399766936957 -211.641713452511 -421.044564396182</f>
        <v>-1176.0860447856501</v>
      </c>
      <c r="Q2104">
        <f>-327.747100874371 -75.0860310036378 -470.929737970712</f>
        <v>-873.76286984872081</v>
      </c>
      <c r="R2104" t="s">
        <v>40962</v>
      </c>
      <c r="S2104" t="s">
        <v>40963</v>
      </c>
      <c r="T2104" t="s">
        <v>40964</v>
      </c>
      <c r="U2104" t="s">
        <v>40965</v>
      </c>
      <c r="V2104">
        <f>-522.597897851418 -85.8668681420451 -241.064795018766</f>
        <v>-849.52956101222912</v>
      </c>
      <c r="W2104" t="s">
        <v>40966</v>
      </c>
      <c r="X2104" t="s">
        <v>40967</v>
      </c>
      <c r="Y2104" t="s">
        <v>40968</v>
      </c>
    </row>
    <row r="2105" spans="1:25" x14ac:dyDescent="0.3">
      <c r="A2105">
        <v>105200</v>
      </c>
      <c r="B2105" t="s">
        <v>40969</v>
      </c>
      <c r="C2105" t="s">
        <v>40970</v>
      </c>
      <c r="D2105" t="s">
        <v>40971</v>
      </c>
      <c r="E2105" t="s">
        <v>40972</v>
      </c>
      <c r="F2105">
        <f>-570.851243313248 -12.2280827990024 -589.982948890284</f>
        <v>-1173.0622750025345</v>
      </c>
      <c r="G2105">
        <f>-565.518604899128 -27.2659449664785 -698.335456225425</f>
        <v>-1291.1200060910314</v>
      </c>
      <c r="H2105">
        <f>-549.483864810895 -51.0661327298345 -847.922998012369</f>
        <v>-1448.4729955530986</v>
      </c>
      <c r="I2105">
        <f>-512.16668524694 -59.9356824047087 -942.325187988443</f>
        <v>-1514.4275556400917</v>
      </c>
      <c r="J2105">
        <f>-555.706241995392 -9.13378825967366 -786.637868423849</f>
        <v>-1351.4778986789147</v>
      </c>
      <c r="K2105" t="s">
        <v>40973</v>
      </c>
      <c r="L2105" t="s">
        <v>40974</v>
      </c>
      <c r="M2105" t="s">
        <v>40975</v>
      </c>
      <c r="N2105">
        <f>-557.451249845481 -71.936765325211 -776.832671701909</f>
        <v>-1406.2206868726012</v>
      </c>
      <c r="O2105">
        <f>-554.770873043596 -213.587473127836 -737.453595128228</f>
        <v>-1505.81194129966</v>
      </c>
      <c r="P2105">
        <f>-543.468497448163 -211.172775515995 -421.14268065618</f>
        <v>-1175.783953620338</v>
      </c>
      <c r="Q2105">
        <f>-327.708120237312 -74.5917712097392 -470.489873923059</f>
        <v>-872.78976537011022</v>
      </c>
      <c r="R2105" t="s">
        <v>40976</v>
      </c>
      <c r="S2105" t="s">
        <v>40977</v>
      </c>
      <c r="T2105" t="s">
        <v>40978</v>
      </c>
      <c r="U2105" t="s">
        <v>40979</v>
      </c>
      <c r="V2105">
        <f>-522.785676414056 -85.4679077568412 -241.145924652929</f>
        <v>-849.39950882382618</v>
      </c>
      <c r="W2105" t="s">
        <v>40980</v>
      </c>
      <c r="X2105" t="s">
        <v>40981</v>
      </c>
      <c r="Y2105" t="s">
        <v>40982</v>
      </c>
    </row>
    <row r="2106" spans="1:25" x14ac:dyDescent="0.3">
      <c r="A2106">
        <v>105250</v>
      </c>
      <c r="B2106" t="s">
        <v>40983</v>
      </c>
      <c r="C2106" t="s">
        <v>40984</v>
      </c>
      <c r="D2106" t="s">
        <v>40985</v>
      </c>
      <c r="E2106" t="s">
        <v>40986</v>
      </c>
      <c r="F2106">
        <f>-570.467064550117 -11.0729780091122 -590.115963211468</f>
        <v>-1171.6560057706972</v>
      </c>
      <c r="G2106">
        <f>-565.040822383319 -26.0429882268118 -698.473275528339</f>
        <v>-1289.5570861384697</v>
      </c>
      <c r="H2106">
        <f>-548.877819155915 -49.7544806676098 -848.061110975482</f>
        <v>-1446.6934107990069</v>
      </c>
      <c r="I2106">
        <f>-511.424935988898 -58.5394443318395 -942.417203261081</f>
        <v>-1512.3815835818186</v>
      </c>
      <c r="J2106">
        <f>-555.174459879724 -7.8582934665953 -786.758697285177</f>
        <v>-1349.7914506314964</v>
      </c>
      <c r="K2106" t="s">
        <v>40987</v>
      </c>
      <c r="L2106" t="s">
        <v>40988</v>
      </c>
      <c r="M2106" t="s">
        <v>40989</v>
      </c>
      <c r="N2106">
        <f>-556.884449309757 -70.667485391705 -776.987439206947</f>
        <v>-1404.5393739084088</v>
      </c>
      <c r="O2106">
        <f>-554.228635160355 -212.331089743692 -737.647142759063</f>
        <v>-1504.20686766311</v>
      </c>
      <c r="P2106">
        <f>-543.586532803795 -209.734100100005 -421.314796687598</f>
        <v>-1174.635429591398</v>
      </c>
      <c r="Q2106">
        <f>-327.688232998144 -73.1615548866232 -470.078667069842</f>
        <v>-870.92845495460915</v>
      </c>
      <c r="R2106" t="s">
        <v>40990</v>
      </c>
      <c r="S2106" t="s">
        <v>40991</v>
      </c>
      <c r="T2106" t="s">
        <v>40992</v>
      </c>
      <c r="U2106" t="s">
        <v>40993</v>
      </c>
      <c r="V2106">
        <f>-522.711377258544 -84.8262252781161 -241.298829371615</f>
        <v>-848.83643190827502</v>
      </c>
      <c r="W2106" t="s">
        <v>40994</v>
      </c>
      <c r="X2106" t="s">
        <v>40995</v>
      </c>
      <c r="Y2106" t="s">
        <v>40996</v>
      </c>
    </row>
    <row r="2107" spans="1:25" x14ac:dyDescent="0.3">
      <c r="A2107">
        <v>105300</v>
      </c>
      <c r="B2107" t="s">
        <v>40997</v>
      </c>
      <c r="C2107" t="s">
        <v>40998</v>
      </c>
      <c r="D2107" t="s">
        <v>40999</v>
      </c>
      <c r="E2107" t="s">
        <v>41000</v>
      </c>
      <c r="F2107">
        <f>-570.23203026073 -10.6317402617093 -590.174411993204</f>
        <v>-1171.0381825156433</v>
      </c>
      <c r="G2107">
        <f>-564.741653872559 -25.5504772168908 -698.535583555649</f>
        <v>-1288.8277146450989</v>
      </c>
      <c r="H2107">
        <f>-548.468595627856 -49.1813374445276 -848.124223580547</f>
        <v>-1445.7741566529305</v>
      </c>
      <c r="I2107">
        <f>-510.971678137004 -57.8888804564534 -942.470060253673</f>
        <v>-1511.3306188471304</v>
      </c>
      <c r="J2107">
        <f>-554.838444303991 -7.31793718175904 -786.806966392514</f>
        <v>-1348.9633478782639</v>
      </c>
      <c r="K2107" t="s">
        <v>41001</v>
      </c>
      <c r="L2107" t="s">
        <v>41002</v>
      </c>
      <c r="M2107" t="s">
        <v>41003</v>
      </c>
      <c r="N2107">
        <f>-556.499380461814 -70.1329435967343 -777.064771173426</f>
        <v>-1403.6970952319743</v>
      </c>
      <c r="O2107">
        <f>-553.784190078764 -211.815974202863 -737.759064153499</f>
        <v>-1503.3592284351262</v>
      </c>
      <c r="P2107">
        <f>-543.368129850954 -208.996425021013 -421.420953887843</f>
        <v>-1173.78550875981</v>
      </c>
      <c r="Q2107">
        <f>-327.445239698801 -72.4008950672787 -470.011403387516</f>
        <v>-869.85753815359567</v>
      </c>
      <c r="R2107" t="s">
        <v>41004</v>
      </c>
      <c r="S2107" t="s">
        <v>41005</v>
      </c>
      <c r="T2107" t="s">
        <v>41006</v>
      </c>
      <c r="U2107" t="s">
        <v>41007</v>
      </c>
      <c r="V2107">
        <f>-522.546997337193 -84.4995732969404 -241.365451950766</f>
        <v>-848.41202258489943</v>
      </c>
      <c r="W2107" t="s">
        <v>41008</v>
      </c>
      <c r="X2107" t="s">
        <v>41009</v>
      </c>
      <c r="Y2107" t="s">
        <v>41010</v>
      </c>
    </row>
    <row r="2108" spans="1:25" x14ac:dyDescent="0.3">
      <c r="A2108">
        <v>105350</v>
      </c>
      <c r="B2108" t="s">
        <v>41011</v>
      </c>
      <c r="C2108" t="s">
        <v>41012</v>
      </c>
      <c r="D2108" t="s">
        <v>41013</v>
      </c>
      <c r="E2108" t="s">
        <v>41014</v>
      </c>
      <c r="F2108">
        <f>-569.369899934401 -10.0419847208083 -590.400006674871</f>
        <v>-1169.8118913300802</v>
      </c>
      <c r="G2108">
        <f>-563.841611169326 -24.8633829854262 -698.772576654913</f>
        <v>-1287.4775708096654</v>
      </c>
      <c r="H2108">
        <f>-547.547905738217 -48.3379004743402 -848.383593264036</f>
        <v>-1444.2693994765932</v>
      </c>
      <c r="I2108">
        <f>-510.067613146828 -56.9178201175302 -942.747848140609</f>
        <v>-1509.7332814049673</v>
      </c>
      <c r="J2108">
        <f>-553.985671149451 -6.53804554278869 -787.030155789272</f>
        <v>-1347.5538724815119</v>
      </c>
      <c r="K2108" t="s">
        <v>41015</v>
      </c>
      <c r="L2108" t="s">
        <v>41016</v>
      </c>
      <c r="M2108" t="s">
        <v>41017</v>
      </c>
      <c r="N2108">
        <f>-555.529079467836 -69.3642350231811 -777.340666744456</f>
        <v>-1402.233981235473</v>
      </c>
      <c r="O2108">
        <f>-552.566026561179 -211.058739134353 -738.145606191876</f>
        <v>-1501.7703718874081</v>
      </c>
      <c r="P2108">
        <f>-542.503239845277 -208.549820239337 -421.793555380366</f>
        <v>-1172.84661546498</v>
      </c>
      <c r="Q2108">
        <f>-326.830363241417 -71.4819671969354 -470.163574258212</f>
        <v>-868.47590469656438</v>
      </c>
      <c r="R2108" t="s">
        <v>41018</v>
      </c>
      <c r="S2108" t="s">
        <v>41019</v>
      </c>
      <c r="T2108" t="s">
        <v>41020</v>
      </c>
      <c r="U2108" t="s">
        <v>41021</v>
      </c>
      <c r="V2108">
        <f>-522.053348561871 -83.9152195123081 -241.581826720927</f>
        <v>-847.55039479510606</v>
      </c>
      <c r="W2108" t="s">
        <v>41022</v>
      </c>
      <c r="X2108" t="s">
        <v>41023</v>
      </c>
      <c r="Y2108" t="s">
        <v>41024</v>
      </c>
    </row>
    <row r="2109" spans="1:25" x14ac:dyDescent="0.3">
      <c r="A2109">
        <v>105400</v>
      </c>
      <c r="B2109" t="s">
        <v>41025</v>
      </c>
      <c r="C2109" t="s">
        <v>41026</v>
      </c>
      <c r="D2109" t="s">
        <v>41027</v>
      </c>
      <c r="E2109" t="s">
        <v>41028</v>
      </c>
      <c r="F2109">
        <f>-568.604613290588 -9.91771007537293 -590.544020888774</f>
        <v>-1169.0663442547348</v>
      </c>
      <c r="G2109">
        <f>-563.062504171678 -24.6918166721198 -698.922504620736</f>
        <v>-1286.676825464534</v>
      </c>
      <c r="H2109">
        <f>-546.798320246282 -48.0773062515128 -848.550668774775</f>
        <v>-1443.4262952725699</v>
      </c>
      <c r="I2109">
        <f>-509.349058435838 -56.5907655555981 -942.933178070494</f>
        <v>-1508.87300206193</v>
      </c>
      <c r="J2109">
        <f>-553.255821758506 -6.3137329090553 -787.174518617603</f>
        <v>-1346.7440732851642</v>
      </c>
      <c r="K2109" t="s">
        <v>41029</v>
      </c>
      <c r="L2109" t="s">
        <v>41030</v>
      </c>
      <c r="M2109" t="s">
        <v>41031</v>
      </c>
      <c r="N2109">
        <f>-554.73360686991 -69.1461590218523 -777.515027664563</f>
        <v>-1401.3947935563253</v>
      </c>
      <c r="O2109">
        <f>-551.672295574589 -210.872820821845 -738.409852810965</f>
        <v>-1500.9549692073992</v>
      </c>
      <c r="P2109">
        <f>-541.537251964272 -208.654516078963 -422.057997367062</f>
        <v>-1172.249765410297</v>
      </c>
      <c r="Q2109">
        <f>-326.039378665752 -71.314760142783 -470.436725082806</f>
        <v>-867.79086389134102</v>
      </c>
      <c r="R2109" t="s">
        <v>41032</v>
      </c>
      <c r="S2109" t="s">
        <v>41033</v>
      </c>
      <c r="T2109" t="s">
        <v>41034</v>
      </c>
      <c r="U2109" t="s">
        <v>41035</v>
      </c>
      <c r="V2109">
        <f>-521.59988527514 -83.8364310483551 -241.647978991198</f>
        <v>-847.08429531469301</v>
      </c>
      <c r="W2109" t="s">
        <v>41036</v>
      </c>
      <c r="X2109" t="s">
        <v>41037</v>
      </c>
      <c r="Y2109" t="s">
        <v>41038</v>
      </c>
    </row>
    <row r="2110" spans="1:25" x14ac:dyDescent="0.3">
      <c r="A2110">
        <v>105450</v>
      </c>
      <c r="B2110" t="s">
        <v>41039</v>
      </c>
      <c r="C2110" t="s">
        <v>41040</v>
      </c>
      <c r="D2110" t="s">
        <v>41041</v>
      </c>
      <c r="E2110" t="s">
        <v>41042</v>
      </c>
      <c r="F2110">
        <f>-567.424639249548 -9.50797524250449 -590.829475919104</f>
        <v>-1167.7620904111564</v>
      </c>
      <c r="G2110">
        <f>-561.909719817242 -24.2583776062586 -699.212475495006</f>
        <v>-1285.3805729185065</v>
      </c>
      <c r="H2110">
        <f>-545.775070177948 -47.5982749412336 -848.86178482026</f>
        <v>-1442.2351299394418</v>
      </c>
      <c r="I2110">
        <f>-508.442470364178 -56.0275584465038 -943.298109363257</f>
        <v>-1507.768138173939</v>
      </c>
      <c r="J2110">
        <f>-552.241962769645 -5.85311859206529 -787.474227155232</f>
        <v>-1345.5693085169423</v>
      </c>
      <c r="K2110" t="s">
        <v>41043</v>
      </c>
      <c r="L2110" t="s">
        <v>41044</v>
      </c>
      <c r="M2110" t="s">
        <v>41045</v>
      </c>
      <c r="N2110">
        <f>-553.586257525944 -68.6891225918443 -777.818946798456</f>
        <v>-1400.0943269162442</v>
      </c>
      <c r="O2110">
        <f>-550.25124617231 -210.390328019228 -738.693900584356</f>
        <v>-1499.335474775894</v>
      </c>
      <c r="P2110">
        <f>-539.945664252551 -208.196693861442 -422.347279727085</f>
        <v>-1170.4896378410779</v>
      </c>
      <c r="Q2110">
        <f>-324.660759334027 -70.6318244178059 -471.033790555045</f>
        <v>-866.32637430687782</v>
      </c>
      <c r="R2110" t="s">
        <v>41046</v>
      </c>
      <c r="S2110" t="s">
        <v>41047</v>
      </c>
      <c r="T2110" t="s">
        <v>41048</v>
      </c>
      <c r="U2110" t="s">
        <v>41049</v>
      </c>
      <c r="V2110">
        <f>-521.060062302505 -83.5730619456668 -241.773581896068</f>
        <v>-846.40670614423982</v>
      </c>
      <c r="W2110" t="s">
        <v>41050</v>
      </c>
      <c r="X2110" t="s">
        <v>41051</v>
      </c>
      <c r="Y2110" t="s">
        <v>41052</v>
      </c>
    </row>
    <row r="2111" spans="1:25" x14ac:dyDescent="0.3">
      <c r="A2111">
        <v>105500</v>
      </c>
      <c r="B2111" t="s">
        <v>41053</v>
      </c>
      <c r="C2111" t="s">
        <v>41054</v>
      </c>
      <c r="D2111" t="s">
        <v>41055</v>
      </c>
      <c r="E2111" t="s">
        <v>41056</v>
      </c>
      <c r="F2111">
        <f>-566.944398865119 -9.1975523782059 -590.921889720835</f>
        <v>-1167.0638409641599</v>
      </c>
      <c r="G2111">
        <f>-561.425054555729 -23.9400947789685 -699.305602335423</f>
        <v>-1284.6707516701206</v>
      </c>
      <c r="H2111">
        <f>-545.321810251308 -47.2728003996791 -848.959610179362</f>
        <v>-1441.5542208303491</v>
      </c>
      <c r="I2111">
        <f>-507.994613731495 -55.6835574841393 -943.399619261129</f>
        <v>-1507.0777904767633</v>
      </c>
      <c r="J2111">
        <f>-551.796964981917 -5.53043200917561 -787.57084048639</f>
        <v>-1344.8982374774826</v>
      </c>
      <c r="K2111" t="s">
        <v>41057</v>
      </c>
      <c r="L2111" t="s">
        <v>41058</v>
      </c>
      <c r="M2111" t="s">
        <v>41059</v>
      </c>
      <c r="N2111">
        <f>-553.097071058313 -68.3671588750175 -777.91390983472</f>
        <v>-1399.3781397680505</v>
      </c>
      <c r="O2111">
        <f>-549.744543471948 -210.070863935162 -738.773531108992</f>
        <v>-1498.588938516102</v>
      </c>
      <c r="P2111">
        <f>-539.328653307083 -207.75325010759 -422.431469870423</f>
        <v>-1169.5133732850959</v>
      </c>
      <c r="Q2111">
        <f>-324.082273687496 -70.1819412087868 -471.270006903571</f>
        <v>-865.53422179985387</v>
      </c>
      <c r="R2111" t="s">
        <v>41060</v>
      </c>
      <c r="S2111" t="s">
        <v>41061</v>
      </c>
      <c r="T2111" t="s">
        <v>41062</v>
      </c>
      <c r="U2111" t="s">
        <v>41063</v>
      </c>
      <c r="V2111">
        <f>-520.944402944293 -83.2315752038482 -241.812839620373</f>
        <v>-845.9888177685142</v>
      </c>
      <c r="W2111" t="s">
        <v>41064</v>
      </c>
      <c r="X2111" t="s">
        <v>41065</v>
      </c>
      <c r="Y2111" t="s">
        <v>41066</v>
      </c>
    </row>
    <row r="2112" spans="1:25" x14ac:dyDescent="0.3">
      <c r="A2112">
        <v>105550</v>
      </c>
      <c r="B2112" t="s">
        <v>41067</v>
      </c>
      <c r="C2112" t="s">
        <v>41068</v>
      </c>
      <c r="D2112" t="s">
        <v>41069</v>
      </c>
      <c r="E2112" t="s">
        <v>41070</v>
      </c>
      <c r="F2112">
        <f>-566.125533637946 -8.76392859823621 -591.003607657752</f>
        <v>-1165.8930698939344</v>
      </c>
      <c r="G2112">
        <f>-560.404397999057 -23.5282665860309 -699.373923754248</f>
        <v>-1283.306588339336</v>
      </c>
      <c r="H2112">
        <f>-544.005469014047 -46.8898563173554 -848.991129588504</f>
        <v>-1439.8864549199066</v>
      </c>
      <c r="I2112">
        <f>-506.503799979976 -55.3414952605251 -943.358407757734</f>
        <v>-1505.203702998235</v>
      </c>
      <c r="J2112">
        <f>-550.624732058182 -5.13557094971601 -787.625961342471</f>
        <v>-1343.3862643503689</v>
      </c>
      <c r="K2112" t="s">
        <v>41071</v>
      </c>
      <c r="L2112" t="s">
        <v>41072</v>
      </c>
      <c r="M2112" t="s">
        <v>41073</v>
      </c>
      <c r="N2112">
        <f>-551.89830915901 -67.9705693131175 -777.95436068717</f>
        <v>-1397.8232391592974</v>
      </c>
      <c r="O2112">
        <f>-548.549854090907 -209.65776251339 -738.755107067561</f>
        <v>-1496.9627236718579</v>
      </c>
      <c r="P2112">
        <f>-538.317778479176 -207.222806271745 -422.407899125061</f>
        <v>-1167.948483875982</v>
      </c>
      <c r="Q2112">
        <f>-323.237128489318 -69.4569927828915 -471.427809910624</f>
        <v>-864.12193118283358</v>
      </c>
      <c r="R2112" t="s">
        <v>41074</v>
      </c>
      <c r="S2112" t="s">
        <v>41075</v>
      </c>
      <c r="T2112" t="s">
        <v>41076</v>
      </c>
      <c r="U2112" t="s">
        <v>41077</v>
      </c>
      <c r="V2112">
        <f>-520.500070498353 -82.6761492965562 -241.869293448583</f>
        <v>-845.04551324349222</v>
      </c>
      <c r="W2112" t="s">
        <v>41078</v>
      </c>
      <c r="X2112" t="s">
        <v>41079</v>
      </c>
      <c r="Y2112" t="s">
        <v>41080</v>
      </c>
    </row>
    <row r="2113" spans="1:25" x14ac:dyDescent="0.3">
      <c r="A2113">
        <v>105600</v>
      </c>
      <c r="B2113" t="s">
        <v>41081</v>
      </c>
      <c r="C2113" t="s">
        <v>41082</v>
      </c>
      <c r="D2113" t="s">
        <v>41083</v>
      </c>
      <c r="E2113" t="s">
        <v>41084</v>
      </c>
      <c r="F2113">
        <f>-565.513758930572 -8.89568187358896 -591.002463571048</f>
        <v>-1165.4119043752089</v>
      </c>
      <c r="G2113">
        <f>-559.660796490764 -23.6899918117462 -699.361748239872</f>
        <v>-1282.7125365423822</v>
      </c>
      <c r="H2113">
        <f>-543.067566300593 -47.0976171047772 -848.950408885676</f>
        <v>-1439.1155922910461</v>
      </c>
      <c r="I2113">
        <f>-505.435286301041 -55.6090588647068 -943.260189152232</f>
        <v>-1504.3045343179797</v>
      </c>
      <c r="J2113">
        <f>-549.779778632068 -5.32438827840797 -787.60811325617</f>
        <v>-1342.712280166646</v>
      </c>
      <c r="K2113" t="s">
        <v>41085</v>
      </c>
      <c r="L2113" t="s">
        <v>41086</v>
      </c>
      <c r="M2113" t="s">
        <v>41087</v>
      </c>
      <c r="N2113">
        <f>-551.039406375628 -68.1564945426015 -777.915933288011</f>
        <v>-1397.1118342062405</v>
      </c>
      <c r="O2113">
        <f>-547.70578105581 -209.831728811269 -738.690795380768</f>
        <v>-1496.2283052478469</v>
      </c>
      <c r="P2113">
        <f>-537.817672704284 -207.400606155387 -422.332452232684</f>
        <v>-1167.5507310923549</v>
      </c>
      <c r="Q2113">
        <f>-322.79018204676 -69.533457080802 -471.300807969758</f>
        <v>-863.62444709731994</v>
      </c>
      <c r="R2113" t="s">
        <v>41088</v>
      </c>
      <c r="S2113" t="s">
        <v>41089</v>
      </c>
      <c r="T2113" t="s">
        <v>41090</v>
      </c>
      <c r="U2113" t="s">
        <v>41091</v>
      </c>
      <c r="V2113">
        <f>-520.110383768113 -82.5745184096373 -241.869263189922</f>
        <v>-844.55416536767234</v>
      </c>
      <c r="W2113" t="s">
        <v>41092</v>
      </c>
      <c r="X2113" t="s">
        <v>41093</v>
      </c>
      <c r="Y2113" t="s">
        <v>41094</v>
      </c>
    </row>
    <row r="2114" spans="1:25" x14ac:dyDescent="0.3">
      <c r="A2114">
        <v>105650</v>
      </c>
      <c r="B2114" t="s">
        <v>41095</v>
      </c>
      <c r="C2114" t="s">
        <v>41096</v>
      </c>
      <c r="D2114" t="s">
        <v>41097</v>
      </c>
      <c r="E2114" t="s">
        <v>41098</v>
      </c>
      <c r="F2114">
        <f>-564.933655681032 -8.63982830677313 -591.053660360431</f>
        <v>-1164.627144348236</v>
      </c>
      <c r="G2114">
        <f>-558.930988699202 -23.4826657345967 -699.398053334273</f>
        <v>-1281.8117077680718</v>
      </c>
      <c r="H2114">
        <f>-542.09782910166 -46.9664729975142 -848.947786547146</f>
        <v>-1438.0120886463201</v>
      </c>
      <c r="I2114">
        <f>-504.270388425154 -55.5523022271182 -943.172767097388</f>
        <v>-1502.9954577496601</v>
      </c>
      <c r="J2114">
        <f>-548.92856618799 -5.16198544204272 -787.640110803916</f>
        <v>-1341.7306624339485</v>
      </c>
      <c r="K2114" t="s">
        <v>41099</v>
      </c>
      <c r="L2114" t="s">
        <v>41100</v>
      </c>
      <c r="M2114" t="s">
        <v>41101</v>
      </c>
      <c r="N2114">
        <f>-550.163401359053 -67.9892608965624 -777.913360363157</f>
        <v>-1396.0660226187724</v>
      </c>
      <c r="O2114">
        <f>-546.852692012907 -209.665547395797 -738.658194730743</f>
        <v>-1495.1764341394471</v>
      </c>
      <c r="P2114">
        <f>-537.412050623599 -207.044750609632 -422.287868892666</f>
        <v>-1166.7446701258971</v>
      </c>
      <c r="Q2114">
        <f>-322.386032139113 -69.1311880431754 -471.131704012705</f>
        <v>-862.64892419499336</v>
      </c>
      <c r="R2114" t="s">
        <v>41102</v>
      </c>
      <c r="S2114" t="s">
        <v>41103</v>
      </c>
      <c r="T2114" t="s">
        <v>41104</v>
      </c>
      <c r="U2114" t="s">
        <v>41105</v>
      </c>
      <c r="V2114">
        <f>-519.680494744962 -82.2208292273684 -241.88607676614</f>
        <v>-843.78740073847041</v>
      </c>
      <c r="W2114" t="s">
        <v>41106</v>
      </c>
      <c r="X2114" t="s">
        <v>41107</v>
      </c>
      <c r="Y2114" t="s">
        <v>41108</v>
      </c>
    </row>
    <row r="2115" spans="1:25" x14ac:dyDescent="0.3">
      <c r="A2115">
        <v>105700</v>
      </c>
      <c r="B2115" t="s">
        <v>41109</v>
      </c>
      <c r="C2115" t="s">
        <v>41110</v>
      </c>
      <c r="D2115" t="s">
        <v>41111</v>
      </c>
      <c r="E2115" t="s">
        <v>41112</v>
      </c>
      <c r="F2115">
        <f>-563.418582207776 -8.43740221428676 -591.107021747189</f>
        <v>-1162.9630061692519</v>
      </c>
      <c r="G2115">
        <f>-557.079685126669 -23.3398808809831 -699.424197844014</f>
        <v>-1279.8437638516662</v>
      </c>
      <c r="H2115">
        <f>-539.723995805726 -46.9120301779043 -848.900351945876</f>
        <v>-1435.5363779295062</v>
      </c>
      <c r="I2115">
        <f>-501.444775425621 -55.6118099352178 -942.932339580933</f>
        <v>-1499.9889249417718</v>
      </c>
      <c r="J2115">
        <f>-546.811684922255 -5.07127424569531 -787.646528900542</f>
        <v>-1339.5294880684924</v>
      </c>
      <c r="K2115" t="s">
        <v>41113</v>
      </c>
      <c r="L2115" t="s">
        <v>41114</v>
      </c>
      <c r="M2115" t="s">
        <v>41115</v>
      </c>
      <c r="N2115">
        <f>-547.995039701705 -67.8928646024819 -777.877119975021</f>
        <v>-1393.7650242792079</v>
      </c>
      <c r="O2115">
        <f>-544.754922493814 -209.541444813328 -738.52119731122</f>
        <v>-1492.817564618362</v>
      </c>
      <c r="P2115">
        <f>-536.317360063091 -206.430819460698 -422.12692393606</f>
        <v>-1164.875103459849</v>
      </c>
      <c r="Q2115">
        <f>-321.103116772301 -68.6002224711556 -470.372102342895</f>
        <v>-860.07544158635164</v>
      </c>
      <c r="R2115" t="s">
        <v>41116</v>
      </c>
      <c r="S2115" t="s">
        <v>41117</v>
      </c>
      <c r="T2115" t="s">
        <v>41118</v>
      </c>
      <c r="U2115" t="s">
        <v>41119</v>
      </c>
      <c r="V2115">
        <f>-518.912976050045 -81.8025569454257 -241.896715590386</f>
        <v>-842.61224858585683</v>
      </c>
      <c r="W2115" t="s">
        <v>41120</v>
      </c>
      <c r="X2115" t="s">
        <v>41121</v>
      </c>
      <c r="Y2115" t="s">
        <v>41122</v>
      </c>
    </row>
    <row r="2116" spans="1:25" x14ac:dyDescent="0.3">
      <c r="A2116">
        <v>105750</v>
      </c>
      <c r="B2116" t="s">
        <v>41123</v>
      </c>
      <c r="C2116" t="s">
        <v>41124</v>
      </c>
      <c r="D2116" t="s">
        <v>41125</v>
      </c>
      <c r="E2116" t="s">
        <v>41126</v>
      </c>
      <c r="F2116">
        <f>-562.061073521223 -7.80705813271467 -591.183284482277</f>
        <v>-1161.0514161362148</v>
      </c>
      <c r="G2116">
        <f>-555.338735366941 -22.7378336896359 -699.473337113202</f>
        <v>-1277.5499061697788</v>
      </c>
      <c r="H2116">
        <f>-537.376184618769 -46.3233544737571 -848.875679631716</f>
        <v>-1432.5752187242422</v>
      </c>
      <c r="I2116">
        <f>-498.689209929994 -55.064892411037 -942.736768797092</f>
        <v>-1496.4908711381231</v>
      </c>
      <c r="J2116">
        <f>-544.770653471382 -4.47709147210801 -787.661854381586</f>
        <v>-1336.909599325076</v>
      </c>
      <c r="K2116" t="s">
        <v>41127</v>
      </c>
      <c r="L2116" t="s">
        <v>41128</v>
      </c>
      <c r="M2116" t="s">
        <v>41129</v>
      </c>
      <c r="N2116">
        <f>-545.877446193526 -67.2978503559122 -777.877669116462</f>
        <v>-1391.0529656659</v>
      </c>
      <c r="O2116">
        <f>-542.762668955316 -208.908933671927 -738.403309674837</f>
        <v>-1490.0749123020801</v>
      </c>
      <c r="P2116">
        <f>-535.766779916814 -205.104483063371 -421.981340977858</f>
        <v>-1162.8526039580431</v>
      </c>
      <c r="Q2116">
        <f>-320.083627607508 -67.7490955150776 -469.482210631705</f>
        <v>-857.31493375429068</v>
      </c>
      <c r="R2116" t="s">
        <v>41130</v>
      </c>
      <c r="S2116" t="s">
        <v>41131</v>
      </c>
      <c r="T2116" t="s">
        <v>41132</v>
      </c>
      <c r="U2116" t="s">
        <v>41133</v>
      </c>
      <c r="V2116">
        <f>-518.171867875566 -81.0453182869106 -241.85214972925</f>
        <v>-841.06933589172661</v>
      </c>
      <c r="W2116" t="s">
        <v>41134</v>
      </c>
      <c r="X2116" t="s">
        <v>41135</v>
      </c>
      <c r="Y2116" t="s">
        <v>41136</v>
      </c>
    </row>
    <row r="2117" spans="1:25" x14ac:dyDescent="0.3">
      <c r="A2117">
        <v>105800</v>
      </c>
      <c r="B2117" t="s">
        <v>41137</v>
      </c>
      <c r="C2117" t="s">
        <v>41138</v>
      </c>
      <c r="D2117" t="s">
        <v>41139</v>
      </c>
      <c r="E2117" t="s">
        <v>41140</v>
      </c>
      <c r="F2117">
        <f>-561.235294230341 -7.66014491385544 -591.203018892578</f>
        <v>-1160.0984580367744</v>
      </c>
      <c r="G2117">
        <f>-554.291330310836 -22.6147422865327 -699.47579790216</f>
        <v>-1276.3818704995288</v>
      </c>
      <c r="H2117">
        <f>-535.984300093397 -46.2291199262095 -848.831925601733</f>
        <v>-1431.0453456213395</v>
      </c>
      <c r="I2117">
        <f>-497.070666880167 -54.9914392968541 -942.597306558934</f>
        <v>-1494.6594127359549</v>
      </c>
      <c r="J2117">
        <f>-543.536154241172 -4.37112373171731 -787.645265359563</f>
        <v>-1335.5525433324524</v>
      </c>
      <c r="K2117" t="s">
        <v>41141</v>
      </c>
      <c r="L2117" t="s">
        <v>41142</v>
      </c>
      <c r="M2117" t="s">
        <v>41143</v>
      </c>
      <c r="N2117">
        <f>-544.63297954489 -67.189892556776 -777.847548310348</f>
        <v>-1389.670420412014</v>
      </c>
      <c r="O2117">
        <f>-541.595850335865 -208.795164230038 -738.319057080086</f>
        <v>-1488.710071645989</v>
      </c>
      <c r="P2117">
        <f>-535.389210559778 -204.693635007822 -421.884337633969</f>
        <v>-1161.967183201569</v>
      </c>
      <c r="Q2117">
        <f>-319.388098407716 -67.6811582709018 -468.928423044608</f>
        <v>-855.9976797232257</v>
      </c>
      <c r="R2117" t="s">
        <v>41144</v>
      </c>
      <c r="S2117" t="s">
        <v>41145</v>
      </c>
      <c r="T2117" t="s">
        <v>41146</v>
      </c>
      <c r="U2117" t="s">
        <v>41147</v>
      </c>
      <c r="V2117">
        <f>-517.791489756775 -80.741253224415 -241.822769707257</f>
        <v>-840.35551268844711</v>
      </c>
      <c r="W2117" t="s">
        <v>41148</v>
      </c>
      <c r="X2117" t="s">
        <v>41149</v>
      </c>
      <c r="Y2117" t="s">
        <v>41150</v>
      </c>
    </row>
    <row r="2118" spans="1:25" x14ac:dyDescent="0.3">
      <c r="A2118">
        <v>105850</v>
      </c>
      <c r="B2118" t="s">
        <v>41151</v>
      </c>
      <c r="C2118" t="s">
        <v>41152</v>
      </c>
      <c r="D2118" t="s">
        <v>41153</v>
      </c>
      <c r="E2118" t="s">
        <v>41154</v>
      </c>
      <c r="F2118">
        <f>-559.863430083743 -6.9884105689787 -591.236564091121</f>
        <v>-1158.0884047438426</v>
      </c>
      <c r="G2118">
        <f>-552.452438649743 -21.8922876951748 -699.485358798623</f>
        <v>-1273.8300851435408</v>
      </c>
      <c r="H2118">
        <f>-533.394870026608 -45.3990149971705 -848.764531268833</f>
        <v>-1427.5584162926116</v>
      </c>
      <c r="I2118">
        <f>-493.875586994731 -54.133443993022 -942.278681107106</f>
        <v>-1490.287712094859</v>
      </c>
      <c r="J2118">
        <f>-541.299535041815 -3.58521151859159 -787.592199221929</f>
        <v>-1332.4769457823356</v>
      </c>
      <c r="K2118" t="s">
        <v>41155</v>
      </c>
      <c r="L2118" t="s">
        <v>41156</v>
      </c>
      <c r="M2118" t="s">
        <v>41157</v>
      </c>
      <c r="N2118">
        <f>-542.354996143098 -66.4108258406812 -777.83388094837</f>
        <v>-1386.5997029321493</v>
      </c>
      <c r="O2118">
        <f>-539.468817513964 -208.011930161323 -738.307059009898</f>
        <v>-1485.7878066851849</v>
      </c>
      <c r="P2118">
        <f>-534.692364048909 -203.368881562891 -421.85513397749</f>
        <v>-1159.91637958929</v>
      </c>
      <c r="Q2118">
        <f>-318.141049592632 -66.9168408824998 -467.990115183967</f>
        <v>-853.04800565909886</v>
      </c>
      <c r="R2118" t="s">
        <v>41158</v>
      </c>
      <c r="S2118" t="s">
        <v>41159</v>
      </c>
      <c r="T2118" t="s">
        <v>41160</v>
      </c>
      <c r="U2118" t="s">
        <v>41161</v>
      </c>
      <c r="V2118">
        <f>-517.086419662702 -80.0206425624951 -241.767864278424</f>
        <v>-838.87492650362117</v>
      </c>
      <c r="W2118" t="s">
        <v>41162</v>
      </c>
      <c r="X2118" t="s">
        <v>41163</v>
      </c>
      <c r="Y2118" t="s">
        <v>41164</v>
      </c>
    </row>
    <row r="2119" spans="1:25" x14ac:dyDescent="0.3">
      <c r="A2119">
        <v>105900</v>
      </c>
      <c r="B2119" t="s">
        <v>41165</v>
      </c>
      <c r="C2119" t="s">
        <v>41166</v>
      </c>
      <c r="D2119" t="s">
        <v>41167</v>
      </c>
      <c r="E2119" t="s">
        <v>41168</v>
      </c>
      <c r="F2119">
        <f>-559.357968302386 -6.70973769034513 -591.289497408282</f>
        <v>-1157.3572034010131</v>
      </c>
      <c r="G2119">
        <f>-551.765264390616 -21.6298104203279 -699.523475432682</f>
        <v>-1272.9185502436258</v>
      </c>
      <c r="H2119">
        <f>-532.389043969838 -45.1437386893146 -848.760457790829</f>
        <v>-1426.2932404499816</v>
      </c>
      <c r="I2119">
        <f>-492.469683212317 -53.8860526701212 -942.103779115367</f>
        <v>-1488.4595149978054</v>
      </c>
      <c r="J2119">
        <f>-540.43172154726 -3.32702484550774 -787.608177066647</f>
        <v>-1331.3669234594149</v>
      </c>
      <c r="K2119" t="s">
        <v>41169</v>
      </c>
      <c r="L2119" t="s">
        <v>41170</v>
      </c>
      <c r="M2119" t="s">
        <v>41171</v>
      </c>
      <c r="N2119">
        <f>-541.493108670816 -66.1521368191416 -777.847220363438</f>
        <v>-1385.4924658533955</v>
      </c>
      <c r="O2119">
        <f>-538.712395966452 -207.752230553014 -738.307940811375</f>
        <v>-1484.772567330841</v>
      </c>
      <c r="P2119">
        <f>-534.518968961474 -203.07349302075 -421.848244026327</f>
        <v>-1159.4407060085509</v>
      </c>
      <c r="Q2119">
        <f>-317.781238559183 -66.7875143783338 -467.596904679545</f>
        <v>-852.16565761706181</v>
      </c>
      <c r="R2119" t="s">
        <v>41172</v>
      </c>
      <c r="S2119" t="s">
        <v>41173</v>
      </c>
      <c r="T2119" t="s">
        <v>41174</v>
      </c>
      <c r="U2119" t="s">
        <v>41175</v>
      </c>
      <c r="V2119">
        <f>-516.634126795715 -79.6295206343502 -241.730049002107</f>
        <v>-837.99369643217221</v>
      </c>
      <c r="W2119" t="s">
        <v>41176</v>
      </c>
      <c r="X2119" t="s">
        <v>41177</v>
      </c>
      <c r="Y2119" t="s">
        <v>41178</v>
      </c>
    </row>
    <row r="2120" spans="1:25" x14ac:dyDescent="0.3">
      <c r="A2120">
        <v>105950</v>
      </c>
      <c r="B2120" t="s">
        <v>41179</v>
      </c>
      <c r="C2120" t="s">
        <v>41180</v>
      </c>
      <c r="D2120" t="s">
        <v>41181</v>
      </c>
      <c r="E2120" t="s">
        <v>41182</v>
      </c>
      <c r="F2120">
        <f>-557.467623472832 -6.22261291292705 -591.27592884411</f>
        <v>-1154.9661652298691</v>
      </c>
      <c r="G2120">
        <f>-549.478017052115 -21.1352431094327 -699.48229353933</f>
        <v>-1270.0955537008776</v>
      </c>
      <c r="H2120">
        <f>-529.515284282645 -44.6145058722237 -848.64726994862</f>
        <v>-1422.7770601034886</v>
      </c>
      <c r="I2120">
        <f>-488.739075231207 -53.3763042245208 -941.617835644469</f>
        <v>-1483.7332151001967</v>
      </c>
      <c r="J2120">
        <f>-537.824374275789 -2.81210886240615 -787.521007507258</f>
        <v>-1328.157490645453</v>
      </c>
      <c r="K2120" t="s">
        <v>41183</v>
      </c>
      <c r="L2120" t="s">
        <v>41184</v>
      </c>
      <c r="M2120" t="s">
        <v>41185</v>
      </c>
      <c r="N2120">
        <f>-538.871974445121 -65.639251122674 -777.771845838405</f>
        <v>-1382.2830714062002</v>
      </c>
      <c r="O2120">
        <f>-536.151588312859 -207.263198180259 -738.291088774771</f>
        <v>-1481.705875267889</v>
      </c>
      <c r="P2120">
        <f>-533.23399778263 -202.362507425757 -421.82045331674</f>
        <v>-1157.416958525127</v>
      </c>
      <c r="Q2120">
        <f>-316.17722182018 -66.3754138438336 -466.941533539483</f>
        <v>-849.49416920349654</v>
      </c>
      <c r="R2120" t="s">
        <v>41186</v>
      </c>
      <c r="S2120" t="s">
        <v>41187</v>
      </c>
      <c r="T2120" t="s">
        <v>41188</v>
      </c>
      <c r="U2120" t="s">
        <v>41189</v>
      </c>
      <c r="V2120">
        <f>-515.730753435619 -78.7234694054166 -241.604982780032</f>
        <v>-836.05920562106758</v>
      </c>
      <c r="W2120" t="s">
        <v>41190</v>
      </c>
      <c r="X2120" t="s">
        <v>41191</v>
      </c>
      <c r="Y2120" t="s">
        <v>41192</v>
      </c>
    </row>
    <row r="2121" spans="1:25" x14ac:dyDescent="0.3">
      <c r="A2121">
        <v>106000</v>
      </c>
      <c r="B2121" t="s">
        <v>41193</v>
      </c>
      <c r="C2121" t="s">
        <v>41194</v>
      </c>
      <c r="D2121" t="s">
        <v>41195</v>
      </c>
      <c r="E2121" t="s">
        <v>41196</v>
      </c>
      <c r="F2121">
        <f>-556.629256648906 -5.60706834840569 -591.284695542268</f>
        <v>-1153.5210205395797</v>
      </c>
      <c r="G2121">
        <f>-548.439043503497 -20.4909735236491 -699.48007745746</f>
        <v>-1268.4100944846061</v>
      </c>
      <c r="H2121">
        <f>-528.155288638923 -43.9135927296091 -848.610614222373</f>
        <v>-1420.6794955909052</v>
      </c>
      <c r="I2121">
        <f>-486.969003735112 -52.6681994647389 -941.40092778074</f>
        <v>-1481.0381309805907</v>
      </c>
      <c r="J2121">
        <f>-536.613927850479 -2.13441589182219 -787.488822522399</f>
        <v>-1326.2371662647001</v>
      </c>
      <c r="K2121" t="s">
        <v>41197</v>
      </c>
      <c r="L2121" t="s">
        <v>41198</v>
      </c>
      <c r="M2121" t="s">
        <v>41199</v>
      </c>
      <c r="N2121">
        <f>-537.64657617027 -64.9651759734474 -777.761110148563</f>
        <v>-1380.3728622922804</v>
      </c>
      <c r="O2121">
        <f>-534.997402885864 -206.598696274868 -738.318683896931</f>
        <v>-1479.914783057663</v>
      </c>
      <c r="P2121">
        <f>-532.683373340893 -201.706944091613 -421.842868224929</f>
        <v>-1156.2331856574351</v>
      </c>
      <c r="Q2121">
        <f>-315.512676098994 -65.8148840491327 -466.701575676709</f>
        <v>-848.02913582483575</v>
      </c>
      <c r="R2121" t="s">
        <v>41200</v>
      </c>
      <c r="S2121" t="s">
        <v>41201</v>
      </c>
      <c r="T2121" t="s">
        <v>41202</v>
      </c>
      <c r="U2121" t="s">
        <v>41203</v>
      </c>
      <c r="V2121">
        <f>-515.120349792764 -78.0201238148516 -241.556000303846</f>
        <v>-834.69647391146157</v>
      </c>
      <c r="W2121" t="s">
        <v>41204</v>
      </c>
      <c r="X2121" t="s">
        <v>41205</v>
      </c>
      <c r="Y2121" t="s">
        <v>41206</v>
      </c>
    </row>
    <row r="2122" spans="1:25" x14ac:dyDescent="0.3">
      <c r="A2122">
        <v>106050</v>
      </c>
      <c r="B2122" t="s">
        <v>41207</v>
      </c>
      <c r="C2122" t="s">
        <v>41208</v>
      </c>
      <c r="D2122" t="s">
        <v>41209</v>
      </c>
      <c r="E2122" t="s">
        <v>41210</v>
      </c>
      <c r="F2122">
        <f>-554.261558736526 -3.84707789847545 -591.372884409234</f>
        <v>-1149.4815210442355</v>
      </c>
      <c r="G2122">
        <f>-545.614360447721 -18.7004405464976 -699.536962932946</f>
        <v>-1263.8517639271645</v>
      </c>
      <c r="H2122">
        <f>-524.681436262298 -42.0415882977849 -848.590639637711</f>
        <v>-1415.313664197794</v>
      </c>
      <c r="I2122">
        <f>-482.764135616396 -50.7915227086666 -941.053385029129</f>
        <v>-1474.6090433541917</v>
      </c>
      <c r="J2122">
        <f>-533.426090181151 -0.295939269886027 -787.486259234909</f>
        <v>-1321.2082886859462</v>
      </c>
      <c r="K2122" t="s">
        <v>41211</v>
      </c>
      <c r="L2122" t="s">
        <v>41212</v>
      </c>
      <c r="M2122" t="s">
        <v>41213</v>
      </c>
      <c r="N2122">
        <f>-534.461078081937 -63.1318149158439 -777.791817865652</f>
        <v>-1375.3847108634327</v>
      </c>
      <c r="O2122">
        <f>-531.957701841849 -204.807727317962 -738.464099385437</f>
        <v>-1475.2295285452478</v>
      </c>
      <c r="P2122">
        <f>-530.79715962811 -199.934510942775 -421.981736231783</f>
        <v>-1152.713406802668</v>
      </c>
      <c r="Q2122">
        <f>-313.403802392674 -64.1675614991333 -466.135052854116</f>
        <v>-843.70641674592321</v>
      </c>
      <c r="R2122" t="s">
        <v>41214</v>
      </c>
      <c r="S2122" t="s">
        <v>41215</v>
      </c>
      <c r="T2122" t="s">
        <v>41216</v>
      </c>
      <c r="U2122" t="s">
        <v>41217</v>
      </c>
      <c r="V2122">
        <f>-513.937648481694 -75.8790384238111 -241.361125720406</f>
        <v>-831.17781262591109</v>
      </c>
      <c r="W2122" t="s">
        <v>41218</v>
      </c>
      <c r="X2122" t="s">
        <v>41219</v>
      </c>
      <c r="Y2122" t="s">
        <v>41220</v>
      </c>
    </row>
    <row r="2123" spans="1:25" x14ac:dyDescent="0.3">
      <c r="A2123">
        <v>106100</v>
      </c>
      <c r="B2123" t="s">
        <v>41221</v>
      </c>
      <c r="C2123" t="s">
        <v>41222</v>
      </c>
      <c r="D2123" t="s">
        <v>41223</v>
      </c>
      <c r="E2123" t="s">
        <v>41224</v>
      </c>
      <c r="F2123">
        <f>-553.268191725357 -2.64934616264469 -591.381730685855</f>
        <v>-1147.2992685738568</v>
      </c>
      <c r="G2123">
        <f>-544.413982009712 -17.485998311309 -699.53133585227</f>
        <v>-1261.431316173291</v>
      </c>
      <c r="H2123">
        <f>-523.178891705158 -40.8036075771001 -848.54592916017</f>
        <v>-1412.5284284424281</v>
      </c>
      <c r="I2123">
        <f>-480.918376300288 -49.5769330127437 -940.850142307299</f>
        <v>-1471.3454516203308</v>
      </c>
      <c r="J2123" t="s">
        <v>41225</v>
      </c>
      <c r="K2123" t="s">
        <v>41226</v>
      </c>
      <c r="L2123" t="s">
        <v>41227</v>
      </c>
      <c r="M2123" t="s">
        <v>41228</v>
      </c>
      <c r="N2123">
        <f>-533.104731560825 -61.904997513917 -777.77068327982</f>
        <v>-1372.780412354562</v>
      </c>
      <c r="O2123">
        <f>-530.764113465754 -203.594731346513 -738.501818410421</f>
        <v>-1472.8606632226879</v>
      </c>
      <c r="P2123">
        <f>-530.132604592387 -198.704400080305 -422.018248332863</f>
        <v>-1150.8552530055549</v>
      </c>
      <c r="Q2123">
        <f>-312.609796329321 -63.0272113113956 -465.808331011306</f>
        <v>-841.44533865202266</v>
      </c>
      <c r="R2123" t="s">
        <v>41229</v>
      </c>
      <c r="S2123" t="s">
        <v>41230</v>
      </c>
      <c r="T2123" t="s">
        <v>41231</v>
      </c>
      <c r="U2123" t="s">
        <v>41232</v>
      </c>
      <c r="V2123">
        <f>-513.670436460306 -74.2763609475198 -241.220573410626</f>
        <v>-829.16737081845179</v>
      </c>
      <c r="W2123" t="s">
        <v>41233</v>
      </c>
      <c r="X2123" t="s">
        <v>41234</v>
      </c>
      <c r="Y2123" t="s">
        <v>41235</v>
      </c>
    </row>
    <row r="2124" spans="1:25" x14ac:dyDescent="0.3">
      <c r="A2124">
        <v>106150</v>
      </c>
      <c r="B2124" t="s">
        <v>41236</v>
      </c>
      <c r="C2124" t="s">
        <v>41237</v>
      </c>
      <c r="D2124" t="s">
        <v>41238</v>
      </c>
      <c r="E2124" t="s">
        <v>41239</v>
      </c>
      <c r="F2124" t="s">
        <v>41240</v>
      </c>
      <c r="G2124">
        <f>-543.21880913729 -13.9727952544941 -699.240148359866</f>
        <v>-1256.43175275165</v>
      </c>
      <c r="H2124">
        <f>-521.339366736102 -37.3813277872529 -848.147235797224</f>
        <v>-1406.8679303205788</v>
      </c>
      <c r="I2124">
        <f>-478.357327590173 -46.3700135450243 -940.096795918245</f>
        <v>-1464.8241370534424</v>
      </c>
      <c r="J2124" t="s">
        <v>41241</v>
      </c>
      <c r="K2124" t="s">
        <v>41242</v>
      </c>
      <c r="L2124" t="s">
        <v>41243</v>
      </c>
      <c r="M2124" t="s">
        <v>41244</v>
      </c>
      <c r="N2124">
        <f>-531.655528742038 -58.4398442523972 -777.41511233806</f>
        <v>-1367.5104853324951</v>
      </c>
      <c r="O2124">
        <f>-529.958601301928 -200.152856027424 -738.25062200468</f>
        <v>-1468.3620793340319</v>
      </c>
      <c r="P2124">
        <f>-530.480802163859 -194.945907713898 -421.771855204822</f>
        <v>-1147.1985650825791</v>
      </c>
      <c r="Q2124">
        <f>-312.316993121661 -60.0521874142621 -464.786793681852</f>
        <v>-837.15597421777511</v>
      </c>
      <c r="R2124" t="s">
        <v>41245</v>
      </c>
      <c r="S2124" t="s">
        <v>41246</v>
      </c>
      <c r="T2124" t="s">
        <v>41247</v>
      </c>
      <c r="U2124" t="s">
        <v>41248</v>
      </c>
      <c r="V2124">
        <f>-514.191203204599 -69.9464826440562 -240.764005710519</f>
        <v>-824.9016915591742</v>
      </c>
      <c r="W2124" t="s">
        <v>41249</v>
      </c>
      <c r="X2124" t="s">
        <v>41250</v>
      </c>
      <c r="Y2124" t="s">
        <v>41251</v>
      </c>
    </row>
    <row r="2125" spans="1:25" x14ac:dyDescent="0.3">
      <c r="A2125">
        <v>106200</v>
      </c>
      <c r="B2125" t="s">
        <v>41252</v>
      </c>
      <c r="C2125" t="s">
        <v>41253</v>
      </c>
      <c r="D2125" t="s">
        <v>41254</v>
      </c>
      <c r="E2125" t="s">
        <v>41255</v>
      </c>
      <c r="F2125" t="s">
        <v>41256</v>
      </c>
      <c r="G2125">
        <f>-542.922917258002 -11.9390811978464 -698.983074894655</f>
        <v>-1253.8450733505033</v>
      </c>
      <c r="H2125">
        <f>-520.749407987981 -35.4464640299987 -847.831191509416</f>
        <v>-1404.0270635273957</v>
      </c>
      <c r="I2125">
        <f>-477.351655801815 -44.6600214551008 -939.562897648749</f>
        <v>-1461.5745749056648</v>
      </c>
      <c r="J2125" t="s">
        <v>41257</v>
      </c>
      <c r="K2125" t="s">
        <v>41258</v>
      </c>
      <c r="L2125" t="s">
        <v>41259</v>
      </c>
      <c r="M2125" t="s">
        <v>41260</v>
      </c>
      <c r="N2125">
        <f>-531.301600806327 -56.4581204885068 -777.119821809058</f>
        <v>-1364.8795431038916</v>
      </c>
      <c r="O2125">
        <f>-530.184865974299 -198.193082064854 -738.020904344282</f>
        <v>-1466.398852383435</v>
      </c>
      <c r="P2125">
        <f>-531.285258389771 -192.924106041421 -421.54458567227</f>
        <v>-1145.7539501034619</v>
      </c>
      <c r="Q2125">
        <f>-312.59962437813 -58.7629439790791 -464.199318044369</f>
        <v>-835.56188640157802</v>
      </c>
      <c r="R2125" t="s">
        <v>41261</v>
      </c>
      <c r="S2125" t="s">
        <v>41262</v>
      </c>
      <c r="T2125" t="s">
        <v>41263</v>
      </c>
      <c r="U2125" t="s">
        <v>41264</v>
      </c>
      <c r="V2125">
        <f>-514.512815029126 -67.147189773901 -240.403611690565</f>
        <v>-822.06361649359201</v>
      </c>
      <c r="W2125" t="s">
        <v>41265</v>
      </c>
      <c r="X2125" t="s">
        <v>41266</v>
      </c>
      <c r="Y2125" t="s">
        <v>41267</v>
      </c>
    </row>
    <row r="2126" spans="1:25" x14ac:dyDescent="0.3">
      <c r="A2126">
        <v>106250</v>
      </c>
      <c r="B2126" t="s">
        <v>41268</v>
      </c>
      <c r="C2126" t="s">
        <v>41269</v>
      </c>
      <c r="D2126" t="s">
        <v>41270</v>
      </c>
      <c r="E2126" t="s">
        <v>41271</v>
      </c>
      <c r="F2126" t="s">
        <v>41272</v>
      </c>
      <c r="G2126">
        <f>-543.096527790745 -7.41068131714054 -698.379639108497</f>
        <v>-1248.8868482163825</v>
      </c>
      <c r="H2126">
        <f>-520.511474196868 -31.1280429203339 -847.132422984838</f>
        <v>-1398.7719401020399</v>
      </c>
      <c r="I2126">
        <f>-476.262866937234 -40.9366405271683 -938.394885570499</f>
        <v>-1455.5943930349013</v>
      </c>
      <c r="J2126" t="s">
        <v>41273</v>
      </c>
      <c r="K2126" t="s">
        <v>41274</v>
      </c>
      <c r="L2126" t="s">
        <v>41275</v>
      </c>
      <c r="M2126" t="s">
        <v>41276</v>
      </c>
      <c r="N2126">
        <f>-531.528197425997 -52.038666372226 -776.462147219561</f>
        <v>-1360.0290110177839</v>
      </c>
      <c r="O2126">
        <f>-531.749973364232 -193.823389169101 -737.456852053111</f>
        <v>-1463.0302145864439</v>
      </c>
      <c r="P2126">
        <f>-533.943331922816 -188.49766814751 -420.98722419839</f>
        <v>-1143.4282242687159</v>
      </c>
      <c r="Q2126">
        <f>-313.839307764128 -56.4387879059652 -462.900512564381</f>
        <v>-833.17860823447427</v>
      </c>
      <c r="R2126" t="s">
        <v>41277</v>
      </c>
      <c r="S2126" t="s">
        <v>41278</v>
      </c>
      <c r="T2126" t="s">
        <v>41279</v>
      </c>
      <c r="U2126" t="s">
        <v>41280</v>
      </c>
      <c r="V2126">
        <f>-515.279098170965 -61.4611608821992 -239.649990856321</f>
        <v>-816.39024990948519</v>
      </c>
      <c r="W2126" t="s">
        <v>41281</v>
      </c>
      <c r="X2126" t="s">
        <v>41282</v>
      </c>
      <c r="Y2126" t="s">
        <v>41283</v>
      </c>
    </row>
    <row r="2127" spans="1:25" x14ac:dyDescent="0.3">
      <c r="A2127">
        <v>106300</v>
      </c>
      <c r="B2127" t="s">
        <v>41284</v>
      </c>
      <c r="C2127" t="s">
        <v>41285</v>
      </c>
      <c r="D2127" t="s">
        <v>41286</v>
      </c>
      <c r="E2127" t="s">
        <v>41287</v>
      </c>
      <c r="F2127" t="s">
        <v>41288</v>
      </c>
      <c r="G2127">
        <f>-543.640299706988 -4.89819440155072 -698.136191987602</f>
        <v>-1246.6746860961407</v>
      </c>
      <c r="H2127">
        <f>-520.936118029279 -28.7111554004788 -846.855616528521</f>
        <v>-1396.5028899582787</v>
      </c>
      <c r="I2127">
        <f>-476.335263472387 -38.844947214098 -937.9108310325</f>
        <v>-1453.091041718985</v>
      </c>
      <c r="J2127" t="s">
        <v>41289</v>
      </c>
      <c r="K2127" t="s">
        <v>41290</v>
      </c>
      <c r="L2127" t="s">
        <v>41291</v>
      </c>
      <c r="M2127" t="s">
        <v>41292</v>
      </c>
      <c r="N2127">
        <f>-532.156106987208 -49.5746894606857 -776.203335217985</f>
        <v>-1357.9341316658788</v>
      </c>
      <c r="O2127">
        <f>-533.052692956737 -191.369453347133 -737.233717615828</f>
        <v>-1461.655863919698</v>
      </c>
      <c r="P2127">
        <f>-535.725595323766 -185.995530564703 -420.768669914469</f>
        <v>-1142.489795802938</v>
      </c>
      <c r="Q2127">
        <f>-314.788237455734 -55.2292942504561 -462.348776338457</f>
        <v>-832.36630804464721</v>
      </c>
      <c r="R2127" t="s">
        <v>41293</v>
      </c>
      <c r="S2127" t="s">
        <v>41294</v>
      </c>
      <c r="T2127" t="s">
        <v>41295</v>
      </c>
      <c r="U2127" t="s">
        <v>41296</v>
      </c>
      <c r="V2127">
        <f>-515.868682208676 -58.3749626851639 -239.436909134747</f>
        <v>-813.68055402858693</v>
      </c>
      <c r="W2127" t="s">
        <v>41297</v>
      </c>
      <c r="X2127" t="s">
        <v>41298</v>
      </c>
      <c r="Y2127" t="s">
        <v>41299</v>
      </c>
    </row>
    <row r="2128" spans="1:25" x14ac:dyDescent="0.3">
      <c r="A2128">
        <v>106350</v>
      </c>
      <c r="B2128" t="s">
        <v>41300</v>
      </c>
      <c r="C2128" t="s">
        <v>41301</v>
      </c>
      <c r="D2128" t="s">
        <v>41302</v>
      </c>
      <c r="E2128" t="s">
        <v>41303</v>
      </c>
      <c r="F2128" t="s">
        <v>41304</v>
      </c>
      <c r="G2128" t="s">
        <v>41305</v>
      </c>
      <c r="H2128">
        <f>-523.53137501156 -23.665625340312 -846.618083975676</f>
        <v>-1393.815084327548</v>
      </c>
      <c r="I2128">
        <f>-478.476081922489 -34.4252226777338 -937.377366722118</f>
        <v>-1450.2786713223409</v>
      </c>
      <c r="J2128" t="s">
        <v>41306</v>
      </c>
      <c r="K2128" t="s">
        <v>41307</v>
      </c>
      <c r="L2128" t="s">
        <v>41308</v>
      </c>
      <c r="M2128" t="s">
        <v>41309</v>
      </c>
      <c r="N2128">
        <f>-535.056591612599 -44.3941647312912 -775.975171591263</f>
        <v>-1355.4259279351531</v>
      </c>
      <c r="O2128">
        <f>-537.463156567243 -186.17562699726 -737.028013353321</f>
        <v>-1460.6667969178238</v>
      </c>
      <c r="P2128">
        <f>-540.733797806951 -180.466281477277 -420.574337271596</f>
        <v>-1141.774416555824</v>
      </c>
      <c r="Q2128">
        <f>-318.05240205516 -52.4908283113944 -461.529629769988</f>
        <v>-832.07286013654243</v>
      </c>
      <c r="R2128" t="s">
        <v>41310</v>
      </c>
      <c r="S2128" t="s">
        <v>41311</v>
      </c>
      <c r="T2128" t="s">
        <v>41312</v>
      </c>
      <c r="U2128" t="s">
        <v>41313</v>
      </c>
      <c r="V2128">
        <f>-517.7794144872 -52.3334317843299 -239.30161422161</f>
        <v>-809.41446049314004</v>
      </c>
      <c r="W2128" t="s">
        <v>41314</v>
      </c>
      <c r="X2128" t="s">
        <v>41315</v>
      </c>
      <c r="Y2128" t="s">
        <v>41316</v>
      </c>
    </row>
    <row r="2129" spans="1:25" x14ac:dyDescent="0.3">
      <c r="A2129">
        <v>106400</v>
      </c>
      <c r="B2129" t="s">
        <v>41317</v>
      </c>
      <c r="C2129" t="s">
        <v>41318</v>
      </c>
      <c r="D2129" t="s">
        <v>41319</v>
      </c>
      <c r="E2129" t="s">
        <v>41320</v>
      </c>
      <c r="F2129" t="s">
        <v>41321</v>
      </c>
      <c r="G2129" t="s">
        <v>41322</v>
      </c>
      <c r="H2129">
        <f>-525.3625947253 -20.8270764230636 -846.443907738941</f>
        <v>-1392.6335788873046</v>
      </c>
      <c r="I2129">
        <f>-480.180242346914 -31.9164851692616 -937.100123364409</f>
        <v>-1449.1968508805846</v>
      </c>
      <c r="J2129" t="s">
        <v>41323</v>
      </c>
      <c r="K2129" t="s">
        <v>41324</v>
      </c>
      <c r="L2129" t="s">
        <v>41325</v>
      </c>
      <c r="M2129" t="s">
        <v>41326</v>
      </c>
      <c r="N2129">
        <f>-537.006061987789 -41.47044725296 -775.795399282195</f>
        <v>-1354.2719085229442</v>
      </c>
      <c r="O2129">
        <f>-540.253766308135 -183.213247885384 -736.815150481838</f>
        <v>-1460.2821646753571</v>
      </c>
      <c r="P2129">
        <f>-543.534156564081 -177.348548840434 -420.36455972411</f>
        <v>-1141.2472651286248</v>
      </c>
      <c r="Q2129">
        <f>-319.977049597481 -50.8758295257553 -461.21712139758</f>
        <v>-832.07000052081639</v>
      </c>
      <c r="R2129" t="s">
        <v>41327</v>
      </c>
      <c r="S2129" t="s">
        <v>41328</v>
      </c>
      <c r="T2129" t="s">
        <v>41329</v>
      </c>
      <c r="U2129" t="s">
        <v>41330</v>
      </c>
      <c r="V2129">
        <f>-519.151512030536 -48.8400656920066 -239.095565637096</f>
        <v>-807.08714335963862</v>
      </c>
      <c r="W2129" t="s">
        <v>41331</v>
      </c>
      <c r="X2129" t="s">
        <v>41332</v>
      </c>
      <c r="Y2129" t="s">
        <v>41333</v>
      </c>
    </row>
    <row r="2130" spans="1:25" x14ac:dyDescent="0.3">
      <c r="A2130">
        <v>106450</v>
      </c>
      <c r="B2130" t="s">
        <v>41334</v>
      </c>
      <c r="C2130" t="s">
        <v>41335</v>
      </c>
      <c r="D2130" t="s">
        <v>41336</v>
      </c>
      <c r="E2130" t="s">
        <v>41337</v>
      </c>
      <c r="F2130" t="s">
        <v>41338</v>
      </c>
      <c r="G2130" t="s">
        <v>41339</v>
      </c>
      <c r="H2130">
        <f>-529.559220148821 -15.3005991385914 -845.811989185112</f>
        <v>-1390.6718084725244</v>
      </c>
      <c r="I2130">
        <f>-484.245077009586 -27.032466702199 -936.32150498294</f>
        <v>-1447.5990486947251</v>
      </c>
      <c r="J2130" t="s">
        <v>41340</v>
      </c>
      <c r="K2130" t="s">
        <v>41341</v>
      </c>
      <c r="L2130" t="s">
        <v>41342</v>
      </c>
      <c r="M2130" t="s">
        <v>41343</v>
      </c>
      <c r="N2130">
        <f>-541.444560188553 -35.7535004669379 -775.148438208164</f>
        <v>-1352.3464988636549</v>
      </c>
      <c r="O2130">
        <f>-546.422680192092 -177.423065510144 -736.081044027388</f>
        <v>-1459.926789729624</v>
      </c>
      <c r="P2130">
        <f>-549.572639192887 -171.147749188021 -419.636848796914</f>
        <v>-1140.3572371778218</v>
      </c>
      <c r="Q2130">
        <f>-324.309832906999 -47.8101621607776 -460.704742719758</f>
        <v>-832.82473778753456</v>
      </c>
      <c r="R2130" t="s">
        <v>41344</v>
      </c>
      <c r="S2130" t="s">
        <v>41345</v>
      </c>
      <c r="T2130" t="s">
        <v>41346</v>
      </c>
      <c r="U2130" t="s">
        <v>41347</v>
      </c>
      <c r="V2130">
        <f>-522.121449904539 -42.1324194899912 -238.283224704046</f>
        <v>-802.53709409857618</v>
      </c>
      <c r="W2130" t="s">
        <v>41348</v>
      </c>
      <c r="X2130" t="s">
        <v>41349</v>
      </c>
      <c r="Y2130" t="s">
        <v>41350</v>
      </c>
    </row>
    <row r="2131" spans="1:25" x14ac:dyDescent="0.3">
      <c r="A2131">
        <v>106500</v>
      </c>
      <c r="B2131" t="s">
        <v>41351</v>
      </c>
      <c r="C2131" t="s">
        <v>41352</v>
      </c>
      <c r="D2131" t="s">
        <v>41353</v>
      </c>
      <c r="E2131" t="s">
        <v>41354</v>
      </c>
      <c r="F2131" t="s">
        <v>41355</v>
      </c>
      <c r="G2131" t="s">
        <v>41356</v>
      </c>
      <c r="H2131">
        <f>-532.146458284633 -12.3225849843377 -845.336960489652</f>
        <v>-1389.8060037586229</v>
      </c>
      <c r="I2131">
        <f>-486.810671034183 -24.3734481790348 -935.793749445846</f>
        <v>-1446.9778686590637</v>
      </c>
      <c r="J2131" t="s">
        <v>41357</v>
      </c>
      <c r="K2131" t="s">
        <v>41358</v>
      </c>
      <c r="L2131" t="s">
        <v>41359</v>
      </c>
      <c r="M2131" t="s">
        <v>41360</v>
      </c>
      <c r="N2131">
        <f>-544.155949728768 -32.6714716566237 -774.664279712614</f>
        <v>-1351.4917010980057</v>
      </c>
      <c r="O2131">
        <f>-550.012081029091 -174.298272069509 -735.539758859247</f>
        <v>-1459.8501119578468</v>
      </c>
      <c r="P2131">
        <f>-553.010688221629 -167.819389786305 -419.098368679563</f>
        <v>-1139.9284466874969</v>
      </c>
      <c r="Q2131">
        <f>-326.888900373108 -46.1408214728465 -460.393908319195</f>
        <v>-833.42363016514946</v>
      </c>
      <c r="R2131" t="s">
        <v>41361</v>
      </c>
      <c r="S2131" t="s">
        <v>41362</v>
      </c>
      <c r="T2131" t="s">
        <v>41363</v>
      </c>
      <c r="U2131" t="s">
        <v>41364</v>
      </c>
      <c r="V2131">
        <f>-523.830826522547 -38.5512612779926 -237.751573475044</f>
        <v>-800.13366127558356</v>
      </c>
      <c r="W2131" t="s">
        <v>41365</v>
      </c>
      <c r="X2131" t="s">
        <v>41366</v>
      </c>
      <c r="Y2131" t="s">
        <v>41367</v>
      </c>
    </row>
    <row r="2132" spans="1:25" x14ac:dyDescent="0.3">
      <c r="A2132">
        <v>106550</v>
      </c>
      <c r="B2132" t="s">
        <v>41368</v>
      </c>
      <c r="C2132" t="s">
        <v>41369</v>
      </c>
      <c r="D2132" t="s">
        <v>41370</v>
      </c>
      <c r="E2132" t="s">
        <v>41371</v>
      </c>
      <c r="F2132" t="s">
        <v>41372</v>
      </c>
      <c r="G2132" t="s">
        <v>41373</v>
      </c>
      <c r="H2132">
        <f>-536.579757229612 -5.79200287545365 -844.170613906954</f>
        <v>-1386.5423740120198</v>
      </c>
      <c r="I2132">
        <f>-491.176470034607 -18.4235236571129 -934.51429816508</f>
        <v>-1444.1142918568</v>
      </c>
      <c r="J2132" t="s">
        <v>41374</v>
      </c>
      <c r="K2132" t="s">
        <v>41375</v>
      </c>
      <c r="L2132" t="s">
        <v>41376</v>
      </c>
      <c r="M2132" t="s">
        <v>41377</v>
      </c>
      <c r="N2132">
        <f>-548.932046619857 -25.9634722744375 -773.506291798935</f>
        <v>-1348.4018106932294</v>
      </c>
      <c r="O2132">
        <f>-556.712724020164 -167.462546093018 -734.267179804285</f>
        <v>-1458.442449917467</v>
      </c>
      <c r="P2132">
        <f>-559.476201387908 -160.760411708406 -417.828215053113</f>
        <v>-1138.0648281494268</v>
      </c>
      <c r="Q2132">
        <f>-331.745823720751 -42.3218486042808 -459.699676992921</f>
        <v>-833.76734931795284</v>
      </c>
      <c r="R2132" t="s">
        <v>41378</v>
      </c>
      <c r="S2132" t="s">
        <v>41379</v>
      </c>
      <c r="T2132" t="s">
        <v>41380</v>
      </c>
      <c r="U2132" t="s">
        <v>41381</v>
      </c>
      <c r="V2132">
        <f>-526.46708676969 -31.3706104200556 -236.693212968682</f>
        <v>-794.53091015842767</v>
      </c>
      <c r="W2132" t="s">
        <v>41382</v>
      </c>
      <c r="X2132" t="s">
        <v>41383</v>
      </c>
      <c r="Y2132" t="s">
        <v>41384</v>
      </c>
    </row>
    <row r="2133" spans="1:25" x14ac:dyDescent="0.3">
      <c r="A2133">
        <v>106600</v>
      </c>
      <c r="B2133" t="s">
        <v>41385</v>
      </c>
      <c r="C2133" t="s">
        <v>41386</v>
      </c>
      <c r="D2133" t="s">
        <v>41387</v>
      </c>
      <c r="E2133" t="s">
        <v>41388</v>
      </c>
      <c r="F2133" t="s">
        <v>41389</v>
      </c>
      <c r="G2133" t="s">
        <v>41390</v>
      </c>
      <c r="H2133">
        <f>-538.597391882816 -2.59777217970181 -843.792242869641</f>
        <v>-1384.9874069321588</v>
      </c>
      <c r="I2133">
        <f>-493.171612265056 -15.4993894041266 -934.086378563847</f>
        <v>-1442.7573802330296</v>
      </c>
      <c r="J2133" t="s">
        <v>41391</v>
      </c>
      <c r="K2133" t="s">
        <v>41392</v>
      </c>
      <c r="L2133" t="s">
        <v>41393</v>
      </c>
      <c r="M2133" t="s">
        <v>41394</v>
      </c>
      <c r="N2133">
        <f>-551.1077869479 -22.6768047476759 -773.129295628496</f>
        <v>-1346.9138873240718</v>
      </c>
      <c r="O2133">
        <f>-559.784045602348 -164.113018760496 -733.830856511261</f>
        <v>-1457.7279208741052</v>
      </c>
      <c r="P2133">
        <f>-562.618790831754 -157.189564262268 -417.397125838609</f>
        <v>-1137.205480932631</v>
      </c>
      <c r="Q2133">
        <f>-334.105749938921 -40.3201462964665 -459.413899379119</f>
        <v>-833.83979561450656</v>
      </c>
      <c r="R2133" t="s">
        <v>41395</v>
      </c>
      <c r="S2133" t="s">
        <v>41396</v>
      </c>
      <c r="T2133" t="s">
        <v>41397</v>
      </c>
      <c r="U2133" t="s">
        <v>41398</v>
      </c>
      <c r="V2133">
        <f>-527.553154283482 -28.3178262734404 -236.503203314413</f>
        <v>-792.37418387133528</v>
      </c>
      <c r="W2133" t="s">
        <v>41399</v>
      </c>
      <c r="X2133" t="s">
        <v>41400</v>
      </c>
      <c r="Y2133" t="s">
        <v>41401</v>
      </c>
    </row>
    <row r="2134" spans="1:25" x14ac:dyDescent="0.3">
      <c r="A2134">
        <v>106650</v>
      </c>
      <c r="B2134" t="s">
        <v>41402</v>
      </c>
      <c r="C2134" t="s">
        <v>41403</v>
      </c>
      <c r="D2134" t="s">
        <v>41404</v>
      </c>
      <c r="E2134" t="s">
        <v>41405</v>
      </c>
      <c r="F2134" t="s">
        <v>41406</v>
      </c>
      <c r="G2134" t="s">
        <v>41407</v>
      </c>
      <c r="H2134" t="s">
        <v>41408</v>
      </c>
      <c r="I2134">
        <f>-495.383305376841 -10.405443192489 -934.260519394888</f>
        <v>-1440.049267964218</v>
      </c>
      <c r="J2134" t="s">
        <v>41409</v>
      </c>
      <c r="K2134" t="s">
        <v>41410</v>
      </c>
      <c r="L2134" t="s">
        <v>41411</v>
      </c>
      <c r="M2134" t="s">
        <v>41412</v>
      </c>
      <c r="N2134">
        <f>-553.6438867206 -16.8834885771221 -773.398244115204</f>
        <v>-1343.9256194129262</v>
      </c>
      <c r="O2134">
        <f>-564.073124963565 -158.171756519255 -733.973497425153</f>
        <v>-1456.2183789079731</v>
      </c>
      <c r="P2134">
        <f>-567.093702940858 -150.859874233164 -417.55033090677</f>
        <v>-1135.5039080807919</v>
      </c>
      <c r="Q2134">
        <f>-337.021144358617 -36.9844498468039 -459.276410431331</f>
        <v>-833.28200463675194</v>
      </c>
      <c r="R2134" t="s">
        <v>41413</v>
      </c>
      <c r="S2134" t="s">
        <v>41414</v>
      </c>
      <c r="T2134" t="s">
        <v>41415</v>
      </c>
      <c r="U2134" t="s">
        <v>41416</v>
      </c>
      <c r="V2134">
        <f>-528.575765725471 -24.4748390454029 -237.19070277254</f>
        <v>-790.24130754341388</v>
      </c>
      <c r="W2134" t="s">
        <v>41417</v>
      </c>
      <c r="X2134" t="s">
        <v>41418</v>
      </c>
      <c r="Y2134" t="s">
        <v>41419</v>
      </c>
    </row>
    <row r="2135" spans="1:25" x14ac:dyDescent="0.3">
      <c r="A2135">
        <v>106700</v>
      </c>
      <c r="B2135" t="s">
        <v>41420</v>
      </c>
      <c r="C2135" t="s">
        <v>41421</v>
      </c>
      <c r="D2135" t="s">
        <v>41422</v>
      </c>
      <c r="E2135" t="s">
        <v>41423</v>
      </c>
      <c r="F2135" t="s">
        <v>41424</v>
      </c>
      <c r="G2135" t="s">
        <v>41425</v>
      </c>
      <c r="H2135" t="s">
        <v>41426</v>
      </c>
      <c r="I2135">
        <f>-495.874710547949 -8.23368657251506 -934.667063486642</f>
        <v>-1438.775460607106</v>
      </c>
      <c r="J2135" t="s">
        <v>41427</v>
      </c>
      <c r="K2135" t="s">
        <v>41428</v>
      </c>
      <c r="L2135" t="s">
        <v>41429</v>
      </c>
      <c r="M2135" t="s">
        <v>41430</v>
      </c>
      <c r="N2135">
        <f>-554.195408808339 -14.4123652793061 -773.824290969518</f>
        <v>-1342.4320650571631</v>
      </c>
      <c r="O2135">
        <f>-565.280311241896 -155.63793996374 -734.375354061702</f>
        <v>-1455.2936052673381</v>
      </c>
      <c r="P2135">
        <f>-568.429767151726 -147.977122611689 -417.961700655826</f>
        <v>-1134.3685904192409</v>
      </c>
      <c r="Q2135">
        <f>-337.578476245663 -35.5494643110517 -459.311027297282</f>
        <v>-832.4389678539967</v>
      </c>
      <c r="R2135" t="s">
        <v>41431</v>
      </c>
      <c r="S2135" t="s">
        <v>41432</v>
      </c>
      <c r="T2135" t="s">
        <v>41433</v>
      </c>
      <c r="U2135" t="s">
        <v>41434</v>
      </c>
      <c r="V2135">
        <f>-529.098848565034 -23.729419347014 -237.870377178735</f>
        <v>-790.69864509078297</v>
      </c>
      <c r="W2135" t="s">
        <v>41435</v>
      </c>
      <c r="X2135" t="s">
        <v>41436</v>
      </c>
      <c r="Y2135" t="s">
        <v>41437</v>
      </c>
    </row>
    <row r="2136" spans="1:25" x14ac:dyDescent="0.3">
      <c r="A2136">
        <v>106750</v>
      </c>
      <c r="B2136" t="s">
        <v>41438</v>
      </c>
      <c r="C2136" t="s">
        <v>41439</v>
      </c>
      <c r="D2136" t="s">
        <v>41440</v>
      </c>
      <c r="E2136" t="s">
        <v>41441</v>
      </c>
      <c r="F2136" t="s">
        <v>41442</v>
      </c>
      <c r="G2136" t="s">
        <v>41443</v>
      </c>
      <c r="H2136" t="s">
        <v>41444</v>
      </c>
      <c r="I2136">
        <f>-497.592294134881 -5.30748513999357 -935.736326365646</f>
        <v>-1438.6361056405206</v>
      </c>
      <c r="J2136" t="s">
        <v>41445</v>
      </c>
      <c r="K2136" t="s">
        <v>41446</v>
      </c>
      <c r="L2136" t="s">
        <v>41447</v>
      </c>
      <c r="M2136" t="s">
        <v>41448</v>
      </c>
      <c r="N2136">
        <f>-556.06464788444 -10.9984981113174 -774.945000111619</f>
        <v>-1342.0081461073764</v>
      </c>
      <c r="O2136">
        <f>-568.307046567513 -152.163650462801 -735.585749218879</f>
        <v>-1456.056446249193</v>
      </c>
      <c r="P2136">
        <f>-571.872149939795 -143.959251983948 -419.190024516945</f>
        <v>-1135.0214264406879</v>
      </c>
      <c r="Q2136">
        <f>-339.656885607521 -34.1181592949833 -459.847961826468</f>
        <v>-833.62300672897231</v>
      </c>
      <c r="R2136" t="s">
        <v>41449</v>
      </c>
      <c r="S2136" t="s">
        <v>41450</v>
      </c>
      <c r="T2136" t="s">
        <v>41451</v>
      </c>
      <c r="U2136" t="s">
        <v>41452</v>
      </c>
      <c r="V2136">
        <f>-530.683775287192 -23.59440331697 -239.578311544587</f>
        <v>-793.856490148749</v>
      </c>
      <c r="W2136" t="s">
        <v>41453</v>
      </c>
      <c r="X2136" t="s">
        <v>41454</v>
      </c>
      <c r="Y2136" t="s">
        <v>41455</v>
      </c>
    </row>
    <row r="2137" spans="1:25" x14ac:dyDescent="0.3">
      <c r="A2137">
        <v>106800</v>
      </c>
      <c r="B2137" t="s">
        <v>41456</v>
      </c>
      <c r="C2137" t="s">
        <v>41457</v>
      </c>
      <c r="D2137" t="s">
        <v>41458</v>
      </c>
      <c r="E2137" t="s">
        <v>41459</v>
      </c>
      <c r="F2137" t="s">
        <v>41460</v>
      </c>
      <c r="G2137" t="s">
        <v>41461</v>
      </c>
      <c r="H2137" t="s">
        <v>41462</v>
      </c>
      <c r="I2137">
        <f>-498.564102985456 -3.78347976992661 -936.156455403281</f>
        <v>-1438.5040381586637</v>
      </c>
      <c r="J2137" t="s">
        <v>41463</v>
      </c>
      <c r="K2137" t="s">
        <v>41464</v>
      </c>
      <c r="L2137" t="s">
        <v>41465</v>
      </c>
      <c r="M2137" t="s">
        <v>41466</v>
      </c>
      <c r="N2137">
        <f>-557.156594245665 -9.40533409236425 -775.408070953192</f>
        <v>-1341.9699992912213</v>
      </c>
      <c r="O2137">
        <f>-569.924543999972 -150.56405360544 -736.177352615144</f>
        <v>-1456.6659502205559</v>
      </c>
      <c r="P2137">
        <f>-573.722892628563 -142.546156195217 -419.779676785342</f>
        <v>-1136.0487256091221</v>
      </c>
      <c r="Q2137">
        <f>-341.027302358249 -33.6107567406552 -460.12683500638</f>
        <v>-834.76489410528416</v>
      </c>
      <c r="R2137" t="s">
        <v>41467</v>
      </c>
      <c r="S2137" t="s">
        <v>41468</v>
      </c>
      <c r="T2137" t="s">
        <v>41469</v>
      </c>
      <c r="U2137" t="s">
        <v>41470</v>
      </c>
      <c r="V2137">
        <f>-531.771542971799 -23.6037920964128 -240.343658527251</f>
        <v>-795.71899359546285</v>
      </c>
      <c r="W2137" t="s">
        <v>41471</v>
      </c>
      <c r="X2137" t="s">
        <v>41472</v>
      </c>
      <c r="Y2137" t="s">
        <v>41473</v>
      </c>
    </row>
    <row r="2138" spans="1:25" x14ac:dyDescent="0.3">
      <c r="A2138">
        <v>106850</v>
      </c>
      <c r="B2138" t="s">
        <v>41474</v>
      </c>
      <c r="C2138" t="s">
        <v>41475</v>
      </c>
      <c r="D2138" t="s">
        <v>41476</v>
      </c>
      <c r="E2138" t="s">
        <v>41477</v>
      </c>
      <c r="F2138" t="s">
        <v>41478</v>
      </c>
      <c r="G2138" t="s">
        <v>41479</v>
      </c>
      <c r="H2138" t="s">
        <v>41480</v>
      </c>
      <c r="I2138">
        <f>-500.283638241227 -0.274326806357529 -936.900339778351</f>
        <v>-1437.4583048259356</v>
      </c>
      <c r="J2138" t="s">
        <v>41481</v>
      </c>
      <c r="K2138" t="s">
        <v>41482</v>
      </c>
      <c r="L2138" t="s">
        <v>41483</v>
      </c>
      <c r="M2138" t="s">
        <v>41484</v>
      </c>
      <c r="N2138">
        <f>-559.120128258655 -6.01633173847886 -776.243494982495</f>
        <v>-1341.3799549796288</v>
      </c>
      <c r="O2138">
        <f>-572.552853666847 -147.209662875509 -737.394466418238</f>
        <v>-1457.1569829605942</v>
      </c>
      <c r="P2138">
        <f>-577.020475160142 -140.065485566875 -420.984575288915</f>
        <v>-1138.070536015932</v>
      </c>
      <c r="Q2138">
        <f>-343.808079145439 -32.1002952369697 -460.954065409485</f>
        <v>-836.86243979189373</v>
      </c>
      <c r="R2138" t="s">
        <v>41485</v>
      </c>
      <c r="S2138" t="s">
        <v>41486</v>
      </c>
      <c r="T2138" t="s">
        <v>41487</v>
      </c>
      <c r="U2138" t="s">
        <v>41488</v>
      </c>
      <c r="V2138">
        <f>-534.079865437018 -22.3434730898416 -241.67197065942</f>
        <v>-798.09530918627968</v>
      </c>
      <c r="W2138" t="s">
        <v>41489</v>
      </c>
      <c r="X2138" t="s">
        <v>41490</v>
      </c>
      <c r="Y2138" t="s">
        <v>41491</v>
      </c>
    </row>
    <row r="2139" spans="1:25" x14ac:dyDescent="0.3">
      <c r="A2139">
        <v>106900</v>
      </c>
      <c r="B2139" t="s">
        <v>41492</v>
      </c>
      <c r="C2139" t="s">
        <v>41493</v>
      </c>
      <c r="D2139" t="s">
        <v>41494</v>
      </c>
      <c r="E2139" t="s">
        <v>41495</v>
      </c>
      <c r="F2139" t="s">
        <v>41496</v>
      </c>
      <c r="G2139" t="s">
        <v>41497</v>
      </c>
      <c r="H2139" t="s">
        <v>41498</v>
      </c>
      <c r="I2139" t="s">
        <v>41499</v>
      </c>
      <c r="J2139" t="s">
        <v>41500</v>
      </c>
      <c r="K2139" t="s">
        <v>41501</v>
      </c>
      <c r="L2139" t="s">
        <v>41502</v>
      </c>
      <c r="M2139" t="s">
        <v>41503</v>
      </c>
      <c r="N2139">
        <f>-559.74052506214 -4.74922022845729 -776.586548694079</f>
        <v>-1341.0762939846763</v>
      </c>
      <c r="O2139">
        <f>-573.326271855838 -145.971796127564 -737.915097536086</f>
        <v>-1457.213165519488</v>
      </c>
      <c r="P2139">
        <f>-577.886226124961 -139.391878254559 -421.494314311066</f>
        <v>-1138.7724186905862</v>
      </c>
      <c r="Q2139">
        <f>-344.540620928337 -31.707312636143 -461.443036886161</f>
        <v>-837.69097045064098</v>
      </c>
      <c r="R2139" t="s">
        <v>41504</v>
      </c>
      <c r="S2139" t="s">
        <v>41505</v>
      </c>
      <c r="T2139" t="s">
        <v>41506</v>
      </c>
      <c r="U2139" t="s">
        <v>41507</v>
      </c>
      <c r="V2139">
        <f>-535.050304794988 -22.0706979946144 -242.14431890382</f>
        <v>-799.26532169342249</v>
      </c>
      <c r="W2139" t="s">
        <v>41508</v>
      </c>
      <c r="X2139" t="s">
        <v>41509</v>
      </c>
      <c r="Y2139" t="s">
        <v>41510</v>
      </c>
    </row>
    <row r="2140" spans="1:25" x14ac:dyDescent="0.3">
      <c r="A2140">
        <v>106950</v>
      </c>
      <c r="B2140" t="s">
        <v>41511</v>
      </c>
      <c r="C2140" t="s">
        <v>41512</v>
      </c>
      <c r="D2140" t="s">
        <v>41513</v>
      </c>
      <c r="E2140" t="s">
        <v>41514</v>
      </c>
      <c r="F2140" t="s">
        <v>41515</v>
      </c>
      <c r="G2140" t="s">
        <v>41516</v>
      </c>
      <c r="H2140" t="s">
        <v>41517</v>
      </c>
      <c r="I2140" t="s">
        <v>41518</v>
      </c>
      <c r="J2140" t="s">
        <v>41519</v>
      </c>
      <c r="K2140" t="s">
        <v>41520</v>
      </c>
      <c r="L2140" t="s">
        <v>41521</v>
      </c>
      <c r="M2140" t="s">
        <v>41522</v>
      </c>
      <c r="N2140">
        <f>-561.419972360559 -3.08666234505448 -777.063529404742</f>
        <v>-1341.5701641103556</v>
      </c>
      <c r="O2140">
        <f>-575.093486443196 -144.376075430506 -738.676338237872</f>
        <v>-1458.1459001115741</v>
      </c>
      <c r="P2140">
        <f>-579.312925956493 -138.519127148569 -422.236730775721</f>
        <v>-1140.068783880783</v>
      </c>
      <c r="Q2140">
        <f>-345.892033069326 -31.0940557670624 -462.443705667297</f>
        <v>-839.42979450368534</v>
      </c>
      <c r="R2140" t="s">
        <v>41523</v>
      </c>
      <c r="S2140" t="s">
        <v>41524</v>
      </c>
      <c r="T2140" t="s">
        <v>41525</v>
      </c>
      <c r="U2140" t="s">
        <v>41526</v>
      </c>
      <c r="V2140">
        <f>-536.476700756533 -22.3735919685696 -242.93697492517</f>
        <v>-801.78726765027261</v>
      </c>
      <c r="W2140" t="s">
        <v>41527</v>
      </c>
      <c r="X2140" t="s">
        <v>41528</v>
      </c>
      <c r="Y2140" t="s">
        <v>41529</v>
      </c>
    </row>
    <row r="2141" spans="1:25" x14ac:dyDescent="0.3">
      <c r="A2141">
        <v>107000</v>
      </c>
      <c r="B2141" t="s">
        <v>41530</v>
      </c>
      <c r="C2141" t="s">
        <v>41531</v>
      </c>
      <c r="D2141" t="s">
        <v>41532</v>
      </c>
      <c r="E2141" t="s">
        <v>41533</v>
      </c>
      <c r="F2141" t="s">
        <v>41534</v>
      </c>
      <c r="G2141" t="s">
        <v>41535</v>
      </c>
      <c r="H2141" t="s">
        <v>41536</v>
      </c>
      <c r="I2141" t="s">
        <v>41537</v>
      </c>
      <c r="J2141" t="s">
        <v>41538</v>
      </c>
      <c r="K2141" t="s">
        <v>41539</v>
      </c>
      <c r="L2141" t="s">
        <v>41540</v>
      </c>
      <c r="M2141" t="s">
        <v>41541</v>
      </c>
      <c r="N2141">
        <f>-562.202940886875 -2.82554965260079 -777.624860284254</f>
        <v>-1342.6533508237299</v>
      </c>
      <c r="O2141">
        <f>-575.538899069101 -144.240613458659 -739.56040232434</f>
        <v>-1459.3399148521</v>
      </c>
      <c r="P2141">
        <f>-579.331656364052 -139.055566297047 -423.103662419451</f>
        <v>-1141.49088508055</v>
      </c>
      <c r="Q2141">
        <f>-346.116513336731 -31.241400388555 -463.462862838777</f>
        <v>-840.82077656406295</v>
      </c>
      <c r="R2141" t="s">
        <v>41542</v>
      </c>
      <c r="S2141" t="s">
        <v>41543</v>
      </c>
      <c r="T2141" t="s">
        <v>41544</v>
      </c>
      <c r="U2141" t="s">
        <v>41545</v>
      </c>
      <c r="V2141">
        <f>-536.775765517882 -23.3571409018309 -243.691804548707</f>
        <v>-803.82471096841982</v>
      </c>
      <c r="W2141" t="s">
        <v>41546</v>
      </c>
      <c r="X2141" t="s">
        <v>41547</v>
      </c>
      <c r="Y2141" t="s">
        <v>41548</v>
      </c>
    </row>
    <row r="2142" spans="1:25" x14ac:dyDescent="0.3">
      <c r="A2142">
        <v>107050</v>
      </c>
      <c r="B2142" t="s">
        <v>41549</v>
      </c>
      <c r="C2142" t="s">
        <v>41550</v>
      </c>
      <c r="D2142" t="s">
        <v>41551</v>
      </c>
      <c r="E2142" t="s">
        <v>41552</v>
      </c>
      <c r="F2142" t="s">
        <v>41553</v>
      </c>
      <c r="G2142" t="s">
        <v>41554</v>
      </c>
      <c r="H2142" t="s">
        <v>41555</v>
      </c>
      <c r="I2142" t="s">
        <v>41556</v>
      </c>
      <c r="J2142" t="s">
        <v>41557</v>
      </c>
      <c r="K2142" t="s">
        <v>41558</v>
      </c>
      <c r="L2142" t="s">
        <v>41559</v>
      </c>
      <c r="M2142" t="s">
        <v>41560</v>
      </c>
      <c r="N2142">
        <f>-562.001396389822 -2.83763350790319 -777.933150855188</f>
        <v>-1342.7721807529133</v>
      </c>
      <c r="O2142">
        <f>-575.016706417759 -144.316126685935 -740.021422822705</f>
        <v>-1459.3542559263988</v>
      </c>
      <c r="P2142">
        <f>-578.675279205013 -139.657023525187 -423.554943848689</f>
        <v>-1141.8872465788891</v>
      </c>
      <c r="Q2142">
        <f>-345.687338718902 -31.3450051877542 -463.893311786622</f>
        <v>-840.92565569327826</v>
      </c>
      <c r="R2142" t="s">
        <v>41561</v>
      </c>
      <c r="S2142" t="s">
        <v>41562</v>
      </c>
      <c r="T2142" t="s">
        <v>41563</v>
      </c>
      <c r="U2142" t="s">
        <v>41564</v>
      </c>
      <c r="V2142">
        <f>-536.677599533008 -23.9268205331588 -243.985558660721</f>
        <v>-804.58997872688781</v>
      </c>
      <c r="W2142" t="s">
        <v>41565</v>
      </c>
      <c r="X2142" t="s">
        <v>41566</v>
      </c>
      <c r="Y2142" t="s">
        <v>41567</v>
      </c>
    </row>
    <row r="2143" spans="1:25" x14ac:dyDescent="0.3">
      <c r="A2143">
        <v>107100</v>
      </c>
      <c r="B2143" t="s">
        <v>41568</v>
      </c>
      <c r="C2143" t="s">
        <v>41569</v>
      </c>
      <c r="D2143" t="s">
        <v>41570</v>
      </c>
      <c r="E2143" t="s">
        <v>41571</v>
      </c>
      <c r="F2143" t="s">
        <v>41572</v>
      </c>
      <c r="G2143" t="s">
        <v>41573</v>
      </c>
      <c r="H2143" t="s">
        <v>41574</v>
      </c>
      <c r="I2143" t="s">
        <v>41575</v>
      </c>
      <c r="J2143" t="s">
        <v>41576</v>
      </c>
      <c r="K2143" t="s">
        <v>41577</v>
      </c>
      <c r="L2143" t="s">
        <v>41578</v>
      </c>
      <c r="M2143" t="s">
        <v>41579</v>
      </c>
      <c r="N2143">
        <f>-561.654986359162 -2.57254859744145 -778.151126239057</f>
        <v>-1342.3786611956605</v>
      </c>
      <c r="O2143">
        <f>-574.225836062135 -144.141444645675 -740.418521651074</f>
        <v>-1458.7858023588842</v>
      </c>
      <c r="P2143">
        <f>-577.876923741913 -139.93961310261 -423.945539738029</f>
        <v>-1141.762076582552</v>
      </c>
      <c r="Q2143">
        <f>-345.167761184181 -31.0353048529715 -464.298277899155</f>
        <v>-840.50134393630742</v>
      </c>
      <c r="R2143" t="s">
        <v>41580</v>
      </c>
      <c r="S2143" t="s">
        <v>41581</v>
      </c>
      <c r="T2143" t="s">
        <v>41582</v>
      </c>
      <c r="U2143" t="s">
        <v>41583</v>
      </c>
      <c r="V2143">
        <f>-536.628270440701 -23.9349262021261 -244.118184847744</f>
        <v>-804.6813814905712</v>
      </c>
      <c r="W2143" t="s">
        <v>41584</v>
      </c>
      <c r="X2143" t="s">
        <v>41585</v>
      </c>
      <c r="Y2143" t="s">
        <v>41586</v>
      </c>
    </row>
    <row r="2144" spans="1:25" x14ac:dyDescent="0.3">
      <c r="A2144">
        <v>107150</v>
      </c>
      <c r="B2144" t="s">
        <v>41587</v>
      </c>
      <c r="C2144" t="s">
        <v>41588</v>
      </c>
      <c r="D2144" t="s">
        <v>41589</v>
      </c>
      <c r="E2144" t="s">
        <v>41590</v>
      </c>
      <c r="F2144" t="s">
        <v>41591</v>
      </c>
      <c r="G2144" t="s">
        <v>41592</v>
      </c>
      <c r="H2144" t="s">
        <v>41593</v>
      </c>
      <c r="I2144" t="s">
        <v>41594</v>
      </c>
      <c r="J2144" t="s">
        <v>41595</v>
      </c>
      <c r="K2144" t="s">
        <v>41596</v>
      </c>
      <c r="L2144" t="s">
        <v>41597</v>
      </c>
      <c r="M2144" t="s">
        <v>41598</v>
      </c>
      <c r="N2144">
        <f>-561.434251703301 -1.93747416422715 -778.460124553693</f>
        <v>-1341.8318504212211</v>
      </c>
      <c r="O2144">
        <f>-573.247135683142 -143.656809280369 -741.036358710188</f>
        <v>-1457.940303673699</v>
      </c>
      <c r="P2144">
        <f>-576.731307673837 -140.138435789843 -424.553135431988</f>
        <v>-1141.422878895668</v>
      </c>
      <c r="Q2144">
        <f>-344.568182700175 -30.1102871475103 -465.002566087773</f>
        <v>-839.68103593545834</v>
      </c>
      <c r="R2144" t="s">
        <v>41599</v>
      </c>
      <c r="S2144" t="s">
        <v>41600</v>
      </c>
      <c r="T2144" t="s">
        <v>41601</v>
      </c>
      <c r="U2144" t="s">
        <v>41602</v>
      </c>
      <c r="V2144">
        <f>-536.538215832599 -23.6096366012865 -244.274301651371</f>
        <v>-804.42215408525658</v>
      </c>
      <c r="W2144" t="s">
        <v>41603</v>
      </c>
      <c r="X2144" t="s">
        <v>41604</v>
      </c>
      <c r="Y2144" t="s">
        <v>41605</v>
      </c>
    </row>
    <row r="2145" spans="1:25" x14ac:dyDescent="0.3">
      <c r="A2145">
        <v>107200</v>
      </c>
      <c r="B2145" t="s">
        <v>41606</v>
      </c>
      <c r="C2145" t="s">
        <v>41607</v>
      </c>
      <c r="D2145" t="s">
        <v>41608</v>
      </c>
      <c r="E2145" t="s">
        <v>41609</v>
      </c>
      <c r="F2145" t="s">
        <v>41610</v>
      </c>
      <c r="G2145" t="s">
        <v>41611</v>
      </c>
      <c r="H2145" t="s">
        <v>41612</v>
      </c>
      <c r="I2145" t="s">
        <v>41613</v>
      </c>
      <c r="J2145" t="s">
        <v>41614</v>
      </c>
      <c r="K2145" t="s">
        <v>41615</v>
      </c>
      <c r="L2145" t="s">
        <v>41616</v>
      </c>
      <c r="M2145" t="s">
        <v>41617</v>
      </c>
      <c r="N2145">
        <f>-561.560917909806 -1.87569090045618 -778.527705316978</f>
        <v>-1341.9643141272402</v>
      </c>
      <c r="O2145">
        <f>-572.981699805331 -143.663994843801 -741.235327803157</f>
        <v>-1457.881022452289</v>
      </c>
      <c r="P2145">
        <f>-576.295837658951 -140.489438615397 -424.746598072299</f>
        <v>-1141.5318743466469</v>
      </c>
      <c r="Q2145">
        <f>-344.402627955576 -29.9199836882893 -465.26798878683</f>
        <v>-839.5906004306953</v>
      </c>
      <c r="R2145" t="s">
        <v>41618</v>
      </c>
      <c r="S2145" t="s">
        <v>41619</v>
      </c>
      <c r="T2145" t="s">
        <v>41620</v>
      </c>
      <c r="U2145" t="s">
        <v>41621</v>
      </c>
      <c r="V2145">
        <f>-536.285477528338 -23.7233244411621 -244.299662206253</f>
        <v>-804.30846417575299</v>
      </c>
      <c r="W2145" t="s">
        <v>41622</v>
      </c>
      <c r="X2145" t="s">
        <v>41623</v>
      </c>
      <c r="Y2145" t="s">
        <v>41624</v>
      </c>
    </row>
    <row r="2146" spans="1:25" x14ac:dyDescent="0.3">
      <c r="A2146">
        <v>107250</v>
      </c>
      <c r="B2146" t="s">
        <v>41625</v>
      </c>
      <c r="C2146" t="s">
        <v>41626</v>
      </c>
      <c r="D2146" t="s">
        <v>41627</v>
      </c>
      <c r="E2146" t="s">
        <v>41628</v>
      </c>
      <c r="F2146" t="s">
        <v>41629</v>
      </c>
      <c r="G2146" t="s">
        <v>41630</v>
      </c>
      <c r="H2146" t="s">
        <v>41631</v>
      </c>
      <c r="I2146" t="s">
        <v>41632</v>
      </c>
      <c r="J2146" t="s">
        <v>41633</v>
      </c>
      <c r="K2146" t="s">
        <v>41634</v>
      </c>
      <c r="L2146" t="s">
        <v>41635</v>
      </c>
      <c r="M2146" t="s">
        <v>41636</v>
      </c>
      <c r="N2146">
        <f>-561.757446989171 -2.10776423238833 -778.728378804208</f>
        <v>-1342.5935900257673</v>
      </c>
      <c r="O2146">
        <f>-572.32840196032 -144.030538080211 -741.715084279026</f>
        <v>-1458.0740243195569</v>
      </c>
      <c r="P2146">
        <f>-575.453073701093 -141.453571703513 -425.218997382923</f>
        <v>-1142.1256427875292</v>
      </c>
      <c r="Q2146">
        <f>-344.188866287046 -29.6165549351105 -465.856506055783</f>
        <v>-839.66192727793941</v>
      </c>
      <c r="R2146" t="s">
        <v>41637</v>
      </c>
      <c r="S2146" t="s">
        <v>41638</v>
      </c>
      <c r="T2146" t="s">
        <v>41639</v>
      </c>
      <c r="U2146" t="s">
        <v>41640</v>
      </c>
      <c r="V2146">
        <f>-535.654681172363 -24.1196241004554 -244.466344049108</f>
        <v>-804.24064932192641</v>
      </c>
      <c r="W2146" t="s">
        <v>41641</v>
      </c>
      <c r="X2146" t="s">
        <v>41642</v>
      </c>
      <c r="Y2146" t="s">
        <v>41643</v>
      </c>
    </row>
    <row r="2147" spans="1:25" x14ac:dyDescent="0.3">
      <c r="A2147">
        <v>107300</v>
      </c>
      <c r="B2147" t="s">
        <v>41644</v>
      </c>
      <c r="C2147" t="s">
        <v>41645</v>
      </c>
      <c r="D2147" t="s">
        <v>41646</v>
      </c>
      <c r="E2147" t="s">
        <v>41647</v>
      </c>
      <c r="F2147" t="s">
        <v>41648</v>
      </c>
      <c r="G2147" t="s">
        <v>41649</v>
      </c>
      <c r="H2147" t="s">
        <v>41650</v>
      </c>
      <c r="I2147" t="s">
        <v>41651</v>
      </c>
      <c r="J2147" t="s">
        <v>41652</v>
      </c>
      <c r="K2147" t="s">
        <v>41653</v>
      </c>
      <c r="L2147" t="s">
        <v>41654</v>
      </c>
      <c r="M2147" t="s">
        <v>41655</v>
      </c>
      <c r="N2147">
        <f>-561.814482032294 -2.07645290956842 -778.77541179469</f>
        <v>-1342.6663467365524</v>
      </c>
      <c r="O2147">
        <f>-571.947844838572 -144.068770576125 -741.895325460855</f>
        <v>-1457.9119408755519</v>
      </c>
      <c r="P2147">
        <f>-574.934024566206 -141.929363662465 -425.394617838747</f>
        <v>-1142.2580060674179</v>
      </c>
      <c r="Q2147">
        <f>-343.996563970771 -29.4137214244859 -466.017116021525</f>
        <v>-839.42740141678189</v>
      </c>
      <c r="R2147" t="s">
        <v>41656</v>
      </c>
      <c r="S2147" t="s">
        <v>41657</v>
      </c>
      <c r="T2147" t="s">
        <v>41658</v>
      </c>
      <c r="U2147" t="s">
        <v>41659</v>
      </c>
      <c r="V2147">
        <f>-535.500067811994 -24.1714298178036 -244.457408547264</f>
        <v>-804.12890617706159</v>
      </c>
      <c r="W2147" t="s">
        <v>41660</v>
      </c>
      <c r="X2147" t="s">
        <v>41661</v>
      </c>
      <c r="Y2147" t="s">
        <v>41662</v>
      </c>
    </row>
    <row r="2148" spans="1:25" x14ac:dyDescent="0.3">
      <c r="A2148">
        <v>107350</v>
      </c>
      <c r="B2148" t="s">
        <v>41663</v>
      </c>
      <c r="C2148" t="s">
        <v>41664</v>
      </c>
      <c r="D2148" t="s">
        <v>41665</v>
      </c>
      <c r="E2148" t="s">
        <v>41666</v>
      </c>
      <c r="F2148" t="s">
        <v>41667</v>
      </c>
      <c r="G2148" t="s">
        <v>41668</v>
      </c>
      <c r="H2148" t="s">
        <v>41669</v>
      </c>
      <c r="I2148" t="s">
        <v>41670</v>
      </c>
      <c r="J2148" t="s">
        <v>41671</v>
      </c>
      <c r="K2148" t="s">
        <v>41672</v>
      </c>
      <c r="L2148" t="s">
        <v>41673</v>
      </c>
      <c r="M2148" t="s">
        <v>41674</v>
      </c>
      <c r="N2148">
        <f>-561.746598845086 -2.07855953849883 -778.762337548009</f>
        <v>-1342.5874959315938</v>
      </c>
      <c r="O2148">
        <f>-571.113541569043 -144.165705557087 -742.063597470173</f>
        <v>-1457.3428445963032</v>
      </c>
      <c r="P2148">
        <f>-574.098435230609 -142.489340942303 -425.56018358351</f>
        <v>-1142.1479597564221</v>
      </c>
      <c r="Q2148">
        <f>-343.769016586244 -28.815386994752 -466.409149579122</f>
        <v>-838.99355316011793</v>
      </c>
      <c r="R2148" t="s">
        <v>41675</v>
      </c>
      <c r="S2148" t="s">
        <v>41676</v>
      </c>
      <c r="T2148" t="s">
        <v>41677</v>
      </c>
      <c r="U2148" t="s">
        <v>41678</v>
      </c>
      <c r="V2148">
        <f>-535.076474673883 -24.4225518504544 -244.389349730733</f>
        <v>-803.8883762550704</v>
      </c>
      <c r="W2148" t="s">
        <v>41679</v>
      </c>
      <c r="X2148" t="s">
        <v>41680</v>
      </c>
      <c r="Y2148" t="s">
        <v>41681</v>
      </c>
    </row>
    <row r="2149" spans="1:25" x14ac:dyDescent="0.3">
      <c r="A2149">
        <v>107400</v>
      </c>
      <c r="B2149" t="s">
        <v>41682</v>
      </c>
      <c r="C2149" t="s">
        <v>41683</v>
      </c>
      <c r="D2149" t="s">
        <v>41684</v>
      </c>
      <c r="E2149" t="s">
        <v>41685</v>
      </c>
      <c r="F2149" t="s">
        <v>41686</v>
      </c>
      <c r="G2149" t="s">
        <v>41687</v>
      </c>
      <c r="H2149" t="s">
        <v>41688</v>
      </c>
      <c r="I2149" t="s">
        <v>41689</v>
      </c>
      <c r="J2149" t="s">
        <v>41690</v>
      </c>
      <c r="K2149" t="s">
        <v>41691</v>
      </c>
      <c r="L2149" t="s">
        <v>41692</v>
      </c>
      <c r="M2149" t="s">
        <v>41693</v>
      </c>
      <c r="N2149">
        <f>-561.596626179588 -2.13544586875179 -778.718782954153</f>
        <v>-1342.450855002493</v>
      </c>
      <c r="O2149">
        <f>-570.566896933018 -144.262312338434 -742.105387341505</f>
        <v>-1456.934596612957</v>
      </c>
      <c r="P2149">
        <f>-573.635499641295 -142.581396075082 -425.602702822674</f>
        <v>-1141.8195985390512</v>
      </c>
      <c r="Q2149">
        <f>-343.532779858861 -28.4666003662566 -466.500082890395</f>
        <v>-838.49946311551253</v>
      </c>
      <c r="R2149" t="s">
        <v>41694</v>
      </c>
      <c r="S2149" t="s">
        <v>41695</v>
      </c>
      <c r="T2149" t="s">
        <v>41696</v>
      </c>
      <c r="U2149" t="s">
        <v>41697</v>
      </c>
      <c r="V2149">
        <f>-534.802615545393 -24.5109019481366 -244.287654451701</f>
        <v>-803.60117194523059</v>
      </c>
      <c r="W2149" t="s">
        <v>41698</v>
      </c>
      <c r="X2149" t="s">
        <v>41699</v>
      </c>
      <c r="Y2149" t="s">
        <v>41700</v>
      </c>
    </row>
    <row r="2150" spans="1:25" x14ac:dyDescent="0.3">
      <c r="A2150">
        <v>107450</v>
      </c>
      <c r="B2150" t="s">
        <v>41701</v>
      </c>
      <c r="C2150" t="s">
        <v>41702</v>
      </c>
      <c r="D2150" t="s">
        <v>41703</v>
      </c>
      <c r="E2150" t="s">
        <v>41704</v>
      </c>
      <c r="F2150" t="s">
        <v>41705</v>
      </c>
      <c r="G2150" t="s">
        <v>41706</v>
      </c>
      <c r="H2150" t="s">
        <v>41707</v>
      </c>
      <c r="I2150" t="s">
        <v>41708</v>
      </c>
      <c r="J2150" t="s">
        <v>41709</v>
      </c>
      <c r="K2150" t="s">
        <v>41710</v>
      </c>
      <c r="L2150" t="s">
        <v>41711</v>
      </c>
      <c r="M2150" t="s">
        <v>41712</v>
      </c>
      <c r="N2150">
        <f>-561.967692060918 -3.03055447880746 -778.59098555481</f>
        <v>-1343.5892320945354</v>
      </c>
      <c r="O2150">
        <f>-570.253018907715 -145.231679297411 -742.077540167971</f>
        <v>-1457.562238373097</v>
      </c>
      <c r="P2150">
        <f>-573.407940058589 -143.767605828855 -425.574487633163</f>
        <v>-1142.7500335206071</v>
      </c>
      <c r="Q2150">
        <f>-343.856675632468 -28.5448888164981 -466.464617004606</f>
        <v>-838.86618145357215</v>
      </c>
      <c r="R2150" t="s">
        <v>41713</v>
      </c>
      <c r="S2150" t="s">
        <v>41714</v>
      </c>
      <c r="T2150" t="s">
        <v>41715</v>
      </c>
      <c r="U2150" t="s">
        <v>41716</v>
      </c>
      <c r="V2150">
        <f>-534.575882163915 -24.8704774136608 -244.152888497436</f>
        <v>-803.59924807501181</v>
      </c>
      <c r="W2150" t="s">
        <v>41717</v>
      </c>
      <c r="X2150" t="s">
        <v>41718</v>
      </c>
      <c r="Y2150" t="s">
        <v>41719</v>
      </c>
    </row>
    <row r="2151" spans="1:25" x14ac:dyDescent="0.3">
      <c r="A2151">
        <v>107500</v>
      </c>
      <c r="B2151" t="s">
        <v>41720</v>
      </c>
      <c r="C2151" t="s">
        <v>41721</v>
      </c>
      <c r="D2151" t="s">
        <v>41722</v>
      </c>
      <c r="E2151" t="s">
        <v>41723</v>
      </c>
      <c r="F2151" t="s">
        <v>41724</v>
      </c>
      <c r="G2151" t="s">
        <v>41725</v>
      </c>
      <c r="H2151" t="s">
        <v>41726</v>
      </c>
      <c r="I2151" t="s">
        <v>41727</v>
      </c>
      <c r="J2151" t="s">
        <v>41728</v>
      </c>
      <c r="K2151" t="s">
        <v>41729</v>
      </c>
      <c r="L2151" t="s">
        <v>41730</v>
      </c>
      <c r="M2151" t="s">
        <v>41731</v>
      </c>
      <c r="N2151">
        <f>-562.100788090596 -3.3358315520622 -778.584624877315</f>
        <v>-1344.0212445199732</v>
      </c>
      <c r="O2151">
        <f>-569.949849252157 -145.577996656512 -742.116700187545</f>
        <v>-1457.6445460962141</v>
      </c>
      <c r="P2151">
        <f>-573.125141983073 -144.253368802758 -425.613441441244</f>
        <v>-1142.991952227075</v>
      </c>
      <c r="Q2151">
        <f>-343.847962913829 -28.4765478348776 -466.475875570794</f>
        <v>-838.8003863195006</v>
      </c>
      <c r="R2151" t="s">
        <v>41732</v>
      </c>
      <c r="S2151" t="s">
        <v>41733</v>
      </c>
      <c r="T2151" t="s">
        <v>41734</v>
      </c>
      <c r="U2151" t="s">
        <v>41735</v>
      </c>
      <c r="V2151">
        <f>-534.270658316248 -24.9637054796925 -244.171541089741</f>
        <v>-803.40590488568159</v>
      </c>
      <c r="W2151" t="s">
        <v>41736</v>
      </c>
      <c r="X2151" t="s">
        <v>41737</v>
      </c>
      <c r="Y2151" t="s">
        <v>41738</v>
      </c>
    </row>
    <row r="2152" spans="1:25" x14ac:dyDescent="0.3">
      <c r="A2152">
        <v>107550</v>
      </c>
      <c r="B2152" t="s">
        <v>41739</v>
      </c>
      <c r="C2152" t="s">
        <v>41740</v>
      </c>
      <c r="D2152" t="s">
        <v>41741</v>
      </c>
      <c r="E2152" t="s">
        <v>41742</v>
      </c>
      <c r="F2152" t="s">
        <v>41743</v>
      </c>
      <c r="G2152" t="s">
        <v>41744</v>
      </c>
      <c r="H2152" t="s">
        <v>41745</v>
      </c>
      <c r="I2152" t="s">
        <v>41746</v>
      </c>
      <c r="J2152" t="s">
        <v>41747</v>
      </c>
      <c r="K2152" t="s">
        <v>41748</v>
      </c>
      <c r="L2152" t="s">
        <v>41749</v>
      </c>
      <c r="M2152" t="s">
        <v>41750</v>
      </c>
      <c r="N2152">
        <f>-562.84410825404 -3.90806410381359 -778.561054244867</f>
        <v>-1345.3132266027205</v>
      </c>
      <c r="O2152">
        <f>-569.788341610911 -146.206180599205 -742.16113456237</f>
        <v>-1458.1556567724861</v>
      </c>
      <c r="P2152">
        <f>-572.720508979149 -145.059268566275 -425.654701914034</f>
        <v>-1143.4344794594581</v>
      </c>
      <c r="Q2152">
        <f>-344.053182964995 -28.1189656606118 -466.621363448535</f>
        <v>-838.79351207414186</v>
      </c>
      <c r="R2152" t="s">
        <v>41751</v>
      </c>
      <c r="S2152" t="s">
        <v>41752</v>
      </c>
      <c r="T2152" t="s">
        <v>41753</v>
      </c>
      <c r="U2152" t="s">
        <v>41754</v>
      </c>
      <c r="V2152">
        <f>-533.955993193665 -25.4093858324206 -244.140133489383</f>
        <v>-803.50551251546858</v>
      </c>
      <c r="W2152" t="s">
        <v>41755</v>
      </c>
      <c r="X2152" t="s">
        <v>41756</v>
      </c>
      <c r="Y2152" t="s">
        <v>41757</v>
      </c>
    </row>
    <row r="2153" spans="1:25" x14ac:dyDescent="0.3">
      <c r="A2153">
        <v>107600</v>
      </c>
      <c r="B2153" t="s">
        <v>41758</v>
      </c>
      <c r="C2153" t="s">
        <v>41759</v>
      </c>
      <c r="D2153" t="s">
        <v>41760</v>
      </c>
      <c r="E2153" t="s">
        <v>41761</v>
      </c>
      <c r="F2153" t="s">
        <v>41762</v>
      </c>
      <c r="G2153" t="s">
        <v>41763</v>
      </c>
      <c r="H2153" t="s">
        <v>41764</v>
      </c>
      <c r="I2153" t="s">
        <v>41765</v>
      </c>
      <c r="J2153" t="s">
        <v>41766</v>
      </c>
      <c r="K2153" t="s">
        <v>41767</v>
      </c>
      <c r="L2153" t="s">
        <v>41768</v>
      </c>
      <c r="M2153" t="s">
        <v>41769</v>
      </c>
      <c r="N2153">
        <f>-563.499461525872 -3.94630886493459 -778.537465300633</f>
        <v>-1345.9832356914396</v>
      </c>
      <c r="O2153">
        <f>-570.033426037 -146.273022844631 -742.152282931177</f>
        <v>-1458.4587318128079</v>
      </c>
      <c r="P2153">
        <f>-572.657825736551 -145.224424184945 -425.642841553858</f>
        <v>-1143.525091475354</v>
      </c>
      <c r="Q2153">
        <f>-344.306125737667 -27.7111389110704 -466.730489096307</f>
        <v>-838.74775374504441</v>
      </c>
      <c r="R2153" t="s">
        <v>41770</v>
      </c>
      <c r="S2153" t="s">
        <v>41771</v>
      </c>
      <c r="T2153" t="s">
        <v>41772</v>
      </c>
      <c r="U2153" t="s">
        <v>41773</v>
      </c>
      <c r="V2153">
        <f>-533.842938224839 -25.4510086751457 -244.124740630938</f>
        <v>-803.41868753092263</v>
      </c>
      <c r="W2153" t="s">
        <v>41774</v>
      </c>
      <c r="X2153" t="s">
        <v>41775</v>
      </c>
      <c r="Y2153" t="s">
        <v>41776</v>
      </c>
    </row>
    <row r="2154" spans="1:25" x14ac:dyDescent="0.3">
      <c r="A2154">
        <v>107650</v>
      </c>
      <c r="B2154" t="s">
        <v>41777</v>
      </c>
      <c r="C2154" t="s">
        <v>41778</v>
      </c>
      <c r="D2154" t="s">
        <v>41779</v>
      </c>
      <c r="E2154" t="s">
        <v>41780</v>
      </c>
      <c r="F2154" t="s">
        <v>41781</v>
      </c>
      <c r="G2154" t="s">
        <v>41782</v>
      </c>
      <c r="H2154" t="s">
        <v>41783</v>
      </c>
      <c r="I2154" t="s">
        <v>41784</v>
      </c>
      <c r="J2154" t="s">
        <v>41785</v>
      </c>
      <c r="K2154" t="s">
        <v>41786</v>
      </c>
      <c r="L2154" t="s">
        <v>41787</v>
      </c>
      <c r="M2154" t="s">
        <v>41788</v>
      </c>
      <c r="N2154">
        <f>-564.152743773675 -4.22737616213216 -778.496413679223</f>
        <v>-1346.87653361503</v>
      </c>
      <c r="O2154">
        <f>-570.306381394631 -146.575428204338 -742.137317711069</f>
        <v>-1459.0191273100381</v>
      </c>
      <c r="P2154">
        <f>-572.590246615492 -145.621571920238 -425.625000103818</f>
        <v>-1143.836818639548</v>
      </c>
      <c r="Q2154">
        <f>-344.563787875748 -27.551641506754 -466.922579816632</f>
        <v>-839.03800919913397</v>
      </c>
      <c r="R2154" t="s">
        <v>41789</v>
      </c>
      <c r="S2154" t="s">
        <v>41790</v>
      </c>
      <c r="T2154" t="s">
        <v>41791</v>
      </c>
      <c r="U2154" t="s">
        <v>41792</v>
      </c>
      <c r="V2154">
        <f>-533.985664482008 -25.5155398480277 -244.101194892394</f>
        <v>-803.60239922242977</v>
      </c>
      <c r="W2154" t="s">
        <v>41793</v>
      </c>
      <c r="X2154" t="s">
        <v>41794</v>
      </c>
      <c r="Y2154" t="s">
        <v>41795</v>
      </c>
    </row>
    <row r="2155" spans="1:25" x14ac:dyDescent="0.3">
      <c r="A2155">
        <v>107700</v>
      </c>
      <c r="B2155" t="s">
        <v>41796</v>
      </c>
      <c r="C2155" t="s">
        <v>41797</v>
      </c>
      <c r="D2155" t="s">
        <v>41798</v>
      </c>
      <c r="E2155" t="s">
        <v>41799</v>
      </c>
      <c r="F2155" t="s">
        <v>41800</v>
      </c>
      <c r="G2155" t="s">
        <v>41801</v>
      </c>
      <c r="H2155" t="s">
        <v>41802</v>
      </c>
      <c r="I2155" t="s">
        <v>41803</v>
      </c>
      <c r="J2155" t="s">
        <v>41804</v>
      </c>
      <c r="K2155" t="s">
        <v>41805</v>
      </c>
      <c r="L2155" t="s">
        <v>41806</v>
      </c>
      <c r="M2155" t="s">
        <v>41807</v>
      </c>
      <c r="N2155">
        <f>-565.273891951188 -5.01125275407839 -778.488318282649</f>
        <v>-1348.7734629879155</v>
      </c>
      <c r="O2155">
        <f>-570.829251479645 -147.402512575124 -742.187437720541</f>
        <v>-1460.4192017753098</v>
      </c>
      <c r="P2155">
        <f>-572.271833424783 -146.813662925829 -425.669214888491</f>
        <v>-1144.754711239103</v>
      </c>
      <c r="Q2155">
        <f>-344.875671198939 -27.739612292755 -467.554775382309</f>
        <v>-840.17005887400296</v>
      </c>
      <c r="R2155" t="s">
        <v>41808</v>
      </c>
      <c r="S2155" t="s">
        <v>41809</v>
      </c>
      <c r="T2155" t="s">
        <v>41810</v>
      </c>
      <c r="U2155" t="s">
        <v>41811</v>
      </c>
      <c r="V2155">
        <f>-533.531944441177 -26.3958167743801 -244.098614022388</f>
        <v>-804.0263752379451</v>
      </c>
      <c r="W2155" t="s">
        <v>41812</v>
      </c>
      <c r="X2155" t="s">
        <v>41813</v>
      </c>
      <c r="Y2155" t="s">
        <v>41814</v>
      </c>
    </row>
    <row r="2156" spans="1:25" x14ac:dyDescent="0.3">
      <c r="A2156">
        <v>107750</v>
      </c>
      <c r="B2156" t="s">
        <v>41815</v>
      </c>
      <c r="C2156" t="s">
        <v>41816</v>
      </c>
      <c r="D2156" t="s">
        <v>41817</v>
      </c>
      <c r="E2156" t="s">
        <v>41818</v>
      </c>
      <c r="F2156" t="s">
        <v>41819</v>
      </c>
      <c r="G2156" t="s">
        <v>41820</v>
      </c>
      <c r="H2156" t="s">
        <v>41821</v>
      </c>
      <c r="I2156" t="s">
        <v>41822</v>
      </c>
      <c r="J2156" t="s">
        <v>41823</v>
      </c>
      <c r="K2156" t="s">
        <v>41824</v>
      </c>
      <c r="L2156" t="s">
        <v>41825</v>
      </c>
      <c r="M2156" t="s">
        <v>41826</v>
      </c>
      <c r="N2156">
        <f>-565.804203724255 -5.44101857733322 -778.45734144458</f>
        <v>-1349.7025637461684</v>
      </c>
      <c r="O2156">
        <f>-571.068802381706 -147.849783957146 -742.192462387798</f>
        <v>-1461.1110487266499</v>
      </c>
      <c r="P2156">
        <f>-572.163532742028 -147.472094517664 -425.672564603407</f>
        <v>-1145.308191863099</v>
      </c>
      <c r="Q2156">
        <f>-345.083284765441 -27.9031748464452 -467.861076759055</f>
        <v>-840.84753637094127</v>
      </c>
      <c r="R2156" t="s">
        <v>41827</v>
      </c>
      <c r="S2156" t="s">
        <v>41828</v>
      </c>
      <c r="T2156" t="s">
        <v>41829</v>
      </c>
      <c r="U2156" t="s">
        <v>41830</v>
      </c>
      <c r="V2156">
        <f>-533.459332479897 -26.7753937417464 -244.040813228698</f>
        <v>-804.27553945034128</v>
      </c>
      <c r="W2156" t="s">
        <v>41831</v>
      </c>
      <c r="X2156" t="s">
        <v>41832</v>
      </c>
      <c r="Y2156" t="s">
        <v>41833</v>
      </c>
    </row>
    <row r="2157" spans="1:25" x14ac:dyDescent="0.3">
      <c r="A2157">
        <v>107800</v>
      </c>
      <c r="B2157" t="s">
        <v>41834</v>
      </c>
      <c r="C2157" t="s">
        <v>41835</v>
      </c>
      <c r="D2157" t="s">
        <v>41836</v>
      </c>
      <c r="E2157" t="s">
        <v>41837</v>
      </c>
      <c r="F2157" t="s">
        <v>41838</v>
      </c>
      <c r="G2157" t="s">
        <v>41839</v>
      </c>
      <c r="H2157" t="s">
        <v>41840</v>
      </c>
      <c r="I2157" t="s">
        <v>41841</v>
      </c>
      <c r="J2157" t="s">
        <v>41842</v>
      </c>
      <c r="K2157" t="s">
        <v>41843</v>
      </c>
      <c r="L2157" t="s">
        <v>41844</v>
      </c>
      <c r="M2157" t="s">
        <v>41845</v>
      </c>
      <c r="N2157">
        <f>-566.96839818524 -6.17312052362456 -778.32499196117</f>
        <v>-1351.4665106700345</v>
      </c>
      <c r="O2157">
        <f>-571.81188604415 -148.606722003843 -742.096458226308</f>
        <v>-1462.515066274301</v>
      </c>
      <c r="P2157">
        <f>-572.184532364482 -148.590059247514 -425.574651216283</f>
        <v>-1146.3492428282789</v>
      </c>
      <c r="Q2157">
        <f>-345.712936134898 -28.0961041386822 -468.398597941999</f>
        <v>-842.20763821557921</v>
      </c>
      <c r="R2157" t="s">
        <v>41846</v>
      </c>
      <c r="S2157" t="s">
        <v>41847</v>
      </c>
      <c r="T2157" t="s">
        <v>41848</v>
      </c>
      <c r="U2157" t="s">
        <v>41849</v>
      </c>
      <c r="V2157">
        <f>-533.232232163045 -27.1594675672752 -244.048536174168</f>
        <v>-804.44023590448819</v>
      </c>
      <c r="W2157" t="s">
        <v>41850</v>
      </c>
      <c r="X2157" t="s">
        <v>41851</v>
      </c>
      <c r="Y2157" t="s">
        <v>41852</v>
      </c>
    </row>
    <row r="2158" spans="1:25" x14ac:dyDescent="0.3">
      <c r="A2158">
        <v>107850</v>
      </c>
      <c r="B2158" t="s">
        <v>41853</v>
      </c>
      <c r="C2158" t="s">
        <v>41854</v>
      </c>
      <c r="D2158" t="s">
        <v>41855</v>
      </c>
      <c r="E2158" t="s">
        <v>41856</v>
      </c>
      <c r="F2158" t="s">
        <v>41857</v>
      </c>
      <c r="G2158" t="s">
        <v>41858</v>
      </c>
      <c r="H2158" t="s">
        <v>41859</v>
      </c>
      <c r="I2158" t="s">
        <v>41860</v>
      </c>
      <c r="J2158" t="s">
        <v>41861</v>
      </c>
      <c r="K2158" t="s">
        <v>41862</v>
      </c>
      <c r="L2158" t="s">
        <v>41863</v>
      </c>
      <c r="M2158" t="s">
        <v>41864</v>
      </c>
      <c r="N2158">
        <f>-568.018968167972 -7.24168350735445 -778.187910317827</f>
        <v>-1353.4485619931534</v>
      </c>
      <c r="O2158">
        <f>-572.380300606536 -149.675199557251 -741.89595335246</f>
        <v>-1463.9514535162471</v>
      </c>
      <c r="P2158">
        <f>-572.07741478862 -149.83126734219 -425.374229752924</f>
        <v>-1147.282911883734</v>
      </c>
      <c r="Q2158">
        <f>-346.218700665547 -28.4970839019594 -469.053640429017</f>
        <v>-843.76942499652341</v>
      </c>
      <c r="R2158" t="s">
        <v>41865</v>
      </c>
      <c r="S2158" t="s">
        <v>41866</v>
      </c>
      <c r="T2158" t="s">
        <v>41867</v>
      </c>
      <c r="U2158" t="s">
        <v>41868</v>
      </c>
      <c r="V2158">
        <f>-532.896828310881 -27.8899623727745 -243.969358693272</f>
        <v>-804.7561493769274</v>
      </c>
      <c r="W2158" t="s">
        <v>41869</v>
      </c>
      <c r="X2158" t="s">
        <v>41870</v>
      </c>
      <c r="Y2158" t="s">
        <v>41871</v>
      </c>
    </row>
    <row r="2159" spans="1:25" x14ac:dyDescent="0.3">
      <c r="A2159">
        <v>107900</v>
      </c>
      <c r="B2159" t="s">
        <v>41872</v>
      </c>
      <c r="C2159" t="s">
        <v>41873</v>
      </c>
      <c r="D2159" t="s">
        <v>41874</v>
      </c>
      <c r="E2159" t="s">
        <v>41875</v>
      </c>
      <c r="F2159" t="s">
        <v>41876</v>
      </c>
      <c r="G2159" t="s">
        <v>41877</v>
      </c>
      <c r="H2159" t="s">
        <v>41878</v>
      </c>
      <c r="I2159" t="s">
        <v>41879</v>
      </c>
      <c r="J2159" t="s">
        <v>41880</v>
      </c>
      <c r="K2159" t="s">
        <v>41881</v>
      </c>
      <c r="L2159" t="s">
        <v>41882</v>
      </c>
      <c r="M2159" t="s">
        <v>41883</v>
      </c>
      <c r="N2159">
        <f>-568.465272554299 -7.94932359830711 -778.074278534658</f>
        <v>-1354.4888746872641</v>
      </c>
      <c r="O2159">
        <f>-572.587343805925 -150.379611966014 -741.762170351806</f>
        <v>-1464.7291261237451</v>
      </c>
      <c r="P2159">
        <f>-572.082307743399 -150.518712517651 -425.24059372089</f>
        <v>-1147.8416139819401</v>
      </c>
      <c r="Q2159">
        <f>-346.386192811559 -29.1298945626132 -469.603536452107</f>
        <v>-845.11962382627917</v>
      </c>
      <c r="R2159" t="s">
        <v>41884</v>
      </c>
      <c r="S2159" t="s">
        <v>41885</v>
      </c>
      <c r="T2159" t="s">
        <v>41886</v>
      </c>
      <c r="U2159" t="s">
        <v>41887</v>
      </c>
      <c r="V2159">
        <f>-532.682538313379 -28.3078576601952 -243.937321292873</f>
        <v>-804.92771726644719</v>
      </c>
      <c r="W2159" t="s">
        <v>41888</v>
      </c>
      <c r="X2159" t="s">
        <v>41889</v>
      </c>
      <c r="Y2159" t="s">
        <v>41890</v>
      </c>
    </row>
    <row r="2160" spans="1:25" x14ac:dyDescent="0.3">
      <c r="A2160">
        <v>107950</v>
      </c>
      <c r="B2160" t="s">
        <v>41891</v>
      </c>
      <c r="C2160" t="s">
        <v>41892</v>
      </c>
      <c r="D2160" t="s">
        <v>41893</v>
      </c>
      <c r="E2160" t="s">
        <v>41894</v>
      </c>
      <c r="F2160" t="s">
        <v>41895</v>
      </c>
      <c r="G2160" t="s">
        <v>41896</v>
      </c>
      <c r="H2160" t="s">
        <v>41897</v>
      </c>
      <c r="I2160" t="s">
        <v>41898</v>
      </c>
      <c r="J2160" t="s">
        <v>41899</v>
      </c>
      <c r="K2160" t="s">
        <v>41900</v>
      </c>
      <c r="L2160" t="s">
        <v>41901</v>
      </c>
      <c r="M2160" t="s">
        <v>41902</v>
      </c>
      <c r="N2160">
        <f>-569.593414940786 -8.59551167817651 -777.915840487791</f>
        <v>-1356.1047671067536</v>
      </c>
      <c r="O2160">
        <f>-573.52204743949 -151.023717702632 -741.566434970605</f>
        <v>-1466.1122001127269</v>
      </c>
      <c r="P2160">
        <f>-572.303576716408 -151.235163670675 -425.046884063217</f>
        <v>-1148.5856244503</v>
      </c>
      <c r="Q2160">
        <f>-346.722822917955 -30.0801527024733 -470.619456012379</f>
        <v>-847.42243163280727</v>
      </c>
      <c r="R2160" t="s">
        <v>41903</v>
      </c>
      <c r="S2160" t="s">
        <v>41904</v>
      </c>
      <c r="T2160" t="s">
        <v>41905</v>
      </c>
      <c r="U2160" t="s">
        <v>41906</v>
      </c>
      <c r="V2160">
        <f>-532.434944420207 -28.5180295477224 -243.892336157618</f>
        <v>-804.84531012554748</v>
      </c>
      <c r="W2160" t="s">
        <v>41907</v>
      </c>
      <c r="X2160" t="s">
        <v>41908</v>
      </c>
      <c r="Y2160" t="s">
        <v>41909</v>
      </c>
    </row>
    <row r="2161" spans="1:25" x14ac:dyDescent="0.3">
      <c r="A2161">
        <v>108000</v>
      </c>
      <c r="B2161" t="s">
        <v>41910</v>
      </c>
      <c r="C2161" t="s">
        <v>41911</v>
      </c>
      <c r="D2161" t="s">
        <v>41912</v>
      </c>
      <c r="E2161" t="s">
        <v>41913</v>
      </c>
      <c r="F2161" t="s">
        <v>41914</v>
      </c>
      <c r="G2161" t="s">
        <v>41915</v>
      </c>
      <c r="H2161" t="s">
        <v>41916</v>
      </c>
      <c r="I2161" t="s">
        <v>41917</v>
      </c>
      <c r="J2161" t="s">
        <v>41918</v>
      </c>
      <c r="K2161" t="s">
        <v>41919</v>
      </c>
      <c r="L2161" t="s">
        <v>41920</v>
      </c>
      <c r="M2161" t="s">
        <v>41921</v>
      </c>
      <c r="N2161">
        <f>-569.883517379071 -9.19203923840311 -777.818565427468</f>
        <v>-1356.8941220449422</v>
      </c>
      <c r="O2161">
        <f>-573.847617626874 -151.6331740907 -741.491796827485</f>
        <v>-1466.9725885450589</v>
      </c>
      <c r="P2161">
        <f>-572.192296184999 -151.916264122228 -424.974276548332</f>
        <v>-1149.082836855559</v>
      </c>
      <c r="Q2161">
        <f>-346.528142707115 -31.0861738411088 -470.994267489774</f>
        <v>-848.60858403799784</v>
      </c>
      <c r="R2161" t="s">
        <v>41922</v>
      </c>
      <c r="S2161" t="s">
        <v>41923</v>
      </c>
      <c r="T2161" t="s">
        <v>41924</v>
      </c>
      <c r="U2161" t="s">
        <v>41925</v>
      </c>
      <c r="V2161">
        <f>-532.340122731887 -28.8040483185603 -243.808149729505</f>
        <v>-804.95232077995229</v>
      </c>
      <c r="W2161" t="s">
        <v>41926</v>
      </c>
      <c r="X2161" t="s">
        <v>41927</v>
      </c>
      <c r="Y2161" t="s">
        <v>41928</v>
      </c>
    </row>
    <row r="2162" spans="1:25" x14ac:dyDescent="0.3">
      <c r="A2162">
        <v>108050</v>
      </c>
      <c r="B2162" t="s">
        <v>41929</v>
      </c>
      <c r="C2162" t="s">
        <v>41930</v>
      </c>
      <c r="D2162" t="s">
        <v>41931</v>
      </c>
      <c r="E2162" t="s">
        <v>41932</v>
      </c>
      <c r="F2162" t="s">
        <v>41933</v>
      </c>
      <c r="G2162" t="s">
        <v>41934</v>
      </c>
      <c r="H2162" t="s">
        <v>41935</v>
      </c>
      <c r="I2162" t="s">
        <v>41936</v>
      </c>
      <c r="J2162" t="s">
        <v>41937</v>
      </c>
      <c r="K2162" t="s">
        <v>41938</v>
      </c>
      <c r="L2162" t="s">
        <v>41939</v>
      </c>
      <c r="M2162" t="s">
        <v>41940</v>
      </c>
      <c r="N2162">
        <f>-570.600792344562 -10.3117778364544 -777.629934780851</f>
        <v>-1358.5425049618675</v>
      </c>
      <c r="O2162">
        <f>-574.897428658054 -152.750790006306 -741.340593010661</f>
        <v>-1468.988811675021</v>
      </c>
      <c r="P2162">
        <f>-572.176308967042 -153.127613257935 -424.830535368393</f>
        <v>-1150.1344575933699</v>
      </c>
      <c r="Q2162">
        <f>-346.45792320294 -32.8373151729161 -471.984692167047</f>
        <v>-851.279930542903</v>
      </c>
      <c r="R2162" t="s">
        <v>41941</v>
      </c>
      <c r="S2162" t="s">
        <v>41942</v>
      </c>
      <c r="T2162" t="s">
        <v>41943</v>
      </c>
      <c r="U2162" t="s">
        <v>41944</v>
      </c>
      <c r="V2162">
        <f>-532.063929264063 -29.4055372672422 -243.714046876771</f>
        <v>-805.18351340807612</v>
      </c>
      <c r="W2162" t="s">
        <v>41945</v>
      </c>
      <c r="X2162" t="s">
        <v>41946</v>
      </c>
      <c r="Y2162" t="s">
        <v>41947</v>
      </c>
    </row>
    <row r="2163" spans="1:25" x14ac:dyDescent="0.3">
      <c r="A2163">
        <v>108100</v>
      </c>
      <c r="B2163" t="s">
        <v>41948</v>
      </c>
      <c r="C2163" t="s">
        <v>41949</v>
      </c>
      <c r="D2163" t="s">
        <v>41950</v>
      </c>
      <c r="E2163" t="s">
        <v>41951</v>
      </c>
      <c r="F2163" t="s">
        <v>41952</v>
      </c>
      <c r="G2163" t="s">
        <v>41953</v>
      </c>
      <c r="H2163" t="s">
        <v>41954</v>
      </c>
      <c r="I2163">
        <f>-518.888257679775 -0.321693401899871 -940.547425113313</f>
        <v>-1459.757376194988</v>
      </c>
      <c r="J2163" t="s">
        <v>41955</v>
      </c>
      <c r="K2163" t="s">
        <v>41956</v>
      </c>
      <c r="L2163" t="s">
        <v>41957</v>
      </c>
      <c r="M2163" t="s">
        <v>41958</v>
      </c>
      <c r="N2163">
        <f>-570.884539116497 -10.579735166147 -777.589653209852</f>
        <v>-1359.0539274924959</v>
      </c>
      <c r="O2163">
        <f>-575.298661476939 -153.010379440137 -741.300686805362</f>
        <v>-1469.609727722438</v>
      </c>
      <c r="P2163">
        <f>-572.241295409071 -153.297083707943 -424.793582143762</f>
        <v>-1150.3319612607761</v>
      </c>
      <c r="Q2163">
        <f>-346.236126661984 -33.589563256353 -472.056917078432</f>
        <v>-851.88260699676903</v>
      </c>
      <c r="R2163" t="s">
        <v>41959</v>
      </c>
      <c r="S2163" t="s">
        <v>41960</v>
      </c>
      <c r="T2163" t="s">
        <v>41961</v>
      </c>
      <c r="U2163" t="s">
        <v>41962</v>
      </c>
      <c r="V2163">
        <f>-531.937808152782 -29.4822349636954 -243.687746747501</f>
        <v>-805.1077898639785</v>
      </c>
      <c r="W2163" t="s">
        <v>41963</v>
      </c>
      <c r="X2163" t="s">
        <v>41964</v>
      </c>
      <c r="Y2163" t="s">
        <v>41965</v>
      </c>
    </row>
    <row r="2164" spans="1:25" x14ac:dyDescent="0.3">
      <c r="A2164">
        <v>108150</v>
      </c>
      <c r="B2164" t="s">
        <v>41966</v>
      </c>
      <c r="C2164" t="s">
        <v>41967</v>
      </c>
      <c r="D2164" t="s">
        <v>41968</v>
      </c>
      <c r="E2164" t="s">
        <v>41969</v>
      </c>
      <c r="F2164" t="s">
        <v>41970</v>
      </c>
      <c r="G2164" t="s">
        <v>41971</v>
      </c>
      <c r="H2164" t="s">
        <v>41972</v>
      </c>
      <c r="I2164">
        <f>-519.668213389942 -1.79898835769393 -940.47140065833</f>
        <v>-1461.9386024059659</v>
      </c>
      <c r="J2164" t="s">
        <v>41973</v>
      </c>
      <c r="K2164" t="s">
        <v>41974</v>
      </c>
      <c r="L2164" t="s">
        <v>41975</v>
      </c>
      <c r="M2164" t="s">
        <v>41976</v>
      </c>
      <c r="N2164">
        <f>-571.462593715919 -11.7482318796913 -777.417037271763</f>
        <v>-1360.6278628673731</v>
      </c>
      <c r="O2164">
        <f>-576.114379205475 -154.176745361665 -741.135213171871</f>
        <v>-1471.4263377390109</v>
      </c>
      <c r="P2164">
        <f>-572.905763670142 -154.539952996508 -424.62981538934</f>
        <v>-1152.0755320559902</v>
      </c>
      <c r="Q2164">
        <f>-346.840916346701 -35.2577098740069 -472.676587593503</f>
        <v>-854.77521381421093</v>
      </c>
      <c r="R2164" t="s">
        <v>41977</v>
      </c>
      <c r="S2164" t="s">
        <v>41978</v>
      </c>
      <c r="T2164" t="s">
        <v>41979</v>
      </c>
      <c r="U2164" t="s">
        <v>41980</v>
      </c>
      <c r="V2164">
        <f>-531.641177116701 -30.2685620114411 -243.63603020637</f>
        <v>-805.5457693345121</v>
      </c>
      <c r="W2164" t="s">
        <v>41981</v>
      </c>
      <c r="X2164" t="s">
        <v>41982</v>
      </c>
      <c r="Y2164" t="s">
        <v>41983</v>
      </c>
    </row>
    <row r="2165" spans="1:25" x14ac:dyDescent="0.3">
      <c r="A2165">
        <v>108200</v>
      </c>
      <c r="B2165" t="s">
        <v>41984</v>
      </c>
      <c r="C2165" t="s">
        <v>41985</v>
      </c>
      <c r="D2165" t="s">
        <v>41986</v>
      </c>
      <c r="E2165" t="s">
        <v>41987</v>
      </c>
      <c r="F2165" t="s">
        <v>41988</v>
      </c>
      <c r="G2165" t="s">
        <v>41989</v>
      </c>
      <c r="H2165" t="s">
        <v>41990</v>
      </c>
      <c r="I2165">
        <f>-519.851663265228 -2.39118838051355 -940.529096041229</f>
        <v>-1462.7719476869706</v>
      </c>
      <c r="J2165" t="s">
        <v>41991</v>
      </c>
      <c r="K2165" t="s">
        <v>41992</v>
      </c>
      <c r="L2165" t="s">
        <v>41993</v>
      </c>
      <c r="M2165" t="s">
        <v>41994</v>
      </c>
      <c r="N2165">
        <f>-571.568213203885 -12.2629620956888 -777.429982261969</f>
        <v>-1361.2611575615429</v>
      </c>
      <c r="O2165">
        <f>-576.521562457698 -154.690090737149 -741.151949779358</f>
        <v>-1472.3636029742052</v>
      </c>
      <c r="P2165">
        <f>-572.825328893609 -155.281492343781 -424.652032984228</f>
        <v>-1152.7588542216181</v>
      </c>
      <c r="Q2165">
        <f>-346.870095152818 -35.9029890287655 -472.97455399143</f>
        <v>-855.74763817301346</v>
      </c>
      <c r="R2165" t="s">
        <v>41995</v>
      </c>
      <c r="S2165" t="s">
        <v>41996</v>
      </c>
      <c r="T2165" t="s">
        <v>41997</v>
      </c>
      <c r="U2165" t="s">
        <v>41998</v>
      </c>
      <c r="V2165">
        <f>-531.36572005704 -30.8040044313828 -243.640647984535</f>
        <v>-805.81037247295785</v>
      </c>
      <c r="W2165" t="s">
        <v>41999</v>
      </c>
      <c r="X2165" t="s">
        <v>42000</v>
      </c>
      <c r="Y2165" t="s">
        <v>42001</v>
      </c>
    </row>
    <row r="2166" spans="1:25" x14ac:dyDescent="0.3">
      <c r="A2166">
        <v>108250</v>
      </c>
      <c r="B2166" t="s">
        <v>42002</v>
      </c>
      <c r="C2166" t="s">
        <v>42003</v>
      </c>
      <c r="D2166" t="s">
        <v>42004</v>
      </c>
      <c r="E2166" t="s">
        <v>42005</v>
      </c>
      <c r="F2166" t="s">
        <v>42006</v>
      </c>
      <c r="G2166" t="s">
        <v>42007</v>
      </c>
      <c r="H2166" t="s">
        <v>42008</v>
      </c>
      <c r="I2166">
        <f>-519.966066905038 -3.41713543568763 -940.575438638657</f>
        <v>-1463.9586409793828</v>
      </c>
      <c r="J2166" t="s">
        <v>42009</v>
      </c>
      <c r="K2166" t="s">
        <v>42010</v>
      </c>
      <c r="L2166" t="s">
        <v>42011</v>
      </c>
      <c r="M2166" t="s">
        <v>42012</v>
      </c>
      <c r="N2166">
        <f>-571.567323917519 -13.2713210137772 -777.417615186039</f>
        <v>-1362.2562601173354</v>
      </c>
      <c r="O2166">
        <f>-576.915161969171 -155.686859175073 -741.207087344685</f>
        <v>-1473.8091084889288</v>
      </c>
      <c r="P2166">
        <f>-572.815705692161 -156.604168300666 -424.712815304356</f>
        <v>-1154.1326892971829</v>
      </c>
      <c r="Q2166">
        <f>-347.161198874995 -36.8990899364672 -473.628922459372</f>
        <v>-857.68921127083422</v>
      </c>
      <c r="R2166" t="s">
        <v>42013</v>
      </c>
      <c r="S2166" t="s">
        <v>42014</v>
      </c>
      <c r="T2166" t="s">
        <v>42015</v>
      </c>
      <c r="U2166" t="s">
        <v>42016</v>
      </c>
      <c r="V2166">
        <f>-531.102340881094 -31.7855839373703 -243.575672128218</f>
        <v>-806.4635969466824</v>
      </c>
      <c r="W2166" t="s">
        <v>42017</v>
      </c>
      <c r="X2166" t="s">
        <v>42018</v>
      </c>
      <c r="Y2166" t="s">
        <v>42019</v>
      </c>
    </row>
    <row r="2167" spans="1:25" x14ac:dyDescent="0.3">
      <c r="A2167">
        <v>108300</v>
      </c>
      <c r="B2167" t="s">
        <v>42020</v>
      </c>
      <c r="C2167" t="s">
        <v>42021</v>
      </c>
      <c r="D2167" t="s">
        <v>42022</v>
      </c>
      <c r="E2167" t="s">
        <v>42023</v>
      </c>
      <c r="F2167" t="s">
        <v>42024</v>
      </c>
      <c r="G2167" t="s">
        <v>42025</v>
      </c>
      <c r="H2167" t="s">
        <v>42026</v>
      </c>
      <c r="I2167">
        <f>-519.979411716432 -4.05174046817479 -940.594912765143</f>
        <v>-1464.6260649497499</v>
      </c>
      <c r="J2167" t="s">
        <v>42027</v>
      </c>
      <c r="K2167" t="s">
        <v>42028</v>
      </c>
      <c r="L2167" t="s">
        <v>42029</v>
      </c>
      <c r="M2167" t="s">
        <v>42030</v>
      </c>
      <c r="N2167">
        <f>-571.544851449551 -13.9009786660739 -777.409138155356</f>
        <v>-1362.8549682709809</v>
      </c>
      <c r="O2167">
        <f>-577.055944787719 -156.323902281405 -741.22485911925</f>
        <v>-1474.6047061883742</v>
      </c>
      <c r="P2167">
        <f>-572.866485292244 -157.337762185472 -424.732230265054</f>
        <v>-1154.93647774277</v>
      </c>
      <c r="Q2167">
        <f>-347.215140215172 -37.6460248790519 -473.695429727209</f>
        <v>-858.5565948214329</v>
      </c>
      <c r="R2167" t="s">
        <v>42031</v>
      </c>
      <c r="S2167" t="s">
        <v>42032</v>
      </c>
      <c r="T2167" t="s">
        <v>42033</v>
      </c>
      <c r="U2167" t="s">
        <v>42034</v>
      </c>
      <c r="V2167">
        <f>-530.811195070263 -32.529469164733 -243.628287459807</f>
        <v>-806.96895169480297</v>
      </c>
      <c r="W2167" t="s">
        <v>42035</v>
      </c>
      <c r="X2167" t="s">
        <v>42036</v>
      </c>
      <c r="Y2167" t="s">
        <v>42037</v>
      </c>
    </row>
    <row r="2168" spans="1:25" x14ac:dyDescent="0.3">
      <c r="A2168">
        <v>108350</v>
      </c>
      <c r="B2168" t="s">
        <v>42038</v>
      </c>
      <c r="C2168" t="s">
        <v>42039</v>
      </c>
      <c r="D2168" t="s">
        <v>42040</v>
      </c>
      <c r="E2168" t="s">
        <v>42041</v>
      </c>
      <c r="F2168" t="s">
        <v>42042</v>
      </c>
      <c r="G2168" t="s">
        <v>42043</v>
      </c>
      <c r="H2168" t="s">
        <v>42044</v>
      </c>
      <c r="I2168">
        <f>-519.368308986195 -4.89117735205662 -940.65967444905</f>
        <v>-1464.9191607873017</v>
      </c>
      <c r="J2168" t="s">
        <v>42045</v>
      </c>
      <c r="K2168" t="s">
        <v>42046</v>
      </c>
      <c r="L2168" t="s">
        <v>42047</v>
      </c>
      <c r="M2168" t="s">
        <v>42048</v>
      </c>
      <c r="N2168">
        <f>-570.976600081297 -14.7185375111441 -777.462062474517</f>
        <v>-1363.157200066958</v>
      </c>
      <c r="O2168">
        <f>-576.962974627447 -157.132364964386 -741.311858811079</f>
        <v>-1475.4071984029119</v>
      </c>
      <c r="P2168">
        <f>-572.632763753695 -158.218434753251 -424.821285725864</f>
        <v>-1155.6724842328101</v>
      </c>
      <c r="Q2168">
        <f>-346.814651847236 -38.8452048540471 -473.793533270205</f>
        <v>-859.45338997148815</v>
      </c>
      <c r="R2168" t="s">
        <v>42049</v>
      </c>
      <c r="S2168" t="s">
        <v>42050</v>
      </c>
      <c r="T2168" t="s">
        <v>42051</v>
      </c>
      <c r="U2168" t="s">
        <v>42052</v>
      </c>
      <c r="V2168">
        <f>-530.345989475835 -33.2949560420893 -243.651269353926</f>
        <v>-807.29221487185032</v>
      </c>
      <c r="W2168" t="s">
        <v>42053</v>
      </c>
      <c r="X2168" t="s">
        <v>42054</v>
      </c>
      <c r="Y2168" t="s">
        <v>42055</v>
      </c>
    </row>
    <row r="2169" spans="1:25" x14ac:dyDescent="0.3">
      <c r="A2169">
        <v>108400</v>
      </c>
      <c r="B2169" t="s">
        <v>42056</v>
      </c>
      <c r="C2169" t="s">
        <v>42057</v>
      </c>
      <c r="D2169" t="s">
        <v>42058</v>
      </c>
      <c r="E2169" t="s">
        <v>42059</v>
      </c>
      <c r="F2169" t="s">
        <v>42060</v>
      </c>
      <c r="G2169" t="s">
        <v>42061</v>
      </c>
      <c r="H2169" t="s">
        <v>42062</v>
      </c>
      <c r="I2169">
        <f>-518.517330635526 -5.6257184591408 -940.636289799068</f>
        <v>-1464.7793388937348</v>
      </c>
      <c r="J2169" t="s">
        <v>42063</v>
      </c>
      <c r="K2169" t="s">
        <v>42064</v>
      </c>
      <c r="L2169" t="s">
        <v>42065</v>
      </c>
      <c r="M2169" t="s">
        <v>42066</v>
      </c>
      <c r="N2169">
        <f>-570.275646541532 -15.4445581384486 -777.464921966213</f>
        <v>-1363.1851266461936</v>
      </c>
      <c r="O2169">
        <f>-576.506995554896 -157.846849151222 -741.342849903065</f>
        <v>-1475.6966946091829</v>
      </c>
      <c r="P2169">
        <f>-572.388517318249 -159.095665916238 -424.850068928947</f>
        <v>-1156.334252163434</v>
      </c>
      <c r="Q2169">
        <f>-346.410506994326 -39.9422303725421 -473.619595150197</f>
        <v>-859.97233251706507</v>
      </c>
      <c r="R2169" t="s">
        <v>42067</v>
      </c>
      <c r="S2169" t="s">
        <v>42068</v>
      </c>
      <c r="T2169" t="s">
        <v>42069</v>
      </c>
      <c r="U2169" t="s">
        <v>42070</v>
      </c>
      <c r="V2169">
        <f>-530.051683472194 -34.245340546886 -243.663643652639</f>
        <v>-807.96066767171897</v>
      </c>
      <c r="W2169" t="s">
        <v>42071</v>
      </c>
      <c r="X2169" t="s">
        <v>42072</v>
      </c>
      <c r="Y2169" t="s">
        <v>42073</v>
      </c>
    </row>
    <row r="2170" spans="1:25" x14ac:dyDescent="0.3">
      <c r="A2170">
        <v>108450</v>
      </c>
      <c r="B2170" t="s">
        <v>42074</v>
      </c>
      <c r="C2170" t="s">
        <v>42075</v>
      </c>
      <c r="D2170" t="s">
        <v>42076</v>
      </c>
      <c r="E2170" t="s">
        <v>42077</v>
      </c>
      <c r="F2170" t="s">
        <v>42078</v>
      </c>
      <c r="G2170" t="s">
        <v>42079</v>
      </c>
      <c r="H2170" t="s">
        <v>42080</v>
      </c>
      <c r="I2170">
        <f>-516.779222838764 -6.60248941622399 -940.653385111633</f>
        <v>-1464.0350973666209</v>
      </c>
      <c r="J2170" t="s">
        <v>42081</v>
      </c>
      <c r="K2170" t="s">
        <v>42082</v>
      </c>
      <c r="L2170" t="s">
        <v>42083</v>
      </c>
      <c r="M2170" t="s">
        <v>42084</v>
      </c>
      <c r="N2170">
        <f>-568.892022565589 -16.5268546299747 -777.542440399489</f>
        <v>-1362.9613175950526</v>
      </c>
      <c r="O2170">
        <f>-575.56056112621 -158.901922726641 -741.338801146356</f>
        <v>-1475.8012849992069</v>
      </c>
      <c r="P2170">
        <f>-572.089241542325 -159.699311940609 -424.836748629394</f>
        <v>-1156.625302112328</v>
      </c>
      <c r="Q2170">
        <f>-345.428153085342 -41.7070020917053 -473.257979872594</f>
        <v>-860.39313504964127</v>
      </c>
      <c r="R2170" t="s">
        <v>42085</v>
      </c>
      <c r="S2170" t="s">
        <v>42086</v>
      </c>
      <c r="T2170" t="s">
        <v>42087</v>
      </c>
      <c r="U2170" t="s">
        <v>42088</v>
      </c>
      <c r="V2170">
        <f>-529.544405286916 -35.3831673397822 -243.755002709471</f>
        <v>-808.68257533616918</v>
      </c>
      <c r="W2170" t="s">
        <v>42089</v>
      </c>
      <c r="X2170" t="s">
        <v>42090</v>
      </c>
      <c r="Y2170" t="s">
        <v>42091</v>
      </c>
    </row>
    <row r="2171" spans="1:25" x14ac:dyDescent="0.3">
      <c r="A2171">
        <v>108500</v>
      </c>
      <c r="B2171" t="s">
        <v>42092</v>
      </c>
      <c r="C2171" t="s">
        <v>42093</v>
      </c>
      <c r="D2171" t="s">
        <v>42094</v>
      </c>
      <c r="E2171" t="s">
        <v>42095</v>
      </c>
      <c r="F2171" t="s">
        <v>42096</v>
      </c>
      <c r="G2171" t="s">
        <v>42097</v>
      </c>
      <c r="H2171" t="s">
        <v>42098</v>
      </c>
      <c r="I2171">
        <f>-515.731512010842 -7.05231273528711 -940.687566226205</f>
        <v>-1463.4713909723341</v>
      </c>
      <c r="J2171" t="s">
        <v>42099</v>
      </c>
      <c r="K2171" t="s">
        <v>42100</v>
      </c>
      <c r="L2171" t="s">
        <v>42101</v>
      </c>
      <c r="M2171" t="s">
        <v>42102</v>
      </c>
      <c r="N2171">
        <f>-568.024002969052 -17.0826482048655 -777.61174090658</f>
        <v>-1362.7183920804976</v>
      </c>
      <c r="O2171">
        <f>-574.874346669834 -159.43261044738 -741.370716900379</f>
        <v>-1475.6776740175931</v>
      </c>
      <c r="P2171">
        <f>-571.720561144224 -160.003695025709 -424.864926269218</f>
        <v>-1156.589182439151</v>
      </c>
      <c r="Q2171">
        <f>-344.73376041231 -42.5484397598948 -473.065601563751</f>
        <v>-860.34780173595573</v>
      </c>
      <c r="R2171" t="s">
        <v>42103</v>
      </c>
      <c r="S2171" t="s">
        <v>42104</v>
      </c>
      <c r="T2171" t="s">
        <v>42105</v>
      </c>
      <c r="U2171" t="s">
        <v>42106</v>
      </c>
      <c r="V2171">
        <f>-529.434297636098 -35.8403205770562 -243.788131988262</f>
        <v>-809.06275020141618</v>
      </c>
      <c r="W2171" t="s">
        <v>42107</v>
      </c>
      <c r="X2171" t="s">
        <v>42108</v>
      </c>
      <c r="Y2171" t="s">
        <v>42109</v>
      </c>
    </row>
    <row r="2172" spans="1:25" x14ac:dyDescent="0.3">
      <c r="A2172">
        <v>108550</v>
      </c>
      <c r="B2172" t="s">
        <v>42110</v>
      </c>
      <c r="C2172" t="s">
        <v>42111</v>
      </c>
      <c r="D2172" t="s">
        <v>42112</v>
      </c>
      <c r="E2172" t="s">
        <v>42113</v>
      </c>
      <c r="F2172" t="s">
        <v>42114</v>
      </c>
      <c r="G2172" t="s">
        <v>42115</v>
      </c>
      <c r="H2172" t="s">
        <v>42116</v>
      </c>
      <c r="I2172">
        <f>-513.925281689495 -7.30549415936268 -940.695749390732</f>
        <v>-1461.9265252395896</v>
      </c>
      <c r="J2172" t="s">
        <v>42117</v>
      </c>
      <c r="K2172" t="s">
        <v>42118</v>
      </c>
      <c r="L2172" t="s">
        <v>42119</v>
      </c>
      <c r="M2172" t="s">
        <v>42120</v>
      </c>
      <c r="N2172">
        <f>-566.607649764012 -17.5523567903935 -777.709267399517</f>
        <v>-1361.8692739539224</v>
      </c>
      <c r="O2172">
        <f>-573.742091818316 -159.866650712466 -741.382090723825</f>
        <v>-1474.990833254607</v>
      </c>
      <c r="P2172">
        <f>-571.243812630449 -159.856058858129 -424.870038704713</f>
        <v>-1155.9699101932911</v>
      </c>
      <c r="Q2172">
        <f>-343.674909324469 -43.3718347939238 -472.680890086375</f>
        <v>-859.72763420476781</v>
      </c>
      <c r="R2172" t="s">
        <v>42121</v>
      </c>
      <c r="S2172" t="s">
        <v>42122</v>
      </c>
      <c r="T2172" t="s">
        <v>42123</v>
      </c>
      <c r="U2172" t="s">
        <v>42124</v>
      </c>
      <c r="V2172">
        <f>-529.272830070819 -36.5845876748257 -243.860520768884</f>
        <v>-809.71793851452867</v>
      </c>
      <c r="W2172" t="s">
        <v>42125</v>
      </c>
      <c r="X2172" t="s">
        <v>42126</v>
      </c>
      <c r="Y2172" t="s">
        <v>42127</v>
      </c>
    </row>
    <row r="2173" spans="1:25" x14ac:dyDescent="0.3">
      <c r="A2173">
        <v>108600</v>
      </c>
      <c r="B2173" t="s">
        <v>42128</v>
      </c>
      <c r="C2173" t="s">
        <v>42129</v>
      </c>
      <c r="D2173" t="s">
        <v>42130</v>
      </c>
      <c r="E2173" t="s">
        <v>42131</v>
      </c>
      <c r="F2173" t="s">
        <v>42132</v>
      </c>
      <c r="G2173" t="s">
        <v>42133</v>
      </c>
      <c r="H2173" t="s">
        <v>42134</v>
      </c>
      <c r="I2173">
        <f>-513.029942689385 -7.75358395517618 -940.717928611383</f>
        <v>-1461.5014552559442</v>
      </c>
      <c r="J2173" t="s">
        <v>42135</v>
      </c>
      <c r="K2173" t="s">
        <v>42136</v>
      </c>
      <c r="L2173" t="s">
        <v>42137</v>
      </c>
      <c r="M2173" t="s">
        <v>42138</v>
      </c>
      <c r="N2173">
        <f>-565.871830837288 -18.1493789209591 -777.769398753949</f>
        <v>-1361.7906085121961</v>
      </c>
      <c r="O2173">
        <f>-573.159961408271 -160.444340512456 -741.392605461245</f>
        <v>-1474.9969073819721</v>
      </c>
      <c r="P2173">
        <f>-570.847353123752 -160.256968950775 -424.879114310195</f>
        <v>-1155.9834363847219</v>
      </c>
      <c r="Q2173">
        <f>-343.020739985688 -44.2238593467099 -472.559545614902</f>
        <v>-859.80414494729985</v>
      </c>
      <c r="R2173" t="s">
        <v>42139</v>
      </c>
      <c r="S2173" t="s">
        <v>42140</v>
      </c>
      <c r="T2173" t="s">
        <v>42141</v>
      </c>
      <c r="U2173" t="s">
        <v>42142</v>
      </c>
      <c r="V2173">
        <f>-529.162957521261 -37.3602609801823 -243.900527794189</f>
        <v>-810.42374629563221</v>
      </c>
      <c r="W2173" t="s">
        <v>42143</v>
      </c>
      <c r="X2173" t="s">
        <v>42144</v>
      </c>
      <c r="Y2173" t="s">
        <v>42145</v>
      </c>
    </row>
    <row r="2174" spans="1:25" x14ac:dyDescent="0.3">
      <c r="A2174">
        <v>108650</v>
      </c>
      <c r="B2174" t="s">
        <v>42146</v>
      </c>
      <c r="C2174" t="s">
        <v>42147</v>
      </c>
      <c r="D2174" t="s">
        <v>42148</v>
      </c>
      <c r="E2174" t="s">
        <v>42149</v>
      </c>
      <c r="F2174" t="s">
        <v>42150</v>
      </c>
      <c r="G2174" t="s">
        <v>42151</v>
      </c>
      <c r="H2174" t="s">
        <v>42152</v>
      </c>
      <c r="I2174">
        <f>-511.497123581185 -7.78383048385975 -940.715158298197</f>
        <v>-1459.9961123632418</v>
      </c>
      <c r="J2174" t="s">
        <v>42153</v>
      </c>
      <c r="K2174" t="s">
        <v>42154</v>
      </c>
      <c r="L2174" t="s">
        <v>42155</v>
      </c>
      <c r="M2174" t="s">
        <v>42156</v>
      </c>
      <c r="N2174">
        <f>-564.622397720034 -18.4731789165863 -777.834842393101</f>
        <v>-1360.9304190297212</v>
      </c>
      <c r="O2174">
        <f>-572.060124754167 -160.734292779047 -741.374230373637</f>
        <v>-1474.168647906851</v>
      </c>
      <c r="P2174">
        <f>-569.93530456214 -160.238958316267 -424.859740596475</f>
        <v>-1155.034003474882</v>
      </c>
      <c r="Q2174">
        <f>-341.927482353161 -44.4212875476046 -472.196449227466</f>
        <v>-858.54521912823157</v>
      </c>
      <c r="R2174" t="s">
        <v>42157</v>
      </c>
      <c r="S2174" t="s">
        <v>42158</v>
      </c>
      <c r="T2174" t="s">
        <v>42159</v>
      </c>
      <c r="U2174" t="s">
        <v>42160</v>
      </c>
      <c r="V2174">
        <f>-529.07687419116 -38.0395688100765 -243.897337754881</f>
        <v>-811.01378075611751</v>
      </c>
      <c r="W2174" t="s">
        <v>42161</v>
      </c>
      <c r="X2174" t="s">
        <v>42162</v>
      </c>
      <c r="Y2174" t="s">
        <v>42163</v>
      </c>
    </row>
    <row r="2175" spans="1:25" x14ac:dyDescent="0.3">
      <c r="A2175">
        <v>108700</v>
      </c>
      <c r="B2175" t="s">
        <v>42164</v>
      </c>
      <c r="C2175" t="s">
        <v>42165</v>
      </c>
      <c r="D2175" t="s">
        <v>42166</v>
      </c>
      <c r="E2175" t="s">
        <v>42167</v>
      </c>
      <c r="F2175" t="s">
        <v>42168</v>
      </c>
      <c r="G2175" t="s">
        <v>42169</v>
      </c>
      <c r="H2175" t="s">
        <v>42170</v>
      </c>
      <c r="I2175">
        <f>-510.623174160104 -7.85899031768149 -940.687047200733</f>
        <v>-1459.1692116785184</v>
      </c>
      <c r="J2175" t="s">
        <v>42171</v>
      </c>
      <c r="K2175" t="s">
        <v>42172</v>
      </c>
      <c r="L2175" t="s">
        <v>42173</v>
      </c>
      <c r="M2175" t="s">
        <v>42174</v>
      </c>
      <c r="N2175">
        <f>-563.906272698099 -18.7291423544559 -777.854227849837</f>
        <v>-1360.489642902392</v>
      </c>
      <c r="O2175">
        <f>-571.325106016028 -160.994072030995 -741.378543682859</f>
        <v>-1473.697721729882</v>
      </c>
      <c r="P2175">
        <f>-569.38144687667 -160.364661758313 -424.863073855524</f>
        <v>-1154.609182490507</v>
      </c>
      <c r="Q2175">
        <f>-341.32091853065 -44.5556873989653 -471.966457502397</f>
        <v>-857.84306343201229</v>
      </c>
      <c r="R2175" t="s">
        <v>42175</v>
      </c>
      <c r="S2175" t="s">
        <v>42176</v>
      </c>
      <c r="T2175" t="s">
        <v>42177</v>
      </c>
      <c r="U2175" t="s">
        <v>42178</v>
      </c>
      <c r="V2175">
        <f>-528.99138867863 -38.4836974941894 -243.882273981225</f>
        <v>-811.35736015404439</v>
      </c>
      <c r="W2175" t="s">
        <v>42179</v>
      </c>
      <c r="X2175" t="s">
        <v>42180</v>
      </c>
      <c r="Y2175" t="s">
        <v>42181</v>
      </c>
    </row>
    <row r="2176" spans="1:25" x14ac:dyDescent="0.3">
      <c r="A2176">
        <v>108750</v>
      </c>
      <c r="B2176" t="s">
        <v>42182</v>
      </c>
      <c r="C2176" t="s">
        <v>42183</v>
      </c>
      <c r="D2176" t="s">
        <v>42184</v>
      </c>
      <c r="E2176" t="s">
        <v>42185</v>
      </c>
      <c r="F2176" t="s">
        <v>42186</v>
      </c>
      <c r="G2176" t="s">
        <v>42187</v>
      </c>
      <c r="H2176" t="s">
        <v>42188</v>
      </c>
      <c r="I2176">
        <f>-509.273852149936 -7.82990807955061 -940.593053492028</f>
        <v>-1457.6968137215147</v>
      </c>
      <c r="J2176" t="s">
        <v>42189</v>
      </c>
      <c r="K2176" t="s">
        <v>42190</v>
      </c>
      <c r="L2176" t="s">
        <v>42191</v>
      </c>
      <c r="M2176" t="s">
        <v>42192</v>
      </c>
      <c r="N2176">
        <f>-562.858485489474 -18.9982937621388 -777.857756240655</f>
        <v>-1359.7145354922677</v>
      </c>
      <c r="O2176">
        <f>-570.066384293494 -161.294462958618 -741.457834558741</f>
        <v>-1472.8186818108529</v>
      </c>
      <c r="P2176">
        <f>-568.762406145803 -160.482321236056 -424.93962403367</f>
        <v>-1154.1843514155289</v>
      </c>
      <c r="Q2176">
        <f>-340.665033589675 -44.4732453582404 -471.367653523506</f>
        <v>-856.50593247142137</v>
      </c>
      <c r="R2176" t="s">
        <v>42193</v>
      </c>
      <c r="S2176" t="s">
        <v>42194</v>
      </c>
      <c r="T2176" t="s">
        <v>42195</v>
      </c>
      <c r="U2176" t="s">
        <v>42196</v>
      </c>
      <c r="V2176">
        <f>-528.863753404692 -38.8169753054403 -243.863936088355</f>
        <v>-811.54466479848736</v>
      </c>
      <c r="W2176" t="s">
        <v>42197</v>
      </c>
      <c r="X2176" t="s">
        <v>42198</v>
      </c>
      <c r="Y2176" t="s">
        <v>42199</v>
      </c>
    </row>
    <row r="2177" spans="1:25" x14ac:dyDescent="0.3">
      <c r="A2177">
        <v>108800</v>
      </c>
      <c r="B2177" t="s">
        <v>42200</v>
      </c>
      <c r="C2177" t="s">
        <v>42201</v>
      </c>
      <c r="D2177" t="s">
        <v>42202</v>
      </c>
      <c r="E2177" t="s">
        <v>42203</v>
      </c>
      <c r="F2177" t="s">
        <v>42204</v>
      </c>
      <c r="G2177" t="s">
        <v>42205</v>
      </c>
      <c r="H2177" t="s">
        <v>42206</v>
      </c>
      <c r="I2177">
        <f>-508.559508686614 -7.8622274285022 -940.591567393102</f>
        <v>-1457.0133035082181</v>
      </c>
      <c r="J2177" t="s">
        <v>42207</v>
      </c>
      <c r="K2177" t="s">
        <v>42208</v>
      </c>
      <c r="L2177" t="s">
        <v>42209</v>
      </c>
      <c r="M2177" t="s">
        <v>42210</v>
      </c>
      <c r="N2177">
        <f>-562.235951643566 -19.1881101502406 -777.897234431441</f>
        <v>-1359.3212962252476</v>
      </c>
      <c r="O2177">
        <f>-569.258294566139 -161.497453306637 -741.557601179897</f>
        <v>-1472.3133490526729</v>
      </c>
      <c r="P2177">
        <f>-568.277470562561 -160.720109057905 -425.038123488161</f>
        <v>-1154.0357031086269</v>
      </c>
      <c r="Q2177">
        <f>-340.201134809292 -44.5072493533662 -471.057664757844</f>
        <v>-855.76604892050227</v>
      </c>
      <c r="R2177" t="s">
        <v>42211</v>
      </c>
      <c r="S2177" t="s">
        <v>42212</v>
      </c>
      <c r="T2177" t="s">
        <v>42213</v>
      </c>
      <c r="U2177" t="s">
        <v>42214</v>
      </c>
      <c r="V2177">
        <f>-528.699717424237 -39.0598620370458 -243.875712264697</f>
        <v>-811.63529172597976</v>
      </c>
      <c r="W2177" t="s">
        <v>42215</v>
      </c>
      <c r="X2177" t="s">
        <v>42216</v>
      </c>
      <c r="Y2177" t="s">
        <v>42217</v>
      </c>
    </row>
    <row r="2178" spans="1:25" x14ac:dyDescent="0.3">
      <c r="A2178">
        <v>108850</v>
      </c>
      <c r="B2178" t="s">
        <v>42218</v>
      </c>
      <c r="C2178" t="s">
        <v>42219</v>
      </c>
      <c r="D2178" t="s">
        <v>42220</v>
      </c>
      <c r="E2178" t="s">
        <v>42221</v>
      </c>
      <c r="F2178" t="s">
        <v>42222</v>
      </c>
      <c r="G2178" t="s">
        <v>42223</v>
      </c>
      <c r="H2178" t="s">
        <v>42224</v>
      </c>
      <c r="I2178">
        <f>-507.779885506016 -7.69046073968691 -940.640474468802</f>
        <v>-1456.1108207145048</v>
      </c>
      <c r="J2178" t="s">
        <v>42225</v>
      </c>
      <c r="K2178" t="s">
        <v>42226</v>
      </c>
      <c r="L2178" t="s">
        <v>42227</v>
      </c>
      <c r="M2178" t="s">
        <v>42228</v>
      </c>
      <c r="N2178">
        <f>-561.555668126479 -19.4151792150015 -778.012595988118</f>
        <v>-1358.9834433295987</v>
      </c>
      <c r="O2178">
        <f>-568.093902865168 -161.787576485626 -741.78913884244</f>
        <v>-1471.6706181932341</v>
      </c>
      <c r="P2178">
        <f>-567.564630460676 -160.960400806923 -425.268539241314</f>
        <v>-1153.793570508913</v>
      </c>
      <c r="Q2178">
        <f>-339.707144655505 -44.1334209856584 -470.814764698982</f>
        <v>-854.65533034014538</v>
      </c>
      <c r="R2178" t="s">
        <v>42229</v>
      </c>
      <c r="S2178" t="s">
        <v>42230</v>
      </c>
      <c r="T2178" t="s">
        <v>42231</v>
      </c>
      <c r="U2178" t="s">
        <v>42232</v>
      </c>
      <c r="V2178">
        <f>-528.40839542747 -39.7319573316248 -243.940227339484</f>
        <v>-812.08058009857882</v>
      </c>
      <c r="W2178" t="s">
        <v>42233</v>
      </c>
      <c r="X2178" t="s">
        <v>42234</v>
      </c>
      <c r="Y2178" t="s">
        <v>42235</v>
      </c>
    </row>
    <row r="2179" spans="1:25" x14ac:dyDescent="0.3">
      <c r="A2179">
        <v>108900</v>
      </c>
      <c r="B2179" t="s">
        <v>42236</v>
      </c>
      <c r="C2179" t="s">
        <v>42237</v>
      </c>
      <c r="D2179" t="s">
        <v>42238</v>
      </c>
      <c r="E2179" t="s">
        <v>42239</v>
      </c>
      <c r="F2179" t="s">
        <v>42240</v>
      </c>
      <c r="G2179" t="s">
        <v>42241</v>
      </c>
      <c r="H2179" t="s">
        <v>42242</v>
      </c>
      <c r="I2179">
        <f>-507.569171358202 -7.52019750362979 -940.72224801096</f>
        <v>-1455.811616872792</v>
      </c>
      <c r="J2179" t="s">
        <v>42243</v>
      </c>
      <c r="K2179" t="s">
        <v>42244</v>
      </c>
      <c r="L2179" t="s">
        <v>42245</v>
      </c>
      <c r="M2179" t="s">
        <v>42246</v>
      </c>
      <c r="N2179">
        <f>-561.335271133212 -19.4519067053009 -778.106882316039</f>
        <v>-1358.8940601545519</v>
      </c>
      <c r="O2179">
        <f>-567.674586628753 -161.843289566349 -741.970551986477</f>
        <v>-1471.4884281815789</v>
      </c>
      <c r="P2179">
        <f>-567.250938814985 -161.268758372187 -425.449257578071</f>
        <v>-1153.9689547652431</v>
      </c>
      <c r="Q2179">
        <f>-339.551677151717 -44.0883018298916 -470.878723721708</f>
        <v>-854.51870270331665</v>
      </c>
      <c r="R2179" t="s">
        <v>42247</v>
      </c>
      <c r="S2179" t="s">
        <v>42248</v>
      </c>
      <c r="T2179" t="s">
        <v>42249</v>
      </c>
      <c r="U2179" t="s">
        <v>42250</v>
      </c>
      <c r="V2179">
        <f>-528.284122512707 -39.8401618161255 -243.967464095173</f>
        <v>-812.09174842400546</v>
      </c>
      <c r="W2179" t="s">
        <v>42251</v>
      </c>
      <c r="X2179" t="s">
        <v>42252</v>
      </c>
      <c r="Y2179" t="s">
        <v>42253</v>
      </c>
    </row>
    <row r="2180" spans="1:25" x14ac:dyDescent="0.3">
      <c r="A2180">
        <v>108950</v>
      </c>
      <c r="B2180" t="s">
        <v>42254</v>
      </c>
      <c r="C2180" t="s">
        <v>42255</v>
      </c>
      <c r="D2180" t="s">
        <v>42256</v>
      </c>
      <c r="E2180" t="s">
        <v>42257</v>
      </c>
      <c r="F2180" t="s">
        <v>42258</v>
      </c>
      <c r="G2180" t="s">
        <v>42259</v>
      </c>
      <c r="H2180" t="s">
        <v>42260</v>
      </c>
      <c r="I2180">
        <f>-507.156200788508 -7.36753359038883 -940.8382721974</f>
        <v>-1455.3620065762968</v>
      </c>
      <c r="J2180" t="s">
        <v>42261</v>
      </c>
      <c r="K2180" t="s">
        <v>42262</v>
      </c>
      <c r="L2180" t="s">
        <v>42263</v>
      </c>
      <c r="M2180" t="s">
        <v>42264</v>
      </c>
      <c r="N2180">
        <f>-560.901156359443 -19.6947698186986 -778.226452124308</f>
        <v>-1358.8223783024496</v>
      </c>
      <c r="O2180">
        <f>-566.880192671703 -162.128118021473 -742.183792114573</f>
        <v>-1471.1921028077491</v>
      </c>
      <c r="P2180">
        <f>-566.17735446025 -161.9580239316 -425.662624471004</f>
        <v>-1153.798002862854</v>
      </c>
      <c r="Q2180">
        <f>-338.84085000481 -44.1426976554272 -471.266578077806</f>
        <v>-854.25012573804315</v>
      </c>
      <c r="R2180" t="s">
        <v>42265</v>
      </c>
      <c r="S2180" t="s">
        <v>42266</v>
      </c>
      <c r="T2180" t="s">
        <v>42267</v>
      </c>
      <c r="U2180" t="s">
        <v>42268</v>
      </c>
      <c r="V2180">
        <f>-528.318332201297 -40.2752648694585 -244.002075738867</f>
        <v>-812.59567280962256</v>
      </c>
      <c r="W2180" t="s">
        <v>42269</v>
      </c>
      <c r="X2180" t="s">
        <v>42270</v>
      </c>
      <c r="Y2180" t="s">
        <v>42271</v>
      </c>
    </row>
    <row r="2181" spans="1:25" x14ac:dyDescent="0.3">
      <c r="A2181">
        <v>109000</v>
      </c>
      <c r="B2181" t="s">
        <v>42272</v>
      </c>
      <c r="C2181" t="s">
        <v>42273</v>
      </c>
      <c r="D2181" t="s">
        <v>42274</v>
      </c>
      <c r="E2181" t="s">
        <v>42275</v>
      </c>
      <c r="F2181" t="s">
        <v>42276</v>
      </c>
      <c r="G2181" t="s">
        <v>42277</v>
      </c>
      <c r="H2181" t="s">
        <v>42278</v>
      </c>
      <c r="I2181">
        <f>-507.245384734142 -7.17164349523151 -940.883678853573</f>
        <v>-1455.3007070829465</v>
      </c>
      <c r="J2181" t="s">
        <v>42279</v>
      </c>
      <c r="K2181" t="s">
        <v>42280</v>
      </c>
      <c r="L2181" t="s">
        <v>42281</v>
      </c>
      <c r="M2181" t="s">
        <v>42282</v>
      </c>
      <c r="N2181">
        <f>-560.93112834677 -19.6524065946294 -778.249286885265</f>
        <v>-1358.8328218266643</v>
      </c>
      <c r="O2181">
        <f>-566.780516961765 -162.107250464071 -742.235679468332</f>
        <v>-1471.123446894168</v>
      </c>
      <c r="P2181">
        <f>-565.985291386892 -162.145945668922 -425.714720140632</f>
        <v>-1153.8459571964459</v>
      </c>
      <c r="Q2181">
        <f>-338.815134992156 -44.0876556192679 -471.518802972797</f>
        <v>-854.42159358422089</v>
      </c>
      <c r="R2181" t="s">
        <v>42283</v>
      </c>
      <c r="S2181" t="s">
        <v>42284</v>
      </c>
      <c r="T2181" t="s">
        <v>42285</v>
      </c>
      <c r="U2181" t="s">
        <v>42286</v>
      </c>
      <c r="V2181">
        <f>-528.302621574263 -40.49504475813 -244.01937418495</f>
        <v>-812.817040517343</v>
      </c>
      <c r="W2181" t="s">
        <v>42287</v>
      </c>
      <c r="X2181" t="s">
        <v>42288</v>
      </c>
      <c r="Y2181" t="s">
        <v>42289</v>
      </c>
    </row>
    <row r="2182" spans="1:25" x14ac:dyDescent="0.3">
      <c r="A2182">
        <v>109050</v>
      </c>
      <c r="B2182" t="s">
        <v>42290</v>
      </c>
      <c r="C2182" t="s">
        <v>42291</v>
      </c>
      <c r="D2182" t="s">
        <v>42292</v>
      </c>
      <c r="E2182" t="s">
        <v>42293</v>
      </c>
      <c r="F2182" t="s">
        <v>42294</v>
      </c>
      <c r="G2182" t="s">
        <v>42295</v>
      </c>
      <c r="H2182" t="s">
        <v>42296</v>
      </c>
      <c r="I2182">
        <f>-507.425529709795 -6.38680746711515 -941.020557596813</f>
        <v>-1454.8328947737232</v>
      </c>
      <c r="J2182" t="s">
        <v>42297</v>
      </c>
      <c r="K2182" t="s">
        <v>42298</v>
      </c>
      <c r="L2182" t="s">
        <v>42299</v>
      </c>
      <c r="M2182" t="s">
        <v>42300</v>
      </c>
      <c r="N2182">
        <f>-560.971155060287 -19.2603294603063 -778.348118140419</f>
        <v>-1358.5796026610124</v>
      </c>
      <c r="O2182">
        <f>-566.698555140325 -161.752985324875 -742.497296643435</f>
        <v>-1470.948837108635</v>
      </c>
      <c r="P2182">
        <f>-565.873274777692 -162.094231293593 -425.976477174339</f>
        <v>-1153.9439832456239</v>
      </c>
      <c r="Q2182">
        <f>-338.917314681559 -43.6829341973647 -471.931120695105</f>
        <v>-854.53136957402876</v>
      </c>
      <c r="R2182" t="s">
        <v>42301</v>
      </c>
      <c r="S2182" t="s">
        <v>42302</v>
      </c>
      <c r="T2182" t="s">
        <v>42303</v>
      </c>
      <c r="U2182" t="s">
        <v>42304</v>
      </c>
      <c r="V2182">
        <f>-528.447941162502 -40.5091077429583 -243.998680405023</f>
        <v>-812.95572931048343</v>
      </c>
      <c r="W2182" t="s">
        <v>42305</v>
      </c>
      <c r="X2182" t="s">
        <v>42306</v>
      </c>
      <c r="Y2182" t="s">
        <v>42307</v>
      </c>
    </row>
    <row r="2183" spans="1:25" x14ac:dyDescent="0.3">
      <c r="A2183">
        <v>109100</v>
      </c>
      <c r="B2183" t="s">
        <v>42308</v>
      </c>
      <c r="C2183" t="s">
        <v>42309</v>
      </c>
      <c r="D2183" t="s">
        <v>42310</v>
      </c>
      <c r="E2183" t="s">
        <v>42311</v>
      </c>
      <c r="F2183" t="s">
        <v>42312</v>
      </c>
      <c r="G2183" t="s">
        <v>42313</v>
      </c>
      <c r="H2183" t="s">
        <v>42314</v>
      </c>
      <c r="I2183">
        <f>-507.582398185981 -6.15441679442937 -941.079396348747</f>
        <v>-1454.8162113291573</v>
      </c>
      <c r="J2183" t="s">
        <v>42315</v>
      </c>
      <c r="K2183" t="s">
        <v>42316</v>
      </c>
      <c r="L2183" t="s">
        <v>42317</v>
      </c>
      <c r="M2183" t="s">
        <v>42318</v>
      </c>
      <c r="N2183">
        <f>-561.065270700657 -19.2149659333855 -778.390655234624</f>
        <v>-1358.6708918686666</v>
      </c>
      <c r="O2183">
        <f>-566.760600045762 -161.738806448042 -742.636105292266</f>
        <v>-1471.1355117860699</v>
      </c>
      <c r="P2183">
        <f>-566.01797777876 -162.330145580937 -426.115455805508</f>
        <v>-1154.4635791652051</v>
      </c>
      <c r="Q2183">
        <f>-339.085519385626 -43.8071074754851 -471.897531268103</f>
        <v>-854.79015812921421</v>
      </c>
      <c r="R2183" t="s">
        <v>42319</v>
      </c>
      <c r="S2183" t="s">
        <v>42320</v>
      </c>
      <c r="T2183" t="s">
        <v>42321</v>
      </c>
      <c r="U2183" t="s">
        <v>42322</v>
      </c>
      <c r="V2183">
        <f>-528.564986570306 -40.7873901023271 -244.009911851853</f>
        <v>-813.36228852448608</v>
      </c>
      <c r="W2183" t="s">
        <v>42323</v>
      </c>
      <c r="X2183" t="s">
        <v>42324</v>
      </c>
      <c r="Y2183" t="s">
        <v>42325</v>
      </c>
    </row>
    <row r="2184" spans="1:25" x14ac:dyDescent="0.3">
      <c r="A2184">
        <v>109150</v>
      </c>
      <c r="B2184" t="s">
        <v>42326</v>
      </c>
      <c r="C2184" t="s">
        <v>42327</v>
      </c>
      <c r="D2184" t="s">
        <v>42328</v>
      </c>
      <c r="E2184" t="s">
        <v>42329</v>
      </c>
      <c r="F2184" t="s">
        <v>42330</v>
      </c>
      <c r="G2184" t="s">
        <v>42331</v>
      </c>
      <c r="H2184" t="s">
        <v>42332</v>
      </c>
      <c r="I2184">
        <f>-507.691130248361 -5.38877143479118 -941.245670529218</f>
        <v>-1454.3255722123702</v>
      </c>
      <c r="J2184" t="s">
        <v>42333</v>
      </c>
      <c r="K2184" t="s">
        <v>42334</v>
      </c>
      <c r="L2184" t="s">
        <v>42335</v>
      </c>
      <c r="M2184" t="s">
        <v>42336</v>
      </c>
      <c r="N2184">
        <f>-561.014201343103 -18.8295854770533 -778.526350312619</f>
        <v>-1358.3701371327752</v>
      </c>
      <c r="O2184">
        <f>-566.624941339772 -161.415571213001 -743.030430369361</f>
        <v>-1471.070942922134</v>
      </c>
      <c r="P2184">
        <f>-566.273374191236 -162.406544515923 -426.510063640687</f>
        <v>-1155.1899823478461</v>
      </c>
      <c r="Q2184">
        <f>-339.425474456826 -43.5061967460967 -471.729642080594</f>
        <v>-854.66131328351662</v>
      </c>
      <c r="R2184" t="s">
        <v>42337</v>
      </c>
      <c r="S2184" t="s">
        <v>42338</v>
      </c>
      <c r="T2184" t="s">
        <v>42339</v>
      </c>
      <c r="U2184" t="s">
        <v>42340</v>
      </c>
      <c r="V2184">
        <f>-528.539931746453 -41.1233167079855 -244.002342257657</f>
        <v>-813.66559071209554</v>
      </c>
      <c r="W2184" t="s">
        <v>42341</v>
      </c>
      <c r="X2184" t="s">
        <v>42342</v>
      </c>
      <c r="Y2184" t="s">
        <v>42343</v>
      </c>
    </row>
    <row r="2185" spans="1:25" x14ac:dyDescent="0.3">
      <c r="A2185">
        <v>109200</v>
      </c>
      <c r="B2185" t="s">
        <v>42344</v>
      </c>
      <c r="C2185" t="s">
        <v>42345</v>
      </c>
      <c r="D2185" t="s">
        <v>42346</v>
      </c>
      <c r="E2185" t="s">
        <v>42347</v>
      </c>
      <c r="F2185" t="s">
        <v>42348</v>
      </c>
      <c r="G2185" t="s">
        <v>42349</v>
      </c>
      <c r="H2185" t="s">
        <v>42350</v>
      </c>
      <c r="I2185">
        <f>-508.268342367126 -4.99556959989921 -941.332112071625</f>
        <v>-1454.5960240386503</v>
      </c>
      <c r="J2185" t="s">
        <v>42351</v>
      </c>
      <c r="K2185" t="s">
        <v>42352</v>
      </c>
      <c r="L2185" t="s">
        <v>42353</v>
      </c>
      <c r="M2185" t="s">
        <v>42354</v>
      </c>
      <c r="N2185">
        <f>-561.432265289811 -18.5799378576242 -778.568053027632</f>
        <v>-1358.580256175067</v>
      </c>
      <c r="O2185">
        <f>-566.998750744234 -161.19861451428 -743.22695183169</f>
        <v>-1471.4243170902041</v>
      </c>
      <c r="P2185">
        <f>-566.798412090695 -162.350478167148 -426.707147608931</f>
        <v>-1155.8560378667739</v>
      </c>
      <c r="Q2185">
        <f>-339.919226412169 -43.4236649147279 -471.699497846229</f>
        <v>-855.04238917312591</v>
      </c>
      <c r="R2185" t="s">
        <v>42355</v>
      </c>
      <c r="S2185" t="s">
        <v>42356</v>
      </c>
      <c r="T2185" t="s">
        <v>42357</v>
      </c>
      <c r="U2185" t="s">
        <v>42358</v>
      </c>
      <c r="V2185">
        <f>-528.708984641898 -41.0755086886981 -243.991737534094</f>
        <v>-813.77623086469009</v>
      </c>
      <c r="W2185" t="s">
        <v>42359</v>
      </c>
      <c r="X2185" t="s">
        <v>42360</v>
      </c>
      <c r="Y2185" t="s">
        <v>42361</v>
      </c>
    </row>
    <row r="2186" spans="1:25" x14ac:dyDescent="0.3">
      <c r="A2186">
        <v>109250</v>
      </c>
      <c r="B2186" t="s">
        <v>42362</v>
      </c>
      <c r="C2186" t="s">
        <v>42363</v>
      </c>
      <c r="D2186" t="s">
        <v>42364</v>
      </c>
      <c r="E2186" t="s">
        <v>42365</v>
      </c>
      <c r="F2186" t="s">
        <v>42366</v>
      </c>
      <c r="G2186" t="s">
        <v>42367</v>
      </c>
      <c r="H2186" t="s">
        <v>42368</v>
      </c>
      <c r="I2186">
        <f>-509.593427509513 -4.618758666183 -941.553910974572</f>
        <v>-1455.766097150268</v>
      </c>
      <c r="J2186" t="s">
        <v>42369</v>
      </c>
      <c r="K2186" t="s">
        <v>42370</v>
      </c>
      <c r="L2186" t="s">
        <v>42371</v>
      </c>
      <c r="M2186" t="s">
        <v>42372</v>
      </c>
      <c r="N2186">
        <f>-562.381465964186 -18.393751665576 -778.66833194191</f>
        <v>-1359.4435495716721</v>
      </c>
      <c r="O2186">
        <f>-568.054175084655 -161.07501331802 -743.543627812309</f>
        <v>-1472.6728162149839</v>
      </c>
      <c r="P2186">
        <f>-567.794539549143 -162.759200143209 -427.026218132918</f>
        <v>-1157.57995782527</v>
      </c>
      <c r="Q2186">
        <f>-340.725402669379 -44.0004968899443 -471.501220968746</f>
        <v>-856.22712052806924</v>
      </c>
      <c r="R2186" t="s">
        <v>42373</v>
      </c>
      <c r="S2186" t="s">
        <v>42374</v>
      </c>
      <c r="T2186" t="s">
        <v>42375</v>
      </c>
      <c r="U2186" t="s">
        <v>42376</v>
      </c>
      <c r="V2186">
        <f>-528.788997361113 -41.4242577210807 -244.038464008632</f>
        <v>-814.25171909082576</v>
      </c>
      <c r="W2186" t="s">
        <v>42377</v>
      </c>
      <c r="X2186" t="s">
        <v>42378</v>
      </c>
      <c r="Y2186" t="s">
        <v>42379</v>
      </c>
    </row>
    <row r="2187" spans="1:25" x14ac:dyDescent="0.3">
      <c r="A2187">
        <v>109300</v>
      </c>
      <c r="B2187" t="s">
        <v>42380</v>
      </c>
      <c r="C2187" t="s">
        <v>42381</v>
      </c>
      <c r="D2187" t="s">
        <v>42382</v>
      </c>
      <c r="E2187" t="s">
        <v>42383</v>
      </c>
      <c r="F2187" t="s">
        <v>42384</v>
      </c>
      <c r="G2187" t="s">
        <v>42385</v>
      </c>
      <c r="H2187" t="s">
        <v>42386</v>
      </c>
      <c r="I2187">
        <f>-510.420106449385 -4.2828554002116 -941.693282221504</f>
        <v>-1456.3962440711007</v>
      </c>
      <c r="J2187" t="s">
        <v>42387</v>
      </c>
      <c r="K2187" t="s">
        <v>42388</v>
      </c>
      <c r="L2187" t="s">
        <v>42389</v>
      </c>
      <c r="M2187" t="s">
        <v>42390</v>
      </c>
      <c r="N2187">
        <f>-562.940037557365 -18.1481487726253 -778.725186122046</f>
        <v>-1359.8133724520362</v>
      </c>
      <c r="O2187">
        <f>-568.607527810099 -160.876692477776 -743.773618244891</f>
        <v>-1473.2578385327661</v>
      </c>
      <c r="P2187">
        <f>-568.313610271298 -162.983421704891 -427.258576300414</f>
        <v>-1158.5556082766029</v>
      </c>
      <c r="Q2187">
        <f>-341.175940014359 -44.2814602690573 -471.534700293333</f>
        <v>-856.99210057674929</v>
      </c>
      <c r="R2187" t="s">
        <v>42391</v>
      </c>
      <c r="S2187" t="s">
        <v>42392</v>
      </c>
      <c r="T2187" t="s">
        <v>42393</v>
      </c>
      <c r="U2187" t="s">
        <v>42394</v>
      </c>
      <c r="V2187">
        <f>-528.905418415162 -41.6804966274712 -244.054653922968</f>
        <v>-814.64056896560112</v>
      </c>
      <c r="W2187" t="s">
        <v>42395</v>
      </c>
      <c r="X2187" t="s">
        <v>42396</v>
      </c>
      <c r="Y2187" t="s">
        <v>42397</v>
      </c>
    </row>
    <row r="2188" spans="1:25" x14ac:dyDescent="0.3">
      <c r="A2188">
        <v>109350</v>
      </c>
      <c r="B2188" t="s">
        <v>42398</v>
      </c>
      <c r="C2188" t="s">
        <v>42399</v>
      </c>
      <c r="D2188" t="s">
        <v>42400</v>
      </c>
      <c r="E2188" t="s">
        <v>42401</v>
      </c>
      <c r="F2188" t="s">
        <v>42402</v>
      </c>
      <c r="G2188" t="s">
        <v>42403</v>
      </c>
      <c r="H2188" t="s">
        <v>42404</v>
      </c>
      <c r="I2188">
        <f>-512.208138328838 -3.76275066939724 -941.961416235548</f>
        <v>-1457.9323052337832</v>
      </c>
      <c r="J2188" t="s">
        <v>42405</v>
      </c>
      <c r="K2188" t="s">
        <v>42406</v>
      </c>
      <c r="L2188" t="s">
        <v>42407</v>
      </c>
      <c r="M2188" t="s">
        <v>42408</v>
      </c>
      <c r="N2188">
        <f>-564.214963684272 -17.7103954983817 -778.834519884771</f>
        <v>-1360.7598790674247</v>
      </c>
      <c r="O2188">
        <f>-569.86006054166 -160.529698288168 -744.254171393634</f>
        <v>-1474.6439302234621</v>
      </c>
      <c r="P2188">
        <f>-569.120722123933 -163.521858950607 -427.747129057234</f>
        <v>-1160.3897101317739</v>
      </c>
      <c r="Q2188">
        <f>-341.827707369502 -44.9462643147411 -471.562163143694</f>
        <v>-858.33613482793703</v>
      </c>
      <c r="R2188" t="s">
        <v>42409</v>
      </c>
      <c r="S2188" t="s">
        <v>42410</v>
      </c>
      <c r="T2188" t="s">
        <v>42411</v>
      </c>
      <c r="U2188" t="s">
        <v>42412</v>
      </c>
      <c r="V2188">
        <f>-529.090528012058 -41.8387202304767 -244.103581009755</f>
        <v>-815.03282925228973</v>
      </c>
      <c r="W2188" t="s">
        <v>42413</v>
      </c>
      <c r="X2188" t="s">
        <v>42414</v>
      </c>
      <c r="Y2188" t="s">
        <v>42415</v>
      </c>
    </row>
    <row r="2189" spans="1:25" x14ac:dyDescent="0.3">
      <c r="A2189">
        <v>109400</v>
      </c>
      <c r="B2189" t="s">
        <v>42416</v>
      </c>
      <c r="C2189" t="s">
        <v>42417</v>
      </c>
      <c r="D2189" t="s">
        <v>42418</v>
      </c>
      <c r="E2189" t="s">
        <v>42419</v>
      </c>
      <c r="F2189" t="s">
        <v>42420</v>
      </c>
      <c r="G2189" t="s">
        <v>42421</v>
      </c>
      <c r="H2189" t="s">
        <v>42422</v>
      </c>
      <c r="I2189">
        <f>-513.045938466943 -3.24334316225727 -942.031569928237</f>
        <v>-1458.3208515574372</v>
      </c>
      <c r="J2189" t="s">
        <v>42423</v>
      </c>
      <c r="K2189" t="s">
        <v>42424</v>
      </c>
      <c r="L2189" t="s">
        <v>42425</v>
      </c>
      <c r="M2189" t="s">
        <v>42426</v>
      </c>
      <c r="N2189">
        <f>-564.876621391682 -17.2551806076401 -778.848659492331</f>
        <v>-1360.9804614916529</v>
      </c>
      <c r="O2189">
        <f>-570.534480697026 -160.111242268576 -744.462090995319</f>
        <v>-1475.107813960921</v>
      </c>
      <c r="P2189">
        <f>-569.632456685714 -163.71461061422 -427.961818100675</f>
        <v>-1161.3088854006089</v>
      </c>
      <c r="Q2189">
        <f>-342.407358071442 -45.0202965015232 -471.807922522939</f>
        <v>-859.2355770959042</v>
      </c>
      <c r="R2189" t="s">
        <v>42427</v>
      </c>
      <c r="S2189" t="s">
        <v>42428</v>
      </c>
      <c r="T2189" t="s">
        <v>42429</v>
      </c>
      <c r="U2189" t="s">
        <v>42430</v>
      </c>
      <c r="V2189">
        <f>-529.391521909126 -41.6115444682608 -244.082725847858</f>
        <v>-815.08579222524486</v>
      </c>
      <c r="W2189" t="s">
        <v>42431</v>
      </c>
      <c r="X2189" t="s">
        <v>42432</v>
      </c>
      <c r="Y2189" t="s">
        <v>42433</v>
      </c>
    </row>
    <row r="2190" spans="1:25" x14ac:dyDescent="0.3">
      <c r="A2190">
        <v>109450</v>
      </c>
      <c r="B2190" t="s">
        <v>42434</v>
      </c>
      <c r="C2190" t="s">
        <v>42435</v>
      </c>
      <c r="D2190" t="s">
        <v>42436</v>
      </c>
      <c r="E2190" t="s">
        <v>42437</v>
      </c>
      <c r="F2190" t="s">
        <v>42438</v>
      </c>
      <c r="G2190" t="s">
        <v>42439</v>
      </c>
      <c r="H2190" t="s">
        <v>42440</v>
      </c>
      <c r="I2190">
        <f>-515.173192155242 -3.0854603581287 -942.162325048442</f>
        <v>-1460.4209775618126</v>
      </c>
      <c r="J2190" t="s">
        <v>42441</v>
      </c>
      <c r="K2190" t="s">
        <v>42442</v>
      </c>
      <c r="L2190" t="s">
        <v>42443</v>
      </c>
      <c r="M2190" t="s">
        <v>42444</v>
      </c>
      <c r="N2190">
        <f>-566.576471855404 -17.1389976077971 -778.83302947575</f>
        <v>-1362.5484989389511</v>
      </c>
      <c r="O2190">
        <f>-572.416327086612 -160.054595187969 -744.755586113181</f>
        <v>-1477.2265083877619</v>
      </c>
      <c r="P2190">
        <f>-570.750388426007 -164.778268291388 -428.27310653409</f>
        <v>-1163.801763251485</v>
      </c>
      <c r="Q2190">
        <f>-343.717231767603 -45.7233652335579 -472.135968539406</f>
        <v>-861.57656554056689</v>
      </c>
      <c r="R2190" t="s">
        <v>42445</v>
      </c>
      <c r="S2190" t="s">
        <v>42446</v>
      </c>
      <c r="T2190" t="s">
        <v>42447</v>
      </c>
      <c r="U2190" t="s">
        <v>42448</v>
      </c>
      <c r="V2190">
        <f>-529.510664285836 -42.0274988244292 -244.090278781924</f>
        <v>-815.62844189218924</v>
      </c>
      <c r="W2190" t="s">
        <v>42449</v>
      </c>
      <c r="X2190" t="s">
        <v>42450</v>
      </c>
      <c r="Y2190" t="s">
        <v>42451</v>
      </c>
    </row>
    <row r="2191" spans="1:25" x14ac:dyDescent="0.3">
      <c r="A2191">
        <v>109500</v>
      </c>
      <c r="B2191" t="s">
        <v>42452</v>
      </c>
      <c r="C2191" t="s">
        <v>42453</v>
      </c>
      <c r="D2191" t="s">
        <v>42454</v>
      </c>
      <c r="E2191" t="s">
        <v>42455</v>
      </c>
      <c r="F2191" t="s">
        <v>42456</v>
      </c>
      <c r="G2191" t="s">
        <v>42457</v>
      </c>
      <c r="H2191" t="s">
        <v>42458</v>
      </c>
      <c r="I2191">
        <f>-516.504800735019 -2.62961026121179 -942.285392614012</f>
        <v>-1461.419803610243</v>
      </c>
      <c r="J2191" t="s">
        <v>42459</v>
      </c>
      <c r="K2191" t="s">
        <v>42460</v>
      </c>
      <c r="L2191" t="s">
        <v>42461</v>
      </c>
      <c r="M2191" t="s">
        <v>42462</v>
      </c>
      <c r="N2191">
        <f>-567.585621023387 -16.6943978560009 -778.856515977777</f>
        <v>-1363.1365348571649</v>
      </c>
      <c r="O2191">
        <f>-573.390312530585 -159.68088696313 -744.961598080401</f>
        <v>-1478.0327975741161</v>
      </c>
      <c r="P2191">
        <f>-571.423577433559 -165.188961119849 -428.49369453435</f>
        <v>-1165.106233087758</v>
      </c>
      <c r="Q2191">
        <f>-344.70646193192 -45.6355880451673 -472.634300174967</f>
        <v>-862.97635015205424</v>
      </c>
      <c r="R2191" t="s">
        <v>42463</v>
      </c>
      <c r="S2191" t="s">
        <v>42464</v>
      </c>
      <c r="T2191" t="s">
        <v>42465</v>
      </c>
      <c r="U2191" t="s">
        <v>42466</v>
      </c>
      <c r="V2191">
        <f>-529.764593578319 -41.6840768554003 -244.123267188523</f>
        <v>-815.57193762224233</v>
      </c>
      <c r="W2191" t="s">
        <v>42467</v>
      </c>
      <c r="X2191" t="s">
        <v>42468</v>
      </c>
      <c r="Y2191" t="s">
        <v>42469</v>
      </c>
    </row>
    <row r="2192" spans="1:25" x14ac:dyDescent="0.3">
      <c r="A2192">
        <v>109550</v>
      </c>
      <c r="B2192" t="s">
        <v>42470</v>
      </c>
      <c r="C2192" t="s">
        <v>42471</v>
      </c>
      <c r="D2192" t="s">
        <v>42472</v>
      </c>
      <c r="E2192" t="s">
        <v>42473</v>
      </c>
      <c r="F2192" t="s">
        <v>42474</v>
      </c>
      <c r="G2192" t="s">
        <v>42475</v>
      </c>
      <c r="H2192" t="s">
        <v>42476</v>
      </c>
      <c r="I2192">
        <f>-519.022886536007 -2.80085305423407 -942.445894677565</f>
        <v>-1464.2696342678059</v>
      </c>
      <c r="J2192" t="s">
        <v>42477</v>
      </c>
      <c r="K2192" t="s">
        <v>42478</v>
      </c>
      <c r="L2192" t="s">
        <v>42479</v>
      </c>
      <c r="M2192" t="s">
        <v>42480</v>
      </c>
      <c r="N2192">
        <f>-569.561421211453 -17.0130665563713 -778.868522918897</f>
        <v>-1365.4430106867212</v>
      </c>
      <c r="O2192">
        <f>-575.104056063894 -160.065915170827 -745.292092998057</f>
        <v>-1480.4620642327779</v>
      </c>
      <c r="P2192">
        <f>-572.396983066524 -166.541968998913 -428.847932057888</f>
        <v>-1167.7868841233249</v>
      </c>
      <c r="Q2192">
        <f>-346.35204907689 -45.9345000854524 -473.564301175405</f>
        <v>-865.85085033774737</v>
      </c>
      <c r="R2192" t="s">
        <v>42481</v>
      </c>
      <c r="S2192" t="s">
        <v>42482</v>
      </c>
      <c r="T2192" t="s">
        <v>42483</v>
      </c>
      <c r="U2192" t="s">
        <v>42484</v>
      </c>
      <c r="V2192">
        <f>-530.009018205455 -42.3779502281311 -244.15362419614</f>
        <v>-816.54059262972612</v>
      </c>
      <c r="W2192" t="s">
        <v>42485</v>
      </c>
      <c r="X2192" t="s">
        <v>42486</v>
      </c>
      <c r="Y2192" t="s">
        <v>42487</v>
      </c>
    </row>
    <row r="2193" spans="1:25" x14ac:dyDescent="0.3">
      <c r="A2193">
        <v>109600</v>
      </c>
      <c r="B2193" t="s">
        <v>42488</v>
      </c>
      <c r="C2193" t="s">
        <v>42489</v>
      </c>
      <c r="D2193" t="s">
        <v>42490</v>
      </c>
      <c r="E2193" t="s">
        <v>42491</v>
      </c>
      <c r="F2193" t="s">
        <v>42492</v>
      </c>
      <c r="G2193" t="s">
        <v>42493</v>
      </c>
      <c r="H2193" t="s">
        <v>42494</v>
      </c>
      <c r="I2193">
        <f>-520.461783269777 -2.68834288573586 -942.520910383318</f>
        <v>-1465.6710365388308</v>
      </c>
      <c r="J2193" t="s">
        <v>42495</v>
      </c>
      <c r="K2193" t="s">
        <v>42496</v>
      </c>
      <c r="L2193" t="s">
        <v>42497</v>
      </c>
      <c r="M2193" t="s">
        <v>42498</v>
      </c>
      <c r="N2193">
        <f>-570.624742324151 -17.0191878617208 -778.847957228062</f>
        <v>-1366.4918874139339</v>
      </c>
      <c r="O2193">
        <f>-575.854247211306 -160.137919391423 -745.415870677602</f>
        <v>-1481.408037280331</v>
      </c>
      <c r="P2193">
        <f>-572.96522366156 -166.752647250576 -428.97614837557</f>
        <v>-1168.6940192877059</v>
      </c>
      <c r="Q2193">
        <f>-347.132511636121 -45.7215257220257 -473.620180632714</f>
        <v>-866.47421799086078</v>
      </c>
      <c r="R2193" t="s">
        <v>42499</v>
      </c>
      <c r="S2193" t="s">
        <v>42500</v>
      </c>
      <c r="T2193" t="s">
        <v>42501</v>
      </c>
      <c r="U2193" t="s">
        <v>42502</v>
      </c>
      <c r="V2193">
        <f>-530.370922381528 -42.2224223337929 -244.131213037638</f>
        <v>-816.72455775295884</v>
      </c>
      <c r="W2193" t="s">
        <v>42503</v>
      </c>
      <c r="X2193" t="s">
        <v>42504</v>
      </c>
      <c r="Y2193" t="s">
        <v>42505</v>
      </c>
    </row>
    <row r="2194" spans="1:25" x14ac:dyDescent="0.3">
      <c r="A2194">
        <v>109650</v>
      </c>
      <c r="B2194" t="s">
        <v>42506</v>
      </c>
      <c r="C2194" t="s">
        <v>42507</v>
      </c>
      <c r="D2194" t="s">
        <v>42508</v>
      </c>
      <c r="E2194" t="s">
        <v>42509</v>
      </c>
      <c r="F2194" t="s">
        <v>42510</v>
      </c>
      <c r="G2194" t="s">
        <v>42511</v>
      </c>
      <c r="H2194" t="s">
        <v>42512</v>
      </c>
      <c r="I2194">
        <f>-523.438360083464 -1.4233592344377 -942.426889475601</f>
        <v>-1467.2886087935026</v>
      </c>
      <c r="J2194" t="s">
        <v>42513</v>
      </c>
      <c r="K2194" t="s">
        <v>42514</v>
      </c>
      <c r="L2194" t="s">
        <v>42515</v>
      </c>
      <c r="M2194" t="s">
        <v>42516</v>
      </c>
      <c r="N2194">
        <f>-573.010577768112 -16.193148859872 -778.630685217437</f>
        <v>-1367.8344118454211</v>
      </c>
      <c r="O2194">
        <f>-577.718390817013 -159.398644148226 -745.559382827391</f>
        <v>-1482.67641779263</v>
      </c>
      <c r="P2194">
        <f>-574.695150579655 -166.43452569457 -429.130074830295</f>
        <v>-1170.2597511045199</v>
      </c>
      <c r="Q2194">
        <f>-349.042343890464 -44.8265175590621 -473.11137362358</f>
        <v>-866.98023507310609</v>
      </c>
      <c r="R2194" t="s">
        <v>42517</v>
      </c>
      <c r="S2194" t="s">
        <v>42518</v>
      </c>
      <c r="T2194" t="s">
        <v>42519</v>
      </c>
      <c r="U2194" t="s">
        <v>42520</v>
      </c>
      <c r="V2194">
        <f>-531.227943481613 -42.168876494106 -243.8434275303</f>
        <v>-817.24024750601905</v>
      </c>
      <c r="W2194" t="s">
        <v>42521</v>
      </c>
      <c r="X2194" t="s">
        <v>42522</v>
      </c>
      <c r="Y2194" t="s">
        <v>42523</v>
      </c>
    </row>
    <row r="2195" spans="1:25" x14ac:dyDescent="0.3">
      <c r="A2195">
        <v>109700</v>
      </c>
      <c r="B2195" t="s">
        <v>42524</v>
      </c>
      <c r="C2195" t="s">
        <v>42525</v>
      </c>
      <c r="D2195" t="s">
        <v>42526</v>
      </c>
      <c r="E2195" t="s">
        <v>42527</v>
      </c>
      <c r="F2195" t="s">
        <v>42528</v>
      </c>
      <c r="G2195" t="s">
        <v>42529</v>
      </c>
      <c r="H2195" t="s">
        <v>42530</v>
      </c>
      <c r="I2195">
        <f>-525.092557621383 -1.17082503443592 -942.308541717965</f>
        <v>-1468.571924373784</v>
      </c>
      <c r="J2195" t="s">
        <v>42531</v>
      </c>
      <c r="K2195" t="s">
        <v>42532</v>
      </c>
      <c r="L2195" t="s">
        <v>42533</v>
      </c>
      <c r="M2195" t="s">
        <v>42534</v>
      </c>
      <c r="N2195">
        <f>-574.371827995696 -16.1064541897182 -778.446438372324</f>
        <v>-1368.9247205577381</v>
      </c>
      <c r="O2195">
        <f>-578.897355518164 -159.340855993894 -745.542812035284</f>
        <v>-1483.7810235473421</v>
      </c>
      <c r="P2195">
        <f>-575.931113575477 -167.001326417498 -429.127420979659</f>
        <v>-1172.0598609726339</v>
      </c>
      <c r="Q2195">
        <f>-350.58536670928 -44.8136756747407 -473.076463798064</f>
        <v>-868.4755061820847</v>
      </c>
      <c r="R2195" t="s">
        <v>42535</v>
      </c>
      <c r="S2195" t="s">
        <v>42536</v>
      </c>
      <c r="T2195" t="s">
        <v>42537</v>
      </c>
      <c r="U2195" t="s">
        <v>42538</v>
      </c>
      <c r="V2195">
        <f>-531.715668646433 -42.122840405639 -243.609660040342</f>
        <v>-817.44816909241388</v>
      </c>
      <c r="W2195" t="s">
        <v>42539</v>
      </c>
      <c r="X2195" t="s">
        <v>42540</v>
      </c>
      <c r="Y2195" t="s">
        <v>42541</v>
      </c>
    </row>
    <row r="2196" spans="1:25" x14ac:dyDescent="0.3">
      <c r="A2196">
        <v>109750</v>
      </c>
      <c r="B2196" t="s">
        <v>42542</v>
      </c>
      <c r="C2196" t="s">
        <v>42543</v>
      </c>
      <c r="D2196" t="s">
        <v>42544</v>
      </c>
      <c r="E2196" t="s">
        <v>42545</v>
      </c>
      <c r="F2196" t="s">
        <v>42546</v>
      </c>
      <c r="G2196" t="s">
        <v>42547</v>
      </c>
      <c r="H2196" t="s">
        <v>42548</v>
      </c>
      <c r="I2196">
        <f>-527.702111094532 -0.888678684399679 -942.047937854513</f>
        <v>-1470.6387276334447</v>
      </c>
      <c r="J2196" t="s">
        <v>42549</v>
      </c>
      <c r="K2196" t="s">
        <v>42550</v>
      </c>
      <c r="L2196" t="s">
        <v>42551</v>
      </c>
      <c r="M2196" t="s">
        <v>42552</v>
      </c>
      <c r="N2196">
        <f>-576.439082849164 -16.0307723136602 -778.060701354536</f>
        <v>-1370.5305565173603</v>
      </c>
      <c r="O2196">
        <f>-580.805356061203 -159.314404730661 -745.330414472749</f>
        <v>-1485.4501752646131</v>
      </c>
      <c r="P2196">
        <f>-577.349504644966 -168.051508296443 -428.947756732986</f>
        <v>-1174.348769674395</v>
      </c>
      <c r="Q2196">
        <f>-352.640084053126 -44.6977922497291 -472.897654989767</f>
        <v>-870.235531292622</v>
      </c>
      <c r="R2196" t="s">
        <v>42553</v>
      </c>
      <c r="S2196" t="s">
        <v>42554</v>
      </c>
      <c r="T2196" t="s">
        <v>42555</v>
      </c>
      <c r="U2196" t="s">
        <v>42556</v>
      </c>
      <c r="V2196">
        <f>-532.285590248727 -41.9199523388959 -243.113671289602</f>
        <v>-817.31921387722491</v>
      </c>
      <c r="W2196" t="s">
        <v>42557</v>
      </c>
      <c r="X2196" t="s">
        <v>42558</v>
      </c>
      <c r="Y2196" t="s">
        <v>42559</v>
      </c>
    </row>
    <row r="2197" spans="1:25" x14ac:dyDescent="0.3">
      <c r="A2197">
        <v>109800</v>
      </c>
      <c r="B2197" t="s">
        <v>42560</v>
      </c>
      <c r="C2197" t="s">
        <v>42561</v>
      </c>
      <c r="D2197" t="s">
        <v>42562</v>
      </c>
      <c r="E2197" t="s">
        <v>42563</v>
      </c>
      <c r="F2197" t="s">
        <v>42564</v>
      </c>
      <c r="G2197" t="s">
        <v>42565</v>
      </c>
      <c r="H2197" t="s">
        <v>42566</v>
      </c>
      <c r="I2197">
        <f>-529.003265177439 -0.877038280852929 -941.864080858575</f>
        <v>-1471.7443843168669</v>
      </c>
      <c r="J2197" t="s">
        <v>42567</v>
      </c>
      <c r="K2197" t="s">
        <v>42568</v>
      </c>
      <c r="L2197" t="s">
        <v>42569</v>
      </c>
      <c r="M2197" t="s">
        <v>42570</v>
      </c>
      <c r="N2197">
        <f>-577.524536061205 -16.0265425877331 -777.819811099876</f>
        <v>-1371.3708897488141</v>
      </c>
      <c r="O2197">
        <f>-581.973599808329 -159.309691364195 -745.103137574792</f>
        <v>-1486.3864287473161</v>
      </c>
      <c r="P2197">
        <f>-578.044543405358 -168.322834191823 -428.733819316337</f>
        <v>-1175.1011969135182</v>
      </c>
      <c r="Q2197">
        <f>-353.476331998611 -44.6454013037175 -472.495350321555</f>
        <v>-870.61708362388345</v>
      </c>
      <c r="R2197" t="s">
        <v>42571</v>
      </c>
      <c r="S2197" t="s">
        <v>42572</v>
      </c>
      <c r="T2197" t="s">
        <v>42573</v>
      </c>
      <c r="U2197" t="s">
        <v>42574</v>
      </c>
      <c r="V2197">
        <f>-532.52421454897 -41.9722335215722 -242.816198055675</f>
        <v>-817.31264612621726</v>
      </c>
      <c r="W2197" t="s">
        <v>42575</v>
      </c>
      <c r="X2197" t="s">
        <v>42576</v>
      </c>
      <c r="Y2197" t="s">
        <v>42577</v>
      </c>
    </row>
    <row r="2198" spans="1:25" x14ac:dyDescent="0.3">
      <c r="A2198">
        <v>109850</v>
      </c>
      <c r="B2198" t="s">
        <v>42578</v>
      </c>
      <c r="C2198" t="s">
        <v>42579</v>
      </c>
      <c r="D2198" t="s">
        <v>42580</v>
      </c>
      <c r="E2198" t="s">
        <v>42581</v>
      </c>
      <c r="F2198" t="s">
        <v>42582</v>
      </c>
      <c r="G2198" t="s">
        <v>42583</v>
      </c>
      <c r="H2198" t="s">
        <v>42584</v>
      </c>
      <c r="I2198">
        <f>-530.815212744963 -1.28833115438063 -941.601956462844</f>
        <v>-1473.7055003621876</v>
      </c>
      <c r="J2198" t="s">
        <v>42585</v>
      </c>
      <c r="K2198" t="s">
        <v>42586</v>
      </c>
      <c r="L2198" t="s">
        <v>42587</v>
      </c>
      <c r="M2198" t="s">
        <v>42588</v>
      </c>
      <c r="N2198">
        <f>-578.901413090938 -16.2038015241041 -777.422577091762</f>
        <v>-1372.5277917068042</v>
      </c>
      <c r="O2198">
        <f>-583.709925230906 -159.441737143355 -744.514840998237</f>
        <v>-1487.666503372498</v>
      </c>
      <c r="P2198">
        <f>-578.77078566148 -168.060373454535 -428.148662367052</f>
        <v>-1174.9798214830671</v>
      </c>
      <c r="Q2198">
        <f>-353.962678395402 -44.5992696459715 -471.284672795356</f>
        <v>-869.84662083672947</v>
      </c>
      <c r="R2198" t="s">
        <v>42589</v>
      </c>
      <c r="S2198" t="s">
        <v>42590</v>
      </c>
      <c r="T2198" t="s">
        <v>42591</v>
      </c>
      <c r="U2198" t="s">
        <v>42592</v>
      </c>
      <c r="V2198">
        <f>-532.551601686879 -41.9764788273522 -242.358912996445</f>
        <v>-816.88699351067635</v>
      </c>
      <c r="W2198" t="s">
        <v>42593</v>
      </c>
      <c r="X2198" t="s">
        <v>42594</v>
      </c>
      <c r="Y2198" t="s">
        <v>42595</v>
      </c>
    </row>
    <row r="2199" spans="1:25" x14ac:dyDescent="0.3">
      <c r="A2199">
        <v>109900</v>
      </c>
      <c r="B2199" t="s">
        <v>42596</v>
      </c>
      <c r="C2199" t="s">
        <v>42597</v>
      </c>
      <c r="D2199" t="s">
        <v>42598</v>
      </c>
      <c r="E2199" t="s">
        <v>42599</v>
      </c>
      <c r="F2199" t="s">
        <v>42600</v>
      </c>
      <c r="G2199" t="s">
        <v>42601</v>
      </c>
      <c r="H2199" t="s">
        <v>42602</v>
      </c>
      <c r="I2199">
        <f>-531.11747843823 -1.53190636627746 -941.549893624862</f>
        <v>-1474.1992784293693</v>
      </c>
      <c r="J2199" t="s">
        <v>42603</v>
      </c>
      <c r="K2199" t="s">
        <v>42604</v>
      </c>
      <c r="L2199" t="s">
        <v>42605</v>
      </c>
      <c r="M2199" t="s">
        <v>42606</v>
      </c>
      <c r="N2199">
        <f>-579.133636383869 -16.3331174835603 -777.339341043894</f>
        <v>-1372.8060949113233</v>
      </c>
      <c r="O2199">
        <f>-584.289723124978 -159.549980097036 -744.367558553742</f>
        <v>-1488.207261775756</v>
      </c>
      <c r="P2199">
        <f>-578.982110340531 -168.666469193694 -428.021284047089</f>
        <v>-1175.6698635813141</v>
      </c>
      <c r="Q2199">
        <f>-354.115129273106 -45.3598894916297 -471.29217793329</f>
        <v>-870.76719669802571</v>
      </c>
      <c r="R2199" t="s">
        <v>42607</v>
      </c>
      <c r="S2199" t="s">
        <v>42608</v>
      </c>
      <c r="T2199" t="s">
        <v>42609</v>
      </c>
      <c r="U2199" t="s">
        <v>42610</v>
      </c>
      <c r="V2199">
        <f>-532.387866891248 -42.0547589301568 -242.191547502337</f>
        <v>-816.63417332374183</v>
      </c>
      <c r="W2199" t="s">
        <v>42611</v>
      </c>
      <c r="X2199" t="s">
        <v>42612</v>
      </c>
      <c r="Y2199" t="s">
        <v>42613</v>
      </c>
    </row>
    <row r="2200" spans="1:25" x14ac:dyDescent="0.3">
      <c r="A2200">
        <v>109950</v>
      </c>
      <c r="B2200" t="s">
        <v>42614</v>
      </c>
      <c r="C2200" t="s">
        <v>42615</v>
      </c>
      <c r="D2200" t="s">
        <v>42616</v>
      </c>
      <c r="E2200" t="s">
        <v>42617</v>
      </c>
      <c r="F2200" t="s">
        <v>42618</v>
      </c>
      <c r="G2200" t="s">
        <v>42619</v>
      </c>
      <c r="H2200" t="s">
        <v>42620</v>
      </c>
      <c r="I2200">
        <f>-531.788139450492 -1.44717162860305 -941.633725606631</f>
        <v>-1474.8690366857261</v>
      </c>
      <c r="J2200" t="s">
        <v>42621</v>
      </c>
      <c r="K2200" t="s">
        <v>42622</v>
      </c>
      <c r="L2200" t="s">
        <v>42623</v>
      </c>
      <c r="M2200" t="s">
        <v>42624</v>
      </c>
      <c r="N2200">
        <f>-579.559942408035 -16.0784582439365 -777.361451300727</f>
        <v>-1372.9998519526985</v>
      </c>
      <c r="O2200">
        <f>-585.439421778492 -159.237739423741 -744.246426376771</f>
        <v>-1488.9235875790041</v>
      </c>
      <c r="P2200">
        <f>-578.890470676858 -168.788908466018 -427.936336883534</f>
        <v>-1175.6157160264099</v>
      </c>
      <c r="Q2200">
        <f>-353.561715717179 -46.2518607959834 -470.991007653642</f>
        <v>-870.80458416680449</v>
      </c>
      <c r="R2200" t="s">
        <v>42625</v>
      </c>
      <c r="S2200" t="s">
        <v>42626</v>
      </c>
      <c r="T2200" t="s">
        <v>42627</v>
      </c>
      <c r="U2200" t="s">
        <v>42628</v>
      </c>
      <c r="V2200">
        <f>-532.037560214941 -42.1011995359512 -242.025002963083</f>
        <v>-816.16376271397519</v>
      </c>
      <c r="W2200" t="s">
        <v>42629</v>
      </c>
      <c r="X2200" t="s">
        <v>42630</v>
      </c>
      <c r="Y2200" t="s">
        <v>42631</v>
      </c>
    </row>
    <row r="2201" spans="1:25" x14ac:dyDescent="0.3">
      <c r="A2201">
        <v>110000</v>
      </c>
      <c r="B2201" t="s">
        <v>42632</v>
      </c>
      <c r="C2201" t="s">
        <v>42633</v>
      </c>
      <c r="D2201" t="s">
        <v>42634</v>
      </c>
      <c r="E2201" t="s">
        <v>42635</v>
      </c>
      <c r="F2201" t="s">
        <v>42636</v>
      </c>
      <c r="G2201" t="s">
        <v>42637</v>
      </c>
      <c r="H2201" t="s">
        <v>42638</v>
      </c>
      <c r="I2201">
        <f>-531.926180384488 -1.59496607289223 -941.70043553859</f>
        <v>-1475.2215819959702</v>
      </c>
      <c r="J2201" t="s">
        <v>42639</v>
      </c>
      <c r="K2201" t="s">
        <v>42640</v>
      </c>
      <c r="L2201" t="s">
        <v>42641</v>
      </c>
      <c r="M2201" t="s">
        <v>42642</v>
      </c>
      <c r="N2201">
        <f>-579.618125225661 -16.1218164139972 -777.398557381586</f>
        <v>-1373.1384990212441</v>
      </c>
      <c r="O2201">
        <f>-585.88211020607 -159.239488683 -744.179110231272</f>
        <v>-1489.3007091203422</v>
      </c>
      <c r="P2201">
        <f>-578.961825706 -168.912474295797 -427.880610591145</f>
        <v>-1175.754910592942</v>
      </c>
      <c r="Q2201">
        <f>-353.490214349022 -46.6858575184111 -471.069415531765</f>
        <v>-871.24548739919805</v>
      </c>
      <c r="R2201" t="s">
        <v>42643</v>
      </c>
      <c r="S2201" t="s">
        <v>42644</v>
      </c>
      <c r="T2201" t="s">
        <v>42645</v>
      </c>
      <c r="U2201" t="s">
        <v>42646</v>
      </c>
      <c r="V2201">
        <f>-531.739805195918 -42.1512253218317 -242.027466057877</f>
        <v>-815.9184965756267</v>
      </c>
      <c r="W2201" t="s">
        <v>42647</v>
      </c>
      <c r="X2201" t="s">
        <v>42648</v>
      </c>
      <c r="Y2201" t="s">
        <v>42649</v>
      </c>
    </row>
    <row r="2202" spans="1:25" x14ac:dyDescent="0.3">
      <c r="A2202">
        <v>110050</v>
      </c>
      <c r="B2202" t="s">
        <v>42650</v>
      </c>
      <c r="C2202" t="s">
        <v>42651</v>
      </c>
      <c r="D2202" t="s">
        <v>42652</v>
      </c>
      <c r="E2202" t="s">
        <v>42653</v>
      </c>
      <c r="F2202" t="s">
        <v>42654</v>
      </c>
      <c r="G2202" t="s">
        <v>42655</v>
      </c>
      <c r="H2202" t="s">
        <v>42656</v>
      </c>
      <c r="I2202">
        <f>-530.765709623104 -1.47132755430218 -941.717978965276</f>
        <v>-1473.9550161426823</v>
      </c>
      <c r="J2202" t="s">
        <v>42657</v>
      </c>
      <c r="K2202" t="s">
        <v>42658</v>
      </c>
      <c r="L2202" t="s">
        <v>42659</v>
      </c>
      <c r="M2202" t="s">
        <v>42660</v>
      </c>
      <c r="N2202">
        <f>-578.611575948131 -15.8987753351082 -777.426833335728</f>
        <v>-1371.9371846189672</v>
      </c>
      <c r="O2202">
        <f>-585.602374862454 -158.958689700666 -744.089197829507</f>
        <v>-1488.6502623926272</v>
      </c>
      <c r="P2202">
        <f>-578.336369474615 -168.929014250704 -427.807615769371</f>
        <v>-1175.0729994946901</v>
      </c>
      <c r="Q2202">
        <f>-352.378509071205 -47.462067436778 -470.596433477822</f>
        <v>-870.43700998580493</v>
      </c>
      <c r="R2202" t="s">
        <v>42661</v>
      </c>
      <c r="S2202" t="s">
        <v>42662</v>
      </c>
      <c r="T2202" t="s">
        <v>42663</v>
      </c>
      <c r="U2202" t="s">
        <v>42664</v>
      </c>
      <c r="V2202">
        <f>-531.157522511254 -42.3239188550539 -241.940597910921</f>
        <v>-815.42203927722892</v>
      </c>
      <c r="W2202" t="s">
        <v>42665</v>
      </c>
      <c r="X2202" t="s">
        <v>42666</v>
      </c>
      <c r="Y2202" t="s">
        <v>42667</v>
      </c>
    </row>
    <row r="2203" spans="1:25" x14ac:dyDescent="0.3">
      <c r="A2203">
        <v>110100</v>
      </c>
      <c r="B2203" t="s">
        <v>42668</v>
      </c>
      <c r="C2203" t="s">
        <v>42669</v>
      </c>
      <c r="D2203" t="s">
        <v>42670</v>
      </c>
      <c r="E2203" t="s">
        <v>42671</v>
      </c>
      <c r="F2203" t="s">
        <v>42672</v>
      </c>
      <c r="G2203" t="s">
        <v>42673</v>
      </c>
      <c r="H2203" t="s">
        <v>42674</v>
      </c>
      <c r="I2203">
        <f>-530.025683068566 -1.69528449918879 -941.758041210695</f>
        <v>-1473.4790087784497</v>
      </c>
      <c r="J2203" t="s">
        <v>42675</v>
      </c>
      <c r="K2203" t="s">
        <v>42676</v>
      </c>
      <c r="L2203" t="s">
        <v>42677</v>
      </c>
      <c r="M2203" t="s">
        <v>42678</v>
      </c>
      <c r="N2203">
        <f>-577.961562120438 -16.1192373014525 -777.482895894312</f>
        <v>-1371.5636953162025</v>
      </c>
      <c r="O2203">
        <f>-585.422479315472 -159.146802888822 -744.150271611108</f>
        <v>-1488.7195538154019</v>
      </c>
      <c r="P2203">
        <f>-578.168273551103 -169.200659973322 -427.871125275797</f>
        <v>-1175.240058800222</v>
      </c>
      <c r="Q2203">
        <f>-352.107977136633 -47.9920390094633 -470.850873185388</f>
        <v>-870.9508893314844</v>
      </c>
      <c r="R2203" t="s">
        <v>42679</v>
      </c>
      <c r="S2203" t="s">
        <v>42680</v>
      </c>
      <c r="T2203" t="s">
        <v>42681</v>
      </c>
      <c r="U2203" t="s">
        <v>42682</v>
      </c>
      <c r="V2203">
        <f>-530.987162736113 -42.403039380448 -241.865445806127</f>
        <v>-815.25564792268801</v>
      </c>
      <c r="W2203" t="s">
        <v>42683</v>
      </c>
      <c r="X2203" t="s">
        <v>42684</v>
      </c>
      <c r="Y2203" t="s">
        <v>42685</v>
      </c>
    </row>
    <row r="2204" spans="1:25" x14ac:dyDescent="0.3">
      <c r="A2204">
        <v>110150</v>
      </c>
      <c r="B2204" t="s">
        <v>42686</v>
      </c>
      <c r="C2204" t="s">
        <v>42687</v>
      </c>
      <c r="D2204" t="s">
        <v>42688</v>
      </c>
      <c r="E2204" t="s">
        <v>42689</v>
      </c>
      <c r="F2204" t="s">
        <v>42690</v>
      </c>
      <c r="G2204" t="s">
        <v>42691</v>
      </c>
      <c r="H2204" t="s">
        <v>42692</v>
      </c>
      <c r="I2204">
        <f>-528.586090863549 -2.38611496089128 -941.794045239015</f>
        <v>-1472.7662510634552</v>
      </c>
      <c r="J2204" t="s">
        <v>42693</v>
      </c>
      <c r="K2204" t="s">
        <v>42694</v>
      </c>
      <c r="L2204" t="s">
        <v>42695</v>
      </c>
      <c r="M2204" t="s">
        <v>42696</v>
      </c>
      <c r="N2204">
        <f>-576.740191436866 -16.8992312192102 -777.570066443475</f>
        <v>-1371.2094890995511</v>
      </c>
      <c r="O2204">
        <f>-584.783954915754 -159.912173528414 -744.309068922254</f>
        <v>-1489.005197366422</v>
      </c>
      <c r="P2204">
        <f>-577.406653241999 -170.559838662698 -428.052350068064</f>
        <v>-1176.018841972761</v>
      </c>
      <c r="Q2204">
        <f>-351.310372938257 -49.565910007047 -471.445485069994</f>
        <v>-872.32176801529795</v>
      </c>
      <c r="R2204" t="s">
        <v>42697</v>
      </c>
      <c r="S2204" t="s">
        <v>42698</v>
      </c>
      <c r="T2204" t="s">
        <v>42699</v>
      </c>
      <c r="U2204" t="s">
        <v>42700</v>
      </c>
      <c r="V2204">
        <f>-530.702129166333 -42.6758889204371 -241.578442292659</f>
        <v>-814.95646037942902</v>
      </c>
      <c r="W2204" t="s">
        <v>42701</v>
      </c>
      <c r="X2204" t="s">
        <v>42702</v>
      </c>
      <c r="Y2204" t="s">
        <v>42703</v>
      </c>
    </row>
    <row r="2205" spans="1:25" x14ac:dyDescent="0.3">
      <c r="A2205">
        <v>110200</v>
      </c>
      <c r="B2205" t="s">
        <v>42704</v>
      </c>
      <c r="C2205" t="s">
        <v>42705</v>
      </c>
      <c r="D2205" t="s">
        <v>42706</v>
      </c>
      <c r="E2205" t="s">
        <v>42707</v>
      </c>
      <c r="F2205" t="s">
        <v>42708</v>
      </c>
      <c r="G2205" t="s">
        <v>42709</v>
      </c>
      <c r="H2205" t="s">
        <v>42710</v>
      </c>
      <c r="I2205">
        <f>-528.149741603612 -3.18284463433761 -941.74414668121</f>
        <v>-1473.0767329191597</v>
      </c>
      <c r="J2205" t="s">
        <v>42711</v>
      </c>
      <c r="K2205" t="s">
        <v>42712</v>
      </c>
      <c r="L2205" t="s">
        <v>42713</v>
      </c>
      <c r="M2205" t="s">
        <v>42714</v>
      </c>
      <c r="N2205">
        <f>-576.322635423277 -17.7495802515072 -777.530175989803</f>
        <v>-1371.6023916645872</v>
      </c>
      <c r="O2205">
        <f>-584.525593499559 -160.755979622508 -744.270617687253</f>
        <v>-1489.5521908093201</v>
      </c>
      <c r="P2205">
        <f>-576.9980768979 -171.507629032844 -428.02088556993</f>
        <v>-1176.5265915006739</v>
      </c>
      <c r="Q2205">
        <f>-350.768086223449 -50.699983823468 -471.236249386313</f>
        <v>-872.70431943323001</v>
      </c>
      <c r="R2205" t="s">
        <v>42715</v>
      </c>
      <c r="S2205" t="s">
        <v>42716</v>
      </c>
      <c r="T2205" t="s">
        <v>42717</v>
      </c>
      <c r="U2205" t="s">
        <v>42718</v>
      </c>
      <c r="V2205">
        <f>-530.75731230447 -43.1384263828908 -241.297157034489</f>
        <v>-815.19289572184982</v>
      </c>
      <c r="W2205" t="s">
        <v>42719</v>
      </c>
      <c r="X2205" t="s">
        <v>42720</v>
      </c>
      <c r="Y2205" t="s">
        <v>42721</v>
      </c>
    </row>
    <row r="2206" spans="1:25" x14ac:dyDescent="0.3">
      <c r="A2206">
        <v>110250</v>
      </c>
      <c r="B2206" t="s">
        <v>42722</v>
      </c>
      <c r="C2206" t="s">
        <v>42723</v>
      </c>
      <c r="D2206" t="s">
        <v>42724</v>
      </c>
      <c r="E2206" t="s">
        <v>42725</v>
      </c>
      <c r="F2206" t="s">
        <v>42726</v>
      </c>
      <c r="G2206" t="s">
        <v>42727</v>
      </c>
      <c r="H2206" t="s">
        <v>42728</v>
      </c>
      <c r="I2206">
        <f>-527.355293735819 -5.4350488930283 -941.666098022114</f>
        <v>-1474.4564406509614</v>
      </c>
      <c r="J2206" t="s">
        <v>42729</v>
      </c>
      <c r="K2206" t="s">
        <v>42730</v>
      </c>
      <c r="L2206" t="s">
        <v>42731</v>
      </c>
      <c r="M2206" t="s">
        <v>42732</v>
      </c>
      <c r="N2206">
        <f>-575.52840886275 -20.1951917630378 -777.461204570932</f>
        <v>-1373.1848051967197</v>
      </c>
      <c r="O2206">
        <f>-583.73888255793 -163.197778535008 -744.24460667709</f>
        <v>-1491.1812677700282</v>
      </c>
      <c r="P2206">
        <f>-576.254718451149 -174.123846204895 -427.999731542484</f>
        <v>-1178.378296198528</v>
      </c>
      <c r="Q2206">
        <f>-349.85964722892 -53.5374771092706 -470.967678453934</f>
        <v>-874.36480279212458</v>
      </c>
      <c r="R2206" t="s">
        <v>42733</v>
      </c>
      <c r="S2206" t="s">
        <v>42734</v>
      </c>
      <c r="T2206" t="s">
        <v>42735</v>
      </c>
      <c r="U2206" t="s">
        <v>42736</v>
      </c>
      <c r="V2206">
        <f>-530.992060930068 -44.3066392770335 -240.536512315098</f>
        <v>-815.83521252219941</v>
      </c>
      <c r="W2206" t="s">
        <v>42737</v>
      </c>
      <c r="X2206" t="s">
        <v>42738</v>
      </c>
      <c r="Y2206" t="s">
        <v>42739</v>
      </c>
    </row>
    <row r="2207" spans="1:25" x14ac:dyDescent="0.3">
      <c r="A2207">
        <v>110300</v>
      </c>
      <c r="B2207" t="s">
        <v>42740</v>
      </c>
      <c r="C2207" t="s">
        <v>42741</v>
      </c>
      <c r="D2207" t="s">
        <v>42742</v>
      </c>
      <c r="E2207" t="s">
        <v>42743</v>
      </c>
      <c r="F2207" t="s">
        <v>42744</v>
      </c>
      <c r="G2207" t="s">
        <v>42745</v>
      </c>
      <c r="H2207" t="s">
        <v>42746</v>
      </c>
      <c r="I2207">
        <f>-526.987521310876 -6.66059224729185 -941.672122924275</f>
        <v>-1475.3202364824429</v>
      </c>
      <c r="J2207" t="s">
        <v>42747</v>
      </c>
      <c r="K2207" t="s">
        <v>42748</v>
      </c>
      <c r="L2207" t="s">
        <v>42749</v>
      </c>
      <c r="M2207" t="s">
        <v>42750</v>
      </c>
      <c r="N2207">
        <f>-575.128647859778 -21.5314084807525 -777.463201829158</f>
        <v>-1374.1232581696886</v>
      </c>
      <c r="O2207">
        <f>-583.35663031292 -164.56112343408 -744.327679978289</f>
        <v>-1492.2454337252889</v>
      </c>
      <c r="P2207">
        <f>-575.858233816404 -175.405071866838 -428.080297442876</f>
        <v>-1179.3436031261178</v>
      </c>
      <c r="Q2207">
        <f>-349.43315189434 -54.8208733757355 -470.896269202323</f>
        <v>-875.15029447239863</v>
      </c>
      <c r="R2207" t="s">
        <v>42751</v>
      </c>
      <c r="S2207" t="s">
        <v>42752</v>
      </c>
      <c r="T2207" t="s">
        <v>42753</v>
      </c>
      <c r="U2207" t="s">
        <v>42754</v>
      </c>
      <c r="V2207">
        <f>-531.181468604017 -44.7164835242551 -240.032996820952</f>
        <v>-815.9309489492241</v>
      </c>
      <c r="W2207" t="s">
        <v>42755</v>
      </c>
      <c r="X2207" t="s">
        <v>42756</v>
      </c>
      <c r="Y2207" t="s">
        <v>42757</v>
      </c>
    </row>
    <row r="2208" spans="1:25" x14ac:dyDescent="0.3">
      <c r="A2208">
        <v>110350</v>
      </c>
      <c r="B2208" t="s">
        <v>42758</v>
      </c>
      <c r="C2208" t="s">
        <v>42759</v>
      </c>
      <c r="D2208" t="s">
        <v>42760</v>
      </c>
      <c r="E2208" t="s">
        <v>42761</v>
      </c>
      <c r="F2208" t="s">
        <v>42762</v>
      </c>
      <c r="G2208" t="s">
        <v>42763</v>
      </c>
      <c r="H2208">
        <f>-564.604347827642 -0.764549509532486 -847.484261617792</f>
        <v>-1412.8531589549664</v>
      </c>
      <c r="I2208">
        <f>-526.139222755539 -8.84148401916084 -941.495919931395</f>
        <v>-1476.4766267060947</v>
      </c>
      <c r="J2208" t="s">
        <v>42764</v>
      </c>
      <c r="K2208" t="s">
        <v>42765</v>
      </c>
      <c r="L2208" t="s">
        <v>42766</v>
      </c>
      <c r="M2208" t="s">
        <v>42767</v>
      </c>
      <c r="N2208">
        <f>-574.430373230368 -23.8110889964744 -777.304392114893</f>
        <v>-1375.5458543417353</v>
      </c>
      <c r="O2208">
        <f>-583.106971840304 -166.841394676842 -744.269985270637</f>
        <v>-1494.2183517877829</v>
      </c>
      <c r="P2208">
        <f>-575.642298554794 -178.407241368836 -428.047419907331</f>
        <v>-1182.0969598309612</v>
      </c>
      <c r="Q2208">
        <f>-349.429294819928 -57.5354016285073 -471.1719992377</f>
        <v>-878.13669568613523</v>
      </c>
      <c r="R2208" t="s">
        <v>42768</v>
      </c>
      <c r="S2208" t="s">
        <v>42769</v>
      </c>
      <c r="T2208" t="s">
        <v>42770</v>
      </c>
      <c r="U2208" t="s">
        <v>42771</v>
      </c>
      <c r="V2208">
        <f>-531.092512659695 -45.2974383952517 -239.271486093895</f>
        <v>-815.66143714884163</v>
      </c>
      <c r="W2208" t="s">
        <v>42772</v>
      </c>
      <c r="X2208" t="s">
        <v>42773</v>
      </c>
      <c r="Y2208" t="s">
        <v>42774</v>
      </c>
    </row>
    <row r="2209" spans="1:25" x14ac:dyDescent="0.3">
      <c r="A2209">
        <v>110400</v>
      </c>
      <c r="B2209" t="s">
        <v>42775</v>
      </c>
      <c r="C2209" t="s">
        <v>42776</v>
      </c>
      <c r="D2209" t="s">
        <v>42777</v>
      </c>
      <c r="E2209" t="s">
        <v>42778</v>
      </c>
      <c r="F2209" t="s">
        <v>42779</v>
      </c>
      <c r="G2209" t="s">
        <v>42780</v>
      </c>
      <c r="H2209">
        <f>-564.523980025342 -1.67106058057976 -847.317467274087</f>
        <v>-1413.5125078800088</v>
      </c>
      <c r="I2209">
        <f>-526.111230570871 -9.74430402600733 -941.350722162178</f>
        <v>-1477.2062567590565</v>
      </c>
      <c r="J2209" t="s">
        <v>42781</v>
      </c>
      <c r="K2209" t="s">
        <v>42782</v>
      </c>
      <c r="L2209" t="s">
        <v>42783</v>
      </c>
      <c r="M2209" t="s">
        <v>42784</v>
      </c>
      <c r="N2209">
        <f>-574.375777233461 -24.7163476972049 -777.140759791801</f>
        <v>-1376.2328847224669</v>
      </c>
      <c r="O2209">
        <f>-583.225412968772 -167.740457121405 -744.123672286006</f>
        <v>-1495.0895423761831</v>
      </c>
      <c r="P2209">
        <f>-575.693077960377 -179.321688765163 -427.903339972697</f>
        <v>-1182.9181066982369</v>
      </c>
      <c r="Q2209">
        <f>-349.374740933131 -58.6492100702018 -471.033453030183</f>
        <v>-879.05740403351592</v>
      </c>
      <c r="R2209" t="s">
        <v>42785</v>
      </c>
      <c r="S2209" t="s">
        <v>42786</v>
      </c>
      <c r="T2209" t="s">
        <v>42787</v>
      </c>
      <c r="U2209" t="s">
        <v>42788</v>
      </c>
      <c r="V2209">
        <f>-531.098241453219 -45.6011916929203 -238.894272621768</f>
        <v>-815.5937057679073</v>
      </c>
      <c r="W2209" t="s">
        <v>42789</v>
      </c>
      <c r="X2209" t="s">
        <v>42790</v>
      </c>
      <c r="Y2209" t="s">
        <v>42791</v>
      </c>
    </row>
    <row r="2210" spans="1:25" x14ac:dyDescent="0.3">
      <c r="A2210">
        <v>110450</v>
      </c>
      <c r="B2210" t="s">
        <v>42792</v>
      </c>
      <c r="C2210" t="s">
        <v>42793</v>
      </c>
      <c r="D2210" t="s">
        <v>42794</v>
      </c>
      <c r="E2210" t="s">
        <v>42795</v>
      </c>
      <c r="F2210" t="s">
        <v>42796</v>
      </c>
      <c r="G2210" t="s">
        <v>42797</v>
      </c>
      <c r="H2210">
        <f>-564.39369978719 -2.22805479137871 -846.909745009433</f>
        <v>-1413.5314995880017</v>
      </c>
      <c r="I2210">
        <f>-526.150793421858 -10.3405410880124 -941.008927125203</f>
        <v>-1477.5002616350735</v>
      </c>
      <c r="J2210" t="s">
        <v>42798</v>
      </c>
      <c r="K2210" t="s">
        <v>42799</v>
      </c>
      <c r="L2210" t="s">
        <v>42800</v>
      </c>
      <c r="M2210" t="s">
        <v>42801</v>
      </c>
      <c r="N2210">
        <f>-574.209470140559 -25.2497933824276 -776.720209527129</f>
        <v>-1376.1794730501156</v>
      </c>
      <c r="O2210">
        <f>-583.46122720658 -168.227357373166 -743.6099341607</f>
        <v>-1495.2985187404461</v>
      </c>
      <c r="P2210">
        <f>-575.74744458948 -180.02898996137 -427.402046632212</f>
        <v>-1183.1784811830621</v>
      </c>
      <c r="Q2210">
        <f>-349.222679931646 -59.8515983529964 -470.829807164281</f>
        <v>-879.90408544892341</v>
      </c>
      <c r="R2210" t="s">
        <v>42802</v>
      </c>
      <c r="S2210" t="s">
        <v>42803</v>
      </c>
      <c r="T2210" t="s">
        <v>42804</v>
      </c>
      <c r="U2210" t="s">
        <v>42805</v>
      </c>
      <c r="V2210">
        <f>-531.146049435512 -44.7706570951211 -238.065856389784</f>
        <v>-813.98256292041719</v>
      </c>
      <c r="W2210" t="s">
        <v>42806</v>
      </c>
      <c r="X2210" t="s">
        <v>42807</v>
      </c>
      <c r="Y2210" t="s">
        <v>42808</v>
      </c>
    </row>
    <row r="2211" spans="1:25" x14ac:dyDescent="0.3">
      <c r="A2211">
        <v>110500</v>
      </c>
      <c r="B2211" t="s">
        <v>42809</v>
      </c>
      <c r="C2211" t="s">
        <v>42810</v>
      </c>
      <c r="D2211" t="s">
        <v>42811</v>
      </c>
      <c r="E2211" t="s">
        <v>42812</v>
      </c>
      <c r="F2211" t="s">
        <v>42813</v>
      </c>
      <c r="G2211" t="s">
        <v>42814</v>
      </c>
      <c r="H2211">
        <f>-564.770825781062 -1.92022424461931 -846.654832551034</f>
        <v>-1413.3458825767152</v>
      </c>
      <c r="I2211">
        <f>-526.655653976613 -10.0531360576422 -940.804034194273</f>
        <v>-1477.5128242285282</v>
      </c>
      <c r="J2211" t="s">
        <v>42815</v>
      </c>
      <c r="K2211" t="s">
        <v>42816</v>
      </c>
      <c r="L2211" t="s">
        <v>42817</v>
      </c>
      <c r="M2211" t="s">
        <v>42818</v>
      </c>
      <c r="N2211">
        <f>-574.548945109246 -24.9324415355754 -776.45707063209</f>
        <v>-1375.9384572769113</v>
      </c>
      <c r="O2211">
        <f>-583.93348216356 -167.896382186069 -743.292760447886</f>
        <v>-1495.1226247975151</v>
      </c>
      <c r="P2211">
        <f>-576.029355093819 -179.631050240486 -427.087171901538</f>
        <v>-1182.747577235843</v>
      </c>
      <c r="Q2211">
        <f>-349.238704683258 -59.9286069153944 -470.438709004267</f>
        <v>-879.60602060291944</v>
      </c>
      <c r="R2211" t="s">
        <v>42819</v>
      </c>
      <c r="S2211" t="s">
        <v>42820</v>
      </c>
      <c r="T2211" t="s">
        <v>42821</v>
      </c>
      <c r="U2211" t="s">
        <v>42822</v>
      </c>
      <c r="V2211">
        <f>-531.133124458118 -44.0403878439807 -237.596693770385</f>
        <v>-812.77020607248369</v>
      </c>
      <c r="W2211" t="s">
        <v>42823</v>
      </c>
      <c r="X2211" t="s">
        <v>42824</v>
      </c>
      <c r="Y2211" t="s">
        <v>42825</v>
      </c>
    </row>
    <row r="2212" spans="1:25" x14ac:dyDescent="0.3">
      <c r="A2212">
        <v>110550</v>
      </c>
      <c r="B2212" t="s">
        <v>42826</v>
      </c>
      <c r="C2212" t="s">
        <v>42827</v>
      </c>
      <c r="D2212" t="s">
        <v>42828</v>
      </c>
      <c r="E2212" t="s">
        <v>42829</v>
      </c>
      <c r="F2212" t="s">
        <v>42830</v>
      </c>
      <c r="G2212" t="s">
        <v>42831</v>
      </c>
      <c r="H2212">
        <f>-565.316027804044 -1.12558088871453 -846.133222927475</f>
        <v>-1412.5748316202335</v>
      </c>
      <c r="I2212">
        <f>-527.469648852499 -9.36525084961977 -940.381610934978</f>
        <v>-1477.2165106370967</v>
      </c>
      <c r="J2212" t="s">
        <v>42832</v>
      </c>
      <c r="K2212" t="s">
        <v>42833</v>
      </c>
      <c r="L2212" t="s">
        <v>42834</v>
      </c>
      <c r="M2212" t="s">
        <v>42835</v>
      </c>
      <c r="N2212">
        <f>-575.055552060309 -24.0804326320484 -775.911207999443</f>
        <v>-1375.0471926918003</v>
      </c>
      <c r="O2212">
        <f>-585.005541503282 -166.935799062577 -742.553971355865</f>
        <v>-1494.4953119217239</v>
      </c>
      <c r="P2212">
        <f>-576.646451322624 -178.630814542482 -426.358528391284</f>
        <v>-1181.63579425639</v>
      </c>
      <c r="Q2212">
        <f>-349.441307887276 -59.8116299564788 -469.969097177412</f>
        <v>-879.22203502116679</v>
      </c>
      <c r="R2212" t="s">
        <v>42836</v>
      </c>
      <c r="S2212" t="s">
        <v>42837</v>
      </c>
      <c r="T2212" t="s">
        <v>42838</v>
      </c>
      <c r="U2212" t="s">
        <v>42839</v>
      </c>
      <c r="V2212">
        <f>-530.607656553152 -42.0993331973034 -236.718896347434</f>
        <v>-809.42588609788936</v>
      </c>
      <c r="W2212" t="s">
        <v>42840</v>
      </c>
      <c r="X2212" t="s">
        <v>42841</v>
      </c>
      <c r="Y2212" t="s">
        <v>42842</v>
      </c>
    </row>
    <row r="2213" spans="1:25" x14ac:dyDescent="0.3">
      <c r="A2213">
        <v>110600</v>
      </c>
      <c r="B2213" t="s">
        <v>42843</v>
      </c>
      <c r="C2213" t="s">
        <v>42844</v>
      </c>
      <c r="D2213" t="s">
        <v>42845</v>
      </c>
      <c r="E2213" t="s">
        <v>42846</v>
      </c>
      <c r="F2213" t="s">
        <v>42847</v>
      </c>
      <c r="G2213" t="s">
        <v>42848</v>
      </c>
      <c r="H2213">
        <f>-565.357171622322 -0.761667360297629 -845.907303178965</f>
        <v>-1412.0261421615846</v>
      </c>
      <c r="I2213">
        <f>-527.684881267041 -9.10141282581334 -940.216441752726</f>
        <v>-1477.0027358455804</v>
      </c>
      <c r="J2213" t="s">
        <v>42849</v>
      </c>
      <c r="K2213" t="s">
        <v>42850</v>
      </c>
      <c r="L2213" t="s">
        <v>42851</v>
      </c>
      <c r="M2213" t="s">
        <v>42852</v>
      </c>
      <c r="N2213">
        <f>-575.052376410861 -23.6746897788299 -775.665498876989</f>
        <v>-1374.3925650666799</v>
      </c>
      <c r="O2213">
        <f>-585.199521434811 -166.49659202445 -742.158382839284</f>
        <v>-1493.854496298545</v>
      </c>
      <c r="P2213">
        <f>-576.344373599378 -177.94196884714 -425.967307328151</f>
        <v>-1180.2536497746689</v>
      </c>
      <c r="Q2213">
        <f>-348.850132287195 -59.6692962469731 -469.556309173549</f>
        <v>-878.07573770771705</v>
      </c>
      <c r="R2213" t="s">
        <v>42853</v>
      </c>
      <c r="S2213" t="s">
        <v>42854</v>
      </c>
      <c r="T2213" t="s">
        <v>42855</v>
      </c>
      <c r="U2213" t="s">
        <v>42856</v>
      </c>
      <c r="V2213">
        <f>-530.45796980315 -40.7739181506147 -236.203002428717</f>
        <v>-807.43489038248174</v>
      </c>
      <c r="W2213" t="s">
        <v>42857</v>
      </c>
      <c r="X2213" t="s">
        <v>42858</v>
      </c>
      <c r="Y2213" t="s">
        <v>42859</v>
      </c>
    </row>
    <row r="2214" spans="1:25" x14ac:dyDescent="0.3">
      <c r="A2214">
        <v>110650</v>
      </c>
      <c r="B2214" t="s">
        <v>42860</v>
      </c>
      <c r="C2214" t="s">
        <v>42861</v>
      </c>
      <c r="D2214" t="s">
        <v>42862</v>
      </c>
      <c r="E2214" t="s">
        <v>42863</v>
      </c>
      <c r="F2214" t="s">
        <v>42864</v>
      </c>
      <c r="G2214" t="s">
        <v>42865</v>
      </c>
      <c r="H2214" t="s">
        <v>42866</v>
      </c>
      <c r="I2214">
        <f>-529.310624647033 -8.08767045824179 -939.759924591163</f>
        <v>-1477.1582196964378</v>
      </c>
      <c r="J2214" t="s">
        <v>42867</v>
      </c>
      <c r="K2214" t="s">
        <v>42868</v>
      </c>
      <c r="L2214" t="s">
        <v>42869</v>
      </c>
      <c r="M2214" t="s">
        <v>42870</v>
      </c>
      <c r="N2214">
        <f>-575.970236037422 -22.1366687727909 -774.957923828954</f>
        <v>-1373.064828639167</v>
      </c>
      <c r="O2214">
        <f>-586.655439307633 -164.810502900473 -741.058448134352</f>
        <v>-1492.524390342458</v>
      </c>
      <c r="P2214">
        <f>-576.866797254549 -175.599347038254 -424.871911237596</f>
        <v>-1177.3380555303991</v>
      </c>
      <c r="Q2214">
        <f>-348.833201546083 -58.4652691710921 -468.716486062207</f>
        <v>-876.01495677938215</v>
      </c>
      <c r="R2214" t="s">
        <v>42871</v>
      </c>
      <c r="S2214" t="s">
        <v>42872</v>
      </c>
      <c r="T2214" t="s">
        <v>42873</v>
      </c>
      <c r="U2214" t="s">
        <v>42874</v>
      </c>
      <c r="V2214">
        <f>-529.940509584133 -36.9235766271966 -235.169508555737</f>
        <v>-802.03359476706657</v>
      </c>
      <c r="W2214" t="s">
        <v>42875</v>
      </c>
      <c r="X2214" t="s">
        <v>42876</v>
      </c>
      <c r="Y2214" t="s">
        <v>42877</v>
      </c>
    </row>
    <row r="2215" spans="1:25" x14ac:dyDescent="0.3">
      <c r="A2215">
        <v>110700</v>
      </c>
      <c r="B2215" t="s">
        <v>42878</v>
      </c>
      <c r="C2215" t="s">
        <v>42879</v>
      </c>
      <c r="D2215" t="s">
        <v>42880</v>
      </c>
      <c r="E2215" t="s">
        <v>42881</v>
      </c>
      <c r="F2215" t="s">
        <v>42882</v>
      </c>
      <c r="G2215" t="s">
        <v>42883</v>
      </c>
      <c r="H2215" t="s">
        <v>42884</v>
      </c>
      <c r="I2215">
        <f>-529.856652498279 -7.58769942986748 -939.440388834798</f>
        <v>-1476.8847407629446</v>
      </c>
      <c r="J2215" t="s">
        <v>42885</v>
      </c>
      <c r="K2215" t="s">
        <v>42886</v>
      </c>
      <c r="L2215" t="s">
        <v>42887</v>
      </c>
      <c r="M2215" t="s">
        <v>42888</v>
      </c>
      <c r="N2215">
        <f>-576.168674975145 -21.2346632404551 -774.502123639032</f>
        <v>-1371.905461854632</v>
      </c>
      <c r="O2215">
        <f>-587.159436938001 -163.829695937077 -740.327295394373</f>
        <v>-1491.3164282694511</v>
      </c>
      <c r="P2215">
        <f>-576.549062019809 -174.098992759635 -424.149899350689</f>
        <v>-1174.7979541301329</v>
      </c>
      <c r="Q2215">
        <f>-348.102736743864 -57.8371894573319 -468.167208126526</f>
        <v>-874.10713432772195</v>
      </c>
      <c r="R2215" t="s">
        <v>42889</v>
      </c>
      <c r="S2215" t="s">
        <v>42890</v>
      </c>
      <c r="T2215" t="s">
        <v>42891</v>
      </c>
      <c r="U2215" t="s">
        <v>42892</v>
      </c>
      <c r="V2215">
        <f>-529.22213297842 -34.8138601566754 -234.641377601834</f>
        <v>-798.67737073692933</v>
      </c>
      <c r="W2215" t="s">
        <v>42893</v>
      </c>
      <c r="X2215" t="s">
        <v>42894</v>
      </c>
      <c r="Y2215" t="s">
        <v>42895</v>
      </c>
    </row>
    <row r="2216" spans="1:25" x14ac:dyDescent="0.3">
      <c r="A2216">
        <v>110750</v>
      </c>
      <c r="B2216" t="s">
        <v>42896</v>
      </c>
      <c r="C2216" t="s">
        <v>42897</v>
      </c>
      <c r="D2216" t="s">
        <v>42898</v>
      </c>
      <c r="E2216" t="s">
        <v>42899</v>
      </c>
      <c r="F2216" t="s">
        <v>42900</v>
      </c>
      <c r="G2216" t="s">
        <v>42901</v>
      </c>
      <c r="H2216" t="s">
        <v>42902</v>
      </c>
      <c r="I2216">
        <f>-530.564298730648 -5.95833215910173 -938.59308375137</f>
        <v>-1475.1157146411197</v>
      </c>
      <c r="J2216" t="s">
        <v>42903</v>
      </c>
      <c r="K2216" t="s">
        <v>42904</v>
      </c>
      <c r="L2216" t="s">
        <v>42905</v>
      </c>
      <c r="M2216" t="s">
        <v>42906</v>
      </c>
      <c r="N2216">
        <f>-576.241649030336 -18.5483524506373 -773.347495087257</f>
        <v>-1368.1374965682303</v>
      </c>
      <c r="O2216">
        <f>-588.11792698938 -160.901817041879 -738.503727221767</f>
        <v>-1487.5234712530259</v>
      </c>
      <c r="P2216">
        <f>-576.190781178496 -170.091036827811 -422.339940342328</f>
        <v>-1168.621758348635</v>
      </c>
      <c r="Q2216">
        <f>-347.029831041792 -55.6371693025901 -467.369415343803</f>
        <v>-870.03641568818512</v>
      </c>
      <c r="R2216" t="s">
        <v>42907</v>
      </c>
      <c r="S2216" t="s">
        <v>42908</v>
      </c>
      <c r="T2216" t="s">
        <v>42909</v>
      </c>
      <c r="U2216" t="s">
        <v>42910</v>
      </c>
      <c r="V2216">
        <f>-527.61188299864 -30.051067435922 -233.558380415104</f>
        <v>-791.22133084966606</v>
      </c>
      <c r="W2216" t="s">
        <v>42911</v>
      </c>
      <c r="X2216" t="s">
        <v>42912</v>
      </c>
      <c r="Y2216" t="s">
        <v>42913</v>
      </c>
    </row>
    <row r="2217" spans="1:25" x14ac:dyDescent="0.3">
      <c r="A2217">
        <v>110800</v>
      </c>
      <c r="B2217" t="s">
        <v>42914</v>
      </c>
      <c r="C2217" t="s">
        <v>42915</v>
      </c>
      <c r="D2217" t="s">
        <v>42916</v>
      </c>
      <c r="E2217" t="s">
        <v>42917</v>
      </c>
      <c r="F2217" t="s">
        <v>42918</v>
      </c>
      <c r="G2217" t="s">
        <v>42919</v>
      </c>
      <c r="H2217" t="s">
        <v>42920</v>
      </c>
      <c r="I2217">
        <f>-530.573516154321 -4.96651739694456 -938.252996385616</f>
        <v>-1473.7930299368818</v>
      </c>
      <c r="J2217" t="s">
        <v>42921</v>
      </c>
      <c r="K2217" t="s">
        <v>42922</v>
      </c>
      <c r="L2217" t="s">
        <v>42923</v>
      </c>
      <c r="M2217" t="s">
        <v>42924</v>
      </c>
      <c r="N2217">
        <f>-575.941841243361 -16.9939183343198 -772.850135043368</f>
        <v>-1365.7858946210488</v>
      </c>
      <c r="O2217">
        <f>-588.458870835876 -159.221656854176 -737.614027900272</f>
        <v>-1485.2945555903241</v>
      </c>
      <c r="P2217">
        <f>-575.951888011462 -167.929225387036 -421.459167893772</f>
        <v>-1165.34028129227</v>
      </c>
      <c r="Q2217">
        <f>-346.471134466933 -54.3892359137228 -467.168197931083</f>
        <v>-868.02856831173881</v>
      </c>
      <c r="R2217" t="s">
        <v>42925</v>
      </c>
      <c r="S2217" t="s">
        <v>42926</v>
      </c>
      <c r="T2217" t="s">
        <v>42927</v>
      </c>
      <c r="U2217" t="s">
        <v>42928</v>
      </c>
      <c r="V2217">
        <f>-526.505332379545 -27.4869514525212 -233.088811389439</f>
        <v>-787.08109522150528</v>
      </c>
      <c r="W2217" t="s">
        <v>42929</v>
      </c>
      <c r="X2217" t="s">
        <v>42930</v>
      </c>
      <c r="Y2217" t="s">
        <v>42931</v>
      </c>
    </row>
    <row r="2218" spans="1:25" x14ac:dyDescent="0.3">
      <c r="A2218">
        <v>110850</v>
      </c>
      <c r="B2218" t="s">
        <v>42932</v>
      </c>
      <c r="C2218" t="s">
        <v>42933</v>
      </c>
      <c r="D2218" t="s">
        <v>42934</v>
      </c>
      <c r="E2218" t="s">
        <v>42935</v>
      </c>
      <c r="F2218" t="s">
        <v>42936</v>
      </c>
      <c r="G2218" t="s">
        <v>42937</v>
      </c>
      <c r="H2218" t="s">
        <v>42938</v>
      </c>
      <c r="I2218">
        <f>-530.328274469163 -1.49841720467558 -937.23719133477</f>
        <v>-1469.0638830086086</v>
      </c>
      <c r="J2218" t="s">
        <v>42939</v>
      </c>
      <c r="K2218" t="s">
        <v>42940</v>
      </c>
      <c r="L2218" t="s">
        <v>42941</v>
      </c>
      <c r="M2218" t="s">
        <v>42942</v>
      </c>
      <c r="N2218">
        <f>-575.121755781311 -12.8128500106239 -771.627092722384</f>
        <v>-1359.5616985143188</v>
      </c>
      <c r="O2218">
        <f>-588.58529074676 -154.822241159313 -735.888813236574</f>
        <v>-1479.2963451426472</v>
      </c>
      <c r="P2218">
        <f>-575.236582607444 -163.045129117302 -419.755403973052</f>
        <v>-1158.0371156977981</v>
      </c>
      <c r="Q2218">
        <f>-345.043481350807 -51.407973137621 -466.556309742979</f>
        <v>-863.00776423140701</v>
      </c>
      <c r="R2218" t="s">
        <v>42943</v>
      </c>
      <c r="S2218" t="s">
        <v>42944</v>
      </c>
      <c r="T2218" t="s">
        <v>42945</v>
      </c>
      <c r="U2218" t="s">
        <v>42946</v>
      </c>
      <c r="V2218">
        <f>-524.988689381185 -21.7679030653568 -231.364215586928</f>
        <v>-778.12080803346987</v>
      </c>
      <c r="W2218" t="s">
        <v>42947</v>
      </c>
      <c r="X2218" t="s">
        <v>42948</v>
      </c>
      <c r="Y2218" t="s">
        <v>42949</v>
      </c>
    </row>
    <row r="2219" spans="1:25" x14ac:dyDescent="0.3">
      <c r="A2219">
        <v>110900</v>
      </c>
      <c r="B2219" t="s">
        <v>42950</v>
      </c>
      <c r="C2219" t="s">
        <v>42951</v>
      </c>
      <c r="D2219" t="s">
        <v>42952</v>
      </c>
      <c r="E2219" t="s">
        <v>42953</v>
      </c>
      <c r="F2219" t="s">
        <v>42954</v>
      </c>
      <c r="G2219" t="s">
        <v>42955</v>
      </c>
      <c r="H2219" t="s">
        <v>42956</v>
      </c>
      <c r="I2219" t="s">
        <v>42957</v>
      </c>
      <c r="J2219" t="s">
        <v>42958</v>
      </c>
      <c r="K2219" t="s">
        <v>42959</v>
      </c>
      <c r="L2219" t="s">
        <v>42960</v>
      </c>
      <c r="M2219" t="s">
        <v>42961</v>
      </c>
      <c r="N2219">
        <f>-575.224781946719 -10.1385416350854 -771.051725937259</f>
        <v>-1356.4150495190634</v>
      </c>
      <c r="O2219">
        <f>-589.130990795336 -152.09335012098 -735.236143152876</f>
        <v>-1476.4604840691918</v>
      </c>
      <c r="P2219">
        <f>-575.552189606951 -160.310192044797 -419.112265500538</f>
        <v>-1154.9746471522858</v>
      </c>
      <c r="Q2219">
        <f>-344.96865160122 -49.5654735400412 -466.111269526899</f>
        <v>-860.64539466816018</v>
      </c>
      <c r="R2219" t="s">
        <v>42962</v>
      </c>
      <c r="S2219" t="s">
        <v>42963</v>
      </c>
      <c r="T2219" t="s">
        <v>42964</v>
      </c>
      <c r="U2219" t="s">
        <v>42965</v>
      </c>
      <c r="V2219">
        <f>-524.005713438953 -18.4400246805437 -230.538764769327</f>
        <v>-772.98450288882373</v>
      </c>
      <c r="W2219" t="s">
        <v>42966</v>
      </c>
      <c r="X2219" t="s">
        <v>42967</v>
      </c>
      <c r="Y2219" t="s">
        <v>42968</v>
      </c>
    </row>
    <row r="2220" spans="1:25" x14ac:dyDescent="0.3">
      <c r="A2220">
        <v>110950</v>
      </c>
      <c r="B2220" t="s">
        <v>42969</v>
      </c>
      <c r="C2220" t="s">
        <v>42970</v>
      </c>
      <c r="D2220" t="s">
        <v>42971</v>
      </c>
      <c r="E2220" t="s">
        <v>42972</v>
      </c>
      <c r="F2220" t="s">
        <v>42973</v>
      </c>
      <c r="G2220" t="s">
        <v>42974</v>
      </c>
      <c r="H2220" t="s">
        <v>42975</v>
      </c>
      <c r="I2220" t="s">
        <v>42976</v>
      </c>
      <c r="J2220" t="s">
        <v>42977</v>
      </c>
      <c r="K2220" t="s">
        <v>42978</v>
      </c>
      <c r="L2220" t="s">
        <v>42979</v>
      </c>
      <c r="M2220" t="s">
        <v>42980</v>
      </c>
      <c r="N2220">
        <f>-574.13277490832 -4.68397421755728 -770.08431299212</f>
        <v>-1348.9010621179973</v>
      </c>
      <c r="O2220">
        <f>-588.636253802649 -146.699134883739 -734.704321765888</f>
        <v>-1470.039710452276</v>
      </c>
      <c r="P2220">
        <f>-575.164077137733 -155.547908046808 -418.592936472974</f>
        <v>-1149.304921657515</v>
      </c>
      <c r="Q2220">
        <f>-343.871007930071 -46.0027126163997 -464.911666283497</f>
        <v>-854.78538682996782</v>
      </c>
      <c r="R2220" t="s">
        <v>42981</v>
      </c>
      <c r="S2220" t="s">
        <v>42982</v>
      </c>
      <c r="T2220" t="s">
        <v>42983</v>
      </c>
      <c r="U2220" t="s">
        <v>42984</v>
      </c>
      <c r="V2220">
        <f>-522.753182834452 -12.2734547030733 -228.71359958444</f>
        <v>-763.74023712196527</v>
      </c>
      <c r="W2220" t="s">
        <v>42985</v>
      </c>
      <c r="X2220" t="s">
        <v>42986</v>
      </c>
      <c r="Y2220" t="s">
        <v>42987</v>
      </c>
    </row>
    <row r="2221" spans="1:25" x14ac:dyDescent="0.3">
      <c r="A2221">
        <v>111000</v>
      </c>
      <c r="B2221" t="s">
        <v>42988</v>
      </c>
      <c r="C2221" t="s">
        <v>42989</v>
      </c>
      <c r="D2221" t="s">
        <v>42990</v>
      </c>
      <c r="E2221" t="s">
        <v>42991</v>
      </c>
      <c r="F2221" t="s">
        <v>42992</v>
      </c>
      <c r="G2221" t="s">
        <v>42993</v>
      </c>
      <c r="H2221" t="s">
        <v>42994</v>
      </c>
      <c r="I2221" t="s">
        <v>42995</v>
      </c>
      <c r="J2221" t="s">
        <v>42996</v>
      </c>
      <c r="K2221" t="s">
        <v>42997</v>
      </c>
      <c r="L2221" t="s">
        <v>42998</v>
      </c>
      <c r="M2221" t="s">
        <v>42999</v>
      </c>
      <c r="N2221">
        <f>-573.710278083367 -1.68155762939055 -769.751457598208</f>
        <v>-1345.1432933109656</v>
      </c>
      <c r="O2221">
        <f>-588.37522072867 -143.729824339709 -734.687330134048</f>
        <v>-1466.7923752024271</v>
      </c>
      <c r="P2221">
        <f>-575.431480919585 -153.236198012872 -418.572949207545</f>
        <v>-1147.2406281400022</v>
      </c>
      <c r="Q2221">
        <f>-343.867609078581 -43.9472614825013 -464.137973408547</f>
        <v>-851.95284396962927</v>
      </c>
      <c r="R2221" t="s">
        <v>43000</v>
      </c>
      <c r="S2221" t="s">
        <v>43001</v>
      </c>
      <c r="T2221" t="s">
        <v>43002</v>
      </c>
      <c r="U2221" t="s">
        <v>43003</v>
      </c>
      <c r="V2221">
        <f>-522.310161909232 -9.41545208440817 -227.914808206922</f>
        <v>-759.64042220056206</v>
      </c>
      <c r="W2221" t="s">
        <v>43004</v>
      </c>
      <c r="X2221" t="s">
        <v>43005</v>
      </c>
      <c r="Y2221" t="s">
        <v>43006</v>
      </c>
    </row>
    <row r="2222" spans="1:25" x14ac:dyDescent="0.3">
      <c r="A2222">
        <v>111050</v>
      </c>
      <c r="B2222" t="s">
        <v>43007</v>
      </c>
      <c r="C2222" t="s">
        <v>43008</v>
      </c>
      <c r="D2222" t="s">
        <v>43009</v>
      </c>
      <c r="E2222" t="s">
        <v>43010</v>
      </c>
      <c r="F2222" t="s">
        <v>43011</v>
      </c>
      <c r="G2222" t="s">
        <v>43012</v>
      </c>
      <c r="H2222" t="s">
        <v>43013</v>
      </c>
      <c r="I2222" t="s">
        <v>43014</v>
      </c>
      <c r="J2222" t="s">
        <v>43015</v>
      </c>
      <c r="K2222" t="s">
        <v>43016</v>
      </c>
      <c r="L2222" t="s">
        <v>43017</v>
      </c>
      <c r="M2222" t="s">
        <v>43018</v>
      </c>
      <c r="N2222" t="s">
        <v>43019</v>
      </c>
      <c r="O2222">
        <f>-587.660007686401 -138.486810729508 -735.450121143254</f>
        <v>-1461.5969395591628</v>
      </c>
      <c r="P2222">
        <f>-575.818744798424 -148.772684481261 -419.317041232715</f>
        <v>-1143.9084705123998</v>
      </c>
      <c r="Q2222">
        <f>-343.974833698845 -39.7067763897369 -463.983609499868</f>
        <v>-847.66521958844987</v>
      </c>
      <c r="R2222" t="s">
        <v>43020</v>
      </c>
      <c r="S2222" t="s">
        <v>43021</v>
      </c>
      <c r="T2222" t="s">
        <v>43022</v>
      </c>
      <c r="U2222" t="s">
        <v>43023</v>
      </c>
      <c r="V2222">
        <f>-521.402136012659 -4.29347360727151 -227.294808958311</f>
        <v>-752.99041857824147</v>
      </c>
      <c r="W2222" t="s">
        <v>43024</v>
      </c>
      <c r="X2222" t="s">
        <v>43025</v>
      </c>
      <c r="Y2222" t="s">
        <v>43026</v>
      </c>
    </row>
    <row r="2223" spans="1:25" x14ac:dyDescent="0.3">
      <c r="A2223">
        <v>111100</v>
      </c>
      <c r="B2223" t="s">
        <v>43027</v>
      </c>
      <c r="C2223" t="s">
        <v>43028</v>
      </c>
      <c r="D2223" t="s">
        <v>43029</v>
      </c>
      <c r="E2223" t="s">
        <v>43030</v>
      </c>
      <c r="F2223" t="s">
        <v>43031</v>
      </c>
      <c r="G2223" t="s">
        <v>43032</v>
      </c>
      <c r="H2223" t="s">
        <v>43033</v>
      </c>
      <c r="I2223" t="s">
        <v>43034</v>
      </c>
      <c r="J2223" t="s">
        <v>43035</v>
      </c>
      <c r="K2223" t="s">
        <v>43036</v>
      </c>
      <c r="L2223" t="s">
        <v>43037</v>
      </c>
      <c r="M2223" t="s">
        <v>43038</v>
      </c>
      <c r="N2223" t="s">
        <v>43039</v>
      </c>
      <c r="O2223">
        <f>-587.039255054235 -135.985916137544 -735.904417037164</f>
        <v>-1458.929588228943</v>
      </c>
      <c r="P2223">
        <f>-575.468269876474 -146.72226782507 -419.776187293271</f>
        <v>-1141.966724994815</v>
      </c>
      <c r="Q2223">
        <f>-343.440554805554 -37.8952171562029 -464.06898401912</f>
        <v>-845.40475598087687</v>
      </c>
      <c r="R2223" t="s">
        <v>43040</v>
      </c>
      <c r="S2223" t="s">
        <v>43041</v>
      </c>
      <c r="T2223" t="s">
        <v>43042</v>
      </c>
      <c r="U2223" t="s">
        <v>43043</v>
      </c>
      <c r="V2223">
        <f>-521.142965647673 -1.98470160410773 -227.052086348251</f>
        <v>-750.17975360003175</v>
      </c>
      <c r="W2223" t="s">
        <v>43044</v>
      </c>
      <c r="X2223" t="s">
        <v>43045</v>
      </c>
      <c r="Y2223" t="s">
        <v>43046</v>
      </c>
    </row>
    <row r="2224" spans="1:25" x14ac:dyDescent="0.3">
      <c r="A2224">
        <v>111150</v>
      </c>
      <c r="B2224" t="s">
        <v>43047</v>
      </c>
      <c r="C2224" t="s">
        <v>43048</v>
      </c>
      <c r="D2224" t="s">
        <v>43049</v>
      </c>
      <c r="E2224" t="s">
        <v>43050</v>
      </c>
      <c r="F2224" t="s">
        <v>43051</v>
      </c>
      <c r="G2224" t="s">
        <v>43052</v>
      </c>
      <c r="H2224" t="s">
        <v>43053</v>
      </c>
      <c r="I2224" t="s">
        <v>43054</v>
      </c>
      <c r="J2224" t="s">
        <v>43055</v>
      </c>
      <c r="K2224" t="s">
        <v>43056</v>
      </c>
      <c r="L2224" t="s">
        <v>43057</v>
      </c>
      <c r="M2224" t="s">
        <v>43058</v>
      </c>
      <c r="N2224" t="s">
        <v>43059</v>
      </c>
      <c r="O2224">
        <f>-586.134431534859 -131.060832316827 -736.634427218676</f>
        <v>-1453.8296910703621</v>
      </c>
      <c r="P2224">
        <f>-575.289237409882 -142.083170596574 -420.490227248255</f>
        <v>-1137.862635254711</v>
      </c>
      <c r="Q2224">
        <f>-342.681294536923 -34.2714657226011 -464.219410757489</f>
        <v>-841.17217101701317</v>
      </c>
      <c r="R2224" t="s">
        <v>43060</v>
      </c>
      <c r="S2224" t="s">
        <v>43061</v>
      </c>
      <c r="T2224" t="s">
        <v>43062</v>
      </c>
      <c r="U2224" t="s">
        <v>43063</v>
      </c>
      <c r="V2224" t="s">
        <v>43064</v>
      </c>
      <c r="W2224" t="s">
        <v>43065</v>
      </c>
      <c r="X2224" t="s">
        <v>43066</v>
      </c>
      <c r="Y2224" t="s">
        <v>43067</v>
      </c>
    </row>
    <row r="2225" spans="1:25" x14ac:dyDescent="0.3">
      <c r="A2225">
        <v>111200</v>
      </c>
      <c r="B2225" t="s">
        <v>43068</v>
      </c>
      <c r="C2225" t="s">
        <v>43069</v>
      </c>
      <c r="D2225" t="s">
        <v>43070</v>
      </c>
      <c r="E2225" t="s">
        <v>43071</v>
      </c>
      <c r="F2225" t="s">
        <v>43072</v>
      </c>
      <c r="G2225" t="s">
        <v>43073</v>
      </c>
      <c r="H2225" t="s">
        <v>43074</v>
      </c>
      <c r="I2225" t="s">
        <v>43075</v>
      </c>
      <c r="J2225" t="s">
        <v>43076</v>
      </c>
      <c r="K2225" t="s">
        <v>43077</v>
      </c>
      <c r="L2225" t="s">
        <v>43078</v>
      </c>
      <c r="M2225" t="s">
        <v>43079</v>
      </c>
      <c r="N2225" t="s">
        <v>43080</v>
      </c>
      <c r="O2225">
        <f>-585.939766912473 -128.69295275889 -736.89635701843</f>
        <v>-1451.5290766897929</v>
      </c>
      <c r="P2225">
        <f>-575.606285456286 -139.898319412813 -420.741537803991</f>
        <v>-1136.2461426730899</v>
      </c>
      <c r="Q2225">
        <f>-342.679048993149 -32.6473157128314 -464.148808720549</f>
        <v>-839.47517342652941</v>
      </c>
      <c r="R2225" t="s">
        <v>43081</v>
      </c>
      <c r="S2225" t="s">
        <v>43082</v>
      </c>
      <c r="T2225" t="s">
        <v>43083</v>
      </c>
      <c r="U2225" t="s">
        <v>43084</v>
      </c>
      <c r="V2225" t="s">
        <v>43085</v>
      </c>
      <c r="W2225" t="s">
        <v>43086</v>
      </c>
      <c r="X2225" t="s">
        <v>43087</v>
      </c>
      <c r="Y2225" t="s">
        <v>43088</v>
      </c>
    </row>
    <row r="2226" spans="1:25" x14ac:dyDescent="0.3">
      <c r="A2226">
        <v>111250</v>
      </c>
      <c r="B2226" t="s">
        <v>43089</v>
      </c>
      <c r="C2226" t="s">
        <v>43090</v>
      </c>
      <c r="D2226" t="s">
        <v>43091</v>
      </c>
      <c r="E2226" t="s">
        <v>43092</v>
      </c>
      <c r="F2226" t="s">
        <v>43093</v>
      </c>
      <c r="G2226" t="s">
        <v>43094</v>
      </c>
      <c r="H2226" t="s">
        <v>43095</v>
      </c>
      <c r="I2226" t="s">
        <v>43096</v>
      </c>
      <c r="J2226" t="s">
        <v>43097</v>
      </c>
      <c r="K2226" t="s">
        <v>43098</v>
      </c>
      <c r="L2226" t="s">
        <v>43099</v>
      </c>
      <c r="M2226" t="s">
        <v>43100</v>
      </c>
      <c r="N2226" t="s">
        <v>43101</v>
      </c>
      <c r="O2226">
        <f>-584.900340183442 -123.341820983799 -737.539450072433</f>
        <v>-1445.781611239674</v>
      </c>
      <c r="P2226">
        <f>-575.737449597451 -135.415431880799 -421.380445623727</f>
        <v>-1132.533327101977</v>
      </c>
      <c r="Q2226">
        <f>-342.129752189798 -29.2167915966795 -463.704988487631</f>
        <v>-835.05153227410847</v>
      </c>
      <c r="R2226" t="s">
        <v>43102</v>
      </c>
      <c r="S2226" t="s">
        <v>43103</v>
      </c>
      <c r="T2226" t="s">
        <v>43104</v>
      </c>
      <c r="U2226" t="s">
        <v>43105</v>
      </c>
      <c r="V2226" t="s">
        <v>43106</v>
      </c>
      <c r="W2226" t="s">
        <v>43107</v>
      </c>
      <c r="X2226" t="s">
        <v>43108</v>
      </c>
      <c r="Y2226" t="s">
        <v>43109</v>
      </c>
    </row>
    <row r="2227" spans="1:25" x14ac:dyDescent="0.3">
      <c r="A2227">
        <v>111300</v>
      </c>
      <c r="B2227" t="s">
        <v>43110</v>
      </c>
      <c r="C2227" t="s">
        <v>43111</v>
      </c>
      <c r="D2227" t="s">
        <v>43112</v>
      </c>
      <c r="E2227" t="s">
        <v>43113</v>
      </c>
      <c r="F2227" t="s">
        <v>43114</v>
      </c>
      <c r="G2227" t="s">
        <v>43115</v>
      </c>
      <c r="H2227" t="s">
        <v>43116</v>
      </c>
      <c r="I2227" t="s">
        <v>43117</v>
      </c>
      <c r="J2227" t="s">
        <v>43118</v>
      </c>
      <c r="K2227" t="s">
        <v>43119</v>
      </c>
      <c r="L2227" t="s">
        <v>43120</v>
      </c>
      <c r="M2227" t="s">
        <v>43121</v>
      </c>
      <c r="N2227" t="s">
        <v>43122</v>
      </c>
      <c r="O2227">
        <f>-583.955761121735 -120.75462318684 -738.031970891261</f>
        <v>-1442.7423551998361</v>
      </c>
      <c r="P2227">
        <f>-575.807700366871 -133.054571307112 -421.854095171906</f>
        <v>-1130.7163668458891</v>
      </c>
      <c r="Q2227">
        <f>-341.832128889345 -27.3891526553452 -463.474956238029</f>
        <v>-832.69623778271921</v>
      </c>
      <c r="R2227" t="s">
        <v>43123</v>
      </c>
      <c r="S2227" t="s">
        <v>43124</v>
      </c>
      <c r="T2227" t="s">
        <v>43125</v>
      </c>
      <c r="U2227" t="s">
        <v>43126</v>
      </c>
      <c r="V2227" t="s">
        <v>43127</v>
      </c>
      <c r="W2227" t="s">
        <v>43128</v>
      </c>
      <c r="X2227" t="s">
        <v>43129</v>
      </c>
      <c r="Y2227" t="s">
        <v>43130</v>
      </c>
    </row>
    <row r="2228" spans="1:25" x14ac:dyDescent="0.3">
      <c r="A2228">
        <v>111350</v>
      </c>
      <c r="B2228" t="s">
        <v>43131</v>
      </c>
      <c r="C2228" t="s">
        <v>43132</v>
      </c>
      <c r="D2228" t="s">
        <v>43133</v>
      </c>
      <c r="E2228" t="s">
        <v>43134</v>
      </c>
      <c r="F2228" t="s">
        <v>43135</v>
      </c>
      <c r="G2228" t="s">
        <v>43136</v>
      </c>
      <c r="H2228" t="s">
        <v>43137</v>
      </c>
      <c r="I2228" t="s">
        <v>43138</v>
      </c>
      <c r="J2228" t="s">
        <v>43139</v>
      </c>
      <c r="K2228" t="s">
        <v>43140</v>
      </c>
      <c r="L2228" t="s">
        <v>43141</v>
      </c>
      <c r="M2228" t="s">
        <v>43142</v>
      </c>
      <c r="N2228" t="s">
        <v>43143</v>
      </c>
      <c r="O2228">
        <f>-582.709725642261 -115.487579808009 -739.531222355816</f>
        <v>-1437.728527806086</v>
      </c>
      <c r="P2228">
        <f>-576.392950767479 -127.848359209112 -423.313774349033</f>
        <v>-1127.555084325624</v>
      </c>
      <c r="Q2228">
        <f>-341.272445199211 -24.0756487035536 -463.208981618905</f>
        <v>-828.55707552166962</v>
      </c>
      <c r="R2228" t="s">
        <v>43144</v>
      </c>
      <c r="S2228" t="s">
        <v>43145</v>
      </c>
      <c r="T2228" t="s">
        <v>43146</v>
      </c>
      <c r="U2228" t="s">
        <v>43147</v>
      </c>
      <c r="V2228" t="s">
        <v>43148</v>
      </c>
      <c r="W2228" t="s">
        <v>43149</v>
      </c>
      <c r="X2228" t="s">
        <v>43150</v>
      </c>
      <c r="Y2228" t="s">
        <v>43151</v>
      </c>
    </row>
    <row r="2229" spans="1:25" x14ac:dyDescent="0.3">
      <c r="A2229">
        <v>111400</v>
      </c>
      <c r="B2229" t="s">
        <v>43152</v>
      </c>
      <c r="C2229" t="s">
        <v>43153</v>
      </c>
      <c r="D2229" t="s">
        <v>43154</v>
      </c>
      <c r="E2229" t="s">
        <v>43155</v>
      </c>
      <c r="F2229" t="s">
        <v>43156</v>
      </c>
      <c r="G2229" t="s">
        <v>43157</v>
      </c>
      <c r="H2229" t="s">
        <v>43158</v>
      </c>
      <c r="I2229" t="s">
        <v>43159</v>
      </c>
      <c r="J2229" t="s">
        <v>43160</v>
      </c>
      <c r="K2229" t="s">
        <v>43161</v>
      </c>
      <c r="L2229" t="s">
        <v>43162</v>
      </c>
      <c r="M2229" t="s">
        <v>43163</v>
      </c>
      <c r="N2229" t="s">
        <v>43164</v>
      </c>
      <c r="O2229">
        <f>-582.013204197371 -112.872893019978 -740.367383869058</f>
        <v>-1435.2534810864072</v>
      </c>
      <c r="P2229">
        <f>-576.339848853703 -124.978917358931 -424.127929807792</f>
        <v>-1125.4466960204259</v>
      </c>
      <c r="Q2229">
        <f>-340.506823279381 -22.5236809728704 -463.214485621441</f>
        <v>-826.24498987369248</v>
      </c>
      <c r="R2229" t="s">
        <v>43165</v>
      </c>
      <c r="S2229" t="s">
        <v>43166</v>
      </c>
      <c r="T2229" t="s">
        <v>43167</v>
      </c>
      <c r="U2229" t="s">
        <v>43168</v>
      </c>
      <c r="V2229" t="s">
        <v>43169</v>
      </c>
      <c r="W2229" t="s">
        <v>43170</v>
      </c>
      <c r="X2229" t="s">
        <v>43171</v>
      </c>
      <c r="Y2229" t="s">
        <v>43172</v>
      </c>
    </row>
    <row r="2230" spans="1:25" x14ac:dyDescent="0.3">
      <c r="A2230">
        <v>111450</v>
      </c>
      <c r="B2230" t="s">
        <v>43173</v>
      </c>
      <c r="C2230" t="s">
        <v>43174</v>
      </c>
      <c r="D2230" t="s">
        <v>43175</v>
      </c>
      <c r="E2230" t="s">
        <v>43176</v>
      </c>
      <c r="F2230" t="s">
        <v>43177</v>
      </c>
      <c r="G2230" t="s">
        <v>43178</v>
      </c>
      <c r="H2230" t="s">
        <v>43179</v>
      </c>
      <c r="I2230" t="s">
        <v>43180</v>
      </c>
      <c r="J2230" t="s">
        <v>43181</v>
      </c>
      <c r="K2230" t="s">
        <v>43182</v>
      </c>
      <c r="L2230" t="s">
        <v>43183</v>
      </c>
      <c r="M2230" t="s">
        <v>43184</v>
      </c>
      <c r="N2230" t="s">
        <v>43185</v>
      </c>
      <c r="O2230">
        <f>-581.254285759026 -108.546134352229 -741.157962349918</f>
        <v>-1430.958382461173</v>
      </c>
      <c r="P2230">
        <f>-576.56126534403 -119.860762488388 -424.873027394001</f>
        <v>-1121.295055226419</v>
      </c>
      <c r="Q2230">
        <f>-339.32206802112 -19.8441148334603 -461.701053678573</f>
        <v>-820.86723653315335</v>
      </c>
      <c r="R2230" t="s">
        <v>43186</v>
      </c>
      <c r="S2230" t="s">
        <v>43187</v>
      </c>
      <c r="T2230" t="s">
        <v>43188</v>
      </c>
      <c r="U2230" t="s">
        <v>43189</v>
      </c>
      <c r="V2230" t="s">
        <v>43190</v>
      </c>
      <c r="W2230" t="s">
        <v>43191</v>
      </c>
      <c r="X2230" t="s">
        <v>43192</v>
      </c>
      <c r="Y2230" t="s">
        <v>43193</v>
      </c>
    </row>
    <row r="2231" spans="1:25" x14ac:dyDescent="0.3">
      <c r="A2231">
        <v>111500</v>
      </c>
      <c r="B2231" t="s">
        <v>43194</v>
      </c>
      <c r="C2231" t="s">
        <v>43195</v>
      </c>
      <c r="D2231" t="s">
        <v>43196</v>
      </c>
      <c r="E2231" t="s">
        <v>43197</v>
      </c>
      <c r="F2231" t="s">
        <v>43198</v>
      </c>
      <c r="G2231" t="s">
        <v>43199</v>
      </c>
      <c r="H2231" t="s">
        <v>43200</v>
      </c>
      <c r="I2231" t="s">
        <v>43201</v>
      </c>
      <c r="J2231" t="s">
        <v>43202</v>
      </c>
      <c r="K2231" t="s">
        <v>43203</v>
      </c>
      <c r="L2231" t="s">
        <v>43204</v>
      </c>
      <c r="M2231" t="s">
        <v>43205</v>
      </c>
      <c r="N2231" t="s">
        <v>43206</v>
      </c>
      <c r="O2231">
        <f>-581.361352728127 -106.780037417021 -740.913508654757</f>
        <v>-1429.054898799905</v>
      </c>
      <c r="P2231">
        <f>-577.355699417408 -117.824205390648 -424.609569562779</f>
        <v>-1119.789474370835</v>
      </c>
      <c r="Q2231">
        <f>-339.383625739108 -19.1784097719273 -460.391565533703</f>
        <v>-818.95360104473832</v>
      </c>
      <c r="R2231" t="s">
        <v>43207</v>
      </c>
      <c r="S2231" t="s">
        <v>43208</v>
      </c>
      <c r="T2231" t="s">
        <v>43209</v>
      </c>
      <c r="U2231" t="s">
        <v>43210</v>
      </c>
      <c r="V2231" t="s">
        <v>43211</v>
      </c>
      <c r="W2231" t="s">
        <v>43212</v>
      </c>
      <c r="X2231" t="s">
        <v>43213</v>
      </c>
      <c r="Y2231" t="s">
        <v>43214</v>
      </c>
    </row>
    <row r="2232" spans="1:25" x14ac:dyDescent="0.3">
      <c r="A2232">
        <v>111550</v>
      </c>
      <c r="B2232" t="s">
        <v>43215</v>
      </c>
      <c r="C2232" t="s">
        <v>43216</v>
      </c>
      <c r="D2232" t="s">
        <v>43217</v>
      </c>
      <c r="E2232" t="s">
        <v>43218</v>
      </c>
      <c r="F2232" t="s">
        <v>43219</v>
      </c>
      <c r="G2232" t="s">
        <v>43220</v>
      </c>
      <c r="H2232" t="s">
        <v>43221</v>
      </c>
      <c r="I2232" t="s">
        <v>43222</v>
      </c>
      <c r="J2232" t="s">
        <v>43223</v>
      </c>
      <c r="K2232" t="s">
        <v>43224</v>
      </c>
      <c r="L2232" t="s">
        <v>43225</v>
      </c>
      <c r="M2232" t="s">
        <v>43226</v>
      </c>
      <c r="N2232" t="s">
        <v>43227</v>
      </c>
      <c r="O2232">
        <f>-582.693502259243 -103.754616255111 -739.755904373954</f>
        <v>-1426.2040228883079</v>
      </c>
      <c r="P2232">
        <f>-579.340127624484 -111.6092540833 -423.349178458221</f>
        <v>-1114.298560166005</v>
      </c>
      <c r="Q2232">
        <f>-337.972109398412 -21.1591672881685 -458.023806624008</f>
        <v>-817.15508331058845</v>
      </c>
      <c r="R2232" t="s">
        <v>43228</v>
      </c>
      <c r="S2232" t="s">
        <v>43229</v>
      </c>
      <c r="T2232" t="s">
        <v>43230</v>
      </c>
      <c r="U2232" t="s">
        <v>43231</v>
      </c>
      <c r="V2232" t="s">
        <v>43232</v>
      </c>
      <c r="W2232" t="s">
        <v>43233</v>
      </c>
      <c r="X2232" t="s">
        <v>43234</v>
      </c>
      <c r="Y2232" t="s">
        <v>43235</v>
      </c>
    </row>
    <row r="2233" spans="1:25" x14ac:dyDescent="0.3">
      <c r="A2233">
        <v>111600</v>
      </c>
      <c r="B2233" t="s">
        <v>43236</v>
      </c>
      <c r="C2233" t="s">
        <v>43237</v>
      </c>
      <c r="D2233" t="s">
        <v>43238</v>
      </c>
      <c r="E2233" t="s">
        <v>43239</v>
      </c>
      <c r="F2233" t="s">
        <v>43240</v>
      </c>
      <c r="G2233" t="s">
        <v>43241</v>
      </c>
      <c r="H2233" t="s">
        <v>43242</v>
      </c>
      <c r="I2233" t="s">
        <v>43243</v>
      </c>
      <c r="J2233" t="s">
        <v>43244</v>
      </c>
      <c r="K2233" t="s">
        <v>43245</v>
      </c>
      <c r="L2233" t="s">
        <v>43246</v>
      </c>
      <c r="M2233" t="s">
        <v>43247</v>
      </c>
      <c r="N2233" t="s">
        <v>43248</v>
      </c>
      <c r="O2233">
        <f>-583.403186028887 -102.000090606845 -738.853425254372</f>
        <v>-1424.2567018901041</v>
      </c>
      <c r="P2233">
        <f>-579.766169956949 -107.330252684638 -422.397156967151</f>
        <v>-1109.4935796087379</v>
      </c>
      <c r="Q2233">
        <f>-335.837790622551 -23.5863713489241 -455.982089614222</f>
        <v>-815.40625158569708</v>
      </c>
      <c r="R2233" t="s">
        <v>43249</v>
      </c>
      <c r="S2233" t="s">
        <v>43250</v>
      </c>
      <c r="T2233" t="s">
        <v>43251</v>
      </c>
      <c r="U2233" t="s">
        <v>43252</v>
      </c>
      <c r="V2233" t="s">
        <v>43253</v>
      </c>
      <c r="W2233" t="s">
        <v>43254</v>
      </c>
      <c r="X2233" t="s">
        <v>43255</v>
      </c>
      <c r="Y2233" t="s">
        <v>43256</v>
      </c>
    </row>
    <row r="2234" spans="1:25" x14ac:dyDescent="0.3">
      <c r="A2234">
        <v>111650</v>
      </c>
      <c r="B2234" t="s">
        <v>43257</v>
      </c>
      <c r="C2234" t="s">
        <v>43258</v>
      </c>
      <c r="D2234" t="s">
        <v>43259</v>
      </c>
      <c r="E2234" t="s">
        <v>43260</v>
      </c>
      <c r="F2234" t="s">
        <v>43261</v>
      </c>
      <c r="G2234" t="s">
        <v>43262</v>
      </c>
      <c r="H2234" t="s">
        <v>43263</v>
      </c>
      <c r="I2234" t="s">
        <v>43264</v>
      </c>
      <c r="J2234" t="s">
        <v>43265</v>
      </c>
      <c r="K2234" t="s">
        <v>43266</v>
      </c>
      <c r="L2234" t="s">
        <v>43267</v>
      </c>
      <c r="M2234" t="s">
        <v>43268</v>
      </c>
      <c r="N2234" t="s">
        <v>43269</v>
      </c>
      <c r="O2234">
        <f>-585.047484691409 -98.3655885536373 -737.061508343215</f>
        <v>-1420.4745815882611</v>
      </c>
      <c r="P2234">
        <f>-583.017860637643 -102.180189547851 -420.568966622295</f>
        <v>-1105.7670168077891</v>
      </c>
      <c r="Q2234">
        <f>-337.092680583947 -25.5451484862772 -456.484711734782</f>
        <v>-819.12254080500622</v>
      </c>
      <c r="R2234" t="s">
        <v>43270</v>
      </c>
      <c r="S2234" t="s">
        <v>43271</v>
      </c>
      <c r="T2234" t="s">
        <v>43272</v>
      </c>
      <c r="U2234" t="s">
        <v>43273</v>
      </c>
      <c r="V2234" t="s">
        <v>43274</v>
      </c>
      <c r="W2234" t="s">
        <v>43275</v>
      </c>
      <c r="X2234" t="s">
        <v>43276</v>
      </c>
      <c r="Y2234" t="s">
        <v>43277</v>
      </c>
    </row>
    <row r="2235" spans="1:25" x14ac:dyDescent="0.3">
      <c r="A2235">
        <v>111700</v>
      </c>
      <c r="B2235" t="s">
        <v>43278</v>
      </c>
      <c r="C2235" t="s">
        <v>43279</v>
      </c>
      <c r="D2235" t="s">
        <v>43280</v>
      </c>
      <c r="E2235" t="s">
        <v>43281</v>
      </c>
      <c r="F2235" t="s">
        <v>43282</v>
      </c>
      <c r="G2235" t="s">
        <v>43283</v>
      </c>
      <c r="H2235" t="s">
        <v>43284</v>
      </c>
      <c r="I2235" t="s">
        <v>43285</v>
      </c>
      <c r="J2235" t="s">
        <v>43286</v>
      </c>
      <c r="K2235" t="s">
        <v>43287</v>
      </c>
      <c r="L2235" t="s">
        <v>43288</v>
      </c>
      <c r="M2235" t="s">
        <v>43289</v>
      </c>
      <c r="N2235" t="s">
        <v>43290</v>
      </c>
      <c r="O2235">
        <f>-585.287993761076 -96.9269338787516 -736.735488088759</f>
        <v>-1418.9504157285864</v>
      </c>
      <c r="P2235">
        <f>-584.937958785798 -102.028834384766 -420.254730628304</f>
        <v>-1107.221523798868</v>
      </c>
      <c r="Q2235">
        <f>-339.185858217712 -25.8435055953148 -458.251788669545</f>
        <v>-823.28115248257177</v>
      </c>
      <c r="R2235" t="s">
        <v>43291</v>
      </c>
      <c r="S2235" t="s">
        <v>43292</v>
      </c>
      <c r="T2235" t="s">
        <v>43293</v>
      </c>
      <c r="U2235" t="s">
        <v>43294</v>
      </c>
      <c r="V2235" t="s">
        <v>43295</v>
      </c>
      <c r="W2235" t="s">
        <v>43296</v>
      </c>
      <c r="X2235" t="s">
        <v>43297</v>
      </c>
      <c r="Y2235" t="s">
        <v>43298</v>
      </c>
    </row>
    <row r="2236" spans="1:25" x14ac:dyDescent="0.3">
      <c r="A2236">
        <v>111750</v>
      </c>
      <c r="B2236" t="s">
        <v>43299</v>
      </c>
      <c r="C2236" t="s">
        <v>43300</v>
      </c>
      <c r="D2236" t="s">
        <v>43301</v>
      </c>
      <c r="E2236" t="s">
        <v>43302</v>
      </c>
      <c r="F2236" t="s">
        <v>43303</v>
      </c>
      <c r="G2236" t="s">
        <v>43304</v>
      </c>
      <c r="H2236" t="s">
        <v>43305</v>
      </c>
      <c r="I2236" t="s">
        <v>43306</v>
      </c>
      <c r="J2236" t="s">
        <v>43307</v>
      </c>
      <c r="K2236" t="s">
        <v>43308</v>
      </c>
      <c r="L2236" t="s">
        <v>43309</v>
      </c>
      <c r="M2236" t="s">
        <v>43310</v>
      </c>
      <c r="N2236" t="s">
        <v>43311</v>
      </c>
      <c r="O2236">
        <f>-585.058243858317 -93.6871449859408 -736.914853288831</f>
        <v>-1415.6602421330888</v>
      </c>
      <c r="P2236">
        <f>-587.093145074715 -99.6420498102939 -420.455538761143</f>
        <v>-1107.1907336461518</v>
      </c>
      <c r="Q2236">
        <f>-341.175005653832 -25.3428642015532 -461.02568650395</f>
        <v>-827.54355635933518</v>
      </c>
      <c r="R2236" t="s">
        <v>43312</v>
      </c>
      <c r="S2236" t="s">
        <v>43313</v>
      </c>
      <c r="T2236" t="s">
        <v>43314</v>
      </c>
      <c r="U2236" t="s">
        <v>43315</v>
      </c>
      <c r="V2236" t="s">
        <v>43316</v>
      </c>
      <c r="W2236" t="s">
        <v>43317</v>
      </c>
      <c r="X2236" t="s">
        <v>43318</v>
      </c>
      <c r="Y2236" t="s">
        <v>43319</v>
      </c>
    </row>
    <row r="2237" spans="1:25" x14ac:dyDescent="0.3">
      <c r="A2237">
        <v>111800</v>
      </c>
      <c r="B2237" t="s">
        <v>43320</v>
      </c>
      <c r="C2237" t="s">
        <v>43321</v>
      </c>
      <c r="D2237" t="s">
        <v>43322</v>
      </c>
      <c r="E2237" t="s">
        <v>43323</v>
      </c>
      <c r="F2237" t="s">
        <v>43324</v>
      </c>
      <c r="G2237" t="s">
        <v>43325</v>
      </c>
      <c r="H2237" t="s">
        <v>43326</v>
      </c>
      <c r="I2237" t="s">
        <v>43327</v>
      </c>
      <c r="J2237" t="s">
        <v>43328</v>
      </c>
      <c r="K2237" t="s">
        <v>43329</v>
      </c>
      <c r="L2237" t="s">
        <v>43330</v>
      </c>
      <c r="M2237" t="s">
        <v>43331</v>
      </c>
      <c r="N2237" t="s">
        <v>43332</v>
      </c>
      <c r="O2237">
        <f>-584.676665726185 -92.6522514501808 -736.853995145354</f>
        <v>-1414.1829123217199</v>
      </c>
      <c r="P2237">
        <f>-586.799473161919 -98.7070748252192 -420.396989318417</f>
        <v>-1105.9035373055553</v>
      </c>
      <c r="Q2237">
        <f>-340.794954691871 -24.6949908693945 -460.968522545567</f>
        <v>-826.45846810683247</v>
      </c>
      <c r="R2237" t="s">
        <v>43333</v>
      </c>
      <c r="S2237" t="s">
        <v>43334</v>
      </c>
      <c r="T2237" t="s">
        <v>43335</v>
      </c>
      <c r="U2237" t="s">
        <v>43336</v>
      </c>
      <c r="V2237" t="s">
        <v>43337</v>
      </c>
      <c r="W2237" t="s">
        <v>43338</v>
      </c>
      <c r="X2237" t="s">
        <v>43339</v>
      </c>
      <c r="Y2237" t="s">
        <v>43340</v>
      </c>
    </row>
    <row r="2238" spans="1:25" x14ac:dyDescent="0.3">
      <c r="A2238">
        <v>111850</v>
      </c>
      <c r="B2238" t="s">
        <v>43341</v>
      </c>
      <c r="C2238" t="s">
        <v>43342</v>
      </c>
      <c r="D2238" t="s">
        <v>43343</v>
      </c>
      <c r="E2238" t="s">
        <v>43344</v>
      </c>
      <c r="F2238" t="s">
        <v>43345</v>
      </c>
      <c r="G2238" t="s">
        <v>43346</v>
      </c>
      <c r="H2238" t="s">
        <v>43347</v>
      </c>
      <c r="I2238" t="s">
        <v>43348</v>
      </c>
      <c r="J2238" t="s">
        <v>43349</v>
      </c>
      <c r="K2238" t="s">
        <v>43350</v>
      </c>
      <c r="L2238" t="s">
        <v>43351</v>
      </c>
      <c r="M2238" t="s">
        <v>43352</v>
      </c>
      <c r="N2238" t="s">
        <v>43353</v>
      </c>
      <c r="O2238">
        <f>-583.739793337354 -91.6791117781654 -736.346622226292</f>
        <v>-1411.7655273418113</v>
      </c>
      <c r="P2238">
        <f>-584.879831397478 -96.0842777430136 -419.857320059622</f>
        <v>-1100.8214292001135</v>
      </c>
      <c r="Q2238">
        <f>-337.995964186913 -24.5817080460046 -459.578848098967</f>
        <v>-822.15652033188462</v>
      </c>
      <c r="R2238" t="s">
        <v>43354</v>
      </c>
      <c r="S2238" t="s">
        <v>43355</v>
      </c>
      <c r="T2238" t="s">
        <v>43356</v>
      </c>
      <c r="U2238" t="s">
        <v>43357</v>
      </c>
      <c r="V2238" t="s">
        <v>43358</v>
      </c>
      <c r="W2238" t="s">
        <v>43359</v>
      </c>
      <c r="X2238" t="s">
        <v>43360</v>
      </c>
      <c r="Y2238" t="s">
        <v>43361</v>
      </c>
    </row>
    <row r="2239" spans="1:25" x14ac:dyDescent="0.3">
      <c r="A2239">
        <v>111900</v>
      </c>
      <c r="B2239" t="s">
        <v>43362</v>
      </c>
      <c r="C2239" t="s">
        <v>43363</v>
      </c>
      <c r="D2239" t="s">
        <v>43364</v>
      </c>
      <c r="E2239" t="s">
        <v>43365</v>
      </c>
      <c r="F2239" t="s">
        <v>43366</v>
      </c>
      <c r="G2239" t="s">
        <v>43367</v>
      </c>
      <c r="H2239" t="s">
        <v>43368</v>
      </c>
      <c r="I2239" t="s">
        <v>43369</v>
      </c>
      <c r="J2239" t="s">
        <v>43370</v>
      </c>
      <c r="K2239" t="s">
        <v>43371</v>
      </c>
      <c r="L2239" t="s">
        <v>43372</v>
      </c>
      <c r="M2239" t="s">
        <v>43373</v>
      </c>
      <c r="N2239" t="s">
        <v>43374</v>
      </c>
      <c r="O2239">
        <f>-582.386520239645 -91.2525019083333 -736.26479254686</f>
        <v>-1409.9038146948383</v>
      </c>
      <c r="P2239">
        <f>-583.550227216694 -95.1208115866707 -419.76858673391</f>
        <v>-1098.4396255372747</v>
      </c>
      <c r="Q2239">
        <f>-336.347364815645 -24.328562740046 -458.771482419078</f>
        <v>-819.44740997476902</v>
      </c>
      <c r="R2239" t="s">
        <v>43375</v>
      </c>
      <c r="S2239" t="s">
        <v>43376</v>
      </c>
      <c r="T2239" t="s">
        <v>43377</v>
      </c>
      <c r="U2239" t="s">
        <v>43378</v>
      </c>
      <c r="V2239" t="s">
        <v>43379</v>
      </c>
      <c r="W2239" t="s">
        <v>43380</v>
      </c>
      <c r="X2239" t="s">
        <v>43381</v>
      </c>
      <c r="Y2239" t="s">
        <v>43382</v>
      </c>
    </row>
    <row r="2240" spans="1:25" x14ac:dyDescent="0.3">
      <c r="A2240">
        <v>111950</v>
      </c>
      <c r="B2240" t="s">
        <v>43383</v>
      </c>
      <c r="C2240" t="s">
        <v>43384</v>
      </c>
      <c r="D2240" t="s">
        <v>43385</v>
      </c>
      <c r="E2240" t="s">
        <v>43386</v>
      </c>
      <c r="F2240" t="s">
        <v>43387</v>
      </c>
      <c r="G2240" t="s">
        <v>43388</v>
      </c>
      <c r="H2240" t="s">
        <v>43389</v>
      </c>
      <c r="I2240" t="s">
        <v>43390</v>
      </c>
      <c r="J2240" t="s">
        <v>43391</v>
      </c>
      <c r="K2240" t="s">
        <v>43392</v>
      </c>
      <c r="L2240" t="s">
        <v>43393</v>
      </c>
      <c r="M2240" t="s">
        <v>43394</v>
      </c>
      <c r="N2240" t="s">
        <v>43395</v>
      </c>
      <c r="O2240">
        <f>-579.69953046974 -89.5866687552474 -737.809197684117</f>
        <v>-1407.0953969091042</v>
      </c>
      <c r="P2240">
        <f>-582.217062527454 -93.4319929278499 -421.320495428962</f>
        <v>-1096.969550884266</v>
      </c>
      <c r="Q2240">
        <f>-334.748319536565 -22.7572617256645 -458.821852912339</f>
        <v>-816.32743417456845</v>
      </c>
      <c r="R2240" t="s">
        <v>43396</v>
      </c>
      <c r="S2240" t="s">
        <v>43397</v>
      </c>
      <c r="T2240" t="s">
        <v>43398</v>
      </c>
      <c r="U2240" t="s">
        <v>43399</v>
      </c>
      <c r="V2240" t="s">
        <v>43400</v>
      </c>
      <c r="W2240" t="s">
        <v>43401</v>
      </c>
      <c r="X2240" t="s">
        <v>43402</v>
      </c>
      <c r="Y2240" t="s">
        <v>43403</v>
      </c>
    </row>
    <row r="2241" spans="1:25" x14ac:dyDescent="0.3">
      <c r="A2241">
        <v>112000</v>
      </c>
      <c r="B2241" t="s">
        <v>43404</v>
      </c>
      <c r="C2241" t="s">
        <v>43405</v>
      </c>
      <c r="D2241" t="s">
        <v>43406</v>
      </c>
      <c r="E2241" t="s">
        <v>43407</v>
      </c>
      <c r="F2241" t="s">
        <v>43408</v>
      </c>
      <c r="G2241" t="s">
        <v>43409</v>
      </c>
      <c r="H2241" t="s">
        <v>43410</v>
      </c>
      <c r="I2241" t="s">
        <v>43411</v>
      </c>
      <c r="J2241" t="s">
        <v>43412</v>
      </c>
      <c r="K2241" t="s">
        <v>43413</v>
      </c>
      <c r="L2241" t="s">
        <v>43414</v>
      </c>
      <c r="M2241" t="s">
        <v>43415</v>
      </c>
      <c r="N2241" t="s">
        <v>43416</v>
      </c>
      <c r="O2241">
        <f>-578.269773548661 -88.6150191101227 -739.553337850848</f>
        <v>-1406.4381305096317</v>
      </c>
      <c r="P2241">
        <f>-581.825400217952 -92.7204894358028 -423.077848045261</f>
        <v>-1097.6237376990159</v>
      </c>
      <c r="Q2241">
        <f>-334.355641833063 -21.5976551691112 -459.715729638849</f>
        <v>-815.66902664102315</v>
      </c>
      <c r="R2241" t="s">
        <v>43417</v>
      </c>
      <c r="S2241" t="s">
        <v>43418</v>
      </c>
      <c r="T2241" t="s">
        <v>43419</v>
      </c>
      <c r="U2241" t="s">
        <v>43420</v>
      </c>
      <c r="V2241" t="s">
        <v>43421</v>
      </c>
      <c r="W2241" t="s">
        <v>43422</v>
      </c>
      <c r="X2241" t="s">
        <v>43423</v>
      </c>
      <c r="Y2241" t="s">
        <v>43424</v>
      </c>
    </row>
    <row r="2242" spans="1:25" x14ac:dyDescent="0.3">
      <c r="A2242">
        <v>112050</v>
      </c>
      <c r="B2242" t="s">
        <v>43425</v>
      </c>
      <c r="C2242" t="s">
        <v>43426</v>
      </c>
      <c r="D2242" t="s">
        <v>43427</v>
      </c>
      <c r="E2242" t="s">
        <v>43428</v>
      </c>
      <c r="F2242" t="s">
        <v>43429</v>
      </c>
      <c r="G2242" t="s">
        <v>43430</v>
      </c>
      <c r="H2242" t="s">
        <v>43431</v>
      </c>
      <c r="I2242" t="s">
        <v>43432</v>
      </c>
      <c r="J2242" t="s">
        <v>43433</v>
      </c>
      <c r="K2242" t="s">
        <v>43434</v>
      </c>
      <c r="L2242" t="s">
        <v>43435</v>
      </c>
      <c r="M2242" t="s">
        <v>43436</v>
      </c>
      <c r="N2242" t="s">
        <v>43437</v>
      </c>
      <c r="O2242">
        <f>-575.977069362428 -87.7922983860919 -742.591136649613</f>
        <v>-1406.3605043981329</v>
      </c>
      <c r="P2242">
        <f>-581.370491364488 -93.0908203237934 -426.159391958788</f>
        <v>-1100.6207036470694</v>
      </c>
      <c r="Q2242">
        <f>-334.199766354766 -20.2479160740245 -461.409925489237</f>
        <v>-815.8576079180275</v>
      </c>
      <c r="R2242" t="s">
        <v>43438</v>
      </c>
      <c r="S2242" t="s">
        <v>43439</v>
      </c>
      <c r="T2242" t="s">
        <v>43440</v>
      </c>
      <c r="U2242" t="s">
        <v>43441</v>
      </c>
      <c r="V2242" t="s">
        <v>43442</v>
      </c>
      <c r="W2242" t="s">
        <v>43443</v>
      </c>
      <c r="X2242" t="s">
        <v>43444</v>
      </c>
      <c r="Y2242" t="s">
        <v>43445</v>
      </c>
    </row>
    <row r="2243" spans="1:25" x14ac:dyDescent="0.3">
      <c r="A2243">
        <v>112100</v>
      </c>
      <c r="B2243" t="s">
        <v>43446</v>
      </c>
      <c r="C2243" t="s">
        <v>43447</v>
      </c>
      <c r="D2243" t="s">
        <v>43448</v>
      </c>
      <c r="E2243" t="s">
        <v>43449</v>
      </c>
      <c r="F2243" t="s">
        <v>43450</v>
      </c>
      <c r="G2243" t="s">
        <v>43451</v>
      </c>
      <c r="H2243" t="s">
        <v>43452</v>
      </c>
      <c r="I2243" t="s">
        <v>43453</v>
      </c>
      <c r="J2243" t="s">
        <v>43454</v>
      </c>
      <c r="K2243" t="s">
        <v>43455</v>
      </c>
      <c r="L2243" t="s">
        <v>43456</v>
      </c>
      <c r="M2243" t="s">
        <v>43457</v>
      </c>
      <c r="N2243" t="s">
        <v>43458</v>
      </c>
      <c r="O2243">
        <f>-575.462190283927 -87.2006468782304 -743.523435554813</f>
        <v>-1406.1862727169705</v>
      </c>
      <c r="P2243">
        <f>-581.233723046574 -92.8198984979947 -427.104004474193</f>
        <v>-1101.1576260187617</v>
      </c>
      <c r="Q2243">
        <f>-334.351945205304 -18.8282424256538 -461.984926404499</f>
        <v>-815.16511403545678</v>
      </c>
      <c r="R2243" t="s">
        <v>43459</v>
      </c>
      <c r="S2243" t="s">
        <v>43460</v>
      </c>
      <c r="T2243" t="s">
        <v>43461</v>
      </c>
      <c r="U2243" t="s">
        <v>43462</v>
      </c>
      <c r="V2243" t="s">
        <v>43463</v>
      </c>
      <c r="W2243" t="s">
        <v>43464</v>
      </c>
      <c r="X2243" t="s">
        <v>43465</v>
      </c>
      <c r="Y2243" t="s">
        <v>43466</v>
      </c>
    </row>
    <row r="2244" spans="1:25" x14ac:dyDescent="0.3">
      <c r="A2244">
        <v>112150</v>
      </c>
      <c r="B2244" t="s">
        <v>43467</v>
      </c>
      <c r="C2244" t="s">
        <v>43468</v>
      </c>
      <c r="D2244" t="s">
        <v>43469</v>
      </c>
      <c r="E2244" t="s">
        <v>43470</v>
      </c>
      <c r="F2244" t="s">
        <v>43471</v>
      </c>
      <c r="G2244" t="s">
        <v>43472</v>
      </c>
      <c r="H2244" t="s">
        <v>43473</v>
      </c>
      <c r="I2244" t="s">
        <v>43474</v>
      </c>
      <c r="J2244" t="s">
        <v>43475</v>
      </c>
      <c r="K2244" t="s">
        <v>43476</v>
      </c>
      <c r="L2244" t="s">
        <v>43477</v>
      </c>
      <c r="M2244" t="s">
        <v>43478</v>
      </c>
      <c r="N2244" t="s">
        <v>43479</v>
      </c>
      <c r="O2244">
        <f>-573.87093706443 -86.2239431465082 -744.489550049283</f>
        <v>-1404.5844302602213</v>
      </c>
      <c r="P2244">
        <f>-579.972909988228 -93.0589685970796 -428.100124464838</f>
        <v>-1101.1320030501456</v>
      </c>
      <c r="Q2244">
        <f>-333.972757372342 -15.8497773603789 -462.228134221651</f>
        <v>-812.05066895437187</v>
      </c>
      <c r="R2244" t="s">
        <v>43480</v>
      </c>
      <c r="S2244" t="s">
        <v>43481</v>
      </c>
      <c r="T2244" t="s">
        <v>43482</v>
      </c>
      <c r="U2244" t="s">
        <v>43483</v>
      </c>
      <c r="V2244" t="s">
        <v>43484</v>
      </c>
      <c r="W2244" t="s">
        <v>43485</v>
      </c>
      <c r="X2244" t="s">
        <v>43486</v>
      </c>
      <c r="Y2244" t="s">
        <v>43487</v>
      </c>
    </row>
    <row r="2245" spans="1:25" x14ac:dyDescent="0.3">
      <c r="A2245">
        <v>112200</v>
      </c>
      <c r="B2245" t="s">
        <v>43488</v>
      </c>
      <c r="C2245" t="s">
        <v>43489</v>
      </c>
      <c r="D2245" t="s">
        <v>43490</v>
      </c>
      <c r="E2245" t="s">
        <v>43491</v>
      </c>
      <c r="F2245" t="s">
        <v>43492</v>
      </c>
      <c r="G2245" t="s">
        <v>43493</v>
      </c>
      <c r="H2245" t="s">
        <v>43494</v>
      </c>
      <c r="I2245" t="s">
        <v>43495</v>
      </c>
      <c r="J2245" t="s">
        <v>43496</v>
      </c>
      <c r="K2245" t="s">
        <v>43497</v>
      </c>
      <c r="L2245" t="s">
        <v>43498</v>
      </c>
      <c r="M2245" t="s">
        <v>43499</v>
      </c>
      <c r="N2245" t="s">
        <v>43500</v>
      </c>
      <c r="O2245">
        <f>-573.318053121412 -85.7293066740005 -744.648134938483</f>
        <v>-1403.6954947338957</v>
      </c>
      <c r="P2245">
        <f>-579.501800918287 -93.3522264400338 -428.278281474113</f>
        <v>-1101.1323088324339</v>
      </c>
      <c r="Q2245">
        <f>-333.985084937565 -14.4810730746216 -462.085908775116</f>
        <v>-810.55206678730258</v>
      </c>
      <c r="R2245" t="s">
        <v>43501</v>
      </c>
      <c r="S2245" t="s">
        <v>43502</v>
      </c>
      <c r="T2245" t="s">
        <v>43503</v>
      </c>
      <c r="U2245" t="s">
        <v>43504</v>
      </c>
      <c r="V2245" t="s">
        <v>43505</v>
      </c>
      <c r="W2245" t="s">
        <v>43506</v>
      </c>
      <c r="X2245" t="s">
        <v>43507</v>
      </c>
      <c r="Y2245" t="s">
        <v>43508</v>
      </c>
    </row>
    <row r="2246" spans="1:25" x14ac:dyDescent="0.3">
      <c r="A2246">
        <v>112250</v>
      </c>
      <c r="B2246" t="s">
        <v>43509</v>
      </c>
      <c r="C2246" t="s">
        <v>43510</v>
      </c>
      <c r="D2246" t="s">
        <v>43511</v>
      </c>
      <c r="E2246" t="s">
        <v>43512</v>
      </c>
      <c r="F2246" t="s">
        <v>43513</v>
      </c>
      <c r="G2246" t="s">
        <v>43514</v>
      </c>
      <c r="H2246" t="s">
        <v>43515</v>
      </c>
      <c r="I2246" t="s">
        <v>43516</v>
      </c>
      <c r="J2246" t="s">
        <v>43517</v>
      </c>
      <c r="K2246" t="s">
        <v>43518</v>
      </c>
      <c r="L2246" t="s">
        <v>43519</v>
      </c>
      <c r="M2246" t="s">
        <v>43520</v>
      </c>
      <c r="N2246" t="s">
        <v>43521</v>
      </c>
      <c r="O2246">
        <f>-571.934008792583 -84.9184301277388 -745.04935800219</f>
        <v>-1401.9017969225119</v>
      </c>
      <c r="P2246">
        <f>-577.283884016405 -92.8579776567867 -428.672199957669</f>
        <v>-1098.8140616308606</v>
      </c>
      <c r="Q2246">
        <f>-332.030784866922 -12.5498437474332 -460.977209400066</f>
        <v>-805.55783801442112</v>
      </c>
      <c r="R2246" t="s">
        <v>43522</v>
      </c>
      <c r="S2246" t="s">
        <v>43523</v>
      </c>
      <c r="T2246" t="s">
        <v>43524</v>
      </c>
      <c r="U2246" t="s">
        <v>43525</v>
      </c>
      <c r="V2246" t="s">
        <v>43526</v>
      </c>
      <c r="W2246" t="s">
        <v>43527</v>
      </c>
      <c r="X2246" t="s">
        <v>43528</v>
      </c>
      <c r="Y2246" t="s">
        <v>43529</v>
      </c>
    </row>
    <row r="2247" spans="1:25" x14ac:dyDescent="0.3">
      <c r="A2247">
        <v>112300</v>
      </c>
      <c r="B2247" t="s">
        <v>43530</v>
      </c>
      <c r="C2247" t="s">
        <v>43531</v>
      </c>
      <c r="D2247" t="s">
        <v>43532</v>
      </c>
      <c r="E2247" t="s">
        <v>43533</v>
      </c>
      <c r="F2247" t="s">
        <v>43534</v>
      </c>
      <c r="G2247" t="s">
        <v>43535</v>
      </c>
      <c r="H2247" t="s">
        <v>43536</v>
      </c>
      <c r="I2247" t="s">
        <v>43537</v>
      </c>
      <c r="J2247" t="s">
        <v>43538</v>
      </c>
      <c r="K2247" t="s">
        <v>43539</v>
      </c>
      <c r="L2247" t="s">
        <v>43540</v>
      </c>
      <c r="M2247" t="s">
        <v>43541</v>
      </c>
      <c r="N2247" t="s">
        <v>43542</v>
      </c>
      <c r="O2247">
        <f>-571.331115077224 -84.4673937955257 -744.99138788058</f>
        <v>-1400.7898967533297</v>
      </c>
      <c r="P2247">
        <f>-576.77037630274 -92.221999649889 -428.611100599014</f>
        <v>-1097.6034765516429</v>
      </c>
      <c r="Q2247">
        <f>-331.688354412317 -11.3297340883186 -460.756393026699</f>
        <v>-803.77448152733461</v>
      </c>
      <c r="R2247" t="s">
        <v>43543</v>
      </c>
      <c r="S2247" t="s">
        <v>43544</v>
      </c>
      <c r="T2247" t="s">
        <v>43545</v>
      </c>
      <c r="U2247" t="s">
        <v>43546</v>
      </c>
      <c r="V2247" t="s">
        <v>43547</v>
      </c>
      <c r="W2247" t="s">
        <v>43548</v>
      </c>
      <c r="X2247" t="s">
        <v>43549</v>
      </c>
      <c r="Y2247" t="s">
        <v>43550</v>
      </c>
    </row>
    <row r="2248" spans="1:25" x14ac:dyDescent="0.3">
      <c r="A2248">
        <v>112350</v>
      </c>
      <c r="B2248" t="s">
        <v>43551</v>
      </c>
      <c r="C2248" t="s">
        <v>43552</v>
      </c>
      <c r="D2248" t="s">
        <v>43553</v>
      </c>
      <c r="E2248" t="s">
        <v>43554</v>
      </c>
      <c r="F2248" t="s">
        <v>43555</v>
      </c>
      <c r="G2248" t="s">
        <v>43556</v>
      </c>
      <c r="H2248" t="s">
        <v>43557</v>
      </c>
      <c r="I2248" t="s">
        <v>43558</v>
      </c>
      <c r="J2248" t="s">
        <v>43559</v>
      </c>
      <c r="K2248" t="s">
        <v>43560</v>
      </c>
      <c r="L2248" t="s">
        <v>43561</v>
      </c>
      <c r="M2248" t="s">
        <v>43562</v>
      </c>
      <c r="N2248" t="s">
        <v>43563</v>
      </c>
      <c r="O2248">
        <f>-570.018638076385 -82.8160831956817 -745.170785438777</f>
        <v>-1398.0055067108437</v>
      </c>
      <c r="P2248">
        <f>-575.15688264568 -91.1610850849057 -428.800532207684</f>
        <v>-1095.1184999382697</v>
      </c>
      <c r="Q2248">
        <f>-330.590003306638 -8.60033320205142 -460.625226653152</f>
        <v>-799.81556316184151</v>
      </c>
      <c r="R2248" t="s">
        <v>43564</v>
      </c>
      <c r="S2248" t="s">
        <v>43565</v>
      </c>
      <c r="T2248" t="s">
        <v>43566</v>
      </c>
      <c r="U2248" t="s">
        <v>43567</v>
      </c>
      <c r="V2248" t="s">
        <v>43568</v>
      </c>
      <c r="W2248" t="s">
        <v>43569</v>
      </c>
      <c r="X2248" t="s">
        <v>43570</v>
      </c>
      <c r="Y2248" t="s">
        <v>43571</v>
      </c>
    </row>
    <row r="2249" spans="1:25" x14ac:dyDescent="0.3">
      <c r="A2249">
        <v>112400</v>
      </c>
      <c r="B2249" t="s">
        <v>43572</v>
      </c>
      <c r="C2249" t="s">
        <v>43573</v>
      </c>
      <c r="D2249" t="s">
        <v>43574</v>
      </c>
      <c r="E2249" t="s">
        <v>43575</v>
      </c>
      <c r="F2249" t="s">
        <v>43576</v>
      </c>
      <c r="G2249" t="s">
        <v>43577</v>
      </c>
      <c r="H2249" t="s">
        <v>43578</v>
      </c>
      <c r="I2249" t="s">
        <v>43579</v>
      </c>
      <c r="J2249" t="s">
        <v>43580</v>
      </c>
      <c r="K2249" t="s">
        <v>43581</v>
      </c>
      <c r="L2249" t="s">
        <v>43582</v>
      </c>
      <c r="M2249" t="s">
        <v>43583</v>
      </c>
      <c r="N2249" t="s">
        <v>43584</v>
      </c>
      <c r="O2249">
        <f>-569.559411900163 -82.2405091450331 -745.311212558383</f>
        <v>-1397.1111336035792</v>
      </c>
      <c r="P2249">
        <f>-574.672050064632 -90.2652161680702 -428.932323458244</f>
        <v>-1093.8695896909462</v>
      </c>
      <c r="Q2249">
        <f>-330.14945294414 -7.32984937949229 -460.117299969464</f>
        <v>-797.59660229309634</v>
      </c>
      <c r="R2249" t="s">
        <v>43585</v>
      </c>
      <c r="S2249" t="s">
        <v>43586</v>
      </c>
      <c r="T2249" t="s">
        <v>43587</v>
      </c>
      <c r="U2249" t="s">
        <v>43588</v>
      </c>
      <c r="V2249" t="s">
        <v>43589</v>
      </c>
      <c r="W2249" t="s">
        <v>43590</v>
      </c>
      <c r="X2249" t="s">
        <v>43591</v>
      </c>
      <c r="Y2249" t="s">
        <v>43592</v>
      </c>
    </row>
    <row r="2250" spans="1:25" x14ac:dyDescent="0.3">
      <c r="A2250">
        <v>112450</v>
      </c>
      <c r="B2250" t="s">
        <v>43593</v>
      </c>
      <c r="C2250" t="s">
        <v>43594</v>
      </c>
      <c r="D2250" t="s">
        <v>43595</v>
      </c>
      <c r="E2250" t="s">
        <v>43596</v>
      </c>
      <c r="F2250" t="s">
        <v>43597</v>
      </c>
      <c r="G2250" t="s">
        <v>43598</v>
      </c>
      <c r="H2250" t="s">
        <v>43599</v>
      </c>
      <c r="I2250" t="s">
        <v>43600</v>
      </c>
      <c r="J2250" t="s">
        <v>43601</v>
      </c>
      <c r="K2250" t="s">
        <v>43602</v>
      </c>
      <c r="L2250" t="s">
        <v>43603</v>
      </c>
      <c r="M2250" t="s">
        <v>43604</v>
      </c>
      <c r="N2250" t="s">
        <v>43605</v>
      </c>
      <c r="O2250">
        <f>-568.394540250671 -81.2652585880125 -745.768047779778</f>
        <v>-1395.4278466184614</v>
      </c>
      <c r="P2250">
        <f>-574.507661301402 -89.0961711945439 -429.401938045144</f>
        <v>-1093.00577054109</v>
      </c>
      <c r="Q2250">
        <f>-330.049630052099 -5.22729583920409 -458.528168505489</f>
        <v>-793.80509439679213</v>
      </c>
      <c r="R2250" t="s">
        <v>43606</v>
      </c>
      <c r="S2250" t="s">
        <v>43607</v>
      </c>
      <c r="T2250" t="s">
        <v>43608</v>
      </c>
      <c r="U2250" t="s">
        <v>43609</v>
      </c>
      <c r="V2250" t="s">
        <v>43610</v>
      </c>
      <c r="W2250" t="s">
        <v>43611</v>
      </c>
      <c r="X2250" t="s">
        <v>43612</v>
      </c>
      <c r="Y2250" t="s">
        <v>43613</v>
      </c>
    </row>
    <row r="2251" spans="1:25" x14ac:dyDescent="0.3">
      <c r="A2251">
        <v>112500</v>
      </c>
      <c r="B2251" t="s">
        <v>43614</v>
      </c>
      <c r="C2251" t="s">
        <v>43615</v>
      </c>
      <c r="D2251" t="s">
        <v>43616</v>
      </c>
      <c r="E2251" t="s">
        <v>43617</v>
      </c>
      <c r="F2251" t="s">
        <v>43618</v>
      </c>
      <c r="G2251" t="s">
        <v>43619</v>
      </c>
      <c r="H2251" t="s">
        <v>43620</v>
      </c>
      <c r="I2251" t="s">
        <v>43621</v>
      </c>
      <c r="J2251" t="s">
        <v>43622</v>
      </c>
      <c r="K2251" t="s">
        <v>43623</v>
      </c>
      <c r="L2251" t="s">
        <v>43624</v>
      </c>
      <c r="M2251" t="s">
        <v>43625</v>
      </c>
      <c r="N2251" t="s">
        <v>43626</v>
      </c>
      <c r="O2251">
        <f>-567.981441800157 -80.8264877495637 -746.116851717623</f>
        <v>-1394.9247812673439</v>
      </c>
      <c r="P2251">
        <f>-574.784556139783 -88.5356798020184 -429.761737019426</f>
        <v>-1093.0819729612274</v>
      </c>
      <c r="Q2251">
        <f>-330.389489033037 -4.14143242222541 -457.880823792744</f>
        <v>-792.41174524800647</v>
      </c>
      <c r="R2251" t="s">
        <v>43627</v>
      </c>
      <c r="S2251" t="s">
        <v>43628</v>
      </c>
      <c r="T2251" t="s">
        <v>43629</v>
      </c>
      <c r="U2251" t="s">
        <v>43630</v>
      </c>
      <c r="V2251" t="s">
        <v>43631</v>
      </c>
      <c r="W2251" t="s">
        <v>43632</v>
      </c>
      <c r="X2251" t="s">
        <v>43633</v>
      </c>
      <c r="Y2251" t="s">
        <v>43634</v>
      </c>
    </row>
    <row r="2252" spans="1:25" x14ac:dyDescent="0.3">
      <c r="A2252">
        <v>112550</v>
      </c>
      <c r="B2252" t="s">
        <v>43635</v>
      </c>
      <c r="C2252" t="s">
        <v>43636</v>
      </c>
      <c r="D2252" t="s">
        <v>43637</v>
      </c>
      <c r="E2252" t="s">
        <v>43638</v>
      </c>
      <c r="F2252" t="s">
        <v>43639</v>
      </c>
      <c r="G2252" t="s">
        <v>43640</v>
      </c>
      <c r="H2252" t="s">
        <v>43641</v>
      </c>
      <c r="I2252" t="s">
        <v>43642</v>
      </c>
      <c r="J2252" t="s">
        <v>43643</v>
      </c>
      <c r="K2252" t="s">
        <v>43644</v>
      </c>
      <c r="L2252" t="s">
        <v>43645</v>
      </c>
      <c r="M2252" t="s">
        <v>43646</v>
      </c>
      <c r="N2252" t="s">
        <v>43647</v>
      </c>
      <c r="O2252">
        <f>-566.636322567839 -80.3752627047221 -746.890850507534</f>
        <v>-1393.9024357800949</v>
      </c>
      <c r="P2252">
        <f>-574.589485287253 -87.3011067479581 -430.544607905595</f>
        <v>-1092.4351999408061</v>
      </c>
      <c r="Q2252">
        <f>-330.213216333167 -2.42319143246708 -457.340138245943</f>
        <v>-789.97654601157706</v>
      </c>
      <c r="R2252" t="s">
        <v>43648</v>
      </c>
      <c r="S2252" t="s">
        <v>43649</v>
      </c>
      <c r="T2252" t="s">
        <v>43650</v>
      </c>
      <c r="U2252" t="s">
        <v>43651</v>
      </c>
      <c r="V2252" t="s">
        <v>43652</v>
      </c>
      <c r="W2252" t="s">
        <v>43653</v>
      </c>
      <c r="X2252" t="s">
        <v>43654</v>
      </c>
      <c r="Y2252" t="s">
        <v>43655</v>
      </c>
    </row>
    <row r="2253" spans="1:25" x14ac:dyDescent="0.3">
      <c r="A2253">
        <v>112600</v>
      </c>
      <c r="B2253" t="s">
        <v>43656</v>
      </c>
      <c r="C2253" t="s">
        <v>43657</v>
      </c>
      <c r="D2253" t="s">
        <v>43658</v>
      </c>
      <c r="E2253" t="s">
        <v>43659</v>
      </c>
      <c r="F2253" t="s">
        <v>43660</v>
      </c>
      <c r="G2253" t="s">
        <v>43661</v>
      </c>
      <c r="H2253" t="s">
        <v>43662</v>
      </c>
      <c r="I2253" t="s">
        <v>43663</v>
      </c>
      <c r="J2253" t="s">
        <v>43664</v>
      </c>
      <c r="K2253" t="s">
        <v>43665</v>
      </c>
      <c r="L2253" t="s">
        <v>43666</v>
      </c>
      <c r="M2253" t="s">
        <v>43667</v>
      </c>
      <c r="N2253" t="s">
        <v>43668</v>
      </c>
      <c r="O2253">
        <f>-566.167707508421 -80.0608062608441 -747.284866203909</f>
        <v>-1393.5133799731741</v>
      </c>
      <c r="P2253">
        <f>-574.332909668798 -86.6314390080252 -430.936342656124</f>
        <v>-1091.9006913329472</v>
      </c>
      <c r="Q2253">
        <f>-329.914873174103 -1.67902249384925 -457.107506583008</f>
        <v>-788.7014022509602</v>
      </c>
      <c r="R2253" t="s">
        <v>43669</v>
      </c>
      <c r="S2253" t="s">
        <v>43670</v>
      </c>
      <c r="T2253" t="s">
        <v>43671</v>
      </c>
      <c r="U2253" t="s">
        <v>43672</v>
      </c>
      <c r="V2253" t="s">
        <v>43673</v>
      </c>
      <c r="W2253" t="s">
        <v>43674</v>
      </c>
      <c r="X2253" t="s">
        <v>43675</v>
      </c>
      <c r="Y2253" t="s">
        <v>43676</v>
      </c>
    </row>
    <row r="2254" spans="1:25" x14ac:dyDescent="0.3">
      <c r="A2254">
        <v>112650</v>
      </c>
      <c r="B2254" t="s">
        <v>43677</v>
      </c>
      <c r="C2254" t="s">
        <v>43678</v>
      </c>
      <c r="D2254" t="s">
        <v>43679</v>
      </c>
      <c r="E2254" t="s">
        <v>43680</v>
      </c>
      <c r="F2254" t="s">
        <v>43681</v>
      </c>
      <c r="G2254" t="s">
        <v>43682</v>
      </c>
      <c r="H2254" t="s">
        <v>43683</v>
      </c>
      <c r="I2254" t="s">
        <v>43684</v>
      </c>
      <c r="J2254" t="s">
        <v>43685</v>
      </c>
      <c r="K2254" t="s">
        <v>43686</v>
      </c>
      <c r="L2254" t="s">
        <v>43687</v>
      </c>
      <c r="M2254" t="s">
        <v>43688</v>
      </c>
      <c r="N2254" t="s">
        <v>43689</v>
      </c>
      <c r="O2254">
        <f>-565.442614163307 -78.8398301035678 -747.912550394812</f>
        <v>-1392.1949946616869</v>
      </c>
      <c r="P2254">
        <f>-573.95343625837 -85.3933655606372 -431.572771666027</f>
        <v>-1090.9195734850341</v>
      </c>
      <c r="Q2254" t="s">
        <v>43690</v>
      </c>
      <c r="R2254" t="s">
        <v>43691</v>
      </c>
      <c r="S2254" t="s">
        <v>43692</v>
      </c>
      <c r="T2254" t="s">
        <v>43693</v>
      </c>
      <c r="U2254" t="s">
        <v>43694</v>
      </c>
      <c r="V2254" t="s">
        <v>43695</v>
      </c>
      <c r="W2254" t="s">
        <v>43696</v>
      </c>
      <c r="X2254" t="s">
        <v>43697</v>
      </c>
      <c r="Y2254" t="s">
        <v>43698</v>
      </c>
    </row>
    <row r="2255" spans="1:25" x14ac:dyDescent="0.3">
      <c r="A2255">
        <v>112700</v>
      </c>
      <c r="B2255" t="s">
        <v>43699</v>
      </c>
      <c r="C2255" t="s">
        <v>43700</v>
      </c>
      <c r="D2255" t="s">
        <v>43701</v>
      </c>
      <c r="E2255" t="s">
        <v>43702</v>
      </c>
      <c r="F2255" t="s">
        <v>43703</v>
      </c>
      <c r="G2255" t="s">
        <v>43704</v>
      </c>
      <c r="H2255" t="s">
        <v>43705</v>
      </c>
      <c r="I2255" t="s">
        <v>43706</v>
      </c>
      <c r="J2255" t="s">
        <v>43707</v>
      </c>
      <c r="K2255" t="s">
        <v>43708</v>
      </c>
      <c r="L2255" t="s">
        <v>43709</v>
      </c>
      <c r="M2255" t="s">
        <v>43710</v>
      </c>
      <c r="N2255" t="s">
        <v>43711</v>
      </c>
      <c r="O2255">
        <f>-565.24401620847 -78.502533868162 -748.094623507877</f>
        <v>-1391.8411735845091</v>
      </c>
      <c r="P2255">
        <f>-573.716999641924 -85.359532109357 -431.760243788631</f>
        <v>-1090.836775539912</v>
      </c>
      <c r="Q2255" t="s">
        <v>43712</v>
      </c>
      <c r="R2255" t="s">
        <v>43713</v>
      </c>
      <c r="S2255" t="s">
        <v>43714</v>
      </c>
      <c r="T2255" t="s">
        <v>43715</v>
      </c>
      <c r="U2255" t="s">
        <v>43716</v>
      </c>
      <c r="V2255" t="s">
        <v>43717</v>
      </c>
      <c r="W2255" t="s">
        <v>43718</v>
      </c>
      <c r="X2255" t="s">
        <v>43719</v>
      </c>
      <c r="Y2255" t="s">
        <v>43720</v>
      </c>
    </row>
    <row r="2256" spans="1:25" x14ac:dyDescent="0.3">
      <c r="A2256">
        <v>112750</v>
      </c>
      <c r="B2256" t="s">
        <v>43721</v>
      </c>
      <c r="C2256" t="s">
        <v>43722</v>
      </c>
      <c r="D2256" t="s">
        <v>43723</v>
      </c>
      <c r="E2256" t="s">
        <v>43724</v>
      </c>
      <c r="F2256" t="s">
        <v>43725</v>
      </c>
      <c r="G2256" t="s">
        <v>43726</v>
      </c>
      <c r="H2256" t="s">
        <v>43727</v>
      </c>
      <c r="I2256" t="s">
        <v>43728</v>
      </c>
      <c r="J2256" t="s">
        <v>43729</v>
      </c>
      <c r="K2256" t="s">
        <v>43730</v>
      </c>
      <c r="L2256" t="s">
        <v>43731</v>
      </c>
      <c r="M2256" t="s">
        <v>43732</v>
      </c>
      <c r="N2256" t="s">
        <v>43733</v>
      </c>
      <c r="O2256">
        <f>-564.491186537877 -78.0063559700194 -748.225410995653</f>
        <v>-1390.7229535035494</v>
      </c>
      <c r="P2256">
        <f>-573.289682957861 -85.4594849726181 -431.913487917848</f>
        <v>-1090.6626558483272</v>
      </c>
      <c r="Q2256" t="s">
        <v>43734</v>
      </c>
      <c r="R2256" t="s">
        <v>43735</v>
      </c>
      <c r="S2256" t="s">
        <v>43736</v>
      </c>
      <c r="T2256" t="s">
        <v>43737</v>
      </c>
      <c r="U2256" t="s">
        <v>43738</v>
      </c>
      <c r="V2256" t="s">
        <v>43739</v>
      </c>
      <c r="W2256" t="s">
        <v>43740</v>
      </c>
      <c r="X2256" t="s">
        <v>43741</v>
      </c>
      <c r="Y2256" t="s">
        <v>43742</v>
      </c>
    </row>
    <row r="2257" spans="1:25" x14ac:dyDescent="0.3">
      <c r="A2257">
        <v>112800</v>
      </c>
      <c r="B2257" t="s">
        <v>43743</v>
      </c>
      <c r="C2257" t="s">
        <v>43744</v>
      </c>
      <c r="D2257" t="s">
        <v>43745</v>
      </c>
      <c r="E2257" t="s">
        <v>43746</v>
      </c>
      <c r="F2257" t="s">
        <v>43747</v>
      </c>
      <c r="G2257" t="s">
        <v>43748</v>
      </c>
      <c r="H2257" t="s">
        <v>43749</v>
      </c>
      <c r="I2257" t="s">
        <v>43750</v>
      </c>
      <c r="J2257" t="s">
        <v>43751</v>
      </c>
      <c r="K2257" t="s">
        <v>43752</v>
      </c>
      <c r="L2257" t="s">
        <v>43753</v>
      </c>
      <c r="M2257" t="s">
        <v>43754</v>
      </c>
      <c r="N2257" t="s">
        <v>43755</v>
      </c>
      <c r="O2257">
        <f>-564.180914197679 -77.3838133385684 -748.265745514805</f>
        <v>-1389.8304730510524</v>
      </c>
      <c r="P2257">
        <f>-573.07754592052 -85.0412879290021 -431.961532732679</f>
        <v>-1090.0803665822011</v>
      </c>
      <c r="Q2257" t="s">
        <v>43756</v>
      </c>
      <c r="R2257" t="s">
        <v>43757</v>
      </c>
      <c r="S2257" t="s">
        <v>43758</v>
      </c>
      <c r="T2257" t="s">
        <v>43759</v>
      </c>
      <c r="U2257" t="s">
        <v>43760</v>
      </c>
      <c r="V2257" t="s">
        <v>43761</v>
      </c>
      <c r="W2257" t="s">
        <v>43762</v>
      </c>
      <c r="X2257" t="s">
        <v>43763</v>
      </c>
      <c r="Y2257" t="s">
        <v>43764</v>
      </c>
    </row>
    <row r="2258" spans="1:25" x14ac:dyDescent="0.3">
      <c r="A2258">
        <v>112850</v>
      </c>
      <c r="B2258" t="s">
        <v>43765</v>
      </c>
      <c r="C2258" t="s">
        <v>43766</v>
      </c>
      <c r="D2258" t="s">
        <v>43767</v>
      </c>
      <c r="E2258" t="s">
        <v>43768</v>
      </c>
      <c r="F2258" t="s">
        <v>43769</v>
      </c>
      <c r="G2258" t="s">
        <v>43770</v>
      </c>
      <c r="H2258" t="s">
        <v>43771</v>
      </c>
      <c r="I2258" t="s">
        <v>43772</v>
      </c>
      <c r="J2258" t="s">
        <v>43773</v>
      </c>
      <c r="K2258" t="s">
        <v>43774</v>
      </c>
      <c r="L2258" t="s">
        <v>43775</v>
      </c>
      <c r="M2258" t="s">
        <v>43776</v>
      </c>
      <c r="N2258" t="s">
        <v>43777</v>
      </c>
      <c r="O2258">
        <f>-562.951805675216 -76.9538314446947 -748.50246215784</f>
        <v>-1388.4080992777508</v>
      </c>
      <c r="P2258">
        <f>-572.307782118511 -85.2933886078321 -432.228593070424</f>
        <v>-1089.8297637967671</v>
      </c>
      <c r="Q2258">
        <f>-327.711855348463 -0.778962028392876 -458.154950284245</f>
        <v>-786.64576766110088</v>
      </c>
      <c r="R2258" t="s">
        <v>43778</v>
      </c>
      <c r="S2258" t="s">
        <v>43779</v>
      </c>
      <c r="T2258" t="s">
        <v>43780</v>
      </c>
      <c r="U2258" t="s">
        <v>43781</v>
      </c>
      <c r="V2258" t="s">
        <v>43782</v>
      </c>
      <c r="W2258" t="s">
        <v>43783</v>
      </c>
      <c r="X2258" t="s">
        <v>43784</v>
      </c>
      <c r="Y2258" t="s">
        <v>43785</v>
      </c>
    </row>
    <row r="2259" spans="1:25" x14ac:dyDescent="0.3">
      <c r="A2259">
        <v>112900</v>
      </c>
      <c r="B2259" t="s">
        <v>43786</v>
      </c>
      <c r="C2259" t="s">
        <v>43787</v>
      </c>
      <c r="D2259" t="s">
        <v>43788</v>
      </c>
      <c r="E2259" t="s">
        <v>43789</v>
      </c>
      <c r="F2259" t="s">
        <v>43790</v>
      </c>
      <c r="G2259" t="s">
        <v>43791</v>
      </c>
      <c r="H2259" t="s">
        <v>43792</v>
      </c>
      <c r="I2259" t="s">
        <v>43793</v>
      </c>
      <c r="J2259" t="s">
        <v>43794</v>
      </c>
      <c r="K2259" t="s">
        <v>43795</v>
      </c>
      <c r="L2259" t="s">
        <v>43796</v>
      </c>
      <c r="M2259" t="s">
        <v>43797</v>
      </c>
      <c r="N2259" t="s">
        <v>43798</v>
      </c>
      <c r="O2259">
        <f>-562.439240373459 -76.6805996859082 -748.6556994102</f>
        <v>-1387.7755394695673</v>
      </c>
      <c r="P2259">
        <f>-572.063641394148 -85.0542665872782 -432.390800650773</f>
        <v>-1089.5087086321992</v>
      </c>
      <c r="Q2259">
        <f>-327.277591851656 -0.958445337353886 -457.881305205583</f>
        <v>-786.11734239459292</v>
      </c>
      <c r="R2259" t="s">
        <v>43799</v>
      </c>
      <c r="S2259" t="s">
        <v>43800</v>
      </c>
      <c r="T2259" t="s">
        <v>43801</v>
      </c>
      <c r="U2259" t="s">
        <v>43802</v>
      </c>
      <c r="V2259" t="s">
        <v>43803</v>
      </c>
      <c r="W2259" t="s">
        <v>43804</v>
      </c>
      <c r="X2259" t="s">
        <v>43805</v>
      </c>
      <c r="Y2259" t="s">
        <v>43806</v>
      </c>
    </row>
    <row r="2260" spans="1:25" x14ac:dyDescent="0.3">
      <c r="A2260">
        <v>112950</v>
      </c>
      <c r="B2260" t="s">
        <v>43807</v>
      </c>
      <c r="C2260" t="s">
        <v>43808</v>
      </c>
      <c r="D2260" t="s">
        <v>43809</v>
      </c>
      <c r="E2260" t="s">
        <v>43810</v>
      </c>
      <c r="F2260" t="s">
        <v>43811</v>
      </c>
      <c r="G2260" t="s">
        <v>43812</v>
      </c>
      <c r="H2260" t="s">
        <v>43813</v>
      </c>
      <c r="I2260" t="s">
        <v>43814</v>
      </c>
      <c r="J2260" t="s">
        <v>43815</v>
      </c>
      <c r="K2260" t="s">
        <v>43816</v>
      </c>
      <c r="L2260" t="s">
        <v>43817</v>
      </c>
      <c r="M2260" t="s">
        <v>43818</v>
      </c>
      <c r="N2260" t="s">
        <v>43819</v>
      </c>
      <c r="O2260">
        <f>-560.990906349153 -76.0681631233473 -748.980404956274</f>
        <v>-1386.0394744287742</v>
      </c>
      <c r="P2260">
        <f>-571.822811415775 -83.8995169221138 -432.740800506551</f>
        <v>-1088.4631288444398</v>
      </c>
      <c r="Q2260">
        <f>-326.679271259222 -0.21759460346189 -456.065587818075</f>
        <v>-782.96245368075893</v>
      </c>
      <c r="R2260" t="s">
        <v>43820</v>
      </c>
      <c r="S2260" t="s">
        <v>43821</v>
      </c>
      <c r="T2260" t="s">
        <v>43822</v>
      </c>
      <c r="U2260" t="s">
        <v>43823</v>
      </c>
      <c r="V2260" t="s">
        <v>43824</v>
      </c>
      <c r="W2260" t="s">
        <v>43825</v>
      </c>
      <c r="X2260" t="s">
        <v>43826</v>
      </c>
      <c r="Y2260" t="s">
        <v>43827</v>
      </c>
    </row>
    <row r="2261" spans="1:25" x14ac:dyDescent="0.3">
      <c r="A2261">
        <v>113000</v>
      </c>
      <c r="B2261" t="s">
        <v>43828</v>
      </c>
      <c r="C2261" t="s">
        <v>43829</v>
      </c>
      <c r="D2261" t="s">
        <v>43830</v>
      </c>
      <c r="E2261" t="s">
        <v>43831</v>
      </c>
      <c r="F2261" t="s">
        <v>43832</v>
      </c>
      <c r="G2261" t="s">
        <v>43833</v>
      </c>
      <c r="H2261" t="s">
        <v>43834</v>
      </c>
      <c r="I2261" t="s">
        <v>43835</v>
      </c>
      <c r="J2261" t="s">
        <v>43836</v>
      </c>
      <c r="K2261" t="s">
        <v>43837</v>
      </c>
      <c r="L2261" t="s">
        <v>43838</v>
      </c>
      <c r="M2261" t="s">
        <v>43839</v>
      </c>
      <c r="N2261" t="s">
        <v>43840</v>
      </c>
      <c r="O2261">
        <f>-560.296012272656 -76.1266468237106 -748.914677221177</f>
        <v>-1385.3373363175438</v>
      </c>
      <c r="P2261">
        <f>-571.711548165874 -83.84944375545 -432.692761912585</f>
        <v>-1088.2537538339091</v>
      </c>
      <c r="Q2261">
        <f>-326.439941572542 -0.325047708849496 -455.222412730836</f>
        <v>-781.98740201222745</v>
      </c>
      <c r="R2261" t="s">
        <v>43841</v>
      </c>
      <c r="S2261" t="s">
        <v>43842</v>
      </c>
      <c r="T2261" t="s">
        <v>43843</v>
      </c>
      <c r="U2261" t="s">
        <v>43844</v>
      </c>
      <c r="V2261" t="s">
        <v>43845</v>
      </c>
      <c r="W2261" t="s">
        <v>43846</v>
      </c>
      <c r="X2261" t="s">
        <v>43847</v>
      </c>
      <c r="Y2261" t="s">
        <v>43848</v>
      </c>
    </row>
    <row r="2262" spans="1:25" x14ac:dyDescent="0.3">
      <c r="A2262">
        <v>113050</v>
      </c>
      <c r="B2262" t="s">
        <v>43849</v>
      </c>
      <c r="C2262" t="s">
        <v>43850</v>
      </c>
      <c r="D2262" t="s">
        <v>43851</v>
      </c>
      <c r="E2262" t="s">
        <v>43852</v>
      </c>
      <c r="F2262" t="s">
        <v>43853</v>
      </c>
      <c r="G2262" t="s">
        <v>43854</v>
      </c>
      <c r="H2262" t="s">
        <v>43855</v>
      </c>
      <c r="I2262" t="s">
        <v>43856</v>
      </c>
      <c r="J2262" t="s">
        <v>43857</v>
      </c>
      <c r="K2262" t="s">
        <v>43858</v>
      </c>
      <c r="L2262" t="s">
        <v>43859</v>
      </c>
      <c r="M2262" t="s">
        <v>43860</v>
      </c>
      <c r="N2262" t="s">
        <v>43861</v>
      </c>
      <c r="O2262">
        <f>-559.560104651453 -75.3812060073421 -748.511162108141</f>
        <v>-1383.4524727669361</v>
      </c>
      <c r="P2262">
        <f>-571.646147080271 -82.9419486126524 -432.31046006893</f>
        <v>-1086.8985557618535</v>
      </c>
      <c r="Q2262" t="s">
        <v>43862</v>
      </c>
      <c r="R2262" t="s">
        <v>43863</v>
      </c>
      <c r="S2262" t="s">
        <v>43864</v>
      </c>
      <c r="T2262" t="s">
        <v>43865</v>
      </c>
      <c r="U2262" t="s">
        <v>43866</v>
      </c>
      <c r="V2262" t="s">
        <v>43867</v>
      </c>
      <c r="W2262" t="s">
        <v>43868</v>
      </c>
      <c r="X2262" t="s">
        <v>43869</v>
      </c>
      <c r="Y2262" t="s">
        <v>43870</v>
      </c>
    </row>
    <row r="2263" spans="1:25" x14ac:dyDescent="0.3">
      <c r="A2263">
        <v>113100</v>
      </c>
      <c r="B2263" t="s">
        <v>43871</v>
      </c>
      <c r="C2263" t="s">
        <v>43872</v>
      </c>
      <c r="D2263" t="s">
        <v>43873</v>
      </c>
      <c r="E2263" t="s">
        <v>43874</v>
      </c>
      <c r="F2263" t="s">
        <v>43875</v>
      </c>
      <c r="G2263" t="s">
        <v>43876</v>
      </c>
      <c r="H2263" t="s">
        <v>43877</v>
      </c>
      <c r="I2263" t="s">
        <v>43878</v>
      </c>
      <c r="J2263" t="s">
        <v>43879</v>
      </c>
      <c r="K2263" t="s">
        <v>43880</v>
      </c>
      <c r="L2263" t="s">
        <v>43881</v>
      </c>
      <c r="M2263" t="s">
        <v>43882</v>
      </c>
      <c r="N2263" t="s">
        <v>43883</v>
      </c>
      <c r="O2263">
        <f>-559.251318483299 -74.8489710275595 -748.266512885974</f>
        <v>-1382.3668023968326</v>
      </c>
      <c r="P2263">
        <f>-571.843379352846 -81.805688068589 -432.071549767141</f>
        <v>-1085.7206171885759</v>
      </c>
      <c r="Q2263" t="s">
        <v>43884</v>
      </c>
      <c r="R2263" t="s">
        <v>43885</v>
      </c>
      <c r="S2263" t="s">
        <v>43886</v>
      </c>
      <c r="T2263" t="s">
        <v>43887</v>
      </c>
      <c r="U2263" t="s">
        <v>43888</v>
      </c>
      <c r="V2263" t="s">
        <v>43889</v>
      </c>
      <c r="W2263" t="s">
        <v>43890</v>
      </c>
      <c r="X2263" t="s">
        <v>43891</v>
      </c>
      <c r="Y2263" t="s">
        <v>43892</v>
      </c>
    </row>
    <row r="2264" spans="1:25" x14ac:dyDescent="0.3">
      <c r="A2264">
        <v>113150</v>
      </c>
      <c r="B2264" t="s">
        <v>43893</v>
      </c>
      <c r="C2264" t="s">
        <v>43894</v>
      </c>
      <c r="D2264" t="s">
        <v>43895</v>
      </c>
      <c r="E2264" t="s">
        <v>43896</v>
      </c>
      <c r="F2264" t="s">
        <v>43897</v>
      </c>
      <c r="G2264" t="s">
        <v>43898</v>
      </c>
      <c r="H2264" t="s">
        <v>43899</v>
      </c>
      <c r="I2264" t="s">
        <v>43900</v>
      </c>
      <c r="J2264" t="s">
        <v>43901</v>
      </c>
      <c r="K2264" t="s">
        <v>43902</v>
      </c>
      <c r="L2264" t="s">
        <v>43903</v>
      </c>
      <c r="M2264" t="s">
        <v>43904</v>
      </c>
      <c r="N2264" t="s">
        <v>43905</v>
      </c>
      <c r="O2264">
        <f>-558.210927197975 -74.3139221012747 -747.316608761706</f>
        <v>-1379.8414580609556</v>
      </c>
      <c r="P2264">
        <f>-572.091463459189 -79.0546611160332 -431.13462982859</f>
        <v>-1082.2807544038121</v>
      </c>
      <c r="Q2264" t="s">
        <v>43906</v>
      </c>
      <c r="R2264" t="s">
        <v>43907</v>
      </c>
      <c r="S2264" t="s">
        <v>43908</v>
      </c>
      <c r="T2264" t="s">
        <v>43909</v>
      </c>
      <c r="U2264" t="s">
        <v>43910</v>
      </c>
      <c r="V2264" t="s">
        <v>43911</v>
      </c>
      <c r="W2264" t="s">
        <v>43912</v>
      </c>
      <c r="X2264" t="s">
        <v>43913</v>
      </c>
      <c r="Y2264" t="s">
        <v>43914</v>
      </c>
    </row>
    <row r="2265" spans="1:25" x14ac:dyDescent="0.3">
      <c r="A2265">
        <v>113200</v>
      </c>
      <c r="B2265" t="s">
        <v>43915</v>
      </c>
      <c r="C2265" t="s">
        <v>43916</v>
      </c>
      <c r="D2265" t="s">
        <v>43917</v>
      </c>
      <c r="E2265" t="s">
        <v>43918</v>
      </c>
      <c r="F2265" t="s">
        <v>43919</v>
      </c>
      <c r="G2265" t="s">
        <v>43920</v>
      </c>
      <c r="H2265" t="s">
        <v>43921</v>
      </c>
      <c r="I2265" t="s">
        <v>43922</v>
      </c>
      <c r="J2265" t="s">
        <v>43923</v>
      </c>
      <c r="K2265" t="s">
        <v>43924</v>
      </c>
      <c r="L2265" t="s">
        <v>43925</v>
      </c>
      <c r="M2265" t="s">
        <v>43926</v>
      </c>
      <c r="N2265" t="s">
        <v>43927</v>
      </c>
      <c r="O2265">
        <f>-558.095938141762 -74.5659918533386 -746.595314884083</f>
        <v>-1379.2572448791834</v>
      </c>
      <c r="P2265">
        <f>-571.79107104671 -76.8922922082238 -430.378323265188</f>
        <v>-1079.0616865201218</v>
      </c>
      <c r="Q2265" t="s">
        <v>43928</v>
      </c>
      <c r="R2265" t="s">
        <v>43929</v>
      </c>
      <c r="S2265" t="s">
        <v>43930</v>
      </c>
      <c r="T2265" t="s">
        <v>43931</v>
      </c>
      <c r="U2265" t="s">
        <v>43932</v>
      </c>
      <c r="V2265" t="s">
        <v>43933</v>
      </c>
      <c r="W2265" t="s">
        <v>43934</v>
      </c>
      <c r="X2265" t="s">
        <v>43935</v>
      </c>
      <c r="Y2265" t="s">
        <v>43936</v>
      </c>
    </row>
    <row r="2266" spans="1:25" x14ac:dyDescent="0.3">
      <c r="A2266">
        <v>113250</v>
      </c>
      <c r="B2266" t="s">
        <v>43937</v>
      </c>
      <c r="C2266" t="s">
        <v>43938</v>
      </c>
      <c r="D2266" t="s">
        <v>43939</v>
      </c>
      <c r="E2266" t="s">
        <v>43940</v>
      </c>
      <c r="F2266" t="s">
        <v>43941</v>
      </c>
      <c r="G2266" t="s">
        <v>43942</v>
      </c>
      <c r="H2266" t="s">
        <v>43943</v>
      </c>
      <c r="I2266" t="s">
        <v>43944</v>
      </c>
      <c r="J2266" t="s">
        <v>43945</v>
      </c>
      <c r="K2266" t="s">
        <v>43946</v>
      </c>
      <c r="L2266" t="s">
        <v>43947</v>
      </c>
      <c r="M2266" t="s">
        <v>43948</v>
      </c>
      <c r="N2266" t="s">
        <v>43949</v>
      </c>
      <c r="O2266">
        <f>-558.540633123466 -76.3170443404908 -744.08216523975</f>
        <v>-1378.9398427037067</v>
      </c>
      <c r="P2266">
        <f>-570.902218589447 -74.6165347417411 -427.806154033572</f>
        <v>-1073.3249073647601</v>
      </c>
      <c r="Q2266" t="s">
        <v>43950</v>
      </c>
      <c r="R2266" t="s">
        <v>43951</v>
      </c>
      <c r="S2266" t="s">
        <v>43952</v>
      </c>
      <c r="T2266" t="s">
        <v>43953</v>
      </c>
      <c r="U2266" t="s">
        <v>43954</v>
      </c>
      <c r="V2266" t="s">
        <v>43955</v>
      </c>
      <c r="W2266" t="s">
        <v>43956</v>
      </c>
      <c r="X2266" t="s">
        <v>43957</v>
      </c>
      <c r="Y2266" t="s">
        <v>43958</v>
      </c>
    </row>
    <row r="2267" spans="1:25" x14ac:dyDescent="0.3">
      <c r="A2267">
        <v>113300</v>
      </c>
      <c r="B2267" t="s">
        <v>43959</v>
      </c>
      <c r="C2267" t="s">
        <v>43960</v>
      </c>
      <c r="D2267" t="s">
        <v>43961</v>
      </c>
      <c r="E2267" t="s">
        <v>43962</v>
      </c>
      <c r="F2267" t="s">
        <v>43963</v>
      </c>
      <c r="G2267" t="s">
        <v>43964</v>
      </c>
      <c r="H2267" t="s">
        <v>43965</v>
      </c>
      <c r="I2267" t="s">
        <v>43966</v>
      </c>
      <c r="J2267" t="s">
        <v>43967</v>
      </c>
      <c r="K2267" t="s">
        <v>43968</v>
      </c>
      <c r="L2267" t="s">
        <v>43969</v>
      </c>
      <c r="M2267" t="s">
        <v>43970</v>
      </c>
      <c r="N2267" t="s">
        <v>43971</v>
      </c>
      <c r="O2267">
        <f>-558.610321886522 -77.5336824154642 -742.609024733744</f>
        <v>-1378.7530290357304</v>
      </c>
      <c r="P2267">
        <f>-569.963755027231 -73.9265202304633 -426.311176841491</f>
        <v>-1070.2014520991852</v>
      </c>
      <c r="Q2267" t="s">
        <v>43972</v>
      </c>
      <c r="R2267" t="s">
        <v>43973</v>
      </c>
      <c r="S2267" t="s">
        <v>43974</v>
      </c>
      <c r="T2267" t="s">
        <v>43975</v>
      </c>
      <c r="U2267" t="s">
        <v>43976</v>
      </c>
      <c r="V2267" t="s">
        <v>43977</v>
      </c>
      <c r="W2267" t="s">
        <v>43978</v>
      </c>
      <c r="X2267" t="s">
        <v>43979</v>
      </c>
      <c r="Y2267" t="s">
        <v>43980</v>
      </c>
    </row>
    <row r="2268" spans="1:25" x14ac:dyDescent="0.3">
      <c r="A2268">
        <v>113350</v>
      </c>
      <c r="B2268" t="s">
        <v>43981</v>
      </c>
      <c r="C2268" t="s">
        <v>43982</v>
      </c>
      <c r="D2268" t="s">
        <v>43983</v>
      </c>
      <c r="E2268" t="s">
        <v>43984</v>
      </c>
      <c r="F2268" t="s">
        <v>43985</v>
      </c>
      <c r="G2268" t="s">
        <v>43986</v>
      </c>
      <c r="H2268" t="s">
        <v>43987</v>
      </c>
      <c r="I2268" t="s">
        <v>43988</v>
      </c>
      <c r="J2268" t="s">
        <v>43989</v>
      </c>
      <c r="K2268" t="s">
        <v>43990</v>
      </c>
      <c r="L2268" t="s">
        <v>43991</v>
      </c>
      <c r="M2268" t="s">
        <v>43992</v>
      </c>
      <c r="N2268" t="s">
        <v>43993</v>
      </c>
      <c r="O2268">
        <f>-558.843811651501 -78.4988512828048 -740.597114078484</f>
        <v>-1377.9397770127898</v>
      </c>
      <c r="P2268">
        <f>-568.353805445135 -73.6025017603082 -424.255865911596</f>
        <v>-1066.2121731170391</v>
      </c>
      <c r="Q2268" t="s">
        <v>43994</v>
      </c>
      <c r="R2268" t="s">
        <v>43995</v>
      </c>
      <c r="S2268" t="s">
        <v>43996</v>
      </c>
      <c r="T2268" t="s">
        <v>43997</v>
      </c>
      <c r="U2268" t="s">
        <v>43998</v>
      </c>
      <c r="V2268" t="s">
        <v>43999</v>
      </c>
      <c r="W2268" t="s">
        <v>44000</v>
      </c>
      <c r="X2268" t="s">
        <v>44001</v>
      </c>
      <c r="Y2268" t="s">
        <v>44002</v>
      </c>
    </row>
    <row r="2269" spans="1:25" x14ac:dyDescent="0.3">
      <c r="A2269">
        <v>113400</v>
      </c>
      <c r="B2269" t="s">
        <v>44003</v>
      </c>
      <c r="C2269" t="s">
        <v>44004</v>
      </c>
      <c r="D2269" t="s">
        <v>44005</v>
      </c>
      <c r="E2269" t="s">
        <v>44006</v>
      </c>
      <c r="F2269" t="s">
        <v>44007</v>
      </c>
      <c r="G2269" t="s">
        <v>44008</v>
      </c>
      <c r="H2269" t="s">
        <v>44009</v>
      </c>
      <c r="I2269" t="s">
        <v>44010</v>
      </c>
      <c r="J2269" t="s">
        <v>44011</v>
      </c>
      <c r="K2269" t="s">
        <v>44012</v>
      </c>
      <c r="L2269" t="s">
        <v>44013</v>
      </c>
      <c r="M2269" t="s">
        <v>44014</v>
      </c>
      <c r="N2269" t="s">
        <v>44015</v>
      </c>
      <c r="O2269">
        <f>-559.188508362633 -78.6551625702506 -739.935159649267</f>
        <v>-1377.7788305821505</v>
      </c>
      <c r="P2269">
        <f>-568.024033111887 -72.9123934471613 -423.58853652159</f>
        <v>-1064.5249630806384</v>
      </c>
      <c r="Q2269" t="s">
        <v>44016</v>
      </c>
      <c r="R2269" t="s">
        <v>44017</v>
      </c>
      <c r="S2269" t="s">
        <v>44018</v>
      </c>
      <c r="T2269" t="s">
        <v>44019</v>
      </c>
      <c r="U2269" t="s">
        <v>44020</v>
      </c>
      <c r="V2269" t="s">
        <v>44021</v>
      </c>
      <c r="W2269" t="s">
        <v>44022</v>
      </c>
      <c r="X2269" t="s">
        <v>44023</v>
      </c>
      <c r="Y2269" t="s">
        <v>44024</v>
      </c>
    </row>
    <row r="2270" spans="1:25" x14ac:dyDescent="0.3">
      <c r="A2270">
        <v>113450</v>
      </c>
      <c r="B2270" t="s">
        <v>44025</v>
      </c>
      <c r="C2270" t="s">
        <v>44026</v>
      </c>
      <c r="D2270" t="s">
        <v>44027</v>
      </c>
      <c r="E2270" t="s">
        <v>44028</v>
      </c>
      <c r="F2270" t="s">
        <v>44029</v>
      </c>
      <c r="G2270" t="s">
        <v>44030</v>
      </c>
      <c r="H2270" t="s">
        <v>44031</v>
      </c>
      <c r="I2270" t="s">
        <v>44032</v>
      </c>
      <c r="J2270" t="s">
        <v>44033</v>
      </c>
      <c r="K2270" t="s">
        <v>44034</v>
      </c>
      <c r="L2270" t="s">
        <v>44035</v>
      </c>
      <c r="M2270" t="s">
        <v>44036</v>
      </c>
      <c r="N2270" t="s">
        <v>44037</v>
      </c>
      <c r="O2270">
        <f>-558.456690852754 -79.8244681404629 -738.187194526335</f>
        <v>-1376.4683535195518</v>
      </c>
      <c r="P2270">
        <f>-566.857123319769 -72.9519989612655 -421.851219427102</f>
        <v>-1061.6603417081365</v>
      </c>
      <c r="Q2270" t="s">
        <v>44038</v>
      </c>
      <c r="R2270" t="s">
        <v>44039</v>
      </c>
      <c r="S2270" t="s">
        <v>44040</v>
      </c>
      <c r="T2270" t="s">
        <v>44041</v>
      </c>
      <c r="U2270" t="s">
        <v>44042</v>
      </c>
      <c r="V2270" t="s">
        <v>44043</v>
      </c>
      <c r="W2270" t="s">
        <v>44044</v>
      </c>
      <c r="X2270" t="s">
        <v>44045</v>
      </c>
      <c r="Y2270" t="s">
        <v>44046</v>
      </c>
    </row>
    <row r="2271" spans="1:25" x14ac:dyDescent="0.3">
      <c r="A2271">
        <v>113500</v>
      </c>
      <c r="B2271" t="s">
        <v>44047</v>
      </c>
      <c r="C2271" t="s">
        <v>44048</v>
      </c>
      <c r="D2271" t="s">
        <v>44049</v>
      </c>
      <c r="E2271" t="s">
        <v>44050</v>
      </c>
      <c r="F2271" t="s">
        <v>44051</v>
      </c>
      <c r="G2271" t="s">
        <v>44052</v>
      </c>
      <c r="H2271" t="s">
        <v>44053</v>
      </c>
      <c r="I2271" t="s">
        <v>44054</v>
      </c>
      <c r="J2271" t="s">
        <v>44055</v>
      </c>
      <c r="K2271" t="s">
        <v>44056</v>
      </c>
      <c r="L2271" t="s">
        <v>44057</v>
      </c>
      <c r="M2271" t="s">
        <v>44058</v>
      </c>
      <c r="N2271" t="s">
        <v>44059</v>
      </c>
      <c r="O2271">
        <f>-558.136512736953 -80.2712413168313 -737.585244691988</f>
        <v>-1375.9929987457722</v>
      </c>
      <c r="P2271">
        <f>-566.591635798652 -73.4334276101508 -421.250055804904</f>
        <v>-1061.2751192137068</v>
      </c>
      <c r="Q2271" t="s">
        <v>44060</v>
      </c>
      <c r="R2271" t="s">
        <v>44061</v>
      </c>
      <c r="S2271" t="s">
        <v>44062</v>
      </c>
      <c r="T2271" t="s">
        <v>44063</v>
      </c>
      <c r="U2271" t="s">
        <v>44064</v>
      </c>
      <c r="V2271" t="s">
        <v>44065</v>
      </c>
      <c r="W2271" t="s">
        <v>44066</v>
      </c>
      <c r="X2271" t="s">
        <v>44067</v>
      </c>
      <c r="Y2271" t="s">
        <v>44068</v>
      </c>
    </row>
    <row r="2272" spans="1:25" x14ac:dyDescent="0.3">
      <c r="A2272">
        <v>113550</v>
      </c>
      <c r="B2272" t="s">
        <v>44069</v>
      </c>
      <c r="C2272" t="s">
        <v>44070</v>
      </c>
      <c r="D2272" t="s">
        <v>44071</v>
      </c>
      <c r="E2272" t="s">
        <v>44072</v>
      </c>
      <c r="F2272" t="s">
        <v>44073</v>
      </c>
      <c r="G2272" t="s">
        <v>44074</v>
      </c>
      <c r="H2272" t="s">
        <v>44075</v>
      </c>
      <c r="I2272" t="s">
        <v>44076</v>
      </c>
      <c r="J2272" t="s">
        <v>44077</v>
      </c>
      <c r="K2272" t="s">
        <v>44078</v>
      </c>
      <c r="L2272" t="s">
        <v>44079</v>
      </c>
      <c r="M2272" t="s">
        <v>44080</v>
      </c>
      <c r="N2272" t="s">
        <v>44081</v>
      </c>
      <c r="O2272">
        <f>-556.415793101821 -81.3816554747401 -736.736115273948</f>
        <v>-1374.5335638505092</v>
      </c>
      <c r="P2272">
        <f>-565.220278093242 -72.0685229954946 -420.473583038906</f>
        <v>-1057.7623841276427</v>
      </c>
      <c r="Q2272" t="s">
        <v>44082</v>
      </c>
      <c r="R2272" t="s">
        <v>44083</v>
      </c>
      <c r="S2272" t="s">
        <v>44084</v>
      </c>
      <c r="T2272" t="s">
        <v>44085</v>
      </c>
      <c r="U2272" t="s">
        <v>44086</v>
      </c>
      <c r="V2272" t="s">
        <v>44087</v>
      </c>
      <c r="W2272" t="s">
        <v>44088</v>
      </c>
      <c r="X2272" t="s">
        <v>44089</v>
      </c>
      <c r="Y2272" t="s">
        <v>44090</v>
      </c>
    </row>
    <row r="2273" spans="1:25" x14ac:dyDescent="0.3">
      <c r="A2273">
        <v>113600</v>
      </c>
      <c r="B2273" t="s">
        <v>44091</v>
      </c>
      <c r="C2273" t="s">
        <v>44092</v>
      </c>
      <c r="D2273" t="s">
        <v>44093</v>
      </c>
      <c r="E2273" t="s">
        <v>44094</v>
      </c>
      <c r="F2273" t="s">
        <v>44095</v>
      </c>
      <c r="G2273" t="s">
        <v>44096</v>
      </c>
      <c r="H2273" t="s">
        <v>44097</v>
      </c>
      <c r="I2273" t="s">
        <v>44098</v>
      </c>
      <c r="J2273" t="s">
        <v>44099</v>
      </c>
      <c r="K2273" t="s">
        <v>44100</v>
      </c>
      <c r="L2273" t="s">
        <v>44101</v>
      </c>
      <c r="M2273" t="s">
        <v>44102</v>
      </c>
      <c r="N2273" t="s">
        <v>44103</v>
      </c>
      <c r="O2273">
        <f>-556.057480632225 -81.8657493114687 -736.278638455173</f>
        <v>-1374.2018683988667</v>
      </c>
      <c r="P2273">
        <f>-565.20483746881 -72.3001418209499 -420.033503320277</f>
        <v>-1057.5384826100369</v>
      </c>
      <c r="Q2273" t="s">
        <v>44104</v>
      </c>
      <c r="R2273" t="s">
        <v>44105</v>
      </c>
      <c r="S2273" t="s">
        <v>44106</v>
      </c>
      <c r="T2273" t="s">
        <v>44107</v>
      </c>
      <c r="U2273" t="s">
        <v>44108</v>
      </c>
      <c r="V2273" t="s">
        <v>44109</v>
      </c>
      <c r="W2273" t="s">
        <v>44110</v>
      </c>
      <c r="X2273" t="s">
        <v>44111</v>
      </c>
      <c r="Y2273" t="s">
        <v>44112</v>
      </c>
    </row>
    <row r="2274" spans="1:25" x14ac:dyDescent="0.3">
      <c r="A2274">
        <v>113650</v>
      </c>
      <c r="B2274" t="s">
        <v>44113</v>
      </c>
      <c r="C2274" t="s">
        <v>44114</v>
      </c>
      <c r="D2274" t="s">
        <v>44115</v>
      </c>
      <c r="E2274" t="s">
        <v>44116</v>
      </c>
      <c r="F2274" t="s">
        <v>44117</v>
      </c>
      <c r="G2274" t="s">
        <v>44118</v>
      </c>
      <c r="H2274" t="s">
        <v>44119</v>
      </c>
      <c r="I2274" t="s">
        <v>44120</v>
      </c>
      <c r="J2274" t="s">
        <v>44121</v>
      </c>
      <c r="K2274" t="s">
        <v>44122</v>
      </c>
      <c r="L2274" t="s">
        <v>44123</v>
      </c>
      <c r="M2274" t="s">
        <v>44124</v>
      </c>
      <c r="N2274" t="s">
        <v>44125</v>
      </c>
      <c r="O2274">
        <f>-555.249503626227 -83.0822564142929 -735.751428025293</f>
        <v>-1374.0831880658129</v>
      </c>
      <c r="P2274">
        <f>-565.510561228514 -73.384419853877 -419.544525029877</f>
        <v>-1058.439506112268</v>
      </c>
      <c r="Q2274" t="s">
        <v>44126</v>
      </c>
      <c r="R2274" t="s">
        <v>44127</v>
      </c>
      <c r="S2274" t="s">
        <v>44128</v>
      </c>
      <c r="T2274" t="s">
        <v>44129</v>
      </c>
      <c r="U2274" t="s">
        <v>44130</v>
      </c>
      <c r="V2274" t="s">
        <v>44131</v>
      </c>
      <c r="W2274" t="s">
        <v>44132</v>
      </c>
      <c r="X2274" t="s">
        <v>44133</v>
      </c>
      <c r="Y2274" t="s">
        <v>44134</v>
      </c>
    </row>
    <row r="2275" spans="1:25" x14ac:dyDescent="0.3">
      <c r="A2275">
        <v>113700</v>
      </c>
      <c r="B2275" t="s">
        <v>44135</v>
      </c>
      <c r="C2275" t="s">
        <v>44136</v>
      </c>
      <c r="D2275" t="s">
        <v>44137</v>
      </c>
      <c r="E2275" t="s">
        <v>44138</v>
      </c>
      <c r="F2275" t="s">
        <v>44139</v>
      </c>
      <c r="G2275" t="s">
        <v>44140</v>
      </c>
      <c r="H2275" t="s">
        <v>44141</v>
      </c>
      <c r="I2275" t="s">
        <v>44142</v>
      </c>
      <c r="J2275" t="s">
        <v>44143</v>
      </c>
      <c r="K2275" t="s">
        <v>44144</v>
      </c>
      <c r="L2275" t="s">
        <v>44145</v>
      </c>
      <c r="M2275" t="s">
        <v>44146</v>
      </c>
      <c r="N2275" t="s">
        <v>44147</v>
      </c>
      <c r="O2275">
        <f>-555.313687389702 -83.4781512977264 -735.632856466296</f>
        <v>-1374.4246951537243</v>
      </c>
      <c r="P2275">
        <f>-565.213344456437 -73.5251234861652 -419.42233014946</f>
        <v>-1058.1607980920621</v>
      </c>
      <c r="Q2275" t="s">
        <v>44148</v>
      </c>
      <c r="R2275" t="s">
        <v>44149</v>
      </c>
      <c r="S2275" t="s">
        <v>44150</v>
      </c>
      <c r="T2275" t="s">
        <v>44151</v>
      </c>
      <c r="U2275" t="s">
        <v>44152</v>
      </c>
      <c r="V2275" t="s">
        <v>44153</v>
      </c>
      <c r="W2275" t="s">
        <v>44154</v>
      </c>
      <c r="X2275" t="s">
        <v>44155</v>
      </c>
      <c r="Y2275" t="s">
        <v>44156</v>
      </c>
    </row>
    <row r="2276" spans="1:25" x14ac:dyDescent="0.3">
      <c r="A2276">
        <v>113750</v>
      </c>
      <c r="B2276" t="s">
        <v>44157</v>
      </c>
      <c r="C2276" t="s">
        <v>44158</v>
      </c>
      <c r="D2276" t="s">
        <v>44159</v>
      </c>
      <c r="E2276" t="s">
        <v>44160</v>
      </c>
      <c r="F2276" t="s">
        <v>44161</v>
      </c>
      <c r="G2276" t="s">
        <v>44162</v>
      </c>
      <c r="H2276" t="s">
        <v>44163</v>
      </c>
      <c r="I2276" t="s">
        <v>44164</v>
      </c>
      <c r="J2276" t="s">
        <v>44165</v>
      </c>
      <c r="K2276" t="s">
        <v>44166</v>
      </c>
      <c r="L2276" t="s">
        <v>44167</v>
      </c>
      <c r="M2276" t="s">
        <v>44168</v>
      </c>
      <c r="N2276" t="s">
        <v>44169</v>
      </c>
      <c r="O2276">
        <f>-556.005298548953 -83.3526794981958 -736.080073283918</f>
        <v>-1375.4380513310666</v>
      </c>
      <c r="P2276">
        <f>-565.265954302283 -73.76730607381 -419.838792603655</f>
        <v>-1058.8720529797481</v>
      </c>
      <c r="Q2276" t="s">
        <v>44170</v>
      </c>
      <c r="R2276" t="s">
        <v>44171</v>
      </c>
      <c r="S2276" t="s">
        <v>44172</v>
      </c>
      <c r="T2276" t="s">
        <v>44173</v>
      </c>
      <c r="U2276" t="s">
        <v>44174</v>
      </c>
      <c r="V2276" t="s">
        <v>44175</v>
      </c>
      <c r="W2276" t="s">
        <v>44176</v>
      </c>
      <c r="X2276" t="s">
        <v>44177</v>
      </c>
      <c r="Y2276" t="s">
        <v>44178</v>
      </c>
    </row>
    <row r="2277" spans="1:25" x14ac:dyDescent="0.3">
      <c r="A2277">
        <v>113800</v>
      </c>
      <c r="B2277" t="s">
        <v>44179</v>
      </c>
      <c r="C2277" t="s">
        <v>44180</v>
      </c>
      <c r="D2277" t="s">
        <v>44181</v>
      </c>
      <c r="E2277" t="s">
        <v>44182</v>
      </c>
      <c r="F2277" t="s">
        <v>44183</v>
      </c>
      <c r="G2277" t="s">
        <v>44184</v>
      </c>
      <c r="H2277" t="s">
        <v>44185</v>
      </c>
      <c r="I2277" t="s">
        <v>44186</v>
      </c>
      <c r="J2277" t="s">
        <v>44187</v>
      </c>
      <c r="K2277" t="s">
        <v>44188</v>
      </c>
      <c r="L2277" t="s">
        <v>44189</v>
      </c>
      <c r="M2277" t="s">
        <v>44190</v>
      </c>
      <c r="N2277" t="s">
        <v>44191</v>
      </c>
      <c r="O2277">
        <f>-555.995994333486 -83.231989153832 -736.759861790863</f>
        <v>-1375.9878452781811</v>
      </c>
      <c r="P2277">
        <f>-565.362636211085 -73.6943088987004 -420.520311179846</f>
        <v>-1059.5772562896314</v>
      </c>
      <c r="Q2277" t="s">
        <v>44192</v>
      </c>
      <c r="R2277" t="s">
        <v>44193</v>
      </c>
      <c r="S2277" t="s">
        <v>44194</v>
      </c>
      <c r="T2277" t="s">
        <v>44195</v>
      </c>
      <c r="U2277" t="s">
        <v>44196</v>
      </c>
      <c r="V2277" t="s">
        <v>44197</v>
      </c>
      <c r="W2277" t="s">
        <v>44198</v>
      </c>
      <c r="X2277" t="s">
        <v>44199</v>
      </c>
      <c r="Y2277" t="s">
        <v>44200</v>
      </c>
    </row>
    <row r="2278" spans="1:25" x14ac:dyDescent="0.3">
      <c r="A2278">
        <v>113850</v>
      </c>
      <c r="B2278" t="s">
        <v>44201</v>
      </c>
      <c r="C2278" t="s">
        <v>44202</v>
      </c>
      <c r="D2278" t="s">
        <v>44203</v>
      </c>
      <c r="E2278" t="s">
        <v>44204</v>
      </c>
      <c r="F2278" t="s">
        <v>44205</v>
      </c>
      <c r="G2278" t="s">
        <v>44206</v>
      </c>
      <c r="H2278" t="s">
        <v>44207</v>
      </c>
      <c r="I2278" t="s">
        <v>44208</v>
      </c>
      <c r="J2278" t="s">
        <v>44209</v>
      </c>
      <c r="K2278" t="s">
        <v>44210</v>
      </c>
      <c r="L2278" t="s">
        <v>44211</v>
      </c>
      <c r="M2278" t="s">
        <v>44212</v>
      </c>
      <c r="N2278" t="s">
        <v>44213</v>
      </c>
      <c r="O2278">
        <f>-556.163437757265 -83.1762172835921 -738.422534330739</f>
        <v>-1377.7621893715962</v>
      </c>
      <c r="P2278">
        <f>-567.136871538433 -73.8418515936455 -422.228539222985</f>
        <v>-1063.2072623550634</v>
      </c>
      <c r="Q2278" t="s">
        <v>44214</v>
      </c>
      <c r="R2278" t="s">
        <v>44215</v>
      </c>
      <c r="S2278" t="s">
        <v>44216</v>
      </c>
      <c r="T2278" t="s">
        <v>44217</v>
      </c>
      <c r="U2278" t="s">
        <v>44218</v>
      </c>
      <c r="V2278" t="s">
        <v>44219</v>
      </c>
      <c r="W2278" t="s">
        <v>44220</v>
      </c>
      <c r="X2278" t="s">
        <v>44221</v>
      </c>
      <c r="Y2278" t="s">
        <v>44222</v>
      </c>
    </row>
    <row r="2279" spans="1:25" x14ac:dyDescent="0.3">
      <c r="A2279">
        <v>113900</v>
      </c>
      <c r="B2279" t="s">
        <v>44223</v>
      </c>
      <c r="C2279" t="s">
        <v>44224</v>
      </c>
      <c r="D2279" t="s">
        <v>44225</v>
      </c>
      <c r="E2279" t="s">
        <v>44226</v>
      </c>
      <c r="F2279" t="s">
        <v>44227</v>
      </c>
      <c r="G2279" t="s">
        <v>44228</v>
      </c>
      <c r="H2279" t="s">
        <v>44229</v>
      </c>
      <c r="I2279" t="s">
        <v>44230</v>
      </c>
      <c r="J2279" t="s">
        <v>44231</v>
      </c>
      <c r="K2279" t="s">
        <v>44232</v>
      </c>
      <c r="L2279" t="s">
        <v>44233</v>
      </c>
      <c r="M2279" t="s">
        <v>44234</v>
      </c>
      <c r="N2279" t="s">
        <v>44235</v>
      </c>
      <c r="O2279">
        <f>-556.755257674002 -82.8044244425236 -739.187880949201</f>
        <v>-1378.7475630657266</v>
      </c>
      <c r="P2279">
        <f>-567.997088326341 -73.9424209036558 -422.989714806173</f>
        <v>-1064.9292240361699</v>
      </c>
      <c r="Q2279" t="s">
        <v>44236</v>
      </c>
      <c r="R2279" t="s">
        <v>44237</v>
      </c>
      <c r="S2279" t="s">
        <v>44238</v>
      </c>
      <c r="T2279" t="s">
        <v>44239</v>
      </c>
      <c r="U2279" t="s">
        <v>44240</v>
      </c>
      <c r="V2279" t="s">
        <v>44241</v>
      </c>
      <c r="W2279" t="s">
        <v>44242</v>
      </c>
      <c r="X2279" t="s">
        <v>44243</v>
      </c>
      <c r="Y2279" t="s">
        <v>44244</v>
      </c>
    </row>
    <row r="2280" spans="1:25" x14ac:dyDescent="0.3">
      <c r="A2280">
        <v>113950</v>
      </c>
      <c r="B2280" t="s">
        <v>44245</v>
      </c>
      <c r="C2280" t="s">
        <v>44246</v>
      </c>
      <c r="D2280" t="s">
        <v>44247</v>
      </c>
      <c r="E2280" t="s">
        <v>44248</v>
      </c>
      <c r="F2280" t="s">
        <v>44249</v>
      </c>
      <c r="G2280" t="s">
        <v>44250</v>
      </c>
      <c r="H2280" t="s">
        <v>44251</v>
      </c>
      <c r="I2280" t="s">
        <v>44252</v>
      </c>
      <c r="J2280" t="s">
        <v>44253</v>
      </c>
      <c r="K2280" t="s">
        <v>44254</v>
      </c>
      <c r="L2280" t="s">
        <v>44255</v>
      </c>
      <c r="M2280" t="s">
        <v>44256</v>
      </c>
      <c r="N2280" t="s">
        <v>44257</v>
      </c>
      <c r="O2280">
        <f>-558.597983875836 -82.9639867527683 -740.246350908375</f>
        <v>-1381.8083215369793</v>
      </c>
      <c r="P2280">
        <f>-570.013362395328 -74.5865657969796 -424.041164966015</f>
        <v>-1068.6410931583227</v>
      </c>
      <c r="Q2280" t="s">
        <v>44258</v>
      </c>
      <c r="R2280" t="s">
        <v>44259</v>
      </c>
      <c r="S2280" t="s">
        <v>44260</v>
      </c>
      <c r="T2280" t="s">
        <v>44261</v>
      </c>
      <c r="U2280" t="s">
        <v>44262</v>
      </c>
      <c r="V2280" t="s">
        <v>44263</v>
      </c>
      <c r="W2280" t="s">
        <v>44264</v>
      </c>
      <c r="X2280" t="s">
        <v>44265</v>
      </c>
      <c r="Y2280" t="s">
        <v>44266</v>
      </c>
    </row>
    <row r="2281" spans="1:25" x14ac:dyDescent="0.3">
      <c r="A2281">
        <v>114000</v>
      </c>
      <c r="B2281" t="s">
        <v>44267</v>
      </c>
      <c r="C2281" t="s">
        <v>44268</v>
      </c>
      <c r="D2281" t="s">
        <v>44269</v>
      </c>
      <c r="E2281" t="s">
        <v>44270</v>
      </c>
      <c r="F2281" t="s">
        <v>44271</v>
      </c>
      <c r="G2281" t="s">
        <v>44272</v>
      </c>
      <c r="H2281" t="s">
        <v>44273</v>
      </c>
      <c r="I2281" t="s">
        <v>44274</v>
      </c>
      <c r="J2281" t="s">
        <v>44275</v>
      </c>
      <c r="K2281" t="s">
        <v>44276</v>
      </c>
      <c r="L2281" t="s">
        <v>44277</v>
      </c>
      <c r="M2281" t="s">
        <v>44278</v>
      </c>
      <c r="N2281" t="s">
        <v>44279</v>
      </c>
      <c r="O2281">
        <f>-558.774808078392 -83.1660330666692 -740.630984610043</f>
        <v>-1382.5718257551043</v>
      </c>
      <c r="P2281">
        <f>-570.395583845252 -75.0228828747369 -424.427197708231</f>
        <v>-1069.8456644282198</v>
      </c>
      <c r="Q2281" t="s">
        <v>44280</v>
      </c>
      <c r="R2281" t="s">
        <v>44281</v>
      </c>
      <c r="S2281" t="s">
        <v>44282</v>
      </c>
      <c r="T2281" t="s">
        <v>44283</v>
      </c>
      <c r="U2281" t="s">
        <v>44284</v>
      </c>
      <c r="V2281" t="s">
        <v>44285</v>
      </c>
      <c r="W2281" t="s">
        <v>44286</v>
      </c>
      <c r="X2281" t="s">
        <v>44287</v>
      </c>
      <c r="Y2281" t="s">
        <v>44288</v>
      </c>
    </row>
    <row r="2282" spans="1:25" x14ac:dyDescent="0.3">
      <c r="A2282">
        <v>114050</v>
      </c>
      <c r="B2282" t="s">
        <v>44289</v>
      </c>
      <c r="C2282" t="s">
        <v>44290</v>
      </c>
      <c r="D2282" t="s">
        <v>44291</v>
      </c>
      <c r="E2282" t="s">
        <v>44292</v>
      </c>
      <c r="F2282" t="s">
        <v>44293</v>
      </c>
      <c r="G2282" t="s">
        <v>44294</v>
      </c>
      <c r="H2282" t="s">
        <v>44295</v>
      </c>
      <c r="I2282" t="s">
        <v>44296</v>
      </c>
      <c r="J2282" t="s">
        <v>44297</v>
      </c>
      <c r="K2282" t="s">
        <v>44298</v>
      </c>
      <c r="L2282" t="s">
        <v>44299</v>
      </c>
      <c r="M2282" t="s">
        <v>44300</v>
      </c>
      <c r="N2282" t="s">
        <v>44301</v>
      </c>
      <c r="O2282">
        <f>-558.996753703202 -83.2942528753513 -741.331926583418</f>
        <v>-1383.6229331619711</v>
      </c>
      <c r="P2282">
        <f>-571.887119140015 -76.4318588993654 -425.14707920431</f>
        <v>-1073.4660572436903</v>
      </c>
      <c r="Q2282" t="s">
        <v>44302</v>
      </c>
      <c r="R2282" t="s">
        <v>44303</v>
      </c>
      <c r="S2282" t="s">
        <v>44304</v>
      </c>
      <c r="T2282" t="s">
        <v>44305</v>
      </c>
      <c r="U2282" t="s">
        <v>44306</v>
      </c>
      <c r="V2282" t="s">
        <v>44307</v>
      </c>
      <c r="W2282" t="s">
        <v>44308</v>
      </c>
      <c r="X2282" t="s">
        <v>44309</v>
      </c>
      <c r="Y2282" t="s">
        <v>44310</v>
      </c>
    </row>
    <row r="2283" spans="1:25" x14ac:dyDescent="0.3">
      <c r="A2283">
        <v>114100</v>
      </c>
      <c r="B2283" t="s">
        <v>44311</v>
      </c>
      <c r="C2283" t="s">
        <v>44312</v>
      </c>
      <c r="D2283" t="s">
        <v>44313</v>
      </c>
      <c r="E2283" t="s">
        <v>44314</v>
      </c>
      <c r="F2283" t="s">
        <v>44315</v>
      </c>
      <c r="G2283" t="s">
        <v>44316</v>
      </c>
      <c r="H2283" t="s">
        <v>44317</v>
      </c>
      <c r="I2283" t="s">
        <v>44318</v>
      </c>
      <c r="J2283" t="s">
        <v>44319</v>
      </c>
      <c r="K2283" t="s">
        <v>44320</v>
      </c>
      <c r="L2283" t="s">
        <v>44321</v>
      </c>
      <c r="M2283" t="s">
        <v>44322</v>
      </c>
      <c r="N2283" t="s">
        <v>44323</v>
      </c>
      <c r="O2283">
        <f>-558.703102191226 -83.438455460591 -741.625182009524</f>
        <v>-1383.766739661341</v>
      </c>
      <c r="P2283">
        <f>-571.885158087426 -76.8215966584814 -425.446996064292</f>
        <v>-1074.1537508101994</v>
      </c>
      <c r="Q2283" t="s">
        <v>44324</v>
      </c>
      <c r="R2283" t="s">
        <v>44325</v>
      </c>
      <c r="S2283" t="s">
        <v>44326</v>
      </c>
      <c r="T2283" t="s">
        <v>44327</v>
      </c>
      <c r="U2283" t="s">
        <v>44328</v>
      </c>
      <c r="V2283" t="s">
        <v>44329</v>
      </c>
      <c r="W2283" t="s">
        <v>44330</v>
      </c>
      <c r="X2283" t="s">
        <v>44331</v>
      </c>
      <c r="Y2283" t="s">
        <v>44332</v>
      </c>
    </row>
    <row r="2284" spans="1:25" x14ac:dyDescent="0.3">
      <c r="A2284">
        <v>114150</v>
      </c>
      <c r="B2284" t="s">
        <v>44333</v>
      </c>
      <c r="C2284" t="s">
        <v>44334</v>
      </c>
      <c r="D2284" t="s">
        <v>44335</v>
      </c>
      <c r="E2284" t="s">
        <v>44336</v>
      </c>
      <c r="F2284" t="s">
        <v>44337</v>
      </c>
      <c r="G2284" t="s">
        <v>44338</v>
      </c>
      <c r="H2284" t="s">
        <v>44339</v>
      </c>
      <c r="I2284" t="s">
        <v>44340</v>
      </c>
      <c r="J2284" t="s">
        <v>44341</v>
      </c>
      <c r="K2284" t="s">
        <v>44342</v>
      </c>
      <c r="L2284" t="s">
        <v>44343</v>
      </c>
      <c r="M2284" t="s">
        <v>44344</v>
      </c>
      <c r="N2284" t="s">
        <v>44345</v>
      </c>
      <c r="O2284">
        <f>-558.294042233831 -83.8593033065563 -741.742341507101</f>
        <v>-1383.8956870474881</v>
      </c>
      <c r="P2284">
        <f>-572.096020620678 -77.5939025759458 -425.583397436119</f>
        <v>-1075.2733206327428</v>
      </c>
      <c r="Q2284" t="s">
        <v>44346</v>
      </c>
      <c r="R2284" t="s">
        <v>44347</v>
      </c>
      <c r="S2284" t="s">
        <v>44348</v>
      </c>
      <c r="T2284" t="s">
        <v>44349</v>
      </c>
      <c r="U2284" t="s">
        <v>44350</v>
      </c>
      <c r="V2284" t="s">
        <v>44351</v>
      </c>
      <c r="W2284" t="s">
        <v>44352</v>
      </c>
      <c r="X2284" t="s">
        <v>44353</v>
      </c>
      <c r="Y2284" t="s">
        <v>44354</v>
      </c>
    </row>
    <row r="2285" spans="1:25" x14ac:dyDescent="0.3">
      <c r="A2285">
        <v>114200</v>
      </c>
      <c r="B2285" t="s">
        <v>44355</v>
      </c>
      <c r="C2285" t="s">
        <v>44356</v>
      </c>
      <c r="D2285" t="s">
        <v>44357</v>
      </c>
      <c r="E2285" t="s">
        <v>44358</v>
      </c>
      <c r="F2285" t="s">
        <v>44359</v>
      </c>
      <c r="G2285" t="s">
        <v>44360</v>
      </c>
      <c r="H2285" t="s">
        <v>44361</v>
      </c>
      <c r="I2285" t="s">
        <v>44362</v>
      </c>
      <c r="J2285" t="s">
        <v>44363</v>
      </c>
      <c r="K2285" t="s">
        <v>44364</v>
      </c>
      <c r="L2285" t="s">
        <v>44365</v>
      </c>
      <c r="M2285" t="s">
        <v>44366</v>
      </c>
      <c r="N2285" t="s">
        <v>44367</v>
      </c>
      <c r="O2285">
        <f>-558.043927343195 -84.1333530012569 -741.700161404117</f>
        <v>-1383.8774417485688</v>
      </c>
      <c r="P2285">
        <f>-571.923243760106 -77.7286824542155 -425.547535167456</f>
        <v>-1075.1994613817774</v>
      </c>
      <c r="Q2285" t="s">
        <v>44368</v>
      </c>
      <c r="R2285" t="s">
        <v>44369</v>
      </c>
      <c r="S2285" t="s">
        <v>44370</v>
      </c>
      <c r="T2285" t="s">
        <v>44371</v>
      </c>
      <c r="U2285" t="s">
        <v>44372</v>
      </c>
      <c r="V2285" t="s">
        <v>44373</v>
      </c>
      <c r="W2285" t="s">
        <v>44374</v>
      </c>
      <c r="X2285" t="s">
        <v>44375</v>
      </c>
      <c r="Y2285" t="s">
        <v>44376</v>
      </c>
    </row>
    <row r="2286" spans="1:25" x14ac:dyDescent="0.3">
      <c r="A2286">
        <v>114250</v>
      </c>
      <c r="B2286" t="s">
        <v>44377</v>
      </c>
      <c r="C2286" t="s">
        <v>44378</v>
      </c>
      <c r="D2286" t="s">
        <v>44379</v>
      </c>
      <c r="E2286" t="s">
        <v>44380</v>
      </c>
      <c r="F2286" t="s">
        <v>44381</v>
      </c>
      <c r="G2286" t="s">
        <v>44382</v>
      </c>
      <c r="H2286" t="s">
        <v>44383</v>
      </c>
      <c r="I2286" t="s">
        <v>44384</v>
      </c>
      <c r="J2286" t="s">
        <v>44385</v>
      </c>
      <c r="K2286" t="s">
        <v>44386</v>
      </c>
      <c r="L2286" t="s">
        <v>44387</v>
      </c>
      <c r="M2286" t="s">
        <v>44388</v>
      </c>
      <c r="N2286" t="s">
        <v>44389</v>
      </c>
      <c r="O2286">
        <f>-557.507372312363 -84.5484449778422 -741.610909547531</f>
        <v>-1383.6667268377364</v>
      </c>
      <c r="P2286">
        <f>-571.683397417958 -78.534850405466 -425.463660046536</f>
        <v>-1075.68190786996</v>
      </c>
      <c r="Q2286" t="s">
        <v>44390</v>
      </c>
      <c r="R2286" t="s">
        <v>44391</v>
      </c>
      <c r="S2286" t="s">
        <v>44392</v>
      </c>
      <c r="T2286" t="s">
        <v>44393</v>
      </c>
      <c r="U2286" t="s">
        <v>44394</v>
      </c>
      <c r="V2286" t="s">
        <v>44395</v>
      </c>
      <c r="W2286" t="s">
        <v>44396</v>
      </c>
      <c r="X2286" t="s">
        <v>44397</v>
      </c>
      <c r="Y2286" t="s">
        <v>44398</v>
      </c>
    </row>
    <row r="2287" spans="1:25" x14ac:dyDescent="0.3">
      <c r="A2287">
        <v>114300</v>
      </c>
      <c r="B2287" t="s">
        <v>44399</v>
      </c>
      <c r="C2287" t="s">
        <v>44400</v>
      </c>
      <c r="D2287" t="s">
        <v>44401</v>
      </c>
      <c r="E2287" t="s">
        <v>44402</v>
      </c>
      <c r="F2287" t="s">
        <v>44403</v>
      </c>
      <c r="G2287" t="s">
        <v>44404</v>
      </c>
      <c r="H2287" t="s">
        <v>44405</v>
      </c>
      <c r="I2287" t="s">
        <v>44406</v>
      </c>
      <c r="J2287" t="s">
        <v>44407</v>
      </c>
      <c r="K2287" t="s">
        <v>44408</v>
      </c>
      <c r="L2287" t="s">
        <v>44409</v>
      </c>
      <c r="M2287" t="s">
        <v>44410</v>
      </c>
      <c r="N2287" t="s">
        <v>44411</v>
      </c>
      <c r="O2287">
        <f>-557.374626208018 -84.3240552934556 -741.637642510247</f>
        <v>-1383.3363240117205</v>
      </c>
      <c r="P2287">
        <f>-571.232955705389 -78.7830351121073 -425.467720526849</f>
        <v>-1075.4837113443455</v>
      </c>
      <c r="Q2287" t="s">
        <v>44412</v>
      </c>
      <c r="R2287" t="s">
        <v>44413</v>
      </c>
      <c r="S2287" t="s">
        <v>44414</v>
      </c>
      <c r="T2287" t="s">
        <v>44415</v>
      </c>
      <c r="U2287" t="s">
        <v>44416</v>
      </c>
      <c r="V2287" t="s">
        <v>44417</v>
      </c>
      <c r="W2287" t="s">
        <v>44418</v>
      </c>
      <c r="X2287" t="s">
        <v>44419</v>
      </c>
      <c r="Y2287" t="s">
        <v>44420</v>
      </c>
    </row>
    <row r="2288" spans="1:25" x14ac:dyDescent="0.3">
      <c r="A2288">
        <v>114350</v>
      </c>
      <c r="B2288" t="s">
        <v>44421</v>
      </c>
      <c r="C2288" t="s">
        <v>44422</v>
      </c>
      <c r="D2288" t="s">
        <v>44423</v>
      </c>
      <c r="E2288" t="s">
        <v>44424</v>
      </c>
      <c r="F2288" t="s">
        <v>44425</v>
      </c>
      <c r="G2288" t="s">
        <v>44426</v>
      </c>
      <c r="H2288" t="s">
        <v>44427</v>
      </c>
      <c r="I2288" t="s">
        <v>44428</v>
      </c>
      <c r="J2288" t="s">
        <v>44429</v>
      </c>
      <c r="K2288" t="s">
        <v>44430</v>
      </c>
      <c r="L2288" t="s">
        <v>44431</v>
      </c>
      <c r="M2288" t="s">
        <v>44432</v>
      </c>
      <c r="N2288" t="s">
        <v>44433</v>
      </c>
      <c r="O2288">
        <f>-557.185757579203 -83.8226584353509 -741.630335483642</f>
        <v>-1382.6387514981961</v>
      </c>
      <c r="P2288">
        <f>-570.656853315667 -78.5898946838709 -425.438439702698</f>
        <v>-1074.6851877022359</v>
      </c>
      <c r="Q2288" t="s">
        <v>44434</v>
      </c>
      <c r="R2288" t="s">
        <v>44435</v>
      </c>
      <c r="S2288" t="s">
        <v>44436</v>
      </c>
      <c r="T2288" t="s">
        <v>44437</v>
      </c>
      <c r="U2288" t="s">
        <v>44438</v>
      </c>
      <c r="V2288" t="s">
        <v>44439</v>
      </c>
      <c r="W2288" t="s">
        <v>44440</v>
      </c>
      <c r="X2288" t="s">
        <v>44441</v>
      </c>
      <c r="Y2288" t="s">
        <v>44442</v>
      </c>
    </row>
    <row r="2289" spans="1:25" x14ac:dyDescent="0.3">
      <c r="A2289">
        <v>114400</v>
      </c>
      <c r="B2289" t="s">
        <v>44443</v>
      </c>
      <c r="C2289" t="s">
        <v>44444</v>
      </c>
      <c r="D2289" t="s">
        <v>44445</v>
      </c>
      <c r="E2289" t="s">
        <v>44446</v>
      </c>
      <c r="F2289" t="s">
        <v>44447</v>
      </c>
      <c r="G2289" t="s">
        <v>44448</v>
      </c>
      <c r="H2289" t="s">
        <v>44449</v>
      </c>
      <c r="I2289" t="s">
        <v>44450</v>
      </c>
      <c r="J2289" t="s">
        <v>44451</v>
      </c>
      <c r="K2289" t="s">
        <v>44452</v>
      </c>
      <c r="L2289" t="s">
        <v>44453</v>
      </c>
      <c r="M2289" t="s">
        <v>44454</v>
      </c>
      <c r="N2289" t="s">
        <v>44455</v>
      </c>
      <c r="O2289">
        <f>-557.173865195371 -83.1247947498143 -741.809310917219</f>
        <v>-1382.1079708624043</v>
      </c>
      <c r="P2289">
        <f>-570.321193048515 -77.9094263252279 -425.603500954984</f>
        <v>-1073.8341203287268</v>
      </c>
      <c r="Q2289" t="s">
        <v>44456</v>
      </c>
      <c r="R2289" t="s">
        <v>44457</v>
      </c>
      <c r="S2289" t="s">
        <v>44458</v>
      </c>
      <c r="T2289" t="s">
        <v>44459</v>
      </c>
      <c r="U2289" t="s">
        <v>44460</v>
      </c>
      <c r="V2289" t="s">
        <v>44461</v>
      </c>
      <c r="W2289" t="s">
        <v>44462</v>
      </c>
      <c r="X2289" t="s">
        <v>44463</v>
      </c>
      <c r="Y2289" t="s">
        <v>44464</v>
      </c>
    </row>
    <row r="2290" spans="1:25" x14ac:dyDescent="0.3">
      <c r="A2290">
        <v>114450</v>
      </c>
      <c r="B2290" t="s">
        <v>44465</v>
      </c>
      <c r="C2290" t="s">
        <v>44466</v>
      </c>
      <c r="D2290" t="s">
        <v>44467</v>
      </c>
      <c r="E2290" t="s">
        <v>44468</v>
      </c>
      <c r="F2290" t="s">
        <v>44469</v>
      </c>
      <c r="G2290" t="s">
        <v>44470</v>
      </c>
      <c r="H2290" t="s">
        <v>44471</v>
      </c>
      <c r="I2290" t="s">
        <v>44472</v>
      </c>
      <c r="J2290" t="s">
        <v>44473</v>
      </c>
      <c r="K2290" t="s">
        <v>44474</v>
      </c>
      <c r="L2290" t="s">
        <v>44475</v>
      </c>
      <c r="M2290" t="s">
        <v>44476</v>
      </c>
      <c r="N2290" t="s">
        <v>44477</v>
      </c>
      <c r="O2290">
        <f>-556.735133991217 -82.0011084139111 -742.034122862056</f>
        <v>-1380.7703652671842</v>
      </c>
      <c r="P2290">
        <f>-569.868017319671 -76.7199412764094 -425.828713382827</f>
        <v>-1072.4166719789073</v>
      </c>
      <c r="Q2290" t="s">
        <v>44478</v>
      </c>
      <c r="R2290" t="s">
        <v>44479</v>
      </c>
      <c r="S2290" t="s">
        <v>44480</v>
      </c>
      <c r="T2290" t="s">
        <v>44481</v>
      </c>
      <c r="U2290" t="s">
        <v>44482</v>
      </c>
      <c r="V2290" t="s">
        <v>44483</v>
      </c>
      <c r="W2290" t="s">
        <v>44484</v>
      </c>
      <c r="X2290" t="s">
        <v>44485</v>
      </c>
      <c r="Y2290" t="s">
        <v>44486</v>
      </c>
    </row>
    <row r="2291" spans="1:25" x14ac:dyDescent="0.3">
      <c r="A2291">
        <v>114500</v>
      </c>
      <c r="B2291" t="s">
        <v>44487</v>
      </c>
      <c r="C2291" t="s">
        <v>44488</v>
      </c>
      <c r="D2291" t="s">
        <v>44489</v>
      </c>
      <c r="E2291" t="s">
        <v>44490</v>
      </c>
      <c r="F2291" t="s">
        <v>44491</v>
      </c>
      <c r="G2291" t="s">
        <v>44492</v>
      </c>
      <c r="H2291" t="s">
        <v>44493</v>
      </c>
      <c r="I2291" t="s">
        <v>44494</v>
      </c>
      <c r="J2291" t="s">
        <v>44495</v>
      </c>
      <c r="K2291" t="s">
        <v>44496</v>
      </c>
      <c r="L2291" t="s">
        <v>44497</v>
      </c>
      <c r="M2291" t="s">
        <v>44498</v>
      </c>
      <c r="N2291" t="s">
        <v>44499</v>
      </c>
      <c r="O2291">
        <f>-556.726753504982 -81.4219198573656 -742.195905445087</f>
        <v>-1380.3445788074346</v>
      </c>
      <c r="P2291">
        <f>-569.825716606896 -76.4197050538217 -425.984504837306</f>
        <v>-1072.2299264980238</v>
      </c>
      <c r="Q2291" t="s">
        <v>44500</v>
      </c>
      <c r="R2291" t="s">
        <v>44501</v>
      </c>
      <c r="S2291" t="s">
        <v>44502</v>
      </c>
      <c r="T2291" t="s">
        <v>44503</v>
      </c>
      <c r="U2291" t="s">
        <v>44504</v>
      </c>
      <c r="V2291" t="s">
        <v>44505</v>
      </c>
      <c r="W2291" t="s">
        <v>44506</v>
      </c>
      <c r="X2291" t="s">
        <v>44507</v>
      </c>
      <c r="Y2291" t="s">
        <v>44508</v>
      </c>
    </row>
    <row r="2292" spans="1:25" x14ac:dyDescent="0.3">
      <c r="A2292">
        <v>114550</v>
      </c>
      <c r="B2292" t="s">
        <v>44509</v>
      </c>
      <c r="C2292" t="s">
        <v>44510</v>
      </c>
      <c r="D2292" t="s">
        <v>44511</v>
      </c>
      <c r="E2292" t="s">
        <v>44512</v>
      </c>
      <c r="F2292" t="s">
        <v>44513</v>
      </c>
      <c r="G2292" t="s">
        <v>44514</v>
      </c>
      <c r="H2292" t="s">
        <v>44515</v>
      </c>
      <c r="I2292" t="s">
        <v>44516</v>
      </c>
      <c r="J2292" t="s">
        <v>44517</v>
      </c>
      <c r="K2292" t="s">
        <v>44518</v>
      </c>
      <c r="L2292" t="s">
        <v>44519</v>
      </c>
      <c r="M2292" t="s">
        <v>44520</v>
      </c>
      <c r="N2292" t="s">
        <v>44521</v>
      </c>
      <c r="O2292">
        <f>-556.653073523492 -80.2101250658161 -742.465827125702</f>
        <v>-1379.3290257150102</v>
      </c>
      <c r="P2292">
        <f>-569.941258273828 -75.7959915029906 -426.253740356506</f>
        <v>-1071.9909901333244</v>
      </c>
      <c r="Q2292" t="s">
        <v>44522</v>
      </c>
      <c r="R2292" t="s">
        <v>44523</v>
      </c>
      <c r="S2292" t="s">
        <v>44524</v>
      </c>
      <c r="T2292" t="s">
        <v>44525</v>
      </c>
      <c r="U2292" t="s">
        <v>44526</v>
      </c>
      <c r="V2292" t="s">
        <v>44527</v>
      </c>
      <c r="W2292" t="s">
        <v>44528</v>
      </c>
      <c r="X2292" t="s">
        <v>44529</v>
      </c>
      <c r="Y2292" t="s">
        <v>44530</v>
      </c>
    </row>
    <row r="2293" spans="1:25" x14ac:dyDescent="0.3">
      <c r="A2293">
        <v>114600</v>
      </c>
      <c r="B2293" t="s">
        <v>44531</v>
      </c>
      <c r="C2293" t="s">
        <v>44532</v>
      </c>
      <c r="D2293" t="s">
        <v>44533</v>
      </c>
      <c r="E2293" t="s">
        <v>44534</v>
      </c>
      <c r="F2293" t="s">
        <v>44535</v>
      </c>
      <c r="G2293" t="s">
        <v>44536</v>
      </c>
      <c r="H2293" t="s">
        <v>44537</v>
      </c>
      <c r="I2293" t="s">
        <v>44538</v>
      </c>
      <c r="J2293" t="s">
        <v>44539</v>
      </c>
      <c r="K2293" t="s">
        <v>44540</v>
      </c>
      <c r="L2293" t="s">
        <v>44541</v>
      </c>
      <c r="M2293" t="s">
        <v>44542</v>
      </c>
      <c r="N2293" t="s">
        <v>44543</v>
      </c>
      <c r="O2293">
        <f>-556.871099395555 -79.3964141628628 -742.59646678262</f>
        <v>-1378.8639803410379</v>
      </c>
      <c r="P2293">
        <f>-570.037683241362 -75.1440503812462 -426.376982480161</f>
        <v>-1071.5587161027693</v>
      </c>
      <c r="Q2293" t="s">
        <v>44544</v>
      </c>
      <c r="R2293" t="s">
        <v>44545</v>
      </c>
      <c r="S2293" t="s">
        <v>44546</v>
      </c>
      <c r="T2293" t="s">
        <v>44547</v>
      </c>
      <c r="U2293" t="s">
        <v>44548</v>
      </c>
      <c r="V2293" t="s">
        <v>44549</v>
      </c>
      <c r="W2293" t="s">
        <v>44550</v>
      </c>
      <c r="X2293" t="s">
        <v>44551</v>
      </c>
      <c r="Y2293" t="s">
        <v>44552</v>
      </c>
    </row>
    <row r="2294" spans="1:25" x14ac:dyDescent="0.3">
      <c r="A2294">
        <v>114650</v>
      </c>
      <c r="B2294" t="s">
        <v>44553</v>
      </c>
      <c r="C2294" t="s">
        <v>44554</v>
      </c>
      <c r="D2294" t="s">
        <v>44555</v>
      </c>
      <c r="E2294" t="s">
        <v>44556</v>
      </c>
      <c r="F2294" t="s">
        <v>44557</v>
      </c>
      <c r="G2294" t="s">
        <v>44558</v>
      </c>
      <c r="H2294" t="s">
        <v>44559</v>
      </c>
      <c r="I2294" t="s">
        <v>44560</v>
      </c>
      <c r="J2294" t="s">
        <v>44561</v>
      </c>
      <c r="K2294" t="s">
        <v>44562</v>
      </c>
      <c r="L2294" t="s">
        <v>44563</v>
      </c>
      <c r="M2294" t="s">
        <v>44564</v>
      </c>
      <c r="N2294" t="s">
        <v>44565</v>
      </c>
      <c r="O2294">
        <f>-557.596048306824 -77.8723014807114 -742.876896411133</f>
        <v>-1378.3452461986683</v>
      </c>
      <c r="P2294">
        <f>-570.343864576704 -74.0847258686138 -426.634307250762</f>
        <v>-1071.0628976960797</v>
      </c>
      <c r="Q2294" t="s">
        <v>44566</v>
      </c>
      <c r="R2294" t="s">
        <v>44567</v>
      </c>
      <c r="S2294" t="s">
        <v>44568</v>
      </c>
      <c r="T2294" t="s">
        <v>44569</v>
      </c>
      <c r="U2294" t="s">
        <v>44570</v>
      </c>
      <c r="V2294" t="s">
        <v>44571</v>
      </c>
      <c r="W2294" t="s">
        <v>44572</v>
      </c>
      <c r="X2294" t="s">
        <v>44573</v>
      </c>
      <c r="Y2294" t="s">
        <v>44574</v>
      </c>
    </row>
    <row r="2295" spans="1:25" x14ac:dyDescent="0.3">
      <c r="A2295">
        <v>114700</v>
      </c>
      <c r="B2295" t="s">
        <v>44575</v>
      </c>
      <c r="C2295" t="s">
        <v>44576</v>
      </c>
      <c r="D2295" t="s">
        <v>44577</v>
      </c>
      <c r="E2295" t="s">
        <v>44578</v>
      </c>
      <c r="F2295" t="s">
        <v>44579</v>
      </c>
      <c r="G2295" t="s">
        <v>44580</v>
      </c>
      <c r="H2295" t="s">
        <v>44581</v>
      </c>
      <c r="I2295" t="s">
        <v>44582</v>
      </c>
      <c r="J2295" t="s">
        <v>44583</v>
      </c>
      <c r="K2295" t="s">
        <v>44584</v>
      </c>
      <c r="L2295" t="s">
        <v>44585</v>
      </c>
      <c r="M2295" t="s">
        <v>44586</v>
      </c>
      <c r="N2295" t="s">
        <v>44587</v>
      </c>
      <c r="O2295">
        <f>-557.949037564471 -77.2983354145974 -743.05598091227</f>
        <v>-1378.3033538913385</v>
      </c>
      <c r="P2295">
        <f>-570.534617871422 -73.6851113177151 -426.804907699543</f>
        <v>-1071.0246368886801</v>
      </c>
      <c r="Q2295" t="s">
        <v>44588</v>
      </c>
      <c r="R2295" t="s">
        <v>44589</v>
      </c>
      <c r="S2295" t="s">
        <v>44590</v>
      </c>
      <c r="T2295" t="s">
        <v>44591</v>
      </c>
      <c r="U2295" t="s">
        <v>44592</v>
      </c>
      <c r="V2295" t="s">
        <v>44593</v>
      </c>
      <c r="W2295" t="s">
        <v>44594</v>
      </c>
      <c r="X2295" t="s">
        <v>44595</v>
      </c>
      <c r="Y2295" t="s">
        <v>44596</v>
      </c>
    </row>
    <row r="2296" spans="1:25" x14ac:dyDescent="0.3">
      <c r="A2296">
        <v>114750</v>
      </c>
      <c r="B2296" t="s">
        <v>44597</v>
      </c>
      <c r="C2296" t="s">
        <v>44598</v>
      </c>
      <c r="D2296" t="s">
        <v>44599</v>
      </c>
      <c r="E2296" t="s">
        <v>44600</v>
      </c>
      <c r="F2296" t="s">
        <v>44601</v>
      </c>
      <c r="G2296" t="s">
        <v>44602</v>
      </c>
      <c r="H2296" t="s">
        <v>44603</v>
      </c>
      <c r="I2296" t="s">
        <v>44604</v>
      </c>
      <c r="J2296" t="s">
        <v>44605</v>
      </c>
      <c r="K2296" t="s">
        <v>44606</v>
      </c>
      <c r="L2296" t="s">
        <v>44607</v>
      </c>
      <c r="M2296" t="s">
        <v>44608</v>
      </c>
      <c r="N2296" t="s">
        <v>44609</v>
      </c>
      <c r="O2296">
        <f>-559.442490200467 -76.9745850785095 -743.145609985867</f>
        <v>-1379.5626852648434</v>
      </c>
      <c r="P2296">
        <f>-571.886908859046 -73.1725922286643 -426.891126369841</f>
        <v>-1071.9506274575513</v>
      </c>
      <c r="Q2296" t="s">
        <v>44610</v>
      </c>
      <c r="R2296" t="s">
        <v>44611</v>
      </c>
      <c r="S2296" t="s">
        <v>44612</v>
      </c>
      <c r="T2296" t="s">
        <v>44613</v>
      </c>
      <c r="U2296" t="s">
        <v>44614</v>
      </c>
      <c r="V2296" t="s">
        <v>44615</v>
      </c>
      <c r="W2296" t="s">
        <v>44616</v>
      </c>
      <c r="X2296" t="s">
        <v>44617</v>
      </c>
      <c r="Y2296" t="s">
        <v>44618</v>
      </c>
    </row>
    <row r="2297" spans="1:25" x14ac:dyDescent="0.3">
      <c r="A2297">
        <v>114800</v>
      </c>
      <c r="B2297" t="s">
        <v>44619</v>
      </c>
      <c r="C2297" t="s">
        <v>44620</v>
      </c>
      <c r="D2297" t="s">
        <v>44621</v>
      </c>
      <c r="E2297" t="s">
        <v>44622</v>
      </c>
      <c r="F2297" t="s">
        <v>44623</v>
      </c>
      <c r="G2297" t="s">
        <v>44624</v>
      </c>
      <c r="H2297" t="s">
        <v>44625</v>
      </c>
      <c r="I2297" t="s">
        <v>44626</v>
      </c>
      <c r="J2297" t="s">
        <v>44627</v>
      </c>
      <c r="K2297" t="s">
        <v>44628</v>
      </c>
      <c r="L2297" t="s">
        <v>44629</v>
      </c>
      <c r="M2297" t="s">
        <v>44630</v>
      </c>
      <c r="N2297" t="s">
        <v>44631</v>
      </c>
      <c r="O2297">
        <f>-560.618783744999 -77.1841118352818 -742.803347415594</f>
        <v>-1380.6062429958747</v>
      </c>
      <c r="P2297">
        <f>-572.830493888656 -73.2647903113737 -426.541410108599</f>
        <v>-1072.6366943086286</v>
      </c>
      <c r="Q2297" t="s">
        <v>44632</v>
      </c>
      <c r="R2297" t="s">
        <v>44633</v>
      </c>
      <c r="S2297" t="s">
        <v>44634</v>
      </c>
      <c r="T2297" t="s">
        <v>44635</v>
      </c>
      <c r="U2297" t="s">
        <v>44636</v>
      </c>
      <c r="V2297" t="s">
        <v>44637</v>
      </c>
      <c r="W2297" t="s">
        <v>44638</v>
      </c>
      <c r="X2297" t="s">
        <v>44639</v>
      </c>
      <c r="Y2297" t="s">
        <v>44640</v>
      </c>
    </row>
    <row r="2298" spans="1:25" x14ac:dyDescent="0.3">
      <c r="A2298">
        <v>114850</v>
      </c>
      <c r="B2298" t="s">
        <v>44641</v>
      </c>
      <c r="C2298" t="s">
        <v>44642</v>
      </c>
      <c r="D2298" t="s">
        <v>44643</v>
      </c>
      <c r="E2298" t="s">
        <v>44644</v>
      </c>
      <c r="F2298" t="s">
        <v>44645</v>
      </c>
      <c r="G2298" t="s">
        <v>44646</v>
      </c>
      <c r="H2298" t="s">
        <v>44647</v>
      </c>
      <c r="I2298" t="s">
        <v>44648</v>
      </c>
      <c r="J2298" t="s">
        <v>44649</v>
      </c>
      <c r="K2298" t="s">
        <v>44650</v>
      </c>
      <c r="L2298" t="s">
        <v>44651</v>
      </c>
      <c r="M2298" t="s">
        <v>44652</v>
      </c>
      <c r="N2298" t="s">
        <v>44653</v>
      </c>
      <c r="O2298">
        <f>-561.919391287028 -77.3650888215742 -741.618297769438</f>
        <v>-1380.9027778780401</v>
      </c>
      <c r="P2298">
        <f>-573.643793406512 -72.519239814333 -425.350555401287</f>
        <v>-1071.5135886221319</v>
      </c>
      <c r="Q2298" t="s">
        <v>44654</v>
      </c>
      <c r="R2298" t="s">
        <v>44655</v>
      </c>
      <c r="S2298" t="s">
        <v>44656</v>
      </c>
      <c r="T2298" t="s">
        <v>44657</v>
      </c>
      <c r="U2298" t="s">
        <v>44658</v>
      </c>
      <c r="V2298" t="s">
        <v>44659</v>
      </c>
      <c r="W2298" t="s">
        <v>44660</v>
      </c>
      <c r="X2298" t="s">
        <v>44661</v>
      </c>
      <c r="Y2298" t="s">
        <v>44662</v>
      </c>
    </row>
    <row r="2299" spans="1:25" x14ac:dyDescent="0.3">
      <c r="A2299">
        <v>114900</v>
      </c>
      <c r="B2299" t="s">
        <v>44663</v>
      </c>
      <c r="C2299" t="s">
        <v>44664</v>
      </c>
      <c r="D2299" t="s">
        <v>44665</v>
      </c>
      <c r="E2299" t="s">
        <v>44666</v>
      </c>
      <c r="F2299" t="s">
        <v>44667</v>
      </c>
      <c r="G2299" t="s">
        <v>44668</v>
      </c>
      <c r="H2299" t="s">
        <v>44669</v>
      </c>
      <c r="I2299" t="s">
        <v>44670</v>
      </c>
      <c r="J2299" t="s">
        <v>44671</v>
      </c>
      <c r="K2299" t="s">
        <v>44672</v>
      </c>
      <c r="L2299" t="s">
        <v>44673</v>
      </c>
      <c r="M2299" t="s">
        <v>44674</v>
      </c>
      <c r="N2299" t="s">
        <v>44675</v>
      </c>
      <c r="O2299">
        <f>-561.962245420713 -77.1796322875708 -741.04487703505</f>
        <v>-1380.1867547433339</v>
      </c>
      <c r="P2299">
        <f>-573.298220807975 -71.4656599650662 -424.777322796891</f>
        <v>-1069.5412035699321</v>
      </c>
      <c r="Q2299" t="s">
        <v>44676</v>
      </c>
      <c r="R2299" t="s">
        <v>44677</v>
      </c>
      <c r="S2299" t="s">
        <v>44678</v>
      </c>
      <c r="T2299" t="s">
        <v>44679</v>
      </c>
      <c r="U2299" t="s">
        <v>44680</v>
      </c>
      <c r="V2299" t="s">
        <v>44681</v>
      </c>
      <c r="W2299" t="s">
        <v>44682</v>
      </c>
      <c r="X2299" t="s">
        <v>44683</v>
      </c>
      <c r="Y2299" t="s">
        <v>44684</v>
      </c>
    </row>
    <row r="2300" spans="1:25" x14ac:dyDescent="0.3">
      <c r="A2300">
        <v>114950</v>
      </c>
      <c r="B2300" t="s">
        <v>44685</v>
      </c>
      <c r="C2300" t="s">
        <v>44686</v>
      </c>
      <c r="D2300" t="s">
        <v>44687</v>
      </c>
      <c r="E2300" t="s">
        <v>44688</v>
      </c>
      <c r="F2300" t="s">
        <v>44689</v>
      </c>
      <c r="G2300" t="s">
        <v>44690</v>
      </c>
      <c r="H2300" t="s">
        <v>44691</v>
      </c>
      <c r="I2300" t="s">
        <v>44692</v>
      </c>
      <c r="J2300" t="s">
        <v>44693</v>
      </c>
      <c r="K2300" t="s">
        <v>44694</v>
      </c>
      <c r="L2300" t="s">
        <v>44695</v>
      </c>
      <c r="M2300" t="s">
        <v>44696</v>
      </c>
      <c r="N2300" t="s">
        <v>44697</v>
      </c>
      <c r="O2300">
        <f>-561.70880920417 -77.0352159012811 -740.114508424794</f>
        <v>-1378.858533530245</v>
      </c>
      <c r="P2300">
        <f>-572.264433174966 -70.5124923256402 -423.835684588603</f>
        <v>-1066.6126100892093</v>
      </c>
      <c r="Q2300" t="s">
        <v>44698</v>
      </c>
      <c r="R2300" t="s">
        <v>44699</v>
      </c>
      <c r="S2300" t="s">
        <v>44700</v>
      </c>
      <c r="T2300" t="s">
        <v>44701</v>
      </c>
      <c r="U2300" t="s">
        <v>44702</v>
      </c>
      <c r="V2300" t="s">
        <v>44703</v>
      </c>
      <c r="W2300" t="s">
        <v>44704</v>
      </c>
      <c r="X2300" t="s">
        <v>44705</v>
      </c>
      <c r="Y2300" t="s">
        <v>44706</v>
      </c>
    </row>
    <row r="2301" spans="1:25" x14ac:dyDescent="0.3">
      <c r="A2301">
        <v>115000</v>
      </c>
      <c r="B2301" t="s">
        <v>44707</v>
      </c>
      <c r="C2301" t="s">
        <v>44708</v>
      </c>
      <c r="D2301" t="s">
        <v>44709</v>
      </c>
      <c r="E2301" t="s">
        <v>44710</v>
      </c>
      <c r="F2301" t="s">
        <v>44711</v>
      </c>
      <c r="G2301" t="s">
        <v>44712</v>
      </c>
      <c r="H2301" t="s">
        <v>44713</v>
      </c>
      <c r="I2301" t="s">
        <v>44714</v>
      </c>
      <c r="J2301" t="s">
        <v>44715</v>
      </c>
      <c r="K2301" t="s">
        <v>44716</v>
      </c>
      <c r="L2301" t="s">
        <v>44717</v>
      </c>
      <c r="M2301" t="s">
        <v>44718</v>
      </c>
      <c r="N2301" t="s">
        <v>44719</v>
      </c>
      <c r="O2301">
        <f>-560.874530246951 -77.2790254189691 -739.768354627604</f>
        <v>-1377.9219102935242</v>
      </c>
      <c r="P2301">
        <f>-571.034010809552 -70.297884894703 -423.486462326365</f>
        <v>-1064.8183580306199</v>
      </c>
      <c r="Q2301" t="s">
        <v>44720</v>
      </c>
      <c r="R2301" t="s">
        <v>44721</v>
      </c>
      <c r="S2301" t="s">
        <v>44722</v>
      </c>
      <c r="T2301" t="s">
        <v>44723</v>
      </c>
      <c r="U2301" t="s">
        <v>44724</v>
      </c>
      <c r="V2301" t="s">
        <v>44725</v>
      </c>
      <c r="W2301" t="s">
        <v>44726</v>
      </c>
      <c r="X2301" t="s">
        <v>44727</v>
      </c>
      <c r="Y2301" t="s">
        <v>44728</v>
      </c>
    </row>
    <row r="2302" spans="1:25" x14ac:dyDescent="0.3">
      <c r="A2302">
        <v>115050</v>
      </c>
      <c r="B2302" t="s">
        <v>44729</v>
      </c>
      <c r="C2302" t="s">
        <v>44730</v>
      </c>
      <c r="D2302" t="s">
        <v>44731</v>
      </c>
      <c r="E2302" t="s">
        <v>44732</v>
      </c>
      <c r="F2302" t="s">
        <v>44733</v>
      </c>
      <c r="G2302" t="s">
        <v>44734</v>
      </c>
      <c r="H2302" t="s">
        <v>44735</v>
      </c>
      <c r="I2302" t="s">
        <v>44736</v>
      </c>
      <c r="J2302" t="s">
        <v>44737</v>
      </c>
      <c r="K2302" t="s">
        <v>44738</v>
      </c>
      <c r="L2302" t="s">
        <v>44739</v>
      </c>
      <c r="M2302" t="s">
        <v>44740</v>
      </c>
      <c r="N2302" t="s">
        <v>44741</v>
      </c>
      <c r="O2302">
        <f>-558.936550647146 -78.039387007977 -738.985945366437</f>
        <v>-1375.96188302156</v>
      </c>
      <c r="P2302">
        <f>-568.471630769271 -71.3464335243089 -422.678393919092</f>
        <v>-1062.496458212672</v>
      </c>
      <c r="Q2302" t="s">
        <v>44742</v>
      </c>
      <c r="R2302" t="s">
        <v>44743</v>
      </c>
      <c r="S2302" t="s">
        <v>44744</v>
      </c>
      <c r="T2302" t="s">
        <v>44745</v>
      </c>
      <c r="U2302" t="s">
        <v>44746</v>
      </c>
      <c r="V2302" t="s">
        <v>44747</v>
      </c>
      <c r="W2302" t="s">
        <v>44748</v>
      </c>
      <c r="X2302" t="s">
        <v>44749</v>
      </c>
      <c r="Y2302" t="s">
        <v>44750</v>
      </c>
    </row>
    <row r="2303" spans="1:25" x14ac:dyDescent="0.3">
      <c r="A2303">
        <v>115100</v>
      </c>
      <c r="B2303" t="s">
        <v>44751</v>
      </c>
      <c r="C2303" t="s">
        <v>44752</v>
      </c>
      <c r="D2303" t="s">
        <v>44753</v>
      </c>
      <c r="E2303" t="s">
        <v>44754</v>
      </c>
      <c r="F2303" t="s">
        <v>44755</v>
      </c>
      <c r="G2303" t="s">
        <v>44756</v>
      </c>
      <c r="H2303" t="s">
        <v>44757</v>
      </c>
      <c r="I2303" t="s">
        <v>44758</v>
      </c>
      <c r="J2303" t="s">
        <v>44759</v>
      </c>
      <c r="K2303" t="s">
        <v>44760</v>
      </c>
      <c r="L2303" t="s">
        <v>44761</v>
      </c>
      <c r="M2303" t="s">
        <v>44762</v>
      </c>
      <c r="N2303" t="s">
        <v>44763</v>
      </c>
      <c r="O2303">
        <f>-557.856790378093 -78.6429633417196 -738.707763679729</f>
        <v>-1375.2075173995418</v>
      </c>
      <c r="P2303">
        <f>-567.339216915618 -71.6914930207848 -422.404086704868</f>
        <v>-1061.4347966412709</v>
      </c>
      <c r="Q2303" t="s">
        <v>44764</v>
      </c>
      <c r="R2303" t="s">
        <v>44765</v>
      </c>
      <c r="S2303" t="s">
        <v>44766</v>
      </c>
      <c r="T2303" t="s">
        <v>44767</v>
      </c>
      <c r="U2303" t="s">
        <v>44768</v>
      </c>
      <c r="V2303" t="s">
        <v>44769</v>
      </c>
      <c r="W2303" t="s">
        <v>44770</v>
      </c>
      <c r="X2303" t="s">
        <v>44771</v>
      </c>
      <c r="Y2303" t="s">
        <v>44772</v>
      </c>
    </row>
    <row r="2304" spans="1:25" x14ac:dyDescent="0.3">
      <c r="A2304">
        <v>115150</v>
      </c>
      <c r="B2304" t="s">
        <v>44773</v>
      </c>
      <c r="C2304" t="s">
        <v>44774</v>
      </c>
      <c r="D2304" t="s">
        <v>44775</v>
      </c>
      <c r="E2304" t="s">
        <v>44776</v>
      </c>
      <c r="F2304" t="s">
        <v>44777</v>
      </c>
      <c r="G2304" t="s">
        <v>44778</v>
      </c>
      <c r="H2304" t="s">
        <v>44779</v>
      </c>
      <c r="I2304" t="s">
        <v>44780</v>
      </c>
      <c r="J2304" t="s">
        <v>44781</v>
      </c>
      <c r="K2304" t="s">
        <v>44782</v>
      </c>
      <c r="L2304" t="s">
        <v>44783</v>
      </c>
      <c r="M2304" t="s">
        <v>44784</v>
      </c>
      <c r="N2304" t="s">
        <v>44785</v>
      </c>
      <c r="O2304">
        <f>-556.200104180652 -79.2571465219423 -738.291624220959</f>
        <v>-1373.7488749235533</v>
      </c>
      <c r="P2304">
        <f>-564.453706865961 -72.3815777662633 -421.952058342262</f>
        <v>-1058.7873429744861</v>
      </c>
      <c r="Q2304" t="s">
        <v>44786</v>
      </c>
      <c r="R2304" t="s">
        <v>44787</v>
      </c>
      <c r="S2304" t="s">
        <v>44788</v>
      </c>
      <c r="T2304" t="s">
        <v>44789</v>
      </c>
      <c r="U2304" t="s">
        <v>44790</v>
      </c>
      <c r="V2304" t="s">
        <v>44791</v>
      </c>
      <c r="W2304" t="s">
        <v>44792</v>
      </c>
      <c r="X2304" t="s">
        <v>44793</v>
      </c>
      <c r="Y2304" t="s">
        <v>44794</v>
      </c>
    </row>
    <row r="2305" spans="1:25" x14ac:dyDescent="0.3">
      <c r="A2305">
        <v>115200</v>
      </c>
      <c r="B2305" t="s">
        <v>44795</v>
      </c>
      <c r="C2305" t="s">
        <v>44796</v>
      </c>
      <c r="D2305" t="s">
        <v>44797</v>
      </c>
      <c r="E2305" t="s">
        <v>44798</v>
      </c>
      <c r="F2305" t="s">
        <v>44799</v>
      </c>
      <c r="G2305" t="s">
        <v>44800</v>
      </c>
      <c r="H2305" t="s">
        <v>44801</v>
      </c>
      <c r="I2305" t="s">
        <v>44802</v>
      </c>
      <c r="J2305" t="s">
        <v>44803</v>
      </c>
      <c r="K2305" t="s">
        <v>44804</v>
      </c>
      <c r="L2305" t="s">
        <v>44805</v>
      </c>
      <c r="M2305" t="s">
        <v>44806</v>
      </c>
      <c r="N2305" t="s">
        <v>44807</v>
      </c>
      <c r="O2305">
        <f>-556.00540115602 -79.2007718150345 -738.102236924156</f>
        <v>-1373.3084098952104</v>
      </c>
      <c r="P2305">
        <f>-563.266534431438 -72.5144395725839 -421.734205930517</f>
        <v>-1057.515179934539</v>
      </c>
      <c r="Q2305" t="s">
        <v>44808</v>
      </c>
      <c r="R2305" t="s">
        <v>44809</v>
      </c>
      <c r="S2305" t="s">
        <v>44810</v>
      </c>
      <c r="T2305" t="s">
        <v>44811</v>
      </c>
      <c r="U2305" t="s">
        <v>44812</v>
      </c>
      <c r="V2305" t="s">
        <v>44813</v>
      </c>
      <c r="W2305" t="s">
        <v>44814</v>
      </c>
      <c r="X2305" t="s">
        <v>44815</v>
      </c>
      <c r="Y2305" t="s">
        <v>44816</v>
      </c>
    </row>
    <row r="2306" spans="1:25" x14ac:dyDescent="0.3">
      <c r="A2306">
        <v>115250</v>
      </c>
      <c r="B2306" t="s">
        <v>44817</v>
      </c>
      <c r="C2306" t="s">
        <v>44818</v>
      </c>
      <c r="D2306" t="s">
        <v>44819</v>
      </c>
      <c r="E2306" t="s">
        <v>44820</v>
      </c>
      <c r="F2306" t="s">
        <v>44821</v>
      </c>
      <c r="G2306" t="s">
        <v>44822</v>
      </c>
      <c r="H2306" t="s">
        <v>44823</v>
      </c>
      <c r="I2306" t="s">
        <v>44824</v>
      </c>
      <c r="J2306" t="s">
        <v>44825</v>
      </c>
      <c r="K2306" t="s">
        <v>44826</v>
      </c>
      <c r="L2306" t="s">
        <v>44827</v>
      </c>
      <c r="M2306" t="s">
        <v>44828</v>
      </c>
      <c r="N2306" t="s">
        <v>44829</v>
      </c>
      <c r="O2306">
        <f>-556.011329876423 -79.184040271045 -737.956798272416</f>
        <v>-1373.152168419884</v>
      </c>
      <c r="P2306">
        <f>-561.246577495381 -73.685412248921 -421.525853011247</f>
        <v>-1056.4578427555489</v>
      </c>
      <c r="Q2306" t="s">
        <v>44830</v>
      </c>
      <c r="R2306" t="s">
        <v>44831</v>
      </c>
      <c r="S2306" t="s">
        <v>44832</v>
      </c>
      <c r="T2306" t="s">
        <v>44833</v>
      </c>
      <c r="U2306" t="s">
        <v>44834</v>
      </c>
      <c r="V2306" t="s">
        <v>44835</v>
      </c>
      <c r="W2306" t="s">
        <v>44836</v>
      </c>
      <c r="X2306" t="s">
        <v>44837</v>
      </c>
      <c r="Y2306" t="s">
        <v>44838</v>
      </c>
    </row>
    <row r="2307" spans="1:25" x14ac:dyDescent="0.3">
      <c r="A2307">
        <v>115300</v>
      </c>
      <c r="B2307" t="s">
        <v>44839</v>
      </c>
      <c r="C2307" t="s">
        <v>44840</v>
      </c>
      <c r="D2307" t="s">
        <v>44841</v>
      </c>
      <c r="E2307" t="s">
        <v>44842</v>
      </c>
      <c r="F2307" t="s">
        <v>44843</v>
      </c>
      <c r="G2307" t="s">
        <v>44844</v>
      </c>
      <c r="H2307" t="s">
        <v>44845</v>
      </c>
      <c r="I2307" t="s">
        <v>44846</v>
      </c>
      <c r="J2307" t="s">
        <v>44847</v>
      </c>
      <c r="K2307" t="s">
        <v>44848</v>
      </c>
      <c r="L2307" t="s">
        <v>44849</v>
      </c>
      <c r="M2307" t="s">
        <v>44850</v>
      </c>
      <c r="N2307" t="s">
        <v>44851</v>
      </c>
      <c r="O2307">
        <f>-556.084041697872 -79.2029652371157 -737.860449135564</f>
        <v>-1373.1474560705515</v>
      </c>
      <c r="P2307">
        <f>-559.907298456073 -74.4696723420263 -421.396991156587</f>
        <v>-1055.7739619546865</v>
      </c>
      <c r="Q2307" t="s">
        <v>44852</v>
      </c>
      <c r="R2307" t="s">
        <v>44853</v>
      </c>
      <c r="S2307" t="s">
        <v>44854</v>
      </c>
      <c r="T2307" t="s">
        <v>44855</v>
      </c>
      <c r="U2307" t="s">
        <v>44856</v>
      </c>
      <c r="V2307" t="s">
        <v>44857</v>
      </c>
      <c r="W2307" t="s">
        <v>44858</v>
      </c>
      <c r="X2307" t="s">
        <v>44859</v>
      </c>
      <c r="Y2307" t="s">
        <v>44860</v>
      </c>
    </row>
    <row r="2308" spans="1:25" x14ac:dyDescent="0.3">
      <c r="A2308">
        <v>115350</v>
      </c>
      <c r="B2308" t="s">
        <v>44861</v>
      </c>
      <c r="C2308" t="s">
        <v>44862</v>
      </c>
      <c r="D2308" t="s">
        <v>44863</v>
      </c>
      <c r="E2308" t="s">
        <v>44864</v>
      </c>
      <c r="F2308" t="s">
        <v>44865</v>
      </c>
      <c r="G2308" t="s">
        <v>44866</v>
      </c>
      <c r="H2308" t="s">
        <v>44867</v>
      </c>
      <c r="I2308" t="s">
        <v>44868</v>
      </c>
      <c r="J2308" t="s">
        <v>44869</v>
      </c>
      <c r="K2308" t="s">
        <v>44870</v>
      </c>
      <c r="L2308" t="s">
        <v>44871</v>
      </c>
      <c r="M2308" t="s">
        <v>44872</v>
      </c>
      <c r="N2308" t="s">
        <v>44873</v>
      </c>
      <c r="O2308">
        <f>-555.987260337061 -79.5581667910527 -737.447318954112</f>
        <v>-1372.9927460822257</v>
      </c>
      <c r="P2308">
        <f>-557.656348358377 -76.8196971509362 -420.941524759753</f>
        <v>-1055.4175702690663</v>
      </c>
      <c r="Q2308" t="s">
        <v>44874</v>
      </c>
      <c r="R2308" t="s">
        <v>44875</v>
      </c>
      <c r="S2308" t="s">
        <v>44876</v>
      </c>
      <c r="T2308" t="s">
        <v>44877</v>
      </c>
      <c r="U2308" t="s">
        <v>44878</v>
      </c>
      <c r="V2308" t="s">
        <v>44879</v>
      </c>
      <c r="W2308" t="s">
        <v>44880</v>
      </c>
      <c r="X2308" t="s">
        <v>44881</v>
      </c>
      <c r="Y2308" t="s">
        <v>44882</v>
      </c>
    </row>
    <row r="2309" spans="1:25" x14ac:dyDescent="0.3">
      <c r="A2309">
        <v>115400</v>
      </c>
      <c r="B2309" t="s">
        <v>44883</v>
      </c>
      <c r="C2309" t="s">
        <v>44884</v>
      </c>
      <c r="D2309" t="s">
        <v>44885</v>
      </c>
      <c r="E2309" t="s">
        <v>44886</v>
      </c>
      <c r="F2309" t="s">
        <v>44887</v>
      </c>
      <c r="G2309" t="s">
        <v>44888</v>
      </c>
      <c r="H2309" t="s">
        <v>44889</v>
      </c>
      <c r="I2309" t="s">
        <v>44890</v>
      </c>
      <c r="J2309" t="s">
        <v>44891</v>
      </c>
      <c r="K2309" t="s">
        <v>44892</v>
      </c>
      <c r="L2309" t="s">
        <v>44893</v>
      </c>
      <c r="M2309" t="s">
        <v>44894</v>
      </c>
      <c r="N2309" t="s">
        <v>44895</v>
      </c>
      <c r="O2309">
        <f>-555.824386998893 -79.5760219983917 -737.332225825663</f>
        <v>-1372.7326348229478</v>
      </c>
      <c r="P2309">
        <f>-556.353999077353 -77.9934728537935 -420.814570393011</f>
        <v>-1055.1620423241575</v>
      </c>
      <c r="Q2309" t="s">
        <v>44896</v>
      </c>
      <c r="R2309" t="s">
        <v>44897</v>
      </c>
      <c r="S2309" t="s">
        <v>44898</v>
      </c>
      <c r="T2309" t="s">
        <v>44899</v>
      </c>
      <c r="U2309" t="s">
        <v>44900</v>
      </c>
      <c r="V2309" t="s">
        <v>44901</v>
      </c>
      <c r="W2309" t="s">
        <v>44902</v>
      </c>
      <c r="X2309" t="s">
        <v>44903</v>
      </c>
      <c r="Y2309" t="s">
        <v>44904</v>
      </c>
    </row>
    <row r="2310" spans="1:25" x14ac:dyDescent="0.3">
      <c r="A2310">
        <v>115450</v>
      </c>
      <c r="B2310" t="s">
        <v>44905</v>
      </c>
      <c r="C2310" t="s">
        <v>44906</v>
      </c>
      <c r="D2310" t="s">
        <v>44907</v>
      </c>
      <c r="E2310" t="s">
        <v>44908</v>
      </c>
      <c r="F2310" t="s">
        <v>44909</v>
      </c>
      <c r="G2310" t="s">
        <v>44910</v>
      </c>
      <c r="H2310" t="s">
        <v>44911</v>
      </c>
      <c r="I2310" t="s">
        <v>44912</v>
      </c>
      <c r="J2310" t="s">
        <v>44913</v>
      </c>
      <c r="K2310" t="s">
        <v>44914</v>
      </c>
      <c r="L2310" t="s">
        <v>44915</v>
      </c>
      <c r="M2310" t="s">
        <v>44916</v>
      </c>
      <c r="N2310" t="s">
        <v>44917</v>
      </c>
      <c r="O2310">
        <f>-555.478613600052 -79.3902683852084 -737.040823958991</f>
        <v>-1371.9097059442515</v>
      </c>
      <c r="P2310">
        <f>-554.686470849681 -79.4720486124371 -420.519804739748</f>
        <v>-1054.678324201866</v>
      </c>
      <c r="Q2310" t="s">
        <v>44918</v>
      </c>
      <c r="R2310" t="s">
        <v>44919</v>
      </c>
      <c r="S2310" t="s">
        <v>44920</v>
      </c>
      <c r="T2310" t="s">
        <v>44921</v>
      </c>
      <c r="U2310" t="s">
        <v>44922</v>
      </c>
      <c r="V2310" t="s">
        <v>44923</v>
      </c>
      <c r="W2310" t="s">
        <v>44924</v>
      </c>
      <c r="X2310" t="s">
        <v>44925</v>
      </c>
      <c r="Y2310" t="s">
        <v>44926</v>
      </c>
    </row>
    <row r="2311" spans="1:25" x14ac:dyDescent="0.3">
      <c r="A2311">
        <v>115500</v>
      </c>
      <c r="B2311" t="s">
        <v>44927</v>
      </c>
      <c r="C2311" t="s">
        <v>44928</v>
      </c>
      <c r="D2311" t="s">
        <v>44929</v>
      </c>
      <c r="E2311" t="s">
        <v>44930</v>
      </c>
      <c r="F2311" t="s">
        <v>44931</v>
      </c>
      <c r="G2311" t="s">
        <v>44932</v>
      </c>
      <c r="H2311" t="s">
        <v>44933</v>
      </c>
      <c r="I2311" t="s">
        <v>44934</v>
      </c>
      <c r="J2311" t="s">
        <v>44935</v>
      </c>
      <c r="K2311" t="s">
        <v>44936</v>
      </c>
      <c r="L2311" t="s">
        <v>44937</v>
      </c>
      <c r="M2311" t="s">
        <v>44938</v>
      </c>
      <c r="N2311" t="s">
        <v>44939</v>
      </c>
      <c r="O2311">
        <f>-555.148307114036 -79.3675074923836 -737.108758119494</f>
        <v>-1371.6245727259136</v>
      </c>
      <c r="P2311">
        <f>-553.81646257695 -80.0017013998716 -420.590179433881</f>
        <v>-1054.4083434107026</v>
      </c>
      <c r="Q2311" t="s">
        <v>44940</v>
      </c>
      <c r="R2311" t="s">
        <v>44941</v>
      </c>
      <c r="S2311" t="s">
        <v>44942</v>
      </c>
      <c r="T2311" t="s">
        <v>44943</v>
      </c>
      <c r="U2311" t="s">
        <v>44944</v>
      </c>
      <c r="V2311" t="s">
        <v>44945</v>
      </c>
      <c r="W2311" t="s">
        <v>44946</v>
      </c>
      <c r="X2311" t="s">
        <v>44947</v>
      </c>
      <c r="Y2311" t="s">
        <v>44948</v>
      </c>
    </row>
    <row r="2312" spans="1:25" x14ac:dyDescent="0.3">
      <c r="A2312">
        <v>115550</v>
      </c>
      <c r="B2312" t="s">
        <v>44949</v>
      </c>
      <c r="C2312" t="s">
        <v>44950</v>
      </c>
      <c r="D2312" t="s">
        <v>44951</v>
      </c>
      <c r="E2312" t="s">
        <v>44952</v>
      </c>
      <c r="F2312" t="s">
        <v>44953</v>
      </c>
      <c r="G2312" t="s">
        <v>44954</v>
      </c>
      <c r="H2312" t="s">
        <v>44955</v>
      </c>
      <c r="I2312" t="s">
        <v>44956</v>
      </c>
      <c r="J2312" t="s">
        <v>44957</v>
      </c>
      <c r="K2312" t="s">
        <v>44958</v>
      </c>
      <c r="L2312" t="s">
        <v>44959</v>
      </c>
      <c r="M2312" t="s">
        <v>44960</v>
      </c>
      <c r="N2312" t="s">
        <v>44961</v>
      </c>
      <c r="O2312">
        <f>-554.660633988608 -79.0036634670582 -737.341411383404</f>
        <v>-1371.0057088390702</v>
      </c>
      <c r="P2312">
        <f>-553.426542281362 -80.5252350141585 -420.825611430087</f>
        <v>-1054.7773887256076</v>
      </c>
      <c r="Q2312" t="s">
        <v>44962</v>
      </c>
      <c r="R2312" t="s">
        <v>44963</v>
      </c>
      <c r="S2312" t="s">
        <v>44964</v>
      </c>
      <c r="T2312" t="s">
        <v>44965</v>
      </c>
      <c r="U2312" t="s">
        <v>44966</v>
      </c>
      <c r="V2312" t="s">
        <v>44967</v>
      </c>
      <c r="W2312" t="s">
        <v>44968</v>
      </c>
      <c r="X2312" t="s">
        <v>44969</v>
      </c>
      <c r="Y2312" t="s">
        <v>44970</v>
      </c>
    </row>
    <row r="2313" spans="1:25" x14ac:dyDescent="0.3">
      <c r="A2313">
        <v>115600</v>
      </c>
      <c r="B2313" t="s">
        <v>44971</v>
      </c>
      <c r="C2313" t="s">
        <v>44972</v>
      </c>
      <c r="D2313" t="s">
        <v>44973</v>
      </c>
      <c r="E2313" t="s">
        <v>44974</v>
      </c>
      <c r="F2313" t="s">
        <v>44975</v>
      </c>
      <c r="G2313" t="s">
        <v>44976</v>
      </c>
      <c r="H2313" t="s">
        <v>44977</v>
      </c>
      <c r="I2313" t="s">
        <v>44978</v>
      </c>
      <c r="J2313" t="s">
        <v>44979</v>
      </c>
      <c r="K2313" t="s">
        <v>44980</v>
      </c>
      <c r="L2313" t="s">
        <v>44981</v>
      </c>
      <c r="M2313" t="s">
        <v>44982</v>
      </c>
      <c r="N2313" t="s">
        <v>44983</v>
      </c>
      <c r="O2313">
        <f>-554.410015473128 -78.4871134669156 -737.603597804787</f>
        <v>-1370.5007267448307</v>
      </c>
      <c r="P2313">
        <f>-552.96535740645 -80.8311095414029 -421.093649901067</f>
        <v>-1054.8901168489199</v>
      </c>
      <c r="Q2313" t="s">
        <v>44984</v>
      </c>
      <c r="R2313" t="s">
        <v>44985</v>
      </c>
      <c r="S2313" t="s">
        <v>44986</v>
      </c>
      <c r="T2313" t="s">
        <v>44987</v>
      </c>
      <c r="U2313" t="s">
        <v>44988</v>
      </c>
      <c r="V2313" t="s">
        <v>44989</v>
      </c>
      <c r="W2313" t="s">
        <v>44990</v>
      </c>
      <c r="X2313" t="s">
        <v>44991</v>
      </c>
      <c r="Y2313" t="s">
        <v>44992</v>
      </c>
    </row>
    <row r="2314" spans="1:25" x14ac:dyDescent="0.3">
      <c r="A2314">
        <v>115650</v>
      </c>
      <c r="B2314" t="s">
        <v>44993</v>
      </c>
      <c r="C2314" t="s">
        <v>44994</v>
      </c>
      <c r="D2314" t="s">
        <v>44995</v>
      </c>
      <c r="E2314" t="s">
        <v>44996</v>
      </c>
      <c r="F2314" t="s">
        <v>44997</v>
      </c>
      <c r="G2314" t="s">
        <v>44998</v>
      </c>
      <c r="H2314" t="s">
        <v>44999</v>
      </c>
      <c r="I2314" t="s">
        <v>45000</v>
      </c>
      <c r="J2314" t="s">
        <v>45001</v>
      </c>
      <c r="K2314" t="s">
        <v>45002</v>
      </c>
      <c r="L2314" t="s">
        <v>45003</v>
      </c>
      <c r="M2314" t="s">
        <v>45004</v>
      </c>
      <c r="N2314" t="s">
        <v>45005</v>
      </c>
      <c r="O2314">
        <f>-553.537264583978 -77.7181102386856 -738.097239824232</f>
        <v>-1369.3526146468955</v>
      </c>
      <c r="P2314">
        <f>-552.054366651766 -81.1010312159377 -421.596743304927</f>
        <v>-1054.7521411726307</v>
      </c>
      <c r="Q2314" t="s">
        <v>45006</v>
      </c>
      <c r="R2314" t="s">
        <v>45007</v>
      </c>
      <c r="S2314" t="s">
        <v>45008</v>
      </c>
      <c r="T2314" t="s">
        <v>45009</v>
      </c>
      <c r="U2314" t="s">
        <v>45010</v>
      </c>
      <c r="V2314" t="s">
        <v>45011</v>
      </c>
      <c r="W2314" t="s">
        <v>45012</v>
      </c>
      <c r="X2314" t="s">
        <v>45013</v>
      </c>
      <c r="Y2314" t="s">
        <v>45014</v>
      </c>
    </row>
    <row r="2315" spans="1:25" x14ac:dyDescent="0.3">
      <c r="A2315">
        <v>115700</v>
      </c>
      <c r="B2315" t="s">
        <v>45015</v>
      </c>
      <c r="C2315" t="s">
        <v>45016</v>
      </c>
      <c r="D2315" t="s">
        <v>45017</v>
      </c>
      <c r="E2315" t="s">
        <v>45018</v>
      </c>
      <c r="F2315" t="s">
        <v>45019</v>
      </c>
      <c r="G2315" t="s">
        <v>45020</v>
      </c>
      <c r="H2315" t="s">
        <v>45021</v>
      </c>
      <c r="I2315" t="s">
        <v>45022</v>
      </c>
      <c r="J2315" t="s">
        <v>45023</v>
      </c>
      <c r="K2315" t="s">
        <v>45024</v>
      </c>
      <c r="L2315" t="s">
        <v>45025</v>
      </c>
      <c r="M2315" t="s">
        <v>45026</v>
      </c>
      <c r="N2315" t="s">
        <v>45027</v>
      </c>
      <c r="O2315">
        <f>-552.96943606041 -77.2917988863989 -738.343260287431</f>
        <v>-1368.6044952342399</v>
      </c>
      <c r="P2315">
        <f>-551.29972015521 -81.4278057996724 -421.852655408355</f>
        <v>-1054.5801813632374</v>
      </c>
      <c r="Q2315" t="s">
        <v>45028</v>
      </c>
      <c r="R2315" t="s">
        <v>45029</v>
      </c>
      <c r="S2315" t="s">
        <v>45030</v>
      </c>
      <c r="T2315" t="s">
        <v>45031</v>
      </c>
      <c r="U2315" t="s">
        <v>45032</v>
      </c>
      <c r="V2315" t="s">
        <v>45033</v>
      </c>
      <c r="W2315" t="s">
        <v>45034</v>
      </c>
      <c r="X2315" t="s">
        <v>45035</v>
      </c>
      <c r="Y2315" t="s">
        <v>45036</v>
      </c>
    </row>
    <row r="2316" spans="1:25" x14ac:dyDescent="0.3">
      <c r="A2316">
        <v>115750</v>
      </c>
      <c r="B2316" t="s">
        <v>45037</v>
      </c>
      <c r="C2316" t="s">
        <v>45038</v>
      </c>
      <c r="D2316" t="s">
        <v>45039</v>
      </c>
      <c r="E2316" t="s">
        <v>45040</v>
      </c>
      <c r="F2316" t="s">
        <v>45041</v>
      </c>
      <c r="G2316" t="s">
        <v>45042</v>
      </c>
      <c r="H2316" t="s">
        <v>45043</v>
      </c>
      <c r="I2316" t="s">
        <v>45044</v>
      </c>
      <c r="J2316" t="s">
        <v>45045</v>
      </c>
      <c r="K2316" t="s">
        <v>45046</v>
      </c>
      <c r="L2316" t="s">
        <v>45047</v>
      </c>
      <c r="M2316" t="s">
        <v>45048</v>
      </c>
      <c r="N2316" t="s">
        <v>45049</v>
      </c>
      <c r="O2316">
        <f>-551.86182729942 -77.261364412106 -738.627190354362</f>
        <v>-1367.7503820658881</v>
      </c>
      <c r="P2316">
        <f>-549.389314922287 -82.257158684157 -422.154277628342</f>
        <v>-1053.800751234786</v>
      </c>
      <c r="Q2316" t="s">
        <v>45050</v>
      </c>
      <c r="R2316" t="s">
        <v>45051</v>
      </c>
      <c r="S2316" t="s">
        <v>45052</v>
      </c>
      <c r="T2316" t="s">
        <v>45053</v>
      </c>
      <c r="U2316" t="s">
        <v>45054</v>
      </c>
      <c r="V2316" t="s">
        <v>45055</v>
      </c>
      <c r="W2316" t="s">
        <v>45056</v>
      </c>
      <c r="X2316" t="s">
        <v>45057</v>
      </c>
      <c r="Y2316" t="s">
        <v>45058</v>
      </c>
    </row>
    <row r="2317" spans="1:25" x14ac:dyDescent="0.3">
      <c r="A2317">
        <v>115800</v>
      </c>
      <c r="B2317" t="s">
        <v>45059</v>
      </c>
      <c r="C2317" t="s">
        <v>45060</v>
      </c>
      <c r="D2317" t="s">
        <v>45061</v>
      </c>
      <c r="E2317" t="s">
        <v>45062</v>
      </c>
      <c r="F2317" t="s">
        <v>45063</v>
      </c>
      <c r="G2317" t="s">
        <v>45064</v>
      </c>
      <c r="H2317" t="s">
        <v>45065</v>
      </c>
      <c r="I2317" t="s">
        <v>45066</v>
      </c>
      <c r="J2317" t="s">
        <v>45067</v>
      </c>
      <c r="K2317" t="s">
        <v>45068</v>
      </c>
      <c r="L2317" t="s">
        <v>45069</v>
      </c>
      <c r="M2317" t="s">
        <v>45070</v>
      </c>
      <c r="N2317" t="s">
        <v>45071</v>
      </c>
      <c r="O2317">
        <f>-551.297173455506 -77.0611182221362 -738.735503304248</f>
        <v>-1367.0937949818904</v>
      </c>
      <c r="P2317">
        <f>-548.738397419423 -82.9292183356516 -422.278276296502</f>
        <v>-1053.9458920515767</v>
      </c>
      <c r="Q2317" t="s">
        <v>45072</v>
      </c>
      <c r="R2317" t="s">
        <v>45073</v>
      </c>
      <c r="S2317" t="s">
        <v>45074</v>
      </c>
      <c r="T2317" t="s">
        <v>45075</v>
      </c>
      <c r="U2317" t="s">
        <v>45076</v>
      </c>
      <c r="V2317" t="s">
        <v>45077</v>
      </c>
      <c r="W2317" t="s">
        <v>45078</v>
      </c>
      <c r="X2317" t="s">
        <v>45079</v>
      </c>
      <c r="Y2317" t="s">
        <v>45080</v>
      </c>
    </row>
    <row r="2318" spans="1:25" x14ac:dyDescent="0.3">
      <c r="A2318">
        <v>115850</v>
      </c>
      <c r="B2318" t="s">
        <v>45081</v>
      </c>
      <c r="C2318" t="s">
        <v>45082</v>
      </c>
      <c r="D2318" t="s">
        <v>45083</v>
      </c>
      <c r="E2318" t="s">
        <v>45084</v>
      </c>
      <c r="F2318" t="s">
        <v>45085</v>
      </c>
      <c r="G2318" t="s">
        <v>45086</v>
      </c>
      <c r="H2318" t="s">
        <v>45087</v>
      </c>
      <c r="I2318" t="s">
        <v>45088</v>
      </c>
      <c r="J2318" t="s">
        <v>45089</v>
      </c>
      <c r="K2318" t="s">
        <v>45090</v>
      </c>
      <c r="L2318" t="s">
        <v>45091</v>
      </c>
      <c r="M2318" t="s">
        <v>45092</v>
      </c>
      <c r="N2318" t="s">
        <v>45093</v>
      </c>
      <c r="O2318">
        <f>-550.943055125248 -77.3157957802877 -738.784178878645</f>
        <v>-1367.0430297841806</v>
      </c>
      <c r="P2318">
        <f>-547.103345829333 -82.0541506992736 -422.320850122149</f>
        <v>-1051.4783466507556</v>
      </c>
      <c r="Q2318" t="s">
        <v>45094</v>
      </c>
      <c r="R2318" t="s">
        <v>45095</v>
      </c>
      <c r="S2318" t="s">
        <v>45096</v>
      </c>
      <c r="T2318" t="s">
        <v>45097</v>
      </c>
      <c r="U2318" t="s">
        <v>45098</v>
      </c>
      <c r="V2318" t="s">
        <v>45099</v>
      </c>
      <c r="W2318" t="s">
        <v>45100</v>
      </c>
      <c r="X2318" t="s">
        <v>45101</v>
      </c>
      <c r="Y2318" t="s">
        <v>45102</v>
      </c>
    </row>
    <row r="2319" spans="1:25" x14ac:dyDescent="0.3">
      <c r="A2319">
        <v>115900</v>
      </c>
      <c r="B2319" t="s">
        <v>45103</v>
      </c>
      <c r="C2319" t="s">
        <v>45104</v>
      </c>
      <c r="D2319" t="s">
        <v>45105</v>
      </c>
      <c r="E2319" t="s">
        <v>45106</v>
      </c>
      <c r="F2319" t="s">
        <v>45107</v>
      </c>
      <c r="G2319" t="s">
        <v>45108</v>
      </c>
      <c r="H2319" t="s">
        <v>45109</v>
      </c>
      <c r="I2319" t="s">
        <v>45110</v>
      </c>
      <c r="J2319" t="s">
        <v>45111</v>
      </c>
      <c r="K2319" t="s">
        <v>45112</v>
      </c>
      <c r="L2319" t="s">
        <v>45113</v>
      </c>
      <c r="M2319" t="s">
        <v>45114</v>
      </c>
      <c r="N2319" t="s">
        <v>45115</v>
      </c>
      <c r="O2319">
        <f>-550.933888930555 -78.0027320289848 -738.610360206237</f>
        <v>-1367.5469811657767</v>
      </c>
      <c r="P2319">
        <f>-546.863384353894 -83.0550509346887 -422.154884506015</f>
        <v>-1052.0733197945976</v>
      </c>
      <c r="Q2319" t="s">
        <v>45116</v>
      </c>
      <c r="R2319" t="s">
        <v>45117</v>
      </c>
      <c r="S2319" t="s">
        <v>45118</v>
      </c>
      <c r="T2319" t="s">
        <v>45119</v>
      </c>
      <c r="U2319" t="s">
        <v>45120</v>
      </c>
      <c r="V2319" t="s">
        <v>45121</v>
      </c>
      <c r="W2319" t="s">
        <v>45122</v>
      </c>
      <c r="X2319" t="s">
        <v>45123</v>
      </c>
      <c r="Y2319" t="s">
        <v>45124</v>
      </c>
    </row>
    <row r="2320" spans="1:25" x14ac:dyDescent="0.3">
      <c r="A2320">
        <v>115950</v>
      </c>
      <c r="B2320" t="s">
        <v>45125</v>
      </c>
      <c r="C2320" t="s">
        <v>45126</v>
      </c>
      <c r="D2320" t="s">
        <v>45127</v>
      </c>
      <c r="E2320" t="s">
        <v>45128</v>
      </c>
      <c r="F2320" t="s">
        <v>45129</v>
      </c>
      <c r="G2320" t="s">
        <v>45130</v>
      </c>
      <c r="H2320" t="s">
        <v>45131</v>
      </c>
      <c r="I2320" t="s">
        <v>45132</v>
      </c>
      <c r="J2320" t="s">
        <v>45133</v>
      </c>
      <c r="K2320" t="s">
        <v>45134</v>
      </c>
      <c r="L2320" t="s">
        <v>45135</v>
      </c>
      <c r="M2320" t="s">
        <v>45136</v>
      </c>
      <c r="N2320" t="s">
        <v>45137</v>
      </c>
      <c r="O2320">
        <f>-552.182134038532 -78.8066315080446 -738.333301440601</f>
        <v>-1369.3220669871775</v>
      </c>
      <c r="P2320">
        <f>-545.83546118193 -85.8715631453594 -421.953801956952</f>
        <v>-1053.6608262842415</v>
      </c>
      <c r="Q2320" t="s">
        <v>45138</v>
      </c>
      <c r="R2320" t="s">
        <v>45139</v>
      </c>
      <c r="S2320" t="s">
        <v>45140</v>
      </c>
      <c r="T2320" t="s">
        <v>45141</v>
      </c>
      <c r="U2320" t="s">
        <v>45142</v>
      </c>
      <c r="V2320" t="s">
        <v>45143</v>
      </c>
      <c r="W2320" t="s">
        <v>45144</v>
      </c>
      <c r="X2320" t="s">
        <v>45145</v>
      </c>
      <c r="Y2320" t="s">
        <v>45146</v>
      </c>
    </row>
    <row r="2321" spans="1:25" x14ac:dyDescent="0.3">
      <c r="A2321">
        <v>116000</v>
      </c>
      <c r="B2321" t="s">
        <v>45147</v>
      </c>
      <c r="C2321" t="s">
        <v>45148</v>
      </c>
      <c r="D2321" t="s">
        <v>45149</v>
      </c>
      <c r="E2321" t="s">
        <v>45150</v>
      </c>
      <c r="F2321" t="s">
        <v>45151</v>
      </c>
      <c r="G2321" t="s">
        <v>45152</v>
      </c>
      <c r="H2321" t="s">
        <v>45153</v>
      </c>
      <c r="I2321" t="s">
        <v>45154</v>
      </c>
      <c r="J2321" t="s">
        <v>45155</v>
      </c>
      <c r="K2321" t="s">
        <v>45156</v>
      </c>
      <c r="L2321" t="s">
        <v>45157</v>
      </c>
      <c r="M2321" t="s">
        <v>45158</v>
      </c>
      <c r="N2321" t="s">
        <v>45159</v>
      </c>
      <c r="O2321">
        <f>-552.777836887741 -79.081942744217 -738.083273261588</f>
        <v>-1369.9430528935461</v>
      </c>
      <c r="P2321">
        <f>-545.403034402885 -85.8437450161329 -421.719486289907</f>
        <v>-1052.966265708925</v>
      </c>
      <c r="Q2321" t="s">
        <v>45160</v>
      </c>
      <c r="R2321" t="s">
        <v>45161</v>
      </c>
      <c r="S2321" t="s">
        <v>45162</v>
      </c>
      <c r="T2321" t="s">
        <v>45163</v>
      </c>
      <c r="U2321" t="s">
        <v>45164</v>
      </c>
      <c r="V2321" t="s">
        <v>45165</v>
      </c>
      <c r="W2321" t="s">
        <v>45166</v>
      </c>
      <c r="X2321" t="s">
        <v>45167</v>
      </c>
      <c r="Y2321" t="s">
        <v>45168</v>
      </c>
    </row>
    <row r="2322" spans="1:25" x14ac:dyDescent="0.3">
      <c r="A2322">
        <v>116050</v>
      </c>
      <c r="B2322" t="s">
        <v>45169</v>
      </c>
      <c r="C2322" t="s">
        <v>45170</v>
      </c>
      <c r="D2322" t="s">
        <v>45171</v>
      </c>
      <c r="E2322" t="s">
        <v>45172</v>
      </c>
      <c r="F2322" t="s">
        <v>45173</v>
      </c>
      <c r="G2322" t="s">
        <v>45174</v>
      </c>
      <c r="H2322" t="s">
        <v>45175</v>
      </c>
      <c r="I2322" t="s">
        <v>45176</v>
      </c>
      <c r="J2322" t="s">
        <v>45177</v>
      </c>
      <c r="K2322" t="s">
        <v>45178</v>
      </c>
      <c r="L2322" t="s">
        <v>45179</v>
      </c>
      <c r="M2322" t="s">
        <v>45180</v>
      </c>
      <c r="N2322" t="s">
        <v>45181</v>
      </c>
      <c r="O2322">
        <f>-553.587653234589 -80.1951592373277 -737.27589734883</f>
        <v>-1371.0587098207466</v>
      </c>
      <c r="P2322">
        <f>-546.393563603999 -86.4197006804426 -420.896796754432</f>
        <v>-1053.7100610388736</v>
      </c>
      <c r="Q2322" t="s">
        <v>45182</v>
      </c>
      <c r="R2322" t="s">
        <v>45183</v>
      </c>
      <c r="S2322" t="s">
        <v>45184</v>
      </c>
      <c r="T2322" t="s">
        <v>45185</v>
      </c>
      <c r="U2322" t="s">
        <v>45186</v>
      </c>
      <c r="V2322" t="s">
        <v>45187</v>
      </c>
      <c r="W2322" t="s">
        <v>45188</v>
      </c>
      <c r="X2322" t="s">
        <v>45189</v>
      </c>
      <c r="Y2322" t="s">
        <v>45190</v>
      </c>
    </row>
    <row r="2323" spans="1:25" x14ac:dyDescent="0.3">
      <c r="A2323">
        <v>116100</v>
      </c>
      <c r="B2323" t="s">
        <v>45191</v>
      </c>
      <c r="C2323" t="s">
        <v>45192</v>
      </c>
      <c r="D2323" t="s">
        <v>45193</v>
      </c>
      <c r="E2323" t="s">
        <v>45194</v>
      </c>
      <c r="F2323" t="s">
        <v>45195</v>
      </c>
      <c r="G2323" t="s">
        <v>45196</v>
      </c>
      <c r="H2323" t="s">
        <v>45197</v>
      </c>
      <c r="I2323" t="s">
        <v>45198</v>
      </c>
      <c r="J2323" t="s">
        <v>45199</v>
      </c>
      <c r="K2323" t="s">
        <v>45200</v>
      </c>
      <c r="L2323" t="s">
        <v>45201</v>
      </c>
      <c r="M2323" t="s">
        <v>45202</v>
      </c>
      <c r="N2323" t="s">
        <v>45203</v>
      </c>
      <c r="O2323">
        <f>-554.27451546153 -80.3300127804047 -736.990435818964</f>
        <v>-1371.5949640608987</v>
      </c>
      <c r="P2323">
        <f>-547.044730081405 -86.3161997843362 -420.607649338224</f>
        <v>-1053.9685792039652</v>
      </c>
      <c r="Q2323" t="s">
        <v>45204</v>
      </c>
      <c r="R2323" t="s">
        <v>45205</v>
      </c>
      <c r="S2323" t="s">
        <v>45206</v>
      </c>
      <c r="T2323" t="s">
        <v>45207</v>
      </c>
      <c r="U2323" t="s">
        <v>45208</v>
      </c>
      <c r="V2323" t="s">
        <v>45209</v>
      </c>
      <c r="W2323" t="s">
        <v>45210</v>
      </c>
      <c r="X2323" t="s">
        <v>45211</v>
      </c>
      <c r="Y2323" t="s">
        <v>45212</v>
      </c>
    </row>
    <row r="2324" spans="1:25" x14ac:dyDescent="0.3">
      <c r="A2324">
        <v>116150</v>
      </c>
      <c r="B2324" t="s">
        <v>45213</v>
      </c>
      <c r="C2324" t="s">
        <v>45214</v>
      </c>
      <c r="D2324" t="s">
        <v>45215</v>
      </c>
      <c r="E2324" t="s">
        <v>45216</v>
      </c>
      <c r="F2324" t="s">
        <v>45217</v>
      </c>
      <c r="G2324" t="s">
        <v>45218</v>
      </c>
      <c r="H2324" t="s">
        <v>45219</v>
      </c>
      <c r="I2324" t="s">
        <v>45220</v>
      </c>
      <c r="J2324" t="s">
        <v>45221</v>
      </c>
      <c r="K2324" t="s">
        <v>45222</v>
      </c>
      <c r="L2324" t="s">
        <v>45223</v>
      </c>
      <c r="M2324" t="s">
        <v>45224</v>
      </c>
      <c r="N2324" t="s">
        <v>45225</v>
      </c>
      <c r="O2324">
        <f>-555.223032400385 -80.9497547206414 -736.392225621958</f>
        <v>-1372.5650127429844</v>
      </c>
      <c r="P2324">
        <f>-547.961839352138 -86.8260220584889 -420.008088375847</f>
        <v>-1054.795949786474</v>
      </c>
      <c r="Q2324" t="s">
        <v>45226</v>
      </c>
      <c r="R2324" t="s">
        <v>45227</v>
      </c>
      <c r="S2324" t="s">
        <v>45228</v>
      </c>
      <c r="T2324" t="s">
        <v>45229</v>
      </c>
      <c r="U2324" t="s">
        <v>45230</v>
      </c>
      <c r="V2324" t="s">
        <v>45231</v>
      </c>
      <c r="W2324" t="s">
        <v>45232</v>
      </c>
      <c r="X2324" t="s">
        <v>45233</v>
      </c>
      <c r="Y2324" t="s">
        <v>45234</v>
      </c>
    </row>
    <row r="2325" spans="1:25" x14ac:dyDescent="0.3">
      <c r="A2325">
        <v>116200</v>
      </c>
      <c r="B2325" t="s">
        <v>45235</v>
      </c>
      <c r="C2325" t="s">
        <v>45236</v>
      </c>
      <c r="D2325" t="s">
        <v>45237</v>
      </c>
      <c r="E2325" t="s">
        <v>45238</v>
      </c>
      <c r="F2325" t="s">
        <v>45239</v>
      </c>
      <c r="G2325" t="s">
        <v>45240</v>
      </c>
      <c r="H2325" t="s">
        <v>45241</v>
      </c>
      <c r="I2325" t="s">
        <v>45242</v>
      </c>
      <c r="J2325" t="s">
        <v>45243</v>
      </c>
      <c r="K2325" t="s">
        <v>45244</v>
      </c>
      <c r="L2325" t="s">
        <v>45245</v>
      </c>
      <c r="M2325" t="s">
        <v>45246</v>
      </c>
      <c r="N2325" t="s">
        <v>45247</v>
      </c>
      <c r="O2325">
        <f>-555.887943236854 -81.2349617860309 -736.126586362474</f>
        <v>-1373.2494913853589</v>
      </c>
      <c r="P2325">
        <f>-548.623938293848 -86.5405178478355 -419.732410003897</f>
        <v>-1054.8968661455806</v>
      </c>
      <c r="Q2325" t="s">
        <v>45248</v>
      </c>
      <c r="R2325" t="s">
        <v>45249</v>
      </c>
      <c r="S2325" t="s">
        <v>45250</v>
      </c>
      <c r="T2325" t="s">
        <v>45251</v>
      </c>
      <c r="U2325" t="s">
        <v>45252</v>
      </c>
      <c r="V2325" t="s">
        <v>45253</v>
      </c>
      <c r="W2325" t="s">
        <v>45254</v>
      </c>
      <c r="X2325" t="s">
        <v>45255</v>
      </c>
      <c r="Y2325" t="s">
        <v>45256</v>
      </c>
    </row>
    <row r="2326" spans="1:25" x14ac:dyDescent="0.3">
      <c r="A2326">
        <v>116250</v>
      </c>
      <c r="B2326" t="s">
        <v>45257</v>
      </c>
      <c r="C2326" t="s">
        <v>45258</v>
      </c>
      <c r="D2326" t="s">
        <v>45259</v>
      </c>
      <c r="E2326" t="s">
        <v>45260</v>
      </c>
      <c r="F2326" t="s">
        <v>45261</v>
      </c>
      <c r="G2326" t="s">
        <v>45262</v>
      </c>
      <c r="H2326" t="s">
        <v>45263</v>
      </c>
      <c r="I2326" t="s">
        <v>45264</v>
      </c>
      <c r="J2326" t="s">
        <v>45265</v>
      </c>
      <c r="K2326" t="s">
        <v>45266</v>
      </c>
      <c r="L2326" t="s">
        <v>45267</v>
      </c>
      <c r="M2326" t="s">
        <v>45268</v>
      </c>
      <c r="N2326" t="s">
        <v>45269</v>
      </c>
      <c r="O2326">
        <f>-556.305558868961 -80.6095569227487 -735.842090524692</f>
        <v>-1372.7572063164016</v>
      </c>
      <c r="P2326">
        <f>-548.958058441454 -84.2856731417701 -419.426709180366</f>
        <v>-1052.67044076359</v>
      </c>
      <c r="Q2326" t="s">
        <v>45270</v>
      </c>
      <c r="R2326" t="s">
        <v>45271</v>
      </c>
      <c r="S2326" t="s">
        <v>45272</v>
      </c>
      <c r="T2326" t="s">
        <v>45273</v>
      </c>
      <c r="U2326" t="s">
        <v>45274</v>
      </c>
      <c r="V2326" t="s">
        <v>45275</v>
      </c>
      <c r="W2326" t="s">
        <v>45276</v>
      </c>
      <c r="X2326" t="s">
        <v>45277</v>
      </c>
      <c r="Y2326" t="s">
        <v>45278</v>
      </c>
    </row>
    <row r="2327" spans="1:25" x14ac:dyDescent="0.3">
      <c r="A2327">
        <v>116300</v>
      </c>
      <c r="B2327" t="s">
        <v>45279</v>
      </c>
      <c r="C2327" t="s">
        <v>45280</v>
      </c>
      <c r="D2327" t="s">
        <v>45281</v>
      </c>
      <c r="E2327" t="s">
        <v>45282</v>
      </c>
      <c r="F2327" t="s">
        <v>45283</v>
      </c>
      <c r="G2327" t="s">
        <v>45284</v>
      </c>
      <c r="H2327" t="s">
        <v>45285</v>
      </c>
      <c r="I2327" t="s">
        <v>45286</v>
      </c>
      <c r="J2327" t="s">
        <v>45287</v>
      </c>
      <c r="K2327" t="s">
        <v>45288</v>
      </c>
      <c r="L2327" t="s">
        <v>45289</v>
      </c>
      <c r="M2327" t="s">
        <v>45290</v>
      </c>
      <c r="N2327" t="s">
        <v>45291</v>
      </c>
      <c r="O2327">
        <f>-556.246799057258 -80.3430698757962 -735.813994927166</f>
        <v>-1372.4038638602203</v>
      </c>
      <c r="P2327">
        <f>-549.46676192219 -82.8804532188871 -419.37481688928</f>
        <v>-1051.722032030357</v>
      </c>
      <c r="Q2327" t="s">
        <v>45292</v>
      </c>
      <c r="R2327" t="s">
        <v>45293</v>
      </c>
      <c r="S2327" t="s">
        <v>45294</v>
      </c>
      <c r="T2327" t="s">
        <v>45295</v>
      </c>
      <c r="U2327" t="s">
        <v>45296</v>
      </c>
      <c r="V2327" t="s">
        <v>45297</v>
      </c>
      <c r="W2327" t="s">
        <v>45298</v>
      </c>
      <c r="X2327" t="s">
        <v>45299</v>
      </c>
      <c r="Y2327" t="s">
        <v>45300</v>
      </c>
    </row>
    <row r="2328" spans="1:25" x14ac:dyDescent="0.3">
      <c r="A2328">
        <v>116350</v>
      </c>
      <c r="B2328" t="s">
        <v>45301</v>
      </c>
      <c r="C2328" t="s">
        <v>45302</v>
      </c>
      <c r="D2328" t="s">
        <v>45303</v>
      </c>
      <c r="E2328" t="s">
        <v>45304</v>
      </c>
      <c r="F2328" t="s">
        <v>45305</v>
      </c>
      <c r="G2328" t="s">
        <v>45306</v>
      </c>
      <c r="H2328" t="s">
        <v>45307</v>
      </c>
      <c r="I2328" t="s">
        <v>45308</v>
      </c>
      <c r="J2328" t="s">
        <v>45309</v>
      </c>
      <c r="K2328" t="s">
        <v>45310</v>
      </c>
      <c r="L2328" t="s">
        <v>45311</v>
      </c>
      <c r="M2328" t="s">
        <v>45312</v>
      </c>
      <c r="N2328" t="s">
        <v>45313</v>
      </c>
      <c r="O2328">
        <f>-556.048484319605 -80.3988835702959 -735.832635384204</f>
        <v>-1372.2800032741047</v>
      </c>
      <c r="P2328">
        <f>-550.077780574489 -81.4211057197741 -419.368565840368</f>
        <v>-1050.8674521346311</v>
      </c>
      <c r="Q2328" t="s">
        <v>45314</v>
      </c>
      <c r="R2328" t="s">
        <v>45315</v>
      </c>
      <c r="S2328" t="s">
        <v>45316</v>
      </c>
      <c r="T2328" t="s">
        <v>45317</v>
      </c>
      <c r="U2328" t="s">
        <v>45318</v>
      </c>
      <c r="V2328" t="s">
        <v>45319</v>
      </c>
      <c r="W2328" t="s">
        <v>45320</v>
      </c>
      <c r="X2328" t="s">
        <v>45321</v>
      </c>
      <c r="Y2328" t="s">
        <v>45322</v>
      </c>
    </row>
    <row r="2329" spans="1:25" x14ac:dyDescent="0.3">
      <c r="A2329">
        <v>116400</v>
      </c>
      <c r="B2329" t="s">
        <v>45323</v>
      </c>
      <c r="C2329" t="s">
        <v>45324</v>
      </c>
      <c r="D2329" t="s">
        <v>45325</v>
      </c>
      <c r="E2329" t="s">
        <v>45326</v>
      </c>
      <c r="F2329" t="s">
        <v>45327</v>
      </c>
      <c r="G2329" t="s">
        <v>45328</v>
      </c>
      <c r="H2329" t="s">
        <v>45329</v>
      </c>
      <c r="I2329" t="s">
        <v>45330</v>
      </c>
      <c r="J2329" t="s">
        <v>45331</v>
      </c>
      <c r="K2329" t="s">
        <v>45332</v>
      </c>
      <c r="L2329" t="s">
        <v>45333</v>
      </c>
      <c r="M2329" t="s">
        <v>45334</v>
      </c>
      <c r="N2329" t="s">
        <v>45335</v>
      </c>
      <c r="O2329">
        <f>-556.122246083424 -80.2421103043373 -735.828753537961</f>
        <v>-1372.1931099257222</v>
      </c>
      <c r="P2329">
        <f>-550.053935522664 -80.5956357947377 -419.36499217454</f>
        <v>-1050.0145634919418</v>
      </c>
      <c r="Q2329" t="s">
        <v>45336</v>
      </c>
      <c r="R2329" t="s">
        <v>45337</v>
      </c>
      <c r="S2329" t="s">
        <v>45338</v>
      </c>
      <c r="T2329" t="s">
        <v>45339</v>
      </c>
      <c r="U2329" t="s">
        <v>45340</v>
      </c>
      <c r="V2329" t="s">
        <v>45341</v>
      </c>
      <c r="W2329" t="s">
        <v>45342</v>
      </c>
      <c r="X2329" t="s">
        <v>45343</v>
      </c>
      <c r="Y2329" t="s">
        <v>45344</v>
      </c>
    </row>
    <row r="2330" spans="1:25" x14ac:dyDescent="0.3">
      <c r="A2330">
        <v>116450</v>
      </c>
      <c r="B2330" t="s">
        <v>45345</v>
      </c>
      <c r="C2330" t="s">
        <v>45346</v>
      </c>
      <c r="D2330" t="s">
        <v>45347</v>
      </c>
      <c r="E2330" t="s">
        <v>45348</v>
      </c>
      <c r="F2330" t="s">
        <v>45349</v>
      </c>
      <c r="G2330" t="s">
        <v>45350</v>
      </c>
      <c r="H2330" t="s">
        <v>45351</v>
      </c>
      <c r="I2330" t="s">
        <v>45352</v>
      </c>
      <c r="J2330" t="s">
        <v>45353</v>
      </c>
      <c r="K2330" t="s">
        <v>45354</v>
      </c>
      <c r="L2330" t="s">
        <v>45355</v>
      </c>
      <c r="M2330" t="s">
        <v>45356</v>
      </c>
      <c r="N2330" t="s">
        <v>45357</v>
      </c>
      <c r="O2330">
        <f>-556.066726417156 -80.5385614081258 -735.563943725684</f>
        <v>-1372.1692315509658</v>
      </c>
      <c r="P2330">
        <f>-550.206318437738 -79.7260390733616 -419.097191661117</f>
        <v>-1049.0295491722165</v>
      </c>
      <c r="Q2330" t="s">
        <v>45358</v>
      </c>
      <c r="R2330" t="s">
        <v>45359</v>
      </c>
      <c r="S2330" t="s">
        <v>45360</v>
      </c>
      <c r="T2330" t="s">
        <v>45361</v>
      </c>
      <c r="U2330" t="s">
        <v>45362</v>
      </c>
      <c r="V2330" t="s">
        <v>45363</v>
      </c>
      <c r="W2330" t="s">
        <v>45364</v>
      </c>
      <c r="X2330" t="s">
        <v>45365</v>
      </c>
      <c r="Y2330" t="s">
        <v>45366</v>
      </c>
    </row>
    <row r="2331" spans="1:25" x14ac:dyDescent="0.3">
      <c r="A2331">
        <v>116500</v>
      </c>
      <c r="B2331" t="s">
        <v>45367</v>
      </c>
      <c r="C2331" t="s">
        <v>45368</v>
      </c>
      <c r="D2331" t="s">
        <v>45369</v>
      </c>
      <c r="E2331" t="s">
        <v>45370</v>
      </c>
      <c r="F2331" t="s">
        <v>45371</v>
      </c>
      <c r="G2331" t="s">
        <v>45372</v>
      </c>
      <c r="H2331" t="s">
        <v>45373</v>
      </c>
      <c r="I2331" t="s">
        <v>45374</v>
      </c>
      <c r="J2331" t="s">
        <v>45375</v>
      </c>
      <c r="K2331" t="s">
        <v>45376</v>
      </c>
      <c r="L2331" t="s">
        <v>45377</v>
      </c>
      <c r="M2331" t="s">
        <v>45378</v>
      </c>
      <c r="N2331" t="s">
        <v>45379</v>
      </c>
      <c r="O2331">
        <f>-556.391083129188 -80.6619264943072 -735.430227292084</f>
        <v>-1372.4832369155793</v>
      </c>
      <c r="P2331">
        <f>-550.401873903114 -79.9971133030268 -418.96559176784</f>
        <v>-1049.3645789739808</v>
      </c>
      <c r="Q2331" t="s">
        <v>45380</v>
      </c>
      <c r="R2331" t="s">
        <v>45381</v>
      </c>
      <c r="S2331" t="s">
        <v>45382</v>
      </c>
      <c r="T2331" t="s">
        <v>45383</v>
      </c>
      <c r="U2331" t="s">
        <v>45384</v>
      </c>
      <c r="V2331" t="s">
        <v>45385</v>
      </c>
      <c r="W2331" t="s">
        <v>45386</v>
      </c>
      <c r="X2331" t="s">
        <v>45387</v>
      </c>
      <c r="Y2331" t="s">
        <v>45388</v>
      </c>
    </row>
    <row r="2332" spans="1:25" x14ac:dyDescent="0.3">
      <c r="A2332">
        <v>116550</v>
      </c>
      <c r="B2332" t="s">
        <v>45389</v>
      </c>
      <c r="C2332" t="s">
        <v>45390</v>
      </c>
      <c r="D2332" t="s">
        <v>45391</v>
      </c>
      <c r="E2332" t="s">
        <v>45392</v>
      </c>
      <c r="F2332" t="s">
        <v>45393</v>
      </c>
      <c r="G2332" t="s">
        <v>45394</v>
      </c>
      <c r="H2332" t="s">
        <v>45395</v>
      </c>
      <c r="I2332" t="s">
        <v>45396</v>
      </c>
      <c r="J2332" t="s">
        <v>45397</v>
      </c>
      <c r="K2332" t="s">
        <v>45398</v>
      </c>
      <c r="L2332" t="s">
        <v>45399</v>
      </c>
      <c r="M2332" t="s">
        <v>45400</v>
      </c>
      <c r="N2332" t="s">
        <v>45401</v>
      </c>
      <c r="O2332">
        <f>-556.62004028973 -81.0469543286099 -735.171275431389</f>
        <v>-1372.8382700497289</v>
      </c>
      <c r="P2332">
        <f>-550.251803166137 -80.177038093489 -418.714505700539</f>
        <v>-1049.1433469601652</v>
      </c>
      <c r="Q2332" t="s">
        <v>45402</v>
      </c>
      <c r="R2332" t="s">
        <v>45403</v>
      </c>
      <c r="S2332" t="s">
        <v>45404</v>
      </c>
      <c r="T2332" t="s">
        <v>45405</v>
      </c>
      <c r="U2332" t="s">
        <v>45406</v>
      </c>
      <c r="V2332" t="s">
        <v>45407</v>
      </c>
      <c r="W2332" t="s">
        <v>45408</v>
      </c>
      <c r="X2332" t="s">
        <v>45409</v>
      </c>
      <c r="Y2332" t="s">
        <v>45410</v>
      </c>
    </row>
    <row r="2333" spans="1:25" x14ac:dyDescent="0.3">
      <c r="A2333">
        <v>116600</v>
      </c>
      <c r="B2333" t="s">
        <v>45411</v>
      </c>
      <c r="C2333" t="s">
        <v>45412</v>
      </c>
      <c r="D2333" t="s">
        <v>45413</v>
      </c>
      <c r="E2333" t="s">
        <v>45414</v>
      </c>
      <c r="F2333" t="s">
        <v>45415</v>
      </c>
      <c r="G2333" t="s">
        <v>45416</v>
      </c>
      <c r="H2333" t="s">
        <v>45417</v>
      </c>
      <c r="I2333" t="s">
        <v>45418</v>
      </c>
      <c r="J2333" t="s">
        <v>45419</v>
      </c>
      <c r="K2333" t="s">
        <v>45420</v>
      </c>
      <c r="L2333" t="s">
        <v>45421</v>
      </c>
      <c r="M2333" t="s">
        <v>45422</v>
      </c>
      <c r="N2333" t="s">
        <v>45423</v>
      </c>
      <c r="O2333">
        <f>-556.776756648078 -81.2164850649154 -735.078333203754</f>
        <v>-1373.0715749167475</v>
      </c>
      <c r="P2333">
        <f>-550.255446995703 -80.5921047785558 -418.624217023553</f>
        <v>-1049.4717687978118</v>
      </c>
      <c r="Q2333" t="s">
        <v>45424</v>
      </c>
      <c r="R2333" t="s">
        <v>45425</v>
      </c>
      <c r="S2333" t="s">
        <v>45426</v>
      </c>
      <c r="T2333" t="s">
        <v>45427</v>
      </c>
      <c r="U2333" t="s">
        <v>45428</v>
      </c>
      <c r="V2333" t="s">
        <v>45429</v>
      </c>
      <c r="W2333" t="s">
        <v>45430</v>
      </c>
      <c r="X2333" t="s">
        <v>45431</v>
      </c>
      <c r="Y2333" t="s">
        <v>45432</v>
      </c>
    </row>
    <row r="2334" spans="1:25" x14ac:dyDescent="0.3">
      <c r="A2334">
        <v>116650</v>
      </c>
      <c r="B2334" t="s">
        <v>45433</v>
      </c>
      <c r="C2334" t="s">
        <v>45434</v>
      </c>
      <c r="D2334" t="s">
        <v>45435</v>
      </c>
      <c r="E2334" t="s">
        <v>45436</v>
      </c>
      <c r="F2334" t="s">
        <v>45437</v>
      </c>
      <c r="G2334" t="s">
        <v>45438</v>
      </c>
      <c r="H2334" t="s">
        <v>45439</v>
      </c>
      <c r="I2334" t="s">
        <v>45440</v>
      </c>
      <c r="J2334" t="s">
        <v>45441</v>
      </c>
      <c r="K2334" t="s">
        <v>45442</v>
      </c>
      <c r="L2334" t="s">
        <v>45443</v>
      </c>
      <c r="M2334" t="s">
        <v>45444</v>
      </c>
      <c r="N2334" t="s">
        <v>45445</v>
      </c>
      <c r="O2334">
        <f>-557.378596171589 -80.735772236615 -735.182911539938</f>
        <v>-1373.2972799481422</v>
      </c>
      <c r="P2334">
        <f>-550.370362471851 -80.9919276098395 -418.738609070386</f>
        <v>-1050.1008991520766</v>
      </c>
      <c r="Q2334" t="s">
        <v>45446</v>
      </c>
      <c r="R2334" t="s">
        <v>45447</v>
      </c>
      <c r="S2334" t="s">
        <v>45448</v>
      </c>
      <c r="T2334" t="s">
        <v>45449</v>
      </c>
      <c r="U2334" t="s">
        <v>45450</v>
      </c>
      <c r="V2334" t="s">
        <v>45451</v>
      </c>
      <c r="W2334" t="s">
        <v>45452</v>
      </c>
      <c r="X2334" t="s">
        <v>45453</v>
      </c>
      <c r="Y2334" t="s">
        <v>45454</v>
      </c>
    </row>
    <row r="2335" spans="1:25" x14ac:dyDescent="0.3">
      <c r="A2335">
        <v>116700</v>
      </c>
      <c r="B2335" t="s">
        <v>45455</v>
      </c>
      <c r="C2335" t="s">
        <v>45456</v>
      </c>
      <c r="D2335" t="s">
        <v>45457</v>
      </c>
      <c r="E2335" t="s">
        <v>45458</v>
      </c>
      <c r="F2335" t="s">
        <v>45459</v>
      </c>
      <c r="G2335" t="s">
        <v>45460</v>
      </c>
      <c r="H2335" t="s">
        <v>45461</v>
      </c>
      <c r="I2335" t="s">
        <v>45462</v>
      </c>
      <c r="J2335" t="s">
        <v>45463</v>
      </c>
      <c r="K2335" t="s">
        <v>45464</v>
      </c>
      <c r="L2335" t="s">
        <v>45465</v>
      </c>
      <c r="M2335" t="s">
        <v>45466</v>
      </c>
      <c r="N2335" t="s">
        <v>45467</v>
      </c>
      <c r="O2335">
        <f>-557.691378440083 -80.2386082204075 -735.306911087412</f>
        <v>-1373.2368977479025</v>
      </c>
      <c r="P2335">
        <f>-550.582890189287 -80.9213416332461 -418.865472542058</f>
        <v>-1050.3697043645911</v>
      </c>
      <c r="Q2335" t="s">
        <v>45468</v>
      </c>
      <c r="R2335" t="s">
        <v>45469</v>
      </c>
      <c r="S2335" t="s">
        <v>45470</v>
      </c>
      <c r="T2335" t="s">
        <v>45471</v>
      </c>
      <c r="U2335" t="s">
        <v>45472</v>
      </c>
      <c r="V2335" t="s">
        <v>45473</v>
      </c>
      <c r="W2335" t="s">
        <v>45474</v>
      </c>
      <c r="X2335" t="s">
        <v>45475</v>
      </c>
      <c r="Y2335" t="s">
        <v>45476</v>
      </c>
    </row>
    <row r="2336" spans="1:25" x14ac:dyDescent="0.3">
      <c r="A2336">
        <v>116750</v>
      </c>
      <c r="B2336" t="s">
        <v>45477</v>
      </c>
      <c r="C2336" t="s">
        <v>45478</v>
      </c>
      <c r="D2336" t="s">
        <v>45479</v>
      </c>
      <c r="E2336" t="s">
        <v>45480</v>
      </c>
      <c r="F2336" t="s">
        <v>45481</v>
      </c>
      <c r="G2336" t="s">
        <v>45482</v>
      </c>
      <c r="H2336" t="s">
        <v>45483</v>
      </c>
      <c r="I2336" t="s">
        <v>45484</v>
      </c>
      <c r="J2336" t="s">
        <v>45485</v>
      </c>
      <c r="K2336" t="s">
        <v>45486</v>
      </c>
      <c r="L2336" t="s">
        <v>45487</v>
      </c>
      <c r="M2336" t="s">
        <v>45488</v>
      </c>
      <c r="N2336" t="s">
        <v>45489</v>
      </c>
      <c r="O2336">
        <f>-558.015310033194 -79.7468209345525 -735.795955819545</f>
        <v>-1373.5580867872916</v>
      </c>
      <c r="P2336">
        <f>-551.172156334741 -80.3121594405762 -419.348478239452</f>
        <v>-1050.8327940147692</v>
      </c>
      <c r="Q2336" t="s">
        <v>45490</v>
      </c>
      <c r="R2336" t="s">
        <v>45491</v>
      </c>
      <c r="S2336" t="s">
        <v>45492</v>
      </c>
      <c r="T2336" t="s">
        <v>45493</v>
      </c>
      <c r="U2336" t="s">
        <v>45494</v>
      </c>
      <c r="V2336" t="s">
        <v>45495</v>
      </c>
      <c r="W2336" t="s">
        <v>45496</v>
      </c>
      <c r="X2336" t="s">
        <v>45497</v>
      </c>
      <c r="Y2336" t="s">
        <v>45498</v>
      </c>
    </row>
    <row r="2337" spans="1:25" x14ac:dyDescent="0.3">
      <c r="A2337">
        <v>116800</v>
      </c>
      <c r="B2337" t="s">
        <v>45499</v>
      </c>
      <c r="C2337" t="s">
        <v>45500</v>
      </c>
      <c r="D2337" t="s">
        <v>45501</v>
      </c>
      <c r="E2337" t="s">
        <v>45502</v>
      </c>
      <c r="F2337" t="s">
        <v>45503</v>
      </c>
      <c r="G2337" t="s">
        <v>45504</v>
      </c>
      <c r="H2337" t="s">
        <v>45505</v>
      </c>
      <c r="I2337" t="s">
        <v>45506</v>
      </c>
      <c r="J2337" t="s">
        <v>45507</v>
      </c>
      <c r="K2337" t="s">
        <v>45508</v>
      </c>
      <c r="L2337" t="s">
        <v>45509</v>
      </c>
      <c r="M2337" t="s">
        <v>45510</v>
      </c>
      <c r="N2337" t="s">
        <v>45511</v>
      </c>
      <c r="O2337">
        <f>-557.963953324018 -79.52796572011 -736.021675182181</f>
        <v>-1373.5135942263091</v>
      </c>
      <c r="P2337">
        <f>-551.678151014575 -80.1739023670857 -419.562651458649</f>
        <v>-1051.4147048403097</v>
      </c>
      <c r="Q2337" t="s">
        <v>45512</v>
      </c>
      <c r="R2337" t="s">
        <v>45513</v>
      </c>
      <c r="S2337" t="s">
        <v>45514</v>
      </c>
      <c r="T2337" t="s">
        <v>45515</v>
      </c>
      <c r="U2337" t="s">
        <v>45516</v>
      </c>
      <c r="V2337" t="s">
        <v>45517</v>
      </c>
      <c r="W2337" t="s">
        <v>45518</v>
      </c>
      <c r="X2337" t="s">
        <v>45519</v>
      </c>
      <c r="Y2337" t="s">
        <v>45520</v>
      </c>
    </row>
    <row r="2338" spans="1:25" x14ac:dyDescent="0.3">
      <c r="A2338">
        <v>116850</v>
      </c>
      <c r="B2338" t="s">
        <v>45521</v>
      </c>
      <c r="C2338" t="s">
        <v>45522</v>
      </c>
      <c r="D2338" t="s">
        <v>45523</v>
      </c>
      <c r="E2338" t="s">
        <v>45524</v>
      </c>
      <c r="F2338" t="s">
        <v>45525</v>
      </c>
      <c r="G2338" t="s">
        <v>45526</v>
      </c>
      <c r="H2338" t="s">
        <v>45527</v>
      </c>
      <c r="I2338" t="s">
        <v>45528</v>
      </c>
      <c r="J2338" t="s">
        <v>45529</v>
      </c>
      <c r="K2338" t="s">
        <v>45530</v>
      </c>
      <c r="L2338" t="s">
        <v>45531</v>
      </c>
      <c r="M2338" t="s">
        <v>45532</v>
      </c>
      <c r="N2338" t="s">
        <v>45533</v>
      </c>
      <c r="O2338">
        <f>-557.648069485969 -78.8894617282284 -736.500859250106</f>
        <v>-1373.0383904643036</v>
      </c>
      <c r="P2338">
        <f>-552.686461146275 -79.6396898479359 -420.018676965807</f>
        <v>-1052.3448279600179</v>
      </c>
      <c r="Q2338" t="s">
        <v>45534</v>
      </c>
      <c r="R2338" t="s">
        <v>45535</v>
      </c>
      <c r="S2338" t="s">
        <v>45536</v>
      </c>
      <c r="T2338" t="s">
        <v>45537</v>
      </c>
      <c r="U2338" t="s">
        <v>45538</v>
      </c>
      <c r="V2338" t="s">
        <v>45539</v>
      </c>
      <c r="W2338" t="s">
        <v>45540</v>
      </c>
      <c r="X2338" t="s">
        <v>45541</v>
      </c>
      <c r="Y2338" t="s">
        <v>45542</v>
      </c>
    </row>
    <row r="2339" spans="1:25" x14ac:dyDescent="0.3">
      <c r="A2339">
        <v>116900</v>
      </c>
      <c r="B2339" t="s">
        <v>45543</v>
      </c>
      <c r="C2339" t="s">
        <v>45544</v>
      </c>
      <c r="D2339" t="s">
        <v>45545</v>
      </c>
      <c r="E2339" t="s">
        <v>45546</v>
      </c>
      <c r="F2339" t="s">
        <v>45547</v>
      </c>
      <c r="G2339" t="s">
        <v>45548</v>
      </c>
      <c r="H2339" t="s">
        <v>45549</v>
      </c>
      <c r="I2339" t="s">
        <v>45550</v>
      </c>
      <c r="J2339" t="s">
        <v>45551</v>
      </c>
      <c r="K2339" t="s">
        <v>45552</v>
      </c>
      <c r="L2339" t="s">
        <v>45553</v>
      </c>
      <c r="M2339" t="s">
        <v>45554</v>
      </c>
      <c r="N2339" t="s">
        <v>45555</v>
      </c>
      <c r="O2339">
        <f>-557.487221245143 -78.9295588056166 -736.662014892775</f>
        <v>-1373.0787949435346</v>
      </c>
      <c r="P2339">
        <f>-553.469515206608 -79.1981556830628 -420.165450148712</f>
        <v>-1052.8331210383826</v>
      </c>
      <c r="Q2339" t="s">
        <v>45556</v>
      </c>
      <c r="R2339" t="s">
        <v>45557</v>
      </c>
      <c r="S2339" t="s">
        <v>45558</v>
      </c>
      <c r="T2339" t="s">
        <v>45559</v>
      </c>
      <c r="U2339" t="s">
        <v>45560</v>
      </c>
      <c r="V2339" t="s">
        <v>45561</v>
      </c>
      <c r="W2339" t="s">
        <v>45562</v>
      </c>
      <c r="X2339" t="s">
        <v>45563</v>
      </c>
      <c r="Y2339" t="s">
        <v>45564</v>
      </c>
    </row>
    <row r="2340" spans="1:25" x14ac:dyDescent="0.3">
      <c r="A2340">
        <v>116950</v>
      </c>
      <c r="B2340" t="s">
        <v>45565</v>
      </c>
      <c r="C2340" t="s">
        <v>45566</v>
      </c>
      <c r="D2340" t="s">
        <v>45567</v>
      </c>
      <c r="E2340" t="s">
        <v>45568</v>
      </c>
      <c r="F2340" t="s">
        <v>45569</v>
      </c>
      <c r="G2340" t="s">
        <v>45570</v>
      </c>
      <c r="H2340" t="s">
        <v>45571</v>
      </c>
      <c r="I2340" t="s">
        <v>45572</v>
      </c>
      <c r="J2340" t="s">
        <v>45573</v>
      </c>
      <c r="K2340" t="s">
        <v>45574</v>
      </c>
      <c r="L2340" t="s">
        <v>45575</v>
      </c>
      <c r="M2340" t="s">
        <v>45576</v>
      </c>
      <c r="N2340" t="s">
        <v>45577</v>
      </c>
      <c r="O2340">
        <f>-556.79877630971 -78.71938705597 -737.096598706498</f>
        <v>-1372.6147620721781</v>
      </c>
      <c r="P2340">
        <f>-554.450544873021 -78.4694690686957 -420.583435589726</f>
        <v>-1053.5034495314428</v>
      </c>
      <c r="Q2340" t="s">
        <v>45578</v>
      </c>
      <c r="R2340" t="s">
        <v>45579</v>
      </c>
      <c r="S2340" t="s">
        <v>45580</v>
      </c>
      <c r="T2340" t="s">
        <v>45581</v>
      </c>
      <c r="U2340" t="s">
        <v>45582</v>
      </c>
      <c r="V2340" t="s">
        <v>45583</v>
      </c>
      <c r="W2340" t="s">
        <v>45584</v>
      </c>
      <c r="X2340" t="s">
        <v>45585</v>
      </c>
      <c r="Y2340" t="s">
        <v>45586</v>
      </c>
    </row>
    <row r="2341" spans="1:25" x14ac:dyDescent="0.3">
      <c r="A2341">
        <v>117000</v>
      </c>
      <c r="B2341" t="s">
        <v>45587</v>
      </c>
      <c r="C2341" t="s">
        <v>45588</v>
      </c>
      <c r="D2341" t="s">
        <v>45589</v>
      </c>
      <c r="E2341" t="s">
        <v>45590</v>
      </c>
      <c r="F2341" t="s">
        <v>45591</v>
      </c>
      <c r="G2341" t="s">
        <v>45592</v>
      </c>
      <c r="H2341" t="s">
        <v>45593</v>
      </c>
      <c r="I2341" t="s">
        <v>45594</v>
      </c>
      <c r="J2341" t="s">
        <v>45595</v>
      </c>
      <c r="K2341" t="s">
        <v>45596</v>
      </c>
      <c r="L2341" t="s">
        <v>45597</v>
      </c>
      <c r="M2341" t="s">
        <v>45598</v>
      </c>
      <c r="N2341" t="s">
        <v>45599</v>
      </c>
      <c r="O2341">
        <f>-556.758622405702 -78.884498069857 -737.261359247074</f>
        <v>-1372.9044797226329</v>
      </c>
      <c r="P2341">
        <f>-554.948827033275 -78.6349730902279 -420.744644890425</f>
        <v>-1054.3284450139279</v>
      </c>
      <c r="Q2341" t="s">
        <v>45600</v>
      </c>
      <c r="R2341" t="s">
        <v>45601</v>
      </c>
      <c r="S2341" t="s">
        <v>45602</v>
      </c>
      <c r="T2341" t="s">
        <v>45603</v>
      </c>
      <c r="U2341" t="s">
        <v>45604</v>
      </c>
      <c r="V2341" t="s">
        <v>45605</v>
      </c>
      <c r="W2341" t="s">
        <v>45606</v>
      </c>
      <c r="X2341" t="s">
        <v>45607</v>
      </c>
      <c r="Y2341" t="s">
        <v>45608</v>
      </c>
    </row>
    <row r="2342" spans="1:25" x14ac:dyDescent="0.3">
      <c r="A2342">
        <v>117050</v>
      </c>
      <c r="B2342" t="s">
        <v>45609</v>
      </c>
      <c r="C2342" t="s">
        <v>45610</v>
      </c>
      <c r="D2342" t="s">
        <v>45611</v>
      </c>
      <c r="E2342" t="s">
        <v>45612</v>
      </c>
      <c r="F2342" t="s">
        <v>45613</v>
      </c>
      <c r="G2342" t="s">
        <v>45614</v>
      </c>
      <c r="H2342" t="s">
        <v>45615</v>
      </c>
      <c r="I2342" t="s">
        <v>45616</v>
      </c>
      <c r="J2342" t="s">
        <v>45617</v>
      </c>
      <c r="K2342" t="s">
        <v>45618</v>
      </c>
      <c r="L2342" t="s">
        <v>45619</v>
      </c>
      <c r="M2342" t="s">
        <v>45620</v>
      </c>
      <c r="N2342" t="s">
        <v>45621</v>
      </c>
      <c r="O2342">
        <f>-556.792354682851 -78.6029636843444 -737.685035177867</f>
        <v>-1373.0803535450625</v>
      </c>
      <c r="P2342">
        <f>-555.700806279663 -78.1286038489462 -421.165206663276</f>
        <v>-1054.9946167918852</v>
      </c>
      <c r="Q2342" t="s">
        <v>45622</v>
      </c>
      <c r="R2342" t="s">
        <v>45623</v>
      </c>
      <c r="S2342" t="s">
        <v>45624</v>
      </c>
      <c r="T2342" t="s">
        <v>45625</v>
      </c>
      <c r="U2342" t="s">
        <v>45626</v>
      </c>
      <c r="V2342" t="s">
        <v>45627</v>
      </c>
      <c r="W2342" t="s">
        <v>45628</v>
      </c>
      <c r="X2342" t="s">
        <v>45629</v>
      </c>
      <c r="Y2342" t="s">
        <v>45630</v>
      </c>
    </row>
    <row r="2343" spans="1:25" x14ac:dyDescent="0.3">
      <c r="A2343">
        <v>117100</v>
      </c>
      <c r="B2343" t="s">
        <v>45631</v>
      </c>
      <c r="C2343" t="s">
        <v>45632</v>
      </c>
      <c r="D2343" t="s">
        <v>45633</v>
      </c>
      <c r="E2343" t="s">
        <v>45634</v>
      </c>
      <c r="F2343" t="s">
        <v>45635</v>
      </c>
      <c r="G2343" t="s">
        <v>45636</v>
      </c>
      <c r="H2343" t="s">
        <v>45637</v>
      </c>
      <c r="I2343" t="s">
        <v>45638</v>
      </c>
      <c r="J2343" t="s">
        <v>45639</v>
      </c>
      <c r="K2343" t="s">
        <v>45640</v>
      </c>
      <c r="L2343" t="s">
        <v>45641</v>
      </c>
      <c r="M2343" t="s">
        <v>45642</v>
      </c>
      <c r="N2343" t="s">
        <v>45643</v>
      </c>
      <c r="O2343">
        <f>-556.278830174882 -78.3869651412533 -738.322578864993</f>
        <v>-1372.9883741811284</v>
      </c>
      <c r="P2343">
        <f>-556.165224323902 -77.9988042334047 -421.800685032389</f>
        <v>-1055.9647135896957</v>
      </c>
      <c r="Q2343" t="s">
        <v>45644</v>
      </c>
      <c r="R2343" t="s">
        <v>45645</v>
      </c>
      <c r="S2343" t="s">
        <v>45646</v>
      </c>
      <c r="T2343" t="s">
        <v>45647</v>
      </c>
      <c r="U2343" t="s">
        <v>45648</v>
      </c>
      <c r="V2343" t="s">
        <v>45649</v>
      </c>
      <c r="W2343" t="s">
        <v>45650</v>
      </c>
      <c r="X2343" t="s">
        <v>45651</v>
      </c>
      <c r="Y2343" t="s">
        <v>45652</v>
      </c>
    </row>
    <row r="2344" spans="1:25" x14ac:dyDescent="0.3">
      <c r="A2344">
        <v>117150</v>
      </c>
      <c r="B2344" t="s">
        <v>45653</v>
      </c>
      <c r="C2344" t="s">
        <v>45654</v>
      </c>
      <c r="D2344" t="s">
        <v>45655</v>
      </c>
      <c r="E2344" t="s">
        <v>45656</v>
      </c>
      <c r="F2344" t="s">
        <v>45657</v>
      </c>
      <c r="G2344" t="s">
        <v>45658</v>
      </c>
      <c r="H2344" t="s">
        <v>45659</v>
      </c>
      <c r="I2344" t="s">
        <v>45660</v>
      </c>
      <c r="J2344" t="s">
        <v>45661</v>
      </c>
      <c r="K2344" t="s">
        <v>45662</v>
      </c>
      <c r="L2344" t="s">
        <v>45663</v>
      </c>
      <c r="M2344" t="s">
        <v>45664</v>
      </c>
      <c r="N2344" t="s">
        <v>45665</v>
      </c>
      <c r="O2344">
        <f>-556.047954506542 -78.2148456374001 -738.734624801894</f>
        <v>-1372.9974249458362</v>
      </c>
      <c r="P2344">
        <f>-556.246829221059 -77.9238416469405 -422.212758055507</f>
        <v>-1056.3834289235065</v>
      </c>
      <c r="Q2344" t="s">
        <v>45666</v>
      </c>
      <c r="R2344" t="s">
        <v>45667</v>
      </c>
      <c r="S2344" t="s">
        <v>45668</v>
      </c>
      <c r="T2344" t="s">
        <v>45669</v>
      </c>
      <c r="U2344" t="s">
        <v>45670</v>
      </c>
      <c r="V2344" t="s">
        <v>45671</v>
      </c>
      <c r="W2344" t="s">
        <v>45672</v>
      </c>
      <c r="X2344" t="s">
        <v>45673</v>
      </c>
      <c r="Y2344" t="s">
        <v>45674</v>
      </c>
    </row>
    <row r="2345" spans="1:25" x14ac:dyDescent="0.3">
      <c r="A2345">
        <v>117200</v>
      </c>
      <c r="B2345" t="s">
        <v>45675</v>
      </c>
      <c r="C2345" t="s">
        <v>45676</v>
      </c>
      <c r="D2345" t="s">
        <v>45677</v>
      </c>
      <c r="E2345" t="s">
        <v>45678</v>
      </c>
      <c r="F2345" t="s">
        <v>45679</v>
      </c>
      <c r="G2345" t="s">
        <v>45680</v>
      </c>
      <c r="H2345" t="s">
        <v>45681</v>
      </c>
      <c r="I2345" t="s">
        <v>45682</v>
      </c>
      <c r="J2345" t="s">
        <v>45683</v>
      </c>
      <c r="K2345" t="s">
        <v>45684</v>
      </c>
      <c r="L2345" t="s">
        <v>45685</v>
      </c>
      <c r="M2345" t="s">
        <v>45686</v>
      </c>
      <c r="N2345" t="s">
        <v>45687</v>
      </c>
      <c r="O2345">
        <f>-555.909020378179 -77.9961155292898 -739.206419607617</f>
        <v>-1373.1115555150859</v>
      </c>
      <c r="P2345">
        <f>-556.365550103005 -78.0738938191878 -422.684751960252</f>
        <v>-1057.1241958824448</v>
      </c>
      <c r="Q2345" t="s">
        <v>45688</v>
      </c>
      <c r="R2345" t="s">
        <v>45689</v>
      </c>
      <c r="S2345" t="s">
        <v>45690</v>
      </c>
      <c r="T2345" t="s">
        <v>45691</v>
      </c>
      <c r="U2345" t="s">
        <v>45692</v>
      </c>
      <c r="V2345" t="s">
        <v>45693</v>
      </c>
      <c r="W2345" t="s">
        <v>45694</v>
      </c>
      <c r="X2345" t="s">
        <v>45695</v>
      </c>
      <c r="Y2345" t="s">
        <v>45696</v>
      </c>
    </row>
    <row r="2346" spans="1:25" x14ac:dyDescent="0.3">
      <c r="A2346">
        <v>117250</v>
      </c>
      <c r="B2346" t="s">
        <v>45697</v>
      </c>
      <c r="C2346" t="s">
        <v>45698</v>
      </c>
      <c r="D2346" t="s">
        <v>45699</v>
      </c>
      <c r="E2346" t="s">
        <v>45700</v>
      </c>
      <c r="F2346" t="s">
        <v>45701</v>
      </c>
      <c r="G2346" t="s">
        <v>45702</v>
      </c>
      <c r="H2346" t="s">
        <v>45703</v>
      </c>
      <c r="I2346" t="s">
        <v>45704</v>
      </c>
      <c r="J2346" t="s">
        <v>45705</v>
      </c>
      <c r="K2346" t="s">
        <v>45706</v>
      </c>
      <c r="L2346" t="s">
        <v>45707</v>
      </c>
      <c r="M2346" t="s">
        <v>45708</v>
      </c>
      <c r="N2346" t="s">
        <v>45709</v>
      </c>
      <c r="O2346">
        <f>-555.418917123474 -78.0660226334939 -739.886626129171</f>
        <v>-1373.3715658861388</v>
      </c>
      <c r="P2346">
        <f>-556.641055112852 -78.4032193586635 -423.367183610172</f>
        <v>-1058.4114580816874</v>
      </c>
      <c r="Q2346" t="s">
        <v>45710</v>
      </c>
      <c r="R2346" t="s">
        <v>45711</v>
      </c>
      <c r="S2346" t="s">
        <v>45712</v>
      </c>
      <c r="T2346" t="s">
        <v>45713</v>
      </c>
      <c r="U2346" t="s">
        <v>45714</v>
      </c>
      <c r="V2346" t="s">
        <v>45715</v>
      </c>
      <c r="W2346" t="s">
        <v>45716</v>
      </c>
      <c r="X2346" t="s">
        <v>45717</v>
      </c>
      <c r="Y2346" t="s">
        <v>45718</v>
      </c>
    </row>
    <row r="2347" spans="1:25" x14ac:dyDescent="0.3">
      <c r="A2347">
        <v>117300</v>
      </c>
      <c r="B2347" t="s">
        <v>45719</v>
      </c>
      <c r="C2347" t="s">
        <v>45720</v>
      </c>
      <c r="D2347" t="s">
        <v>45721</v>
      </c>
      <c r="E2347" t="s">
        <v>45722</v>
      </c>
      <c r="F2347" t="s">
        <v>45723</v>
      </c>
      <c r="G2347" t="s">
        <v>45724</v>
      </c>
      <c r="H2347" t="s">
        <v>45725</v>
      </c>
      <c r="I2347" t="s">
        <v>45726</v>
      </c>
      <c r="J2347" t="s">
        <v>45727</v>
      </c>
      <c r="K2347" t="s">
        <v>45728</v>
      </c>
      <c r="L2347" t="s">
        <v>45729</v>
      </c>
      <c r="M2347" t="s">
        <v>45730</v>
      </c>
      <c r="N2347" t="s">
        <v>45731</v>
      </c>
      <c r="O2347">
        <f>-555.053513944055 -78.1076581310293 -740.355824066604</f>
        <v>-1373.5169961416882</v>
      </c>
      <c r="P2347">
        <f>-556.455521154562 -78.6061984497609 -423.837276203636</f>
        <v>-1058.898995807959</v>
      </c>
      <c r="Q2347" t="s">
        <v>45732</v>
      </c>
      <c r="R2347" t="s">
        <v>45733</v>
      </c>
      <c r="S2347" t="s">
        <v>45734</v>
      </c>
      <c r="T2347" t="s">
        <v>45735</v>
      </c>
      <c r="U2347" t="s">
        <v>45736</v>
      </c>
      <c r="V2347" t="s">
        <v>45737</v>
      </c>
      <c r="W2347" t="s">
        <v>45738</v>
      </c>
      <c r="X2347" t="s">
        <v>45739</v>
      </c>
      <c r="Y2347" t="s">
        <v>45740</v>
      </c>
    </row>
    <row r="2348" spans="1:25" x14ac:dyDescent="0.3">
      <c r="A2348">
        <v>117350</v>
      </c>
      <c r="B2348" t="s">
        <v>45741</v>
      </c>
      <c r="C2348" t="s">
        <v>45742</v>
      </c>
      <c r="D2348" t="s">
        <v>45743</v>
      </c>
      <c r="E2348" t="s">
        <v>45744</v>
      </c>
      <c r="F2348" t="s">
        <v>45745</v>
      </c>
      <c r="G2348" t="s">
        <v>45746</v>
      </c>
      <c r="H2348" t="s">
        <v>45747</v>
      </c>
      <c r="I2348" t="s">
        <v>45748</v>
      </c>
      <c r="J2348" t="s">
        <v>45749</v>
      </c>
      <c r="K2348" t="s">
        <v>45750</v>
      </c>
      <c r="L2348" t="s">
        <v>45751</v>
      </c>
      <c r="M2348" t="s">
        <v>45752</v>
      </c>
      <c r="N2348" t="s">
        <v>45753</v>
      </c>
      <c r="O2348">
        <f>-555.011849975159 -77.5994464583765 -741.161298205775</f>
        <v>-1373.7725946393105</v>
      </c>
      <c r="P2348">
        <f>-556.747723525442 -78.3174627355209 -424.644908775062</f>
        <v>-1059.710095036025</v>
      </c>
      <c r="Q2348" t="s">
        <v>45754</v>
      </c>
      <c r="R2348" t="s">
        <v>45755</v>
      </c>
      <c r="S2348" t="s">
        <v>45756</v>
      </c>
      <c r="T2348" t="s">
        <v>45757</v>
      </c>
      <c r="U2348" t="s">
        <v>45758</v>
      </c>
      <c r="V2348" t="s">
        <v>45759</v>
      </c>
      <c r="W2348" t="s">
        <v>45760</v>
      </c>
      <c r="X2348" t="s">
        <v>45761</v>
      </c>
      <c r="Y2348" t="s">
        <v>45762</v>
      </c>
    </row>
    <row r="2349" spans="1:25" x14ac:dyDescent="0.3">
      <c r="A2349">
        <v>117400</v>
      </c>
      <c r="B2349" t="s">
        <v>45763</v>
      </c>
      <c r="C2349" t="s">
        <v>45764</v>
      </c>
      <c r="D2349" t="s">
        <v>45765</v>
      </c>
      <c r="E2349" t="s">
        <v>45766</v>
      </c>
      <c r="F2349" t="s">
        <v>45767</v>
      </c>
      <c r="G2349" t="s">
        <v>45768</v>
      </c>
      <c r="H2349" t="s">
        <v>45769</v>
      </c>
      <c r="I2349" t="s">
        <v>45770</v>
      </c>
      <c r="J2349" t="s">
        <v>45771</v>
      </c>
      <c r="K2349" t="s">
        <v>45772</v>
      </c>
      <c r="L2349" t="s">
        <v>45773</v>
      </c>
      <c r="M2349" t="s">
        <v>45774</v>
      </c>
      <c r="N2349" t="s">
        <v>45775</v>
      </c>
      <c r="O2349">
        <f>-555.227533965491 -77.5005385952833 -741.516488469439</f>
        <v>-1374.2445610302134</v>
      </c>
      <c r="P2349">
        <f>-556.934884731449 -78.4127478263164 -425.000386995341</f>
        <v>-1060.3480195531063</v>
      </c>
      <c r="Q2349" t="s">
        <v>45776</v>
      </c>
      <c r="R2349" t="s">
        <v>45777</v>
      </c>
      <c r="S2349" t="s">
        <v>45778</v>
      </c>
      <c r="T2349" t="s">
        <v>45779</v>
      </c>
      <c r="U2349" t="s">
        <v>45780</v>
      </c>
      <c r="V2349" t="s">
        <v>45781</v>
      </c>
      <c r="W2349" t="s">
        <v>45782</v>
      </c>
      <c r="X2349" t="s">
        <v>45783</v>
      </c>
      <c r="Y2349" t="s">
        <v>45784</v>
      </c>
    </row>
    <row r="2350" spans="1:25" x14ac:dyDescent="0.3">
      <c r="A2350">
        <v>117450</v>
      </c>
      <c r="B2350" t="s">
        <v>45785</v>
      </c>
      <c r="C2350" t="s">
        <v>45786</v>
      </c>
      <c r="D2350" t="s">
        <v>45787</v>
      </c>
      <c r="E2350" t="s">
        <v>45788</v>
      </c>
      <c r="F2350" t="s">
        <v>45789</v>
      </c>
      <c r="G2350" t="s">
        <v>45790</v>
      </c>
      <c r="H2350" t="s">
        <v>45791</v>
      </c>
      <c r="I2350" t="s">
        <v>45792</v>
      </c>
      <c r="J2350" t="s">
        <v>45793</v>
      </c>
      <c r="K2350" t="s">
        <v>45794</v>
      </c>
      <c r="L2350" t="s">
        <v>45795</v>
      </c>
      <c r="M2350" t="s">
        <v>45796</v>
      </c>
      <c r="N2350" t="s">
        <v>45797</v>
      </c>
      <c r="O2350">
        <f>-555.583932920444 -77.8817934354123 -742.281940941962</f>
        <v>-1375.7476672978182</v>
      </c>
      <c r="P2350">
        <f>-557.222957032971 -78.8593162648646 -425.765655072183</f>
        <v>-1061.8479283700185</v>
      </c>
      <c r="Q2350" t="s">
        <v>45798</v>
      </c>
      <c r="R2350" t="s">
        <v>45799</v>
      </c>
      <c r="S2350" t="s">
        <v>45800</v>
      </c>
      <c r="T2350" t="s">
        <v>45801</v>
      </c>
      <c r="U2350" t="s">
        <v>45802</v>
      </c>
      <c r="V2350" t="s">
        <v>45803</v>
      </c>
      <c r="W2350" t="s">
        <v>45804</v>
      </c>
      <c r="X2350" t="s">
        <v>45805</v>
      </c>
      <c r="Y2350" t="s">
        <v>45806</v>
      </c>
    </row>
    <row r="2351" spans="1:25" x14ac:dyDescent="0.3">
      <c r="A2351">
        <v>117500</v>
      </c>
      <c r="B2351" t="s">
        <v>45807</v>
      </c>
      <c r="C2351" t="s">
        <v>45808</v>
      </c>
      <c r="D2351" t="s">
        <v>45809</v>
      </c>
      <c r="E2351" t="s">
        <v>45810</v>
      </c>
      <c r="F2351" t="s">
        <v>45811</v>
      </c>
      <c r="G2351" t="s">
        <v>45812</v>
      </c>
      <c r="H2351" t="s">
        <v>45813</v>
      </c>
      <c r="I2351" t="s">
        <v>45814</v>
      </c>
      <c r="J2351" t="s">
        <v>45815</v>
      </c>
      <c r="K2351" t="s">
        <v>45816</v>
      </c>
      <c r="L2351" t="s">
        <v>45817</v>
      </c>
      <c r="M2351" t="s">
        <v>45818</v>
      </c>
      <c r="N2351" t="s">
        <v>45819</v>
      </c>
      <c r="O2351">
        <f>-555.743179023159 -77.8116007431689 -742.565948857378</f>
        <v>-1376.1207286237059</v>
      </c>
      <c r="P2351">
        <f>-557.415490023486 -78.9772701601269 -426.050504570558</f>
        <v>-1062.4432647541707</v>
      </c>
      <c r="Q2351" t="s">
        <v>45820</v>
      </c>
      <c r="R2351" t="s">
        <v>45821</v>
      </c>
      <c r="S2351" t="s">
        <v>45822</v>
      </c>
      <c r="T2351" t="s">
        <v>45823</v>
      </c>
      <c r="U2351" t="s">
        <v>45824</v>
      </c>
      <c r="V2351" t="s">
        <v>45825</v>
      </c>
      <c r="W2351" t="s">
        <v>45826</v>
      </c>
      <c r="X2351" t="s">
        <v>45827</v>
      </c>
      <c r="Y2351" t="s">
        <v>45828</v>
      </c>
    </row>
    <row r="2352" spans="1:25" x14ac:dyDescent="0.3">
      <c r="A2352">
        <v>117550</v>
      </c>
      <c r="B2352" t="s">
        <v>45829</v>
      </c>
      <c r="C2352" t="s">
        <v>45830</v>
      </c>
      <c r="D2352" t="s">
        <v>45831</v>
      </c>
      <c r="E2352" t="s">
        <v>45832</v>
      </c>
      <c r="F2352" t="s">
        <v>45833</v>
      </c>
      <c r="G2352" t="s">
        <v>45834</v>
      </c>
      <c r="H2352" t="s">
        <v>45835</v>
      </c>
      <c r="I2352" t="s">
        <v>45836</v>
      </c>
      <c r="J2352" t="s">
        <v>45837</v>
      </c>
      <c r="K2352" t="s">
        <v>45838</v>
      </c>
      <c r="L2352" t="s">
        <v>45839</v>
      </c>
      <c r="M2352" t="s">
        <v>45840</v>
      </c>
      <c r="N2352" t="s">
        <v>45841</v>
      </c>
      <c r="O2352">
        <f>-556.122697833153 -77.8683925259298 -742.981500977465</f>
        <v>-1376.9725913365478</v>
      </c>
      <c r="P2352">
        <f>-557.860621785826 -78.7651655793341 -426.465441118552</f>
        <v>-1063.091228483712</v>
      </c>
      <c r="Q2352" t="s">
        <v>45842</v>
      </c>
      <c r="R2352" t="s">
        <v>45843</v>
      </c>
      <c r="S2352" t="s">
        <v>45844</v>
      </c>
      <c r="T2352" t="s">
        <v>45845</v>
      </c>
      <c r="U2352" t="s">
        <v>45846</v>
      </c>
      <c r="V2352" t="s">
        <v>45847</v>
      </c>
      <c r="W2352" t="s">
        <v>45848</v>
      </c>
      <c r="X2352" t="s">
        <v>45849</v>
      </c>
      <c r="Y2352" t="s">
        <v>45850</v>
      </c>
    </row>
    <row r="2353" spans="1:25" x14ac:dyDescent="0.3">
      <c r="A2353">
        <v>117600</v>
      </c>
      <c r="B2353" t="s">
        <v>45851</v>
      </c>
      <c r="C2353" t="s">
        <v>45852</v>
      </c>
      <c r="D2353" t="s">
        <v>45853</v>
      </c>
      <c r="E2353" t="s">
        <v>45854</v>
      </c>
      <c r="F2353" t="s">
        <v>45855</v>
      </c>
      <c r="G2353" t="s">
        <v>45856</v>
      </c>
      <c r="H2353" t="s">
        <v>45857</v>
      </c>
      <c r="I2353" t="s">
        <v>45858</v>
      </c>
      <c r="J2353" t="s">
        <v>45859</v>
      </c>
      <c r="K2353" t="s">
        <v>45860</v>
      </c>
      <c r="L2353" t="s">
        <v>45861</v>
      </c>
      <c r="M2353" t="s">
        <v>45862</v>
      </c>
      <c r="N2353" t="s">
        <v>45863</v>
      </c>
      <c r="O2353">
        <f>-556.460455763461 -77.7541547105085 -743.205242783138</f>
        <v>-1377.4198532571077</v>
      </c>
      <c r="P2353">
        <f>-558.006893397112 -78.6627000149981 -426.688377855801</f>
        <v>-1063.3579712679111</v>
      </c>
      <c r="Q2353" t="s">
        <v>45864</v>
      </c>
      <c r="R2353" t="s">
        <v>45865</v>
      </c>
      <c r="S2353" t="s">
        <v>45866</v>
      </c>
      <c r="T2353" t="s">
        <v>45867</v>
      </c>
      <c r="U2353" t="s">
        <v>45868</v>
      </c>
      <c r="V2353" t="s">
        <v>45869</v>
      </c>
      <c r="W2353" t="s">
        <v>45870</v>
      </c>
      <c r="X2353" t="s">
        <v>45871</v>
      </c>
      <c r="Y2353" t="s">
        <v>45872</v>
      </c>
    </row>
    <row r="2354" spans="1:25" x14ac:dyDescent="0.3">
      <c r="A2354">
        <v>117650</v>
      </c>
      <c r="B2354" t="s">
        <v>45873</v>
      </c>
      <c r="C2354" t="s">
        <v>45874</v>
      </c>
      <c r="D2354" t="s">
        <v>45875</v>
      </c>
      <c r="E2354" t="s">
        <v>45876</v>
      </c>
      <c r="F2354" t="s">
        <v>45877</v>
      </c>
      <c r="G2354" t="s">
        <v>45878</v>
      </c>
      <c r="H2354" t="s">
        <v>45879</v>
      </c>
      <c r="I2354" t="s">
        <v>45880</v>
      </c>
      <c r="J2354" t="s">
        <v>45881</v>
      </c>
      <c r="K2354" t="s">
        <v>45882</v>
      </c>
      <c r="L2354" t="s">
        <v>45883</v>
      </c>
      <c r="M2354" t="s">
        <v>45884</v>
      </c>
      <c r="N2354" t="s">
        <v>45885</v>
      </c>
      <c r="O2354">
        <f>-557.050557097669 -77.5035838712323 -743.588562020462</f>
        <v>-1378.1427029893632</v>
      </c>
      <c r="P2354">
        <f>-558.215354524715 -78.464904626244 -427.070059892837</f>
        <v>-1063.750319043796</v>
      </c>
      <c r="Q2354" t="s">
        <v>45886</v>
      </c>
      <c r="R2354" t="s">
        <v>45887</v>
      </c>
      <c r="S2354" t="s">
        <v>45888</v>
      </c>
      <c r="T2354" t="s">
        <v>45889</v>
      </c>
      <c r="U2354" t="s">
        <v>45890</v>
      </c>
      <c r="V2354" t="s">
        <v>45891</v>
      </c>
      <c r="W2354" t="s">
        <v>45892</v>
      </c>
      <c r="X2354" t="s">
        <v>45893</v>
      </c>
      <c r="Y2354" t="s">
        <v>45894</v>
      </c>
    </row>
    <row r="2355" spans="1:25" x14ac:dyDescent="0.3">
      <c r="A2355">
        <v>117700</v>
      </c>
      <c r="B2355" t="s">
        <v>45895</v>
      </c>
      <c r="C2355" t="s">
        <v>45896</v>
      </c>
      <c r="D2355" t="s">
        <v>45897</v>
      </c>
      <c r="E2355" t="s">
        <v>45898</v>
      </c>
      <c r="F2355" t="s">
        <v>45899</v>
      </c>
      <c r="G2355" t="s">
        <v>45900</v>
      </c>
      <c r="H2355" t="s">
        <v>45901</v>
      </c>
      <c r="I2355" t="s">
        <v>45902</v>
      </c>
      <c r="J2355" t="s">
        <v>45903</v>
      </c>
      <c r="K2355" t="s">
        <v>45904</v>
      </c>
      <c r="L2355" t="s">
        <v>45905</v>
      </c>
      <c r="M2355" t="s">
        <v>45906</v>
      </c>
      <c r="N2355" t="s">
        <v>45907</v>
      </c>
      <c r="O2355">
        <f>-557.139034788288 -77.4071727294068 -743.714525861146</f>
        <v>-1378.2607333788405</v>
      </c>
      <c r="P2355">
        <f>-558.245304089519 -78.3542887094388 -427.195971998009</f>
        <v>-1063.7955647969668</v>
      </c>
      <c r="Q2355" t="s">
        <v>45908</v>
      </c>
      <c r="R2355" t="s">
        <v>45909</v>
      </c>
      <c r="S2355" t="s">
        <v>45910</v>
      </c>
      <c r="T2355" t="s">
        <v>45911</v>
      </c>
      <c r="U2355" t="s">
        <v>45912</v>
      </c>
      <c r="V2355" t="s">
        <v>45913</v>
      </c>
      <c r="W2355" t="s">
        <v>45914</v>
      </c>
      <c r="X2355" t="s">
        <v>45915</v>
      </c>
      <c r="Y2355" t="s">
        <v>45916</v>
      </c>
    </row>
    <row r="2356" spans="1:25" x14ac:dyDescent="0.3">
      <c r="A2356">
        <v>117750</v>
      </c>
      <c r="B2356" t="s">
        <v>45917</v>
      </c>
      <c r="C2356" t="s">
        <v>45918</v>
      </c>
      <c r="D2356" t="s">
        <v>45919</v>
      </c>
      <c r="E2356" t="s">
        <v>45920</v>
      </c>
      <c r="F2356" t="s">
        <v>45921</v>
      </c>
      <c r="G2356" t="s">
        <v>45922</v>
      </c>
      <c r="H2356" t="s">
        <v>45923</v>
      </c>
      <c r="I2356" t="s">
        <v>45924</v>
      </c>
      <c r="J2356" t="s">
        <v>45925</v>
      </c>
      <c r="K2356" t="s">
        <v>45926</v>
      </c>
      <c r="L2356" t="s">
        <v>45927</v>
      </c>
      <c r="M2356" t="s">
        <v>45928</v>
      </c>
      <c r="N2356" t="s">
        <v>45929</v>
      </c>
      <c r="O2356">
        <f>-557.440740163654 -77.3011255495696 -743.871761300066</f>
        <v>-1378.6136270132897</v>
      </c>
      <c r="P2356">
        <f>-558.116389248632 -78.3895758899268 -427.352341612807</f>
        <v>-1063.8583067513659</v>
      </c>
      <c r="Q2356" t="s">
        <v>45930</v>
      </c>
      <c r="R2356" t="s">
        <v>45931</v>
      </c>
      <c r="S2356" t="s">
        <v>45932</v>
      </c>
      <c r="T2356" t="s">
        <v>45933</v>
      </c>
      <c r="U2356" t="s">
        <v>45934</v>
      </c>
      <c r="V2356" t="s">
        <v>45935</v>
      </c>
      <c r="W2356" t="s">
        <v>45936</v>
      </c>
      <c r="X2356" t="s">
        <v>45937</v>
      </c>
      <c r="Y2356" t="s">
        <v>45938</v>
      </c>
    </row>
    <row r="2357" spans="1:25" x14ac:dyDescent="0.3">
      <c r="A2357">
        <v>117800</v>
      </c>
      <c r="B2357" t="s">
        <v>45939</v>
      </c>
      <c r="C2357" t="s">
        <v>45940</v>
      </c>
      <c r="D2357" t="s">
        <v>45941</v>
      </c>
      <c r="E2357" t="s">
        <v>45942</v>
      </c>
      <c r="F2357" t="s">
        <v>45943</v>
      </c>
      <c r="G2357" t="s">
        <v>45944</v>
      </c>
      <c r="H2357" t="s">
        <v>45945</v>
      </c>
      <c r="I2357" t="s">
        <v>45946</v>
      </c>
      <c r="J2357" t="s">
        <v>45947</v>
      </c>
      <c r="K2357" t="s">
        <v>45948</v>
      </c>
      <c r="L2357" t="s">
        <v>45949</v>
      </c>
      <c r="M2357" t="s">
        <v>45950</v>
      </c>
      <c r="N2357" t="s">
        <v>45951</v>
      </c>
      <c r="O2357">
        <f>-557.520453729445 -77.0025751488214 -744.000033698421</f>
        <v>-1378.5230625766874</v>
      </c>
      <c r="P2357">
        <f>-557.632798940939 -77.9691281397342 -427.479447701829</f>
        <v>-1063.0813747825021</v>
      </c>
      <c r="Q2357" t="s">
        <v>45952</v>
      </c>
      <c r="R2357" t="s">
        <v>45953</v>
      </c>
      <c r="S2357" t="s">
        <v>45954</v>
      </c>
      <c r="T2357" t="s">
        <v>45955</v>
      </c>
      <c r="U2357" t="s">
        <v>45956</v>
      </c>
      <c r="V2357" t="s">
        <v>45957</v>
      </c>
      <c r="W2357" t="s">
        <v>45958</v>
      </c>
      <c r="X2357" t="s">
        <v>45959</v>
      </c>
      <c r="Y2357" t="s">
        <v>45960</v>
      </c>
    </row>
    <row r="2358" spans="1:25" x14ac:dyDescent="0.3">
      <c r="A2358">
        <v>117850</v>
      </c>
      <c r="B2358" t="s">
        <v>45961</v>
      </c>
      <c r="C2358" t="s">
        <v>45962</v>
      </c>
      <c r="D2358" t="s">
        <v>45963</v>
      </c>
      <c r="E2358" t="s">
        <v>45964</v>
      </c>
      <c r="F2358" t="s">
        <v>45965</v>
      </c>
      <c r="G2358" t="s">
        <v>45966</v>
      </c>
      <c r="H2358" t="s">
        <v>45967</v>
      </c>
      <c r="I2358" t="s">
        <v>45968</v>
      </c>
      <c r="J2358" t="s">
        <v>45969</v>
      </c>
      <c r="K2358" t="s">
        <v>45970</v>
      </c>
      <c r="L2358" t="s">
        <v>45971</v>
      </c>
      <c r="M2358" t="s">
        <v>45972</v>
      </c>
      <c r="N2358" t="s">
        <v>45973</v>
      </c>
      <c r="O2358">
        <f>-557.505236745349 -76.642618570626 -744.024503215429</f>
        <v>-1378.1723585314039</v>
      </c>
      <c r="P2358">
        <f>-557.104775779787 -77.3486098257145 -427.503638411457</f>
        <v>-1061.9570240169587</v>
      </c>
      <c r="Q2358" t="s">
        <v>45974</v>
      </c>
      <c r="R2358" t="s">
        <v>45975</v>
      </c>
      <c r="S2358" t="s">
        <v>45976</v>
      </c>
      <c r="T2358" t="s">
        <v>45977</v>
      </c>
      <c r="U2358" t="s">
        <v>45978</v>
      </c>
      <c r="V2358" t="s">
        <v>45979</v>
      </c>
      <c r="W2358" t="s">
        <v>45980</v>
      </c>
      <c r="X2358" t="s">
        <v>45981</v>
      </c>
      <c r="Y2358" t="s">
        <v>45982</v>
      </c>
    </row>
    <row r="2359" spans="1:25" x14ac:dyDescent="0.3">
      <c r="A2359">
        <v>117900</v>
      </c>
      <c r="B2359" t="s">
        <v>45983</v>
      </c>
      <c r="C2359" t="s">
        <v>45984</v>
      </c>
      <c r="D2359" t="s">
        <v>45985</v>
      </c>
      <c r="E2359" t="s">
        <v>45986</v>
      </c>
      <c r="F2359" t="s">
        <v>45987</v>
      </c>
      <c r="G2359" t="s">
        <v>45988</v>
      </c>
      <c r="H2359" t="s">
        <v>45989</v>
      </c>
      <c r="I2359" t="s">
        <v>45990</v>
      </c>
      <c r="J2359" t="s">
        <v>45991</v>
      </c>
      <c r="K2359" t="s">
        <v>45992</v>
      </c>
      <c r="L2359" t="s">
        <v>45993</v>
      </c>
      <c r="M2359" t="s">
        <v>45994</v>
      </c>
      <c r="N2359" t="s">
        <v>45995</v>
      </c>
      <c r="O2359">
        <f>-557.18704316282 -76.2478593933411 -743.968162318913</f>
        <v>-1377.4030648750741</v>
      </c>
      <c r="P2359">
        <f>-556.840442361252 -77.375762740012 -427.448311267568</f>
        <v>-1061.664516368832</v>
      </c>
      <c r="Q2359" t="s">
        <v>45996</v>
      </c>
      <c r="R2359" t="s">
        <v>45997</v>
      </c>
      <c r="S2359" t="s">
        <v>45998</v>
      </c>
      <c r="T2359" t="s">
        <v>45999</v>
      </c>
      <c r="U2359" t="s">
        <v>46000</v>
      </c>
      <c r="V2359" t="s">
        <v>46001</v>
      </c>
      <c r="W2359" t="s">
        <v>46002</v>
      </c>
      <c r="X2359" t="s">
        <v>46003</v>
      </c>
      <c r="Y2359" t="s">
        <v>46004</v>
      </c>
    </row>
    <row r="2360" spans="1:25" x14ac:dyDescent="0.3">
      <c r="A2360">
        <v>117950</v>
      </c>
      <c r="B2360" t="s">
        <v>46005</v>
      </c>
      <c r="C2360" t="s">
        <v>46006</v>
      </c>
      <c r="D2360" t="s">
        <v>46007</v>
      </c>
      <c r="E2360" t="s">
        <v>46008</v>
      </c>
      <c r="F2360" t="s">
        <v>46009</v>
      </c>
      <c r="G2360" t="s">
        <v>46010</v>
      </c>
      <c r="H2360" t="s">
        <v>46011</v>
      </c>
      <c r="I2360" t="s">
        <v>46012</v>
      </c>
      <c r="J2360" t="s">
        <v>46013</v>
      </c>
      <c r="K2360" t="s">
        <v>46014</v>
      </c>
      <c r="L2360" t="s">
        <v>46015</v>
      </c>
      <c r="M2360" t="s">
        <v>46016</v>
      </c>
      <c r="N2360" t="s">
        <v>46017</v>
      </c>
      <c r="O2360">
        <f>-556.87373713661 -75.5385090118596 -744.162837554133</f>
        <v>-1376.5750837026026</v>
      </c>
      <c r="P2360">
        <f>-556.548226610949 -77.3145728919362 -427.645975513203</f>
        <v>-1061.5087750160883</v>
      </c>
      <c r="Q2360" t="s">
        <v>46018</v>
      </c>
      <c r="R2360" t="s">
        <v>46019</v>
      </c>
      <c r="S2360" t="s">
        <v>46020</v>
      </c>
      <c r="T2360" t="s">
        <v>46021</v>
      </c>
      <c r="U2360" t="s">
        <v>46022</v>
      </c>
      <c r="V2360" t="s">
        <v>46023</v>
      </c>
      <c r="W2360" t="s">
        <v>46024</v>
      </c>
      <c r="X2360" t="s">
        <v>46025</v>
      </c>
      <c r="Y2360" t="s">
        <v>46026</v>
      </c>
    </row>
    <row r="2361" spans="1:25" x14ac:dyDescent="0.3">
      <c r="A2361">
        <v>118000</v>
      </c>
      <c r="B2361" t="s">
        <v>46027</v>
      </c>
      <c r="C2361" t="s">
        <v>46028</v>
      </c>
      <c r="D2361" t="s">
        <v>46029</v>
      </c>
      <c r="E2361" t="s">
        <v>46030</v>
      </c>
      <c r="F2361" t="s">
        <v>46031</v>
      </c>
      <c r="G2361" t="s">
        <v>46032</v>
      </c>
      <c r="H2361" t="s">
        <v>46033</v>
      </c>
      <c r="I2361" t="s">
        <v>46034</v>
      </c>
      <c r="J2361" t="s">
        <v>46035</v>
      </c>
      <c r="K2361" t="s">
        <v>46036</v>
      </c>
      <c r="L2361" t="s">
        <v>46037</v>
      </c>
      <c r="M2361" t="s">
        <v>46038</v>
      </c>
      <c r="N2361" t="s">
        <v>46039</v>
      </c>
      <c r="O2361">
        <f>-556.776962672345 -75.20836913525 -744.289251007021</f>
        <v>-1376.274582814616</v>
      </c>
      <c r="P2361">
        <f>-556.321511318928 -77.2644160840076 -427.774370756858</f>
        <v>-1061.3602981597935</v>
      </c>
      <c r="Q2361" t="s">
        <v>46040</v>
      </c>
      <c r="R2361" t="s">
        <v>46041</v>
      </c>
      <c r="S2361" t="s">
        <v>46042</v>
      </c>
      <c r="T2361" t="s">
        <v>46043</v>
      </c>
      <c r="U2361" t="s">
        <v>46044</v>
      </c>
      <c r="V2361" t="s">
        <v>46045</v>
      </c>
      <c r="W2361" t="s">
        <v>46046</v>
      </c>
      <c r="X2361" t="s">
        <v>46047</v>
      </c>
      <c r="Y2361" t="s">
        <v>46048</v>
      </c>
    </row>
    <row r="2362" spans="1:25" x14ac:dyDescent="0.3">
      <c r="A2362">
        <v>118050</v>
      </c>
      <c r="B2362" t="s">
        <v>46049</v>
      </c>
      <c r="C2362" t="s">
        <v>46050</v>
      </c>
      <c r="D2362" t="s">
        <v>46051</v>
      </c>
      <c r="E2362" t="s">
        <v>46052</v>
      </c>
      <c r="F2362" t="s">
        <v>46053</v>
      </c>
      <c r="G2362" t="s">
        <v>46054</v>
      </c>
      <c r="H2362" t="s">
        <v>46055</v>
      </c>
      <c r="I2362" t="s">
        <v>46056</v>
      </c>
      <c r="J2362" t="s">
        <v>46057</v>
      </c>
      <c r="K2362" t="s">
        <v>46058</v>
      </c>
      <c r="L2362" t="s">
        <v>46059</v>
      </c>
      <c r="M2362" t="s">
        <v>46060</v>
      </c>
      <c r="N2362" t="s">
        <v>46061</v>
      </c>
      <c r="O2362">
        <f>-556.532442722835 -74.4768750625881 -744.539488407292</f>
        <v>-1375.5488061927149</v>
      </c>
      <c r="P2362">
        <f>-556.28242108197 -77.2781461645529 -428.030027020292</f>
        <v>-1061.5905942668151</v>
      </c>
      <c r="Q2362" t="s">
        <v>46062</v>
      </c>
      <c r="R2362" t="s">
        <v>46063</v>
      </c>
      <c r="S2362" t="s">
        <v>46064</v>
      </c>
      <c r="T2362" t="s">
        <v>46065</v>
      </c>
      <c r="U2362" t="s">
        <v>46066</v>
      </c>
      <c r="V2362" t="s">
        <v>46067</v>
      </c>
      <c r="W2362" t="s">
        <v>46068</v>
      </c>
      <c r="X2362" t="s">
        <v>46069</v>
      </c>
      <c r="Y2362" t="s">
        <v>46070</v>
      </c>
    </row>
    <row r="2363" spans="1:25" x14ac:dyDescent="0.3">
      <c r="A2363">
        <v>118100</v>
      </c>
      <c r="B2363" t="s">
        <v>46071</v>
      </c>
      <c r="C2363" t="s">
        <v>46072</v>
      </c>
      <c r="D2363" t="s">
        <v>46073</v>
      </c>
      <c r="E2363" t="s">
        <v>46074</v>
      </c>
      <c r="F2363" t="s">
        <v>46075</v>
      </c>
      <c r="G2363" t="s">
        <v>46076</v>
      </c>
      <c r="H2363" t="s">
        <v>46077</v>
      </c>
      <c r="I2363" t="s">
        <v>46078</v>
      </c>
      <c r="J2363" t="s">
        <v>46079</v>
      </c>
      <c r="K2363" t="s">
        <v>46080</v>
      </c>
      <c r="L2363" t="s">
        <v>46081</v>
      </c>
      <c r="M2363" t="s">
        <v>46082</v>
      </c>
      <c r="N2363" t="s">
        <v>46083</v>
      </c>
      <c r="O2363">
        <f>-556.265513267259 -74.1925118653913 -744.664620929616</f>
        <v>-1375.1226460622665</v>
      </c>
      <c r="P2363">
        <f>-556.216168349425 -77.1516687755959 -428.156511175558</f>
        <v>-1061.5243483005788</v>
      </c>
      <c r="Q2363" t="s">
        <v>46084</v>
      </c>
      <c r="R2363" t="s">
        <v>46085</v>
      </c>
      <c r="S2363" t="s">
        <v>46086</v>
      </c>
      <c r="T2363" t="s">
        <v>46087</v>
      </c>
      <c r="U2363" t="s">
        <v>46088</v>
      </c>
      <c r="V2363" t="s">
        <v>46089</v>
      </c>
      <c r="W2363" t="s">
        <v>46090</v>
      </c>
      <c r="X2363" t="s">
        <v>46091</v>
      </c>
      <c r="Y2363" t="s">
        <v>46092</v>
      </c>
    </row>
    <row r="2364" spans="1:25" x14ac:dyDescent="0.3">
      <c r="A2364">
        <v>118150</v>
      </c>
      <c r="B2364" t="s">
        <v>46093</v>
      </c>
      <c r="C2364" t="s">
        <v>46094</v>
      </c>
      <c r="D2364" t="s">
        <v>46095</v>
      </c>
      <c r="E2364" t="s">
        <v>46096</v>
      </c>
      <c r="F2364" t="s">
        <v>46097</v>
      </c>
      <c r="G2364" t="s">
        <v>46098</v>
      </c>
      <c r="H2364" t="s">
        <v>46099</v>
      </c>
      <c r="I2364" t="s">
        <v>46100</v>
      </c>
      <c r="J2364" t="s">
        <v>46101</v>
      </c>
      <c r="K2364" t="s">
        <v>46102</v>
      </c>
      <c r="L2364" t="s">
        <v>46103</v>
      </c>
      <c r="M2364" t="s">
        <v>46104</v>
      </c>
      <c r="N2364" t="s">
        <v>46105</v>
      </c>
      <c r="O2364">
        <f>-555.639235533165 -73.8534415684256 -744.696736978332</f>
        <v>-1374.1894140799227</v>
      </c>
      <c r="P2364">
        <f>-556.135233367562 -77.0419219992898 -428.191097521161</f>
        <v>-1061.3682528880129</v>
      </c>
      <c r="Q2364" t="s">
        <v>46106</v>
      </c>
      <c r="R2364" t="s">
        <v>46107</v>
      </c>
      <c r="S2364" t="s">
        <v>46108</v>
      </c>
      <c r="T2364" t="s">
        <v>46109</v>
      </c>
      <c r="U2364" t="s">
        <v>46110</v>
      </c>
      <c r="V2364" t="s">
        <v>46111</v>
      </c>
      <c r="W2364" t="s">
        <v>46112</v>
      </c>
      <c r="X2364" t="s">
        <v>46113</v>
      </c>
      <c r="Y2364" t="s">
        <v>46114</v>
      </c>
    </row>
    <row r="2365" spans="1:25" x14ac:dyDescent="0.3">
      <c r="A2365">
        <v>118200</v>
      </c>
      <c r="B2365" t="s">
        <v>46115</v>
      </c>
      <c r="C2365" t="s">
        <v>46116</v>
      </c>
      <c r="D2365" t="s">
        <v>46117</v>
      </c>
      <c r="E2365" t="s">
        <v>46118</v>
      </c>
      <c r="F2365" t="s">
        <v>46119</v>
      </c>
      <c r="G2365" t="s">
        <v>46120</v>
      </c>
      <c r="H2365" t="s">
        <v>46121</v>
      </c>
      <c r="I2365" t="s">
        <v>46122</v>
      </c>
      <c r="J2365" t="s">
        <v>46123</v>
      </c>
      <c r="K2365" t="s">
        <v>46124</v>
      </c>
      <c r="L2365" t="s">
        <v>46125</v>
      </c>
      <c r="M2365" t="s">
        <v>46126</v>
      </c>
      <c r="N2365" t="s">
        <v>46127</v>
      </c>
      <c r="O2365">
        <f>-555.23902764821 -73.6937101748907 -744.760316382855</f>
        <v>-1373.6930542059558</v>
      </c>
      <c r="P2365">
        <f>-556.20328485977 -76.6507050629688 -428.253495985668</f>
        <v>-1061.1074859084067</v>
      </c>
      <c r="Q2365" t="s">
        <v>46128</v>
      </c>
      <c r="R2365" t="s">
        <v>46129</v>
      </c>
      <c r="S2365" t="s">
        <v>46130</v>
      </c>
      <c r="T2365" t="s">
        <v>46131</v>
      </c>
      <c r="U2365" t="s">
        <v>46132</v>
      </c>
      <c r="V2365" t="s">
        <v>46133</v>
      </c>
      <c r="W2365" t="s">
        <v>46134</v>
      </c>
      <c r="X2365" t="s">
        <v>46135</v>
      </c>
      <c r="Y2365" t="s">
        <v>46136</v>
      </c>
    </row>
    <row r="2366" spans="1:25" x14ac:dyDescent="0.3">
      <c r="A2366">
        <v>118250</v>
      </c>
      <c r="B2366" t="s">
        <v>46137</v>
      </c>
      <c r="C2366" t="s">
        <v>46138</v>
      </c>
      <c r="D2366" t="s">
        <v>46139</v>
      </c>
      <c r="E2366" t="s">
        <v>46140</v>
      </c>
      <c r="F2366" t="s">
        <v>46141</v>
      </c>
      <c r="G2366" t="s">
        <v>46142</v>
      </c>
      <c r="H2366" t="s">
        <v>46143</v>
      </c>
      <c r="I2366" t="s">
        <v>46144</v>
      </c>
      <c r="J2366" t="s">
        <v>46145</v>
      </c>
      <c r="K2366" t="s">
        <v>46146</v>
      </c>
      <c r="L2366" t="s">
        <v>46147</v>
      </c>
      <c r="M2366" t="s">
        <v>46148</v>
      </c>
      <c r="N2366" t="s">
        <v>46149</v>
      </c>
      <c r="O2366">
        <f>-554.066071558771 -73.086935613192 -744.937807515644</f>
        <v>-1372.090814687607</v>
      </c>
      <c r="P2366">
        <f>-556.025200851528 -76.1688318070886 -428.436793379546</f>
        <v>-1060.6308260381625</v>
      </c>
      <c r="Q2366" t="s">
        <v>46150</v>
      </c>
      <c r="R2366" t="s">
        <v>46151</v>
      </c>
      <c r="S2366" t="s">
        <v>46152</v>
      </c>
      <c r="T2366" t="s">
        <v>46153</v>
      </c>
      <c r="U2366" t="s">
        <v>46154</v>
      </c>
      <c r="V2366" t="s">
        <v>46155</v>
      </c>
      <c r="W2366" t="s">
        <v>46156</v>
      </c>
      <c r="X2366" t="s">
        <v>46157</v>
      </c>
      <c r="Y2366" t="s">
        <v>46158</v>
      </c>
    </row>
    <row r="2367" spans="1:25" x14ac:dyDescent="0.3">
      <c r="A2367">
        <v>118300</v>
      </c>
      <c r="B2367" t="s">
        <v>46159</v>
      </c>
      <c r="C2367" t="s">
        <v>46160</v>
      </c>
      <c r="D2367" t="s">
        <v>46161</v>
      </c>
      <c r="E2367" t="s">
        <v>46162</v>
      </c>
      <c r="F2367" t="s">
        <v>46163</v>
      </c>
      <c r="G2367" t="s">
        <v>46164</v>
      </c>
      <c r="H2367" t="s">
        <v>46165</v>
      </c>
      <c r="I2367" t="s">
        <v>46166</v>
      </c>
      <c r="J2367" t="s">
        <v>46167</v>
      </c>
      <c r="K2367" t="s">
        <v>46168</v>
      </c>
      <c r="L2367" t="s">
        <v>46169</v>
      </c>
      <c r="M2367" t="s">
        <v>46170</v>
      </c>
      <c r="N2367" t="s">
        <v>46171</v>
      </c>
      <c r="O2367">
        <f>-553.937471034842 -72.7721030416763 -745.054085241703</f>
        <v>-1371.7636593182212</v>
      </c>
      <c r="P2367">
        <f>-556.098903904198 -75.9065098143346 -428.554861254367</f>
        <v>-1060.5602749728996</v>
      </c>
      <c r="Q2367" t="s">
        <v>46172</v>
      </c>
      <c r="R2367" t="s">
        <v>46173</v>
      </c>
      <c r="S2367" t="s">
        <v>46174</v>
      </c>
      <c r="T2367" t="s">
        <v>46175</v>
      </c>
      <c r="U2367" t="s">
        <v>46176</v>
      </c>
      <c r="V2367" t="s">
        <v>46177</v>
      </c>
      <c r="W2367" t="s">
        <v>46178</v>
      </c>
      <c r="X2367" t="s">
        <v>46179</v>
      </c>
      <c r="Y2367" t="s">
        <v>46180</v>
      </c>
    </row>
    <row r="2368" spans="1:25" x14ac:dyDescent="0.3">
      <c r="A2368">
        <v>118350</v>
      </c>
      <c r="B2368" t="s">
        <v>46181</v>
      </c>
      <c r="C2368" t="s">
        <v>46182</v>
      </c>
      <c r="D2368" t="s">
        <v>46183</v>
      </c>
      <c r="E2368" t="s">
        <v>46184</v>
      </c>
      <c r="F2368" t="s">
        <v>46185</v>
      </c>
      <c r="G2368" t="s">
        <v>46186</v>
      </c>
      <c r="H2368" t="s">
        <v>46187</v>
      </c>
      <c r="I2368" t="s">
        <v>46188</v>
      </c>
      <c r="J2368" t="s">
        <v>46189</v>
      </c>
      <c r="K2368" t="s">
        <v>46190</v>
      </c>
      <c r="L2368" t="s">
        <v>46191</v>
      </c>
      <c r="M2368" t="s">
        <v>46192</v>
      </c>
      <c r="N2368" t="s">
        <v>46193</v>
      </c>
      <c r="O2368">
        <f>-553.43076936043 -72.1967380711039 -745.269108320661</f>
        <v>-1370.896615752195</v>
      </c>
      <c r="P2368">
        <f>-555.915513762056 -75.7779147728094 -428.777126046817</f>
        <v>-1060.4705545816823</v>
      </c>
      <c r="Q2368" t="s">
        <v>46194</v>
      </c>
      <c r="R2368" t="s">
        <v>46195</v>
      </c>
      <c r="S2368" t="s">
        <v>46196</v>
      </c>
      <c r="T2368" t="s">
        <v>46197</v>
      </c>
      <c r="U2368" t="s">
        <v>46198</v>
      </c>
      <c r="V2368" t="s">
        <v>46199</v>
      </c>
      <c r="W2368" t="s">
        <v>46200</v>
      </c>
      <c r="X2368" t="s">
        <v>46201</v>
      </c>
      <c r="Y2368" t="s">
        <v>46202</v>
      </c>
    </row>
    <row r="2369" spans="1:25" x14ac:dyDescent="0.3">
      <c r="A2369">
        <v>118400</v>
      </c>
      <c r="B2369" t="s">
        <v>46203</v>
      </c>
      <c r="C2369" t="s">
        <v>46204</v>
      </c>
      <c r="D2369" t="s">
        <v>46205</v>
      </c>
      <c r="E2369" t="s">
        <v>46206</v>
      </c>
      <c r="F2369" t="s">
        <v>46207</v>
      </c>
      <c r="G2369" t="s">
        <v>46208</v>
      </c>
      <c r="H2369" t="s">
        <v>46209</v>
      </c>
      <c r="I2369" t="s">
        <v>46210</v>
      </c>
      <c r="J2369" t="s">
        <v>46211</v>
      </c>
      <c r="K2369" t="s">
        <v>46212</v>
      </c>
      <c r="L2369" t="s">
        <v>46213</v>
      </c>
      <c r="M2369" t="s">
        <v>46214</v>
      </c>
      <c r="N2369" t="s">
        <v>46215</v>
      </c>
      <c r="O2369">
        <f>-553.267350570643 -71.6258827242043 -745.451499720264</f>
        <v>-1370.3447330151112</v>
      </c>
      <c r="P2369">
        <f>-555.761006644484 -75.5875647301304 -428.964212272207</f>
        <v>-1060.3127836468216</v>
      </c>
      <c r="Q2369" t="s">
        <v>46216</v>
      </c>
      <c r="R2369" t="s">
        <v>46217</v>
      </c>
      <c r="S2369" t="s">
        <v>46218</v>
      </c>
      <c r="T2369" t="s">
        <v>46219</v>
      </c>
      <c r="U2369" t="s">
        <v>46220</v>
      </c>
      <c r="V2369" t="s">
        <v>46221</v>
      </c>
      <c r="W2369" t="s">
        <v>46222</v>
      </c>
      <c r="X2369" t="s">
        <v>46223</v>
      </c>
      <c r="Y2369" t="s">
        <v>46224</v>
      </c>
    </row>
    <row r="2370" spans="1:25" x14ac:dyDescent="0.3">
      <c r="A2370">
        <v>118450</v>
      </c>
      <c r="B2370" t="s">
        <v>46225</v>
      </c>
      <c r="C2370" t="s">
        <v>46226</v>
      </c>
      <c r="D2370" t="s">
        <v>46227</v>
      </c>
      <c r="E2370" t="s">
        <v>46228</v>
      </c>
      <c r="F2370" t="s">
        <v>46229</v>
      </c>
      <c r="G2370" t="s">
        <v>46230</v>
      </c>
      <c r="H2370" t="s">
        <v>46231</v>
      </c>
      <c r="I2370" t="s">
        <v>46232</v>
      </c>
      <c r="J2370" t="s">
        <v>46233</v>
      </c>
      <c r="K2370" t="s">
        <v>46234</v>
      </c>
      <c r="L2370" t="s">
        <v>46235</v>
      </c>
      <c r="M2370" t="s">
        <v>46236</v>
      </c>
      <c r="N2370" t="s">
        <v>46237</v>
      </c>
      <c r="O2370">
        <f>-552.928179935263 -71.000985481791 -745.679472128419</f>
        <v>-1369.6086375454729</v>
      </c>
      <c r="P2370">
        <f>-555.351611754473 -75.3964764031807 -429.197243822393</f>
        <v>-1059.9453319800466</v>
      </c>
      <c r="Q2370" t="s">
        <v>46238</v>
      </c>
      <c r="R2370" t="s">
        <v>46239</v>
      </c>
      <c r="S2370" t="s">
        <v>46240</v>
      </c>
      <c r="T2370" t="s">
        <v>46241</v>
      </c>
      <c r="U2370" t="s">
        <v>46242</v>
      </c>
      <c r="V2370" t="s">
        <v>46243</v>
      </c>
      <c r="W2370" t="s">
        <v>46244</v>
      </c>
      <c r="X2370" t="s">
        <v>46245</v>
      </c>
      <c r="Y2370" t="s">
        <v>46246</v>
      </c>
    </row>
    <row r="2371" spans="1:25" x14ac:dyDescent="0.3">
      <c r="A2371">
        <v>118500</v>
      </c>
      <c r="B2371" t="s">
        <v>46247</v>
      </c>
      <c r="C2371" t="s">
        <v>46248</v>
      </c>
      <c r="D2371" t="s">
        <v>46249</v>
      </c>
      <c r="E2371" t="s">
        <v>46250</v>
      </c>
      <c r="F2371" t="s">
        <v>46251</v>
      </c>
      <c r="G2371" t="s">
        <v>46252</v>
      </c>
      <c r="H2371" t="s">
        <v>46253</v>
      </c>
      <c r="I2371" t="s">
        <v>46254</v>
      </c>
      <c r="J2371" t="s">
        <v>46255</v>
      </c>
      <c r="K2371" t="s">
        <v>46256</v>
      </c>
      <c r="L2371" t="s">
        <v>46257</v>
      </c>
      <c r="M2371" t="s">
        <v>46258</v>
      </c>
      <c r="N2371" t="s">
        <v>46259</v>
      </c>
      <c r="O2371">
        <f>-552.537764592828 -70.522856837799 -745.801187317484</f>
        <v>-1368.8618087481109</v>
      </c>
      <c r="P2371">
        <f>-555.072745704396 -75.1297623204512 -429.32272912857</f>
        <v>-1059.525237153417</v>
      </c>
      <c r="Q2371" t="s">
        <v>46260</v>
      </c>
      <c r="R2371" t="s">
        <v>46261</v>
      </c>
      <c r="S2371" t="s">
        <v>46262</v>
      </c>
      <c r="T2371" t="s">
        <v>46263</v>
      </c>
      <c r="U2371" t="s">
        <v>46264</v>
      </c>
      <c r="V2371" t="s">
        <v>46265</v>
      </c>
      <c r="W2371" t="s">
        <v>46266</v>
      </c>
      <c r="X2371" t="s">
        <v>46267</v>
      </c>
      <c r="Y2371" t="s">
        <v>46268</v>
      </c>
    </row>
    <row r="2372" spans="1:25" x14ac:dyDescent="0.3">
      <c r="A2372">
        <v>118550</v>
      </c>
      <c r="B2372" t="s">
        <v>46269</v>
      </c>
      <c r="C2372" t="s">
        <v>46270</v>
      </c>
      <c r="D2372" t="s">
        <v>46271</v>
      </c>
      <c r="E2372" t="s">
        <v>46272</v>
      </c>
      <c r="F2372" t="s">
        <v>46273</v>
      </c>
      <c r="G2372" t="s">
        <v>46274</v>
      </c>
      <c r="H2372" t="s">
        <v>46275</v>
      </c>
      <c r="I2372" t="s">
        <v>46276</v>
      </c>
      <c r="J2372" t="s">
        <v>46277</v>
      </c>
      <c r="K2372" t="s">
        <v>46278</v>
      </c>
      <c r="L2372" t="s">
        <v>46279</v>
      </c>
      <c r="M2372" t="s">
        <v>46280</v>
      </c>
      <c r="N2372" t="s">
        <v>46281</v>
      </c>
      <c r="O2372">
        <f>-552.121577120643 -70.2171583986135 -746.059979798565</f>
        <v>-1368.3987153178214</v>
      </c>
      <c r="P2372">
        <f>-554.848697595498 -75.0101218708944 -429.586027067615</f>
        <v>-1059.4448465340074</v>
      </c>
      <c r="Q2372" t="s">
        <v>46282</v>
      </c>
      <c r="R2372" t="s">
        <v>46283</v>
      </c>
      <c r="S2372" t="s">
        <v>46284</v>
      </c>
      <c r="T2372" t="s">
        <v>46285</v>
      </c>
      <c r="U2372" t="s">
        <v>46286</v>
      </c>
      <c r="V2372" t="s">
        <v>46287</v>
      </c>
      <c r="W2372" t="s">
        <v>46288</v>
      </c>
      <c r="X2372" t="s">
        <v>46289</v>
      </c>
      <c r="Y2372" t="s">
        <v>46290</v>
      </c>
    </row>
    <row r="2373" spans="1:25" x14ac:dyDescent="0.3">
      <c r="A2373">
        <v>118600</v>
      </c>
      <c r="B2373" t="s">
        <v>46291</v>
      </c>
      <c r="C2373" t="s">
        <v>46292</v>
      </c>
      <c r="D2373" t="s">
        <v>46293</v>
      </c>
      <c r="E2373" t="s">
        <v>46294</v>
      </c>
      <c r="F2373" t="s">
        <v>46295</v>
      </c>
      <c r="G2373" t="s">
        <v>46296</v>
      </c>
      <c r="H2373" t="s">
        <v>46297</v>
      </c>
      <c r="I2373" t="s">
        <v>46298</v>
      </c>
      <c r="J2373" t="s">
        <v>46299</v>
      </c>
      <c r="K2373" t="s">
        <v>46300</v>
      </c>
      <c r="L2373" t="s">
        <v>46301</v>
      </c>
      <c r="M2373" t="s">
        <v>46302</v>
      </c>
      <c r="N2373" t="s">
        <v>46303</v>
      </c>
      <c r="O2373">
        <f>-551.979913675796 -70.0433481967305 -746.190865395197</f>
        <v>-1368.2141272677236</v>
      </c>
      <c r="P2373">
        <f>-554.960500727728 -74.8044921782073 -429.718607190527</f>
        <v>-1059.4836000964624</v>
      </c>
      <c r="Q2373" t="s">
        <v>46304</v>
      </c>
      <c r="R2373" t="s">
        <v>46305</v>
      </c>
      <c r="S2373" t="s">
        <v>46306</v>
      </c>
      <c r="T2373" t="s">
        <v>46307</v>
      </c>
      <c r="U2373" t="s">
        <v>46308</v>
      </c>
      <c r="V2373" t="s">
        <v>46309</v>
      </c>
      <c r="W2373" t="s">
        <v>46310</v>
      </c>
      <c r="X2373" t="s">
        <v>46311</v>
      </c>
      <c r="Y2373" t="s">
        <v>46312</v>
      </c>
    </row>
    <row r="2374" spans="1:25" x14ac:dyDescent="0.3">
      <c r="A2374">
        <v>118650</v>
      </c>
      <c r="B2374" t="s">
        <v>46313</v>
      </c>
      <c r="C2374" t="s">
        <v>46314</v>
      </c>
      <c r="D2374" t="s">
        <v>46315</v>
      </c>
      <c r="E2374" t="s">
        <v>46316</v>
      </c>
      <c r="F2374" t="s">
        <v>46317</v>
      </c>
      <c r="G2374" t="s">
        <v>46318</v>
      </c>
      <c r="H2374" t="s">
        <v>46319</v>
      </c>
      <c r="I2374" t="s">
        <v>46320</v>
      </c>
      <c r="J2374" t="s">
        <v>46321</v>
      </c>
      <c r="K2374" t="s">
        <v>46322</v>
      </c>
      <c r="L2374" t="s">
        <v>46323</v>
      </c>
      <c r="M2374" t="s">
        <v>46324</v>
      </c>
      <c r="N2374" t="s">
        <v>46325</v>
      </c>
      <c r="O2374">
        <f>-551.841300917494 -69.5703248056194 -746.457483426515</f>
        <v>-1367.8691091496285</v>
      </c>
      <c r="P2374">
        <f>-555.157050442179 -74.7715147282375 -429.995515872774</f>
        <v>-1059.9240810431904</v>
      </c>
      <c r="Q2374" t="s">
        <v>46326</v>
      </c>
      <c r="R2374" t="s">
        <v>46327</v>
      </c>
      <c r="S2374" t="s">
        <v>46328</v>
      </c>
      <c r="T2374" t="s">
        <v>46329</v>
      </c>
      <c r="U2374" t="s">
        <v>46330</v>
      </c>
      <c r="V2374" t="s">
        <v>46331</v>
      </c>
      <c r="W2374" t="s">
        <v>46332</v>
      </c>
      <c r="X2374" t="s">
        <v>46333</v>
      </c>
      <c r="Y2374" t="s">
        <v>46334</v>
      </c>
    </row>
    <row r="2375" spans="1:25" x14ac:dyDescent="0.3">
      <c r="A2375">
        <v>118700</v>
      </c>
      <c r="B2375" t="s">
        <v>46335</v>
      </c>
      <c r="C2375" t="s">
        <v>46336</v>
      </c>
      <c r="D2375" t="s">
        <v>46337</v>
      </c>
      <c r="E2375" t="s">
        <v>46338</v>
      </c>
      <c r="F2375" t="s">
        <v>46339</v>
      </c>
      <c r="G2375" t="s">
        <v>46340</v>
      </c>
      <c r="H2375" t="s">
        <v>46341</v>
      </c>
      <c r="I2375" t="s">
        <v>46342</v>
      </c>
      <c r="J2375" t="s">
        <v>46343</v>
      </c>
      <c r="K2375" t="s">
        <v>46344</v>
      </c>
      <c r="L2375" t="s">
        <v>46345</v>
      </c>
      <c r="M2375" t="s">
        <v>46346</v>
      </c>
      <c r="N2375" t="s">
        <v>46347</v>
      </c>
      <c r="O2375">
        <f>-551.940222415061 -69.1536801477737 -746.623888854195</f>
        <v>-1367.7177914170297</v>
      </c>
      <c r="P2375">
        <f>-555.405946503055 -74.4129914310243 -430.164547714958</f>
        <v>-1059.9834856490372</v>
      </c>
      <c r="Q2375" t="s">
        <v>46348</v>
      </c>
      <c r="R2375" t="s">
        <v>46349</v>
      </c>
      <c r="S2375" t="s">
        <v>46350</v>
      </c>
      <c r="T2375" t="s">
        <v>46351</v>
      </c>
      <c r="U2375" t="s">
        <v>46352</v>
      </c>
      <c r="V2375" t="s">
        <v>46353</v>
      </c>
      <c r="W2375" t="s">
        <v>46354</v>
      </c>
      <c r="X2375" t="s">
        <v>46355</v>
      </c>
      <c r="Y2375" t="s">
        <v>46356</v>
      </c>
    </row>
    <row r="2376" spans="1:25" x14ac:dyDescent="0.3">
      <c r="A2376">
        <v>118750</v>
      </c>
      <c r="B2376" t="s">
        <v>46357</v>
      </c>
      <c r="C2376" t="s">
        <v>46358</v>
      </c>
      <c r="D2376" t="s">
        <v>46359</v>
      </c>
      <c r="E2376" t="s">
        <v>46360</v>
      </c>
      <c r="F2376" t="s">
        <v>46361</v>
      </c>
      <c r="G2376" t="s">
        <v>46362</v>
      </c>
      <c r="H2376" t="s">
        <v>46363</v>
      </c>
      <c r="I2376" t="s">
        <v>46364</v>
      </c>
      <c r="J2376" t="s">
        <v>46365</v>
      </c>
      <c r="K2376" t="s">
        <v>46366</v>
      </c>
      <c r="L2376" t="s">
        <v>46367</v>
      </c>
      <c r="M2376" t="s">
        <v>46368</v>
      </c>
      <c r="N2376" t="s">
        <v>46369</v>
      </c>
      <c r="O2376">
        <f>-552.150186088931 -68.2988950525892 -746.95765621051</f>
        <v>-1367.4067373520302</v>
      </c>
      <c r="P2376">
        <f>-555.601132197496 -73.9149309099283 -430.504173849968</f>
        <v>-1060.0202369573924</v>
      </c>
      <c r="Q2376" t="s">
        <v>46370</v>
      </c>
      <c r="R2376" t="s">
        <v>46371</v>
      </c>
      <c r="S2376" t="s">
        <v>46372</v>
      </c>
      <c r="T2376" t="s">
        <v>46373</v>
      </c>
      <c r="U2376" t="s">
        <v>46374</v>
      </c>
      <c r="V2376" t="s">
        <v>46375</v>
      </c>
      <c r="W2376" t="s">
        <v>46376</v>
      </c>
      <c r="X2376" t="s">
        <v>46377</v>
      </c>
      <c r="Y2376" t="s">
        <v>46378</v>
      </c>
    </row>
    <row r="2377" spans="1:25" x14ac:dyDescent="0.3">
      <c r="A2377">
        <v>118800</v>
      </c>
      <c r="B2377" t="s">
        <v>46379</v>
      </c>
      <c r="C2377" t="s">
        <v>46380</v>
      </c>
      <c r="D2377" t="s">
        <v>46381</v>
      </c>
      <c r="E2377" t="s">
        <v>46382</v>
      </c>
      <c r="F2377" t="s">
        <v>46383</v>
      </c>
      <c r="G2377" t="s">
        <v>46384</v>
      </c>
      <c r="H2377" t="s">
        <v>46385</v>
      </c>
      <c r="I2377" t="s">
        <v>46386</v>
      </c>
      <c r="J2377" t="s">
        <v>46387</v>
      </c>
      <c r="K2377" t="s">
        <v>46388</v>
      </c>
      <c r="L2377" t="s">
        <v>46389</v>
      </c>
      <c r="M2377" t="s">
        <v>46390</v>
      </c>
      <c r="N2377" t="s">
        <v>46391</v>
      </c>
      <c r="O2377">
        <f>-552.165259106597 -67.7719708190027 -747.172447085246</f>
        <v>-1367.1096770108456</v>
      </c>
      <c r="P2377">
        <f>-555.562254952085 -73.6178256166933 -430.722692543973</f>
        <v>-1059.9027731127512</v>
      </c>
      <c r="Q2377" t="s">
        <v>46392</v>
      </c>
      <c r="R2377" t="s">
        <v>46393</v>
      </c>
      <c r="S2377" t="s">
        <v>46394</v>
      </c>
      <c r="T2377" t="s">
        <v>46395</v>
      </c>
      <c r="U2377" t="s">
        <v>46396</v>
      </c>
      <c r="V2377" t="s">
        <v>46397</v>
      </c>
      <c r="W2377" t="s">
        <v>46398</v>
      </c>
      <c r="X2377" t="s">
        <v>46399</v>
      </c>
      <c r="Y2377" t="s">
        <v>46400</v>
      </c>
    </row>
    <row r="2378" spans="1:25" x14ac:dyDescent="0.3">
      <c r="A2378">
        <v>118850</v>
      </c>
      <c r="B2378" t="s">
        <v>46401</v>
      </c>
      <c r="C2378" t="s">
        <v>46402</v>
      </c>
      <c r="D2378" t="s">
        <v>46403</v>
      </c>
      <c r="E2378" t="s">
        <v>46404</v>
      </c>
      <c r="F2378" t="s">
        <v>46405</v>
      </c>
      <c r="G2378" t="s">
        <v>46406</v>
      </c>
      <c r="H2378" t="s">
        <v>46407</v>
      </c>
      <c r="I2378" t="s">
        <v>46408</v>
      </c>
      <c r="J2378" t="s">
        <v>46409</v>
      </c>
      <c r="K2378" t="s">
        <v>46410</v>
      </c>
      <c r="L2378" t="s">
        <v>46411</v>
      </c>
      <c r="M2378" t="s">
        <v>46412</v>
      </c>
      <c r="N2378" t="s">
        <v>46413</v>
      </c>
      <c r="O2378">
        <f>-552.722800683369 -67.3493404967707 -747.458227856919</f>
        <v>-1367.5303690370588</v>
      </c>
      <c r="P2378">
        <f>-556.201729741125 -73.4630238052364 -431.014466907375</f>
        <v>-1060.6792204537364</v>
      </c>
      <c r="Q2378" t="s">
        <v>46414</v>
      </c>
      <c r="R2378" t="s">
        <v>46415</v>
      </c>
      <c r="S2378" t="s">
        <v>46416</v>
      </c>
      <c r="T2378" t="s">
        <v>46417</v>
      </c>
      <c r="U2378" t="s">
        <v>46418</v>
      </c>
      <c r="V2378" t="s">
        <v>46419</v>
      </c>
      <c r="W2378" t="s">
        <v>46420</v>
      </c>
      <c r="X2378" t="s">
        <v>46421</v>
      </c>
      <c r="Y2378" t="s">
        <v>46422</v>
      </c>
    </row>
    <row r="2379" spans="1:25" x14ac:dyDescent="0.3">
      <c r="A2379">
        <v>118900</v>
      </c>
      <c r="B2379" t="s">
        <v>46423</v>
      </c>
      <c r="C2379" t="s">
        <v>46424</v>
      </c>
      <c r="D2379" t="s">
        <v>46425</v>
      </c>
      <c r="E2379" t="s">
        <v>46426</v>
      </c>
      <c r="F2379" t="s">
        <v>46427</v>
      </c>
      <c r="G2379" t="s">
        <v>46428</v>
      </c>
      <c r="H2379" t="s">
        <v>46429</v>
      </c>
      <c r="I2379" t="s">
        <v>46430</v>
      </c>
      <c r="J2379" t="s">
        <v>46431</v>
      </c>
      <c r="K2379" t="s">
        <v>46432</v>
      </c>
      <c r="L2379" t="s">
        <v>46433</v>
      </c>
      <c r="M2379" t="s">
        <v>46434</v>
      </c>
      <c r="N2379" t="s">
        <v>46435</v>
      </c>
      <c r="O2379">
        <f>-552.85399261447 -66.9053116496506 -747.652275850698</f>
        <v>-1367.4115801148187</v>
      </c>
      <c r="P2379">
        <f>-556.380377631365 -73.1162843525408 -431.210835043846</f>
        <v>-1060.7074970277517</v>
      </c>
      <c r="Q2379" t="s">
        <v>46436</v>
      </c>
      <c r="R2379" t="s">
        <v>46437</v>
      </c>
      <c r="S2379" t="s">
        <v>46438</v>
      </c>
      <c r="T2379" t="s">
        <v>46439</v>
      </c>
      <c r="U2379" t="s">
        <v>46440</v>
      </c>
      <c r="V2379" t="s">
        <v>46441</v>
      </c>
      <c r="W2379" t="s">
        <v>46442</v>
      </c>
      <c r="X2379" t="s">
        <v>46443</v>
      </c>
      <c r="Y2379" t="s">
        <v>46444</v>
      </c>
    </row>
    <row r="2380" spans="1:25" x14ac:dyDescent="0.3">
      <c r="A2380">
        <v>118950</v>
      </c>
      <c r="B2380" t="s">
        <v>46445</v>
      </c>
      <c r="C2380" t="s">
        <v>46446</v>
      </c>
      <c r="D2380" t="s">
        <v>46447</v>
      </c>
      <c r="E2380" t="s">
        <v>46448</v>
      </c>
      <c r="F2380" t="s">
        <v>46449</v>
      </c>
      <c r="G2380" t="s">
        <v>46450</v>
      </c>
      <c r="H2380" t="s">
        <v>46451</v>
      </c>
      <c r="I2380" t="s">
        <v>46452</v>
      </c>
      <c r="J2380" t="s">
        <v>46453</v>
      </c>
      <c r="K2380" t="s">
        <v>46454</v>
      </c>
      <c r="L2380" t="s">
        <v>46455</v>
      </c>
      <c r="M2380" t="s">
        <v>46456</v>
      </c>
      <c r="N2380" t="s">
        <v>46457</v>
      </c>
      <c r="O2380">
        <f>-552.919888278975 -66.6080881697516 -747.794805158665</f>
        <v>-1367.3227816073916</v>
      </c>
      <c r="P2380">
        <f>-557.013162526825 -72.968446361784 -431.363264464136</f>
        <v>-1061.344873352745</v>
      </c>
      <c r="Q2380" t="s">
        <v>46458</v>
      </c>
      <c r="R2380" t="s">
        <v>46459</v>
      </c>
      <c r="S2380" t="s">
        <v>46460</v>
      </c>
      <c r="T2380" t="s">
        <v>46461</v>
      </c>
      <c r="U2380" t="s">
        <v>46462</v>
      </c>
      <c r="V2380" t="s">
        <v>46463</v>
      </c>
      <c r="W2380" t="s">
        <v>46464</v>
      </c>
      <c r="X2380" t="s">
        <v>46465</v>
      </c>
      <c r="Y2380" t="s">
        <v>46466</v>
      </c>
    </row>
    <row r="2381" spans="1:25" x14ac:dyDescent="0.3">
      <c r="A2381">
        <v>119000</v>
      </c>
      <c r="B2381" t="s">
        <v>46467</v>
      </c>
      <c r="C2381" t="s">
        <v>46468</v>
      </c>
      <c r="D2381" t="s">
        <v>46469</v>
      </c>
      <c r="E2381" t="s">
        <v>46470</v>
      </c>
      <c r="F2381" t="s">
        <v>46471</v>
      </c>
      <c r="G2381" t="s">
        <v>46472</v>
      </c>
      <c r="H2381" t="s">
        <v>46473</v>
      </c>
      <c r="I2381" t="s">
        <v>46474</v>
      </c>
      <c r="J2381" t="s">
        <v>46475</v>
      </c>
      <c r="K2381" t="s">
        <v>46476</v>
      </c>
      <c r="L2381" t="s">
        <v>46477</v>
      </c>
      <c r="M2381" t="s">
        <v>46478</v>
      </c>
      <c r="N2381" t="s">
        <v>46479</v>
      </c>
      <c r="O2381">
        <f>-552.955326052596 -66.3877908280749 -747.931755738891</f>
        <v>-1367.2748726195618</v>
      </c>
      <c r="P2381">
        <f>-557.406523549616 -72.6274005888056 -431.502507626952</f>
        <v>-1061.5364317653737</v>
      </c>
      <c r="Q2381" t="s">
        <v>46480</v>
      </c>
      <c r="R2381" t="s">
        <v>46481</v>
      </c>
      <c r="S2381" t="s">
        <v>46482</v>
      </c>
      <c r="T2381" t="s">
        <v>46483</v>
      </c>
      <c r="U2381" t="s">
        <v>46484</v>
      </c>
      <c r="V2381" t="s">
        <v>46485</v>
      </c>
      <c r="W2381" t="s">
        <v>46486</v>
      </c>
      <c r="X2381" t="s">
        <v>46487</v>
      </c>
      <c r="Y2381" t="s">
        <v>46488</v>
      </c>
    </row>
    <row r="2382" spans="1:25" x14ac:dyDescent="0.3">
      <c r="A2382">
        <v>119050</v>
      </c>
      <c r="B2382" t="s">
        <v>46489</v>
      </c>
      <c r="C2382" t="s">
        <v>46490</v>
      </c>
      <c r="D2382" t="s">
        <v>46491</v>
      </c>
      <c r="E2382" t="s">
        <v>46492</v>
      </c>
      <c r="F2382" t="s">
        <v>46493</v>
      </c>
      <c r="G2382" t="s">
        <v>46494</v>
      </c>
      <c r="H2382" t="s">
        <v>46495</v>
      </c>
      <c r="I2382" t="s">
        <v>46496</v>
      </c>
      <c r="J2382" t="s">
        <v>46497</v>
      </c>
      <c r="K2382" t="s">
        <v>46498</v>
      </c>
      <c r="L2382" t="s">
        <v>46499</v>
      </c>
      <c r="M2382" t="s">
        <v>46500</v>
      </c>
      <c r="N2382" t="s">
        <v>46501</v>
      </c>
      <c r="O2382">
        <f>-552.603217682764 -65.9074357542637 -748.102525376938</f>
        <v>-1366.6131788139658</v>
      </c>
      <c r="P2382">
        <f>-557.617955942141 -72.3354299042455 -431.685519042061</f>
        <v>-1061.6389048884475</v>
      </c>
      <c r="Q2382" t="s">
        <v>46502</v>
      </c>
      <c r="R2382" t="s">
        <v>46503</v>
      </c>
      <c r="S2382" t="s">
        <v>46504</v>
      </c>
      <c r="T2382" t="s">
        <v>46505</v>
      </c>
      <c r="U2382" t="s">
        <v>46506</v>
      </c>
      <c r="V2382" t="s">
        <v>46507</v>
      </c>
      <c r="W2382" t="s">
        <v>46508</v>
      </c>
      <c r="X2382" t="s">
        <v>46509</v>
      </c>
      <c r="Y2382" t="s">
        <v>46510</v>
      </c>
    </row>
    <row r="2383" spans="1:25" x14ac:dyDescent="0.3">
      <c r="A2383">
        <v>119100</v>
      </c>
      <c r="B2383" t="s">
        <v>46511</v>
      </c>
      <c r="C2383" t="s">
        <v>46512</v>
      </c>
      <c r="D2383" t="s">
        <v>46513</v>
      </c>
      <c r="E2383" t="s">
        <v>46514</v>
      </c>
      <c r="F2383" t="s">
        <v>46515</v>
      </c>
      <c r="G2383" t="s">
        <v>46516</v>
      </c>
      <c r="H2383" t="s">
        <v>46517</v>
      </c>
      <c r="I2383" t="s">
        <v>46518</v>
      </c>
      <c r="J2383" t="s">
        <v>46519</v>
      </c>
      <c r="K2383" t="s">
        <v>46520</v>
      </c>
      <c r="L2383" t="s">
        <v>46521</v>
      </c>
      <c r="M2383" t="s">
        <v>46522</v>
      </c>
      <c r="N2383" t="s">
        <v>46523</v>
      </c>
      <c r="O2383">
        <f>-552.582843841917 -65.6810896585351 -748.177184345968</f>
        <v>-1366.4411178464202</v>
      </c>
      <c r="P2383">
        <f>-557.854531180944 -71.9692567544166 -431.761455205177</f>
        <v>-1061.5852431405376</v>
      </c>
      <c r="Q2383" t="s">
        <v>46524</v>
      </c>
      <c r="R2383" t="s">
        <v>46525</v>
      </c>
      <c r="S2383" t="s">
        <v>46526</v>
      </c>
      <c r="T2383" t="s">
        <v>46527</v>
      </c>
      <c r="U2383" t="s">
        <v>46528</v>
      </c>
      <c r="V2383" t="s">
        <v>46529</v>
      </c>
      <c r="W2383" t="s">
        <v>46530</v>
      </c>
      <c r="X2383" t="s">
        <v>46531</v>
      </c>
      <c r="Y2383" t="s">
        <v>46532</v>
      </c>
    </row>
    <row r="2384" spans="1:25" x14ac:dyDescent="0.3">
      <c r="A2384">
        <v>119150</v>
      </c>
      <c r="B2384" t="s">
        <v>46533</v>
      </c>
      <c r="C2384" t="s">
        <v>46534</v>
      </c>
      <c r="D2384" t="s">
        <v>46535</v>
      </c>
      <c r="E2384" t="s">
        <v>46536</v>
      </c>
      <c r="F2384" t="s">
        <v>46537</v>
      </c>
      <c r="G2384" t="s">
        <v>46538</v>
      </c>
      <c r="H2384" t="s">
        <v>46539</v>
      </c>
      <c r="I2384" t="s">
        <v>46540</v>
      </c>
      <c r="J2384" t="s">
        <v>46541</v>
      </c>
      <c r="K2384" t="s">
        <v>46542</v>
      </c>
      <c r="L2384" t="s">
        <v>46543</v>
      </c>
      <c r="M2384" t="s">
        <v>46544</v>
      </c>
      <c r="N2384" t="s">
        <v>46545</v>
      </c>
      <c r="O2384">
        <f>-552.481087249526 -65.2301289266481 -748.212519716835</f>
        <v>-1365.9237358930091</v>
      </c>
      <c r="P2384">
        <f>-557.946574527561 -71.4986349632998 -431.799662282605</f>
        <v>-1061.2448717734658</v>
      </c>
      <c r="Q2384" t="s">
        <v>46546</v>
      </c>
      <c r="R2384" t="s">
        <v>46547</v>
      </c>
      <c r="S2384" t="s">
        <v>46548</v>
      </c>
      <c r="T2384" t="s">
        <v>46549</v>
      </c>
      <c r="U2384" t="s">
        <v>46550</v>
      </c>
      <c r="V2384" t="s">
        <v>46551</v>
      </c>
      <c r="W2384" t="s">
        <v>46552</v>
      </c>
      <c r="X2384" t="s">
        <v>46553</v>
      </c>
      <c r="Y2384" t="s">
        <v>46554</v>
      </c>
    </row>
    <row r="2385" spans="1:25" x14ac:dyDescent="0.3">
      <c r="A2385">
        <v>119200</v>
      </c>
      <c r="B2385" t="s">
        <v>46555</v>
      </c>
      <c r="C2385" t="s">
        <v>46556</v>
      </c>
      <c r="D2385" t="s">
        <v>46557</v>
      </c>
      <c r="E2385" t="s">
        <v>46558</v>
      </c>
      <c r="F2385" t="s">
        <v>46559</v>
      </c>
      <c r="G2385" t="s">
        <v>46560</v>
      </c>
      <c r="H2385" t="s">
        <v>46561</v>
      </c>
      <c r="I2385" t="s">
        <v>46562</v>
      </c>
      <c r="J2385" t="s">
        <v>46563</v>
      </c>
      <c r="K2385" t="s">
        <v>46564</v>
      </c>
      <c r="L2385" t="s">
        <v>46565</v>
      </c>
      <c r="M2385" t="s">
        <v>46566</v>
      </c>
      <c r="N2385" t="s">
        <v>46567</v>
      </c>
      <c r="O2385">
        <f>-552.0194075872 -65.2705434717619 -748.166941304281</f>
        <v>-1365.4568923632428</v>
      </c>
      <c r="P2385">
        <f>-557.721839155056 -71.2932292937294 -431.753638180435</f>
        <v>-1060.7687066292206</v>
      </c>
      <c r="Q2385" t="s">
        <v>46568</v>
      </c>
      <c r="R2385" t="s">
        <v>46569</v>
      </c>
      <c r="S2385" t="s">
        <v>46570</v>
      </c>
      <c r="T2385" t="s">
        <v>46571</v>
      </c>
      <c r="U2385" t="s">
        <v>46572</v>
      </c>
      <c r="V2385" t="s">
        <v>46573</v>
      </c>
      <c r="W2385" t="s">
        <v>46574</v>
      </c>
      <c r="X2385" t="s">
        <v>46575</v>
      </c>
      <c r="Y2385" t="s">
        <v>46576</v>
      </c>
    </row>
    <row r="2386" spans="1:25" x14ac:dyDescent="0.3">
      <c r="A2386">
        <v>119250</v>
      </c>
      <c r="B2386" t="s">
        <v>46577</v>
      </c>
      <c r="C2386" t="s">
        <v>46578</v>
      </c>
      <c r="D2386" t="s">
        <v>46579</v>
      </c>
      <c r="E2386" t="s">
        <v>46580</v>
      </c>
      <c r="F2386" t="s">
        <v>46581</v>
      </c>
      <c r="G2386" t="s">
        <v>46582</v>
      </c>
      <c r="H2386" t="s">
        <v>46583</v>
      </c>
      <c r="I2386" t="s">
        <v>46584</v>
      </c>
      <c r="J2386" t="s">
        <v>46585</v>
      </c>
      <c r="K2386" t="s">
        <v>46586</v>
      </c>
      <c r="L2386" t="s">
        <v>46587</v>
      </c>
      <c r="M2386" t="s">
        <v>46588</v>
      </c>
      <c r="N2386" t="s">
        <v>46589</v>
      </c>
      <c r="O2386">
        <f>-551.65970946584 -65.0888665140175 -747.809948655947</f>
        <v>-1364.5585246358046</v>
      </c>
      <c r="P2386">
        <f>-557.556133312171 -70.5822611059704 -431.390570011776</f>
        <v>-1059.5289644299173</v>
      </c>
      <c r="Q2386" t="s">
        <v>46590</v>
      </c>
      <c r="R2386" t="s">
        <v>46591</v>
      </c>
      <c r="S2386" t="s">
        <v>46592</v>
      </c>
      <c r="T2386" t="s">
        <v>46593</v>
      </c>
      <c r="U2386" t="s">
        <v>46594</v>
      </c>
      <c r="V2386" t="s">
        <v>46595</v>
      </c>
      <c r="W2386" t="s">
        <v>46596</v>
      </c>
      <c r="X2386" t="s">
        <v>46597</v>
      </c>
      <c r="Y2386" t="s">
        <v>46598</v>
      </c>
    </row>
    <row r="2387" spans="1:25" x14ac:dyDescent="0.3">
      <c r="A2387">
        <v>119300</v>
      </c>
      <c r="B2387" t="s">
        <v>46599</v>
      </c>
      <c r="C2387" t="s">
        <v>46600</v>
      </c>
      <c r="D2387" t="s">
        <v>46601</v>
      </c>
      <c r="E2387" t="s">
        <v>46602</v>
      </c>
      <c r="F2387" t="s">
        <v>46603</v>
      </c>
      <c r="G2387" t="s">
        <v>46604</v>
      </c>
      <c r="H2387" t="s">
        <v>46605</v>
      </c>
      <c r="I2387" t="s">
        <v>46606</v>
      </c>
      <c r="J2387" t="s">
        <v>46607</v>
      </c>
      <c r="K2387" t="s">
        <v>46608</v>
      </c>
      <c r="L2387" t="s">
        <v>46609</v>
      </c>
      <c r="M2387" t="s">
        <v>46610</v>
      </c>
      <c r="N2387" t="s">
        <v>46611</v>
      </c>
      <c r="O2387">
        <f>-551.678173567246 -65.323220756474 -747.552744451123</f>
        <v>-1364.5541387748431</v>
      </c>
      <c r="P2387">
        <f>-557.708260264958 -70.5751899633898 -431.131778855245</f>
        <v>-1059.4152290835927</v>
      </c>
      <c r="Q2387" t="s">
        <v>46612</v>
      </c>
      <c r="R2387" t="s">
        <v>46613</v>
      </c>
      <c r="S2387" t="s">
        <v>46614</v>
      </c>
      <c r="T2387" t="s">
        <v>46615</v>
      </c>
      <c r="U2387" t="s">
        <v>46616</v>
      </c>
      <c r="V2387" t="s">
        <v>46617</v>
      </c>
      <c r="W2387" t="s">
        <v>46618</v>
      </c>
      <c r="X2387" t="s">
        <v>46619</v>
      </c>
      <c r="Y2387" t="s">
        <v>46620</v>
      </c>
    </row>
    <row r="2388" spans="1:25" x14ac:dyDescent="0.3">
      <c r="A2388">
        <v>119350</v>
      </c>
      <c r="B2388" t="s">
        <v>46621</v>
      </c>
      <c r="C2388" t="s">
        <v>46622</v>
      </c>
      <c r="D2388" t="s">
        <v>46623</v>
      </c>
      <c r="E2388" t="s">
        <v>46624</v>
      </c>
      <c r="F2388" t="s">
        <v>46625</v>
      </c>
      <c r="G2388" t="s">
        <v>46626</v>
      </c>
      <c r="H2388" t="s">
        <v>46627</v>
      </c>
      <c r="I2388" t="s">
        <v>46628</v>
      </c>
      <c r="J2388" t="s">
        <v>46629</v>
      </c>
      <c r="K2388" t="s">
        <v>46630</v>
      </c>
      <c r="L2388" t="s">
        <v>46631</v>
      </c>
      <c r="M2388" t="s">
        <v>46632</v>
      </c>
      <c r="N2388" t="s">
        <v>46633</v>
      </c>
      <c r="O2388">
        <f>-552.890358886957 -66.318940535073 -746.568988196333</f>
        <v>-1365.7782876183628</v>
      </c>
      <c r="P2388">
        <f>-558.953379062785 -71.0336991119935 -430.140192971957</f>
        <v>-1060.1272711467354</v>
      </c>
      <c r="Q2388" t="s">
        <v>46634</v>
      </c>
      <c r="R2388" t="s">
        <v>46635</v>
      </c>
      <c r="S2388" t="s">
        <v>46636</v>
      </c>
      <c r="T2388" t="s">
        <v>46637</v>
      </c>
      <c r="U2388" t="s">
        <v>46638</v>
      </c>
      <c r="V2388" t="s">
        <v>46639</v>
      </c>
      <c r="W2388" t="s">
        <v>46640</v>
      </c>
      <c r="X2388" t="s">
        <v>46641</v>
      </c>
      <c r="Y2388" t="s">
        <v>46642</v>
      </c>
    </row>
    <row r="2389" spans="1:25" x14ac:dyDescent="0.3">
      <c r="A2389">
        <v>119400</v>
      </c>
      <c r="B2389" t="s">
        <v>46643</v>
      </c>
      <c r="C2389" t="s">
        <v>46644</v>
      </c>
      <c r="D2389" t="s">
        <v>46645</v>
      </c>
      <c r="E2389" t="s">
        <v>46646</v>
      </c>
      <c r="F2389" t="s">
        <v>46647</v>
      </c>
      <c r="G2389" t="s">
        <v>46648</v>
      </c>
      <c r="H2389" t="s">
        <v>46649</v>
      </c>
      <c r="I2389" t="s">
        <v>46650</v>
      </c>
      <c r="J2389" t="s">
        <v>46651</v>
      </c>
      <c r="K2389" t="s">
        <v>46652</v>
      </c>
      <c r="L2389" t="s">
        <v>46653</v>
      </c>
      <c r="M2389" t="s">
        <v>46654</v>
      </c>
      <c r="N2389" t="s">
        <v>46655</v>
      </c>
      <c r="O2389">
        <f>-552.917893712959 -67.0733869646802 -746.057218289046</f>
        <v>-1366.0484989666852</v>
      </c>
      <c r="P2389">
        <f>-559.07119466886 -71.5748962425199 -429.627053243841</f>
        <v>-1060.273144155221</v>
      </c>
      <c r="Q2389" t="s">
        <v>46656</v>
      </c>
      <c r="R2389" t="s">
        <v>46657</v>
      </c>
      <c r="S2389" t="s">
        <v>46658</v>
      </c>
      <c r="T2389" t="s">
        <v>46659</v>
      </c>
      <c r="U2389" t="s">
        <v>46660</v>
      </c>
      <c r="V2389" t="s">
        <v>46661</v>
      </c>
      <c r="W2389" t="s">
        <v>46662</v>
      </c>
      <c r="X2389" t="s">
        <v>46663</v>
      </c>
      <c r="Y2389" t="s">
        <v>46664</v>
      </c>
    </row>
    <row r="2390" spans="1:25" x14ac:dyDescent="0.3">
      <c r="A2390">
        <v>119450</v>
      </c>
      <c r="B2390" t="s">
        <v>46665</v>
      </c>
      <c r="C2390" t="s">
        <v>46666</v>
      </c>
      <c r="D2390" t="s">
        <v>46667</v>
      </c>
      <c r="E2390" t="s">
        <v>46668</v>
      </c>
      <c r="F2390" t="s">
        <v>46669</v>
      </c>
      <c r="G2390" t="s">
        <v>46670</v>
      </c>
      <c r="H2390" t="s">
        <v>46671</v>
      </c>
      <c r="I2390" t="s">
        <v>46672</v>
      </c>
      <c r="J2390" t="s">
        <v>46673</v>
      </c>
      <c r="K2390" t="s">
        <v>46674</v>
      </c>
      <c r="L2390" t="s">
        <v>46675</v>
      </c>
      <c r="M2390" t="s">
        <v>46676</v>
      </c>
      <c r="N2390" t="s">
        <v>46677</v>
      </c>
      <c r="O2390">
        <f>-551.303032548193 -68.2663387874065 -745.573072623425</f>
        <v>-1365.1424439590246</v>
      </c>
      <c r="P2390">
        <f>-558.545083612721 -72.1922315386919 -429.158380534633</f>
        <v>-1059.8956956860459</v>
      </c>
      <c r="Q2390" t="s">
        <v>46678</v>
      </c>
      <c r="R2390" t="s">
        <v>46679</v>
      </c>
      <c r="S2390" t="s">
        <v>46680</v>
      </c>
      <c r="T2390" t="s">
        <v>46681</v>
      </c>
      <c r="U2390" t="s">
        <v>46682</v>
      </c>
      <c r="V2390" t="s">
        <v>46683</v>
      </c>
      <c r="W2390" t="s">
        <v>46684</v>
      </c>
      <c r="X2390" t="s">
        <v>46685</v>
      </c>
      <c r="Y2390" t="s">
        <v>46686</v>
      </c>
    </row>
    <row r="2391" spans="1:25" x14ac:dyDescent="0.3">
      <c r="A2391">
        <v>119500</v>
      </c>
      <c r="B2391" t="s">
        <v>46687</v>
      </c>
      <c r="C2391" t="s">
        <v>46688</v>
      </c>
      <c r="D2391" t="s">
        <v>46689</v>
      </c>
      <c r="E2391" t="s">
        <v>46690</v>
      </c>
      <c r="F2391" t="s">
        <v>46691</v>
      </c>
      <c r="G2391" t="s">
        <v>46692</v>
      </c>
      <c r="H2391" t="s">
        <v>46693</v>
      </c>
      <c r="I2391" t="s">
        <v>46694</v>
      </c>
      <c r="J2391" t="s">
        <v>46695</v>
      </c>
      <c r="K2391" t="s">
        <v>46696</v>
      </c>
      <c r="L2391" t="s">
        <v>46697</v>
      </c>
      <c r="M2391" t="s">
        <v>46698</v>
      </c>
      <c r="N2391" t="s">
        <v>46699</v>
      </c>
      <c r="O2391">
        <f>-550.656174353123 -68.8816925094944 -745.458227788831</f>
        <v>-1364.9960946514484</v>
      </c>
      <c r="P2391">
        <f>-558.717597461518 -72.6991856499953 -429.061902844402</f>
        <v>-1060.4786859559154</v>
      </c>
      <c r="Q2391" t="s">
        <v>46700</v>
      </c>
      <c r="R2391" t="s">
        <v>46701</v>
      </c>
      <c r="S2391" t="s">
        <v>46702</v>
      </c>
      <c r="T2391" t="s">
        <v>46703</v>
      </c>
      <c r="U2391" t="s">
        <v>46704</v>
      </c>
      <c r="V2391" t="s">
        <v>46705</v>
      </c>
      <c r="W2391" t="s">
        <v>46706</v>
      </c>
      <c r="X2391" t="s">
        <v>46707</v>
      </c>
      <c r="Y2391" t="s">
        <v>46708</v>
      </c>
    </row>
    <row r="2392" spans="1:25" x14ac:dyDescent="0.3">
      <c r="A2392">
        <v>119550</v>
      </c>
      <c r="B2392" t="s">
        <v>46709</v>
      </c>
      <c r="C2392" t="s">
        <v>46710</v>
      </c>
      <c r="D2392" t="s">
        <v>46711</v>
      </c>
      <c r="E2392" t="s">
        <v>46712</v>
      </c>
      <c r="F2392" t="s">
        <v>46713</v>
      </c>
      <c r="G2392" t="s">
        <v>46714</v>
      </c>
      <c r="H2392" t="s">
        <v>46715</v>
      </c>
      <c r="I2392" t="s">
        <v>46716</v>
      </c>
      <c r="J2392" t="s">
        <v>46717</v>
      </c>
      <c r="K2392" t="s">
        <v>46718</v>
      </c>
      <c r="L2392" t="s">
        <v>46719</v>
      </c>
      <c r="M2392" t="s">
        <v>46720</v>
      </c>
      <c r="N2392" t="s">
        <v>46721</v>
      </c>
      <c r="O2392">
        <f>-549.263664056561 -69.6355989553593 -745.46661060287</f>
        <v>-1364.3658736147904</v>
      </c>
      <c r="P2392">
        <f>-558.336350338325 -73.167021443522 -429.094348949718</f>
        <v>-1060.597720731565</v>
      </c>
      <c r="Q2392" t="s">
        <v>46722</v>
      </c>
      <c r="R2392" t="s">
        <v>46723</v>
      </c>
      <c r="S2392" t="s">
        <v>46724</v>
      </c>
      <c r="T2392" t="s">
        <v>46725</v>
      </c>
      <c r="U2392" t="s">
        <v>46726</v>
      </c>
      <c r="V2392" t="s">
        <v>46727</v>
      </c>
      <c r="W2392" t="s">
        <v>46728</v>
      </c>
      <c r="X2392" t="s">
        <v>46729</v>
      </c>
      <c r="Y2392" t="s">
        <v>46730</v>
      </c>
    </row>
    <row r="2393" spans="1:25" x14ac:dyDescent="0.3">
      <c r="A2393">
        <v>119600</v>
      </c>
      <c r="B2393" t="s">
        <v>46731</v>
      </c>
      <c r="C2393" t="s">
        <v>46732</v>
      </c>
      <c r="D2393" t="s">
        <v>46733</v>
      </c>
      <c r="E2393" t="s">
        <v>46734</v>
      </c>
      <c r="F2393" t="s">
        <v>46735</v>
      </c>
      <c r="G2393" t="s">
        <v>46736</v>
      </c>
      <c r="H2393" t="s">
        <v>46737</v>
      </c>
      <c r="I2393" t="s">
        <v>46738</v>
      </c>
      <c r="J2393" t="s">
        <v>46739</v>
      </c>
      <c r="K2393" t="s">
        <v>46740</v>
      </c>
      <c r="L2393" t="s">
        <v>46741</v>
      </c>
      <c r="M2393" t="s">
        <v>46742</v>
      </c>
      <c r="N2393" t="s">
        <v>46743</v>
      </c>
      <c r="O2393">
        <f>-548.509536172533 -69.9839429892812 -745.549336049249</f>
        <v>-1364.042815211063</v>
      </c>
      <c r="P2393">
        <f>-557.986777580252 -73.299122491135 -429.186544379518</f>
        <v>-1060.472444450905</v>
      </c>
      <c r="Q2393" t="s">
        <v>46744</v>
      </c>
      <c r="R2393" t="s">
        <v>46745</v>
      </c>
      <c r="S2393" t="s">
        <v>46746</v>
      </c>
      <c r="T2393" t="s">
        <v>46747</v>
      </c>
      <c r="U2393" t="s">
        <v>46748</v>
      </c>
      <c r="V2393" t="s">
        <v>46749</v>
      </c>
      <c r="W2393" t="s">
        <v>46750</v>
      </c>
      <c r="X2393" t="s">
        <v>46751</v>
      </c>
      <c r="Y2393" t="s">
        <v>46752</v>
      </c>
    </row>
    <row r="2394" spans="1:25" x14ac:dyDescent="0.3">
      <c r="A2394">
        <v>119650</v>
      </c>
      <c r="B2394" t="s">
        <v>46753</v>
      </c>
      <c r="C2394" t="s">
        <v>46754</v>
      </c>
      <c r="D2394" t="s">
        <v>46755</v>
      </c>
      <c r="E2394" t="s">
        <v>46756</v>
      </c>
      <c r="F2394" t="s">
        <v>46757</v>
      </c>
      <c r="G2394" t="s">
        <v>46758</v>
      </c>
      <c r="H2394" t="s">
        <v>46759</v>
      </c>
      <c r="I2394" t="s">
        <v>46760</v>
      </c>
      <c r="J2394" t="s">
        <v>46761</v>
      </c>
      <c r="K2394" t="s">
        <v>46762</v>
      </c>
      <c r="L2394" t="s">
        <v>46763</v>
      </c>
      <c r="M2394" t="s">
        <v>46764</v>
      </c>
      <c r="N2394" t="s">
        <v>46765</v>
      </c>
      <c r="O2394">
        <f>-546.271473847475 -71.1625470734987 -745.385805407962</f>
        <v>-1362.8198263289357</v>
      </c>
      <c r="P2394">
        <f>-556.802936355419 -74.1562156125323 -429.05328329414</f>
        <v>-1060.0124352620912</v>
      </c>
      <c r="Q2394" t="s">
        <v>46766</v>
      </c>
      <c r="R2394" t="s">
        <v>46767</v>
      </c>
      <c r="S2394" t="s">
        <v>46768</v>
      </c>
      <c r="T2394" t="s">
        <v>46769</v>
      </c>
      <c r="U2394" t="s">
        <v>46770</v>
      </c>
      <c r="V2394" t="s">
        <v>46771</v>
      </c>
      <c r="W2394" t="s">
        <v>46772</v>
      </c>
      <c r="X2394" t="s">
        <v>46773</v>
      </c>
      <c r="Y2394" t="s">
        <v>46774</v>
      </c>
    </row>
    <row r="2395" spans="1:25" x14ac:dyDescent="0.3">
      <c r="A2395">
        <v>119700</v>
      </c>
      <c r="B2395" t="s">
        <v>46775</v>
      </c>
      <c r="C2395" t="s">
        <v>46776</v>
      </c>
      <c r="D2395" t="s">
        <v>46777</v>
      </c>
      <c r="E2395" t="s">
        <v>46778</v>
      </c>
      <c r="F2395" t="s">
        <v>46779</v>
      </c>
      <c r="G2395" t="s">
        <v>46780</v>
      </c>
      <c r="H2395" t="s">
        <v>46781</v>
      </c>
      <c r="I2395" t="s">
        <v>46782</v>
      </c>
      <c r="J2395" t="s">
        <v>46783</v>
      </c>
      <c r="K2395" t="s">
        <v>46784</v>
      </c>
      <c r="L2395" t="s">
        <v>46785</v>
      </c>
      <c r="M2395" t="s">
        <v>46786</v>
      </c>
      <c r="N2395" t="s">
        <v>46787</v>
      </c>
      <c r="O2395">
        <f>-544.871385136423 -71.9384443908485 -745.28468622881</f>
        <v>-1362.0945157560814</v>
      </c>
      <c r="P2395">
        <f>-555.791811925963 -74.5991104838007 -428.962341251645</f>
        <v>-1059.3532636614086</v>
      </c>
      <c r="Q2395" t="s">
        <v>46788</v>
      </c>
      <c r="R2395" t="s">
        <v>46789</v>
      </c>
      <c r="S2395" t="s">
        <v>46790</v>
      </c>
      <c r="T2395" t="s">
        <v>46791</v>
      </c>
      <c r="U2395" t="s">
        <v>46792</v>
      </c>
      <c r="V2395" t="s">
        <v>46793</v>
      </c>
      <c r="W2395" t="s">
        <v>46794</v>
      </c>
      <c r="X2395" t="s">
        <v>46795</v>
      </c>
      <c r="Y2395" t="s">
        <v>46796</v>
      </c>
    </row>
    <row r="2396" spans="1:25" x14ac:dyDescent="0.3">
      <c r="A2396">
        <v>119750</v>
      </c>
      <c r="B2396" t="s">
        <v>46797</v>
      </c>
      <c r="C2396" t="s">
        <v>46798</v>
      </c>
      <c r="D2396" t="s">
        <v>46799</v>
      </c>
      <c r="E2396" t="s">
        <v>46800</v>
      </c>
      <c r="F2396" t="s">
        <v>46801</v>
      </c>
      <c r="G2396" t="s">
        <v>46802</v>
      </c>
      <c r="H2396" t="s">
        <v>46803</v>
      </c>
      <c r="I2396" t="s">
        <v>46804</v>
      </c>
      <c r="J2396" t="s">
        <v>46805</v>
      </c>
      <c r="K2396" t="s">
        <v>46806</v>
      </c>
      <c r="L2396" t="s">
        <v>46807</v>
      </c>
      <c r="M2396" t="s">
        <v>46808</v>
      </c>
      <c r="N2396" t="s">
        <v>46809</v>
      </c>
      <c r="O2396">
        <f>-542.538644724708 -73.2014406995911 -744.855804385346</f>
        <v>-1360.5958898096451</v>
      </c>
      <c r="P2396">
        <f>-553.753691806337 -75.077393391475 -428.538167070824</f>
        <v>-1057.369252268636</v>
      </c>
      <c r="Q2396" t="s">
        <v>46810</v>
      </c>
      <c r="R2396" t="s">
        <v>46811</v>
      </c>
      <c r="S2396" t="s">
        <v>46812</v>
      </c>
      <c r="T2396" t="s">
        <v>46813</v>
      </c>
      <c r="U2396" t="s">
        <v>46814</v>
      </c>
      <c r="V2396" t="s">
        <v>46815</v>
      </c>
      <c r="W2396" t="s">
        <v>46816</v>
      </c>
      <c r="X2396" t="s">
        <v>46817</v>
      </c>
      <c r="Y2396" t="s">
        <v>46818</v>
      </c>
    </row>
    <row r="2397" spans="1:25" x14ac:dyDescent="0.3">
      <c r="A2397">
        <v>119800</v>
      </c>
      <c r="B2397" t="s">
        <v>46819</v>
      </c>
      <c r="C2397" t="s">
        <v>46820</v>
      </c>
      <c r="D2397" t="s">
        <v>46821</v>
      </c>
      <c r="E2397" t="s">
        <v>46822</v>
      </c>
      <c r="F2397" t="s">
        <v>46823</v>
      </c>
      <c r="G2397" t="s">
        <v>46824</v>
      </c>
      <c r="H2397" t="s">
        <v>46825</v>
      </c>
      <c r="I2397" t="s">
        <v>46826</v>
      </c>
      <c r="J2397" t="s">
        <v>46827</v>
      </c>
      <c r="K2397" t="s">
        <v>46828</v>
      </c>
      <c r="L2397" t="s">
        <v>46829</v>
      </c>
      <c r="M2397" t="s">
        <v>46830</v>
      </c>
      <c r="N2397" t="s">
        <v>46831</v>
      </c>
      <c r="O2397">
        <f>-542.086853976431 -73.3920649691154 -744.711400899545</f>
        <v>-1360.1903198450914</v>
      </c>
      <c r="P2397">
        <f>-553.003228413247 -75.1723170639831 -428.382710884173</f>
        <v>-1056.558256361403</v>
      </c>
      <c r="Q2397" t="s">
        <v>46832</v>
      </c>
      <c r="R2397" t="s">
        <v>46833</v>
      </c>
      <c r="S2397" t="s">
        <v>46834</v>
      </c>
      <c r="T2397" t="s">
        <v>46835</v>
      </c>
      <c r="U2397" t="s">
        <v>46836</v>
      </c>
      <c r="V2397" t="s">
        <v>46837</v>
      </c>
      <c r="W2397" t="s">
        <v>46838</v>
      </c>
      <c r="X2397" t="s">
        <v>46839</v>
      </c>
      <c r="Y2397" t="s">
        <v>46840</v>
      </c>
    </row>
    <row r="2398" spans="1:25" x14ac:dyDescent="0.3">
      <c r="A2398">
        <v>119850</v>
      </c>
      <c r="B2398" t="s">
        <v>46841</v>
      </c>
      <c r="C2398" t="s">
        <v>46842</v>
      </c>
      <c r="D2398" t="s">
        <v>46843</v>
      </c>
      <c r="E2398" t="s">
        <v>46844</v>
      </c>
      <c r="F2398" t="s">
        <v>46845</v>
      </c>
      <c r="G2398" t="s">
        <v>46846</v>
      </c>
      <c r="H2398" t="s">
        <v>46847</v>
      </c>
      <c r="I2398" t="s">
        <v>46848</v>
      </c>
      <c r="J2398" t="s">
        <v>46849</v>
      </c>
      <c r="K2398" t="s">
        <v>46850</v>
      </c>
      <c r="L2398" t="s">
        <v>46851</v>
      </c>
      <c r="M2398" t="s">
        <v>46852</v>
      </c>
      <c r="N2398" t="s">
        <v>46853</v>
      </c>
      <c r="O2398">
        <f>-541.608995855243 -74.1988285707396 -744.413580430831</f>
        <v>-1360.2214048568135</v>
      </c>
      <c r="P2398">
        <f>-551.669128297998 -75.9045374960636 -428.056149722407</f>
        <v>-1055.6298155164686</v>
      </c>
      <c r="Q2398" t="s">
        <v>46854</v>
      </c>
      <c r="R2398" t="s">
        <v>46855</v>
      </c>
      <c r="S2398" t="s">
        <v>46856</v>
      </c>
      <c r="T2398" t="s">
        <v>46857</v>
      </c>
      <c r="U2398" t="s">
        <v>46858</v>
      </c>
      <c r="V2398" t="s">
        <v>46859</v>
      </c>
      <c r="W2398" t="s">
        <v>46860</v>
      </c>
      <c r="X2398" t="s">
        <v>46861</v>
      </c>
      <c r="Y2398" t="s">
        <v>46862</v>
      </c>
    </row>
    <row r="2399" spans="1:25" x14ac:dyDescent="0.3">
      <c r="A2399">
        <v>119900</v>
      </c>
      <c r="B2399" t="s">
        <v>46863</v>
      </c>
      <c r="C2399" t="s">
        <v>46864</v>
      </c>
      <c r="D2399" t="s">
        <v>46865</v>
      </c>
      <c r="E2399" t="s">
        <v>46866</v>
      </c>
      <c r="F2399" t="s">
        <v>46867</v>
      </c>
      <c r="G2399" t="s">
        <v>46868</v>
      </c>
      <c r="H2399" t="s">
        <v>46869</v>
      </c>
      <c r="I2399" t="s">
        <v>46870</v>
      </c>
      <c r="J2399" t="s">
        <v>46871</v>
      </c>
      <c r="K2399" t="s">
        <v>46872</v>
      </c>
      <c r="L2399" t="s">
        <v>46873</v>
      </c>
      <c r="M2399" t="s">
        <v>46874</v>
      </c>
      <c r="N2399" t="s">
        <v>46875</v>
      </c>
      <c r="O2399">
        <f>-541.321226090441 -74.6822508541905 -744.31189022722</f>
        <v>-1360.3153671718514</v>
      </c>
      <c r="P2399">
        <f>-550.757231368956 -76.7552653921955 -427.937244763364</f>
        <v>-1055.4497415245155</v>
      </c>
      <c r="Q2399" t="s">
        <v>46876</v>
      </c>
      <c r="R2399" t="s">
        <v>46877</v>
      </c>
      <c r="S2399" t="s">
        <v>46878</v>
      </c>
      <c r="T2399" t="s">
        <v>46879</v>
      </c>
      <c r="U2399" t="s">
        <v>46880</v>
      </c>
      <c r="V2399" t="s">
        <v>46881</v>
      </c>
      <c r="W2399" t="s">
        <v>46882</v>
      </c>
      <c r="X2399" t="s">
        <v>46883</v>
      </c>
      <c r="Y2399" t="s">
        <v>46884</v>
      </c>
    </row>
    <row r="2400" spans="1:25" x14ac:dyDescent="0.3">
      <c r="A2400">
        <v>119950</v>
      </c>
      <c r="B2400" t="s">
        <v>46885</v>
      </c>
      <c r="C2400" t="s">
        <v>46886</v>
      </c>
      <c r="D2400" t="s">
        <v>46887</v>
      </c>
      <c r="E2400" t="s">
        <v>46888</v>
      </c>
      <c r="F2400" t="s">
        <v>46889</v>
      </c>
      <c r="G2400" t="s">
        <v>46890</v>
      </c>
      <c r="H2400" t="s">
        <v>46891</v>
      </c>
      <c r="I2400" t="s">
        <v>46892</v>
      </c>
      <c r="J2400" t="s">
        <v>46893</v>
      </c>
      <c r="K2400" t="s">
        <v>46894</v>
      </c>
      <c r="L2400" t="s">
        <v>46895</v>
      </c>
      <c r="M2400" t="s">
        <v>46896</v>
      </c>
      <c r="N2400" t="s">
        <v>46897</v>
      </c>
      <c r="O2400">
        <f>-540.768682226215 -75.360768280503 -744.187320604433</f>
        <v>-1360.316771111151</v>
      </c>
      <c r="P2400">
        <f>-548.884414685665 -77.3114135787511 -427.775413968805</f>
        <v>-1053.9712422332211</v>
      </c>
      <c r="Q2400" t="s">
        <v>46898</v>
      </c>
      <c r="R2400" t="s">
        <v>46899</v>
      </c>
      <c r="S2400" t="s">
        <v>46900</v>
      </c>
      <c r="T2400" t="s">
        <v>46901</v>
      </c>
      <c r="U2400" t="s">
        <v>46902</v>
      </c>
      <c r="V2400" t="s">
        <v>46903</v>
      </c>
      <c r="W2400" t="s">
        <v>46904</v>
      </c>
      <c r="X2400" t="s">
        <v>46905</v>
      </c>
      <c r="Y2400" t="s">
        <v>46906</v>
      </c>
    </row>
    <row r="2401" spans="1:25" x14ac:dyDescent="0.3">
      <c r="A2401">
        <v>120000</v>
      </c>
      <c r="B2401" t="s">
        <v>46907</v>
      </c>
      <c r="C2401" t="s">
        <v>46908</v>
      </c>
      <c r="D2401" t="s">
        <v>46909</v>
      </c>
      <c r="E2401" t="s">
        <v>46910</v>
      </c>
      <c r="F2401" t="s">
        <v>46911</v>
      </c>
      <c r="G2401" t="s">
        <v>46912</v>
      </c>
      <c r="H2401" t="s">
        <v>46913</v>
      </c>
      <c r="I2401" t="s">
        <v>46914</v>
      </c>
      <c r="J2401" t="s">
        <v>46915</v>
      </c>
      <c r="K2401" t="s">
        <v>46916</v>
      </c>
      <c r="L2401" t="s">
        <v>46917</v>
      </c>
      <c r="M2401" t="s">
        <v>46918</v>
      </c>
      <c r="N2401" t="s">
        <v>46919</v>
      </c>
      <c r="O2401">
        <f>-540.032691334588 -76.0813812239043 -744.042353206472</f>
        <v>-1360.1564257649643</v>
      </c>
      <c r="P2401">
        <f>-547.983877855392 -77.7909120724999 -427.624854805974</f>
        <v>-1053.3996447338659</v>
      </c>
      <c r="Q2401" t="s">
        <v>46920</v>
      </c>
      <c r="R2401" t="s">
        <v>46921</v>
      </c>
      <c r="S2401" t="s">
        <v>46922</v>
      </c>
      <c r="T2401" t="s">
        <v>46923</v>
      </c>
      <c r="U2401" t="s">
        <v>46924</v>
      </c>
      <c r="V2401" t="s">
        <v>46925</v>
      </c>
      <c r="W2401" t="s">
        <v>46926</v>
      </c>
      <c r="X2401" t="s">
        <v>46927</v>
      </c>
      <c r="Y2401" t="s">
        <v>46928</v>
      </c>
    </row>
    <row r="2402" spans="1:25" x14ac:dyDescent="0.3">
      <c r="A2402">
        <v>120050</v>
      </c>
      <c r="B2402" t="s">
        <v>46929</v>
      </c>
      <c r="C2402" t="s">
        <v>46930</v>
      </c>
      <c r="D2402" t="s">
        <v>46931</v>
      </c>
      <c r="E2402" t="s">
        <v>46932</v>
      </c>
      <c r="F2402" t="s">
        <v>46933</v>
      </c>
      <c r="G2402" t="s">
        <v>46934</v>
      </c>
      <c r="H2402" t="s">
        <v>46935</v>
      </c>
      <c r="I2402" t="s">
        <v>46936</v>
      </c>
      <c r="J2402" t="s">
        <v>46937</v>
      </c>
      <c r="K2402" t="s">
        <v>46938</v>
      </c>
      <c r="L2402" t="s">
        <v>46939</v>
      </c>
      <c r="M2402" t="s">
        <v>46940</v>
      </c>
      <c r="N2402" t="s">
        <v>46941</v>
      </c>
      <c r="O2402">
        <f>-538.581071194378 -77.0775181761536 -743.604958832032</f>
        <v>-1359.2635482025635</v>
      </c>
      <c r="P2402">
        <f>-545.744864573539 -78.9038940627468 -427.169235867468</f>
        <v>-1051.8179945037537</v>
      </c>
      <c r="Q2402" t="s">
        <v>46942</v>
      </c>
      <c r="R2402" t="s">
        <v>46943</v>
      </c>
      <c r="S2402" t="s">
        <v>46944</v>
      </c>
      <c r="T2402" t="s">
        <v>46945</v>
      </c>
      <c r="U2402" t="s">
        <v>46946</v>
      </c>
      <c r="V2402" t="s">
        <v>46947</v>
      </c>
      <c r="W2402" t="s">
        <v>46948</v>
      </c>
      <c r="X2402" t="s">
        <v>46949</v>
      </c>
      <c r="Y2402" t="s">
        <v>46950</v>
      </c>
    </row>
    <row r="2403" spans="1:25" x14ac:dyDescent="0.3">
      <c r="A2403">
        <v>120100</v>
      </c>
      <c r="B2403" t="s">
        <v>46951</v>
      </c>
      <c r="C2403" t="s">
        <v>46952</v>
      </c>
      <c r="D2403" t="s">
        <v>46953</v>
      </c>
      <c r="E2403" t="s">
        <v>46954</v>
      </c>
      <c r="F2403" t="s">
        <v>46955</v>
      </c>
      <c r="G2403" t="s">
        <v>46956</v>
      </c>
      <c r="H2403" t="s">
        <v>46957</v>
      </c>
      <c r="I2403" t="s">
        <v>46958</v>
      </c>
      <c r="J2403" t="s">
        <v>46959</v>
      </c>
      <c r="K2403" t="s">
        <v>46960</v>
      </c>
      <c r="L2403" t="s">
        <v>46961</v>
      </c>
      <c r="M2403" t="s">
        <v>46962</v>
      </c>
      <c r="N2403" t="s">
        <v>46963</v>
      </c>
      <c r="O2403">
        <f>-537.885530344003 -77.3985347231881 -743.41616168408</f>
        <v>-1358.700226751271</v>
      </c>
      <c r="P2403">
        <f>-544.870755681533 -79.2043457916604 -426.97642842005</f>
        <v>-1051.0515298932435</v>
      </c>
      <c r="Q2403" t="s">
        <v>46964</v>
      </c>
      <c r="R2403" t="s">
        <v>46965</v>
      </c>
      <c r="S2403" t="s">
        <v>46966</v>
      </c>
      <c r="T2403" t="s">
        <v>46967</v>
      </c>
      <c r="U2403" t="s">
        <v>46968</v>
      </c>
      <c r="V2403" t="s">
        <v>46969</v>
      </c>
      <c r="W2403" t="s">
        <v>46970</v>
      </c>
      <c r="X2403" t="s">
        <v>46971</v>
      </c>
      <c r="Y2403" t="s">
        <v>46972</v>
      </c>
    </row>
    <row r="2404" spans="1:25" x14ac:dyDescent="0.3">
      <c r="A2404">
        <v>120150</v>
      </c>
      <c r="B2404" t="s">
        <v>46973</v>
      </c>
      <c r="C2404" t="s">
        <v>46974</v>
      </c>
      <c r="D2404" t="s">
        <v>46975</v>
      </c>
      <c r="E2404" t="s">
        <v>46976</v>
      </c>
      <c r="F2404" t="s">
        <v>46977</v>
      </c>
      <c r="G2404" t="s">
        <v>46978</v>
      </c>
      <c r="H2404" t="s">
        <v>46979</v>
      </c>
      <c r="I2404" t="s">
        <v>46980</v>
      </c>
      <c r="J2404" t="s">
        <v>46981</v>
      </c>
      <c r="K2404" t="s">
        <v>46982</v>
      </c>
      <c r="L2404" t="s">
        <v>46983</v>
      </c>
      <c r="M2404" t="s">
        <v>46984</v>
      </c>
      <c r="N2404" t="s">
        <v>46985</v>
      </c>
      <c r="O2404">
        <f>-537.178754927015 -77.685001316035 -743.298976887879</f>
        <v>-1358.1627331309292</v>
      </c>
      <c r="P2404">
        <f>-543.526803639855 -79.7792970703449 -426.84746357059</f>
        <v>-1050.1535642807899</v>
      </c>
      <c r="Q2404" t="s">
        <v>46986</v>
      </c>
      <c r="R2404" t="s">
        <v>46987</v>
      </c>
      <c r="S2404" t="s">
        <v>46988</v>
      </c>
      <c r="T2404" t="s">
        <v>46989</v>
      </c>
      <c r="U2404" t="s">
        <v>46990</v>
      </c>
      <c r="V2404" t="s">
        <v>46991</v>
      </c>
      <c r="W2404" t="s">
        <v>46992</v>
      </c>
      <c r="X2404" t="s">
        <v>46993</v>
      </c>
      <c r="Y2404" t="s">
        <v>46994</v>
      </c>
    </row>
    <row r="2405" spans="1:25" x14ac:dyDescent="0.3">
      <c r="A2405">
        <v>120200</v>
      </c>
      <c r="B2405" t="s">
        <v>46995</v>
      </c>
      <c r="C2405" t="s">
        <v>46996</v>
      </c>
      <c r="D2405" t="s">
        <v>46997</v>
      </c>
      <c r="E2405" t="s">
        <v>46998</v>
      </c>
      <c r="F2405" t="s">
        <v>46999</v>
      </c>
      <c r="G2405" t="s">
        <v>47000</v>
      </c>
      <c r="H2405" t="s">
        <v>47001</v>
      </c>
      <c r="I2405" t="s">
        <v>47002</v>
      </c>
      <c r="J2405" t="s">
        <v>47003</v>
      </c>
      <c r="K2405" t="s">
        <v>47004</v>
      </c>
      <c r="L2405" t="s">
        <v>47005</v>
      </c>
      <c r="M2405" t="s">
        <v>47006</v>
      </c>
      <c r="N2405" t="s">
        <v>47007</v>
      </c>
      <c r="O2405">
        <f>-536.783865568996 -77.7194593183579 -743.278212105033</f>
        <v>-1357.7815369923869</v>
      </c>
      <c r="P2405">
        <f>-542.931068332882 -79.8337603434603 -426.822965252839</f>
        <v>-1049.5877939291813</v>
      </c>
      <c r="Q2405" t="s">
        <v>47008</v>
      </c>
      <c r="R2405" t="s">
        <v>47009</v>
      </c>
      <c r="S2405" t="s">
        <v>47010</v>
      </c>
      <c r="T2405" t="s">
        <v>47011</v>
      </c>
      <c r="U2405" t="s">
        <v>47012</v>
      </c>
      <c r="V2405" t="s">
        <v>47013</v>
      </c>
      <c r="W2405" t="s">
        <v>47014</v>
      </c>
      <c r="X2405" t="s">
        <v>47015</v>
      </c>
      <c r="Y2405" t="s">
        <v>47016</v>
      </c>
    </row>
    <row r="2406" spans="1:25" x14ac:dyDescent="0.3">
      <c r="A2406">
        <v>120250</v>
      </c>
      <c r="B2406" t="s">
        <v>47017</v>
      </c>
      <c r="C2406" t="s">
        <v>47018</v>
      </c>
      <c r="D2406" t="s">
        <v>47019</v>
      </c>
      <c r="E2406" t="s">
        <v>47020</v>
      </c>
      <c r="F2406" t="s">
        <v>47021</v>
      </c>
      <c r="G2406" t="s">
        <v>47022</v>
      </c>
      <c r="H2406" t="s">
        <v>47023</v>
      </c>
      <c r="I2406" t="s">
        <v>47024</v>
      </c>
      <c r="J2406" t="s">
        <v>47025</v>
      </c>
      <c r="K2406" t="s">
        <v>47026</v>
      </c>
      <c r="L2406" t="s">
        <v>47027</v>
      </c>
      <c r="M2406" t="s">
        <v>47028</v>
      </c>
      <c r="N2406" t="s">
        <v>47029</v>
      </c>
      <c r="O2406">
        <f>-536.337079938525 -77.6050302922025 -743.477934207118</f>
        <v>-1357.4200444378455</v>
      </c>
      <c r="P2406">
        <f>-542.102621510081 -79.664732476407 -427.015119450131</f>
        <v>-1048.7824734366191</v>
      </c>
      <c r="Q2406" t="s">
        <v>47030</v>
      </c>
      <c r="R2406" t="s">
        <v>47031</v>
      </c>
      <c r="S2406" t="s">
        <v>47032</v>
      </c>
      <c r="T2406" t="s">
        <v>47033</v>
      </c>
      <c r="U2406" t="s">
        <v>47034</v>
      </c>
      <c r="V2406" t="s">
        <v>47035</v>
      </c>
      <c r="W2406" t="s">
        <v>47036</v>
      </c>
      <c r="X2406" t="s">
        <v>47037</v>
      </c>
      <c r="Y2406" t="s">
        <v>47038</v>
      </c>
    </row>
    <row r="2407" spans="1:25" x14ac:dyDescent="0.3">
      <c r="A2407">
        <v>120300</v>
      </c>
      <c r="B2407" t="s">
        <v>47039</v>
      </c>
      <c r="C2407" t="s">
        <v>47040</v>
      </c>
      <c r="D2407" t="s">
        <v>47041</v>
      </c>
      <c r="E2407" t="s">
        <v>47042</v>
      </c>
      <c r="F2407" t="s">
        <v>47043</v>
      </c>
      <c r="G2407" t="s">
        <v>47044</v>
      </c>
      <c r="H2407" t="s">
        <v>47045</v>
      </c>
      <c r="I2407" t="s">
        <v>47046</v>
      </c>
      <c r="J2407" t="s">
        <v>47047</v>
      </c>
      <c r="K2407" t="s">
        <v>47048</v>
      </c>
      <c r="L2407" t="s">
        <v>47049</v>
      </c>
      <c r="M2407" t="s">
        <v>47050</v>
      </c>
      <c r="N2407" t="s">
        <v>47051</v>
      </c>
      <c r="O2407">
        <f>-536.155145630914 -77.7311579128499 -743.635282830692</f>
        <v>-1357.5215863744559</v>
      </c>
      <c r="P2407">
        <f>-542.105864227299 -79.8880121136959 -427.176577037308</f>
        <v>-1049.1704533783029</v>
      </c>
      <c r="Q2407" t="s">
        <v>47052</v>
      </c>
      <c r="R2407" t="s">
        <v>47053</v>
      </c>
      <c r="S2407" t="s">
        <v>47054</v>
      </c>
      <c r="T2407" t="s">
        <v>47055</v>
      </c>
      <c r="U2407" t="s">
        <v>47056</v>
      </c>
      <c r="V2407" t="s">
        <v>47057</v>
      </c>
      <c r="W2407" t="s">
        <v>47058</v>
      </c>
      <c r="X2407" t="s">
        <v>47059</v>
      </c>
      <c r="Y2407" t="s">
        <v>47060</v>
      </c>
    </row>
    <row r="2408" spans="1:25" x14ac:dyDescent="0.3">
      <c r="A2408">
        <v>120350</v>
      </c>
      <c r="B2408" t="s">
        <v>47061</v>
      </c>
      <c r="C2408" t="s">
        <v>47062</v>
      </c>
      <c r="D2408" t="s">
        <v>47063</v>
      </c>
      <c r="E2408" t="s">
        <v>47064</v>
      </c>
      <c r="F2408" t="s">
        <v>47065</v>
      </c>
      <c r="G2408" t="s">
        <v>47066</v>
      </c>
      <c r="H2408" t="s">
        <v>47067</v>
      </c>
      <c r="I2408" t="s">
        <v>47068</v>
      </c>
      <c r="J2408" t="s">
        <v>47069</v>
      </c>
      <c r="K2408" t="s">
        <v>47070</v>
      </c>
      <c r="L2408" t="s">
        <v>47071</v>
      </c>
      <c r="M2408" t="s">
        <v>47072</v>
      </c>
      <c r="N2408" t="s">
        <v>47073</v>
      </c>
      <c r="O2408">
        <f>-536.25038861344 -77.2530642932211 -743.913524304884</f>
        <v>-1357.4169772115451</v>
      </c>
      <c r="P2408">
        <f>-542.381797168597 -79.6300909159177 -427.459868680756</f>
        <v>-1049.4717567652706</v>
      </c>
      <c r="Q2408" t="s">
        <v>47074</v>
      </c>
      <c r="R2408" t="s">
        <v>47075</v>
      </c>
      <c r="S2408" t="s">
        <v>47076</v>
      </c>
      <c r="T2408" t="s">
        <v>47077</v>
      </c>
      <c r="U2408" t="s">
        <v>47078</v>
      </c>
      <c r="V2408" t="s">
        <v>47079</v>
      </c>
      <c r="W2408" t="s">
        <v>47080</v>
      </c>
      <c r="X2408" t="s">
        <v>47081</v>
      </c>
      <c r="Y2408" t="s">
        <v>47082</v>
      </c>
    </row>
    <row r="2409" spans="1:25" x14ac:dyDescent="0.3">
      <c r="A2409">
        <v>120400</v>
      </c>
      <c r="B2409" t="s">
        <v>47083</v>
      </c>
      <c r="C2409" t="s">
        <v>47084</v>
      </c>
      <c r="D2409" t="s">
        <v>47085</v>
      </c>
      <c r="E2409" t="s">
        <v>47086</v>
      </c>
      <c r="F2409" t="s">
        <v>47087</v>
      </c>
      <c r="G2409" t="s">
        <v>47088</v>
      </c>
      <c r="H2409" t="s">
        <v>47089</v>
      </c>
      <c r="I2409" t="s">
        <v>47090</v>
      </c>
      <c r="J2409" t="s">
        <v>47091</v>
      </c>
      <c r="K2409" t="s">
        <v>47092</v>
      </c>
      <c r="L2409" t="s">
        <v>47093</v>
      </c>
      <c r="M2409" t="s">
        <v>47094</v>
      </c>
      <c r="N2409" t="s">
        <v>47095</v>
      </c>
      <c r="O2409">
        <f>-536.280002792459 -77.2082092810316 -744.15782465859</f>
        <v>-1357.6460367320806</v>
      </c>
      <c r="P2409">
        <f>-542.609727622512 -79.5422336298898 -427.707819283072</f>
        <v>-1049.8597805354739</v>
      </c>
      <c r="Q2409" t="s">
        <v>47096</v>
      </c>
      <c r="R2409" t="s">
        <v>47097</v>
      </c>
      <c r="S2409" t="s">
        <v>47098</v>
      </c>
      <c r="T2409" t="s">
        <v>47099</v>
      </c>
      <c r="U2409" t="s">
        <v>47100</v>
      </c>
      <c r="V2409" t="s">
        <v>47101</v>
      </c>
      <c r="W2409" t="s">
        <v>47102</v>
      </c>
      <c r="X2409" t="s">
        <v>47103</v>
      </c>
      <c r="Y2409" t="s">
        <v>47104</v>
      </c>
    </row>
    <row r="2410" spans="1:25" x14ac:dyDescent="0.3">
      <c r="A2410">
        <v>120450</v>
      </c>
      <c r="B2410" t="s">
        <v>47105</v>
      </c>
      <c r="C2410" t="s">
        <v>47106</v>
      </c>
      <c r="D2410" t="s">
        <v>47107</v>
      </c>
      <c r="E2410" t="s">
        <v>47108</v>
      </c>
      <c r="F2410" t="s">
        <v>47109</v>
      </c>
      <c r="G2410" t="s">
        <v>47110</v>
      </c>
      <c r="H2410" t="s">
        <v>47111</v>
      </c>
      <c r="I2410" t="s">
        <v>47112</v>
      </c>
      <c r="J2410" t="s">
        <v>47113</v>
      </c>
      <c r="K2410" t="s">
        <v>47114</v>
      </c>
      <c r="L2410" t="s">
        <v>47115</v>
      </c>
      <c r="M2410" t="s">
        <v>47116</v>
      </c>
      <c r="N2410" t="s">
        <v>47117</v>
      </c>
      <c r="O2410">
        <f>-536.945336279744 -77.5825417623188 -744.697123618565</f>
        <v>-1359.2250016606276</v>
      </c>
      <c r="P2410">
        <f>-543.779194352399 -79.9986219354055 -428.258044704137</f>
        <v>-1052.0358609919415</v>
      </c>
      <c r="Q2410" t="s">
        <v>47118</v>
      </c>
      <c r="R2410" t="s">
        <v>47119</v>
      </c>
      <c r="S2410" t="s">
        <v>47120</v>
      </c>
      <c r="T2410" t="s">
        <v>47121</v>
      </c>
      <c r="U2410" t="s">
        <v>47122</v>
      </c>
      <c r="V2410" t="s">
        <v>47123</v>
      </c>
      <c r="W2410" t="s">
        <v>47124</v>
      </c>
      <c r="X2410" t="s">
        <v>47125</v>
      </c>
      <c r="Y2410" t="s">
        <v>47126</v>
      </c>
    </row>
    <row r="2411" spans="1:25" x14ac:dyDescent="0.3">
      <c r="A2411">
        <v>120500</v>
      </c>
      <c r="B2411" t="s">
        <v>47127</v>
      </c>
      <c r="C2411" t="s">
        <v>47128</v>
      </c>
      <c r="D2411" t="s">
        <v>47129</v>
      </c>
      <c r="E2411" t="s">
        <v>47130</v>
      </c>
      <c r="F2411" t="s">
        <v>47131</v>
      </c>
      <c r="G2411" t="s">
        <v>47132</v>
      </c>
      <c r="H2411" t="s">
        <v>47133</v>
      </c>
      <c r="I2411" t="s">
        <v>47134</v>
      </c>
      <c r="J2411" t="s">
        <v>47135</v>
      </c>
      <c r="K2411" t="s">
        <v>47136</v>
      </c>
      <c r="L2411" t="s">
        <v>47137</v>
      </c>
      <c r="M2411" t="s">
        <v>47138</v>
      </c>
      <c r="N2411" t="s">
        <v>47139</v>
      </c>
      <c r="O2411">
        <f>-537.368486334418 -77.5902024963485 -744.899022248605</f>
        <v>-1359.8577110793715</v>
      </c>
      <c r="P2411">
        <f>-544.381687017275 -79.8793168829623 -428.463129594097</f>
        <v>-1052.7241334943342</v>
      </c>
      <c r="Q2411" t="s">
        <v>47140</v>
      </c>
      <c r="R2411" t="s">
        <v>47141</v>
      </c>
      <c r="S2411" t="s">
        <v>47142</v>
      </c>
      <c r="T2411" t="s">
        <v>47143</v>
      </c>
      <c r="U2411" t="s">
        <v>47144</v>
      </c>
      <c r="V2411" t="s">
        <v>47145</v>
      </c>
      <c r="W2411" t="s">
        <v>47146</v>
      </c>
      <c r="X2411" t="s">
        <v>47147</v>
      </c>
      <c r="Y2411" t="s">
        <v>47148</v>
      </c>
    </row>
    <row r="2412" spans="1:25" x14ac:dyDescent="0.3">
      <c r="A2412">
        <v>120550</v>
      </c>
      <c r="B2412" t="s">
        <v>47149</v>
      </c>
      <c r="C2412" t="s">
        <v>47150</v>
      </c>
      <c r="D2412" t="s">
        <v>47151</v>
      </c>
      <c r="E2412" t="s">
        <v>47152</v>
      </c>
      <c r="F2412" t="s">
        <v>47153</v>
      </c>
      <c r="G2412" t="s">
        <v>47154</v>
      </c>
      <c r="H2412" t="s">
        <v>47155</v>
      </c>
      <c r="I2412" t="s">
        <v>47156</v>
      </c>
      <c r="J2412" t="s">
        <v>47157</v>
      </c>
      <c r="K2412" t="s">
        <v>47158</v>
      </c>
      <c r="L2412" t="s">
        <v>47159</v>
      </c>
      <c r="M2412" t="s">
        <v>47160</v>
      </c>
      <c r="N2412" t="s">
        <v>47161</v>
      </c>
      <c r="O2412">
        <f>-538.321072201874 -77.5889171947472 -745.068588638366</f>
        <v>-1360.9785780349871</v>
      </c>
      <c r="P2412">
        <f>-545.560590793749 -79.7148758968916 -428.636468278406</f>
        <v>-1053.9119349690468</v>
      </c>
      <c r="Q2412" t="s">
        <v>47162</v>
      </c>
      <c r="R2412" t="s">
        <v>47163</v>
      </c>
      <c r="S2412" t="s">
        <v>47164</v>
      </c>
      <c r="T2412" t="s">
        <v>47165</v>
      </c>
      <c r="U2412" t="s">
        <v>47166</v>
      </c>
      <c r="V2412" t="s">
        <v>47167</v>
      </c>
      <c r="W2412" t="s">
        <v>47168</v>
      </c>
      <c r="X2412" t="s">
        <v>47169</v>
      </c>
      <c r="Y2412" t="s">
        <v>47170</v>
      </c>
    </row>
    <row r="2413" spans="1:25" x14ac:dyDescent="0.3">
      <c r="A2413">
        <v>120600</v>
      </c>
      <c r="B2413" t="s">
        <v>47171</v>
      </c>
      <c r="C2413" t="s">
        <v>47172</v>
      </c>
      <c r="D2413" t="s">
        <v>47173</v>
      </c>
      <c r="E2413" t="s">
        <v>47174</v>
      </c>
      <c r="F2413" t="s">
        <v>47175</v>
      </c>
      <c r="G2413" t="s">
        <v>47176</v>
      </c>
      <c r="H2413" t="s">
        <v>47177</v>
      </c>
      <c r="I2413" t="s">
        <v>47178</v>
      </c>
      <c r="J2413" t="s">
        <v>47179</v>
      </c>
      <c r="K2413" t="s">
        <v>47180</v>
      </c>
      <c r="L2413" t="s">
        <v>47181</v>
      </c>
      <c r="M2413" t="s">
        <v>47182</v>
      </c>
      <c r="N2413" t="s">
        <v>47183</v>
      </c>
      <c r="O2413">
        <f>-538.977167597661 -77.378462544097 -745.146712911217</f>
        <v>-1361.502343052975</v>
      </c>
      <c r="P2413">
        <f>-546.246650193871 -79.5114528148908 -428.715328777123</f>
        <v>-1054.4734317858847</v>
      </c>
      <c r="Q2413" t="s">
        <v>47184</v>
      </c>
      <c r="R2413" t="s">
        <v>47185</v>
      </c>
      <c r="S2413" t="s">
        <v>47186</v>
      </c>
      <c r="T2413" t="s">
        <v>47187</v>
      </c>
      <c r="U2413" t="s">
        <v>47188</v>
      </c>
      <c r="V2413" t="s">
        <v>47189</v>
      </c>
      <c r="W2413" t="s">
        <v>47190</v>
      </c>
      <c r="X2413" t="s">
        <v>47191</v>
      </c>
      <c r="Y2413" t="s">
        <v>47192</v>
      </c>
    </row>
    <row r="2414" spans="1:25" x14ac:dyDescent="0.3">
      <c r="A2414">
        <v>120650</v>
      </c>
      <c r="B2414" t="s">
        <v>47193</v>
      </c>
      <c r="C2414" t="s">
        <v>47194</v>
      </c>
      <c r="D2414" t="s">
        <v>47195</v>
      </c>
      <c r="E2414" t="s">
        <v>47196</v>
      </c>
      <c r="F2414" t="s">
        <v>47197</v>
      </c>
      <c r="G2414" t="s">
        <v>47198</v>
      </c>
      <c r="H2414" t="s">
        <v>47199</v>
      </c>
      <c r="I2414" t="s">
        <v>47200</v>
      </c>
      <c r="J2414" t="s">
        <v>47201</v>
      </c>
      <c r="K2414" t="s">
        <v>47202</v>
      </c>
      <c r="L2414" t="s">
        <v>47203</v>
      </c>
      <c r="M2414" t="s">
        <v>47204</v>
      </c>
      <c r="N2414" t="s">
        <v>47205</v>
      </c>
      <c r="O2414">
        <f>-540.095724228454 -76.9700111627021 -745.239657947344</f>
        <v>-1362.3053933384999</v>
      </c>
      <c r="P2414">
        <f>-547.31793578396 -79.1276603292178 -428.807246522824</f>
        <v>-1055.2528426360018</v>
      </c>
      <c r="Q2414" t="s">
        <v>47206</v>
      </c>
      <c r="R2414" t="s">
        <v>47207</v>
      </c>
      <c r="S2414" t="s">
        <v>47208</v>
      </c>
      <c r="T2414" t="s">
        <v>47209</v>
      </c>
      <c r="U2414" t="s">
        <v>47210</v>
      </c>
      <c r="V2414" t="s">
        <v>47211</v>
      </c>
      <c r="W2414" t="s">
        <v>47212</v>
      </c>
      <c r="X2414" t="s">
        <v>47213</v>
      </c>
      <c r="Y2414" t="s">
        <v>47214</v>
      </c>
    </row>
    <row r="2415" spans="1:25" x14ac:dyDescent="0.3">
      <c r="A2415">
        <v>120700</v>
      </c>
      <c r="B2415" t="s">
        <v>47215</v>
      </c>
      <c r="C2415" t="s">
        <v>47216</v>
      </c>
      <c r="D2415" t="s">
        <v>47217</v>
      </c>
      <c r="E2415" t="s">
        <v>47218</v>
      </c>
      <c r="F2415" t="s">
        <v>47219</v>
      </c>
      <c r="G2415" t="s">
        <v>47220</v>
      </c>
      <c r="H2415" t="s">
        <v>47221</v>
      </c>
      <c r="I2415" t="s">
        <v>47222</v>
      </c>
      <c r="J2415" t="s">
        <v>47223</v>
      </c>
      <c r="K2415" t="s">
        <v>47224</v>
      </c>
      <c r="L2415" t="s">
        <v>47225</v>
      </c>
      <c r="M2415" t="s">
        <v>47226</v>
      </c>
      <c r="N2415" t="s">
        <v>47227</v>
      </c>
      <c r="O2415">
        <f>-540.783843757702 -76.7177242931565 -745.309864840178</f>
        <v>-1362.8114328910365</v>
      </c>
      <c r="P2415">
        <f>-547.974880906839 -78.9699226843784 -428.877578564272</f>
        <v>-1055.8223821554893</v>
      </c>
      <c r="Q2415" t="s">
        <v>47228</v>
      </c>
      <c r="R2415" t="s">
        <v>47229</v>
      </c>
      <c r="S2415" t="s">
        <v>47230</v>
      </c>
      <c r="T2415" t="s">
        <v>47231</v>
      </c>
      <c r="U2415" t="s">
        <v>47232</v>
      </c>
      <c r="V2415" t="s">
        <v>47233</v>
      </c>
      <c r="W2415" t="s">
        <v>47234</v>
      </c>
      <c r="X2415" t="s">
        <v>47235</v>
      </c>
      <c r="Y2415" t="s">
        <v>47236</v>
      </c>
    </row>
    <row r="2416" spans="1:25" x14ac:dyDescent="0.3">
      <c r="A2416">
        <v>120750</v>
      </c>
      <c r="B2416" t="s">
        <v>47237</v>
      </c>
      <c r="C2416" t="s">
        <v>47238</v>
      </c>
      <c r="D2416" t="s">
        <v>47239</v>
      </c>
      <c r="E2416" t="s">
        <v>47240</v>
      </c>
      <c r="F2416" t="s">
        <v>47241</v>
      </c>
      <c r="G2416" t="s">
        <v>47242</v>
      </c>
      <c r="H2416" t="s">
        <v>47243</v>
      </c>
      <c r="I2416" t="s">
        <v>47244</v>
      </c>
      <c r="J2416" t="s">
        <v>47245</v>
      </c>
      <c r="K2416" t="s">
        <v>47246</v>
      </c>
      <c r="L2416" t="s">
        <v>47247</v>
      </c>
      <c r="M2416" t="s">
        <v>47248</v>
      </c>
      <c r="N2416" t="s">
        <v>47249</v>
      </c>
      <c r="O2416">
        <f>-542.012368494269 -76.6002871211761 -745.336637135454</f>
        <v>-1363.9492927508991</v>
      </c>
      <c r="P2416">
        <f>-549.04391428902 -78.8800864196561 -428.900819583755</f>
        <v>-1056.824820292431</v>
      </c>
      <c r="Q2416" t="s">
        <v>47250</v>
      </c>
      <c r="R2416" t="s">
        <v>47251</v>
      </c>
      <c r="S2416" t="s">
        <v>47252</v>
      </c>
      <c r="T2416" t="s">
        <v>47253</v>
      </c>
      <c r="U2416" t="s">
        <v>47254</v>
      </c>
      <c r="V2416" t="s">
        <v>47255</v>
      </c>
      <c r="W2416" t="s">
        <v>47256</v>
      </c>
      <c r="X2416" t="s">
        <v>47257</v>
      </c>
      <c r="Y2416" t="s">
        <v>47258</v>
      </c>
    </row>
    <row r="2417" spans="1:25" x14ac:dyDescent="0.3">
      <c r="A2417">
        <v>120800</v>
      </c>
      <c r="B2417" t="s">
        <v>47259</v>
      </c>
      <c r="C2417" t="s">
        <v>47260</v>
      </c>
      <c r="D2417" t="s">
        <v>47261</v>
      </c>
      <c r="E2417" t="s">
        <v>47262</v>
      </c>
      <c r="F2417" t="s">
        <v>47263</v>
      </c>
      <c r="G2417" t="s">
        <v>47264</v>
      </c>
      <c r="H2417" t="s">
        <v>47265</v>
      </c>
      <c r="I2417" t="s">
        <v>47266</v>
      </c>
      <c r="J2417" t="s">
        <v>47267</v>
      </c>
      <c r="K2417" t="s">
        <v>47268</v>
      </c>
      <c r="L2417" t="s">
        <v>47269</v>
      </c>
      <c r="M2417" t="s">
        <v>47270</v>
      </c>
      <c r="N2417" t="s">
        <v>47271</v>
      </c>
      <c r="O2417">
        <f>-542.629720381689 -76.6428800563361 -745.397353093331</f>
        <v>-1364.6699535313562</v>
      </c>
      <c r="P2417">
        <f>-549.439656624026 -78.9225645583159 -428.956819452861</f>
        <v>-1057.319040635203</v>
      </c>
      <c r="Q2417" t="s">
        <v>47272</v>
      </c>
      <c r="R2417" t="s">
        <v>47273</v>
      </c>
      <c r="S2417" t="s">
        <v>47274</v>
      </c>
      <c r="T2417" t="s">
        <v>47275</v>
      </c>
      <c r="U2417" t="s">
        <v>47276</v>
      </c>
      <c r="V2417" t="s">
        <v>47277</v>
      </c>
      <c r="W2417" t="s">
        <v>47278</v>
      </c>
      <c r="X2417" t="s">
        <v>47279</v>
      </c>
      <c r="Y2417" t="s">
        <v>47280</v>
      </c>
    </row>
    <row r="2418" spans="1:25" x14ac:dyDescent="0.3">
      <c r="A2418">
        <v>120850</v>
      </c>
      <c r="B2418" t="s">
        <v>47281</v>
      </c>
      <c r="C2418" t="s">
        <v>47282</v>
      </c>
      <c r="D2418" t="s">
        <v>47283</v>
      </c>
      <c r="E2418" t="s">
        <v>47284</v>
      </c>
      <c r="F2418" t="s">
        <v>47285</v>
      </c>
      <c r="G2418" t="s">
        <v>47286</v>
      </c>
      <c r="H2418" t="s">
        <v>47287</v>
      </c>
      <c r="I2418" t="s">
        <v>47288</v>
      </c>
      <c r="J2418" t="s">
        <v>47289</v>
      </c>
      <c r="K2418" t="s">
        <v>47290</v>
      </c>
      <c r="L2418" t="s">
        <v>47291</v>
      </c>
      <c r="M2418" t="s">
        <v>47292</v>
      </c>
      <c r="N2418" t="s">
        <v>47293</v>
      </c>
      <c r="O2418">
        <f>-543.78238834766 -76.541382461369 -745.455099464288</f>
        <v>-1365.7788702733169</v>
      </c>
      <c r="P2418">
        <f>-550.155158324914 -78.6351644108109 -429.004201041768</f>
        <v>-1057.7945237774929</v>
      </c>
      <c r="Q2418" t="s">
        <v>47294</v>
      </c>
      <c r="R2418" t="s">
        <v>47295</v>
      </c>
      <c r="S2418" t="s">
        <v>47296</v>
      </c>
      <c r="T2418" t="s">
        <v>47297</v>
      </c>
      <c r="U2418" t="s">
        <v>47298</v>
      </c>
      <c r="V2418" t="s">
        <v>47299</v>
      </c>
      <c r="W2418" t="s">
        <v>47300</v>
      </c>
      <c r="X2418" t="s">
        <v>47301</v>
      </c>
      <c r="Y2418" t="s">
        <v>47302</v>
      </c>
    </row>
    <row r="2419" spans="1:25" x14ac:dyDescent="0.3">
      <c r="A2419">
        <v>120900</v>
      </c>
      <c r="B2419" t="s">
        <v>47303</v>
      </c>
      <c r="C2419" t="s">
        <v>47304</v>
      </c>
      <c r="D2419" t="s">
        <v>47305</v>
      </c>
      <c r="E2419" t="s">
        <v>47306</v>
      </c>
      <c r="F2419" t="s">
        <v>47307</v>
      </c>
      <c r="G2419" t="s">
        <v>47308</v>
      </c>
      <c r="H2419" t="s">
        <v>47309</v>
      </c>
      <c r="I2419" t="s">
        <v>47310</v>
      </c>
      <c r="J2419" t="s">
        <v>47311</v>
      </c>
      <c r="K2419" t="s">
        <v>47312</v>
      </c>
      <c r="L2419" t="s">
        <v>47313</v>
      </c>
      <c r="M2419" t="s">
        <v>47314</v>
      </c>
      <c r="N2419" t="s">
        <v>47315</v>
      </c>
      <c r="O2419">
        <f>-544.433148174392 -76.440304143191 -745.557375550228</f>
        <v>-1366.4308278678111</v>
      </c>
      <c r="P2419">
        <f>-550.688734212026 -78.3730852568831 -429.103139362787</f>
        <v>-1058.1649588316961</v>
      </c>
      <c r="Q2419" t="s">
        <v>47316</v>
      </c>
      <c r="R2419" t="s">
        <v>47317</v>
      </c>
      <c r="S2419" t="s">
        <v>47318</v>
      </c>
      <c r="T2419" t="s">
        <v>47319</v>
      </c>
      <c r="U2419" t="s">
        <v>47320</v>
      </c>
      <c r="V2419" t="s">
        <v>47321</v>
      </c>
      <c r="W2419" t="s">
        <v>47322</v>
      </c>
      <c r="X2419" t="s">
        <v>47323</v>
      </c>
      <c r="Y2419" t="s">
        <v>47324</v>
      </c>
    </row>
    <row r="2420" spans="1:25" x14ac:dyDescent="0.3">
      <c r="A2420">
        <v>120950</v>
      </c>
      <c r="B2420" t="s">
        <v>47325</v>
      </c>
      <c r="C2420" t="s">
        <v>47326</v>
      </c>
      <c r="D2420" t="s">
        <v>47327</v>
      </c>
      <c r="E2420" t="s">
        <v>47328</v>
      </c>
      <c r="F2420" t="s">
        <v>47329</v>
      </c>
      <c r="G2420" t="s">
        <v>47330</v>
      </c>
      <c r="H2420" t="s">
        <v>47331</v>
      </c>
      <c r="I2420" t="s">
        <v>47332</v>
      </c>
      <c r="J2420" t="s">
        <v>47333</v>
      </c>
      <c r="K2420" t="s">
        <v>47334</v>
      </c>
      <c r="L2420" t="s">
        <v>47335</v>
      </c>
      <c r="M2420" t="s">
        <v>47336</v>
      </c>
      <c r="N2420" t="s">
        <v>47337</v>
      </c>
      <c r="O2420">
        <f>-545.174115913313 -76.5483933268018 -745.67167538037</f>
        <v>-1367.3941846204848</v>
      </c>
      <c r="P2420">
        <f>-551.161079730569 -78.4453229215843 -429.211939364235</f>
        <v>-1058.8183420163882</v>
      </c>
      <c r="Q2420" t="s">
        <v>47338</v>
      </c>
      <c r="R2420" t="s">
        <v>47339</v>
      </c>
      <c r="S2420" t="s">
        <v>47340</v>
      </c>
      <c r="T2420" t="s">
        <v>47341</v>
      </c>
      <c r="U2420" t="s">
        <v>47342</v>
      </c>
      <c r="V2420" t="s">
        <v>47343</v>
      </c>
      <c r="W2420" t="s">
        <v>47344</v>
      </c>
      <c r="X2420" t="s">
        <v>47345</v>
      </c>
      <c r="Y2420" t="s">
        <v>47346</v>
      </c>
    </row>
    <row r="2421" spans="1:25" x14ac:dyDescent="0.3">
      <c r="A2421">
        <v>121000</v>
      </c>
      <c r="B2421" t="s">
        <v>47347</v>
      </c>
      <c r="C2421" t="s">
        <v>47348</v>
      </c>
      <c r="D2421" t="s">
        <v>47349</v>
      </c>
      <c r="E2421" t="s">
        <v>47350</v>
      </c>
      <c r="F2421" t="s">
        <v>47351</v>
      </c>
      <c r="G2421" t="s">
        <v>47352</v>
      </c>
      <c r="H2421" t="s">
        <v>47353</v>
      </c>
      <c r="I2421" t="s">
        <v>47354</v>
      </c>
      <c r="J2421" t="s">
        <v>47355</v>
      </c>
      <c r="K2421" t="s">
        <v>47356</v>
      </c>
      <c r="L2421" t="s">
        <v>47357</v>
      </c>
      <c r="M2421" t="s">
        <v>47358</v>
      </c>
      <c r="N2421" t="s">
        <v>47359</v>
      </c>
      <c r="O2421">
        <f>-545.767342731189 -76.4232111365748 -745.662188676156</f>
        <v>-1367.8527425439197</v>
      </c>
      <c r="P2421">
        <f>-551.48009057921 -78.3327680408825 -429.197553170691</f>
        <v>-1059.0104117907836</v>
      </c>
      <c r="Q2421" t="s">
        <v>47360</v>
      </c>
      <c r="R2421" t="s">
        <v>47361</v>
      </c>
      <c r="S2421" t="s">
        <v>47362</v>
      </c>
      <c r="T2421" t="s">
        <v>47363</v>
      </c>
      <c r="U2421" t="s">
        <v>47364</v>
      </c>
      <c r="V2421" t="s">
        <v>47365</v>
      </c>
      <c r="W2421" t="s">
        <v>47366</v>
      </c>
      <c r="X2421" t="s">
        <v>47367</v>
      </c>
      <c r="Y2421" t="s">
        <v>47368</v>
      </c>
    </row>
    <row r="2422" spans="1:25" x14ac:dyDescent="0.3">
      <c r="A2422">
        <v>121050</v>
      </c>
      <c r="B2422" t="s">
        <v>47369</v>
      </c>
      <c r="C2422" t="s">
        <v>47370</v>
      </c>
      <c r="D2422" t="s">
        <v>47371</v>
      </c>
      <c r="E2422" t="s">
        <v>47372</v>
      </c>
      <c r="F2422" t="s">
        <v>47373</v>
      </c>
      <c r="G2422" t="s">
        <v>47374</v>
      </c>
      <c r="H2422" t="s">
        <v>47375</v>
      </c>
      <c r="I2422" t="s">
        <v>47376</v>
      </c>
      <c r="J2422" t="s">
        <v>47377</v>
      </c>
      <c r="K2422" t="s">
        <v>47378</v>
      </c>
      <c r="L2422" t="s">
        <v>47379</v>
      </c>
      <c r="M2422" t="s">
        <v>47380</v>
      </c>
      <c r="N2422" t="s">
        <v>47381</v>
      </c>
      <c r="O2422">
        <f>-546.698441033101 -76.4055554146171 -745.633261519082</f>
        <v>-1368.7372579667999</v>
      </c>
      <c r="P2422">
        <f>-552.036610168165 -78.3255405456809 -429.162033341923</f>
        <v>-1059.524184055769</v>
      </c>
      <c r="Q2422" t="s">
        <v>47382</v>
      </c>
      <c r="R2422" t="s">
        <v>47383</v>
      </c>
      <c r="S2422" t="s">
        <v>47384</v>
      </c>
      <c r="T2422" t="s">
        <v>47385</v>
      </c>
      <c r="U2422" t="s">
        <v>47386</v>
      </c>
      <c r="V2422" t="s">
        <v>47387</v>
      </c>
      <c r="W2422" t="s">
        <v>47388</v>
      </c>
      <c r="X2422" t="s">
        <v>47389</v>
      </c>
      <c r="Y2422" t="s">
        <v>47390</v>
      </c>
    </row>
    <row r="2423" spans="1:25" x14ac:dyDescent="0.3">
      <c r="A2423">
        <v>121100</v>
      </c>
      <c r="B2423" t="s">
        <v>47391</v>
      </c>
      <c r="C2423" t="s">
        <v>47392</v>
      </c>
      <c r="D2423" t="s">
        <v>47393</v>
      </c>
      <c r="E2423" t="s">
        <v>47394</v>
      </c>
      <c r="F2423" t="s">
        <v>47395</v>
      </c>
      <c r="G2423" t="s">
        <v>47396</v>
      </c>
      <c r="H2423" t="s">
        <v>47397</v>
      </c>
      <c r="I2423" t="s">
        <v>47398</v>
      </c>
      <c r="J2423" t="s">
        <v>47399</v>
      </c>
      <c r="K2423" t="s">
        <v>47400</v>
      </c>
      <c r="L2423" t="s">
        <v>47401</v>
      </c>
      <c r="M2423" t="s">
        <v>47402</v>
      </c>
      <c r="N2423" t="s">
        <v>47403</v>
      </c>
      <c r="O2423">
        <f>-547.19865382866 -76.2903226426966 -745.617007575371</f>
        <v>-1369.1059840467276</v>
      </c>
      <c r="P2423">
        <f>-552.251746237662 -78.3455560017979 -429.14205357944</f>
        <v>-1059.7393558189001</v>
      </c>
      <c r="Q2423" t="s">
        <v>47404</v>
      </c>
      <c r="R2423" t="s">
        <v>47405</v>
      </c>
      <c r="S2423" t="s">
        <v>47406</v>
      </c>
      <c r="T2423" t="s">
        <v>47407</v>
      </c>
      <c r="U2423" t="s">
        <v>47408</v>
      </c>
      <c r="V2423" t="s">
        <v>47409</v>
      </c>
      <c r="W2423" t="s">
        <v>47410</v>
      </c>
      <c r="X2423" t="s">
        <v>47411</v>
      </c>
      <c r="Y2423" t="s">
        <v>47412</v>
      </c>
    </row>
    <row r="2424" spans="1:25" x14ac:dyDescent="0.3">
      <c r="A2424">
        <v>121150</v>
      </c>
      <c r="B2424" t="s">
        <v>47413</v>
      </c>
      <c r="C2424" t="s">
        <v>47414</v>
      </c>
      <c r="D2424" t="s">
        <v>47415</v>
      </c>
      <c r="E2424" t="s">
        <v>47416</v>
      </c>
      <c r="F2424" t="s">
        <v>47417</v>
      </c>
      <c r="G2424" t="s">
        <v>47418</v>
      </c>
      <c r="H2424" t="s">
        <v>47419</v>
      </c>
      <c r="I2424" t="s">
        <v>47420</v>
      </c>
      <c r="J2424" t="s">
        <v>47421</v>
      </c>
      <c r="K2424" t="s">
        <v>47422</v>
      </c>
      <c r="L2424" t="s">
        <v>47423</v>
      </c>
      <c r="M2424" t="s">
        <v>47424</v>
      </c>
      <c r="N2424" t="s">
        <v>47425</v>
      </c>
      <c r="O2424">
        <f>-547.803131447267 -76.542519373284 -745.653385334474</f>
        <v>-1369.9990361550249</v>
      </c>
      <c r="P2424">
        <f>-552.786918057765 -78.5030522713888 -429.176567119497</f>
        <v>-1060.4665374486508</v>
      </c>
      <c r="Q2424" t="s">
        <v>47426</v>
      </c>
      <c r="R2424" t="s">
        <v>47427</v>
      </c>
      <c r="S2424" t="s">
        <v>47428</v>
      </c>
      <c r="T2424" t="s">
        <v>47429</v>
      </c>
      <c r="U2424" t="s">
        <v>47430</v>
      </c>
      <c r="V2424" t="s">
        <v>47431</v>
      </c>
      <c r="W2424" t="s">
        <v>47432</v>
      </c>
      <c r="X2424" t="s">
        <v>47433</v>
      </c>
      <c r="Y2424" t="s">
        <v>47434</v>
      </c>
    </row>
    <row r="2425" spans="1:25" x14ac:dyDescent="0.3">
      <c r="A2425">
        <v>121200</v>
      </c>
      <c r="B2425" t="s">
        <v>47435</v>
      </c>
      <c r="C2425" t="s">
        <v>47436</v>
      </c>
      <c r="D2425" t="s">
        <v>47437</v>
      </c>
      <c r="E2425" t="s">
        <v>47438</v>
      </c>
      <c r="F2425" t="s">
        <v>47439</v>
      </c>
      <c r="G2425" t="s">
        <v>47440</v>
      </c>
      <c r="H2425" t="s">
        <v>47441</v>
      </c>
      <c r="I2425" t="s">
        <v>47442</v>
      </c>
      <c r="J2425" t="s">
        <v>47443</v>
      </c>
      <c r="K2425" t="s">
        <v>47444</v>
      </c>
      <c r="L2425" t="s">
        <v>47445</v>
      </c>
      <c r="M2425" t="s">
        <v>47446</v>
      </c>
      <c r="N2425" t="s">
        <v>47447</v>
      </c>
      <c r="O2425">
        <f>-548.249382710845 -76.6742804885985 -745.660722397838</f>
        <v>-1370.5843855972814</v>
      </c>
      <c r="P2425">
        <f>-553.138881152824 -78.6947498862441 -429.182925496323</f>
        <v>-1061.0165565353909</v>
      </c>
      <c r="Q2425" t="s">
        <v>47448</v>
      </c>
      <c r="R2425" t="s">
        <v>47449</v>
      </c>
      <c r="S2425" t="s">
        <v>47450</v>
      </c>
      <c r="T2425" t="s">
        <v>47451</v>
      </c>
      <c r="U2425" t="s">
        <v>47452</v>
      </c>
      <c r="V2425" t="s">
        <v>47453</v>
      </c>
      <c r="W2425" t="s">
        <v>47454</v>
      </c>
      <c r="X2425" t="s">
        <v>47455</v>
      </c>
      <c r="Y2425" t="s">
        <v>47456</v>
      </c>
    </row>
    <row r="2426" spans="1:25" x14ac:dyDescent="0.3">
      <c r="A2426">
        <v>121250</v>
      </c>
      <c r="B2426" t="s">
        <v>47457</v>
      </c>
      <c r="C2426" t="s">
        <v>47458</v>
      </c>
      <c r="D2426" t="s">
        <v>47459</v>
      </c>
      <c r="E2426" t="s">
        <v>47460</v>
      </c>
      <c r="F2426" t="s">
        <v>47461</v>
      </c>
      <c r="G2426" t="s">
        <v>47462</v>
      </c>
      <c r="H2426" t="s">
        <v>47463</v>
      </c>
      <c r="I2426" t="s">
        <v>47464</v>
      </c>
      <c r="J2426" t="s">
        <v>47465</v>
      </c>
      <c r="K2426" t="s">
        <v>47466</v>
      </c>
      <c r="L2426" t="s">
        <v>47467</v>
      </c>
      <c r="M2426" t="s">
        <v>47468</v>
      </c>
      <c r="N2426" t="s">
        <v>47469</v>
      </c>
      <c r="O2426">
        <f>-548.885412164625 -76.6398122957551 -745.657544389677</f>
        <v>-1371.1827688500571</v>
      </c>
      <c r="P2426">
        <f>-553.885534313998 -78.6614855935033 -429.181472965107</f>
        <v>-1061.7284928726085</v>
      </c>
      <c r="Q2426" t="s">
        <v>47470</v>
      </c>
      <c r="R2426" t="s">
        <v>47471</v>
      </c>
      <c r="S2426" t="s">
        <v>47472</v>
      </c>
      <c r="T2426" t="s">
        <v>47473</v>
      </c>
      <c r="U2426" t="s">
        <v>47474</v>
      </c>
      <c r="V2426" t="s">
        <v>47475</v>
      </c>
      <c r="W2426" t="s">
        <v>47476</v>
      </c>
      <c r="X2426" t="s">
        <v>47477</v>
      </c>
      <c r="Y2426" t="s">
        <v>47478</v>
      </c>
    </row>
    <row r="2427" spans="1:25" x14ac:dyDescent="0.3">
      <c r="A2427">
        <v>121300</v>
      </c>
      <c r="B2427" t="s">
        <v>47479</v>
      </c>
      <c r="C2427" t="s">
        <v>47480</v>
      </c>
      <c r="D2427" t="s">
        <v>47481</v>
      </c>
      <c r="E2427" t="s">
        <v>47482</v>
      </c>
      <c r="F2427" t="s">
        <v>47483</v>
      </c>
      <c r="G2427" t="s">
        <v>47484</v>
      </c>
      <c r="H2427" t="s">
        <v>47485</v>
      </c>
      <c r="I2427" t="s">
        <v>47486</v>
      </c>
      <c r="J2427" t="s">
        <v>47487</v>
      </c>
      <c r="K2427" t="s">
        <v>47488</v>
      </c>
      <c r="L2427" t="s">
        <v>47489</v>
      </c>
      <c r="M2427" t="s">
        <v>47490</v>
      </c>
      <c r="N2427" t="s">
        <v>47491</v>
      </c>
      <c r="O2427">
        <f>-549.150095809428 -76.6735684945484 -745.700498246827</f>
        <v>-1371.5241625508033</v>
      </c>
      <c r="P2427">
        <f>-554.173994295139 -78.517767243751 -429.223774403983</f>
        <v>-1061.915535942873</v>
      </c>
      <c r="Q2427" t="s">
        <v>47492</v>
      </c>
      <c r="R2427" t="s">
        <v>47493</v>
      </c>
      <c r="S2427" t="s">
        <v>47494</v>
      </c>
      <c r="T2427" t="s">
        <v>47495</v>
      </c>
      <c r="U2427" t="s">
        <v>47496</v>
      </c>
      <c r="V2427" t="s">
        <v>47497</v>
      </c>
      <c r="W2427" t="s">
        <v>47498</v>
      </c>
      <c r="X2427" t="s">
        <v>47499</v>
      </c>
      <c r="Y2427" t="s">
        <v>47500</v>
      </c>
    </row>
    <row r="2428" spans="1:25" x14ac:dyDescent="0.3">
      <c r="A2428">
        <v>121350</v>
      </c>
      <c r="B2428" t="s">
        <v>47501</v>
      </c>
      <c r="C2428" t="s">
        <v>47502</v>
      </c>
      <c r="D2428" t="s">
        <v>47503</v>
      </c>
      <c r="E2428" t="s">
        <v>47504</v>
      </c>
      <c r="F2428" t="s">
        <v>47505</v>
      </c>
      <c r="G2428" t="s">
        <v>47506</v>
      </c>
      <c r="H2428" t="s">
        <v>47507</v>
      </c>
      <c r="I2428" t="s">
        <v>47508</v>
      </c>
      <c r="J2428" t="s">
        <v>47509</v>
      </c>
      <c r="K2428" t="s">
        <v>47510</v>
      </c>
      <c r="L2428" t="s">
        <v>47511</v>
      </c>
      <c r="M2428" t="s">
        <v>47512</v>
      </c>
      <c r="N2428" t="s">
        <v>47513</v>
      </c>
      <c r="O2428">
        <f>-549.981263770305 -76.6658518457572 -745.711474616518</f>
        <v>-1372.3585902325801</v>
      </c>
      <c r="P2428">
        <f>-555.075768908895 -78.5690382351472 -429.236097373636</f>
        <v>-1062.8809045176783</v>
      </c>
      <c r="Q2428" t="s">
        <v>47514</v>
      </c>
      <c r="R2428" t="s">
        <v>47515</v>
      </c>
      <c r="S2428" t="s">
        <v>47516</v>
      </c>
      <c r="T2428" t="s">
        <v>47517</v>
      </c>
      <c r="U2428" t="s">
        <v>47518</v>
      </c>
      <c r="V2428" t="s">
        <v>47519</v>
      </c>
      <c r="W2428" t="s">
        <v>47520</v>
      </c>
      <c r="X2428" t="s">
        <v>47521</v>
      </c>
      <c r="Y2428" t="s">
        <v>47522</v>
      </c>
    </row>
    <row r="2429" spans="1:25" x14ac:dyDescent="0.3">
      <c r="A2429">
        <v>121400</v>
      </c>
      <c r="B2429" t="s">
        <v>47523</v>
      </c>
      <c r="C2429" t="s">
        <v>47524</v>
      </c>
      <c r="D2429" t="s">
        <v>47525</v>
      </c>
      <c r="E2429" t="s">
        <v>47526</v>
      </c>
      <c r="F2429" t="s">
        <v>47527</v>
      </c>
      <c r="G2429" t="s">
        <v>47528</v>
      </c>
      <c r="H2429" t="s">
        <v>47529</v>
      </c>
      <c r="I2429" t="s">
        <v>47530</v>
      </c>
      <c r="J2429" t="s">
        <v>47531</v>
      </c>
      <c r="K2429" t="s">
        <v>47532</v>
      </c>
      <c r="L2429" t="s">
        <v>47533</v>
      </c>
      <c r="M2429" t="s">
        <v>47534</v>
      </c>
      <c r="N2429" t="s">
        <v>47535</v>
      </c>
      <c r="O2429">
        <f>-550.448660925657 -76.5497736542042 -745.734875036231</f>
        <v>-1372.7333096160921</v>
      </c>
      <c r="P2429">
        <f>-555.351638237239 -78.4209891005283 -429.256463151894</f>
        <v>-1063.0290904896613</v>
      </c>
      <c r="Q2429" t="s">
        <v>47536</v>
      </c>
      <c r="R2429" t="s">
        <v>47537</v>
      </c>
      <c r="S2429" t="s">
        <v>47538</v>
      </c>
      <c r="T2429" t="s">
        <v>47539</v>
      </c>
      <c r="U2429" t="s">
        <v>47540</v>
      </c>
      <c r="V2429" t="s">
        <v>47541</v>
      </c>
      <c r="W2429" t="s">
        <v>47542</v>
      </c>
      <c r="X2429" t="s">
        <v>47543</v>
      </c>
      <c r="Y2429" t="s">
        <v>47544</v>
      </c>
    </row>
    <row r="2430" spans="1:25" x14ac:dyDescent="0.3">
      <c r="A2430">
        <v>121450</v>
      </c>
      <c r="B2430" t="s">
        <v>47545</v>
      </c>
      <c r="C2430" t="s">
        <v>47546</v>
      </c>
      <c r="D2430" t="s">
        <v>47547</v>
      </c>
      <c r="E2430" t="s">
        <v>47548</v>
      </c>
      <c r="F2430" t="s">
        <v>47549</v>
      </c>
      <c r="G2430" t="s">
        <v>47550</v>
      </c>
      <c r="H2430" t="s">
        <v>47551</v>
      </c>
      <c r="I2430" t="s">
        <v>47552</v>
      </c>
      <c r="J2430" t="s">
        <v>47553</v>
      </c>
      <c r="K2430" t="s">
        <v>47554</v>
      </c>
      <c r="L2430" t="s">
        <v>47555</v>
      </c>
      <c r="M2430" t="s">
        <v>47556</v>
      </c>
      <c r="N2430" t="s">
        <v>47557</v>
      </c>
      <c r="O2430">
        <f>-551.793398674336 -76.3409961059876 -745.702269055064</f>
        <v>-1373.8366638353878</v>
      </c>
      <c r="P2430">
        <f>-556.425969958072 -78.3519747520347 -429.220485950253</f>
        <v>-1063.9984306603596</v>
      </c>
      <c r="Q2430" t="s">
        <v>47558</v>
      </c>
      <c r="R2430" t="s">
        <v>47559</v>
      </c>
      <c r="S2430" t="s">
        <v>47560</v>
      </c>
      <c r="T2430" t="s">
        <v>47561</v>
      </c>
      <c r="U2430" t="s">
        <v>47562</v>
      </c>
      <c r="V2430" t="s">
        <v>47563</v>
      </c>
      <c r="W2430" t="s">
        <v>47564</v>
      </c>
      <c r="X2430" t="s">
        <v>47565</v>
      </c>
      <c r="Y2430" t="s">
        <v>47566</v>
      </c>
    </row>
    <row r="2431" spans="1:25" x14ac:dyDescent="0.3">
      <c r="A2431">
        <v>121500</v>
      </c>
      <c r="B2431" t="s">
        <v>47567</v>
      </c>
      <c r="C2431" t="s">
        <v>47568</v>
      </c>
      <c r="D2431" t="s">
        <v>47569</v>
      </c>
      <c r="E2431" t="s">
        <v>47570</v>
      </c>
      <c r="F2431" t="s">
        <v>47571</v>
      </c>
      <c r="G2431" t="s">
        <v>47572</v>
      </c>
      <c r="H2431" t="s">
        <v>47573</v>
      </c>
      <c r="I2431" t="s">
        <v>47574</v>
      </c>
      <c r="J2431" t="s">
        <v>47575</v>
      </c>
      <c r="K2431" t="s">
        <v>47576</v>
      </c>
      <c r="L2431" t="s">
        <v>47577</v>
      </c>
      <c r="M2431" t="s">
        <v>47578</v>
      </c>
      <c r="N2431" t="s">
        <v>47579</v>
      </c>
      <c r="O2431">
        <f>-552.569812203423 -76.2819783663081 -745.619032669436</f>
        <v>-1374.4708232391672</v>
      </c>
      <c r="P2431">
        <f>-556.950984826703 -78.3956396902413 -429.134363759282</f>
        <v>-1064.4809882762263</v>
      </c>
      <c r="Q2431" t="s">
        <v>47580</v>
      </c>
      <c r="R2431" t="s">
        <v>47581</v>
      </c>
      <c r="S2431" t="s">
        <v>47582</v>
      </c>
      <c r="T2431" t="s">
        <v>47583</v>
      </c>
      <c r="U2431" t="s">
        <v>47584</v>
      </c>
      <c r="V2431" t="s">
        <v>47585</v>
      </c>
      <c r="W2431" t="s">
        <v>47586</v>
      </c>
      <c r="X2431" t="s">
        <v>47587</v>
      </c>
      <c r="Y2431" t="s">
        <v>47588</v>
      </c>
    </row>
    <row r="2432" spans="1:25" x14ac:dyDescent="0.3">
      <c r="A2432">
        <v>121550</v>
      </c>
      <c r="B2432" t="s">
        <v>47589</v>
      </c>
      <c r="C2432" t="s">
        <v>47590</v>
      </c>
      <c r="D2432" t="s">
        <v>47591</v>
      </c>
      <c r="E2432" t="s">
        <v>47592</v>
      </c>
      <c r="F2432" t="s">
        <v>47593</v>
      </c>
      <c r="G2432" t="s">
        <v>47594</v>
      </c>
      <c r="H2432" t="s">
        <v>47595</v>
      </c>
      <c r="I2432" t="s">
        <v>47596</v>
      </c>
      <c r="J2432" t="s">
        <v>47597</v>
      </c>
      <c r="K2432" t="s">
        <v>47598</v>
      </c>
      <c r="L2432" t="s">
        <v>47599</v>
      </c>
      <c r="M2432" t="s">
        <v>47600</v>
      </c>
      <c r="N2432" t="s">
        <v>47601</v>
      </c>
      <c r="O2432">
        <f>-554.08343512222 -75.7646297176659 -745.19390190441</f>
        <v>-1375.0419667442959</v>
      </c>
      <c r="P2432">
        <f>-558.177533538563 -77.3032099974554 -428.702146879962</f>
        <v>-1064.1828904159804</v>
      </c>
      <c r="Q2432" t="s">
        <v>47602</v>
      </c>
      <c r="R2432" t="s">
        <v>47603</v>
      </c>
      <c r="S2432" t="s">
        <v>47604</v>
      </c>
      <c r="T2432" t="s">
        <v>47605</v>
      </c>
      <c r="U2432" t="s">
        <v>47606</v>
      </c>
      <c r="V2432" t="s">
        <v>47607</v>
      </c>
      <c r="W2432" t="s">
        <v>47608</v>
      </c>
      <c r="X2432" t="s">
        <v>47609</v>
      </c>
      <c r="Y2432" t="s">
        <v>47610</v>
      </c>
    </row>
    <row r="2433" spans="1:25" x14ac:dyDescent="0.3">
      <c r="A2433">
        <v>121600</v>
      </c>
      <c r="B2433" t="s">
        <v>47611</v>
      </c>
      <c r="C2433" t="s">
        <v>47612</v>
      </c>
      <c r="D2433" t="s">
        <v>47613</v>
      </c>
      <c r="E2433" t="s">
        <v>47614</v>
      </c>
      <c r="F2433" t="s">
        <v>47615</v>
      </c>
      <c r="G2433" t="s">
        <v>47616</v>
      </c>
      <c r="H2433" t="s">
        <v>47617</v>
      </c>
      <c r="I2433" t="s">
        <v>47618</v>
      </c>
      <c r="J2433" t="s">
        <v>47619</v>
      </c>
      <c r="K2433" t="s">
        <v>47620</v>
      </c>
      <c r="L2433" t="s">
        <v>47621</v>
      </c>
      <c r="M2433" t="s">
        <v>47622</v>
      </c>
      <c r="N2433" t="s">
        <v>47623</v>
      </c>
      <c r="O2433">
        <f>-555.243845857795 -75.635683219846 -744.872308770101</f>
        <v>-1375.7518378477421</v>
      </c>
      <c r="P2433">
        <f>-559.012460990953 -76.8711844318404 -428.375133897442</f>
        <v>-1064.2587793202354</v>
      </c>
      <c r="Q2433" t="s">
        <v>47624</v>
      </c>
      <c r="R2433" t="s">
        <v>47625</v>
      </c>
      <c r="S2433" t="s">
        <v>47626</v>
      </c>
      <c r="T2433" t="s">
        <v>47627</v>
      </c>
      <c r="U2433" t="s">
        <v>47628</v>
      </c>
      <c r="V2433" t="s">
        <v>47629</v>
      </c>
      <c r="W2433" t="s">
        <v>47630</v>
      </c>
      <c r="X2433" t="s">
        <v>47631</v>
      </c>
      <c r="Y2433" t="s">
        <v>47632</v>
      </c>
    </row>
    <row r="2434" spans="1:25" x14ac:dyDescent="0.3">
      <c r="A2434">
        <v>121650</v>
      </c>
      <c r="B2434" t="s">
        <v>47633</v>
      </c>
      <c r="C2434" t="s">
        <v>47634</v>
      </c>
      <c r="D2434" t="s">
        <v>47635</v>
      </c>
      <c r="E2434" t="s">
        <v>47636</v>
      </c>
      <c r="F2434" t="s">
        <v>47637</v>
      </c>
      <c r="G2434" t="s">
        <v>47638</v>
      </c>
      <c r="H2434" t="s">
        <v>47639</v>
      </c>
      <c r="I2434" t="s">
        <v>47640</v>
      </c>
      <c r="J2434" t="s">
        <v>47641</v>
      </c>
      <c r="K2434" t="s">
        <v>47642</v>
      </c>
      <c r="L2434" t="s">
        <v>47643</v>
      </c>
      <c r="M2434" t="s">
        <v>47644</v>
      </c>
      <c r="N2434" t="s">
        <v>47645</v>
      </c>
      <c r="O2434">
        <f>-558.086233342679 -75.9867400094021 -743.948981581288</f>
        <v>-1378.021954933369</v>
      </c>
      <c r="P2434">
        <f>-561.186683974868 -77.1045671892757 -427.444182533984</f>
        <v>-1065.7354336981277</v>
      </c>
      <c r="Q2434" t="s">
        <v>47646</v>
      </c>
      <c r="R2434" t="s">
        <v>47647</v>
      </c>
      <c r="S2434" t="s">
        <v>47648</v>
      </c>
      <c r="T2434" t="s">
        <v>47649</v>
      </c>
      <c r="U2434" t="s">
        <v>47650</v>
      </c>
      <c r="V2434" t="s">
        <v>47651</v>
      </c>
      <c r="W2434" t="s">
        <v>47652</v>
      </c>
      <c r="X2434" t="s">
        <v>47653</v>
      </c>
      <c r="Y2434" t="s">
        <v>47654</v>
      </c>
    </row>
    <row r="2435" spans="1:25" x14ac:dyDescent="0.3">
      <c r="A2435">
        <v>121700</v>
      </c>
      <c r="B2435" t="s">
        <v>47655</v>
      </c>
      <c r="C2435" t="s">
        <v>47656</v>
      </c>
      <c r="D2435" t="s">
        <v>47657</v>
      </c>
      <c r="E2435" t="s">
        <v>47658</v>
      </c>
      <c r="F2435" t="s">
        <v>47659</v>
      </c>
      <c r="G2435" t="s">
        <v>47660</v>
      </c>
      <c r="H2435" t="s">
        <v>47661</v>
      </c>
      <c r="I2435" t="s">
        <v>47662</v>
      </c>
      <c r="J2435" t="s">
        <v>47663</v>
      </c>
      <c r="K2435" t="s">
        <v>47664</v>
      </c>
      <c r="L2435" t="s">
        <v>47665</v>
      </c>
      <c r="M2435" t="s">
        <v>47666</v>
      </c>
      <c r="N2435" t="s">
        <v>47667</v>
      </c>
      <c r="O2435">
        <f>-559.762731086227 -75.9964391961004 -743.272415876914</f>
        <v>-1379.0315861592412</v>
      </c>
      <c r="P2435">
        <f>-562.621815491661 -77.2304524637698 -426.76576135437</f>
        <v>-1066.6180293098007</v>
      </c>
      <c r="Q2435" t="s">
        <v>47668</v>
      </c>
      <c r="R2435" t="s">
        <v>47669</v>
      </c>
      <c r="S2435" t="s">
        <v>47670</v>
      </c>
      <c r="T2435" t="s">
        <v>47671</v>
      </c>
      <c r="U2435" t="s">
        <v>47672</v>
      </c>
      <c r="V2435" t="s">
        <v>47673</v>
      </c>
      <c r="W2435" t="s">
        <v>47674</v>
      </c>
      <c r="X2435" t="s">
        <v>47675</v>
      </c>
      <c r="Y2435" t="s">
        <v>47676</v>
      </c>
    </row>
    <row r="2436" spans="1:25" x14ac:dyDescent="0.3">
      <c r="A2436">
        <v>121750</v>
      </c>
      <c r="B2436" t="s">
        <v>47677</v>
      </c>
      <c r="C2436" t="s">
        <v>47678</v>
      </c>
      <c r="D2436" t="s">
        <v>47679</v>
      </c>
      <c r="E2436" t="s">
        <v>47680</v>
      </c>
      <c r="F2436" t="s">
        <v>47681</v>
      </c>
      <c r="G2436" t="s">
        <v>47682</v>
      </c>
      <c r="H2436" t="s">
        <v>47683</v>
      </c>
      <c r="I2436" t="s">
        <v>47684</v>
      </c>
      <c r="J2436" t="s">
        <v>47685</v>
      </c>
      <c r="K2436" t="s">
        <v>47686</v>
      </c>
      <c r="L2436" t="s">
        <v>47687</v>
      </c>
      <c r="M2436" t="s">
        <v>47688</v>
      </c>
      <c r="N2436" t="s">
        <v>47689</v>
      </c>
      <c r="O2436">
        <f>-563.55710397314 -76.3903280085475 -741.627264953214</f>
        <v>-1381.5746969349016</v>
      </c>
      <c r="P2436">
        <f>-564.94035134596 -77.7153270590817 -425.110945170897</f>
        <v>-1067.7666235759389</v>
      </c>
      <c r="Q2436" t="s">
        <v>47690</v>
      </c>
      <c r="R2436" t="s">
        <v>47691</v>
      </c>
      <c r="S2436" t="s">
        <v>47692</v>
      </c>
      <c r="T2436" t="s">
        <v>47693</v>
      </c>
      <c r="U2436" t="s">
        <v>47694</v>
      </c>
      <c r="V2436" t="s">
        <v>47695</v>
      </c>
      <c r="W2436" t="s">
        <v>47696</v>
      </c>
      <c r="X2436" t="s">
        <v>47697</v>
      </c>
      <c r="Y2436" t="s">
        <v>47698</v>
      </c>
    </row>
    <row r="2437" spans="1:25" x14ac:dyDescent="0.3">
      <c r="A2437">
        <v>121800</v>
      </c>
      <c r="B2437" t="s">
        <v>47699</v>
      </c>
      <c r="C2437" t="s">
        <v>47700</v>
      </c>
      <c r="D2437" t="s">
        <v>47701</v>
      </c>
      <c r="E2437" t="s">
        <v>47702</v>
      </c>
      <c r="F2437" t="s">
        <v>47703</v>
      </c>
      <c r="G2437" t="s">
        <v>47704</v>
      </c>
      <c r="H2437" t="s">
        <v>47705</v>
      </c>
      <c r="I2437" t="s">
        <v>47706</v>
      </c>
      <c r="J2437" t="s">
        <v>47707</v>
      </c>
      <c r="K2437" t="s">
        <v>47708</v>
      </c>
      <c r="L2437" t="s">
        <v>47709</v>
      </c>
      <c r="M2437" t="s">
        <v>47710</v>
      </c>
      <c r="N2437" t="s">
        <v>47711</v>
      </c>
      <c r="O2437">
        <f>-564.852399023848 -76.4781519006679 -740.86021313275</f>
        <v>-1382.1907640572658</v>
      </c>
      <c r="P2437">
        <f>-565.337208722274 -77.3324783626398 -424.339737399519</f>
        <v>-1067.0094244844327</v>
      </c>
      <c r="Q2437" t="s">
        <v>47712</v>
      </c>
      <c r="R2437" t="s">
        <v>47713</v>
      </c>
      <c r="S2437" t="s">
        <v>47714</v>
      </c>
      <c r="T2437" t="s">
        <v>47715</v>
      </c>
      <c r="U2437" t="s">
        <v>47716</v>
      </c>
      <c r="V2437" t="s">
        <v>47717</v>
      </c>
      <c r="W2437" t="s">
        <v>47718</v>
      </c>
      <c r="X2437" t="s">
        <v>47719</v>
      </c>
      <c r="Y2437" t="s">
        <v>47720</v>
      </c>
    </row>
    <row r="2438" spans="1:25" x14ac:dyDescent="0.3">
      <c r="A2438">
        <v>121850</v>
      </c>
      <c r="B2438" t="s">
        <v>47721</v>
      </c>
      <c r="C2438" t="s">
        <v>47722</v>
      </c>
      <c r="D2438" t="s">
        <v>47723</v>
      </c>
      <c r="E2438" t="s">
        <v>47724</v>
      </c>
      <c r="F2438" t="s">
        <v>47725</v>
      </c>
      <c r="G2438" t="s">
        <v>47726</v>
      </c>
      <c r="H2438" t="s">
        <v>47727</v>
      </c>
      <c r="I2438" t="s">
        <v>47728</v>
      </c>
      <c r="J2438" t="s">
        <v>47729</v>
      </c>
      <c r="K2438" t="s">
        <v>47730</v>
      </c>
      <c r="L2438" t="s">
        <v>47731</v>
      </c>
      <c r="M2438" t="s">
        <v>47732</v>
      </c>
      <c r="N2438" t="s">
        <v>47733</v>
      </c>
      <c r="O2438">
        <f>-567.516811919883 -76.698766863442 -739.55885273493</f>
        <v>-1383.7744315182549</v>
      </c>
      <c r="P2438">
        <f>-566.85871695146 -76.6823380228267 -423.037501952502</f>
        <v>-1066.5785569267887</v>
      </c>
      <c r="Q2438" t="s">
        <v>47734</v>
      </c>
      <c r="R2438" t="s">
        <v>47735</v>
      </c>
      <c r="S2438" t="s">
        <v>47736</v>
      </c>
      <c r="T2438" t="s">
        <v>47737</v>
      </c>
      <c r="U2438" t="s">
        <v>47738</v>
      </c>
      <c r="V2438" t="s">
        <v>47739</v>
      </c>
      <c r="W2438" t="s">
        <v>47740</v>
      </c>
      <c r="X2438" t="s">
        <v>47741</v>
      </c>
      <c r="Y2438" t="s">
        <v>47742</v>
      </c>
    </row>
    <row r="2439" spans="1:25" x14ac:dyDescent="0.3">
      <c r="A2439">
        <v>121900</v>
      </c>
      <c r="B2439" t="s">
        <v>47743</v>
      </c>
      <c r="C2439" t="s">
        <v>47744</v>
      </c>
      <c r="D2439" t="s">
        <v>47745</v>
      </c>
      <c r="E2439" t="s">
        <v>47746</v>
      </c>
      <c r="F2439" t="s">
        <v>47747</v>
      </c>
      <c r="G2439" t="s">
        <v>47748</v>
      </c>
      <c r="H2439" t="s">
        <v>47749</v>
      </c>
      <c r="I2439" t="s">
        <v>47750</v>
      </c>
      <c r="J2439" t="s">
        <v>47751</v>
      </c>
      <c r="K2439" t="s">
        <v>47752</v>
      </c>
      <c r="L2439" t="s">
        <v>47753</v>
      </c>
      <c r="M2439" t="s">
        <v>47754</v>
      </c>
      <c r="N2439" t="s">
        <v>47755</v>
      </c>
      <c r="O2439">
        <f>-568.818611586364 -76.9260840165478 -738.998075519894</f>
        <v>-1384.7427711228058</v>
      </c>
      <c r="P2439">
        <f>-567.656546447496 -76.3782512201286 -422.478594874796</f>
        <v>-1066.5133925424207</v>
      </c>
      <c r="Q2439" t="s">
        <v>47756</v>
      </c>
      <c r="R2439" t="s">
        <v>47757</v>
      </c>
      <c r="S2439" t="s">
        <v>47758</v>
      </c>
      <c r="T2439" t="s">
        <v>47759</v>
      </c>
      <c r="U2439" t="s">
        <v>47760</v>
      </c>
      <c r="V2439" t="s">
        <v>47761</v>
      </c>
      <c r="W2439" t="s">
        <v>47762</v>
      </c>
      <c r="X2439" t="s">
        <v>47763</v>
      </c>
      <c r="Y2439" t="s">
        <v>47764</v>
      </c>
    </row>
    <row r="2440" spans="1:25" x14ac:dyDescent="0.3">
      <c r="A2440">
        <v>121950</v>
      </c>
      <c r="B2440" t="s">
        <v>47765</v>
      </c>
      <c r="C2440" t="s">
        <v>47766</v>
      </c>
      <c r="D2440" t="s">
        <v>47767</v>
      </c>
      <c r="E2440" t="s">
        <v>47768</v>
      </c>
      <c r="F2440" t="s">
        <v>47769</v>
      </c>
      <c r="G2440" t="s">
        <v>47770</v>
      </c>
      <c r="H2440" t="s">
        <v>47771</v>
      </c>
      <c r="I2440" t="s">
        <v>47772</v>
      </c>
      <c r="J2440" t="s">
        <v>47773</v>
      </c>
      <c r="K2440" t="s">
        <v>47774</v>
      </c>
      <c r="L2440" t="s">
        <v>47775</v>
      </c>
      <c r="M2440" t="s">
        <v>47776</v>
      </c>
      <c r="N2440" t="s">
        <v>47777</v>
      </c>
      <c r="O2440">
        <f>-570.909142307045 -77.7913739419326 -737.908127113975</f>
        <v>-1386.6086433629525</v>
      </c>
      <c r="P2440">
        <f>-569.173690735088 -76.8519173850917 -421.392340006191</f>
        <v>-1067.4179481263707</v>
      </c>
      <c r="Q2440" t="s">
        <v>47778</v>
      </c>
      <c r="R2440" t="s">
        <v>47779</v>
      </c>
      <c r="S2440" t="s">
        <v>47780</v>
      </c>
      <c r="T2440" t="s">
        <v>47781</v>
      </c>
      <c r="U2440" t="s">
        <v>47782</v>
      </c>
      <c r="V2440" t="s">
        <v>47783</v>
      </c>
      <c r="W2440" t="s">
        <v>47784</v>
      </c>
      <c r="X2440" t="s">
        <v>47785</v>
      </c>
      <c r="Y2440" t="s">
        <v>47786</v>
      </c>
    </row>
    <row r="2441" spans="1:25" x14ac:dyDescent="0.3">
      <c r="A2441">
        <v>122000</v>
      </c>
      <c r="B2441" t="s">
        <v>47787</v>
      </c>
      <c r="C2441" t="s">
        <v>47788</v>
      </c>
      <c r="D2441" t="s">
        <v>47789</v>
      </c>
      <c r="E2441" t="s">
        <v>47790</v>
      </c>
      <c r="F2441" t="s">
        <v>47791</v>
      </c>
      <c r="G2441" t="s">
        <v>47792</v>
      </c>
      <c r="H2441" t="s">
        <v>47793</v>
      </c>
      <c r="I2441" t="s">
        <v>47794</v>
      </c>
      <c r="J2441" t="s">
        <v>47795</v>
      </c>
      <c r="K2441" t="s">
        <v>47796</v>
      </c>
      <c r="L2441" t="s">
        <v>47797</v>
      </c>
      <c r="M2441" t="s">
        <v>47798</v>
      </c>
      <c r="N2441" t="s">
        <v>47799</v>
      </c>
      <c r="O2441">
        <f>-572.192885074611 -78.4652826273377 -737.391937907591</f>
        <v>-1388.0501056095397</v>
      </c>
      <c r="P2441">
        <f>-570.255278366746 -77.1328412448789 -420.878635213387</f>
        <v>-1068.266754825012</v>
      </c>
      <c r="Q2441" t="s">
        <v>47800</v>
      </c>
      <c r="R2441" t="s">
        <v>47801</v>
      </c>
      <c r="S2441" t="s">
        <v>47802</v>
      </c>
      <c r="T2441" t="s">
        <v>47803</v>
      </c>
      <c r="U2441" t="s">
        <v>47804</v>
      </c>
      <c r="V2441" t="s">
        <v>47805</v>
      </c>
      <c r="W2441" t="s">
        <v>47806</v>
      </c>
      <c r="X2441" t="s">
        <v>47807</v>
      </c>
      <c r="Y2441" t="s">
        <v>47808</v>
      </c>
    </row>
    <row r="2442" spans="1:25" x14ac:dyDescent="0.3">
      <c r="A2442">
        <v>122050</v>
      </c>
      <c r="B2442" t="s">
        <v>47809</v>
      </c>
      <c r="C2442" t="s">
        <v>47810</v>
      </c>
      <c r="D2442" t="s">
        <v>47811</v>
      </c>
      <c r="E2442" t="s">
        <v>47812</v>
      </c>
      <c r="F2442" t="s">
        <v>47813</v>
      </c>
      <c r="G2442" t="s">
        <v>47814</v>
      </c>
      <c r="H2442" t="s">
        <v>47815</v>
      </c>
      <c r="I2442" t="s">
        <v>47816</v>
      </c>
      <c r="J2442" t="s">
        <v>47817</v>
      </c>
      <c r="K2442" t="s">
        <v>47818</v>
      </c>
      <c r="L2442" t="s">
        <v>47819</v>
      </c>
      <c r="M2442" t="s">
        <v>47820</v>
      </c>
      <c r="N2442" t="s">
        <v>47821</v>
      </c>
      <c r="O2442">
        <f>-574.712892433857 -79.808287157551 -736.505998484197</f>
        <v>-1391.027178075605</v>
      </c>
      <c r="P2442">
        <f>-572.451966734661 -77.8501273822025 -419.998009001563</f>
        <v>-1070.3001031184265</v>
      </c>
      <c r="Q2442" t="s">
        <v>47822</v>
      </c>
      <c r="R2442" t="s">
        <v>47823</v>
      </c>
      <c r="S2442" t="s">
        <v>47824</v>
      </c>
      <c r="T2442" t="s">
        <v>47825</v>
      </c>
      <c r="U2442" t="s">
        <v>47826</v>
      </c>
      <c r="V2442" t="s">
        <v>47827</v>
      </c>
      <c r="W2442" t="s">
        <v>47828</v>
      </c>
      <c r="X2442" t="s">
        <v>47829</v>
      </c>
      <c r="Y2442" t="s">
        <v>47830</v>
      </c>
    </row>
    <row r="2443" spans="1:25" x14ac:dyDescent="0.3">
      <c r="A2443">
        <v>122100</v>
      </c>
      <c r="B2443" t="s">
        <v>47831</v>
      </c>
      <c r="C2443" t="s">
        <v>47832</v>
      </c>
      <c r="D2443" t="s">
        <v>47833</v>
      </c>
      <c r="E2443" t="s">
        <v>47834</v>
      </c>
      <c r="F2443" t="s">
        <v>47835</v>
      </c>
      <c r="G2443" t="s">
        <v>47836</v>
      </c>
      <c r="H2443" t="s">
        <v>47837</v>
      </c>
      <c r="I2443" t="s">
        <v>47838</v>
      </c>
      <c r="J2443" t="s">
        <v>47839</v>
      </c>
      <c r="K2443" t="s">
        <v>47840</v>
      </c>
      <c r="L2443" t="s">
        <v>47841</v>
      </c>
      <c r="M2443" t="s">
        <v>47842</v>
      </c>
      <c r="N2443" t="s">
        <v>47843</v>
      </c>
      <c r="O2443">
        <f>-575.882650420397 -79.8836301915485 -736.146713568506</f>
        <v>-1391.9129941804515</v>
      </c>
      <c r="P2443">
        <f>-572.925895655162 -77.9130211753212 -419.644648274118</f>
        <v>-1070.4835651046012</v>
      </c>
      <c r="Q2443" t="s">
        <v>47844</v>
      </c>
      <c r="R2443" t="s">
        <v>47845</v>
      </c>
      <c r="S2443" t="s">
        <v>47846</v>
      </c>
      <c r="T2443" t="s">
        <v>47847</v>
      </c>
      <c r="U2443" t="s">
        <v>47848</v>
      </c>
      <c r="V2443" t="s">
        <v>47849</v>
      </c>
      <c r="W2443" t="s">
        <v>47850</v>
      </c>
      <c r="X2443" t="s">
        <v>47851</v>
      </c>
      <c r="Y2443" t="s">
        <v>47852</v>
      </c>
    </row>
    <row r="2444" spans="1:25" x14ac:dyDescent="0.3">
      <c r="A2444">
        <v>122150</v>
      </c>
      <c r="B2444" t="s">
        <v>47853</v>
      </c>
      <c r="C2444" t="s">
        <v>47854</v>
      </c>
      <c r="D2444" t="s">
        <v>47855</v>
      </c>
      <c r="E2444" t="s">
        <v>47856</v>
      </c>
      <c r="F2444" t="s">
        <v>47857</v>
      </c>
      <c r="G2444" t="s">
        <v>47858</v>
      </c>
      <c r="H2444" t="s">
        <v>47859</v>
      </c>
      <c r="I2444" t="s">
        <v>47860</v>
      </c>
      <c r="J2444" t="s">
        <v>47861</v>
      </c>
      <c r="K2444" t="s">
        <v>47862</v>
      </c>
      <c r="L2444" t="s">
        <v>47863</v>
      </c>
      <c r="M2444" t="s">
        <v>47864</v>
      </c>
      <c r="N2444" t="s">
        <v>47865</v>
      </c>
      <c r="O2444">
        <f>-578.326968008318 -80.9063379500502 -735.303982634702</f>
        <v>-1394.5372885930701</v>
      </c>
      <c r="P2444">
        <f>-574.632142795832 -77.7770425613494 -418.818972550324</f>
        <v>-1071.2281579075054</v>
      </c>
      <c r="Q2444" t="s">
        <v>47866</v>
      </c>
      <c r="R2444" t="s">
        <v>47867</v>
      </c>
      <c r="S2444" t="s">
        <v>47868</v>
      </c>
      <c r="T2444" t="s">
        <v>47869</v>
      </c>
      <c r="U2444" t="s">
        <v>47870</v>
      </c>
      <c r="V2444" t="s">
        <v>47871</v>
      </c>
      <c r="W2444" t="s">
        <v>47872</v>
      </c>
      <c r="X2444" t="s">
        <v>47873</v>
      </c>
      <c r="Y2444" t="s">
        <v>47874</v>
      </c>
    </row>
    <row r="2445" spans="1:25" x14ac:dyDescent="0.3">
      <c r="A2445">
        <v>122200</v>
      </c>
      <c r="B2445" t="s">
        <v>47875</v>
      </c>
      <c r="C2445" t="s">
        <v>47876</v>
      </c>
      <c r="D2445" t="s">
        <v>47877</v>
      </c>
      <c r="E2445" t="s">
        <v>47878</v>
      </c>
      <c r="F2445" t="s">
        <v>47879</v>
      </c>
      <c r="G2445" t="s">
        <v>47880</v>
      </c>
      <c r="H2445" t="s">
        <v>47881</v>
      </c>
      <c r="I2445" t="s">
        <v>47882</v>
      </c>
      <c r="J2445" t="s">
        <v>47883</v>
      </c>
      <c r="K2445" t="s">
        <v>47884</v>
      </c>
      <c r="L2445" t="s">
        <v>47885</v>
      </c>
      <c r="M2445" t="s">
        <v>47886</v>
      </c>
      <c r="N2445" t="s">
        <v>47887</v>
      </c>
      <c r="O2445">
        <f>-579.208285654136 -80.9934408343852 -735.019734194378</f>
        <v>-1395.2214606828993</v>
      </c>
      <c r="P2445">
        <f>-575.094917622152 -77.5199570334339 -418.543578417449</f>
        <v>-1071.1584530730349</v>
      </c>
      <c r="Q2445">
        <f>-328.153127658082 -0.347471625731174 -445.117977994056</f>
        <v>-773.61857727786912</v>
      </c>
      <c r="R2445" t="s">
        <v>47888</v>
      </c>
      <c r="S2445" t="s">
        <v>47889</v>
      </c>
      <c r="T2445" t="s">
        <v>47890</v>
      </c>
      <c r="U2445" t="s">
        <v>47891</v>
      </c>
      <c r="V2445" t="s">
        <v>47892</v>
      </c>
      <c r="W2445" t="s">
        <v>47893</v>
      </c>
      <c r="X2445" t="s">
        <v>47894</v>
      </c>
      <c r="Y2445" t="s">
        <v>47895</v>
      </c>
    </row>
    <row r="2446" spans="1:25" x14ac:dyDescent="0.3">
      <c r="A2446">
        <v>122250</v>
      </c>
      <c r="B2446" t="s">
        <v>47896</v>
      </c>
      <c r="C2446" t="s">
        <v>47897</v>
      </c>
      <c r="D2446" t="s">
        <v>47898</v>
      </c>
      <c r="E2446" t="s">
        <v>47899</v>
      </c>
      <c r="F2446" t="s">
        <v>47900</v>
      </c>
      <c r="G2446" t="s">
        <v>47901</v>
      </c>
      <c r="H2446" t="s">
        <v>47902</v>
      </c>
      <c r="I2446" t="s">
        <v>47903</v>
      </c>
      <c r="J2446" t="s">
        <v>47904</v>
      </c>
      <c r="K2446" t="s">
        <v>47905</v>
      </c>
      <c r="L2446" t="s">
        <v>47906</v>
      </c>
      <c r="M2446" t="s">
        <v>47907</v>
      </c>
      <c r="N2446" t="s">
        <v>47908</v>
      </c>
      <c r="O2446">
        <f>-580.857067255876 -81.9544474694985 -734.62832124312</f>
        <v>-1397.4398359684947</v>
      </c>
      <c r="P2446">
        <f>-576.993034712447 -77.399566714045 -418.162643663173</f>
        <v>-1072.555245089665</v>
      </c>
      <c r="Q2446">
        <f>-329.372244692809 -2.19375850565165 -444.048825837855</f>
        <v>-775.61482903631565</v>
      </c>
      <c r="R2446" t="s">
        <v>47909</v>
      </c>
      <c r="S2446" t="s">
        <v>47910</v>
      </c>
      <c r="T2446" t="s">
        <v>47911</v>
      </c>
      <c r="U2446" t="s">
        <v>47912</v>
      </c>
      <c r="V2446" t="s">
        <v>47913</v>
      </c>
      <c r="W2446" t="s">
        <v>47914</v>
      </c>
      <c r="X2446" t="s">
        <v>47915</v>
      </c>
      <c r="Y2446" t="s">
        <v>47916</v>
      </c>
    </row>
    <row r="2447" spans="1:25" x14ac:dyDescent="0.3">
      <c r="A2447">
        <v>122300</v>
      </c>
      <c r="B2447" t="s">
        <v>47917</v>
      </c>
      <c r="C2447" t="s">
        <v>47918</v>
      </c>
      <c r="D2447" t="s">
        <v>47919</v>
      </c>
      <c r="E2447" t="s">
        <v>47920</v>
      </c>
      <c r="F2447" t="s">
        <v>47921</v>
      </c>
      <c r="G2447" t="s">
        <v>47922</v>
      </c>
      <c r="H2447" t="s">
        <v>47923</v>
      </c>
      <c r="I2447" t="s">
        <v>47924</v>
      </c>
      <c r="J2447" t="s">
        <v>47925</v>
      </c>
      <c r="K2447" t="s">
        <v>47926</v>
      </c>
      <c r="L2447" t="s">
        <v>47927</v>
      </c>
      <c r="M2447" t="s">
        <v>47928</v>
      </c>
      <c r="N2447" t="s">
        <v>47929</v>
      </c>
      <c r="O2447">
        <f>-581.274448941285 -82.0419510343529 -734.626140295438</f>
        <v>-1397.9425402710758</v>
      </c>
      <c r="P2447">
        <f>-577.600875979091 -77.0807950052438 -418.164336567177</f>
        <v>-1072.8460075515118</v>
      </c>
      <c r="Q2447">
        <f>-329.538638409025 -2.95393479477755 -442.911017147399</f>
        <v>-775.4035903512015</v>
      </c>
      <c r="R2447" t="s">
        <v>47930</v>
      </c>
      <c r="S2447" t="s">
        <v>47931</v>
      </c>
      <c r="T2447" t="s">
        <v>47932</v>
      </c>
      <c r="U2447" t="s">
        <v>47933</v>
      </c>
      <c r="V2447" t="s">
        <v>47934</v>
      </c>
      <c r="W2447" t="s">
        <v>47935</v>
      </c>
      <c r="X2447" t="s">
        <v>47936</v>
      </c>
      <c r="Y2447" t="s">
        <v>47937</v>
      </c>
    </row>
    <row r="2448" spans="1:25" x14ac:dyDescent="0.3">
      <c r="A2448">
        <v>122350</v>
      </c>
      <c r="B2448" t="s">
        <v>47938</v>
      </c>
      <c r="C2448" t="s">
        <v>47939</v>
      </c>
      <c r="D2448" t="s">
        <v>47940</v>
      </c>
      <c r="E2448" t="s">
        <v>47941</v>
      </c>
      <c r="F2448" t="s">
        <v>47942</v>
      </c>
      <c r="G2448" t="s">
        <v>47943</v>
      </c>
      <c r="H2448" t="s">
        <v>47944</v>
      </c>
      <c r="I2448" t="s">
        <v>47945</v>
      </c>
      <c r="J2448" t="s">
        <v>47946</v>
      </c>
      <c r="K2448" t="s">
        <v>47947</v>
      </c>
      <c r="L2448" t="s">
        <v>47948</v>
      </c>
      <c r="M2448" t="s">
        <v>47949</v>
      </c>
      <c r="N2448" t="s">
        <v>47950</v>
      </c>
      <c r="O2448">
        <f>-582.022761057287 -83.4256970719378 -734.378175318453</f>
        <v>-1399.8266334476778</v>
      </c>
      <c r="P2448">
        <f>-579.670724434347 -77.6173688546862 -417.918243756796</f>
        <v>-1075.2063370458293</v>
      </c>
      <c r="Q2448">
        <f>-331.276418042748 -4.00204069781347 -440.78978104064</f>
        <v>-776.06823978120144</v>
      </c>
      <c r="R2448" t="s">
        <v>47951</v>
      </c>
      <c r="S2448" t="s">
        <v>47952</v>
      </c>
      <c r="T2448" t="s">
        <v>47953</v>
      </c>
      <c r="U2448" t="s">
        <v>47954</v>
      </c>
      <c r="V2448" t="s">
        <v>47955</v>
      </c>
      <c r="W2448" t="s">
        <v>47956</v>
      </c>
      <c r="X2448" t="s">
        <v>47957</v>
      </c>
      <c r="Y2448" t="s">
        <v>47958</v>
      </c>
    </row>
    <row r="2449" spans="1:25" x14ac:dyDescent="0.3">
      <c r="A2449">
        <v>122400</v>
      </c>
      <c r="B2449" t="s">
        <v>47959</v>
      </c>
      <c r="C2449" t="s">
        <v>47960</v>
      </c>
      <c r="D2449" t="s">
        <v>47961</v>
      </c>
      <c r="E2449" t="s">
        <v>47962</v>
      </c>
      <c r="F2449" t="s">
        <v>47963</v>
      </c>
      <c r="G2449" t="s">
        <v>47964</v>
      </c>
      <c r="H2449" t="s">
        <v>47965</v>
      </c>
      <c r="I2449" t="s">
        <v>47966</v>
      </c>
      <c r="J2449" t="s">
        <v>47967</v>
      </c>
      <c r="K2449" t="s">
        <v>47968</v>
      </c>
      <c r="L2449" t="s">
        <v>47969</v>
      </c>
      <c r="M2449" t="s">
        <v>47970</v>
      </c>
      <c r="N2449" t="s">
        <v>47971</v>
      </c>
      <c r="O2449">
        <f>-582.940128819817 -84.4207439920738 -734.154440736999</f>
        <v>-1401.5153135488899</v>
      </c>
      <c r="P2449">
        <f>-580.866961290319 -78.0566832798498 -417.7032187006</f>
        <v>-1076.6268632707688</v>
      </c>
      <c r="Q2449">
        <f>-332.263563839375 -4.85117759133833 -439.597907093515</f>
        <v>-776.71264852422837</v>
      </c>
      <c r="R2449" t="s">
        <v>47972</v>
      </c>
      <c r="S2449" t="s">
        <v>47973</v>
      </c>
      <c r="T2449" t="s">
        <v>47974</v>
      </c>
      <c r="U2449" t="s">
        <v>47975</v>
      </c>
      <c r="V2449" t="s">
        <v>47976</v>
      </c>
      <c r="W2449" t="s">
        <v>47977</v>
      </c>
      <c r="X2449" t="s">
        <v>47978</v>
      </c>
      <c r="Y2449" t="s">
        <v>47979</v>
      </c>
    </row>
    <row r="2450" spans="1:25" x14ac:dyDescent="0.3">
      <c r="A2450">
        <v>122450</v>
      </c>
      <c r="B2450" t="s">
        <v>47980</v>
      </c>
      <c r="C2450" t="s">
        <v>47981</v>
      </c>
      <c r="D2450" t="s">
        <v>47982</v>
      </c>
      <c r="E2450" t="s">
        <v>47983</v>
      </c>
      <c r="F2450" t="s">
        <v>47984</v>
      </c>
      <c r="G2450" t="s">
        <v>47985</v>
      </c>
      <c r="H2450" t="s">
        <v>47986</v>
      </c>
      <c r="I2450" t="s">
        <v>47987</v>
      </c>
      <c r="J2450" t="s">
        <v>47988</v>
      </c>
      <c r="K2450" t="s">
        <v>47989</v>
      </c>
      <c r="L2450" t="s">
        <v>47990</v>
      </c>
      <c r="M2450" t="s">
        <v>47991</v>
      </c>
      <c r="N2450" t="s">
        <v>47992</v>
      </c>
      <c r="O2450">
        <f>-583.864275760769 -86.1287500214016 -733.8302255438</f>
        <v>-1403.8232513259707</v>
      </c>
      <c r="P2450">
        <f>-582.678981356079 -78.4210241637307 -417.404117451659</f>
        <v>-1078.5041229714689</v>
      </c>
      <c r="Q2450">
        <f>-333.578242505182 -6.60356466133379 -438.215779579822</f>
        <v>-778.39758674633777</v>
      </c>
      <c r="R2450" t="s">
        <v>47993</v>
      </c>
      <c r="S2450" t="s">
        <v>47994</v>
      </c>
      <c r="T2450" t="s">
        <v>47995</v>
      </c>
      <c r="U2450" t="s">
        <v>47996</v>
      </c>
      <c r="V2450" t="s">
        <v>47997</v>
      </c>
      <c r="W2450" t="s">
        <v>47998</v>
      </c>
      <c r="X2450" t="s">
        <v>47999</v>
      </c>
      <c r="Y2450" t="s">
        <v>48000</v>
      </c>
    </row>
    <row r="2451" spans="1:25" x14ac:dyDescent="0.3">
      <c r="A2451">
        <v>122500</v>
      </c>
      <c r="B2451" t="s">
        <v>48001</v>
      </c>
      <c r="C2451" t="s">
        <v>48002</v>
      </c>
      <c r="D2451" t="s">
        <v>48003</v>
      </c>
      <c r="E2451" t="s">
        <v>48004</v>
      </c>
      <c r="F2451" t="s">
        <v>48005</v>
      </c>
      <c r="G2451" t="s">
        <v>48006</v>
      </c>
      <c r="H2451" t="s">
        <v>48007</v>
      </c>
      <c r="I2451" t="s">
        <v>48008</v>
      </c>
      <c r="J2451" t="s">
        <v>48009</v>
      </c>
      <c r="K2451" t="s">
        <v>48010</v>
      </c>
      <c r="L2451" t="s">
        <v>48011</v>
      </c>
      <c r="M2451" t="s">
        <v>48012</v>
      </c>
      <c r="N2451" t="s">
        <v>48013</v>
      </c>
      <c r="O2451">
        <f>-584.457535538638 -86.8057082306302 -733.812762881258</f>
        <v>-1405.0760066505263</v>
      </c>
      <c r="P2451">
        <f>-583.743623221303 -78.3540054322964 -417.404351380901</f>
        <v>-1079.5019800345003</v>
      </c>
      <c r="Q2451">
        <f>-334.16105744489 -7.91963756702222 -437.142707117786</f>
        <v>-779.22340212969823</v>
      </c>
      <c r="R2451" t="s">
        <v>48014</v>
      </c>
      <c r="S2451" t="s">
        <v>48015</v>
      </c>
      <c r="T2451" t="s">
        <v>48016</v>
      </c>
      <c r="U2451" t="s">
        <v>48017</v>
      </c>
      <c r="V2451" t="s">
        <v>48018</v>
      </c>
      <c r="W2451" t="s">
        <v>48019</v>
      </c>
      <c r="X2451" t="s">
        <v>48020</v>
      </c>
      <c r="Y2451" t="s">
        <v>48021</v>
      </c>
    </row>
    <row r="2452" spans="1:25" x14ac:dyDescent="0.3">
      <c r="A2452">
        <v>122550</v>
      </c>
      <c r="B2452" t="s">
        <v>48022</v>
      </c>
      <c r="C2452" t="s">
        <v>48023</v>
      </c>
      <c r="D2452" t="s">
        <v>48024</v>
      </c>
      <c r="E2452" t="s">
        <v>48025</v>
      </c>
      <c r="F2452" t="s">
        <v>48026</v>
      </c>
      <c r="G2452" t="s">
        <v>48027</v>
      </c>
      <c r="H2452" t="s">
        <v>48028</v>
      </c>
      <c r="I2452" t="s">
        <v>48029</v>
      </c>
      <c r="J2452" t="s">
        <v>48030</v>
      </c>
      <c r="K2452" t="s">
        <v>48031</v>
      </c>
      <c r="L2452" t="s">
        <v>48032</v>
      </c>
      <c r="M2452" t="s">
        <v>48033</v>
      </c>
      <c r="N2452" t="s">
        <v>48034</v>
      </c>
      <c r="O2452">
        <f>-585.784849060674 -88.291816219082 -733.773356212965</f>
        <v>-1407.850021492721</v>
      </c>
      <c r="P2452">
        <f>-585.308211104206 -78.3113667750987 -417.409246481371</f>
        <v>-1081.0288243606756</v>
      </c>
      <c r="Q2452">
        <f>-334.487619980843 -11.5389624908684 -433.917179918455</f>
        <v>-779.94376239016651</v>
      </c>
      <c r="R2452" t="s">
        <v>48035</v>
      </c>
      <c r="S2452" t="s">
        <v>48036</v>
      </c>
      <c r="T2452" t="s">
        <v>48037</v>
      </c>
      <c r="U2452" t="s">
        <v>48038</v>
      </c>
      <c r="V2452" t="s">
        <v>48039</v>
      </c>
      <c r="W2452" t="s">
        <v>48040</v>
      </c>
      <c r="X2452" t="s">
        <v>48041</v>
      </c>
      <c r="Y2452" t="s">
        <v>48042</v>
      </c>
    </row>
    <row r="2453" spans="1:25" x14ac:dyDescent="0.3">
      <c r="A2453">
        <v>122600</v>
      </c>
      <c r="B2453" t="s">
        <v>48043</v>
      </c>
      <c r="C2453" t="s">
        <v>48044</v>
      </c>
      <c r="D2453" t="s">
        <v>48045</v>
      </c>
      <c r="E2453" t="s">
        <v>48046</v>
      </c>
      <c r="F2453" t="s">
        <v>48047</v>
      </c>
      <c r="G2453" t="s">
        <v>48048</v>
      </c>
      <c r="H2453" t="s">
        <v>48049</v>
      </c>
      <c r="I2453" t="s">
        <v>48050</v>
      </c>
      <c r="J2453" t="s">
        <v>48051</v>
      </c>
      <c r="K2453" t="s">
        <v>48052</v>
      </c>
      <c r="L2453" t="s">
        <v>48053</v>
      </c>
      <c r="M2453" t="s">
        <v>48054</v>
      </c>
      <c r="N2453" t="s">
        <v>48055</v>
      </c>
      <c r="O2453">
        <f>-586.564706175896 -88.763360714159 -733.804848797547</f>
        <v>-1409.1329156876022</v>
      </c>
      <c r="P2453">
        <f>-586.042022485124 -78.2212425051637 -417.458869758317</f>
        <v>-1081.7221347486047</v>
      </c>
      <c r="Q2453">
        <f>-334.552842985057 -13.6090165957921 -432.308389218589</f>
        <v>-780.4702487994382</v>
      </c>
      <c r="R2453" t="s">
        <v>48056</v>
      </c>
      <c r="S2453" t="s">
        <v>48057</v>
      </c>
      <c r="T2453" t="s">
        <v>48058</v>
      </c>
      <c r="U2453" t="s">
        <v>48059</v>
      </c>
      <c r="V2453" t="s">
        <v>48060</v>
      </c>
      <c r="W2453" t="s">
        <v>48061</v>
      </c>
      <c r="X2453" t="s">
        <v>48062</v>
      </c>
      <c r="Y2453" t="s">
        <v>48063</v>
      </c>
    </row>
    <row r="2454" spans="1:25" x14ac:dyDescent="0.3">
      <c r="A2454">
        <v>122650</v>
      </c>
      <c r="B2454" t="s">
        <v>48064</v>
      </c>
      <c r="C2454" t="s">
        <v>48065</v>
      </c>
      <c r="D2454" t="s">
        <v>48066</v>
      </c>
      <c r="E2454" t="s">
        <v>48067</v>
      </c>
      <c r="F2454" t="s">
        <v>48068</v>
      </c>
      <c r="G2454" t="s">
        <v>48069</v>
      </c>
      <c r="H2454" t="s">
        <v>48070</v>
      </c>
      <c r="I2454" t="s">
        <v>48071</v>
      </c>
      <c r="J2454" t="s">
        <v>48072</v>
      </c>
      <c r="K2454" t="s">
        <v>48073</v>
      </c>
      <c r="L2454" t="s">
        <v>48074</v>
      </c>
      <c r="M2454" t="s">
        <v>48075</v>
      </c>
      <c r="N2454" t="s">
        <v>48076</v>
      </c>
      <c r="O2454">
        <f>-587.65745445488 -90.4527945290454 -733.607517839587</f>
        <v>-1411.7177668235124</v>
      </c>
      <c r="P2454">
        <f>-586.972146888834 -78.5129257040354 -417.311362312707</f>
        <v>-1082.7964349055765</v>
      </c>
      <c r="Q2454">
        <f>-334.462031096583 -17.4961803550736 -429.867368844289</f>
        <v>-781.82558029594566</v>
      </c>
      <c r="R2454" t="s">
        <v>48077</v>
      </c>
      <c r="S2454" t="s">
        <v>48078</v>
      </c>
      <c r="T2454" t="s">
        <v>48079</v>
      </c>
      <c r="U2454" t="s">
        <v>48080</v>
      </c>
      <c r="V2454" t="s">
        <v>48081</v>
      </c>
      <c r="W2454" t="s">
        <v>48082</v>
      </c>
      <c r="X2454" t="s">
        <v>48083</v>
      </c>
      <c r="Y2454" t="s">
        <v>48084</v>
      </c>
    </row>
    <row r="2455" spans="1:25" x14ac:dyDescent="0.3">
      <c r="A2455">
        <v>122700</v>
      </c>
      <c r="B2455" t="s">
        <v>48085</v>
      </c>
      <c r="C2455" t="s">
        <v>48086</v>
      </c>
      <c r="D2455" t="s">
        <v>48087</v>
      </c>
      <c r="E2455" t="s">
        <v>48088</v>
      </c>
      <c r="F2455" t="s">
        <v>48089</v>
      </c>
      <c r="G2455" t="s">
        <v>48090</v>
      </c>
      <c r="H2455" t="s">
        <v>48091</v>
      </c>
      <c r="I2455" t="s">
        <v>48092</v>
      </c>
      <c r="J2455" t="s">
        <v>48093</v>
      </c>
      <c r="K2455" t="s">
        <v>48094</v>
      </c>
      <c r="L2455" t="s">
        <v>48095</v>
      </c>
      <c r="M2455" t="s">
        <v>48096</v>
      </c>
      <c r="N2455" t="s">
        <v>48097</v>
      </c>
      <c r="O2455">
        <f>-588.423404054788 -91.3099674324662 -733.59501635444</f>
        <v>-1413.3283878416942</v>
      </c>
      <c r="P2455">
        <f>-587.727855576772 -78.7152248057925 -417.324369171517</f>
        <v>-1083.7674495540814</v>
      </c>
      <c r="Q2455">
        <f>-334.925778769045 -18.8680058811613 -429.63159315876</f>
        <v>-783.42537780896623</v>
      </c>
      <c r="R2455" t="s">
        <v>48098</v>
      </c>
      <c r="S2455" t="s">
        <v>48099</v>
      </c>
      <c r="T2455" t="s">
        <v>48100</v>
      </c>
      <c r="U2455" t="s">
        <v>48101</v>
      </c>
      <c r="V2455" t="s">
        <v>48102</v>
      </c>
      <c r="W2455" t="s">
        <v>48103</v>
      </c>
      <c r="X2455" t="s">
        <v>48104</v>
      </c>
      <c r="Y2455" t="s">
        <v>48105</v>
      </c>
    </row>
    <row r="2456" spans="1:25" x14ac:dyDescent="0.3">
      <c r="A2456">
        <v>122750</v>
      </c>
      <c r="B2456" t="s">
        <v>48106</v>
      </c>
      <c r="C2456" t="s">
        <v>48107</v>
      </c>
      <c r="D2456" t="s">
        <v>48108</v>
      </c>
      <c r="E2456" t="s">
        <v>48109</v>
      </c>
      <c r="F2456" t="s">
        <v>48110</v>
      </c>
      <c r="G2456" t="s">
        <v>48111</v>
      </c>
      <c r="H2456" t="s">
        <v>48112</v>
      </c>
      <c r="I2456" t="s">
        <v>48113</v>
      </c>
      <c r="J2456" t="s">
        <v>48114</v>
      </c>
      <c r="K2456" t="s">
        <v>48115</v>
      </c>
      <c r="L2456" t="s">
        <v>48116</v>
      </c>
      <c r="M2456" t="s">
        <v>48117</v>
      </c>
      <c r="N2456" t="s">
        <v>48118</v>
      </c>
      <c r="O2456">
        <f>-590.15782961402 -92.2740865901431 -733.610941320375</f>
        <v>-1416.0428575245382</v>
      </c>
      <c r="P2456">
        <f>-589.569424674848 -79.3229994842848 -417.354535199593</f>
        <v>-1086.2469593587257</v>
      </c>
      <c r="Q2456">
        <f>-336.571792772807 -20.4710857166393 -430.41990076885</f>
        <v>-787.46277925829634</v>
      </c>
      <c r="R2456" t="s">
        <v>48119</v>
      </c>
      <c r="S2456" t="s">
        <v>48120</v>
      </c>
      <c r="T2456" t="s">
        <v>48121</v>
      </c>
      <c r="U2456" t="s">
        <v>48122</v>
      </c>
      <c r="V2456" t="s">
        <v>48123</v>
      </c>
      <c r="W2456" t="s">
        <v>48124</v>
      </c>
      <c r="X2456" t="s">
        <v>48125</v>
      </c>
      <c r="Y2456" t="s">
        <v>48126</v>
      </c>
    </row>
    <row r="2457" spans="1:25" x14ac:dyDescent="0.3">
      <c r="A2457">
        <v>122800</v>
      </c>
      <c r="B2457" t="s">
        <v>48127</v>
      </c>
      <c r="C2457" t="s">
        <v>48128</v>
      </c>
      <c r="D2457" t="s">
        <v>48129</v>
      </c>
      <c r="E2457" t="s">
        <v>48130</v>
      </c>
      <c r="F2457" t="s">
        <v>48131</v>
      </c>
      <c r="G2457" t="s">
        <v>48132</v>
      </c>
      <c r="H2457" t="s">
        <v>48133</v>
      </c>
      <c r="I2457" t="s">
        <v>48134</v>
      </c>
      <c r="J2457" t="s">
        <v>48135</v>
      </c>
      <c r="K2457" t="s">
        <v>48136</v>
      </c>
      <c r="L2457" t="s">
        <v>48137</v>
      </c>
      <c r="M2457" t="s">
        <v>48138</v>
      </c>
      <c r="N2457" t="s">
        <v>48139</v>
      </c>
      <c r="O2457">
        <f>-591.186221596465 -92.5759819716484 -733.598426475503</f>
        <v>-1417.3606300436163</v>
      </c>
      <c r="P2457">
        <f>-590.452366885718 -79.2097801803917 -417.359680218644</f>
        <v>-1087.0218272847537</v>
      </c>
      <c r="Q2457">
        <f>-337.41521163396 -20.7211256419946 -431.264274303979</f>
        <v>-789.40061157993364</v>
      </c>
      <c r="R2457" t="s">
        <v>48140</v>
      </c>
      <c r="S2457" t="s">
        <v>48141</v>
      </c>
      <c r="T2457" t="s">
        <v>48142</v>
      </c>
      <c r="U2457" t="s">
        <v>48143</v>
      </c>
      <c r="V2457" t="s">
        <v>48144</v>
      </c>
      <c r="W2457" t="s">
        <v>48145</v>
      </c>
      <c r="X2457" t="s">
        <v>48146</v>
      </c>
      <c r="Y2457" t="s">
        <v>48147</v>
      </c>
    </row>
    <row r="2458" spans="1:25" x14ac:dyDescent="0.3">
      <c r="A2458">
        <v>122850</v>
      </c>
      <c r="B2458" t="s">
        <v>48148</v>
      </c>
      <c r="C2458" t="s">
        <v>48149</v>
      </c>
      <c r="D2458" t="s">
        <v>48150</v>
      </c>
      <c r="E2458" t="s">
        <v>48151</v>
      </c>
      <c r="F2458" t="s">
        <v>48152</v>
      </c>
      <c r="G2458" t="s">
        <v>48153</v>
      </c>
      <c r="H2458" t="s">
        <v>48154</v>
      </c>
      <c r="I2458" t="s">
        <v>48155</v>
      </c>
      <c r="J2458" t="s">
        <v>48156</v>
      </c>
      <c r="K2458" t="s">
        <v>48157</v>
      </c>
      <c r="L2458" t="s">
        <v>48158</v>
      </c>
      <c r="M2458" t="s">
        <v>48159</v>
      </c>
      <c r="N2458" t="s">
        <v>48160</v>
      </c>
      <c r="O2458">
        <f>-593.057106498868 -92.935686003029 -733.393293748842</f>
        <v>-1419.386086250739</v>
      </c>
      <c r="P2458">
        <f>-591.879197108657 -78.9996166376973 -417.180310152921</f>
        <v>-1088.0591238992752</v>
      </c>
      <c r="Q2458">
        <f>-338.658271595131 -21.4810132708316 -431.768109121764</f>
        <v>-791.90739398772666</v>
      </c>
      <c r="R2458" t="s">
        <v>48161</v>
      </c>
      <c r="S2458" t="s">
        <v>48162</v>
      </c>
      <c r="T2458" t="s">
        <v>48163</v>
      </c>
      <c r="U2458" t="s">
        <v>48164</v>
      </c>
      <c r="V2458" t="s">
        <v>48165</v>
      </c>
      <c r="W2458" t="s">
        <v>48166</v>
      </c>
      <c r="X2458" t="s">
        <v>48167</v>
      </c>
      <c r="Y2458" t="s">
        <v>48168</v>
      </c>
    </row>
    <row r="2459" spans="1:25" x14ac:dyDescent="0.3">
      <c r="A2459">
        <v>122900</v>
      </c>
      <c r="B2459" t="s">
        <v>48169</v>
      </c>
      <c r="C2459" t="s">
        <v>48170</v>
      </c>
      <c r="D2459" t="s">
        <v>48171</v>
      </c>
      <c r="E2459" t="s">
        <v>48172</v>
      </c>
      <c r="F2459" t="s">
        <v>48173</v>
      </c>
      <c r="G2459" t="s">
        <v>48174</v>
      </c>
      <c r="H2459" t="s">
        <v>48175</v>
      </c>
      <c r="I2459" t="s">
        <v>48176</v>
      </c>
      <c r="J2459" t="s">
        <v>48177</v>
      </c>
      <c r="K2459" t="s">
        <v>48178</v>
      </c>
      <c r="L2459" t="s">
        <v>48179</v>
      </c>
      <c r="M2459" t="s">
        <v>48180</v>
      </c>
      <c r="N2459" t="s">
        <v>48181</v>
      </c>
      <c r="O2459">
        <f>-594.049112100254 -92.5577878195876 -733.149640392977</f>
        <v>-1419.7565403128185</v>
      </c>
      <c r="P2459">
        <f>-592.612367004618 -78.681857254056 -416.935313812733</f>
        <v>-1088.229538071407</v>
      </c>
      <c r="Q2459">
        <f>-339.35323719595 -21.3649516854229 -431.654289664431</f>
        <v>-792.37247854580392</v>
      </c>
      <c r="R2459" t="s">
        <v>48182</v>
      </c>
      <c r="S2459" t="s">
        <v>48183</v>
      </c>
      <c r="T2459" t="s">
        <v>48184</v>
      </c>
      <c r="U2459" t="s">
        <v>48185</v>
      </c>
      <c r="V2459" t="s">
        <v>48186</v>
      </c>
      <c r="W2459" t="s">
        <v>48187</v>
      </c>
      <c r="X2459" t="s">
        <v>48188</v>
      </c>
      <c r="Y2459" t="s">
        <v>48189</v>
      </c>
    </row>
    <row r="2460" spans="1:25" x14ac:dyDescent="0.3">
      <c r="A2460">
        <v>122950</v>
      </c>
      <c r="B2460" t="s">
        <v>48190</v>
      </c>
      <c r="C2460" t="s">
        <v>48191</v>
      </c>
      <c r="D2460" t="s">
        <v>48192</v>
      </c>
      <c r="E2460" t="s">
        <v>48193</v>
      </c>
      <c r="F2460" t="s">
        <v>48194</v>
      </c>
      <c r="G2460" t="s">
        <v>48195</v>
      </c>
      <c r="H2460" t="s">
        <v>48196</v>
      </c>
      <c r="I2460" t="s">
        <v>48197</v>
      </c>
      <c r="J2460" t="s">
        <v>48198</v>
      </c>
      <c r="K2460" t="s">
        <v>48199</v>
      </c>
      <c r="L2460" t="s">
        <v>48200</v>
      </c>
      <c r="M2460" t="s">
        <v>48201</v>
      </c>
      <c r="N2460" t="s">
        <v>48202</v>
      </c>
      <c r="O2460">
        <f>-594.133690505845 -91.9312195223628 -732.430848873164</f>
        <v>-1418.4957589013718</v>
      </c>
      <c r="P2460">
        <f>-592.289252381748 -78.4729914885966 -416.200411166268</f>
        <v>-1086.9626550366127</v>
      </c>
      <c r="Q2460">
        <f>-338.964898742601 -21.6581080666407 -431.720204802875</f>
        <v>-792.34321161211665</v>
      </c>
      <c r="R2460" t="s">
        <v>48203</v>
      </c>
      <c r="S2460" t="s">
        <v>48204</v>
      </c>
      <c r="T2460" t="s">
        <v>48205</v>
      </c>
      <c r="U2460" t="s">
        <v>48206</v>
      </c>
      <c r="V2460" t="s">
        <v>48207</v>
      </c>
      <c r="W2460" t="s">
        <v>48208</v>
      </c>
      <c r="X2460" t="s">
        <v>48209</v>
      </c>
      <c r="Y2460" t="s">
        <v>48210</v>
      </c>
    </row>
    <row r="2461" spans="1:25" x14ac:dyDescent="0.3">
      <c r="A2461">
        <v>123000</v>
      </c>
      <c r="B2461" t="s">
        <v>48211</v>
      </c>
      <c r="C2461" t="s">
        <v>48212</v>
      </c>
      <c r="D2461" t="s">
        <v>48213</v>
      </c>
      <c r="E2461" t="s">
        <v>48214</v>
      </c>
      <c r="F2461" t="s">
        <v>48215</v>
      </c>
      <c r="G2461" t="s">
        <v>48216</v>
      </c>
      <c r="H2461" t="s">
        <v>48217</v>
      </c>
      <c r="I2461" t="s">
        <v>48218</v>
      </c>
      <c r="J2461" t="s">
        <v>48219</v>
      </c>
      <c r="K2461" t="s">
        <v>48220</v>
      </c>
      <c r="L2461" t="s">
        <v>48221</v>
      </c>
      <c r="M2461" t="s">
        <v>48222</v>
      </c>
      <c r="N2461" t="s">
        <v>48223</v>
      </c>
      <c r="O2461">
        <f>-593.268533638072 -91.6435103734109 -732.157274345045</f>
        <v>-1417.0693183565279</v>
      </c>
      <c r="P2461">
        <f>-591.711327613553 -78.5516204943456 -415.909933993886</f>
        <v>-1086.1728821017846</v>
      </c>
      <c r="Q2461">
        <f>-338.423399723778 -21.7349974454677 -432.007758167188</f>
        <v>-792.16615533643369</v>
      </c>
      <c r="R2461" t="s">
        <v>48224</v>
      </c>
      <c r="S2461" t="s">
        <v>48225</v>
      </c>
      <c r="T2461" t="s">
        <v>48226</v>
      </c>
      <c r="U2461" t="s">
        <v>48227</v>
      </c>
      <c r="V2461" t="s">
        <v>48228</v>
      </c>
      <c r="W2461" t="s">
        <v>48229</v>
      </c>
      <c r="X2461" t="s">
        <v>48230</v>
      </c>
      <c r="Y2461" t="s">
        <v>48231</v>
      </c>
    </row>
    <row r="2462" spans="1:25" x14ac:dyDescent="0.3">
      <c r="A2462">
        <v>123050</v>
      </c>
      <c r="B2462" t="s">
        <v>48232</v>
      </c>
      <c r="C2462" t="s">
        <v>48233</v>
      </c>
      <c r="D2462" t="s">
        <v>48234</v>
      </c>
      <c r="E2462" t="s">
        <v>48235</v>
      </c>
      <c r="F2462" t="s">
        <v>48236</v>
      </c>
      <c r="G2462" t="s">
        <v>48237</v>
      </c>
      <c r="H2462" t="s">
        <v>48238</v>
      </c>
      <c r="I2462" t="s">
        <v>48239</v>
      </c>
      <c r="J2462" t="s">
        <v>48240</v>
      </c>
      <c r="K2462" t="s">
        <v>48241</v>
      </c>
      <c r="L2462" t="s">
        <v>48242</v>
      </c>
      <c r="M2462" t="s">
        <v>48243</v>
      </c>
      <c r="N2462" t="s">
        <v>48244</v>
      </c>
      <c r="O2462">
        <f>-591.368218966993 -90.5305892950572 -732.743234978662</f>
        <v>-1414.6420432407122</v>
      </c>
      <c r="P2462">
        <f>-590.880447861794 -77.1460627863202 -416.504767797471</f>
        <v>-1084.531278445585</v>
      </c>
      <c r="Q2462">
        <f>-337.595063628028 -20.3242845416314 -432.625843359028</f>
        <v>-790.54519152868738</v>
      </c>
      <c r="R2462" t="s">
        <v>48245</v>
      </c>
      <c r="S2462" t="s">
        <v>48246</v>
      </c>
      <c r="T2462" t="s">
        <v>48247</v>
      </c>
      <c r="U2462" t="s">
        <v>48248</v>
      </c>
      <c r="V2462" t="s">
        <v>48249</v>
      </c>
      <c r="W2462" t="s">
        <v>48250</v>
      </c>
      <c r="X2462" t="s">
        <v>48251</v>
      </c>
      <c r="Y2462" t="s">
        <v>48252</v>
      </c>
    </row>
    <row r="2463" spans="1:25" x14ac:dyDescent="0.3">
      <c r="A2463">
        <v>123100</v>
      </c>
      <c r="B2463" t="s">
        <v>48253</v>
      </c>
      <c r="C2463" t="s">
        <v>48254</v>
      </c>
      <c r="D2463" t="s">
        <v>48255</v>
      </c>
      <c r="E2463" t="s">
        <v>48256</v>
      </c>
      <c r="F2463" t="s">
        <v>48257</v>
      </c>
      <c r="G2463" t="s">
        <v>48258</v>
      </c>
      <c r="H2463" t="s">
        <v>48259</v>
      </c>
      <c r="I2463" t="s">
        <v>48260</v>
      </c>
      <c r="J2463" t="s">
        <v>48261</v>
      </c>
      <c r="K2463" t="s">
        <v>48262</v>
      </c>
      <c r="L2463" t="s">
        <v>48263</v>
      </c>
      <c r="M2463" t="s">
        <v>48264</v>
      </c>
      <c r="N2463" t="s">
        <v>48265</v>
      </c>
      <c r="O2463">
        <f>-590.28242442241 -89.5854413815184 -733.587796249008</f>
        <v>-1413.4556620529365</v>
      </c>
      <c r="P2463">
        <f>-590.066521403861 -76.2899596484306 -417.345108594348</f>
        <v>-1083.7015896466396</v>
      </c>
      <c r="Q2463">
        <f>-336.814601112895 -19.227006225752 -433.13588172314</f>
        <v>-789.17748906178701</v>
      </c>
      <c r="R2463" t="s">
        <v>48266</v>
      </c>
      <c r="S2463" t="s">
        <v>48267</v>
      </c>
      <c r="T2463" t="s">
        <v>48268</v>
      </c>
      <c r="U2463" t="s">
        <v>48269</v>
      </c>
      <c r="V2463" t="s">
        <v>48270</v>
      </c>
      <c r="W2463" t="s">
        <v>48271</v>
      </c>
      <c r="X2463" t="s">
        <v>48272</v>
      </c>
      <c r="Y2463" t="s">
        <v>48273</v>
      </c>
    </row>
    <row r="2464" spans="1:25" x14ac:dyDescent="0.3">
      <c r="A2464">
        <v>123150</v>
      </c>
      <c r="B2464" t="s">
        <v>48274</v>
      </c>
      <c r="C2464" t="s">
        <v>48275</v>
      </c>
      <c r="D2464" t="s">
        <v>48276</v>
      </c>
      <c r="E2464" t="s">
        <v>48277</v>
      </c>
      <c r="F2464" t="s">
        <v>48278</v>
      </c>
      <c r="G2464" t="s">
        <v>48279</v>
      </c>
      <c r="H2464" t="s">
        <v>48280</v>
      </c>
      <c r="I2464" t="s">
        <v>48281</v>
      </c>
      <c r="J2464" t="s">
        <v>48282</v>
      </c>
      <c r="K2464" t="s">
        <v>48283</v>
      </c>
      <c r="L2464" t="s">
        <v>48284</v>
      </c>
      <c r="M2464" t="s">
        <v>48285</v>
      </c>
      <c r="N2464" t="s">
        <v>48286</v>
      </c>
      <c r="O2464">
        <f>-588.169866670076 -88.4015636741302 -735.303550979544</f>
        <v>-1411.87498132375</v>
      </c>
      <c r="P2464">
        <f>-588.311496021009 -75.9594696721013 -419.026315369043</f>
        <v>-1083.2972810621534</v>
      </c>
      <c r="Q2464">
        <f>-335.314536356487 -17.7200096916905 -434.606466996411</f>
        <v>-787.64101304458848</v>
      </c>
      <c r="R2464" t="s">
        <v>48287</v>
      </c>
      <c r="S2464" t="s">
        <v>48288</v>
      </c>
      <c r="T2464" t="s">
        <v>48289</v>
      </c>
      <c r="U2464" t="s">
        <v>48290</v>
      </c>
      <c r="V2464" t="s">
        <v>48291</v>
      </c>
      <c r="W2464" t="s">
        <v>48292</v>
      </c>
      <c r="X2464" t="s">
        <v>48293</v>
      </c>
      <c r="Y2464" t="s">
        <v>48294</v>
      </c>
    </row>
    <row r="2465" spans="1:25" x14ac:dyDescent="0.3">
      <c r="A2465">
        <v>123200</v>
      </c>
      <c r="B2465" t="s">
        <v>48295</v>
      </c>
      <c r="C2465" t="s">
        <v>48296</v>
      </c>
      <c r="D2465" t="s">
        <v>48297</v>
      </c>
      <c r="E2465" t="s">
        <v>48298</v>
      </c>
      <c r="F2465" t="s">
        <v>48299</v>
      </c>
      <c r="G2465" t="s">
        <v>48300</v>
      </c>
      <c r="H2465" t="s">
        <v>48301</v>
      </c>
      <c r="I2465" t="s">
        <v>48302</v>
      </c>
      <c r="J2465" t="s">
        <v>48303</v>
      </c>
      <c r="K2465" t="s">
        <v>48304</v>
      </c>
      <c r="L2465" t="s">
        <v>48305</v>
      </c>
      <c r="M2465" t="s">
        <v>48306</v>
      </c>
      <c r="N2465" t="s">
        <v>48307</v>
      </c>
      <c r="O2465">
        <f>-587.615362909248 -88.1129971039449 -735.784851716546</f>
        <v>-1411.5132117297389</v>
      </c>
      <c r="P2465">
        <f>-587.524138185077 -76.5637342997635 -419.473674552976</f>
        <v>-1083.5615470378166</v>
      </c>
      <c r="Q2465">
        <f>-334.721890662593 -17.5266421529213 -435.212012176626</f>
        <v>-787.46054499214029</v>
      </c>
      <c r="R2465" t="s">
        <v>48308</v>
      </c>
      <c r="S2465" t="s">
        <v>48309</v>
      </c>
      <c r="T2465" t="s">
        <v>48310</v>
      </c>
      <c r="U2465" t="s">
        <v>48311</v>
      </c>
      <c r="V2465" t="s">
        <v>48312</v>
      </c>
      <c r="W2465" t="s">
        <v>48313</v>
      </c>
      <c r="X2465" t="s">
        <v>48314</v>
      </c>
      <c r="Y2465" t="s">
        <v>48315</v>
      </c>
    </row>
    <row r="2466" spans="1:25" x14ac:dyDescent="0.3">
      <c r="A2466">
        <v>123250</v>
      </c>
      <c r="B2466" t="s">
        <v>48316</v>
      </c>
      <c r="C2466" t="s">
        <v>48317</v>
      </c>
      <c r="D2466" t="s">
        <v>48318</v>
      </c>
      <c r="E2466" t="s">
        <v>48319</v>
      </c>
      <c r="F2466" t="s">
        <v>48320</v>
      </c>
      <c r="G2466" t="s">
        <v>48321</v>
      </c>
      <c r="H2466" t="s">
        <v>48322</v>
      </c>
      <c r="I2466" t="s">
        <v>48323</v>
      </c>
      <c r="J2466" t="s">
        <v>48324</v>
      </c>
      <c r="K2466" t="s">
        <v>48325</v>
      </c>
      <c r="L2466" t="s">
        <v>48326</v>
      </c>
      <c r="M2466" t="s">
        <v>48327</v>
      </c>
      <c r="N2466" t="s">
        <v>48328</v>
      </c>
      <c r="O2466">
        <f>-585.248424348057 -88.0062097100557 -736.546926771382</f>
        <v>-1409.8015608294947</v>
      </c>
      <c r="P2466">
        <f>-585.24006270223 -77.8277298704948 -420.18851620714</f>
        <v>-1083.2563087798649</v>
      </c>
      <c r="Q2466">
        <f>-332.80739542979 -17.2782774774932 -436.112383322962</f>
        <v>-786.19805623024513</v>
      </c>
      <c r="R2466" t="s">
        <v>48329</v>
      </c>
      <c r="S2466" t="s">
        <v>48330</v>
      </c>
      <c r="T2466" t="s">
        <v>48331</v>
      </c>
      <c r="U2466" t="s">
        <v>48332</v>
      </c>
      <c r="V2466" t="s">
        <v>48333</v>
      </c>
      <c r="W2466" t="s">
        <v>48334</v>
      </c>
      <c r="X2466" t="s">
        <v>48335</v>
      </c>
      <c r="Y2466" t="s">
        <v>48336</v>
      </c>
    </row>
    <row r="2467" spans="1:25" x14ac:dyDescent="0.3">
      <c r="A2467">
        <v>123300</v>
      </c>
      <c r="B2467" t="s">
        <v>48337</v>
      </c>
      <c r="C2467" t="s">
        <v>48338</v>
      </c>
      <c r="D2467" t="s">
        <v>48339</v>
      </c>
      <c r="E2467" t="s">
        <v>48340</v>
      </c>
      <c r="F2467" t="s">
        <v>48341</v>
      </c>
      <c r="G2467" t="s">
        <v>48342</v>
      </c>
      <c r="H2467" t="s">
        <v>48343</v>
      </c>
      <c r="I2467" t="s">
        <v>48344</v>
      </c>
      <c r="J2467" t="s">
        <v>48345</v>
      </c>
      <c r="K2467" t="s">
        <v>48346</v>
      </c>
      <c r="L2467" t="s">
        <v>48347</v>
      </c>
      <c r="M2467" t="s">
        <v>48348</v>
      </c>
      <c r="N2467" t="s">
        <v>48349</v>
      </c>
      <c r="O2467">
        <f>-584.308124792205 -87.6511901802302 -737.000200483868</f>
        <v>-1408.9595154563031</v>
      </c>
      <c r="P2467">
        <f>-584.192484364604 -77.8884211751554 -420.628792305007</f>
        <v>-1082.7096978447662</v>
      </c>
      <c r="Q2467">
        <f>-332.017435213168 -16.3166689901446 -436.713398871716</f>
        <v>-785.04750307502854</v>
      </c>
      <c r="R2467" t="s">
        <v>48350</v>
      </c>
      <c r="S2467" t="s">
        <v>48351</v>
      </c>
      <c r="T2467" t="s">
        <v>48352</v>
      </c>
      <c r="U2467" t="s">
        <v>48353</v>
      </c>
      <c r="V2467" t="s">
        <v>48354</v>
      </c>
      <c r="W2467" t="s">
        <v>48355</v>
      </c>
      <c r="X2467" t="s">
        <v>48356</v>
      </c>
      <c r="Y2467" t="s">
        <v>48357</v>
      </c>
    </row>
    <row r="2468" spans="1:25" x14ac:dyDescent="0.3">
      <c r="A2468">
        <v>123350</v>
      </c>
      <c r="B2468" t="s">
        <v>48358</v>
      </c>
      <c r="C2468" t="s">
        <v>48359</v>
      </c>
      <c r="D2468" t="s">
        <v>48360</v>
      </c>
      <c r="E2468" t="s">
        <v>48361</v>
      </c>
      <c r="F2468" t="s">
        <v>48362</v>
      </c>
      <c r="G2468" t="s">
        <v>48363</v>
      </c>
      <c r="H2468" t="s">
        <v>48364</v>
      </c>
      <c r="I2468" t="s">
        <v>48365</v>
      </c>
      <c r="J2468" t="s">
        <v>48366</v>
      </c>
      <c r="K2468" t="s">
        <v>48367</v>
      </c>
      <c r="L2468" t="s">
        <v>48368</v>
      </c>
      <c r="M2468" t="s">
        <v>48369</v>
      </c>
      <c r="N2468" t="s">
        <v>48370</v>
      </c>
      <c r="O2468">
        <f>-581.586041242295 -87.3384157377174 -737.830541145208</f>
        <v>-1406.7549981252205</v>
      </c>
      <c r="P2468">
        <f>-582.070238200865 -78.3716724635781 -421.435967960655</f>
        <v>-1081.877878625098</v>
      </c>
      <c r="Q2468">
        <f>-330.342126373454 -15.1820964948505 -438.231354552692</f>
        <v>-783.75557742099647</v>
      </c>
      <c r="R2468" t="s">
        <v>48371</v>
      </c>
      <c r="S2468" t="s">
        <v>48372</v>
      </c>
      <c r="T2468" t="s">
        <v>48373</v>
      </c>
      <c r="U2468" t="s">
        <v>48374</v>
      </c>
      <c r="V2468" t="s">
        <v>48375</v>
      </c>
      <c r="W2468" t="s">
        <v>48376</v>
      </c>
      <c r="X2468" t="s">
        <v>48377</v>
      </c>
      <c r="Y2468" t="s">
        <v>48378</v>
      </c>
    </row>
    <row r="2469" spans="1:25" x14ac:dyDescent="0.3">
      <c r="A2469">
        <v>123400</v>
      </c>
      <c r="B2469" t="s">
        <v>48379</v>
      </c>
      <c r="C2469" t="s">
        <v>48380</v>
      </c>
      <c r="D2469" t="s">
        <v>48381</v>
      </c>
      <c r="E2469" t="s">
        <v>48382</v>
      </c>
      <c r="F2469" t="s">
        <v>48383</v>
      </c>
      <c r="G2469" t="s">
        <v>48384</v>
      </c>
      <c r="H2469" t="s">
        <v>48385</v>
      </c>
      <c r="I2469" t="s">
        <v>48386</v>
      </c>
      <c r="J2469" t="s">
        <v>48387</v>
      </c>
      <c r="K2469" t="s">
        <v>48388</v>
      </c>
      <c r="L2469" t="s">
        <v>48389</v>
      </c>
      <c r="M2469" t="s">
        <v>48390</v>
      </c>
      <c r="N2469" t="s">
        <v>48391</v>
      </c>
      <c r="O2469">
        <f>-580.593237860942 -87.2410176074065 -738.184547785457</f>
        <v>-1406.0188032538056</v>
      </c>
      <c r="P2469">
        <f>-581.1473189691 -78.8040013203467 -421.775456139261</f>
        <v>-1081.7267764287076</v>
      </c>
      <c r="Q2469">
        <f>-329.567150158953 -14.9709527337924 -438.353636141491</f>
        <v>-782.89173903423637</v>
      </c>
      <c r="R2469" t="s">
        <v>48392</v>
      </c>
      <c r="S2469" t="s">
        <v>48393</v>
      </c>
      <c r="T2469" t="s">
        <v>48394</v>
      </c>
      <c r="U2469" t="s">
        <v>48395</v>
      </c>
      <c r="V2469" t="s">
        <v>48396</v>
      </c>
      <c r="W2469" t="s">
        <v>48397</v>
      </c>
      <c r="X2469" t="s">
        <v>48398</v>
      </c>
      <c r="Y2469" t="s">
        <v>48399</v>
      </c>
    </row>
    <row r="2470" spans="1:25" x14ac:dyDescent="0.3">
      <c r="A2470">
        <v>123450</v>
      </c>
      <c r="B2470" t="s">
        <v>48400</v>
      </c>
      <c r="C2470" t="s">
        <v>48401</v>
      </c>
      <c r="D2470" t="s">
        <v>48402</v>
      </c>
      <c r="E2470" t="s">
        <v>48403</v>
      </c>
      <c r="F2470" t="s">
        <v>48404</v>
      </c>
      <c r="G2470" t="s">
        <v>48405</v>
      </c>
      <c r="H2470" t="s">
        <v>48406</v>
      </c>
      <c r="I2470" t="s">
        <v>48407</v>
      </c>
      <c r="J2470" t="s">
        <v>48408</v>
      </c>
      <c r="K2470" t="s">
        <v>48409</v>
      </c>
      <c r="L2470" t="s">
        <v>48410</v>
      </c>
      <c r="M2470" t="s">
        <v>48411</v>
      </c>
      <c r="N2470" t="s">
        <v>48412</v>
      </c>
      <c r="O2470">
        <f>-579.740406145595 -87.4854950387178 -738.552808292888</f>
        <v>-1405.7787094772007</v>
      </c>
      <c r="P2470">
        <f>-580.544647889497 -79.4523310203328 -422.133791351557</f>
        <v>-1082.1307702613869</v>
      </c>
      <c r="Q2470">
        <f>-329.155705378999 -14.7960500703007 -438.418956004415</f>
        <v>-782.37071145371465</v>
      </c>
      <c r="R2470" t="s">
        <v>48413</v>
      </c>
      <c r="S2470" t="s">
        <v>48414</v>
      </c>
      <c r="T2470" t="s">
        <v>48415</v>
      </c>
      <c r="U2470" t="s">
        <v>48416</v>
      </c>
      <c r="V2470" t="s">
        <v>48417</v>
      </c>
      <c r="W2470" t="s">
        <v>48418</v>
      </c>
      <c r="X2470" t="s">
        <v>48419</v>
      </c>
      <c r="Y2470" t="s">
        <v>48420</v>
      </c>
    </row>
    <row r="2471" spans="1:25" x14ac:dyDescent="0.3">
      <c r="A2471">
        <v>123500</v>
      </c>
      <c r="B2471" t="s">
        <v>48421</v>
      </c>
      <c r="C2471" t="s">
        <v>48422</v>
      </c>
      <c r="D2471" t="s">
        <v>48423</v>
      </c>
      <c r="E2471" t="s">
        <v>48424</v>
      </c>
      <c r="F2471" t="s">
        <v>48425</v>
      </c>
      <c r="G2471" t="s">
        <v>48426</v>
      </c>
      <c r="H2471" t="s">
        <v>48427</v>
      </c>
      <c r="I2471" t="s">
        <v>48428</v>
      </c>
      <c r="J2471" t="s">
        <v>48429</v>
      </c>
      <c r="K2471" t="s">
        <v>48430</v>
      </c>
      <c r="L2471" t="s">
        <v>48431</v>
      </c>
      <c r="M2471" t="s">
        <v>48432</v>
      </c>
      <c r="N2471" t="s">
        <v>48433</v>
      </c>
      <c r="O2471">
        <f>-577.145153538601 -87.653712969202 -739.21351554619</f>
        <v>-1404.012382053993</v>
      </c>
      <c r="P2471">
        <f>-578.747939621441 -80.3290024235131 -422.780334588731</f>
        <v>-1081.8572766336852</v>
      </c>
      <c r="Q2471">
        <f>-327.637868366616 -14.2827916725456 -437.736529706228</f>
        <v>-779.65718974538959</v>
      </c>
      <c r="R2471" t="s">
        <v>48434</v>
      </c>
      <c r="S2471" t="s">
        <v>48435</v>
      </c>
      <c r="T2471" t="s">
        <v>48436</v>
      </c>
      <c r="U2471" t="s">
        <v>48437</v>
      </c>
      <c r="V2471" t="s">
        <v>48438</v>
      </c>
      <c r="W2471" t="s">
        <v>48439</v>
      </c>
      <c r="X2471" t="s">
        <v>48440</v>
      </c>
      <c r="Y2471" t="s">
        <v>48441</v>
      </c>
    </row>
    <row r="2472" spans="1:25" x14ac:dyDescent="0.3">
      <c r="A2472">
        <v>123550</v>
      </c>
      <c r="B2472" t="s">
        <v>48442</v>
      </c>
      <c r="C2472" t="s">
        <v>48443</v>
      </c>
      <c r="D2472" t="s">
        <v>48444</v>
      </c>
      <c r="E2472" t="s">
        <v>48445</v>
      </c>
      <c r="F2472" t="s">
        <v>48446</v>
      </c>
      <c r="G2472" t="s">
        <v>48447</v>
      </c>
      <c r="H2472" t="s">
        <v>48448</v>
      </c>
      <c r="I2472" t="s">
        <v>48449</v>
      </c>
      <c r="J2472" t="s">
        <v>48450</v>
      </c>
      <c r="K2472" t="s">
        <v>48451</v>
      </c>
      <c r="L2472" t="s">
        <v>48452</v>
      </c>
      <c r="M2472" t="s">
        <v>48453</v>
      </c>
      <c r="N2472" t="s">
        <v>48454</v>
      </c>
      <c r="O2472">
        <f>-575.047240732609 -88.3050374719779 -739.61620550634</f>
        <v>-1402.9684837109269</v>
      </c>
      <c r="P2472">
        <f>-577.765798541771 -80.8869691047311 -423.192866811336</f>
        <v>-1081.8456344578381</v>
      </c>
      <c r="Q2472">
        <f>-326.835446978286 -13.9023864217076 -436.943511673507</f>
        <v>-777.68134507350055</v>
      </c>
      <c r="R2472" t="s">
        <v>48455</v>
      </c>
      <c r="S2472" t="s">
        <v>48456</v>
      </c>
      <c r="T2472" t="s">
        <v>48457</v>
      </c>
      <c r="U2472" t="s">
        <v>48458</v>
      </c>
      <c r="V2472" t="s">
        <v>48459</v>
      </c>
      <c r="W2472" t="s">
        <v>48460</v>
      </c>
      <c r="X2472" t="s">
        <v>48461</v>
      </c>
      <c r="Y2472" t="s">
        <v>48462</v>
      </c>
    </row>
    <row r="2473" spans="1:25" x14ac:dyDescent="0.3">
      <c r="A2473">
        <v>123600</v>
      </c>
      <c r="B2473" t="s">
        <v>48463</v>
      </c>
      <c r="C2473" t="s">
        <v>48464</v>
      </c>
      <c r="D2473" t="s">
        <v>48465</v>
      </c>
      <c r="E2473" t="s">
        <v>48466</v>
      </c>
      <c r="F2473" t="s">
        <v>48467</v>
      </c>
      <c r="G2473" t="s">
        <v>48468</v>
      </c>
      <c r="H2473" t="s">
        <v>48469</v>
      </c>
      <c r="I2473" t="s">
        <v>48470</v>
      </c>
      <c r="J2473" t="s">
        <v>48471</v>
      </c>
      <c r="K2473" t="s">
        <v>48472</v>
      </c>
      <c r="L2473" t="s">
        <v>48473</v>
      </c>
      <c r="M2473" t="s">
        <v>48474</v>
      </c>
      <c r="N2473" t="s">
        <v>48475</v>
      </c>
      <c r="O2473">
        <f>-573.947562513603 -88.7584231522868 -739.726401669892</f>
        <v>-1402.4323873357816</v>
      </c>
      <c r="P2473">
        <f>-577.229837594651 -81.2201386879277 -423.311102811674</f>
        <v>-1081.7610790942526</v>
      </c>
      <c r="Q2473">
        <f>-326.342547458807 -13.964484293525 -436.512157997737</f>
        <v>-776.81918975006897</v>
      </c>
      <c r="R2473" t="s">
        <v>48476</v>
      </c>
      <c r="S2473" t="s">
        <v>48477</v>
      </c>
      <c r="T2473" t="s">
        <v>48478</v>
      </c>
      <c r="U2473" t="s">
        <v>48479</v>
      </c>
      <c r="V2473" t="s">
        <v>48480</v>
      </c>
      <c r="W2473" t="s">
        <v>48481</v>
      </c>
      <c r="X2473" t="s">
        <v>48482</v>
      </c>
      <c r="Y2473" t="s">
        <v>48483</v>
      </c>
    </row>
    <row r="2474" spans="1:25" x14ac:dyDescent="0.3">
      <c r="A2474">
        <v>123650</v>
      </c>
      <c r="B2474" t="s">
        <v>48484</v>
      </c>
      <c r="C2474" t="s">
        <v>48485</v>
      </c>
      <c r="D2474" t="s">
        <v>48486</v>
      </c>
      <c r="E2474" t="s">
        <v>48487</v>
      </c>
      <c r="F2474" t="s">
        <v>48488</v>
      </c>
      <c r="G2474" t="s">
        <v>48489</v>
      </c>
      <c r="H2474" t="s">
        <v>48490</v>
      </c>
      <c r="I2474" t="s">
        <v>48491</v>
      </c>
      <c r="J2474" t="s">
        <v>48492</v>
      </c>
      <c r="K2474" t="s">
        <v>48493</v>
      </c>
      <c r="L2474" t="s">
        <v>48494</v>
      </c>
      <c r="M2474" t="s">
        <v>48495</v>
      </c>
      <c r="N2474" t="s">
        <v>48496</v>
      </c>
      <c r="O2474">
        <f>-572.477481991918 -89.8234659630029 -739.698865440426</f>
        <v>-1401.9998133953468</v>
      </c>
      <c r="P2474">
        <f>-576.536510750922 -82.1001407918803 -423.297229939642</f>
        <v>-1081.9338814824443</v>
      </c>
      <c r="Q2474">
        <f>-325.81205384836 -14.1433358129434 -435.993740927318</f>
        <v>-775.94913058862141</v>
      </c>
      <c r="R2474" t="s">
        <v>48497</v>
      </c>
      <c r="S2474" t="s">
        <v>48498</v>
      </c>
      <c r="T2474" t="s">
        <v>48499</v>
      </c>
      <c r="U2474" t="s">
        <v>48500</v>
      </c>
      <c r="V2474" t="s">
        <v>48501</v>
      </c>
      <c r="W2474" t="s">
        <v>48502</v>
      </c>
      <c r="X2474" t="s">
        <v>48503</v>
      </c>
      <c r="Y2474" t="s">
        <v>48504</v>
      </c>
    </row>
    <row r="2475" spans="1:25" x14ac:dyDescent="0.3">
      <c r="A2475">
        <v>123700</v>
      </c>
      <c r="B2475" t="s">
        <v>48505</v>
      </c>
      <c r="C2475" t="s">
        <v>48506</v>
      </c>
      <c r="D2475" t="s">
        <v>48507</v>
      </c>
      <c r="E2475" t="s">
        <v>48508</v>
      </c>
      <c r="F2475" t="s">
        <v>48509</v>
      </c>
      <c r="G2475" t="s">
        <v>48510</v>
      </c>
      <c r="H2475" t="s">
        <v>48511</v>
      </c>
      <c r="I2475" t="s">
        <v>48512</v>
      </c>
      <c r="J2475" t="s">
        <v>48513</v>
      </c>
      <c r="K2475" t="s">
        <v>48514</v>
      </c>
      <c r="L2475" t="s">
        <v>48515</v>
      </c>
      <c r="M2475" t="s">
        <v>48516</v>
      </c>
      <c r="N2475" t="s">
        <v>48517</v>
      </c>
      <c r="O2475">
        <f>-571.985832733941 -90.3567039067785 -739.54455840631</f>
        <v>-1401.8870950470296</v>
      </c>
      <c r="P2475">
        <f>-576.121977899021 -82.2926745856041 -423.152333223015</f>
        <v>-1081.56698570764</v>
      </c>
      <c r="Q2475">
        <f>-325.461229346323 -14.052512446942 -435.583026370534</f>
        <v>-775.09676816379897</v>
      </c>
      <c r="R2475" t="s">
        <v>48518</v>
      </c>
      <c r="S2475" t="s">
        <v>48519</v>
      </c>
      <c r="T2475" t="s">
        <v>48520</v>
      </c>
      <c r="U2475" t="s">
        <v>48521</v>
      </c>
      <c r="V2475" t="s">
        <v>48522</v>
      </c>
      <c r="W2475" t="s">
        <v>48523</v>
      </c>
      <c r="X2475" t="s">
        <v>48524</v>
      </c>
      <c r="Y2475" t="s">
        <v>48525</v>
      </c>
    </row>
    <row r="2476" spans="1:25" x14ac:dyDescent="0.3">
      <c r="A2476">
        <v>123750</v>
      </c>
      <c r="B2476" t="s">
        <v>48526</v>
      </c>
      <c r="C2476" t="s">
        <v>48527</v>
      </c>
      <c r="D2476" t="s">
        <v>48528</v>
      </c>
      <c r="E2476" t="s">
        <v>48529</v>
      </c>
      <c r="F2476" t="s">
        <v>48530</v>
      </c>
      <c r="G2476" t="s">
        <v>48531</v>
      </c>
      <c r="H2476" t="s">
        <v>48532</v>
      </c>
      <c r="I2476" t="s">
        <v>48533</v>
      </c>
      <c r="J2476" t="s">
        <v>48534</v>
      </c>
      <c r="K2476" t="s">
        <v>48535</v>
      </c>
      <c r="L2476" t="s">
        <v>48536</v>
      </c>
      <c r="M2476" t="s">
        <v>48537</v>
      </c>
      <c r="N2476" t="s">
        <v>48538</v>
      </c>
      <c r="O2476">
        <f>-571.147673166711 -91.1337300826189 -739.185889755793</f>
        <v>-1401.4672930051229</v>
      </c>
      <c r="P2476">
        <f>-575.245383545501 -82.3144566171251 -422.81320039255</f>
        <v>-1080.373040555176</v>
      </c>
      <c r="Q2476">
        <f>-324.670210043627 -13.6701932434098 -434.733453311378</f>
        <v>-773.07385659841475</v>
      </c>
      <c r="R2476" t="s">
        <v>48539</v>
      </c>
      <c r="S2476" t="s">
        <v>48540</v>
      </c>
      <c r="T2476" t="s">
        <v>48541</v>
      </c>
      <c r="U2476" t="s">
        <v>48542</v>
      </c>
      <c r="V2476" t="s">
        <v>48543</v>
      </c>
      <c r="W2476" t="s">
        <v>48544</v>
      </c>
      <c r="X2476" t="s">
        <v>48545</v>
      </c>
      <c r="Y2476" t="s">
        <v>48546</v>
      </c>
    </row>
    <row r="2477" spans="1:25" x14ac:dyDescent="0.3">
      <c r="A2477">
        <v>123800</v>
      </c>
      <c r="B2477" t="s">
        <v>48547</v>
      </c>
      <c r="C2477" t="s">
        <v>48548</v>
      </c>
      <c r="D2477" t="s">
        <v>48549</v>
      </c>
      <c r="E2477" t="s">
        <v>48550</v>
      </c>
      <c r="F2477" t="s">
        <v>48551</v>
      </c>
      <c r="G2477" t="s">
        <v>48552</v>
      </c>
      <c r="H2477" t="s">
        <v>48553</v>
      </c>
      <c r="I2477" t="s">
        <v>48554</v>
      </c>
      <c r="J2477" t="s">
        <v>48555</v>
      </c>
      <c r="K2477" t="s">
        <v>48556</v>
      </c>
      <c r="L2477" t="s">
        <v>48557</v>
      </c>
      <c r="M2477" t="s">
        <v>48558</v>
      </c>
      <c r="N2477" t="s">
        <v>48559</v>
      </c>
      <c r="O2477">
        <f>-570.867844201849 -91.5461432760563 -738.950767570021</f>
        <v>-1401.3647550479263</v>
      </c>
      <c r="P2477">
        <f>-575.001591349079 -82.2476020915113 -422.592428772177</f>
        <v>-1079.8416222127673</v>
      </c>
      <c r="Q2477">
        <f>-324.487349395359 -13.3657347073279 -434.423128805494</f>
        <v>-772.27621290818092</v>
      </c>
      <c r="R2477" t="s">
        <v>48560</v>
      </c>
      <c r="S2477" t="s">
        <v>48561</v>
      </c>
      <c r="T2477" t="s">
        <v>48562</v>
      </c>
      <c r="U2477" t="s">
        <v>48563</v>
      </c>
      <c r="V2477" t="s">
        <v>48564</v>
      </c>
      <c r="W2477" t="s">
        <v>48565</v>
      </c>
      <c r="X2477" t="s">
        <v>48566</v>
      </c>
      <c r="Y2477" t="s">
        <v>48567</v>
      </c>
    </row>
    <row r="2478" spans="1:25" x14ac:dyDescent="0.3">
      <c r="A2478">
        <v>123850</v>
      </c>
      <c r="B2478" t="s">
        <v>48568</v>
      </c>
      <c r="C2478" t="s">
        <v>48569</v>
      </c>
      <c r="D2478" t="s">
        <v>48570</v>
      </c>
      <c r="E2478" t="s">
        <v>48571</v>
      </c>
      <c r="F2478" t="s">
        <v>48572</v>
      </c>
      <c r="G2478" t="s">
        <v>48573</v>
      </c>
      <c r="H2478" t="s">
        <v>48574</v>
      </c>
      <c r="I2478" t="s">
        <v>48575</v>
      </c>
      <c r="J2478" t="s">
        <v>48576</v>
      </c>
      <c r="K2478" t="s">
        <v>48577</v>
      </c>
      <c r="L2478" t="s">
        <v>48578</v>
      </c>
      <c r="M2478" t="s">
        <v>48579</v>
      </c>
      <c r="N2478" t="s">
        <v>48580</v>
      </c>
      <c r="O2478">
        <f>-570.694708993331 -92.4738961743349 -738.456684879251</f>
        <v>-1401.6252900469169</v>
      </c>
      <c r="P2478">
        <f>-574.93350036213 -82.1400136256266 -422.131802115105</f>
        <v>-1079.2053161028616</v>
      </c>
      <c r="Q2478">
        <f>-324.44274188793 -13.132685268556 -433.72649109664</f>
        <v>-771.30191825312602</v>
      </c>
      <c r="R2478" t="s">
        <v>48581</v>
      </c>
      <c r="S2478" t="s">
        <v>48582</v>
      </c>
      <c r="T2478" t="s">
        <v>48583</v>
      </c>
      <c r="U2478" t="s">
        <v>48584</v>
      </c>
      <c r="V2478" t="s">
        <v>48585</v>
      </c>
      <c r="W2478" t="s">
        <v>48586</v>
      </c>
      <c r="X2478" t="s">
        <v>48587</v>
      </c>
      <c r="Y2478" t="s">
        <v>48588</v>
      </c>
    </row>
    <row r="2479" spans="1:25" x14ac:dyDescent="0.3">
      <c r="A2479">
        <v>123900</v>
      </c>
      <c r="B2479" t="s">
        <v>48589</v>
      </c>
      <c r="C2479" t="s">
        <v>48590</v>
      </c>
      <c r="D2479" t="s">
        <v>48591</v>
      </c>
      <c r="E2479" t="s">
        <v>48592</v>
      </c>
      <c r="F2479" t="s">
        <v>48593</v>
      </c>
      <c r="G2479" t="s">
        <v>48594</v>
      </c>
      <c r="H2479" t="s">
        <v>48595</v>
      </c>
      <c r="I2479" t="s">
        <v>48596</v>
      </c>
      <c r="J2479" t="s">
        <v>48597</v>
      </c>
      <c r="K2479" t="s">
        <v>48598</v>
      </c>
      <c r="L2479" t="s">
        <v>48599</v>
      </c>
      <c r="M2479" t="s">
        <v>48600</v>
      </c>
      <c r="N2479" t="s">
        <v>48601</v>
      </c>
      <c r="O2479">
        <f>-570.658765785392 -92.8326177284206 -738.271532234426</f>
        <v>-1401.7629157482386</v>
      </c>
      <c r="P2479">
        <f>-574.930176417249 -81.8868508804538 -421.967655806362</f>
        <v>-1078.7846831040647</v>
      </c>
      <c r="Q2479">
        <f>-324.402128446852 -12.971166253326 -433.298110152181</f>
        <v>-770.67140485235893</v>
      </c>
      <c r="R2479" t="s">
        <v>48602</v>
      </c>
      <c r="S2479" t="s">
        <v>48603</v>
      </c>
      <c r="T2479" t="s">
        <v>48604</v>
      </c>
      <c r="U2479" t="s">
        <v>48605</v>
      </c>
      <c r="V2479" t="s">
        <v>48606</v>
      </c>
      <c r="W2479" t="s">
        <v>48607</v>
      </c>
      <c r="X2479" t="s">
        <v>48608</v>
      </c>
      <c r="Y2479" t="s">
        <v>48609</v>
      </c>
    </row>
    <row r="2480" spans="1:25" x14ac:dyDescent="0.3">
      <c r="A2480">
        <v>123950</v>
      </c>
      <c r="B2480" t="s">
        <v>48610</v>
      </c>
      <c r="C2480" t="s">
        <v>48611</v>
      </c>
      <c r="D2480" t="s">
        <v>48612</v>
      </c>
      <c r="E2480" t="s">
        <v>48613</v>
      </c>
      <c r="F2480" t="s">
        <v>48614</v>
      </c>
      <c r="G2480" t="s">
        <v>48615</v>
      </c>
      <c r="H2480" t="s">
        <v>48616</v>
      </c>
      <c r="I2480" t="s">
        <v>48617</v>
      </c>
      <c r="J2480" t="s">
        <v>48618</v>
      </c>
      <c r="K2480" t="s">
        <v>48619</v>
      </c>
      <c r="L2480" t="s">
        <v>48620</v>
      </c>
      <c r="M2480" t="s">
        <v>48621</v>
      </c>
      <c r="N2480" t="s">
        <v>48622</v>
      </c>
      <c r="O2480">
        <f>-571.037290572346 -93.0762886603418 -737.717570162549</f>
        <v>-1401.8311493952369</v>
      </c>
      <c r="P2480">
        <f>-575.428897868822 -81.2597875228822 -421.446633860688</f>
        <v>-1078.1353192523923</v>
      </c>
      <c r="Q2480">
        <f>-324.746195600587 -12.7889344604148 -432.029382350605</f>
        <v>-769.56451241160676</v>
      </c>
      <c r="R2480" t="s">
        <v>48623</v>
      </c>
      <c r="S2480" t="s">
        <v>48624</v>
      </c>
      <c r="T2480" t="s">
        <v>48625</v>
      </c>
      <c r="U2480" t="s">
        <v>48626</v>
      </c>
      <c r="V2480" t="s">
        <v>48627</v>
      </c>
      <c r="W2480" t="s">
        <v>48628</v>
      </c>
      <c r="X2480" t="s">
        <v>48629</v>
      </c>
      <c r="Y2480" t="s">
        <v>48630</v>
      </c>
    </row>
    <row r="2481" spans="1:25" x14ac:dyDescent="0.3">
      <c r="A2481">
        <v>124000</v>
      </c>
      <c r="B2481" t="s">
        <v>48631</v>
      </c>
      <c r="C2481" t="s">
        <v>48632</v>
      </c>
      <c r="D2481" t="s">
        <v>48633</v>
      </c>
      <c r="E2481" t="s">
        <v>48634</v>
      </c>
      <c r="F2481" t="s">
        <v>48635</v>
      </c>
      <c r="G2481" t="s">
        <v>48636</v>
      </c>
      <c r="H2481" t="s">
        <v>48637</v>
      </c>
      <c r="I2481" t="s">
        <v>48638</v>
      </c>
      <c r="J2481" t="s">
        <v>48639</v>
      </c>
      <c r="K2481" t="s">
        <v>48640</v>
      </c>
      <c r="L2481" t="s">
        <v>48641</v>
      </c>
      <c r="M2481" t="s">
        <v>48642</v>
      </c>
      <c r="N2481" t="s">
        <v>48643</v>
      </c>
      <c r="O2481">
        <f>-571.347685513509 -93.3401367975378 -737.436127413295</f>
        <v>-1402.1239497243419</v>
      </c>
      <c r="P2481">
        <f>-575.747679528065 -80.9794419949913 -421.186002620781</f>
        <v>-1077.9131241438372</v>
      </c>
      <c r="Q2481">
        <f>-324.996650009149 -12.7158766376472 -431.484328531497</f>
        <v>-769.19685517829316</v>
      </c>
      <c r="R2481" t="s">
        <v>48644</v>
      </c>
      <c r="S2481" t="s">
        <v>48645</v>
      </c>
      <c r="T2481" t="s">
        <v>48646</v>
      </c>
      <c r="U2481" t="s">
        <v>48647</v>
      </c>
      <c r="V2481" t="s">
        <v>48648</v>
      </c>
      <c r="W2481" t="s">
        <v>48649</v>
      </c>
      <c r="X2481" t="s">
        <v>48650</v>
      </c>
      <c r="Y2481" t="s">
        <v>48651</v>
      </c>
    </row>
    <row r="2482" spans="1:25" x14ac:dyDescent="0.3">
      <c r="A2482">
        <v>124050</v>
      </c>
      <c r="B2482" t="s">
        <v>48652</v>
      </c>
      <c r="C2482" t="s">
        <v>48653</v>
      </c>
      <c r="D2482" t="s">
        <v>48654</v>
      </c>
      <c r="E2482" t="s">
        <v>48655</v>
      </c>
      <c r="F2482" t="s">
        <v>48656</v>
      </c>
      <c r="G2482" t="s">
        <v>48657</v>
      </c>
      <c r="H2482" t="s">
        <v>48658</v>
      </c>
      <c r="I2482" t="s">
        <v>48659</v>
      </c>
      <c r="J2482" t="s">
        <v>48660</v>
      </c>
      <c r="K2482" t="s">
        <v>48661</v>
      </c>
      <c r="L2482" t="s">
        <v>48662</v>
      </c>
      <c r="M2482" t="s">
        <v>48663</v>
      </c>
      <c r="N2482" t="s">
        <v>48664</v>
      </c>
      <c r="O2482">
        <f>-571.76339296842 -93.7841539803082 -736.866567243648</f>
        <v>-1402.4141141923762</v>
      </c>
      <c r="P2482">
        <f>-576.251826795631 -80.6852964099491 -420.647622420623</f>
        <v>-1077.5847456262031</v>
      </c>
      <c r="Q2482">
        <f>-325.580139158902 -12.1353464674918 -430.975336527579</f>
        <v>-768.6908221539727</v>
      </c>
      <c r="R2482" t="s">
        <v>48665</v>
      </c>
      <c r="S2482" t="s">
        <v>48666</v>
      </c>
      <c r="T2482" t="s">
        <v>48667</v>
      </c>
      <c r="U2482" t="s">
        <v>48668</v>
      </c>
      <c r="V2482" t="s">
        <v>48669</v>
      </c>
      <c r="W2482" t="s">
        <v>48670</v>
      </c>
      <c r="X2482" t="s">
        <v>48671</v>
      </c>
      <c r="Y2482" t="s">
        <v>48672</v>
      </c>
    </row>
    <row r="2483" spans="1:25" x14ac:dyDescent="0.3">
      <c r="A2483">
        <v>124100</v>
      </c>
      <c r="B2483" t="s">
        <v>48673</v>
      </c>
      <c r="C2483" t="s">
        <v>48674</v>
      </c>
      <c r="D2483" t="s">
        <v>48675</v>
      </c>
      <c r="E2483" t="s">
        <v>48676</v>
      </c>
      <c r="F2483" t="s">
        <v>48677</v>
      </c>
      <c r="G2483" t="s">
        <v>48678</v>
      </c>
      <c r="H2483" t="s">
        <v>48679</v>
      </c>
      <c r="I2483" t="s">
        <v>48680</v>
      </c>
      <c r="J2483" t="s">
        <v>48681</v>
      </c>
      <c r="K2483" t="s">
        <v>48682</v>
      </c>
      <c r="L2483" t="s">
        <v>48683</v>
      </c>
      <c r="M2483" t="s">
        <v>48684</v>
      </c>
      <c r="N2483" t="s">
        <v>48685</v>
      </c>
      <c r="O2483">
        <f>-572.094311632991 -93.9583487907527 -736.769012450412</f>
        <v>-1402.8216728741556</v>
      </c>
      <c r="P2483">
        <f>-576.794817436437 -80.5333615073127 -420.566624584512</f>
        <v>-1077.8948035282617</v>
      </c>
      <c r="Q2483">
        <f>-326.162224872752 -11.8182309315778 -430.745133855819</f>
        <v>-768.72558966014878</v>
      </c>
      <c r="R2483" t="s">
        <v>48686</v>
      </c>
      <c r="S2483" t="s">
        <v>48687</v>
      </c>
      <c r="T2483" t="s">
        <v>48688</v>
      </c>
      <c r="U2483" t="s">
        <v>48689</v>
      </c>
      <c r="V2483" t="s">
        <v>48690</v>
      </c>
      <c r="W2483" t="s">
        <v>48691</v>
      </c>
      <c r="X2483" t="s">
        <v>48692</v>
      </c>
      <c r="Y2483" t="s">
        <v>48693</v>
      </c>
    </row>
    <row r="2484" spans="1:25" x14ac:dyDescent="0.3">
      <c r="A2484">
        <v>124150</v>
      </c>
      <c r="B2484" t="s">
        <v>48694</v>
      </c>
      <c r="C2484" t="s">
        <v>48695</v>
      </c>
      <c r="D2484" t="s">
        <v>48696</v>
      </c>
      <c r="E2484" t="s">
        <v>48697</v>
      </c>
      <c r="F2484" t="s">
        <v>48698</v>
      </c>
      <c r="G2484" t="s">
        <v>48699</v>
      </c>
      <c r="H2484" t="s">
        <v>48700</v>
      </c>
      <c r="I2484" t="s">
        <v>48701</v>
      </c>
      <c r="J2484" t="s">
        <v>48702</v>
      </c>
      <c r="K2484" t="s">
        <v>48703</v>
      </c>
      <c r="L2484" t="s">
        <v>48704</v>
      </c>
      <c r="M2484" t="s">
        <v>48705</v>
      </c>
      <c r="N2484" t="s">
        <v>48706</v>
      </c>
      <c r="O2484">
        <f>-572.429542585507 -94.0572977219776 -736.867656298087</f>
        <v>-1403.3544966055715</v>
      </c>
      <c r="P2484">
        <f>-576.997260270246 -80.7415654072094 -420.658932904544</f>
        <v>-1078.3977585819994</v>
      </c>
      <c r="Q2484">
        <f>-326.440118595246 -11.7126385387093 -430.567436405792</f>
        <v>-768.72019353974736</v>
      </c>
      <c r="R2484" t="s">
        <v>48707</v>
      </c>
      <c r="S2484" t="s">
        <v>48708</v>
      </c>
      <c r="T2484" t="s">
        <v>48709</v>
      </c>
      <c r="U2484" t="s">
        <v>48710</v>
      </c>
      <c r="V2484" t="s">
        <v>48711</v>
      </c>
      <c r="W2484" t="s">
        <v>48712</v>
      </c>
      <c r="X2484" t="s">
        <v>48713</v>
      </c>
      <c r="Y2484" t="s">
        <v>48714</v>
      </c>
    </row>
    <row r="2485" spans="1:25" x14ac:dyDescent="0.3">
      <c r="A2485">
        <v>124200</v>
      </c>
      <c r="B2485" t="s">
        <v>48715</v>
      </c>
      <c r="C2485" t="s">
        <v>48716</v>
      </c>
      <c r="D2485" t="s">
        <v>48717</v>
      </c>
      <c r="E2485" t="s">
        <v>48718</v>
      </c>
      <c r="F2485" t="s">
        <v>48719</v>
      </c>
      <c r="G2485" t="s">
        <v>48720</v>
      </c>
      <c r="H2485" t="s">
        <v>48721</v>
      </c>
      <c r="I2485" t="s">
        <v>48722</v>
      </c>
      <c r="J2485" t="s">
        <v>48723</v>
      </c>
      <c r="K2485" t="s">
        <v>48724</v>
      </c>
      <c r="L2485" t="s">
        <v>48725</v>
      </c>
      <c r="M2485" t="s">
        <v>48726</v>
      </c>
      <c r="N2485" t="s">
        <v>48727</v>
      </c>
      <c r="O2485">
        <f>-572.569779058258 -94.0430522725639 -737.29794659567</f>
        <v>-1403.9107779264918</v>
      </c>
      <c r="P2485">
        <f>-577.398202124168 -80.6863003411622 -421.094799179105</f>
        <v>-1079.1793016444353</v>
      </c>
      <c r="Q2485">
        <f>-326.943971788741 -11.1958612188206 -430.357426216171</f>
        <v>-768.49725922373261</v>
      </c>
      <c r="R2485" t="s">
        <v>48728</v>
      </c>
      <c r="S2485" t="s">
        <v>48729</v>
      </c>
      <c r="T2485" t="s">
        <v>48730</v>
      </c>
      <c r="U2485" t="s">
        <v>48731</v>
      </c>
      <c r="V2485" t="s">
        <v>48732</v>
      </c>
      <c r="W2485" t="s">
        <v>48733</v>
      </c>
      <c r="X2485" t="s">
        <v>48734</v>
      </c>
      <c r="Y2485" t="s">
        <v>48735</v>
      </c>
    </row>
    <row r="2486" spans="1:25" x14ac:dyDescent="0.3">
      <c r="A2486">
        <v>124250</v>
      </c>
      <c r="B2486" t="s">
        <v>48736</v>
      </c>
      <c r="C2486" t="s">
        <v>48737</v>
      </c>
      <c r="D2486" t="s">
        <v>48738</v>
      </c>
      <c r="E2486" t="s">
        <v>48739</v>
      </c>
      <c r="F2486" t="s">
        <v>48740</v>
      </c>
      <c r="G2486" t="s">
        <v>48741</v>
      </c>
      <c r="H2486" t="s">
        <v>48742</v>
      </c>
      <c r="I2486" t="s">
        <v>48743</v>
      </c>
      <c r="J2486" t="s">
        <v>48744</v>
      </c>
      <c r="K2486" t="s">
        <v>48745</v>
      </c>
      <c r="L2486" t="s">
        <v>48746</v>
      </c>
      <c r="M2486" t="s">
        <v>48747</v>
      </c>
      <c r="N2486" t="s">
        <v>48748</v>
      </c>
      <c r="O2486">
        <f>-571.78436929272 -93.5628124190333 -738.193360035562</f>
        <v>-1403.5405417473153</v>
      </c>
      <c r="P2486">
        <f>-577.485884703802 -80.5773374806423 -421.989127983165</f>
        <v>-1080.0523501676093</v>
      </c>
      <c r="Q2486">
        <f>-327.310764995657 -10.0024498554389 -430.570455022462</f>
        <v>-767.88366987355789</v>
      </c>
      <c r="R2486" t="s">
        <v>48749</v>
      </c>
      <c r="S2486" t="s">
        <v>48750</v>
      </c>
      <c r="T2486" t="s">
        <v>48751</v>
      </c>
      <c r="U2486" t="s">
        <v>48752</v>
      </c>
      <c r="V2486" t="s">
        <v>48753</v>
      </c>
      <c r="W2486" t="s">
        <v>48754</v>
      </c>
      <c r="X2486" t="s">
        <v>48755</v>
      </c>
      <c r="Y2486" t="s">
        <v>48756</v>
      </c>
    </row>
    <row r="2487" spans="1:25" x14ac:dyDescent="0.3">
      <c r="A2487">
        <v>124300</v>
      </c>
      <c r="B2487" t="s">
        <v>48757</v>
      </c>
      <c r="C2487" t="s">
        <v>48758</v>
      </c>
      <c r="D2487" t="s">
        <v>48759</v>
      </c>
      <c r="E2487" t="s">
        <v>48760</v>
      </c>
      <c r="F2487" t="s">
        <v>48761</v>
      </c>
      <c r="G2487" t="s">
        <v>48762</v>
      </c>
      <c r="H2487" t="s">
        <v>48763</v>
      </c>
      <c r="I2487" t="s">
        <v>48764</v>
      </c>
      <c r="J2487" t="s">
        <v>48765</v>
      </c>
      <c r="K2487" t="s">
        <v>48766</v>
      </c>
      <c r="L2487" t="s">
        <v>48767</v>
      </c>
      <c r="M2487" t="s">
        <v>48768</v>
      </c>
      <c r="N2487" t="s">
        <v>48769</v>
      </c>
      <c r="O2487">
        <f>-571.393596208353 -93.4138935060152 -738.684346408027</f>
        <v>-1403.4918361223949</v>
      </c>
      <c r="P2487">
        <f>-577.725122989765 -80.8415555723296 -422.475383190824</f>
        <v>-1081.0420617529187</v>
      </c>
      <c r="Q2487">
        <f>-327.709415098973 -9.65565035847924 -430.645753086667</f>
        <v>-768.01081854411927</v>
      </c>
      <c r="R2487" t="s">
        <v>48770</v>
      </c>
      <c r="S2487" t="s">
        <v>48771</v>
      </c>
      <c r="T2487" t="s">
        <v>48772</v>
      </c>
      <c r="U2487" t="s">
        <v>48773</v>
      </c>
      <c r="V2487" t="s">
        <v>48774</v>
      </c>
      <c r="W2487" t="s">
        <v>48775</v>
      </c>
      <c r="X2487" t="s">
        <v>48776</v>
      </c>
      <c r="Y2487" t="s">
        <v>48777</v>
      </c>
    </row>
    <row r="2488" spans="1:25" x14ac:dyDescent="0.3">
      <c r="A2488">
        <v>124350</v>
      </c>
      <c r="B2488" t="s">
        <v>48778</v>
      </c>
      <c r="C2488" t="s">
        <v>48779</v>
      </c>
      <c r="D2488" t="s">
        <v>48780</v>
      </c>
      <c r="E2488" t="s">
        <v>48781</v>
      </c>
      <c r="F2488" t="s">
        <v>48782</v>
      </c>
      <c r="G2488" t="s">
        <v>48783</v>
      </c>
      <c r="H2488" t="s">
        <v>48784</v>
      </c>
      <c r="I2488" t="s">
        <v>48785</v>
      </c>
      <c r="J2488" t="s">
        <v>48786</v>
      </c>
      <c r="K2488" t="s">
        <v>48787</v>
      </c>
      <c r="L2488" t="s">
        <v>48788</v>
      </c>
      <c r="M2488" t="s">
        <v>48789</v>
      </c>
      <c r="N2488" t="s">
        <v>48790</v>
      </c>
      <c r="O2488">
        <f>-570.436216645254 -92.7846968665615 -739.718306385292</f>
        <v>-1402.9392198971075</v>
      </c>
      <c r="P2488">
        <f>-577.734128953011 -80.9023228966449 -423.503694386711</f>
        <v>-1082.1401462363669</v>
      </c>
      <c r="Q2488">
        <f>-327.954077949688 -8.82207222378619 -431.014200244418</f>
        <v>-767.79035041789211</v>
      </c>
      <c r="R2488" t="s">
        <v>48791</v>
      </c>
      <c r="S2488" t="s">
        <v>48792</v>
      </c>
      <c r="T2488" t="s">
        <v>48793</v>
      </c>
      <c r="U2488" t="s">
        <v>48794</v>
      </c>
      <c r="V2488" t="s">
        <v>48795</v>
      </c>
      <c r="W2488" t="s">
        <v>48796</v>
      </c>
      <c r="X2488" t="s">
        <v>48797</v>
      </c>
      <c r="Y2488" t="s">
        <v>48798</v>
      </c>
    </row>
    <row r="2489" spans="1:25" x14ac:dyDescent="0.3">
      <c r="A2489">
        <v>124400</v>
      </c>
      <c r="B2489" t="s">
        <v>48799</v>
      </c>
      <c r="C2489" t="s">
        <v>48800</v>
      </c>
      <c r="D2489" t="s">
        <v>48801</v>
      </c>
      <c r="E2489" t="s">
        <v>48802</v>
      </c>
      <c r="F2489" t="s">
        <v>48803</v>
      </c>
      <c r="G2489" t="s">
        <v>48804</v>
      </c>
      <c r="H2489" t="s">
        <v>48805</v>
      </c>
      <c r="I2489" t="s">
        <v>48806</v>
      </c>
      <c r="J2489" t="s">
        <v>48807</v>
      </c>
      <c r="K2489" t="s">
        <v>48808</v>
      </c>
      <c r="L2489" t="s">
        <v>48809</v>
      </c>
      <c r="M2489" t="s">
        <v>48810</v>
      </c>
      <c r="N2489" t="s">
        <v>48811</v>
      </c>
      <c r="O2489">
        <f>-570.246419474911 -92.5104356957225 -740.130555172973</f>
        <v>-1402.8874103436065</v>
      </c>
      <c r="P2489">
        <f>-577.788937138095 -81.0434132090597 -423.9062978168</f>
        <v>-1082.7386481639546</v>
      </c>
      <c r="Q2489">
        <f>-328.117566506074 -8.57510580882783 -431.297610289336</f>
        <v>-767.99028260423779</v>
      </c>
      <c r="R2489" t="s">
        <v>48812</v>
      </c>
      <c r="S2489" t="s">
        <v>48813</v>
      </c>
      <c r="T2489" t="s">
        <v>48814</v>
      </c>
      <c r="U2489" t="s">
        <v>48815</v>
      </c>
      <c r="V2489" t="s">
        <v>48816</v>
      </c>
      <c r="W2489" t="s">
        <v>48817</v>
      </c>
      <c r="X2489" t="s">
        <v>48818</v>
      </c>
      <c r="Y2489" t="s">
        <v>48819</v>
      </c>
    </row>
    <row r="2490" spans="1:25" x14ac:dyDescent="0.3">
      <c r="A2490">
        <v>124450</v>
      </c>
      <c r="B2490" t="s">
        <v>48820</v>
      </c>
      <c r="C2490" t="s">
        <v>48821</v>
      </c>
      <c r="D2490" t="s">
        <v>48822</v>
      </c>
      <c r="E2490" t="s">
        <v>48823</v>
      </c>
      <c r="F2490" t="s">
        <v>48824</v>
      </c>
      <c r="G2490" t="s">
        <v>48825</v>
      </c>
      <c r="H2490" t="s">
        <v>48826</v>
      </c>
      <c r="I2490" t="s">
        <v>48827</v>
      </c>
      <c r="J2490" t="s">
        <v>48828</v>
      </c>
      <c r="K2490" t="s">
        <v>48829</v>
      </c>
      <c r="L2490" t="s">
        <v>48830</v>
      </c>
      <c r="M2490" t="s">
        <v>48831</v>
      </c>
      <c r="N2490" t="s">
        <v>48832</v>
      </c>
      <c r="O2490">
        <f>-569.730776025924 -91.8084513644265 -740.969051139232</f>
        <v>-1402.5082785295826</v>
      </c>
      <c r="P2490">
        <f>-577.655863632987 -81.438105661193 -424.716260751526</f>
        <v>-1083.810230045706</v>
      </c>
      <c r="Q2490">
        <f>-328.205285379668 -8.17174910019525 -431.68242050733</f>
        <v>-768.05945498719325</v>
      </c>
      <c r="R2490" t="s">
        <v>48833</v>
      </c>
      <c r="S2490" t="s">
        <v>48834</v>
      </c>
      <c r="T2490" t="s">
        <v>48835</v>
      </c>
      <c r="U2490" t="s">
        <v>48836</v>
      </c>
      <c r="V2490" t="s">
        <v>48837</v>
      </c>
      <c r="W2490" t="s">
        <v>48838</v>
      </c>
      <c r="X2490" t="s">
        <v>48839</v>
      </c>
      <c r="Y2490" t="s">
        <v>48840</v>
      </c>
    </row>
    <row r="2491" spans="1:25" x14ac:dyDescent="0.3">
      <c r="A2491">
        <v>124500</v>
      </c>
      <c r="B2491" t="s">
        <v>48841</v>
      </c>
      <c r="C2491" t="s">
        <v>48842</v>
      </c>
      <c r="D2491" t="s">
        <v>48843</v>
      </c>
      <c r="E2491" t="s">
        <v>48844</v>
      </c>
      <c r="F2491" t="s">
        <v>48845</v>
      </c>
      <c r="G2491" t="s">
        <v>48846</v>
      </c>
      <c r="H2491" t="s">
        <v>48847</v>
      </c>
      <c r="I2491" t="s">
        <v>48848</v>
      </c>
      <c r="J2491" t="s">
        <v>48849</v>
      </c>
      <c r="K2491" t="s">
        <v>48850</v>
      </c>
      <c r="L2491" t="s">
        <v>48851</v>
      </c>
      <c r="M2491" t="s">
        <v>48852</v>
      </c>
      <c r="N2491" t="s">
        <v>48853</v>
      </c>
      <c r="O2491">
        <f>-569.40540961003 -91.2876218323018 -741.474039887643</f>
        <v>-1402.167071329975</v>
      </c>
      <c r="P2491">
        <f>-577.59196526444 -81.5194124584473 -425.208654348804</f>
        <v>-1084.3200320716912</v>
      </c>
      <c r="Q2491">
        <f>-328.273565803479 -7.79264739594306 -432.047035762388</f>
        <v>-768.11324896181009</v>
      </c>
      <c r="R2491" t="s">
        <v>48854</v>
      </c>
      <c r="S2491" t="s">
        <v>48855</v>
      </c>
      <c r="T2491" t="s">
        <v>48856</v>
      </c>
      <c r="U2491" t="s">
        <v>48857</v>
      </c>
      <c r="V2491" t="s">
        <v>48858</v>
      </c>
      <c r="W2491" t="s">
        <v>48859</v>
      </c>
      <c r="X2491" t="s">
        <v>48860</v>
      </c>
      <c r="Y2491" t="s">
        <v>48861</v>
      </c>
    </row>
    <row r="2492" spans="1:25" x14ac:dyDescent="0.3">
      <c r="A2492">
        <v>124550</v>
      </c>
      <c r="B2492" t="s">
        <v>48862</v>
      </c>
      <c r="C2492" t="s">
        <v>48863</v>
      </c>
      <c r="D2492" t="s">
        <v>48864</v>
      </c>
      <c r="E2492" t="s">
        <v>48865</v>
      </c>
      <c r="F2492" t="s">
        <v>48866</v>
      </c>
      <c r="G2492" t="s">
        <v>48867</v>
      </c>
      <c r="H2492" t="s">
        <v>48868</v>
      </c>
      <c r="I2492" t="s">
        <v>48869</v>
      </c>
      <c r="J2492" t="s">
        <v>48870</v>
      </c>
      <c r="K2492" t="s">
        <v>48871</v>
      </c>
      <c r="L2492" t="s">
        <v>48872</v>
      </c>
      <c r="M2492" t="s">
        <v>48873</v>
      </c>
      <c r="N2492" t="s">
        <v>48874</v>
      </c>
      <c r="O2492">
        <f>-569.080504413628 -90.3049391897167 -742.315411437139</f>
        <v>-1401.7008550404837</v>
      </c>
      <c r="P2492">
        <f>-577.603709622987 -81.5846080165063 -426.028442879428</f>
        <v>-1085.2167605189213</v>
      </c>
      <c r="Q2492">
        <f>-328.457067933577 -7.23818247318336 -432.402497939247</f>
        <v>-768.09774834600739</v>
      </c>
      <c r="R2492" t="s">
        <v>48875</v>
      </c>
      <c r="S2492" t="s">
        <v>48876</v>
      </c>
      <c r="T2492" t="s">
        <v>48877</v>
      </c>
      <c r="U2492" t="s">
        <v>48878</v>
      </c>
      <c r="V2492" t="s">
        <v>48879</v>
      </c>
      <c r="W2492" t="s">
        <v>48880</v>
      </c>
      <c r="X2492" t="s">
        <v>48881</v>
      </c>
      <c r="Y2492" t="s">
        <v>48882</v>
      </c>
    </row>
    <row r="2493" spans="1:25" x14ac:dyDescent="0.3">
      <c r="A2493">
        <v>124600</v>
      </c>
      <c r="B2493" t="s">
        <v>48883</v>
      </c>
      <c r="C2493" t="s">
        <v>48884</v>
      </c>
      <c r="D2493" t="s">
        <v>48885</v>
      </c>
      <c r="E2493" t="s">
        <v>48886</v>
      </c>
      <c r="F2493" t="s">
        <v>48887</v>
      </c>
      <c r="G2493" t="s">
        <v>48888</v>
      </c>
      <c r="H2493" t="s">
        <v>48889</v>
      </c>
      <c r="I2493" t="s">
        <v>48890</v>
      </c>
      <c r="J2493" t="s">
        <v>48891</v>
      </c>
      <c r="K2493" t="s">
        <v>48892</v>
      </c>
      <c r="L2493" t="s">
        <v>48893</v>
      </c>
      <c r="M2493" t="s">
        <v>48894</v>
      </c>
      <c r="N2493" t="s">
        <v>48895</v>
      </c>
      <c r="O2493">
        <f>-568.619222968295 -90.1119114479122 -742.695698956696</f>
        <v>-1401.4268333729033</v>
      </c>
      <c r="P2493">
        <f>-577.360416371033 -81.8962407778711 -426.40101159094</f>
        <v>-1085.6576687398442</v>
      </c>
      <c r="Q2493">
        <f>-328.287660892153 -7.29696029135785 -432.706326384327</f>
        <v>-768.29094756783775</v>
      </c>
      <c r="R2493" t="s">
        <v>48896</v>
      </c>
      <c r="S2493" t="s">
        <v>48897</v>
      </c>
      <c r="T2493" t="s">
        <v>48898</v>
      </c>
      <c r="U2493" t="s">
        <v>48899</v>
      </c>
      <c r="V2493" t="s">
        <v>48900</v>
      </c>
      <c r="W2493" t="s">
        <v>48901</v>
      </c>
      <c r="X2493" t="s">
        <v>48902</v>
      </c>
      <c r="Y2493" t="s">
        <v>48903</v>
      </c>
    </row>
    <row r="2494" spans="1:25" x14ac:dyDescent="0.3">
      <c r="A2494">
        <v>124650</v>
      </c>
      <c r="B2494" t="s">
        <v>48904</v>
      </c>
      <c r="C2494" t="s">
        <v>48905</v>
      </c>
      <c r="D2494" t="s">
        <v>48906</v>
      </c>
      <c r="E2494" t="s">
        <v>48907</v>
      </c>
      <c r="F2494" t="s">
        <v>48908</v>
      </c>
      <c r="G2494" t="s">
        <v>48909</v>
      </c>
      <c r="H2494" t="s">
        <v>48910</v>
      </c>
      <c r="I2494" t="s">
        <v>48911</v>
      </c>
      <c r="J2494" t="s">
        <v>48912</v>
      </c>
      <c r="K2494" t="s">
        <v>48913</v>
      </c>
      <c r="L2494" t="s">
        <v>48914</v>
      </c>
      <c r="M2494" t="s">
        <v>48915</v>
      </c>
      <c r="N2494" t="s">
        <v>48916</v>
      </c>
      <c r="O2494">
        <f>-567.900066475745 -89.2060446450253 -743.42080334377</f>
        <v>-1400.5269144645404</v>
      </c>
      <c r="P2494">
        <f>-576.875349923731 -81.7210470461137 -427.114760689152</f>
        <v>-1085.7111576589966</v>
      </c>
      <c r="Q2494">
        <f>-327.96076501004 -6.56866052899181 -433.089120614477</f>
        <v>-767.61854615350876</v>
      </c>
      <c r="R2494" t="s">
        <v>48917</v>
      </c>
      <c r="S2494" t="s">
        <v>48918</v>
      </c>
      <c r="T2494" t="s">
        <v>48919</v>
      </c>
      <c r="U2494" t="s">
        <v>48920</v>
      </c>
      <c r="V2494" t="s">
        <v>48921</v>
      </c>
      <c r="W2494" t="s">
        <v>48922</v>
      </c>
      <c r="X2494" t="s">
        <v>48923</v>
      </c>
      <c r="Y2494" t="s">
        <v>48924</v>
      </c>
    </row>
    <row r="2495" spans="1:25" x14ac:dyDescent="0.3">
      <c r="A2495">
        <v>124700</v>
      </c>
      <c r="B2495" t="s">
        <v>48925</v>
      </c>
      <c r="C2495" t="s">
        <v>48926</v>
      </c>
      <c r="D2495" t="s">
        <v>48927</v>
      </c>
      <c r="E2495" t="s">
        <v>48928</v>
      </c>
      <c r="F2495" t="s">
        <v>48929</v>
      </c>
      <c r="G2495" t="s">
        <v>48930</v>
      </c>
      <c r="H2495" t="s">
        <v>48931</v>
      </c>
      <c r="I2495" t="s">
        <v>48932</v>
      </c>
      <c r="J2495" t="s">
        <v>48933</v>
      </c>
      <c r="K2495" t="s">
        <v>48934</v>
      </c>
      <c r="L2495" t="s">
        <v>48935</v>
      </c>
      <c r="M2495" t="s">
        <v>48936</v>
      </c>
      <c r="N2495" t="s">
        <v>48937</v>
      </c>
      <c r="O2495">
        <f>-567.342946716266 -89.1392814296385 -743.729026049823</f>
        <v>-1400.2112541957276</v>
      </c>
      <c r="P2495">
        <f>-576.544601911743 -82.1114435504524 -427.418819229411</f>
        <v>-1086.0748646916063</v>
      </c>
      <c r="Q2495">
        <f>-327.73643643338 -6.59649757815407 -433.254137704495</f>
        <v>-767.58707171602907</v>
      </c>
      <c r="R2495" t="s">
        <v>48938</v>
      </c>
      <c r="S2495" t="s">
        <v>48939</v>
      </c>
      <c r="T2495" t="s">
        <v>48940</v>
      </c>
      <c r="U2495" t="s">
        <v>48941</v>
      </c>
      <c r="V2495" t="s">
        <v>48942</v>
      </c>
      <c r="W2495" t="s">
        <v>48943</v>
      </c>
      <c r="X2495" t="s">
        <v>48944</v>
      </c>
      <c r="Y2495" t="s">
        <v>48945</v>
      </c>
    </row>
    <row r="2496" spans="1:25" x14ac:dyDescent="0.3">
      <c r="A2496">
        <v>124750</v>
      </c>
      <c r="B2496" t="s">
        <v>48946</v>
      </c>
      <c r="C2496" t="s">
        <v>48947</v>
      </c>
      <c r="D2496" t="s">
        <v>48948</v>
      </c>
      <c r="E2496" t="s">
        <v>48949</v>
      </c>
      <c r="F2496" t="s">
        <v>48950</v>
      </c>
      <c r="G2496" t="s">
        <v>48951</v>
      </c>
      <c r="H2496" t="s">
        <v>48952</v>
      </c>
      <c r="I2496" t="s">
        <v>48953</v>
      </c>
      <c r="J2496" t="s">
        <v>48954</v>
      </c>
      <c r="K2496" t="s">
        <v>48955</v>
      </c>
      <c r="L2496" t="s">
        <v>48956</v>
      </c>
      <c r="M2496" t="s">
        <v>48957</v>
      </c>
      <c r="N2496" t="s">
        <v>48958</v>
      </c>
      <c r="O2496">
        <f>-566.448880732865 -88.703639017972 -744.238611399899</f>
        <v>-1399.3911311507359</v>
      </c>
      <c r="P2496">
        <f>-576.017984716627 -82.2332543804657 -427.927370025782</f>
        <v>-1086.1786091228746</v>
      </c>
      <c r="Q2496">
        <f>-327.422222559806 -6.00288535321477 -433.506621093258</f>
        <v>-766.93172900627883</v>
      </c>
      <c r="R2496" t="s">
        <v>48959</v>
      </c>
      <c r="S2496" t="s">
        <v>48960</v>
      </c>
      <c r="T2496" t="s">
        <v>48961</v>
      </c>
      <c r="U2496" t="s">
        <v>48962</v>
      </c>
      <c r="V2496" t="s">
        <v>48963</v>
      </c>
      <c r="W2496" t="s">
        <v>48964</v>
      </c>
      <c r="X2496" t="s">
        <v>48965</v>
      </c>
      <c r="Y2496" t="s">
        <v>48966</v>
      </c>
    </row>
    <row r="2497" spans="1:25" x14ac:dyDescent="0.3">
      <c r="A2497">
        <v>124800</v>
      </c>
      <c r="B2497" t="s">
        <v>48967</v>
      </c>
      <c r="C2497" t="s">
        <v>48968</v>
      </c>
      <c r="D2497" t="s">
        <v>48969</v>
      </c>
      <c r="E2497" t="s">
        <v>48970</v>
      </c>
      <c r="F2497" t="s">
        <v>48971</v>
      </c>
      <c r="G2497" t="s">
        <v>48972</v>
      </c>
      <c r="H2497" t="s">
        <v>48973</v>
      </c>
      <c r="I2497" t="s">
        <v>48974</v>
      </c>
      <c r="J2497" t="s">
        <v>48975</v>
      </c>
      <c r="K2497" t="s">
        <v>48976</v>
      </c>
      <c r="L2497" t="s">
        <v>48977</v>
      </c>
      <c r="M2497" t="s">
        <v>48978</v>
      </c>
      <c r="N2497" t="s">
        <v>48979</v>
      </c>
      <c r="O2497">
        <f>-565.847851632274 -88.3563761621367 -744.421427653143</f>
        <v>-1398.6256554475538</v>
      </c>
      <c r="P2497">
        <f>-575.5939792269 -82.1432443952194 -428.110549546923</f>
        <v>-1085.8477731690425</v>
      </c>
      <c r="Q2497">
        <f>-327.09917219332 -5.58103769924987 -433.644890512362</f>
        <v>-766.32510040493185</v>
      </c>
      <c r="R2497" t="s">
        <v>48980</v>
      </c>
      <c r="S2497" t="s">
        <v>48981</v>
      </c>
      <c r="T2497" t="s">
        <v>48982</v>
      </c>
      <c r="U2497" t="s">
        <v>48983</v>
      </c>
      <c r="V2497" t="s">
        <v>48984</v>
      </c>
      <c r="W2497" t="s">
        <v>48985</v>
      </c>
      <c r="X2497" t="s">
        <v>48986</v>
      </c>
      <c r="Y2497" t="s">
        <v>48987</v>
      </c>
    </row>
    <row r="2498" spans="1:25" x14ac:dyDescent="0.3">
      <c r="A2498">
        <v>124850</v>
      </c>
      <c r="B2498" t="s">
        <v>48988</v>
      </c>
      <c r="C2498" t="s">
        <v>48989</v>
      </c>
      <c r="D2498" t="s">
        <v>48990</v>
      </c>
      <c r="E2498" t="s">
        <v>48991</v>
      </c>
      <c r="F2498" t="s">
        <v>48992</v>
      </c>
      <c r="G2498" t="s">
        <v>48993</v>
      </c>
      <c r="H2498" t="s">
        <v>48994</v>
      </c>
      <c r="I2498" t="s">
        <v>48995</v>
      </c>
      <c r="J2498" t="s">
        <v>48996</v>
      </c>
      <c r="K2498" t="s">
        <v>48997</v>
      </c>
      <c r="L2498" t="s">
        <v>48998</v>
      </c>
      <c r="M2498" t="s">
        <v>48999</v>
      </c>
      <c r="N2498" t="s">
        <v>49000</v>
      </c>
      <c r="O2498">
        <f>-564.486713783669 -87.8275870914817 -744.706344879782</f>
        <v>-1397.0206457549327</v>
      </c>
      <c r="P2498">
        <f>-574.523149186219 -81.8794888803902 -428.399501261328</f>
        <v>-1084.8021393279373</v>
      </c>
      <c r="Q2498">
        <f>-326.22836140967 -4.65139464358641 -433.651218053351</f>
        <v>-764.53097410660735</v>
      </c>
      <c r="R2498" t="s">
        <v>49001</v>
      </c>
      <c r="S2498" t="s">
        <v>49002</v>
      </c>
      <c r="T2498" t="s">
        <v>49003</v>
      </c>
      <c r="U2498" t="s">
        <v>49004</v>
      </c>
      <c r="V2498" t="s">
        <v>49005</v>
      </c>
      <c r="W2498" t="s">
        <v>49006</v>
      </c>
      <c r="X2498" t="s">
        <v>49007</v>
      </c>
      <c r="Y2498" t="s">
        <v>49008</v>
      </c>
    </row>
    <row r="2499" spans="1:25" x14ac:dyDescent="0.3">
      <c r="A2499">
        <v>124900</v>
      </c>
      <c r="B2499" t="s">
        <v>49009</v>
      </c>
      <c r="C2499" t="s">
        <v>49010</v>
      </c>
      <c r="D2499" t="s">
        <v>49011</v>
      </c>
      <c r="E2499" t="s">
        <v>49012</v>
      </c>
      <c r="F2499" t="s">
        <v>49013</v>
      </c>
      <c r="G2499" t="s">
        <v>49014</v>
      </c>
      <c r="H2499" t="s">
        <v>49015</v>
      </c>
      <c r="I2499" t="s">
        <v>49016</v>
      </c>
      <c r="J2499" t="s">
        <v>49017</v>
      </c>
      <c r="K2499" t="s">
        <v>49018</v>
      </c>
      <c r="L2499" t="s">
        <v>49019</v>
      </c>
      <c r="M2499" t="s">
        <v>49020</v>
      </c>
      <c r="N2499" t="s">
        <v>49021</v>
      </c>
      <c r="O2499">
        <f>-563.715647916227 -87.7817362570854 -744.837283688064</f>
        <v>-1396.3346678613764</v>
      </c>
      <c r="P2499">
        <f>-573.925132486118 -81.9628496966826 -428.533457077265</f>
        <v>-1084.4214392600657</v>
      </c>
      <c r="Q2499">
        <f>-325.753712622158 -4.32966072931558 -433.642790961228</f>
        <v>-763.7261643127016</v>
      </c>
      <c r="R2499" t="s">
        <v>49022</v>
      </c>
      <c r="S2499" t="s">
        <v>49023</v>
      </c>
      <c r="T2499" t="s">
        <v>49024</v>
      </c>
      <c r="U2499" t="s">
        <v>49025</v>
      </c>
      <c r="V2499" t="s">
        <v>49026</v>
      </c>
      <c r="W2499" t="s">
        <v>49027</v>
      </c>
      <c r="X2499" t="s">
        <v>49028</v>
      </c>
      <c r="Y2499" t="s">
        <v>49029</v>
      </c>
    </row>
    <row r="2500" spans="1:25" x14ac:dyDescent="0.3">
      <c r="A2500">
        <v>124950</v>
      </c>
      <c r="B2500" t="s">
        <v>49030</v>
      </c>
      <c r="C2500" t="s">
        <v>49031</v>
      </c>
      <c r="D2500" t="s">
        <v>49032</v>
      </c>
      <c r="E2500" t="s">
        <v>49033</v>
      </c>
      <c r="F2500" t="s">
        <v>49034</v>
      </c>
      <c r="G2500" t="s">
        <v>49035</v>
      </c>
      <c r="H2500" t="s">
        <v>49036</v>
      </c>
      <c r="I2500" t="s">
        <v>49037</v>
      </c>
      <c r="J2500" t="s">
        <v>49038</v>
      </c>
      <c r="K2500" t="s">
        <v>49039</v>
      </c>
      <c r="L2500" t="s">
        <v>49040</v>
      </c>
      <c r="M2500" t="s">
        <v>49041</v>
      </c>
      <c r="N2500" t="s">
        <v>49042</v>
      </c>
      <c r="O2500">
        <f>-562.016681492818 -87.7259528372493 -744.938331364453</f>
        <v>-1394.6809656945202</v>
      </c>
      <c r="P2500">
        <f>-572.376096838153 -82.0843792619664 -428.63617786626</f>
        <v>-1083.0966539663796</v>
      </c>
      <c r="Q2500">
        <f>-324.415806309158 -3.77304767689056 -433.644970644587</f>
        <v>-761.83382463063549</v>
      </c>
      <c r="R2500" t="s">
        <v>49043</v>
      </c>
      <c r="S2500" t="s">
        <v>49044</v>
      </c>
      <c r="T2500" t="s">
        <v>49045</v>
      </c>
      <c r="U2500" t="s">
        <v>49046</v>
      </c>
      <c r="V2500" t="s">
        <v>49047</v>
      </c>
      <c r="W2500" t="s">
        <v>49048</v>
      </c>
      <c r="X2500" t="s">
        <v>49049</v>
      </c>
      <c r="Y2500" t="s">
        <v>49050</v>
      </c>
    </row>
    <row r="2501" spans="1:25" x14ac:dyDescent="0.3">
      <c r="A2501">
        <v>125000</v>
      </c>
      <c r="B2501" t="s">
        <v>49051</v>
      </c>
      <c r="C2501" t="s">
        <v>49052</v>
      </c>
      <c r="D2501" t="s">
        <v>49053</v>
      </c>
      <c r="E2501" t="s">
        <v>49054</v>
      </c>
      <c r="F2501" t="s">
        <v>49055</v>
      </c>
      <c r="G2501" t="s">
        <v>49056</v>
      </c>
      <c r="H2501" t="s">
        <v>49057</v>
      </c>
      <c r="I2501" t="s">
        <v>49058</v>
      </c>
      <c r="J2501" t="s">
        <v>49059</v>
      </c>
      <c r="K2501" t="s">
        <v>49060</v>
      </c>
      <c r="L2501" t="s">
        <v>49061</v>
      </c>
      <c r="M2501" t="s">
        <v>49062</v>
      </c>
      <c r="N2501" t="s">
        <v>49063</v>
      </c>
      <c r="O2501">
        <f>-561.387571856901 -87.7292000034021 -744.935920693217</f>
        <v>-1394.05269255352</v>
      </c>
      <c r="P2501">
        <f>-571.798750593249 -82.0155729495824 -428.636771967189</f>
        <v>-1082.4510955100204</v>
      </c>
      <c r="Q2501">
        <f>-323.915372637301 -3.4593504625027 -433.618432448179</f>
        <v>-760.99315554798272</v>
      </c>
      <c r="R2501" t="s">
        <v>49064</v>
      </c>
      <c r="S2501" t="s">
        <v>49065</v>
      </c>
      <c r="T2501" t="s">
        <v>49066</v>
      </c>
      <c r="U2501" t="s">
        <v>49067</v>
      </c>
      <c r="V2501" t="s">
        <v>49068</v>
      </c>
      <c r="W2501" t="s">
        <v>49069</v>
      </c>
      <c r="X2501" t="s">
        <v>49070</v>
      </c>
      <c r="Y2501" t="s">
        <v>49071</v>
      </c>
    </row>
    <row r="2502" spans="1:25" x14ac:dyDescent="0.3">
      <c r="A2502">
        <v>125050</v>
      </c>
      <c r="B2502" t="s">
        <v>49072</v>
      </c>
      <c r="C2502" t="s">
        <v>49073</v>
      </c>
      <c r="D2502" t="s">
        <v>49074</v>
      </c>
      <c r="E2502" t="s">
        <v>49075</v>
      </c>
      <c r="F2502" t="s">
        <v>49076</v>
      </c>
      <c r="G2502" t="s">
        <v>49077</v>
      </c>
      <c r="H2502" t="s">
        <v>49078</v>
      </c>
      <c r="I2502" t="s">
        <v>49079</v>
      </c>
      <c r="J2502" t="s">
        <v>49080</v>
      </c>
      <c r="K2502" t="s">
        <v>49081</v>
      </c>
      <c r="L2502" t="s">
        <v>49082</v>
      </c>
      <c r="M2502" t="s">
        <v>49083</v>
      </c>
      <c r="N2502" t="s">
        <v>49084</v>
      </c>
      <c r="O2502">
        <f>-560.153342039677 -87.9312699304656 -744.864518269714</f>
        <v>-1392.9491302398567</v>
      </c>
      <c r="P2502">
        <f>-570.618957400291 -82.4268247024953 -428.563492411955</f>
        <v>-1081.6092745147414</v>
      </c>
      <c r="Q2502">
        <f>-322.868691189306 -3.45212346116678 -433.549740178978</f>
        <v>-759.87055482945084</v>
      </c>
      <c r="R2502" t="s">
        <v>49085</v>
      </c>
      <c r="S2502" t="s">
        <v>49086</v>
      </c>
      <c r="T2502" t="s">
        <v>49087</v>
      </c>
      <c r="U2502" t="s">
        <v>49088</v>
      </c>
      <c r="V2502" t="s">
        <v>49089</v>
      </c>
      <c r="W2502" t="s">
        <v>49090</v>
      </c>
      <c r="X2502" t="s">
        <v>49091</v>
      </c>
      <c r="Y2502" t="s">
        <v>49092</v>
      </c>
    </row>
    <row r="2503" spans="1:25" x14ac:dyDescent="0.3">
      <c r="A2503">
        <v>125100</v>
      </c>
      <c r="B2503" t="s">
        <v>49093</v>
      </c>
      <c r="C2503" t="s">
        <v>49094</v>
      </c>
      <c r="D2503" t="s">
        <v>49095</v>
      </c>
      <c r="E2503" t="s">
        <v>49096</v>
      </c>
      <c r="F2503" t="s">
        <v>49097</v>
      </c>
      <c r="G2503" t="s">
        <v>49098</v>
      </c>
      <c r="H2503" t="s">
        <v>49099</v>
      </c>
      <c r="I2503" t="s">
        <v>49100</v>
      </c>
      <c r="J2503" t="s">
        <v>49101</v>
      </c>
      <c r="K2503" t="s">
        <v>49102</v>
      </c>
      <c r="L2503" t="s">
        <v>49103</v>
      </c>
      <c r="M2503" t="s">
        <v>49104</v>
      </c>
      <c r="N2503" t="s">
        <v>49105</v>
      </c>
      <c r="O2503">
        <f>-559.823117352565 -87.7981594072507 -744.861468211037</f>
        <v>-1392.4827449708528</v>
      </c>
      <c r="P2503">
        <f>-570.292141510165 -82.1375121271604 -428.563281210034</f>
        <v>-1080.9929348473595</v>
      </c>
      <c r="Q2503">
        <f>-322.560935059661 -3.10141201170988 -433.523970733424</f>
        <v>-759.18631780479495</v>
      </c>
      <c r="R2503" t="s">
        <v>49106</v>
      </c>
      <c r="S2503" t="s">
        <v>49107</v>
      </c>
      <c r="T2503" t="s">
        <v>49108</v>
      </c>
      <c r="U2503" t="s">
        <v>49109</v>
      </c>
      <c r="V2503" t="s">
        <v>49110</v>
      </c>
      <c r="W2503" t="s">
        <v>49111</v>
      </c>
      <c r="X2503" t="s">
        <v>49112</v>
      </c>
      <c r="Y2503" t="s">
        <v>49113</v>
      </c>
    </row>
    <row r="2504" spans="1:25" x14ac:dyDescent="0.3">
      <c r="A2504">
        <v>125150</v>
      </c>
      <c r="B2504" t="s">
        <v>49114</v>
      </c>
      <c r="C2504" t="s">
        <v>49115</v>
      </c>
      <c r="D2504" t="s">
        <v>49116</v>
      </c>
      <c r="E2504" t="s">
        <v>49117</v>
      </c>
      <c r="F2504" t="s">
        <v>49118</v>
      </c>
      <c r="G2504" t="s">
        <v>49119</v>
      </c>
      <c r="H2504" t="s">
        <v>49120</v>
      </c>
      <c r="I2504" t="s">
        <v>49121</v>
      </c>
      <c r="J2504" t="s">
        <v>49122</v>
      </c>
      <c r="K2504" t="s">
        <v>49123</v>
      </c>
      <c r="L2504" t="s">
        <v>49124</v>
      </c>
      <c r="M2504" t="s">
        <v>49125</v>
      </c>
      <c r="N2504" t="s">
        <v>49126</v>
      </c>
      <c r="O2504">
        <f>-559.420461264046 -87.6064304401533 -744.8039774966</f>
        <v>-1391.8308692007995</v>
      </c>
      <c r="P2504">
        <f>-569.742344607924 -81.9953026397101 -428.499948587849</f>
        <v>-1080.237595835483</v>
      </c>
      <c r="Q2504">
        <f>-321.986038461356 -3.0355864678524 -433.421896478145</f>
        <v>-758.44352140735339</v>
      </c>
      <c r="R2504" t="s">
        <v>49127</v>
      </c>
      <c r="S2504" t="s">
        <v>49128</v>
      </c>
      <c r="T2504" t="s">
        <v>49129</v>
      </c>
      <c r="U2504" t="s">
        <v>49130</v>
      </c>
      <c r="V2504" t="s">
        <v>49131</v>
      </c>
      <c r="W2504" t="s">
        <v>49132</v>
      </c>
      <c r="X2504" t="s">
        <v>49133</v>
      </c>
      <c r="Y2504" t="s">
        <v>49134</v>
      </c>
    </row>
    <row r="2505" spans="1:25" x14ac:dyDescent="0.3">
      <c r="A2505">
        <v>125200</v>
      </c>
      <c r="B2505" t="s">
        <v>49135</v>
      </c>
      <c r="C2505" t="s">
        <v>49136</v>
      </c>
      <c r="D2505" t="s">
        <v>49137</v>
      </c>
      <c r="E2505" t="s">
        <v>49138</v>
      </c>
      <c r="F2505" t="s">
        <v>49139</v>
      </c>
      <c r="G2505" t="s">
        <v>49140</v>
      </c>
      <c r="H2505" t="s">
        <v>49141</v>
      </c>
      <c r="I2505" t="s">
        <v>49142</v>
      </c>
      <c r="J2505" t="s">
        <v>49143</v>
      </c>
      <c r="K2505" t="s">
        <v>49144</v>
      </c>
      <c r="L2505" t="s">
        <v>49145</v>
      </c>
      <c r="M2505" t="s">
        <v>49146</v>
      </c>
      <c r="N2505" t="s">
        <v>49147</v>
      </c>
      <c r="O2505">
        <f>-559.095847743188 -87.545126070206 -744.774053466833</f>
        <v>-1391.4150272802272</v>
      </c>
      <c r="P2505">
        <f>-569.514192288686 -81.8114602543016 -428.475510083539</f>
        <v>-1079.8011626265265</v>
      </c>
      <c r="Q2505">
        <f>-321.736502822755 -2.91845446293091 -433.390711916826</f>
        <v>-758.04566920251193</v>
      </c>
      <c r="R2505" t="s">
        <v>49148</v>
      </c>
      <c r="S2505" t="s">
        <v>49149</v>
      </c>
      <c r="T2505" t="s">
        <v>49150</v>
      </c>
      <c r="U2505" t="s">
        <v>49151</v>
      </c>
      <c r="V2505" t="s">
        <v>49152</v>
      </c>
      <c r="W2505" t="s">
        <v>49153</v>
      </c>
      <c r="X2505" t="s">
        <v>49154</v>
      </c>
      <c r="Y2505" t="s">
        <v>49155</v>
      </c>
    </row>
    <row r="2506" spans="1:25" x14ac:dyDescent="0.3">
      <c r="A2506">
        <v>125250</v>
      </c>
      <c r="B2506" t="s">
        <v>49156</v>
      </c>
      <c r="C2506" t="s">
        <v>49157</v>
      </c>
      <c r="D2506" t="s">
        <v>49158</v>
      </c>
      <c r="E2506" t="s">
        <v>49159</v>
      </c>
      <c r="F2506" t="s">
        <v>49160</v>
      </c>
      <c r="G2506" t="s">
        <v>49161</v>
      </c>
      <c r="H2506" t="s">
        <v>49162</v>
      </c>
      <c r="I2506" t="s">
        <v>49163</v>
      </c>
      <c r="J2506" t="s">
        <v>49164</v>
      </c>
      <c r="K2506" t="s">
        <v>49165</v>
      </c>
      <c r="L2506" t="s">
        <v>49166</v>
      </c>
      <c r="M2506" t="s">
        <v>49167</v>
      </c>
      <c r="N2506" t="s">
        <v>49168</v>
      </c>
      <c r="O2506">
        <f>-558.648942053923 -86.9930925286219 -744.791172062235</f>
        <v>-1390.4332066447798</v>
      </c>
      <c r="P2506">
        <f>-569.218214912359 -81.2095232573993 -428.498714159248</f>
        <v>-1078.9264523290062</v>
      </c>
      <c r="Q2506">
        <f>-321.35988053061 -2.56659981423795 -433.354792074315</f>
        <v>-757.28127241916297</v>
      </c>
      <c r="R2506" t="s">
        <v>49169</v>
      </c>
      <c r="S2506" t="s">
        <v>49170</v>
      </c>
      <c r="T2506" t="s">
        <v>49171</v>
      </c>
      <c r="U2506" t="s">
        <v>49172</v>
      </c>
      <c r="V2506" t="s">
        <v>49173</v>
      </c>
      <c r="W2506" t="s">
        <v>49174</v>
      </c>
      <c r="X2506" t="s">
        <v>49175</v>
      </c>
      <c r="Y2506" t="s">
        <v>49176</v>
      </c>
    </row>
    <row r="2507" spans="1:25" x14ac:dyDescent="0.3">
      <c r="A2507">
        <v>125300</v>
      </c>
      <c r="B2507" t="s">
        <v>49177</v>
      </c>
      <c r="C2507" t="s">
        <v>49178</v>
      </c>
      <c r="D2507" t="s">
        <v>49179</v>
      </c>
      <c r="E2507" t="s">
        <v>49180</v>
      </c>
      <c r="F2507" t="s">
        <v>49181</v>
      </c>
      <c r="G2507" t="s">
        <v>49182</v>
      </c>
      <c r="H2507" t="s">
        <v>49183</v>
      </c>
      <c r="I2507" t="s">
        <v>49184</v>
      </c>
      <c r="J2507" t="s">
        <v>49185</v>
      </c>
      <c r="K2507" t="s">
        <v>49186</v>
      </c>
      <c r="L2507" t="s">
        <v>49187</v>
      </c>
      <c r="M2507" t="s">
        <v>49188</v>
      </c>
      <c r="N2507" t="s">
        <v>49189</v>
      </c>
      <c r="O2507">
        <f>-558.452860919469 -86.9345598100788 -744.770129057687</f>
        <v>-1390.1575497872348</v>
      </c>
      <c r="P2507">
        <f>-569.111968712677 -81.2516507659923 -428.478672543805</f>
        <v>-1078.8422920224743</v>
      </c>
      <c r="Q2507">
        <f>-321.188329136361 -2.81157166204667 -433.283574586318</f>
        <v>-757.28347538472576</v>
      </c>
      <c r="R2507" t="s">
        <v>49190</v>
      </c>
      <c r="S2507" t="s">
        <v>49191</v>
      </c>
      <c r="T2507" t="s">
        <v>49192</v>
      </c>
      <c r="U2507" t="s">
        <v>49193</v>
      </c>
      <c r="V2507" t="s">
        <v>49194</v>
      </c>
      <c r="W2507" t="s">
        <v>49195</v>
      </c>
      <c r="X2507" t="s">
        <v>49196</v>
      </c>
      <c r="Y2507" t="s">
        <v>49197</v>
      </c>
    </row>
    <row r="2508" spans="1:25" x14ac:dyDescent="0.3">
      <c r="A2508">
        <v>125350</v>
      </c>
      <c r="B2508" t="s">
        <v>49198</v>
      </c>
      <c r="C2508" t="s">
        <v>49199</v>
      </c>
      <c r="D2508" t="s">
        <v>49200</v>
      </c>
      <c r="E2508" t="s">
        <v>49201</v>
      </c>
      <c r="F2508" t="s">
        <v>49202</v>
      </c>
      <c r="G2508" t="s">
        <v>49203</v>
      </c>
      <c r="H2508" t="s">
        <v>49204</v>
      </c>
      <c r="I2508" t="s">
        <v>49205</v>
      </c>
      <c r="J2508" t="s">
        <v>49206</v>
      </c>
      <c r="K2508" t="s">
        <v>49207</v>
      </c>
      <c r="L2508" t="s">
        <v>49208</v>
      </c>
      <c r="M2508" t="s">
        <v>49209</v>
      </c>
      <c r="N2508" t="s">
        <v>49210</v>
      </c>
      <c r="O2508">
        <f>-558.206985844721 -86.5264280689879 -744.815075068677</f>
        <v>-1389.5484889823858</v>
      </c>
      <c r="P2508">
        <f>-568.925998729865 -80.7276180753507 -428.527653611567</f>
        <v>-1078.1812704167828</v>
      </c>
      <c r="Q2508">
        <f>-320.820859816148 -2.85797999939285 -433.239567336743</f>
        <v>-756.91840715228386</v>
      </c>
      <c r="R2508" t="s">
        <v>49211</v>
      </c>
      <c r="S2508" t="s">
        <v>49212</v>
      </c>
      <c r="T2508" t="s">
        <v>49213</v>
      </c>
      <c r="U2508" t="s">
        <v>49214</v>
      </c>
      <c r="V2508" t="s">
        <v>49215</v>
      </c>
      <c r="W2508" t="s">
        <v>49216</v>
      </c>
      <c r="X2508" t="s">
        <v>49217</v>
      </c>
      <c r="Y2508" t="s">
        <v>49218</v>
      </c>
    </row>
    <row r="2509" spans="1:25" x14ac:dyDescent="0.3">
      <c r="A2509">
        <v>125400</v>
      </c>
      <c r="B2509" t="s">
        <v>49219</v>
      </c>
      <c r="C2509" t="s">
        <v>49220</v>
      </c>
      <c r="D2509" t="s">
        <v>49221</v>
      </c>
      <c r="E2509" t="s">
        <v>49222</v>
      </c>
      <c r="F2509" t="s">
        <v>49223</v>
      </c>
      <c r="G2509" t="s">
        <v>49224</v>
      </c>
      <c r="H2509" t="s">
        <v>49225</v>
      </c>
      <c r="I2509" t="s">
        <v>49226</v>
      </c>
      <c r="J2509" t="s">
        <v>49227</v>
      </c>
      <c r="K2509" t="s">
        <v>49228</v>
      </c>
      <c r="L2509" t="s">
        <v>49229</v>
      </c>
      <c r="M2509" t="s">
        <v>49230</v>
      </c>
      <c r="N2509" t="s">
        <v>49231</v>
      </c>
      <c r="O2509">
        <f>-558.100908021348 -86.4421611211817 -744.831590774813</f>
        <v>-1389.3746599173428</v>
      </c>
      <c r="P2509">
        <f>-568.91941727452 -80.7181166279522 -428.546198346743</f>
        <v>-1078.1837322492152</v>
      </c>
      <c r="Q2509">
        <f>-320.759434634108 -3.01707497854068 -433.153158282282</f>
        <v>-756.92966789493062</v>
      </c>
      <c r="R2509" t="s">
        <v>49232</v>
      </c>
      <c r="S2509" t="s">
        <v>49233</v>
      </c>
      <c r="T2509" t="s">
        <v>49234</v>
      </c>
      <c r="U2509" t="s">
        <v>49235</v>
      </c>
      <c r="V2509" t="s">
        <v>49236</v>
      </c>
      <c r="W2509" t="s">
        <v>49237</v>
      </c>
      <c r="X2509" t="s">
        <v>49238</v>
      </c>
      <c r="Y2509" t="s">
        <v>49239</v>
      </c>
    </row>
    <row r="2510" spans="1:25" x14ac:dyDescent="0.3">
      <c r="A2510">
        <v>125450</v>
      </c>
      <c r="B2510" t="s">
        <v>49240</v>
      </c>
      <c r="C2510" t="s">
        <v>49241</v>
      </c>
      <c r="D2510" t="s">
        <v>49242</v>
      </c>
      <c r="E2510" t="s">
        <v>49243</v>
      </c>
      <c r="F2510" t="s">
        <v>49244</v>
      </c>
      <c r="G2510" t="s">
        <v>49245</v>
      </c>
      <c r="H2510" t="s">
        <v>49246</v>
      </c>
      <c r="I2510" t="s">
        <v>49247</v>
      </c>
      <c r="J2510" t="s">
        <v>49248</v>
      </c>
      <c r="K2510" t="s">
        <v>49249</v>
      </c>
      <c r="L2510" t="s">
        <v>49250</v>
      </c>
      <c r="M2510" t="s">
        <v>49251</v>
      </c>
      <c r="N2510" t="s">
        <v>49252</v>
      </c>
      <c r="O2510">
        <f>-557.841326057097 -86.4138813866325 -744.909284307076</f>
        <v>-1389.1644917508056</v>
      </c>
      <c r="P2510">
        <f>-568.852559479756 -80.7513249189499 -428.62958521264</f>
        <v>-1078.2334696113458</v>
      </c>
      <c r="Q2510">
        <f>-320.621486175182 -3.26212747499993 -432.966403090865</f>
        <v>-756.85001674104694</v>
      </c>
      <c r="R2510" t="s">
        <v>49253</v>
      </c>
      <c r="S2510" t="s">
        <v>49254</v>
      </c>
      <c r="T2510" t="s">
        <v>49255</v>
      </c>
      <c r="U2510" t="s">
        <v>49256</v>
      </c>
      <c r="V2510" t="s">
        <v>49257</v>
      </c>
      <c r="W2510" t="s">
        <v>49258</v>
      </c>
      <c r="X2510" t="s">
        <v>49259</v>
      </c>
      <c r="Y2510" t="s">
        <v>49260</v>
      </c>
    </row>
    <row r="2511" spans="1:25" x14ac:dyDescent="0.3">
      <c r="A2511">
        <v>125500</v>
      </c>
      <c r="B2511" t="s">
        <v>49261</v>
      </c>
      <c r="C2511" t="s">
        <v>49262</v>
      </c>
      <c r="D2511" t="s">
        <v>49263</v>
      </c>
      <c r="E2511" t="s">
        <v>49264</v>
      </c>
      <c r="F2511" t="s">
        <v>49265</v>
      </c>
      <c r="G2511" t="s">
        <v>49266</v>
      </c>
      <c r="H2511" t="s">
        <v>49267</v>
      </c>
      <c r="I2511" t="s">
        <v>49268</v>
      </c>
      <c r="J2511" t="s">
        <v>49269</v>
      </c>
      <c r="K2511" t="s">
        <v>49270</v>
      </c>
      <c r="L2511" t="s">
        <v>49271</v>
      </c>
      <c r="M2511" t="s">
        <v>49272</v>
      </c>
      <c r="N2511" t="s">
        <v>49273</v>
      </c>
      <c r="O2511">
        <f>-557.678075351502 -86.2829760401853 -744.935289741878</f>
        <v>-1388.8963411335653</v>
      </c>
      <c r="P2511">
        <f>-568.769149138901 -80.531754334914 -428.659852587628</f>
        <v>-1077.9607560614429</v>
      </c>
      <c r="Q2511">
        <f>-320.506027482707 -3.14343400857707 -432.963071855747</f>
        <v>-756.6125333470311</v>
      </c>
      <c r="R2511" t="s">
        <v>49274</v>
      </c>
      <c r="S2511" t="s">
        <v>49275</v>
      </c>
      <c r="T2511" t="s">
        <v>49276</v>
      </c>
      <c r="U2511" t="s">
        <v>49277</v>
      </c>
      <c r="V2511" t="s">
        <v>49278</v>
      </c>
      <c r="W2511" t="s">
        <v>49279</v>
      </c>
      <c r="X2511" t="s">
        <v>49280</v>
      </c>
      <c r="Y2511" t="s">
        <v>49281</v>
      </c>
    </row>
    <row r="2512" spans="1:25" x14ac:dyDescent="0.3">
      <c r="A2512">
        <v>125550</v>
      </c>
      <c r="B2512" t="s">
        <v>49282</v>
      </c>
      <c r="C2512" t="s">
        <v>49283</v>
      </c>
      <c r="D2512" t="s">
        <v>49284</v>
      </c>
      <c r="E2512" t="s">
        <v>49285</v>
      </c>
      <c r="F2512" t="s">
        <v>49286</v>
      </c>
      <c r="G2512" t="s">
        <v>49287</v>
      </c>
      <c r="H2512" t="s">
        <v>49288</v>
      </c>
      <c r="I2512" t="s">
        <v>49289</v>
      </c>
      <c r="J2512" t="s">
        <v>49290</v>
      </c>
      <c r="K2512" t="s">
        <v>49291</v>
      </c>
      <c r="L2512" t="s">
        <v>49292</v>
      </c>
      <c r="M2512" t="s">
        <v>49293</v>
      </c>
      <c r="N2512" t="s">
        <v>49294</v>
      </c>
      <c r="O2512">
        <f>-557.407701926184 -85.8926414200215 -744.982978760991</f>
        <v>-1388.2833221071965</v>
      </c>
      <c r="P2512">
        <f>-568.57824615957 -80.1496545622591 -428.710306196072</f>
        <v>-1077.438206917901</v>
      </c>
      <c r="Q2512">
        <f>-320.275070042429 -2.88922076150018 -433.005816197326</f>
        <v>-756.17010700125513</v>
      </c>
      <c r="R2512" t="s">
        <v>49295</v>
      </c>
      <c r="S2512" t="s">
        <v>49296</v>
      </c>
      <c r="T2512" t="s">
        <v>49297</v>
      </c>
      <c r="U2512" t="s">
        <v>49298</v>
      </c>
      <c r="V2512" t="s">
        <v>49299</v>
      </c>
      <c r="W2512" t="s">
        <v>49300</v>
      </c>
      <c r="X2512" t="s">
        <v>49301</v>
      </c>
      <c r="Y2512" t="s">
        <v>49302</v>
      </c>
    </row>
    <row r="2513" spans="1:25" x14ac:dyDescent="0.3">
      <c r="A2513">
        <v>125600</v>
      </c>
      <c r="B2513" t="s">
        <v>49303</v>
      </c>
      <c r="C2513" t="s">
        <v>49304</v>
      </c>
      <c r="D2513" t="s">
        <v>49305</v>
      </c>
      <c r="E2513" t="s">
        <v>49306</v>
      </c>
      <c r="F2513" t="s">
        <v>49307</v>
      </c>
      <c r="G2513" t="s">
        <v>49308</v>
      </c>
      <c r="H2513" t="s">
        <v>49309</v>
      </c>
      <c r="I2513" t="s">
        <v>49310</v>
      </c>
      <c r="J2513" t="s">
        <v>49311</v>
      </c>
      <c r="K2513" t="s">
        <v>49312</v>
      </c>
      <c r="L2513" t="s">
        <v>49313</v>
      </c>
      <c r="M2513" t="s">
        <v>49314</v>
      </c>
      <c r="N2513" t="s">
        <v>49315</v>
      </c>
      <c r="O2513">
        <f>-557.28044164143 -85.5618966885897 -744.987435802794</f>
        <v>-1387.8297741328138</v>
      </c>
      <c r="P2513">
        <f>-568.428793406916 -79.7884738361324 -428.714571171255</f>
        <v>-1076.9318384143035</v>
      </c>
      <c r="Q2513">
        <f>-320.114940023736 -2.56550448188656 -433.060244853817</f>
        <v>-755.74068935943956</v>
      </c>
      <c r="R2513" t="s">
        <v>49316</v>
      </c>
      <c r="S2513" t="s">
        <v>49317</v>
      </c>
      <c r="T2513" t="s">
        <v>49318</v>
      </c>
      <c r="U2513" t="s">
        <v>49319</v>
      </c>
      <c r="V2513" t="s">
        <v>49320</v>
      </c>
      <c r="W2513" t="s">
        <v>49321</v>
      </c>
      <c r="X2513" t="s">
        <v>49322</v>
      </c>
      <c r="Y2513" t="s">
        <v>49323</v>
      </c>
    </row>
    <row r="2514" spans="1:25" x14ac:dyDescent="0.3">
      <c r="A2514">
        <v>125650</v>
      </c>
      <c r="B2514" t="s">
        <v>49324</v>
      </c>
      <c r="C2514" t="s">
        <v>49325</v>
      </c>
      <c r="D2514" t="s">
        <v>49326</v>
      </c>
      <c r="E2514" t="s">
        <v>49327</v>
      </c>
      <c r="F2514" t="s">
        <v>49328</v>
      </c>
      <c r="G2514" t="s">
        <v>49329</v>
      </c>
      <c r="H2514" t="s">
        <v>49330</v>
      </c>
      <c r="I2514" t="s">
        <v>49331</v>
      </c>
      <c r="J2514" t="s">
        <v>49332</v>
      </c>
      <c r="K2514" t="s">
        <v>49333</v>
      </c>
      <c r="L2514" t="s">
        <v>49334</v>
      </c>
      <c r="M2514" t="s">
        <v>49335</v>
      </c>
      <c r="N2514" t="s">
        <v>49336</v>
      </c>
      <c r="O2514">
        <f>-556.887245065562 -85.0445212015668 -744.955402748693</f>
        <v>-1386.8871690158217</v>
      </c>
      <c r="P2514">
        <f>-567.969383471258 -79.3772482623559 -428.678228444249</f>
        <v>-1076.0248601778628</v>
      </c>
      <c r="Q2514">
        <f>-319.644730049246 -2.18105343777719 -432.884705903887</f>
        <v>-754.7104893909102</v>
      </c>
      <c r="R2514" t="s">
        <v>49337</v>
      </c>
      <c r="S2514" t="s">
        <v>49338</v>
      </c>
      <c r="T2514" t="s">
        <v>49339</v>
      </c>
      <c r="U2514" t="s">
        <v>49340</v>
      </c>
      <c r="V2514" t="s">
        <v>49341</v>
      </c>
      <c r="W2514" t="s">
        <v>49342</v>
      </c>
      <c r="X2514" t="s">
        <v>49343</v>
      </c>
      <c r="Y2514" t="s">
        <v>49344</v>
      </c>
    </row>
    <row r="2515" spans="1:25" x14ac:dyDescent="0.3">
      <c r="A2515">
        <v>125700</v>
      </c>
      <c r="B2515" t="s">
        <v>49345</v>
      </c>
      <c r="C2515" t="s">
        <v>49346</v>
      </c>
      <c r="D2515" t="s">
        <v>49347</v>
      </c>
      <c r="E2515" t="s">
        <v>49348</v>
      </c>
      <c r="F2515" t="s">
        <v>49349</v>
      </c>
      <c r="G2515" t="s">
        <v>49350</v>
      </c>
      <c r="H2515" t="s">
        <v>49351</v>
      </c>
      <c r="I2515" t="s">
        <v>49352</v>
      </c>
      <c r="J2515" t="s">
        <v>49353</v>
      </c>
      <c r="K2515" t="s">
        <v>49354</v>
      </c>
      <c r="L2515" t="s">
        <v>49355</v>
      </c>
      <c r="M2515" t="s">
        <v>49356</v>
      </c>
      <c r="N2515" t="s">
        <v>49357</v>
      </c>
      <c r="O2515">
        <f>-556.579151593835 -84.8970845105059 -744.95437272704</f>
        <v>-1386.4306088313811</v>
      </c>
      <c r="P2515">
        <f>-567.681419184958 -79.1814948514653 -428.678652025961</f>
        <v>-1075.5415660623844</v>
      </c>
      <c r="Q2515">
        <f>-319.379643279401 -1.90720730876388 -432.79655553334</f>
        <v>-754.08340612150482</v>
      </c>
      <c r="R2515" t="s">
        <v>49358</v>
      </c>
      <c r="S2515" t="s">
        <v>49359</v>
      </c>
      <c r="T2515" t="s">
        <v>49360</v>
      </c>
      <c r="U2515" t="s">
        <v>49361</v>
      </c>
      <c r="V2515" t="s">
        <v>49362</v>
      </c>
      <c r="W2515" t="s">
        <v>49363</v>
      </c>
      <c r="X2515" t="s">
        <v>49364</v>
      </c>
      <c r="Y2515" t="s">
        <v>49365</v>
      </c>
    </row>
    <row r="2516" spans="1:25" x14ac:dyDescent="0.3">
      <c r="A2516">
        <v>125750</v>
      </c>
      <c r="B2516" t="s">
        <v>49366</v>
      </c>
      <c r="C2516" t="s">
        <v>49367</v>
      </c>
      <c r="D2516" t="s">
        <v>49368</v>
      </c>
      <c r="E2516" t="s">
        <v>49369</v>
      </c>
      <c r="F2516" t="s">
        <v>49370</v>
      </c>
      <c r="G2516" t="s">
        <v>49371</v>
      </c>
      <c r="H2516" t="s">
        <v>49372</v>
      </c>
      <c r="I2516" t="s">
        <v>49373</v>
      </c>
      <c r="J2516" t="s">
        <v>49374</v>
      </c>
      <c r="K2516" t="s">
        <v>49375</v>
      </c>
      <c r="L2516" t="s">
        <v>49376</v>
      </c>
      <c r="M2516" t="s">
        <v>49377</v>
      </c>
      <c r="N2516" t="s">
        <v>49378</v>
      </c>
      <c r="O2516">
        <f>-555.767343561275 -84.6065139763362 -744.959287489726</f>
        <v>-1385.3331450273372</v>
      </c>
      <c r="P2516">
        <f>-567.09447294617 -78.9497434821888 -428.690523748835</f>
        <v>-1074.7347401771938</v>
      </c>
      <c r="Q2516">
        <f>-318.818552405624 -1.58053973993464 -432.579529434904</f>
        <v>-752.97862158046269</v>
      </c>
      <c r="R2516" t="s">
        <v>49379</v>
      </c>
      <c r="S2516" t="s">
        <v>49380</v>
      </c>
      <c r="T2516" t="s">
        <v>49381</v>
      </c>
      <c r="U2516" t="s">
        <v>49382</v>
      </c>
      <c r="V2516" t="s">
        <v>49383</v>
      </c>
      <c r="W2516" t="s">
        <v>49384</v>
      </c>
      <c r="X2516" t="s">
        <v>49385</v>
      </c>
      <c r="Y2516" t="s">
        <v>49386</v>
      </c>
    </row>
    <row r="2517" spans="1:25" x14ac:dyDescent="0.3">
      <c r="A2517">
        <v>125800</v>
      </c>
      <c r="B2517" t="s">
        <v>49387</v>
      </c>
      <c r="C2517" t="s">
        <v>49388</v>
      </c>
      <c r="D2517" t="s">
        <v>49389</v>
      </c>
      <c r="E2517" t="s">
        <v>49390</v>
      </c>
      <c r="F2517" t="s">
        <v>49391</v>
      </c>
      <c r="G2517" t="s">
        <v>49392</v>
      </c>
      <c r="H2517" t="s">
        <v>49393</v>
      </c>
      <c r="I2517" t="s">
        <v>49394</v>
      </c>
      <c r="J2517" t="s">
        <v>49395</v>
      </c>
      <c r="K2517" t="s">
        <v>49396</v>
      </c>
      <c r="L2517" t="s">
        <v>49397</v>
      </c>
      <c r="M2517" t="s">
        <v>49398</v>
      </c>
      <c r="N2517" t="s">
        <v>49399</v>
      </c>
      <c r="O2517">
        <f>-555.458768983572 -84.7185043104723 -744.922739796125</f>
        <v>-1385.1000130901693</v>
      </c>
      <c r="P2517">
        <f>-566.787458381584 -78.9869649921876 -428.655380272973</f>
        <v>-1074.4298036467446</v>
      </c>
      <c r="Q2517">
        <f>-318.527567543584 -1.56264989877793 -432.469418912626</f>
        <v>-752.5596363549879</v>
      </c>
      <c r="R2517" t="s">
        <v>49400</v>
      </c>
      <c r="S2517" t="s">
        <v>49401</v>
      </c>
      <c r="T2517" t="s">
        <v>49402</v>
      </c>
      <c r="U2517" t="s">
        <v>49403</v>
      </c>
      <c r="V2517" t="s">
        <v>49404</v>
      </c>
      <c r="W2517" t="s">
        <v>49405</v>
      </c>
      <c r="X2517" t="s">
        <v>49406</v>
      </c>
      <c r="Y2517" t="s">
        <v>49407</v>
      </c>
    </row>
    <row r="2518" spans="1:25" x14ac:dyDescent="0.3">
      <c r="A2518">
        <v>125850</v>
      </c>
      <c r="B2518" t="s">
        <v>49408</v>
      </c>
      <c r="C2518" t="s">
        <v>49409</v>
      </c>
      <c r="D2518" t="s">
        <v>49410</v>
      </c>
      <c r="E2518" t="s">
        <v>49411</v>
      </c>
      <c r="F2518" t="s">
        <v>49412</v>
      </c>
      <c r="G2518" t="s">
        <v>49413</v>
      </c>
      <c r="H2518" t="s">
        <v>49414</v>
      </c>
      <c r="I2518" t="s">
        <v>49415</v>
      </c>
      <c r="J2518" t="s">
        <v>49416</v>
      </c>
      <c r="K2518" t="s">
        <v>49417</v>
      </c>
      <c r="L2518" t="s">
        <v>49418</v>
      </c>
      <c r="M2518" t="s">
        <v>49419</v>
      </c>
      <c r="N2518" t="s">
        <v>49420</v>
      </c>
      <c r="O2518">
        <f>-554.884529621454 -85.1053985566798 -744.721498070986</f>
        <v>-1384.7114262491198</v>
      </c>
      <c r="P2518">
        <f>-566.136721822247 -79.30070159654 -428.452854974457</f>
        <v>-1073.890278393244</v>
      </c>
      <c r="Q2518">
        <f>-317.793172215474 -2.14440571063376 -432.25068925934</f>
        <v>-752.18826718544778</v>
      </c>
      <c r="R2518" t="s">
        <v>49421</v>
      </c>
      <c r="S2518" t="s">
        <v>49422</v>
      </c>
      <c r="T2518" t="s">
        <v>49423</v>
      </c>
      <c r="U2518" t="s">
        <v>49424</v>
      </c>
      <c r="V2518" t="s">
        <v>49425</v>
      </c>
      <c r="W2518" t="s">
        <v>49426</v>
      </c>
      <c r="X2518" t="s">
        <v>49427</v>
      </c>
      <c r="Y2518" t="s">
        <v>49428</v>
      </c>
    </row>
    <row r="2519" spans="1:25" x14ac:dyDescent="0.3">
      <c r="A2519">
        <v>125900</v>
      </c>
      <c r="B2519" t="s">
        <v>49429</v>
      </c>
      <c r="C2519" t="s">
        <v>49430</v>
      </c>
      <c r="D2519" t="s">
        <v>49431</v>
      </c>
      <c r="E2519" t="s">
        <v>49432</v>
      </c>
      <c r="F2519" t="s">
        <v>49433</v>
      </c>
      <c r="G2519" t="s">
        <v>49434</v>
      </c>
      <c r="H2519" t="s">
        <v>49435</v>
      </c>
      <c r="I2519" t="s">
        <v>49436</v>
      </c>
      <c r="J2519" t="s">
        <v>49437</v>
      </c>
      <c r="K2519" t="s">
        <v>49438</v>
      </c>
      <c r="L2519" t="s">
        <v>49439</v>
      </c>
      <c r="M2519" t="s">
        <v>49440</v>
      </c>
      <c r="N2519" t="s">
        <v>49441</v>
      </c>
      <c r="O2519">
        <f>-554.749307700976 -85.1504666251602 -744.568853146769</f>
        <v>-1384.4686274729052</v>
      </c>
      <c r="P2519">
        <f>-565.836872694744 -79.1201223181982 -428.298397698391</f>
        <v>-1073.2553927113331</v>
      </c>
      <c r="Q2519">
        <f>-317.417812757664 -2.20717460345516 -432.095740002318</f>
        <v>-751.72072736343716</v>
      </c>
      <c r="R2519" t="s">
        <v>49442</v>
      </c>
      <c r="S2519" t="s">
        <v>49443</v>
      </c>
      <c r="T2519" t="s">
        <v>49444</v>
      </c>
      <c r="U2519" t="s">
        <v>49445</v>
      </c>
      <c r="V2519" t="s">
        <v>49446</v>
      </c>
      <c r="W2519" t="s">
        <v>49447</v>
      </c>
      <c r="X2519" t="s">
        <v>49448</v>
      </c>
      <c r="Y2519" t="s">
        <v>49449</v>
      </c>
    </row>
    <row r="2520" spans="1:25" x14ac:dyDescent="0.3">
      <c r="A2520">
        <v>125950</v>
      </c>
      <c r="B2520" t="s">
        <v>49450</v>
      </c>
      <c r="C2520" t="s">
        <v>49451</v>
      </c>
      <c r="D2520" t="s">
        <v>49452</v>
      </c>
      <c r="E2520" t="s">
        <v>49453</v>
      </c>
      <c r="F2520" t="s">
        <v>49454</v>
      </c>
      <c r="G2520" t="s">
        <v>49455</v>
      </c>
      <c r="H2520" t="s">
        <v>49456</v>
      </c>
      <c r="I2520" t="s">
        <v>49457</v>
      </c>
      <c r="J2520" t="s">
        <v>49458</v>
      </c>
      <c r="K2520" t="s">
        <v>49459</v>
      </c>
      <c r="L2520" t="s">
        <v>49460</v>
      </c>
      <c r="M2520" t="s">
        <v>49461</v>
      </c>
      <c r="N2520" t="s">
        <v>49462</v>
      </c>
      <c r="O2520">
        <f>-554.328485744405 -84.9628191882831 -744.241266286579</f>
        <v>-1383.5325712192671</v>
      </c>
      <c r="P2520">
        <f>-565.552032599374 -78.7404873914648 -427.979543176558</f>
        <v>-1072.2720631673969</v>
      </c>
      <c r="Q2520">
        <f>-317.010544718067 -2.22446946175523 -431.783813781632</f>
        <v>-751.01882796145424</v>
      </c>
      <c r="R2520" t="s">
        <v>49463</v>
      </c>
      <c r="S2520" t="s">
        <v>49464</v>
      </c>
      <c r="T2520" t="s">
        <v>49465</v>
      </c>
      <c r="U2520" t="s">
        <v>49466</v>
      </c>
      <c r="V2520" t="s">
        <v>49467</v>
      </c>
      <c r="W2520" t="s">
        <v>49468</v>
      </c>
      <c r="X2520" t="s">
        <v>49469</v>
      </c>
      <c r="Y2520" t="s">
        <v>49470</v>
      </c>
    </row>
    <row r="2521" spans="1:25" x14ac:dyDescent="0.3">
      <c r="A2521">
        <v>126000</v>
      </c>
      <c r="B2521" t="s">
        <v>49471</v>
      </c>
      <c r="C2521" t="s">
        <v>49472</v>
      </c>
      <c r="D2521" t="s">
        <v>49473</v>
      </c>
      <c r="E2521" t="s">
        <v>49474</v>
      </c>
      <c r="F2521" t="s">
        <v>49475</v>
      </c>
      <c r="G2521" t="s">
        <v>49476</v>
      </c>
      <c r="H2521" t="s">
        <v>49477</v>
      </c>
      <c r="I2521" t="s">
        <v>49478</v>
      </c>
      <c r="J2521" t="s">
        <v>49479</v>
      </c>
      <c r="K2521" t="s">
        <v>49480</v>
      </c>
      <c r="L2521" t="s">
        <v>49481</v>
      </c>
      <c r="M2521" t="s">
        <v>49482</v>
      </c>
      <c r="N2521" t="s">
        <v>49483</v>
      </c>
      <c r="O2521">
        <f>-554.377718420261 -85.0007424641902 -744.098356213579</f>
        <v>-1383.4768170980301</v>
      </c>
      <c r="P2521">
        <f>-565.614645766409 -78.6978977500895 -427.838741959754</f>
        <v>-1072.1512854762525</v>
      </c>
      <c r="Q2521">
        <f>-317.0625050255 -2.21642573705197 -431.64474072097</f>
        <v>-750.92367148352196</v>
      </c>
      <c r="R2521" t="s">
        <v>49484</v>
      </c>
      <c r="S2521" t="s">
        <v>49485</v>
      </c>
      <c r="T2521" t="s">
        <v>49486</v>
      </c>
      <c r="U2521" t="s">
        <v>49487</v>
      </c>
      <c r="V2521" t="s">
        <v>49488</v>
      </c>
      <c r="W2521" t="s">
        <v>49489</v>
      </c>
      <c r="X2521" t="s">
        <v>49490</v>
      </c>
      <c r="Y2521" t="s">
        <v>49491</v>
      </c>
    </row>
    <row r="2522" spans="1:25" x14ac:dyDescent="0.3">
      <c r="A2522">
        <v>126050</v>
      </c>
      <c r="B2522" t="s">
        <v>49492</v>
      </c>
      <c r="C2522" t="s">
        <v>49493</v>
      </c>
      <c r="D2522" t="s">
        <v>49494</v>
      </c>
      <c r="E2522" t="s">
        <v>49495</v>
      </c>
      <c r="F2522" t="s">
        <v>49496</v>
      </c>
      <c r="G2522" t="s">
        <v>49497</v>
      </c>
      <c r="H2522" t="s">
        <v>49498</v>
      </c>
      <c r="I2522" t="s">
        <v>49499</v>
      </c>
      <c r="J2522" t="s">
        <v>49500</v>
      </c>
      <c r="K2522" t="s">
        <v>49501</v>
      </c>
      <c r="L2522" t="s">
        <v>49502</v>
      </c>
      <c r="M2522" t="s">
        <v>49503</v>
      </c>
      <c r="N2522" t="s">
        <v>49504</v>
      </c>
      <c r="O2522">
        <f>-554.158130503265 -85.2544329878528 -743.891394957143</f>
        <v>-1383.3039584482608</v>
      </c>
      <c r="P2522">
        <f>-565.66658915431 -78.7521383146101 -427.645611095057</f>
        <v>-1072.0643385639771</v>
      </c>
      <c r="Q2522">
        <f>-317.081315811614 -2.36680771701668 -431.211800764045</f>
        <v>-750.65992429267567</v>
      </c>
      <c r="R2522" t="s">
        <v>49505</v>
      </c>
      <c r="S2522" t="s">
        <v>49506</v>
      </c>
      <c r="T2522" t="s">
        <v>49507</v>
      </c>
      <c r="U2522" t="s">
        <v>49508</v>
      </c>
      <c r="V2522" t="s">
        <v>49509</v>
      </c>
      <c r="W2522" t="s">
        <v>49510</v>
      </c>
      <c r="X2522" t="s">
        <v>49511</v>
      </c>
      <c r="Y2522" t="s">
        <v>49512</v>
      </c>
    </row>
    <row r="2523" spans="1:25" x14ac:dyDescent="0.3">
      <c r="A2523">
        <v>126100</v>
      </c>
      <c r="B2523" t="s">
        <v>49513</v>
      </c>
      <c r="C2523" t="s">
        <v>49514</v>
      </c>
      <c r="D2523" t="s">
        <v>49515</v>
      </c>
      <c r="E2523" t="s">
        <v>49516</v>
      </c>
      <c r="F2523" t="s">
        <v>49517</v>
      </c>
      <c r="G2523" t="s">
        <v>49518</v>
      </c>
      <c r="H2523" t="s">
        <v>49519</v>
      </c>
      <c r="I2523" t="s">
        <v>49520</v>
      </c>
      <c r="J2523" t="s">
        <v>49521</v>
      </c>
      <c r="K2523" t="s">
        <v>49522</v>
      </c>
      <c r="L2523" t="s">
        <v>49523</v>
      </c>
      <c r="M2523" t="s">
        <v>49524</v>
      </c>
      <c r="N2523" t="s">
        <v>49525</v>
      </c>
      <c r="O2523">
        <f>-554.149024327204 -85.2810757605235 -743.809323545317</f>
        <v>-1383.2394236330447</v>
      </c>
      <c r="P2523">
        <f>-565.751769291033 -78.5769668522076 -427.571158693262</f>
        <v>-1071.8998948365027</v>
      </c>
      <c r="Q2523">
        <f>-317.151501760313 -2.23082894477521 -430.915767618635</f>
        <v>-750.29809832372325</v>
      </c>
      <c r="R2523" t="s">
        <v>49526</v>
      </c>
      <c r="S2523" t="s">
        <v>49527</v>
      </c>
      <c r="T2523" t="s">
        <v>49528</v>
      </c>
      <c r="U2523" t="s">
        <v>49529</v>
      </c>
      <c r="V2523" t="s">
        <v>49530</v>
      </c>
      <c r="W2523" t="s">
        <v>49531</v>
      </c>
      <c r="X2523" t="s">
        <v>49532</v>
      </c>
      <c r="Y2523" t="s">
        <v>49533</v>
      </c>
    </row>
    <row r="2524" spans="1:25" x14ac:dyDescent="0.3">
      <c r="A2524">
        <v>126150</v>
      </c>
      <c r="B2524" t="s">
        <v>49534</v>
      </c>
      <c r="C2524" t="s">
        <v>49535</v>
      </c>
      <c r="D2524" t="s">
        <v>49536</v>
      </c>
      <c r="E2524" t="s">
        <v>49537</v>
      </c>
      <c r="F2524" t="s">
        <v>49538</v>
      </c>
      <c r="G2524" t="s">
        <v>49539</v>
      </c>
      <c r="H2524" t="s">
        <v>49540</v>
      </c>
      <c r="I2524" t="s">
        <v>49541</v>
      </c>
      <c r="J2524" t="s">
        <v>49542</v>
      </c>
      <c r="K2524" t="s">
        <v>49543</v>
      </c>
      <c r="L2524" t="s">
        <v>49544</v>
      </c>
      <c r="M2524" t="s">
        <v>49545</v>
      </c>
      <c r="N2524" t="s">
        <v>49546</v>
      </c>
      <c r="O2524">
        <f>-553.92067967936 -85.3154802788346 -743.733868119616</f>
        <v>-1382.9700280778106</v>
      </c>
      <c r="P2524">
        <f>-565.980797508743 -78.0682769317144 -427.524624579589</f>
        <v>-1071.5736990200464</v>
      </c>
      <c r="Q2524">
        <f>-317.39327103416 -1.66262595401878 -430.43625366967</f>
        <v>-749.49215065784881</v>
      </c>
      <c r="R2524" t="s">
        <v>49547</v>
      </c>
      <c r="S2524" t="s">
        <v>49548</v>
      </c>
      <c r="T2524" t="s">
        <v>49549</v>
      </c>
      <c r="U2524" t="s">
        <v>49550</v>
      </c>
      <c r="V2524" t="s">
        <v>49551</v>
      </c>
      <c r="W2524" t="s">
        <v>49552</v>
      </c>
      <c r="X2524" t="s">
        <v>49553</v>
      </c>
      <c r="Y2524" t="s">
        <v>49554</v>
      </c>
    </row>
    <row r="2525" spans="1:25" x14ac:dyDescent="0.3">
      <c r="A2525">
        <v>126200</v>
      </c>
      <c r="B2525" t="s">
        <v>49555</v>
      </c>
      <c r="C2525" t="s">
        <v>49556</v>
      </c>
      <c r="D2525" t="s">
        <v>49557</v>
      </c>
      <c r="E2525" t="s">
        <v>49558</v>
      </c>
      <c r="F2525" t="s">
        <v>49559</v>
      </c>
      <c r="G2525" t="s">
        <v>49560</v>
      </c>
      <c r="H2525" t="s">
        <v>49561</v>
      </c>
      <c r="I2525" t="s">
        <v>49562</v>
      </c>
      <c r="J2525" t="s">
        <v>49563</v>
      </c>
      <c r="K2525" t="s">
        <v>49564</v>
      </c>
      <c r="L2525" t="s">
        <v>49565</v>
      </c>
      <c r="M2525" t="s">
        <v>49566</v>
      </c>
      <c r="N2525" t="s">
        <v>49567</v>
      </c>
      <c r="O2525">
        <f>-553.927024153095 -85.292196309865 -743.640501892122</f>
        <v>-1382.8597223550819</v>
      </c>
      <c r="P2525">
        <f>-566.108050978608 -77.8622692587936 -427.440169043104</f>
        <v>-1071.4104892805058</v>
      </c>
      <c r="Q2525">
        <f>-317.541854798057 -1.38039944166354 -430.172818441586</f>
        <v>-749.09507268130653</v>
      </c>
      <c r="R2525" t="s">
        <v>49568</v>
      </c>
      <c r="S2525" t="s">
        <v>49569</v>
      </c>
      <c r="T2525" t="s">
        <v>49570</v>
      </c>
      <c r="U2525" t="s">
        <v>49571</v>
      </c>
      <c r="V2525" t="s">
        <v>49572</v>
      </c>
      <c r="W2525" t="s">
        <v>49573</v>
      </c>
      <c r="X2525" t="s">
        <v>49574</v>
      </c>
      <c r="Y2525" t="s">
        <v>49575</v>
      </c>
    </row>
    <row r="2526" spans="1:25" x14ac:dyDescent="0.3">
      <c r="A2526">
        <v>126250</v>
      </c>
      <c r="B2526" t="s">
        <v>49576</v>
      </c>
      <c r="C2526" t="s">
        <v>49577</v>
      </c>
      <c r="D2526" t="s">
        <v>49578</v>
      </c>
      <c r="E2526" t="s">
        <v>49579</v>
      </c>
      <c r="F2526" t="s">
        <v>49580</v>
      </c>
      <c r="G2526" t="s">
        <v>49581</v>
      </c>
      <c r="H2526" t="s">
        <v>49582</v>
      </c>
      <c r="I2526" t="s">
        <v>49583</v>
      </c>
      <c r="J2526" t="s">
        <v>49584</v>
      </c>
      <c r="K2526" t="s">
        <v>49585</v>
      </c>
      <c r="L2526" t="s">
        <v>49586</v>
      </c>
      <c r="M2526" t="s">
        <v>49587</v>
      </c>
      <c r="N2526" t="s">
        <v>49588</v>
      </c>
      <c r="O2526">
        <f>-555.567816124408 -85.3829252172457 -743.025151569268</f>
        <v>-1383.9758929109216</v>
      </c>
      <c r="P2526">
        <f>-567.955120848733 -77.5212709697177 -426.843300736212</f>
        <v>-1072.3196925546627</v>
      </c>
      <c r="Q2526">
        <f>-319.343908540004 -1.17884654113148 -429.358102651219</f>
        <v>-749.88085773235446</v>
      </c>
      <c r="R2526" t="s">
        <v>49589</v>
      </c>
      <c r="S2526" t="s">
        <v>49590</v>
      </c>
      <c r="T2526" t="s">
        <v>49591</v>
      </c>
      <c r="U2526" t="s">
        <v>49592</v>
      </c>
      <c r="V2526" t="s">
        <v>49593</v>
      </c>
      <c r="W2526" t="s">
        <v>49594</v>
      </c>
      <c r="X2526" t="s">
        <v>49595</v>
      </c>
      <c r="Y2526" t="s">
        <v>49596</v>
      </c>
    </row>
    <row r="2527" spans="1:25" x14ac:dyDescent="0.3">
      <c r="A2527">
        <v>126300</v>
      </c>
      <c r="B2527" t="s">
        <v>49597</v>
      </c>
      <c r="C2527" t="s">
        <v>49598</v>
      </c>
      <c r="D2527" t="s">
        <v>49599</v>
      </c>
      <c r="E2527" t="s">
        <v>49600</v>
      </c>
      <c r="F2527" t="s">
        <v>49601</v>
      </c>
      <c r="G2527" t="s">
        <v>49602</v>
      </c>
      <c r="H2527" t="s">
        <v>49603</v>
      </c>
      <c r="I2527" t="s">
        <v>49604</v>
      </c>
      <c r="J2527" t="s">
        <v>49605</v>
      </c>
      <c r="K2527" t="s">
        <v>49606</v>
      </c>
      <c r="L2527" t="s">
        <v>49607</v>
      </c>
      <c r="M2527" t="s">
        <v>49608</v>
      </c>
      <c r="N2527" t="s">
        <v>49609</v>
      </c>
      <c r="O2527">
        <f>-557.037786670292 -85.6162778294625 -742.517364207802</f>
        <v>-1385.1714287075565</v>
      </c>
      <c r="P2527">
        <f>-569.254606400899 -77.8159861282219 -426.327265707307</f>
        <v>-1073.397858236428</v>
      </c>
      <c r="Q2527">
        <f>-320.556139352146 -1.76071950847013 -428.919356834277</f>
        <v>-751.23621569489308</v>
      </c>
      <c r="R2527" t="s">
        <v>49610</v>
      </c>
      <c r="S2527" t="s">
        <v>49611</v>
      </c>
      <c r="T2527" t="s">
        <v>49612</v>
      </c>
      <c r="U2527" t="s">
        <v>49613</v>
      </c>
      <c r="V2527" t="s">
        <v>49614</v>
      </c>
      <c r="W2527" t="s">
        <v>49615</v>
      </c>
      <c r="X2527" t="s">
        <v>49616</v>
      </c>
      <c r="Y2527" t="s">
        <v>49617</v>
      </c>
    </row>
    <row r="2528" spans="1:25" x14ac:dyDescent="0.3">
      <c r="A2528">
        <v>126350</v>
      </c>
      <c r="B2528" t="s">
        <v>49618</v>
      </c>
      <c r="C2528" t="s">
        <v>49619</v>
      </c>
      <c r="D2528" t="s">
        <v>49620</v>
      </c>
      <c r="E2528" t="s">
        <v>49621</v>
      </c>
      <c r="F2528" t="s">
        <v>49622</v>
      </c>
      <c r="G2528" t="s">
        <v>49623</v>
      </c>
      <c r="H2528" t="s">
        <v>49624</v>
      </c>
      <c r="I2528" t="s">
        <v>49625</v>
      </c>
      <c r="J2528" t="s">
        <v>49626</v>
      </c>
      <c r="K2528" t="s">
        <v>49627</v>
      </c>
      <c r="L2528" t="s">
        <v>49628</v>
      </c>
      <c r="M2528" t="s">
        <v>49629</v>
      </c>
      <c r="N2528" t="s">
        <v>49630</v>
      </c>
      <c r="O2528">
        <f>-558.821255155708 -86.0370836073092 -741.355283207111</f>
        <v>-1386.2136219701283</v>
      </c>
      <c r="P2528">
        <f>-571.081844164231 -78.3215175001138 -425.164885852198</f>
        <v>-1074.5682475165429</v>
      </c>
      <c r="Q2528">
        <f>-322.136269535429 -3.10511814060161 -428.424948898367</f>
        <v>-753.66633657439763</v>
      </c>
      <c r="R2528" t="s">
        <v>49631</v>
      </c>
      <c r="S2528" t="s">
        <v>49632</v>
      </c>
      <c r="T2528" t="s">
        <v>49633</v>
      </c>
      <c r="U2528" t="s">
        <v>49634</v>
      </c>
      <c r="V2528" t="s">
        <v>49635</v>
      </c>
      <c r="W2528" t="s">
        <v>49636</v>
      </c>
      <c r="X2528" t="s">
        <v>49637</v>
      </c>
      <c r="Y2528" t="s">
        <v>49638</v>
      </c>
    </row>
    <row r="2529" spans="1:25" x14ac:dyDescent="0.3">
      <c r="A2529">
        <v>126400</v>
      </c>
      <c r="B2529" t="s">
        <v>49639</v>
      </c>
      <c r="C2529" t="s">
        <v>49640</v>
      </c>
      <c r="D2529" t="s">
        <v>49641</v>
      </c>
      <c r="E2529" t="s">
        <v>49642</v>
      </c>
      <c r="F2529" t="s">
        <v>49643</v>
      </c>
      <c r="G2529" t="s">
        <v>49644</v>
      </c>
      <c r="H2529" t="s">
        <v>49645</v>
      </c>
      <c r="I2529" t="s">
        <v>49646</v>
      </c>
      <c r="J2529" t="s">
        <v>49647</v>
      </c>
      <c r="K2529" t="s">
        <v>49648</v>
      </c>
      <c r="L2529" t="s">
        <v>49649</v>
      </c>
      <c r="M2529" t="s">
        <v>49650</v>
      </c>
      <c r="N2529" t="s">
        <v>49651</v>
      </c>
      <c r="O2529">
        <f>-559.561314023561 -86.1581156164892 -741.007820595227</f>
        <v>-1386.7272502352771</v>
      </c>
      <c r="P2529">
        <f>-571.966123728653 -78.2653721721938 -424.827461043384</f>
        <v>-1075.0589569442309</v>
      </c>
      <c r="Q2529">
        <f>-322.852704924077 -3.61802087386186 -428.338521319465</f>
        <v>-754.80924711740386</v>
      </c>
      <c r="R2529" t="s">
        <v>49652</v>
      </c>
      <c r="S2529" t="s">
        <v>49653</v>
      </c>
      <c r="T2529" t="s">
        <v>49654</v>
      </c>
      <c r="U2529" t="s">
        <v>49655</v>
      </c>
      <c r="V2529" t="s">
        <v>49656</v>
      </c>
      <c r="W2529" t="s">
        <v>49657</v>
      </c>
      <c r="X2529" t="s">
        <v>49658</v>
      </c>
      <c r="Y2529" t="s">
        <v>49659</v>
      </c>
    </row>
    <row r="2530" spans="1:25" x14ac:dyDescent="0.3">
      <c r="A2530">
        <v>126450</v>
      </c>
      <c r="B2530" t="s">
        <v>49660</v>
      </c>
      <c r="C2530" t="s">
        <v>49661</v>
      </c>
      <c r="D2530" t="s">
        <v>49662</v>
      </c>
      <c r="E2530" t="s">
        <v>49663</v>
      </c>
      <c r="F2530" t="s">
        <v>49664</v>
      </c>
      <c r="G2530" t="s">
        <v>49665</v>
      </c>
      <c r="H2530" t="s">
        <v>49666</v>
      </c>
      <c r="I2530" t="s">
        <v>49667</v>
      </c>
      <c r="J2530" t="s">
        <v>49668</v>
      </c>
      <c r="K2530" t="s">
        <v>49669</v>
      </c>
      <c r="L2530" t="s">
        <v>49670</v>
      </c>
      <c r="M2530" t="s">
        <v>49671</v>
      </c>
      <c r="N2530" t="s">
        <v>49672</v>
      </c>
      <c r="O2530">
        <f>-560.570754513946 -86.3229056792922 -740.534293514831</f>
        <v>-1387.4279537080693</v>
      </c>
      <c r="P2530">
        <f>-572.874757184656 -78.5523198480806 -424.346899041936</f>
        <v>-1075.7739760746726</v>
      </c>
      <c r="Q2530">
        <f>-323.334767231492 -5.36214061411977 -428.224972803779</f>
        <v>-756.92188064939069</v>
      </c>
      <c r="R2530" t="s">
        <v>49673</v>
      </c>
      <c r="S2530" t="s">
        <v>49674</v>
      </c>
      <c r="T2530" t="s">
        <v>49675</v>
      </c>
      <c r="U2530" t="s">
        <v>49676</v>
      </c>
      <c r="V2530" t="s">
        <v>49677</v>
      </c>
      <c r="W2530" t="s">
        <v>49678</v>
      </c>
      <c r="X2530" t="s">
        <v>49679</v>
      </c>
      <c r="Y2530" t="s">
        <v>49680</v>
      </c>
    </row>
    <row r="2531" spans="1:25" x14ac:dyDescent="0.3">
      <c r="A2531">
        <v>126500</v>
      </c>
      <c r="B2531" t="s">
        <v>49681</v>
      </c>
      <c r="C2531" t="s">
        <v>49682</v>
      </c>
      <c r="D2531" t="s">
        <v>49683</v>
      </c>
      <c r="E2531" t="s">
        <v>49684</v>
      </c>
      <c r="F2531" t="s">
        <v>49685</v>
      </c>
      <c r="G2531" t="s">
        <v>49686</v>
      </c>
      <c r="H2531" t="s">
        <v>49687</v>
      </c>
      <c r="I2531" t="s">
        <v>49688</v>
      </c>
      <c r="J2531" t="s">
        <v>49689</v>
      </c>
      <c r="K2531" t="s">
        <v>49690</v>
      </c>
      <c r="L2531" t="s">
        <v>49691</v>
      </c>
      <c r="M2531" t="s">
        <v>49692</v>
      </c>
      <c r="N2531" t="s">
        <v>49693</v>
      </c>
      <c r="O2531">
        <f>-560.790095133126 -86.512989755881 -740.426931896676</f>
        <v>-1387.7300167856829</v>
      </c>
      <c r="P2531">
        <f>-573.195950011721 -78.5764675490687 -424.247726741212</f>
        <v>-1076.0201443020019</v>
      </c>
      <c r="Q2531">
        <f>-323.346803472182 -6.44794196306286 -428.113862602916</f>
        <v>-757.90860803816088</v>
      </c>
      <c r="R2531" t="s">
        <v>49694</v>
      </c>
      <c r="S2531" t="s">
        <v>49695</v>
      </c>
      <c r="T2531" t="s">
        <v>49696</v>
      </c>
      <c r="U2531" t="s">
        <v>49697</v>
      </c>
      <c r="V2531" t="s">
        <v>49698</v>
      </c>
      <c r="W2531" t="s">
        <v>49699</v>
      </c>
      <c r="X2531" t="s">
        <v>49700</v>
      </c>
      <c r="Y2531" t="s">
        <v>49701</v>
      </c>
    </row>
    <row r="2532" spans="1:25" x14ac:dyDescent="0.3">
      <c r="A2532">
        <v>126550</v>
      </c>
      <c r="B2532" t="s">
        <v>49702</v>
      </c>
      <c r="C2532" t="s">
        <v>49703</v>
      </c>
      <c r="D2532" t="s">
        <v>49704</v>
      </c>
      <c r="E2532" t="s">
        <v>49705</v>
      </c>
      <c r="F2532" t="s">
        <v>49706</v>
      </c>
      <c r="G2532" t="s">
        <v>49707</v>
      </c>
      <c r="H2532" t="s">
        <v>49708</v>
      </c>
      <c r="I2532" t="s">
        <v>49709</v>
      </c>
      <c r="J2532" t="s">
        <v>49710</v>
      </c>
      <c r="K2532" t="s">
        <v>49711</v>
      </c>
      <c r="L2532" t="s">
        <v>49712</v>
      </c>
      <c r="M2532" t="s">
        <v>49713</v>
      </c>
      <c r="N2532" t="s">
        <v>49714</v>
      </c>
      <c r="O2532">
        <f>-560.404704834336 -86.9523284485815 -740.375424727612</f>
        <v>-1387.7324580105296</v>
      </c>
      <c r="P2532">
        <f>-573.354913547543 -78.6220504319425 -424.228108179714</f>
        <v>-1076.2050721591995</v>
      </c>
      <c r="Q2532">
        <f>-323.033203101584 -8.14233119258246 -427.927675820432</f>
        <v>-759.10321011459837</v>
      </c>
      <c r="R2532" t="s">
        <v>49715</v>
      </c>
      <c r="S2532" t="s">
        <v>49716</v>
      </c>
      <c r="T2532" t="s">
        <v>49717</v>
      </c>
      <c r="U2532" t="s">
        <v>49718</v>
      </c>
      <c r="V2532" t="s">
        <v>49719</v>
      </c>
      <c r="W2532" t="s">
        <v>49720</v>
      </c>
      <c r="X2532" t="s">
        <v>49721</v>
      </c>
      <c r="Y2532" t="s">
        <v>49722</v>
      </c>
    </row>
    <row r="2533" spans="1:25" x14ac:dyDescent="0.3">
      <c r="A2533">
        <v>126600</v>
      </c>
      <c r="B2533" t="s">
        <v>49723</v>
      </c>
      <c r="C2533" t="s">
        <v>49724</v>
      </c>
      <c r="D2533" t="s">
        <v>49725</v>
      </c>
      <c r="E2533" t="s">
        <v>49726</v>
      </c>
      <c r="F2533" t="s">
        <v>49727</v>
      </c>
      <c r="G2533" t="s">
        <v>49728</v>
      </c>
      <c r="H2533" t="s">
        <v>49729</v>
      </c>
      <c r="I2533" t="s">
        <v>49730</v>
      </c>
      <c r="J2533" t="s">
        <v>49731</v>
      </c>
      <c r="K2533" t="s">
        <v>49732</v>
      </c>
      <c r="L2533" t="s">
        <v>49733</v>
      </c>
      <c r="M2533" t="s">
        <v>49734</v>
      </c>
      <c r="N2533" t="s">
        <v>49735</v>
      </c>
      <c r="O2533">
        <f>-559.770516218443 -87.0194510032551 -740.417816667456</f>
        <v>-1387.2077838891541</v>
      </c>
      <c r="P2533">
        <f>-573.031683907551 -78.7333342980994 -424.282259512048</f>
        <v>-1076.0472777176983</v>
      </c>
      <c r="Q2533">
        <f>-322.614205430766 -8.58637177977795 -427.824079388485</f>
        <v>-759.02465659902896</v>
      </c>
      <c r="R2533" t="s">
        <v>49736</v>
      </c>
      <c r="S2533" t="s">
        <v>49737</v>
      </c>
      <c r="T2533" t="s">
        <v>49738</v>
      </c>
      <c r="U2533" t="s">
        <v>49739</v>
      </c>
      <c r="V2533" t="s">
        <v>49740</v>
      </c>
      <c r="W2533" t="s">
        <v>49741</v>
      </c>
      <c r="X2533" t="s">
        <v>49742</v>
      </c>
      <c r="Y2533" t="s">
        <v>49743</v>
      </c>
    </row>
    <row r="2534" spans="1:25" x14ac:dyDescent="0.3">
      <c r="A2534">
        <v>126650</v>
      </c>
      <c r="B2534" t="s">
        <v>49744</v>
      </c>
      <c r="C2534" t="s">
        <v>49745</v>
      </c>
      <c r="D2534" t="s">
        <v>49746</v>
      </c>
      <c r="E2534" t="s">
        <v>49747</v>
      </c>
      <c r="F2534" t="s">
        <v>49748</v>
      </c>
      <c r="G2534" t="s">
        <v>49749</v>
      </c>
      <c r="H2534" t="s">
        <v>49750</v>
      </c>
      <c r="I2534" t="s">
        <v>49751</v>
      </c>
      <c r="J2534" t="s">
        <v>49752</v>
      </c>
      <c r="K2534" t="s">
        <v>49753</v>
      </c>
      <c r="L2534" t="s">
        <v>49754</v>
      </c>
      <c r="M2534" t="s">
        <v>49755</v>
      </c>
      <c r="N2534" t="s">
        <v>49756</v>
      </c>
      <c r="O2534">
        <f>-559.260783491651 -87.6931405382371 -741.036929684106</f>
        <v>-1387.9908537139941</v>
      </c>
      <c r="P2534">
        <f>-572.740324827402 -79.3318871851586 -424.912681625845</f>
        <v>-1076.9848936384055</v>
      </c>
      <c r="Q2534">
        <f>-322.488246208317 -8.57881662427452 -428.069850761654</f>
        <v>-759.13691359424547</v>
      </c>
      <c r="R2534" t="s">
        <v>49757</v>
      </c>
      <c r="S2534" t="s">
        <v>49758</v>
      </c>
      <c r="T2534" t="s">
        <v>49759</v>
      </c>
      <c r="U2534" t="s">
        <v>49760</v>
      </c>
      <c r="V2534" t="s">
        <v>49761</v>
      </c>
      <c r="W2534" t="s">
        <v>49762</v>
      </c>
      <c r="X2534" t="s">
        <v>49763</v>
      </c>
      <c r="Y2534" t="s">
        <v>49764</v>
      </c>
    </row>
    <row r="2535" spans="1:25" x14ac:dyDescent="0.3">
      <c r="A2535">
        <v>126700</v>
      </c>
      <c r="B2535" t="s">
        <v>49765</v>
      </c>
      <c r="C2535" t="s">
        <v>49766</v>
      </c>
      <c r="D2535" t="s">
        <v>49767</v>
      </c>
      <c r="E2535" t="s">
        <v>49768</v>
      </c>
      <c r="F2535" t="s">
        <v>49769</v>
      </c>
      <c r="G2535" t="s">
        <v>49770</v>
      </c>
      <c r="H2535" t="s">
        <v>49771</v>
      </c>
      <c r="I2535" t="s">
        <v>49772</v>
      </c>
      <c r="J2535" t="s">
        <v>49773</v>
      </c>
      <c r="K2535" t="s">
        <v>49774</v>
      </c>
      <c r="L2535" t="s">
        <v>49775</v>
      </c>
      <c r="M2535" t="s">
        <v>49776</v>
      </c>
      <c r="N2535" t="s">
        <v>49777</v>
      </c>
      <c r="O2535">
        <f>-559.182353476157 -87.6634050423476 -741.495520949328</f>
        <v>-1388.3412794678325</v>
      </c>
      <c r="P2535">
        <f>-572.349101604926 -79.6271444812794 -425.349466094682</f>
        <v>-1077.3257121808874</v>
      </c>
      <c r="Q2535">
        <f>-322.364677693192 -7.92200588467382 -428.21311699684</f>
        <v>-758.49980057470577</v>
      </c>
      <c r="R2535" t="s">
        <v>49778</v>
      </c>
      <c r="S2535" t="s">
        <v>49779</v>
      </c>
      <c r="T2535" t="s">
        <v>49780</v>
      </c>
      <c r="U2535" t="s">
        <v>49781</v>
      </c>
      <c r="V2535" t="s">
        <v>49782</v>
      </c>
      <c r="W2535" t="s">
        <v>49783</v>
      </c>
      <c r="X2535" t="s">
        <v>49784</v>
      </c>
      <c r="Y2535" t="s">
        <v>49785</v>
      </c>
    </row>
    <row r="2536" spans="1:25" x14ac:dyDescent="0.3">
      <c r="A2536">
        <v>126750</v>
      </c>
      <c r="B2536" t="s">
        <v>49786</v>
      </c>
      <c r="C2536" t="s">
        <v>49787</v>
      </c>
      <c r="D2536" t="s">
        <v>49788</v>
      </c>
      <c r="E2536" t="s">
        <v>49789</v>
      </c>
      <c r="F2536" t="s">
        <v>49790</v>
      </c>
      <c r="G2536" t="s">
        <v>49791</v>
      </c>
      <c r="H2536" t="s">
        <v>49792</v>
      </c>
      <c r="I2536" t="s">
        <v>49793</v>
      </c>
      <c r="J2536" t="s">
        <v>49794</v>
      </c>
      <c r="K2536" t="s">
        <v>49795</v>
      </c>
      <c r="L2536" t="s">
        <v>49796</v>
      </c>
      <c r="M2536" t="s">
        <v>49797</v>
      </c>
      <c r="N2536" t="s">
        <v>49798</v>
      </c>
      <c r="O2536">
        <f>-559.62695889966 -87.3841736982068 -742.182501506014</f>
        <v>-1389.1936341038809</v>
      </c>
      <c r="P2536">
        <f>-572.084669446797 -79.5863392365552 -426.001886327084</f>
        <v>-1077.6728950104362</v>
      </c>
      <c r="Q2536">
        <f>-322.945421719335 -5.008637634411 -429.139862835725</f>
        <v>-757.09392218947096</v>
      </c>
      <c r="R2536" t="s">
        <v>49799</v>
      </c>
      <c r="S2536" t="s">
        <v>49800</v>
      </c>
      <c r="T2536" t="s">
        <v>49801</v>
      </c>
      <c r="U2536" t="s">
        <v>49802</v>
      </c>
      <c r="V2536" t="s">
        <v>49803</v>
      </c>
      <c r="W2536" t="s">
        <v>49804</v>
      </c>
      <c r="X2536" t="s">
        <v>49805</v>
      </c>
      <c r="Y2536" t="s">
        <v>49806</v>
      </c>
    </row>
    <row r="2537" spans="1:25" x14ac:dyDescent="0.3">
      <c r="A2537">
        <v>126800</v>
      </c>
      <c r="B2537" t="s">
        <v>49807</v>
      </c>
      <c r="C2537" t="s">
        <v>49808</v>
      </c>
      <c r="D2537" t="s">
        <v>49809</v>
      </c>
      <c r="E2537" t="s">
        <v>49810</v>
      </c>
      <c r="F2537" t="s">
        <v>49811</v>
      </c>
      <c r="G2537" t="s">
        <v>49812</v>
      </c>
      <c r="H2537" t="s">
        <v>49813</v>
      </c>
      <c r="I2537" t="s">
        <v>49814</v>
      </c>
      <c r="J2537" t="s">
        <v>49815</v>
      </c>
      <c r="K2537" t="s">
        <v>49816</v>
      </c>
      <c r="L2537" t="s">
        <v>49817</v>
      </c>
      <c r="M2537" t="s">
        <v>49818</v>
      </c>
      <c r="N2537" t="s">
        <v>49819</v>
      </c>
      <c r="O2537">
        <f>-559.870026735001 -87.3467213517734 -742.482452384867</f>
        <v>-1389.6992004716415</v>
      </c>
      <c r="P2537">
        <f>-571.827942956947 -79.8486762265977 -426.275206210465</f>
        <v>-1077.9518253940098</v>
      </c>
      <c r="Q2537">
        <f>-323.146568459642 -3.77740291569585 -429.851504437532</f>
        <v>-756.7754758128699</v>
      </c>
      <c r="R2537" t="s">
        <v>49820</v>
      </c>
      <c r="S2537" t="s">
        <v>49821</v>
      </c>
      <c r="T2537" t="s">
        <v>49822</v>
      </c>
      <c r="U2537" t="s">
        <v>49823</v>
      </c>
      <c r="V2537" t="s">
        <v>49824</v>
      </c>
      <c r="W2537" t="s">
        <v>49825</v>
      </c>
      <c r="X2537" t="s">
        <v>49826</v>
      </c>
      <c r="Y2537" t="s">
        <v>49827</v>
      </c>
    </row>
    <row r="2538" spans="1:25" x14ac:dyDescent="0.3">
      <c r="A2538">
        <v>126850</v>
      </c>
      <c r="B2538" t="s">
        <v>49828</v>
      </c>
      <c r="C2538" t="s">
        <v>49829</v>
      </c>
      <c r="D2538" t="s">
        <v>49830</v>
      </c>
      <c r="E2538" t="s">
        <v>49831</v>
      </c>
      <c r="F2538" t="s">
        <v>49832</v>
      </c>
      <c r="G2538" t="s">
        <v>49833</v>
      </c>
      <c r="H2538" t="s">
        <v>49834</v>
      </c>
      <c r="I2538" t="s">
        <v>49835</v>
      </c>
      <c r="J2538" t="s">
        <v>49836</v>
      </c>
      <c r="K2538" t="s">
        <v>49837</v>
      </c>
      <c r="L2538" t="s">
        <v>49838</v>
      </c>
      <c r="M2538" t="s">
        <v>49839</v>
      </c>
      <c r="N2538" t="s">
        <v>49840</v>
      </c>
      <c r="O2538">
        <f>-560.443891903088 -87.4873124921488 -742.371241901603</f>
        <v>-1390.3024462968397</v>
      </c>
      <c r="P2538">
        <f>-570.950826220805 -80.3336583555427 -426.104512381915</f>
        <v>-1077.3889969582629</v>
      </c>
      <c r="Q2538">
        <f>-322.886879709166 -2.32878269435903 -430.749255835467</f>
        <v>-755.96491823899203</v>
      </c>
      <c r="R2538" t="s">
        <v>49841</v>
      </c>
      <c r="S2538" t="s">
        <v>49842</v>
      </c>
      <c r="T2538" t="s">
        <v>49843</v>
      </c>
      <c r="U2538" t="s">
        <v>49844</v>
      </c>
      <c r="V2538" t="s">
        <v>49845</v>
      </c>
      <c r="W2538" t="s">
        <v>49846</v>
      </c>
      <c r="X2538" t="s">
        <v>49847</v>
      </c>
      <c r="Y2538" t="s">
        <v>49848</v>
      </c>
    </row>
    <row r="2539" spans="1:25" x14ac:dyDescent="0.3">
      <c r="A2539">
        <v>126900</v>
      </c>
      <c r="B2539" t="s">
        <v>49849</v>
      </c>
      <c r="C2539" t="s">
        <v>49850</v>
      </c>
      <c r="D2539" t="s">
        <v>49851</v>
      </c>
      <c r="E2539" t="s">
        <v>49852</v>
      </c>
      <c r="F2539" t="s">
        <v>49853</v>
      </c>
      <c r="G2539" t="s">
        <v>49854</v>
      </c>
      <c r="H2539" t="s">
        <v>49855</v>
      </c>
      <c r="I2539" t="s">
        <v>49856</v>
      </c>
      <c r="J2539" t="s">
        <v>49857</v>
      </c>
      <c r="K2539" t="s">
        <v>49858</v>
      </c>
      <c r="L2539" t="s">
        <v>49859</v>
      </c>
      <c r="M2539" t="s">
        <v>49860</v>
      </c>
      <c r="N2539" t="s">
        <v>49861</v>
      </c>
      <c r="O2539">
        <f>-560.680288769947 -87.6814417136835 -742.200873153912</f>
        <v>-1390.5626036375425</v>
      </c>
      <c r="P2539">
        <f>-570.584188542792 -80.2697797624683 -425.92058300749</f>
        <v>-1076.7745513127502</v>
      </c>
      <c r="Q2539">
        <f>-322.642408858041 -1.91033271976 -431.089594350241</f>
        <v>-755.64233592804203</v>
      </c>
      <c r="R2539" t="s">
        <v>49862</v>
      </c>
      <c r="S2539" t="s">
        <v>49863</v>
      </c>
      <c r="T2539" t="s">
        <v>49864</v>
      </c>
      <c r="U2539" t="s">
        <v>49865</v>
      </c>
      <c r="V2539" t="s">
        <v>49866</v>
      </c>
      <c r="W2539" t="s">
        <v>49867</v>
      </c>
      <c r="X2539" t="s">
        <v>49868</v>
      </c>
      <c r="Y2539" t="s">
        <v>49869</v>
      </c>
    </row>
    <row r="2540" spans="1:25" x14ac:dyDescent="0.3">
      <c r="A2540">
        <v>126950</v>
      </c>
      <c r="B2540" t="s">
        <v>49870</v>
      </c>
      <c r="C2540" t="s">
        <v>49871</v>
      </c>
      <c r="D2540" t="s">
        <v>49872</v>
      </c>
      <c r="E2540" t="s">
        <v>49873</v>
      </c>
      <c r="F2540" t="s">
        <v>49874</v>
      </c>
      <c r="G2540" t="s">
        <v>49875</v>
      </c>
      <c r="H2540" t="s">
        <v>49876</v>
      </c>
      <c r="I2540" t="s">
        <v>49877</v>
      </c>
      <c r="J2540" t="s">
        <v>49878</v>
      </c>
      <c r="K2540" t="s">
        <v>49879</v>
      </c>
      <c r="L2540" t="s">
        <v>49880</v>
      </c>
      <c r="M2540" t="s">
        <v>49881</v>
      </c>
      <c r="N2540" t="s">
        <v>49882</v>
      </c>
      <c r="O2540">
        <f>-560.587170051137 -87.6700785153019 -742.364583852843</f>
        <v>-1390.6218324192819</v>
      </c>
      <c r="P2540">
        <f>-570.26017620433 -79.8933112874191 -426.086002082127</f>
        <v>-1076.2394895738762</v>
      </c>
      <c r="Q2540">
        <f>-322.482053117897 -1.02832301786588 -431.415095769951</f>
        <v>-754.92547190571395</v>
      </c>
      <c r="R2540" t="s">
        <v>49883</v>
      </c>
      <c r="S2540" t="s">
        <v>49884</v>
      </c>
      <c r="T2540" t="s">
        <v>49885</v>
      </c>
      <c r="U2540" t="s">
        <v>49886</v>
      </c>
      <c r="V2540" t="s">
        <v>49887</v>
      </c>
      <c r="W2540" t="s">
        <v>49888</v>
      </c>
      <c r="X2540" t="s">
        <v>49889</v>
      </c>
      <c r="Y2540" t="s">
        <v>49890</v>
      </c>
    </row>
    <row r="2541" spans="1:25" x14ac:dyDescent="0.3">
      <c r="A2541">
        <v>127000</v>
      </c>
      <c r="B2541" t="s">
        <v>49891</v>
      </c>
      <c r="C2541" t="s">
        <v>49892</v>
      </c>
      <c r="D2541" t="s">
        <v>49893</v>
      </c>
      <c r="E2541" t="s">
        <v>49894</v>
      </c>
      <c r="F2541" t="s">
        <v>49895</v>
      </c>
      <c r="G2541" t="s">
        <v>49896</v>
      </c>
      <c r="H2541" t="s">
        <v>49897</v>
      </c>
      <c r="I2541" t="s">
        <v>49898</v>
      </c>
      <c r="J2541" t="s">
        <v>49899</v>
      </c>
      <c r="K2541" t="s">
        <v>49900</v>
      </c>
      <c r="L2541" t="s">
        <v>49901</v>
      </c>
      <c r="M2541" t="s">
        <v>49902</v>
      </c>
      <c r="N2541" t="s">
        <v>49903</v>
      </c>
      <c r="O2541">
        <f>-560.644291677174 -87.5476831451317 -742.564242387089</f>
        <v>-1390.7562172093949</v>
      </c>
      <c r="P2541">
        <f>-570.349184635321 -79.7435199075467 -426.287292289114</f>
        <v>-1076.3799968319818</v>
      </c>
      <c r="Q2541">
        <f>-322.721122847295 -0.402048615425301 -431.515499407441</f>
        <v>-754.63867087016138</v>
      </c>
      <c r="R2541" t="s">
        <v>49904</v>
      </c>
      <c r="S2541" t="s">
        <v>49905</v>
      </c>
      <c r="T2541" t="s">
        <v>49906</v>
      </c>
      <c r="U2541" t="s">
        <v>49907</v>
      </c>
      <c r="V2541" t="s">
        <v>49908</v>
      </c>
      <c r="W2541" t="s">
        <v>49909</v>
      </c>
      <c r="X2541" t="s">
        <v>49910</v>
      </c>
      <c r="Y2541" t="s">
        <v>49911</v>
      </c>
    </row>
    <row r="2542" spans="1:25" x14ac:dyDescent="0.3">
      <c r="A2542">
        <v>127050</v>
      </c>
      <c r="B2542" t="s">
        <v>49912</v>
      </c>
      <c r="C2542" t="s">
        <v>49913</v>
      </c>
      <c r="D2542" t="s">
        <v>49914</v>
      </c>
      <c r="E2542" t="s">
        <v>49915</v>
      </c>
      <c r="F2542" t="s">
        <v>49916</v>
      </c>
      <c r="G2542" t="s">
        <v>49917</v>
      </c>
      <c r="H2542" t="s">
        <v>49918</v>
      </c>
      <c r="I2542" t="s">
        <v>49919</v>
      </c>
      <c r="J2542" t="s">
        <v>49920</v>
      </c>
      <c r="K2542" t="s">
        <v>49921</v>
      </c>
      <c r="L2542" t="s">
        <v>49922</v>
      </c>
      <c r="M2542" t="s">
        <v>49923</v>
      </c>
      <c r="N2542" t="s">
        <v>49924</v>
      </c>
      <c r="O2542">
        <f>-560.937135634174 -87.9770579386389 -742.717880221306</f>
        <v>-1391.6320737941187</v>
      </c>
      <c r="P2542">
        <f>-570.521568989227 -80.1355509163386 -426.438231330409</f>
        <v>-1077.0953512359747</v>
      </c>
      <c r="Q2542">
        <f>-323.096399906775 -0.157901140294513 -431.579211547542</f>
        <v>-754.83351259461153</v>
      </c>
      <c r="R2542" t="s">
        <v>49925</v>
      </c>
      <c r="S2542" t="s">
        <v>49926</v>
      </c>
      <c r="T2542" t="s">
        <v>49927</v>
      </c>
      <c r="U2542" t="s">
        <v>49928</v>
      </c>
      <c r="V2542" t="s">
        <v>49929</v>
      </c>
      <c r="W2542" t="s">
        <v>49930</v>
      </c>
      <c r="X2542" t="s">
        <v>49931</v>
      </c>
      <c r="Y2542" t="s">
        <v>49932</v>
      </c>
    </row>
    <row r="2543" spans="1:25" x14ac:dyDescent="0.3">
      <c r="A2543">
        <v>127100</v>
      </c>
      <c r="B2543" t="s">
        <v>49933</v>
      </c>
      <c r="C2543" t="s">
        <v>49934</v>
      </c>
      <c r="D2543" t="s">
        <v>49935</v>
      </c>
      <c r="E2543" t="s">
        <v>49936</v>
      </c>
      <c r="F2543" t="s">
        <v>49937</v>
      </c>
      <c r="G2543" t="s">
        <v>49938</v>
      </c>
      <c r="H2543" t="s">
        <v>49939</v>
      </c>
      <c r="I2543" t="s">
        <v>49940</v>
      </c>
      <c r="J2543" t="s">
        <v>49941</v>
      </c>
      <c r="K2543" t="s">
        <v>49942</v>
      </c>
      <c r="L2543" t="s">
        <v>49943</v>
      </c>
      <c r="M2543" t="s">
        <v>49944</v>
      </c>
      <c r="N2543" t="s">
        <v>49945</v>
      </c>
      <c r="O2543">
        <f>-561.238784741093 -87.8390202627882 -742.839122056126</f>
        <v>-1391.9169270600073</v>
      </c>
      <c r="P2543">
        <f>-570.719590645743 -79.7103401213647 -426.563629093116</f>
        <v>-1076.9935598602237</v>
      </c>
      <c r="Q2543" t="s">
        <v>49946</v>
      </c>
      <c r="R2543" t="s">
        <v>49947</v>
      </c>
      <c r="S2543" t="s">
        <v>49948</v>
      </c>
      <c r="T2543" t="s">
        <v>49949</v>
      </c>
      <c r="U2543" t="s">
        <v>49950</v>
      </c>
      <c r="V2543" t="s">
        <v>49951</v>
      </c>
      <c r="W2543" t="s">
        <v>49952</v>
      </c>
      <c r="X2543" t="s">
        <v>49953</v>
      </c>
      <c r="Y2543" t="s">
        <v>49954</v>
      </c>
    </row>
    <row r="2544" spans="1:25" x14ac:dyDescent="0.3">
      <c r="A2544">
        <v>127150</v>
      </c>
      <c r="B2544" t="s">
        <v>49955</v>
      </c>
      <c r="C2544" t="s">
        <v>49956</v>
      </c>
      <c r="D2544" t="s">
        <v>49957</v>
      </c>
      <c r="E2544" t="s">
        <v>49958</v>
      </c>
      <c r="F2544" t="s">
        <v>49959</v>
      </c>
      <c r="G2544" t="s">
        <v>49960</v>
      </c>
      <c r="H2544" t="s">
        <v>49961</v>
      </c>
      <c r="I2544" t="s">
        <v>49962</v>
      </c>
      <c r="J2544" t="s">
        <v>49963</v>
      </c>
      <c r="K2544" t="s">
        <v>49964</v>
      </c>
      <c r="L2544" t="s">
        <v>49965</v>
      </c>
      <c r="M2544" t="s">
        <v>49966</v>
      </c>
      <c r="N2544" t="s">
        <v>49967</v>
      </c>
      <c r="O2544">
        <f>-561.512574501944 -88.012088508917 -743.12284130764</f>
        <v>-1392.647504318501</v>
      </c>
      <c r="P2544">
        <f>-571.31415476449 -79.9885491373369 -426.854221591271</f>
        <v>-1078.156925493098</v>
      </c>
      <c r="Q2544" t="s">
        <v>49968</v>
      </c>
      <c r="R2544" t="s">
        <v>49969</v>
      </c>
      <c r="S2544" t="s">
        <v>49970</v>
      </c>
      <c r="T2544" t="s">
        <v>49971</v>
      </c>
      <c r="U2544" t="s">
        <v>49972</v>
      </c>
      <c r="V2544" t="s">
        <v>49973</v>
      </c>
      <c r="W2544" t="s">
        <v>49974</v>
      </c>
      <c r="X2544" t="s">
        <v>49975</v>
      </c>
      <c r="Y2544" t="s">
        <v>49976</v>
      </c>
    </row>
    <row r="2545" spans="1:25" x14ac:dyDescent="0.3">
      <c r="A2545">
        <v>127200</v>
      </c>
      <c r="B2545" t="s">
        <v>49977</v>
      </c>
      <c r="C2545" t="s">
        <v>49978</v>
      </c>
      <c r="D2545" t="s">
        <v>49979</v>
      </c>
      <c r="E2545" t="s">
        <v>49980</v>
      </c>
      <c r="F2545" t="s">
        <v>49981</v>
      </c>
      <c r="G2545" t="s">
        <v>49982</v>
      </c>
      <c r="H2545" t="s">
        <v>49983</v>
      </c>
      <c r="I2545" t="s">
        <v>49984</v>
      </c>
      <c r="J2545" t="s">
        <v>49985</v>
      </c>
      <c r="K2545" t="s">
        <v>49986</v>
      </c>
      <c r="L2545" t="s">
        <v>49987</v>
      </c>
      <c r="M2545" t="s">
        <v>49988</v>
      </c>
      <c r="N2545" t="s">
        <v>49989</v>
      </c>
      <c r="O2545">
        <f>-561.609567785432 -87.935094772412 -743.236670722923</f>
        <v>-1392.7813332807668</v>
      </c>
      <c r="P2545">
        <f>-571.582776991155 -79.9253589926376 -426.973201918722</f>
        <v>-1078.4813379025145</v>
      </c>
      <c r="Q2545" t="s">
        <v>49990</v>
      </c>
      <c r="R2545" t="s">
        <v>49991</v>
      </c>
      <c r="S2545" t="s">
        <v>49992</v>
      </c>
      <c r="T2545" t="s">
        <v>49993</v>
      </c>
      <c r="U2545" t="s">
        <v>49994</v>
      </c>
      <c r="V2545" t="s">
        <v>49995</v>
      </c>
      <c r="W2545" t="s">
        <v>49996</v>
      </c>
      <c r="X2545" t="s">
        <v>49997</v>
      </c>
      <c r="Y2545" t="s">
        <v>49998</v>
      </c>
    </row>
    <row r="2546" spans="1:25" x14ac:dyDescent="0.3">
      <c r="A2546">
        <v>127250</v>
      </c>
      <c r="B2546" t="s">
        <v>49999</v>
      </c>
      <c r="C2546" t="s">
        <v>50000</v>
      </c>
      <c r="D2546" t="s">
        <v>50001</v>
      </c>
      <c r="E2546" t="s">
        <v>50002</v>
      </c>
      <c r="F2546" t="s">
        <v>50003</v>
      </c>
      <c r="G2546" t="s">
        <v>50004</v>
      </c>
      <c r="H2546" t="s">
        <v>50005</v>
      </c>
      <c r="I2546" t="s">
        <v>50006</v>
      </c>
      <c r="J2546" t="s">
        <v>50007</v>
      </c>
      <c r="K2546" t="s">
        <v>50008</v>
      </c>
      <c r="L2546" t="s">
        <v>50009</v>
      </c>
      <c r="M2546" t="s">
        <v>50010</v>
      </c>
      <c r="N2546" t="s">
        <v>50011</v>
      </c>
      <c r="O2546">
        <f>-561.660455235177 -87.7937693117721 -743.438108850439</f>
        <v>-1392.892333397388</v>
      </c>
      <c r="P2546">
        <f>-572.052927180723 -79.6589249603166 -427.191390172101</f>
        <v>-1078.9032423131407</v>
      </c>
      <c r="Q2546" t="s">
        <v>50012</v>
      </c>
      <c r="R2546" t="s">
        <v>50013</v>
      </c>
      <c r="S2546" t="s">
        <v>50014</v>
      </c>
      <c r="T2546" t="s">
        <v>50015</v>
      </c>
      <c r="U2546" t="s">
        <v>50016</v>
      </c>
      <c r="V2546" t="s">
        <v>50017</v>
      </c>
      <c r="W2546" t="s">
        <v>50018</v>
      </c>
      <c r="X2546" t="s">
        <v>50019</v>
      </c>
      <c r="Y2546" t="s">
        <v>50020</v>
      </c>
    </row>
    <row r="2547" spans="1:25" x14ac:dyDescent="0.3">
      <c r="A2547">
        <v>127300</v>
      </c>
      <c r="B2547" t="s">
        <v>50021</v>
      </c>
      <c r="C2547" t="s">
        <v>50022</v>
      </c>
      <c r="D2547" t="s">
        <v>50023</v>
      </c>
      <c r="E2547" t="s">
        <v>50024</v>
      </c>
      <c r="F2547" t="s">
        <v>50025</v>
      </c>
      <c r="G2547" t="s">
        <v>50026</v>
      </c>
      <c r="H2547" t="s">
        <v>50027</v>
      </c>
      <c r="I2547" t="s">
        <v>50028</v>
      </c>
      <c r="J2547" t="s">
        <v>50029</v>
      </c>
      <c r="K2547" t="s">
        <v>50030</v>
      </c>
      <c r="L2547" t="s">
        <v>50031</v>
      </c>
      <c r="M2547" t="s">
        <v>50032</v>
      </c>
      <c r="N2547" t="s">
        <v>50033</v>
      </c>
      <c r="O2547">
        <f>-561.683369879623 -87.7790158439165 -743.57658829838</f>
        <v>-1393.0389740219193</v>
      </c>
      <c r="P2547">
        <f>-572.45030130927 -79.6584281115884 -427.341972904291</f>
        <v>-1079.4507023251495</v>
      </c>
      <c r="Q2547" t="s">
        <v>50034</v>
      </c>
      <c r="R2547" t="s">
        <v>50035</v>
      </c>
      <c r="S2547" t="s">
        <v>50036</v>
      </c>
      <c r="T2547" t="s">
        <v>50037</v>
      </c>
      <c r="U2547" t="s">
        <v>50038</v>
      </c>
      <c r="V2547" t="s">
        <v>50039</v>
      </c>
      <c r="W2547" t="s">
        <v>50040</v>
      </c>
      <c r="X2547" t="s">
        <v>50041</v>
      </c>
      <c r="Y2547" t="s">
        <v>50042</v>
      </c>
    </row>
    <row r="2548" spans="1:25" x14ac:dyDescent="0.3">
      <c r="A2548">
        <v>127350</v>
      </c>
      <c r="B2548" t="s">
        <v>50043</v>
      </c>
      <c r="C2548" t="s">
        <v>50044</v>
      </c>
      <c r="D2548" t="s">
        <v>50045</v>
      </c>
      <c r="E2548" t="s">
        <v>50046</v>
      </c>
      <c r="F2548" t="s">
        <v>50047</v>
      </c>
      <c r="G2548" t="s">
        <v>50048</v>
      </c>
      <c r="H2548" t="s">
        <v>50049</v>
      </c>
      <c r="I2548" t="s">
        <v>50050</v>
      </c>
      <c r="J2548" t="s">
        <v>50051</v>
      </c>
      <c r="K2548" t="s">
        <v>50052</v>
      </c>
      <c r="L2548" t="s">
        <v>50053</v>
      </c>
      <c r="M2548" t="s">
        <v>50054</v>
      </c>
      <c r="N2548" t="s">
        <v>50055</v>
      </c>
      <c r="O2548">
        <f>-561.486625552332 -87.8358990965282 -743.848795857069</f>
        <v>-1393.1713205059293</v>
      </c>
      <c r="P2548">
        <f>-573.117187258899 -79.6282423023419 -427.64709702685</f>
        <v>-1080.3925265880907</v>
      </c>
      <c r="Q2548" t="s">
        <v>50056</v>
      </c>
      <c r="R2548" t="s">
        <v>50057</v>
      </c>
      <c r="S2548" t="s">
        <v>50058</v>
      </c>
      <c r="T2548" t="s">
        <v>50059</v>
      </c>
      <c r="U2548" t="s">
        <v>50060</v>
      </c>
      <c r="V2548" t="s">
        <v>50061</v>
      </c>
      <c r="W2548" t="s">
        <v>50062</v>
      </c>
      <c r="X2548" t="s">
        <v>50063</v>
      </c>
      <c r="Y2548" t="s">
        <v>50064</v>
      </c>
    </row>
    <row r="2549" spans="1:25" x14ac:dyDescent="0.3">
      <c r="A2549">
        <v>127400</v>
      </c>
      <c r="B2549" t="s">
        <v>50065</v>
      </c>
      <c r="C2549" t="s">
        <v>50066</v>
      </c>
      <c r="D2549" t="s">
        <v>50067</v>
      </c>
      <c r="E2549" t="s">
        <v>50068</v>
      </c>
      <c r="F2549" t="s">
        <v>50069</v>
      </c>
      <c r="G2549" t="s">
        <v>50070</v>
      </c>
      <c r="H2549" t="s">
        <v>50071</v>
      </c>
      <c r="I2549" t="s">
        <v>50072</v>
      </c>
      <c r="J2549" t="s">
        <v>50073</v>
      </c>
      <c r="K2549" t="s">
        <v>50074</v>
      </c>
      <c r="L2549" t="s">
        <v>50075</v>
      </c>
      <c r="M2549" t="s">
        <v>50076</v>
      </c>
      <c r="N2549" t="s">
        <v>50077</v>
      </c>
      <c r="O2549">
        <f>-561.313141570674 -87.6160364388768 -743.995846236281</f>
        <v>-1392.9250242458318</v>
      </c>
      <c r="P2549">
        <f>-573.362026351478 -79.518879688824 -427.806889176316</f>
        <v>-1080.687795216618</v>
      </c>
      <c r="Q2549" t="s">
        <v>50078</v>
      </c>
      <c r="R2549" t="s">
        <v>50079</v>
      </c>
      <c r="S2549" t="s">
        <v>50080</v>
      </c>
      <c r="T2549" t="s">
        <v>50081</v>
      </c>
      <c r="U2549" t="s">
        <v>50082</v>
      </c>
      <c r="V2549" t="s">
        <v>50083</v>
      </c>
      <c r="W2549" t="s">
        <v>50084</v>
      </c>
      <c r="X2549" t="s">
        <v>50085</v>
      </c>
      <c r="Y2549" t="s">
        <v>50086</v>
      </c>
    </row>
    <row r="2550" spans="1:25" x14ac:dyDescent="0.3">
      <c r="A2550">
        <v>127450</v>
      </c>
      <c r="B2550" t="s">
        <v>50087</v>
      </c>
      <c r="C2550" t="s">
        <v>50088</v>
      </c>
      <c r="D2550" t="s">
        <v>50089</v>
      </c>
      <c r="E2550" t="s">
        <v>50090</v>
      </c>
      <c r="F2550" t="s">
        <v>50091</v>
      </c>
      <c r="G2550" t="s">
        <v>50092</v>
      </c>
      <c r="H2550" t="s">
        <v>50093</v>
      </c>
      <c r="I2550" t="s">
        <v>50094</v>
      </c>
      <c r="J2550" t="s">
        <v>50095</v>
      </c>
      <c r="K2550" t="s">
        <v>50096</v>
      </c>
      <c r="L2550" t="s">
        <v>50097</v>
      </c>
      <c r="M2550" t="s">
        <v>50098</v>
      </c>
      <c r="N2550" t="s">
        <v>50099</v>
      </c>
      <c r="O2550">
        <f>-561.370841349165 -87.5213595086777 -744.269827131767</f>
        <v>-1393.1620279896097</v>
      </c>
      <c r="P2550">
        <f>-574.143593733331 -79.4083335964572 -428.109601273717</f>
        <v>-1081.6615286035053</v>
      </c>
      <c r="Q2550" t="s">
        <v>50100</v>
      </c>
      <c r="R2550" t="s">
        <v>50101</v>
      </c>
      <c r="S2550" t="s">
        <v>50102</v>
      </c>
      <c r="T2550" t="s">
        <v>50103</v>
      </c>
      <c r="U2550" t="s">
        <v>50104</v>
      </c>
      <c r="V2550" t="s">
        <v>50105</v>
      </c>
      <c r="W2550" t="s">
        <v>50106</v>
      </c>
      <c r="X2550" t="s">
        <v>50107</v>
      </c>
      <c r="Y2550" t="s">
        <v>50108</v>
      </c>
    </row>
    <row r="2551" spans="1:25" x14ac:dyDescent="0.3">
      <c r="A2551">
        <v>127500</v>
      </c>
      <c r="B2551" t="s">
        <v>50109</v>
      </c>
      <c r="C2551" t="s">
        <v>50110</v>
      </c>
      <c r="D2551" t="s">
        <v>50111</v>
      </c>
      <c r="E2551" t="s">
        <v>50112</v>
      </c>
      <c r="F2551" t="s">
        <v>50113</v>
      </c>
      <c r="G2551" t="s">
        <v>50114</v>
      </c>
      <c r="H2551" t="s">
        <v>50115</v>
      </c>
      <c r="I2551" t="s">
        <v>50116</v>
      </c>
      <c r="J2551" t="s">
        <v>50117</v>
      </c>
      <c r="K2551" t="s">
        <v>50118</v>
      </c>
      <c r="L2551" t="s">
        <v>50119</v>
      </c>
      <c r="M2551" t="s">
        <v>50120</v>
      </c>
      <c r="N2551" t="s">
        <v>50121</v>
      </c>
      <c r="O2551">
        <f>-561.114762885283 -87.6536058762539 -744.339936193151</f>
        <v>-1393.1083049546878</v>
      </c>
      <c r="P2551">
        <f>-574.135567364031 -79.8293515017547 -428.182686947171</f>
        <v>-1082.1476058129567</v>
      </c>
      <c r="Q2551" t="s">
        <v>50122</v>
      </c>
      <c r="R2551" t="s">
        <v>50123</v>
      </c>
      <c r="S2551" t="s">
        <v>50124</v>
      </c>
      <c r="T2551" t="s">
        <v>50125</v>
      </c>
      <c r="U2551" t="s">
        <v>50126</v>
      </c>
      <c r="V2551" t="s">
        <v>50127</v>
      </c>
      <c r="W2551" t="s">
        <v>50128</v>
      </c>
      <c r="X2551" t="s">
        <v>50129</v>
      </c>
      <c r="Y2551" t="s">
        <v>50130</v>
      </c>
    </row>
    <row r="2552" spans="1:25" x14ac:dyDescent="0.3">
      <c r="A2552">
        <v>127550</v>
      </c>
      <c r="B2552" t="s">
        <v>50131</v>
      </c>
      <c r="C2552" t="s">
        <v>50132</v>
      </c>
      <c r="D2552" t="s">
        <v>50133</v>
      </c>
      <c r="E2552" t="s">
        <v>50134</v>
      </c>
      <c r="F2552" t="s">
        <v>50135</v>
      </c>
      <c r="G2552" t="s">
        <v>50136</v>
      </c>
      <c r="H2552" t="s">
        <v>50137</v>
      </c>
      <c r="I2552" t="s">
        <v>50138</v>
      </c>
      <c r="J2552" t="s">
        <v>50139</v>
      </c>
      <c r="K2552" t="s">
        <v>50140</v>
      </c>
      <c r="L2552" t="s">
        <v>50141</v>
      </c>
      <c r="M2552" t="s">
        <v>50142</v>
      </c>
      <c r="N2552" t="s">
        <v>50143</v>
      </c>
      <c r="O2552">
        <f>-560.946715480988 -87.7752888104246 -744.483956875661</f>
        <v>-1393.2059611670736</v>
      </c>
      <c r="P2552">
        <f>-574.279529614224 -79.8871245406907 -428.341190746584</f>
        <v>-1082.5078449014986</v>
      </c>
      <c r="Q2552" t="s">
        <v>50144</v>
      </c>
      <c r="R2552" t="s">
        <v>50145</v>
      </c>
      <c r="S2552" t="s">
        <v>50146</v>
      </c>
      <c r="T2552" t="s">
        <v>50147</v>
      </c>
      <c r="U2552" t="s">
        <v>50148</v>
      </c>
      <c r="V2552" t="s">
        <v>50149</v>
      </c>
      <c r="W2552" t="s">
        <v>50150</v>
      </c>
      <c r="X2552" t="s">
        <v>50151</v>
      </c>
      <c r="Y2552" t="s">
        <v>50152</v>
      </c>
    </row>
    <row r="2553" spans="1:25" x14ac:dyDescent="0.3">
      <c r="A2553">
        <v>127600</v>
      </c>
      <c r="B2553" t="s">
        <v>50153</v>
      </c>
      <c r="C2553" t="s">
        <v>50154</v>
      </c>
      <c r="D2553" t="s">
        <v>50155</v>
      </c>
      <c r="E2553" t="s">
        <v>50156</v>
      </c>
      <c r="F2553" t="s">
        <v>50157</v>
      </c>
      <c r="G2553" t="s">
        <v>50158</v>
      </c>
      <c r="H2553" t="s">
        <v>50159</v>
      </c>
      <c r="I2553" t="s">
        <v>50160</v>
      </c>
      <c r="J2553" t="s">
        <v>50161</v>
      </c>
      <c r="K2553" t="s">
        <v>50162</v>
      </c>
      <c r="L2553" t="s">
        <v>50163</v>
      </c>
      <c r="M2553" t="s">
        <v>50164</v>
      </c>
      <c r="N2553" t="s">
        <v>50165</v>
      </c>
      <c r="O2553">
        <f>-560.93873659044 -87.9908994084796 -744.510006161892</f>
        <v>-1393.4396421608117</v>
      </c>
      <c r="P2553">
        <f>-574.224582941953 -80.1936937725169 -428.363117448995</f>
        <v>-1082.7813941634649</v>
      </c>
      <c r="Q2553">
        <f>-326.78824353155 -0.0969238913312438 -429.70304122377</f>
        <v>-756.58820864665131</v>
      </c>
      <c r="R2553" t="s">
        <v>50166</v>
      </c>
      <c r="S2553" t="s">
        <v>50167</v>
      </c>
      <c r="T2553" t="s">
        <v>50168</v>
      </c>
      <c r="U2553" t="s">
        <v>50169</v>
      </c>
      <c r="V2553" t="s">
        <v>50170</v>
      </c>
      <c r="W2553" t="s">
        <v>50171</v>
      </c>
      <c r="X2553" t="s">
        <v>50172</v>
      </c>
      <c r="Y2553" t="s">
        <v>50173</v>
      </c>
    </row>
    <row r="2554" spans="1:25" x14ac:dyDescent="0.3">
      <c r="A2554">
        <v>127650</v>
      </c>
      <c r="B2554" t="s">
        <v>50174</v>
      </c>
      <c r="C2554" t="s">
        <v>50175</v>
      </c>
      <c r="D2554" t="s">
        <v>50176</v>
      </c>
      <c r="E2554" t="s">
        <v>50177</v>
      </c>
      <c r="F2554" t="s">
        <v>50178</v>
      </c>
      <c r="G2554" t="s">
        <v>50179</v>
      </c>
      <c r="H2554" t="s">
        <v>50180</v>
      </c>
      <c r="I2554" t="s">
        <v>50181</v>
      </c>
      <c r="J2554" t="s">
        <v>50182</v>
      </c>
      <c r="K2554" t="s">
        <v>50183</v>
      </c>
      <c r="L2554" t="s">
        <v>50184</v>
      </c>
      <c r="M2554" t="s">
        <v>50185</v>
      </c>
      <c r="N2554" t="s">
        <v>50186</v>
      </c>
      <c r="O2554">
        <f>-560.925822661106 -88.544506509481 -744.472872947651</f>
        <v>-1393.9432021182381</v>
      </c>
      <c r="P2554">
        <f>-573.955283410395 -80.6830154315184 -428.316963347156</f>
        <v>-1082.9552621890693</v>
      </c>
      <c r="Q2554">
        <f>-326.472474696331 -0.733626384122289 -429.871906721561</f>
        <v>-757.07800780201433</v>
      </c>
      <c r="R2554" t="s">
        <v>50187</v>
      </c>
      <c r="S2554" t="s">
        <v>50188</v>
      </c>
      <c r="T2554" t="s">
        <v>50189</v>
      </c>
      <c r="U2554" t="s">
        <v>50190</v>
      </c>
      <c r="V2554" t="s">
        <v>50191</v>
      </c>
      <c r="W2554" t="s">
        <v>50192</v>
      </c>
      <c r="X2554" t="s">
        <v>50193</v>
      </c>
      <c r="Y2554" t="s">
        <v>50194</v>
      </c>
    </row>
    <row r="2555" spans="1:25" x14ac:dyDescent="0.3">
      <c r="A2555">
        <v>127700</v>
      </c>
      <c r="B2555" t="s">
        <v>50195</v>
      </c>
      <c r="C2555" t="s">
        <v>50196</v>
      </c>
      <c r="D2555" t="s">
        <v>50197</v>
      </c>
      <c r="E2555" t="s">
        <v>50198</v>
      </c>
      <c r="F2555" t="s">
        <v>50199</v>
      </c>
      <c r="G2555" t="s">
        <v>50200</v>
      </c>
      <c r="H2555" t="s">
        <v>50201</v>
      </c>
      <c r="I2555" t="s">
        <v>50202</v>
      </c>
      <c r="J2555" t="s">
        <v>50203</v>
      </c>
      <c r="K2555" t="s">
        <v>50204</v>
      </c>
      <c r="L2555" t="s">
        <v>50205</v>
      </c>
      <c r="M2555" t="s">
        <v>50206</v>
      </c>
      <c r="N2555" t="s">
        <v>50207</v>
      </c>
      <c r="O2555">
        <f>-561.383933030678 -88.6683057633849 -744.395684991394</f>
        <v>-1394.4479237854569</v>
      </c>
      <c r="P2555">
        <f>-573.966389554915 -80.4529948090277 -428.230554712572</f>
        <v>-1082.6499390765148</v>
      </c>
      <c r="Q2555">
        <f>-326.462696033316 -0.584782740514839 -430.479701301453</f>
        <v>-757.52718007528381</v>
      </c>
      <c r="R2555" t="s">
        <v>50208</v>
      </c>
      <c r="S2555" t="s">
        <v>50209</v>
      </c>
      <c r="T2555" t="s">
        <v>50210</v>
      </c>
      <c r="U2555" t="s">
        <v>50211</v>
      </c>
      <c r="V2555" t="s">
        <v>50212</v>
      </c>
      <c r="W2555" t="s">
        <v>50213</v>
      </c>
      <c r="X2555" t="s">
        <v>50214</v>
      </c>
      <c r="Y2555" t="s">
        <v>50215</v>
      </c>
    </row>
    <row r="2556" spans="1:25" x14ac:dyDescent="0.3">
      <c r="A2556">
        <v>127750</v>
      </c>
      <c r="B2556" t="s">
        <v>50216</v>
      </c>
      <c r="C2556" t="s">
        <v>50217</v>
      </c>
      <c r="D2556" t="s">
        <v>50218</v>
      </c>
      <c r="E2556" t="s">
        <v>50219</v>
      </c>
      <c r="F2556" t="s">
        <v>50220</v>
      </c>
      <c r="G2556" t="s">
        <v>50221</v>
      </c>
      <c r="H2556" t="s">
        <v>50222</v>
      </c>
      <c r="I2556" t="s">
        <v>50223</v>
      </c>
      <c r="J2556" t="s">
        <v>50224</v>
      </c>
      <c r="K2556" t="s">
        <v>50225</v>
      </c>
      <c r="L2556" t="s">
        <v>50226</v>
      </c>
      <c r="M2556" t="s">
        <v>50227</v>
      </c>
      <c r="N2556" t="s">
        <v>50228</v>
      </c>
      <c r="O2556">
        <f>-562.066839848781 -89.724128835944 -743.744060994132</f>
        <v>-1395.535029678857</v>
      </c>
      <c r="P2556">
        <f>-573.962065113982 -81.2428658856448 -427.559342478518</f>
        <v>-1082.7642734781448</v>
      </c>
      <c r="Q2556">
        <f>-326.456214361122 -1.48761698312637 -432.250651756671</f>
        <v>-760.19448310091934</v>
      </c>
      <c r="R2556" t="s">
        <v>50229</v>
      </c>
      <c r="S2556" t="s">
        <v>50230</v>
      </c>
      <c r="T2556" t="s">
        <v>50231</v>
      </c>
      <c r="U2556" t="s">
        <v>50232</v>
      </c>
      <c r="V2556" t="s">
        <v>50233</v>
      </c>
      <c r="W2556" t="s">
        <v>50234</v>
      </c>
      <c r="X2556" t="s">
        <v>50235</v>
      </c>
      <c r="Y2556" t="s">
        <v>50236</v>
      </c>
    </row>
    <row r="2557" spans="1:25" x14ac:dyDescent="0.3">
      <c r="A2557">
        <v>127800</v>
      </c>
      <c r="B2557" t="s">
        <v>50237</v>
      </c>
      <c r="C2557" t="s">
        <v>50238</v>
      </c>
      <c r="D2557" t="s">
        <v>50239</v>
      </c>
      <c r="E2557" t="s">
        <v>50240</v>
      </c>
      <c r="F2557" t="s">
        <v>50241</v>
      </c>
      <c r="G2557" t="s">
        <v>50242</v>
      </c>
      <c r="H2557" t="s">
        <v>50243</v>
      </c>
      <c r="I2557" t="s">
        <v>50244</v>
      </c>
      <c r="J2557" t="s">
        <v>50245</v>
      </c>
      <c r="K2557" t="s">
        <v>50246</v>
      </c>
      <c r="L2557" t="s">
        <v>50247</v>
      </c>
      <c r="M2557" t="s">
        <v>50248</v>
      </c>
      <c r="N2557" t="s">
        <v>50249</v>
      </c>
      <c r="O2557">
        <f>-562.681162509449 -90.2683763095895 -743.303667308664</f>
        <v>-1396.2532061277025</v>
      </c>
      <c r="P2557">
        <f>-573.866629404359 -81.4870385129262 -427.101225085729</f>
        <v>-1082.4548930030141</v>
      </c>
      <c r="Q2557">
        <f>-326.416824330541 -1.64872393406728 -433.143560879737</f>
        <v>-761.20910914434523</v>
      </c>
      <c r="R2557" t="s">
        <v>50250</v>
      </c>
      <c r="S2557" t="s">
        <v>50251</v>
      </c>
      <c r="T2557" t="s">
        <v>50252</v>
      </c>
      <c r="U2557" t="s">
        <v>50253</v>
      </c>
      <c r="V2557" t="s">
        <v>50254</v>
      </c>
      <c r="W2557" t="s">
        <v>50255</v>
      </c>
      <c r="X2557" t="s">
        <v>50256</v>
      </c>
      <c r="Y2557" t="s">
        <v>50257</v>
      </c>
    </row>
    <row r="2558" spans="1:25" x14ac:dyDescent="0.3">
      <c r="A2558">
        <v>127850</v>
      </c>
      <c r="B2558" t="s">
        <v>50258</v>
      </c>
      <c r="C2558" t="s">
        <v>50259</v>
      </c>
      <c r="D2558" t="s">
        <v>50260</v>
      </c>
      <c r="E2558" t="s">
        <v>50261</v>
      </c>
      <c r="F2558" t="s">
        <v>50262</v>
      </c>
      <c r="G2558" t="s">
        <v>50263</v>
      </c>
      <c r="H2558" t="s">
        <v>50264</v>
      </c>
      <c r="I2558" t="s">
        <v>50265</v>
      </c>
      <c r="J2558" t="s">
        <v>50266</v>
      </c>
      <c r="K2558" t="s">
        <v>50267</v>
      </c>
      <c r="L2558" t="s">
        <v>50268</v>
      </c>
      <c r="M2558" t="s">
        <v>50269</v>
      </c>
      <c r="N2558" t="s">
        <v>50270</v>
      </c>
      <c r="O2558">
        <f>-564.283899770318 -91.1987045302755 -741.915292489613</f>
        <v>-1397.3978967902065</v>
      </c>
      <c r="P2558">
        <f>-573.656077716135 -82.3158025143765 -425.656753686695</f>
        <v>-1081.6286339172066</v>
      </c>
      <c r="Q2558">
        <f>-326.305936706665 -2.35734989364627 -433.817405464222</f>
        <v>-762.48069206453329</v>
      </c>
      <c r="R2558" t="s">
        <v>50271</v>
      </c>
      <c r="S2558" t="s">
        <v>50272</v>
      </c>
      <c r="T2558" t="s">
        <v>50273</v>
      </c>
      <c r="U2558" t="s">
        <v>50274</v>
      </c>
      <c r="V2558" t="s">
        <v>50275</v>
      </c>
      <c r="W2558" t="s">
        <v>50276</v>
      </c>
      <c r="X2558" t="s">
        <v>50277</v>
      </c>
      <c r="Y2558" t="s">
        <v>50278</v>
      </c>
    </row>
    <row r="2559" spans="1:25" x14ac:dyDescent="0.3">
      <c r="A2559">
        <v>127900</v>
      </c>
      <c r="B2559" t="s">
        <v>50279</v>
      </c>
      <c r="C2559" t="s">
        <v>50280</v>
      </c>
      <c r="D2559" t="s">
        <v>50281</v>
      </c>
      <c r="E2559" t="s">
        <v>50282</v>
      </c>
      <c r="F2559" t="s">
        <v>50283</v>
      </c>
      <c r="G2559" t="s">
        <v>50284</v>
      </c>
      <c r="H2559" t="s">
        <v>50285</v>
      </c>
      <c r="I2559" t="s">
        <v>50286</v>
      </c>
      <c r="J2559" t="s">
        <v>50287</v>
      </c>
      <c r="K2559" t="s">
        <v>50288</v>
      </c>
      <c r="L2559" t="s">
        <v>50289</v>
      </c>
      <c r="M2559" t="s">
        <v>50290</v>
      </c>
      <c r="N2559" t="s">
        <v>50291</v>
      </c>
      <c r="O2559">
        <f>-565.475037859018 -91.7483964615947 -740.96576371536</f>
        <v>-1398.1891980359728</v>
      </c>
      <c r="P2559">
        <f>-573.934350071802 -82.5734766938317 -424.689803805728</f>
        <v>-1081.1976305713617</v>
      </c>
      <c r="Q2559">
        <f>-326.603745649605 -2.64424244939825 -433.686855848292</f>
        <v>-762.93484394729524</v>
      </c>
      <c r="R2559" t="s">
        <v>50292</v>
      </c>
      <c r="S2559" t="s">
        <v>50293</v>
      </c>
      <c r="T2559" t="s">
        <v>50294</v>
      </c>
      <c r="U2559" t="s">
        <v>50295</v>
      </c>
      <c r="V2559" t="s">
        <v>50296</v>
      </c>
      <c r="W2559" t="s">
        <v>50297</v>
      </c>
      <c r="X2559" t="s">
        <v>50298</v>
      </c>
      <c r="Y2559" t="s">
        <v>50299</v>
      </c>
    </row>
    <row r="2560" spans="1:25" x14ac:dyDescent="0.3">
      <c r="A2560">
        <v>127950</v>
      </c>
      <c r="B2560" t="s">
        <v>50300</v>
      </c>
      <c r="C2560" t="s">
        <v>50301</v>
      </c>
      <c r="D2560" t="s">
        <v>50302</v>
      </c>
      <c r="E2560" t="s">
        <v>50303</v>
      </c>
      <c r="F2560" t="s">
        <v>50304</v>
      </c>
      <c r="G2560" t="s">
        <v>50305</v>
      </c>
      <c r="H2560" t="s">
        <v>50306</v>
      </c>
      <c r="I2560" t="s">
        <v>50307</v>
      </c>
      <c r="J2560" t="s">
        <v>50308</v>
      </c>
      <c r="K2560" t="s">
        <v>50309</v>
      </c>
      <c r="L2560" t="s">
        <v>50310</v>
      </c>
      <c r="M2560" t="s">
        <v>50311</v>
      </c>
      <c r="N2560" t="s">
        <v>50312</v>
      </c>
      <c r="O2560">
        <f>-568.043152365902 -93.0290825426538 -738.675680942462</f>
        <v>-1399.7479158510178</v>
      </c>
      <c r="P2560">
        <f>-575.169876791691 -83.1810351376365 -422.387209527195</f>
        <v>-1080.7381214565225</v>
      </c>
      <c r="Q2560">
        <f>-327.851486971288 -3.36031532385204 -432.602142005925</f>
        <v>-763.81394430106502</v>
      </c>
      <c r="R2560" t="s">
        <v>50313</v>
      </c>
      <c r="S2560" t="s">
        <v>50314</v>
      </c>
      <c r="T2560" t="s">
        <v>50315</v>
      </c>
      <c r="U2560" t="s">
        <v>50316</v>
      </c>
      <c r="V2560" t="s">
        <v>50317</v>
      </c>
      <c r="W2560" t="s">
        <v>50318</v>
      </c>
      <c r="X2560" t="s">
        <v>50319</v>
      </c>
      <c r="Y2560" t="s">
        <v>50320</v>
      </c>
    </row>
    <row r="2561" spans="1:25" x14ac:dyDescent="0.3">
      <c r="A2561">
        <v>128000</v>
      </c>
      <c r="B2561" t="s">
        <v>50321</v>
      </c>
      <c r="C2561" t="s">
        <v>50322</v>
      </c>
      <c r="D2561" t="s">
        <v>50323</v>
      </c>
      <c r="E2561" t="s">
        <v>50324</v>
      </c>
      <c r="F2561" t="s">
        <v>50325</v>
      </c>
      <c r="G2561" t="s">
        <v>50326</v>
      </c>
      <c r="H2561" t="s">
        <v>50327</v>
      </c>
      <c r="I2561" t="s">
        <v>50328</v>
      </c>
      <c r="J2561" t="s">
        <v>50329</v>
      </c>
      <c r="K2561" t="s">
        <v>50330</v>
      </c>
      <c r="L2561" t="s">
        <v>50331</v>
      </c>
      <c r="M2561" t="s">
        <v>50332</v>
      </c>
      <c r="N2561" t="s">
        <v>50333</v>
      </c>
      <c r="O2561">
        <f>-569.16863490156 -93.3974998297406 -737.868492736345</f>
        <v>-1400.4346274676457</v>
      </c>
      <c r="P2561">
        <f>-575.798361082172 -83.1573172639043 -421.581669055989</f>
        <v>-1080.5373474020653</v>
      </c>
      <c r="Q2561">
        <f>-328.398331012121 -3.6378156539806 -432.160721403034</f>
        <v>-764.19686806913569</v>
      </c>
      <c r="R2561" t="s">
        <v>50334</v>
      </c>
      <c r="S2561" t="s">
        <v>50335</v>
      </c>
      <c r="T2561" t="s">
        <v>50336</v>
      </c>
      <c r="U2561" t="s">
        <v>50337</v>
      </c>
      <c r="V2561" t="s">
        <v>50338</v>
      </c>
      <c r="W2561" t="s">
        <v>50339</v>
      </c>
      <c r="X2561" t="s">
        <v>50340</v>
      </c>
      <c r="Y2561" t="s">
        <v>50341</v>
      </c>
    </row>
    <row r="2562" spans="1:25" x14ac:dyDescent="0.3">
      <c r="A2562">
        <v>128050</v>
      </c>
      <c r="B2562" t="s">
        <v>50342</v>
      </c>
      <c r="C2562" t="s">
        <v>50343</v>
      </c>
      <c r="D2562" t="s">
        <v>50344</v>
      </c>
      <c r="E2562" t="s">
        <v>50345</v>
      </c>
      <c r="F2562" t="s">
        <v>50346</v>
      </c>
      <c r="G2562" t="s">
        <v>50347</v>
      </c>
      <c r="H2562" t="s">
        <v>50348</v>
      </c>
      <c r="I2562" t="s">
        <v>50349</v>
      </c>
      <c r="J2562" t="s">
        <v>50350</v>
      </c>
      <c r="K2562" t="s">
        <v>50351</v>
      </c>
      <c r="L2562" t="s">
        <v>50352</v>
      </c>
      <c r="M2562" t="s">
        <v>50353</v>
      </c>
      <c r="N2562" t="s">
        <v>50354</v>
      </c>
      <c r="O2562">
        <f>-571.16480470135 -94.3515631247238 -736.861535757567</f>
        <v>-1402.377903583641</v>
      </c>
      <c r="P2562">
        <f>-577.293494363374 -83.3493104235754 -420.590174732269</f>
        <v>-1081.2329795192184</v>
      </c>
      <c r="Q2562">
        <f>-329.697508902349 -4.57240176197472 -432.10045137431</f>
        <v>-766.37036203863374</v>
      </c>
      <c r="R2562" t="s">
        <v>50355</v>
      </c>
      <c r="S2562" t="s">
        <v>50356</v>
      </c>
      <c r="T2562" t="s">
        <v>50357</v>
      </c>
      <c r="U2562" t="s">
        <v>50358</v>
      </c>
      <c r="V2562" t="s">
        <v>50359</v>
      </c>
      <c r="W2562" t="s">
        <v>50360</v>
      </c>
      <c r="X2562" t="s">
        <v>50361</v>
      </c>
      <c r="Y2562" t="s">
        <v>50362</v>
      </c>
    </row>
    <row r="2563" spans="1:25" x14ac:dyDescent="0.3">
      <c r="A2563">
        <v>128100</v>
      </c>
      <c r="B2563" t="s">
        <v>50363</v>
      </c>
      <c r="C2563" t="s">
        <v>50364</v>
      </c>
      <c r="D2563" t="s">
        <v>50365</v>
      </c>
      <c r="E2563" t="s">
        <v>50366</v>
      </c>
      <c r="F2563" t="s">
        <v>50367</v>
      </c>
      <c r="G2563" t="s">
        <v>50368</v>
      </c>
      <c r="H2563" t="s">
        <v>50369</v>
      </c>
      <c r="I2563" t="s">
        <v>50370</v>
      </c>
      <c r="J2563" t="s">
        <v>50371</v>
      </c>
      <c r="K2563" t="s">
        <v>50372</v>
      </c>
      <c r="L2563" t="s">
        <v>50373</v>
      </c>
      <c r="M2563" t="s">
        <v>50374</v>
      </c>
      <c r="N2563" t="s">
        <v>50375</v>
      </c>
      <c r="O2563">
        <f>-572.243043372092 -94.6597003893849 -736.601176094783</f>
        <v>-1403.5039198562599</v>
      </c>
      <c r="P2563">
        <f>-577.869102835399 -83.4715756295187 -420.327112986097</f>
        <v>-1081.6677914510146</v>
      </c>
      <c r="Q2563">
        <f>-330.157688780277 -5.04392947924564 -431.737961960405</f>
        <v>-766.93958021992762</v>
      </c>
      <c r="R2563" t="s">
        <v>50376</v>
      </c>
      <c r="S2563" t="s">
        <v>50377</v>
      </c>
      <c r="T2563" t="s">
        <v>50378</v>
      </c>
      <c r="U2563" t="s">
        <v>50379</v>
      </c>
      <c r="V2563" t="s">
        <v>50380</v>
      </c>
      <c r="W2563" t="s">
        <v>50381</v>
      </c>
      <c r="X2563" t="s">
        <v>50382</v>
      </c>
      <c r="Y2563" t="s">
        <v>50383</v>
      </c>
    </row>
    <row r="2564" spans="1:25" x14ac:dyDescent="0.3">
      <c r="A2564">
        <v>128150</v>
      </c>
      <c r="B2564" t="s">
        <v>50384</v>
      </c>
      <c r="C2564" t="s">
        <v>50385</v>
      </c>
      <c r="D2564" t="s">
        <v>50386</v>
      </c>
      <c r="E2564" t="s">
        <v>50387</v>
      </c>
      <c r="F2564" t="s">
        <v>50388</v>
      </c>
      <c r="G2564" t="s">
        <v>50389</v>
      </c>
      <c r="H2564" t="s">
        <v>50390</v>
      </c>
      <c r="I2564" t="s">
        <v>50391</v>
      </c>
      <c r="J2564" t="s">
        <v>50392</v>
      </c>
      <c r="K2564" t="s">
        <v>50393</v>
      </c>
      <c r="L2564" t="s">
        <v>50394</v>
      </c>
      <c r="M2564" t="s">
        <v>50395</v>
      </c>
      <c r="N2564" t="s">
        <v>50396</v>
      </c>
      <c r="O2564">
        <f>-574.723513050662 -95.3631339467175 -736.238061552329</f>
        <v>-1406.3247085497085</v>
      </c>
      <c r="P2564">
        <f>-578.395995571192 -83.9597774407619 -419.942825147382</f>
        <v>-1082.2985981593358</v>
      </c>
      <c r="Q2564">
        <f>-330.256299903483 -6.71886853416274 -430.071794582264</f>
        <v>-767.04696301990975</v>
      </c>
      <c r="R2564" t="s">
        <v>50397</v>
      </c>
      <c r="S2564" t="s">
        <v>50398</v>
      </c>
      <c r="T2564" t="s">
        <v>50399</v>
      </c>
      <c r="U2564" t="s">
        <v>50400</v>
      </c>
      <c r="V2564" t="s">
        <v>50401</v>
      </c>
      <c r="W2564" t="s">
        <v>50402</v>
      </c>
      <c r="X2564" t="s">
        <v>50403</v>
      </c>
      <c r="Y2564" t="s">
        <v>50404</v>
      </c>
    </row>
    <row r="2565" spans="1:25" x14ac:dyDescent="0.3">
      <c r="A2565">
        <v>128200</v>
      </c>
      <c r="B2565" t="s">
        <v>50405</v>
      </c>
      <c r="C2565" t="s">
        <v>50406</v>
      </c>
      <c r="D2565" t="s">
        <v>50407</v>
      </c>
      <c r="E2565" t="s">
        <v>50408</v>
      </c>
      <c r="F2565" t="s">
        <v>50409</v>
      </c>
      <c r="G2565" t="s">
        <v>50410</v>
      </c>
      <c r="H2565" t="s">
        <v>50411</v>
      </c>
      <c r="I2565" t="s">
        <v>50412</v>
      </c>
      <c r="J2565" t="s">
        <v>50413</v>
      </c>
      <c r="K2565" t="s">
        <v>50414</v>
      </c>
      <c r="L2565" t="s">
        <v>50415</v>
      </c>
      <c r="M2565" t="s">
        <v>50416</v>
      </c>
      <c r="N2565" t="s">
        <v>50417</v>
      </c>
      <c r="O2565">
        <f>-575.736335313763 -96.0913390935803 -735.914751395736</f>
        <v>-1407.7424258030792</v>
      </c>
      <c r="P2565">
        <f>-578.357406875433 -84.2445859734154 -419.625414409854</f>
        <v>-1082.2274072587024</v>
      </c>
      <c r="Q2565">
        <f>-329.969493401252 -7.77015768700785 -429.482511483635</f>
        <v>-767.22216257189484</v>
      </c>
      <c r="R2565" t="s">
        <v>50418</v>
      </c>
      <c r="S2565" t="s">
        <v>50419</v>
      </c>
      <c r="T2565" t="s">
        <v>50420</v>
      </c>
      <c r="U2565" t="s">
        <v>50421</v>
      </c>
      <c r="V2565" t="s">
        <v>50422</v>
      </c>
      <c r="W2565" t="s">
        <v>50423</v>
      </c>
      <c r="X2565" t="s">
        <v>50424</v>
      </c>
      <c r="Y2565" t="s">
        <v>50425</v>
      </c>
    </row>
    <row r="2566" spans="1:25" x14ac:dyDescent="0.3">
      <c r="A2566">
        <v>128250</v>
      </c>
      <c r="B2566" t="s">
        <v>50426</v>
      </c>
      <c r="C2566" t="s">
        <v>50427</v>
      </c>
      <c r="D2566" t="s">
        <v>50428</v>
      </c>
      <c r="E2566" t="s">
        <v>50429</v>
      </c>
      <c r="F2566" t="s">
        <v>50430</v>
      </c>
      <c r="G2566" t="s">
        <v>50431</v>
      </c>
      <c r="H2566" t="s">
        <v>50432</v>
      </c>
      <c r="I2566" t="s">
        <v>50433</v>
      </c>
      <c r="J2566" t="s">
        <v>50434</v>
      </c>
      <c r="K2566" t="s">
        <v>50435</v>
      </c>
      <c r="L2566" t="s">
        <v>50436</v>
      </c>
      <c r="M2566" t="s">
        <v>50437</v>
      </c>
      <c r="N2566" t="s">
        <v>50438</v>
      </c>
      <c r="O2566">
        <f>-577.828179006888 -97.784331275212 -735.742535830436</f>
        <v>-1411.355046112536</v>
      </c>
      <c r="P2566">
        <f>-580.163173204752 -86.4323882874247 -419.432788515912</f>
        <v>-1086.0283500080886</v>
      </c>
      <c r="Q2566">
        <f>-331.568748387622 -10.9030977196702 -431.189462739766</f>
        <v>-773.66130884705819</v>
      </c>
      <c r="R2566" t="s">
        <v>50439</v>
      </c>
      <c r="S2566" t="s">
        <v>50440</v>
      </c>
      <c r="T2566" t="s">
        <v>50441</v>
      </c>
      <c r="U2566" t="s">
        <v>50442</v>
      </c>
      <c r="V2566" t="s">
        <v>50443</v>
      </c>
      <c r="W2566" t="s">
        <v>50444</v>
      </c>
      <c r="X2566" t="s">
        <v>50445</v>
      </c>
      <c r="Y2566" t="s">
        <v>50446</v>
      </c>
    </row>
    <row r="2567" spans="1:25" x14ac:dyDescent="0.3">
      <c r="A2567">
        <v>128300</v>
      </c>
      <c r="B2567" t="s">
        <v>50447</v>
      </c>
      <c r="C2567" t="s">
        <v>50448</v>
      </c>
      <c r="D2567" t="s">
        <v>50449</v>
      </c>
      <c r="E2567" t="s">
        <v>50450</v>
      </c>
      <c r="F2567" t="s">
        <v>50451</v>
      </c>
      <c r="G2567" t="s">
        <v>50452</v>
      </c>
      <c r="H2567" t="s">
        <v>50453</v>
      </c>
      <c r="I2567" t="s">
        <v>50454</v>
      </c>
      <c r="J2567" t="s">
        <v>50455</v>
      </c>
      <c r="K2567" t="s">
        <v>50456</v>
      </c>
      <c r="L2567" t="s">
        <v>50457</v>
      </c>
      <c r="M2567" t="s">
        <v>50458</v>
      </c>
      <c r="N2567" t="s">
        <v>50459</v>
      </c>
      <c r="O2567">
        <f>-578.748176299085 -98.0927812031902 -736.164214957848</f>
        <v>-1413.005172460123</v>
      </c>
      <c r="P2567">
        <f>-580.63513679142 -87.3104532563761 -419.831536897552</f>
        <v>-1087.7771269453481</v>
      </c>
      <c r="Q2567">
        <f>-331.746079252465 -12.8515060588848 -432.165932946141</f>
        <v>-776.76351825749089</v>
      </c>
      <c r="R2567" t="s">
        <v>50460</v>
      </c>
      <c r="S2567" t="s">
        <v>50461</v>
      </c>
      <c r="T2567" t="s">
        <v>50462</v>
      </c>
      <c r="U2567" t="s">
        <v>50463</v>
      </c>
      <c r="V2567" t="s">
        <v>50464</v>
      </c>
      <c r="W2567" t="s">
        <v>50465</v>
      </c>
      <c r="X2567" t="s">
        <v>50466</v>
      </c>
      <c r="Y2567" t="s">
        <v>50467</v>
      </c>
    </row>
    <row r="2568" spans="1:25" x14ac:dyDescent="0.3">
      <c r="A2568">
        <v>128350</v>
      </c>
      <c r="B2568" t="s">
        <v>50468</v>
      </c>
      <c r="C2568" t="s">
        <v>50469</v>
      </c>
      <c r="D2568" t="s">
        <v>50470</v>
      </c>
      <c r="E2568" t="s">
        <v>50471</v>
      </c>
      <c r="F2568" t="s">
        <v>50472</v>
      </c>
      <c r="G2568" t="s">
        <v>50473</v>
      </c>
      <c r="H2568" t="s">
        <v>50474</v>
      </c>
      <c r="I2568" t="s">
        <v>50475</v>
      </c>
      <c r="J2568" t="s">
        <v>50476</v>
      </c>
      <c r="K2568" t="s">
        <v>50477</v>
      </c>
      <c r="L2568" t="s">
        <v>50478</v>
      </c>
      <c r="M2568" t="s">
        <v>50479</v>
      </c>
      <c r="N2568" t="s">
        <v>50480</v>
      </c>
      <c r="O2568">
        <f>-581.089138971746 -98.657923352353 -737.433871823532</f>
        <v>-1417.180934147631</v>
      </c>
      <c r="P2568">
        <f>-582.428295647738 -89.5373559421069 -421.046046145758</f>
        <v>-1093.0116977356029</v>
      </c>
      <c r="Q2568">
        <f>-333.005495215807 -16.8539948781666 -433.188847056186</f>
        <v>-783.04833715015957</v>
      </c>
      <c r="R2568" t="s">
        <v>50481</v>
      </c>
      <c r="S2568" t="s">
        <v>50482</v>
      </c>
      <c r="T2568" t="s">
        <v>50483</v>
      </c>
      <c r="U2568" t="s">
        <v>50484</v>
      </c>
      <c r="V2568" t="s">
        <v>50485</v>
      </c>
      <c r="W2568" t="s">
        <v>50486</v>
      </c>
      <c r="X2568" t="s">
        <v>50487</v>
      </c>
      <c r="Y2568" t="s">
        <v>50488</v>
      </c>
    </row>
    <row r="2569" spans="1:25" x14ac:dyDescent="0.3">
      <c r="A2569">
        <v>128400</v>
      </c>
      <c r="B2569" t="s">
        <v>50489</v>
      </c>
      <c r="C2569" t="s">
        <v>50490</v>
      </c>
      <c r="D2569" t="s">
        <v>50491</v>
      </c>
      <c r="E2569" t="s">
        <v>50492</v>
      </c>
      <c r="F2569" t="s">
        <v>50493</v>
      </c>
      <c r="G2569" t="s">
        <v>50494</v>
      </c>
      <c r="H2569" t="s">
        <v>50495</v>
      </c>
      <c r="I2569" t="s">
        <v>50496</v>
      </c>
      <c r="J2569" t="s">
        <v>50497</v>
      </c>
      <c r="K2569" t="s">
        <v>50498</v>
      </c>
      <c r="L2569" t="s">
        <v>50499</v>
      </c>
      <c r="M2569" t="s">
        <v>50500</v>
      </c>
      <c r="N2569" t="s">
        <v>50501</v>
      </c>
      <c r="O2569">
        <f>-582.595552411005 -99.1480297887945 -737.91896245917</f>
        <v>-1419.6625446589694</v>
      </c>
      <c r="P2569">
        <f>-583.783479160071 -91.1428110344756 -421.500395965192</f>
        <v>-1096.4266861597387</v>
      </c>
      <c r="Q2569">
        <f>-334.215230808033 -18.9262130426715 -433.43785136222</f>
        <v>-786.57929521292454</v>
      </c>
      <c r="R2569" t="s">
        <v>50502</v>
      </c>
      <c r="S2569" t="s">
        <v>50503</v>
      </c>
      <c r="T2569" t="s">
        <v>50504</v>
      </c>
      <c r="U2569" t="s">
        <v>50505</v>
      </c>
      <c r="V2569" t="s">
        <v>50506</v>
      </c>
      <c r="W2569" t="s">
        <v>50507</v>
      </c>
      <c r="X2569" t="s">
        <v>50508</v>
      </c>
      <c r="Y2569" t="s">
        <v>50509</v>
      </c>
    </row>
    <row r="2570" spans="1:25" x14ac:dyDescent="0.3">
      <c r="A2570">
        <v>128450</v>
      </c>
      <c r="B2570" t="s">
        <v>50510</v>
      </c>
      <c r="C2570" t="s">
        <v>50511</v>
      </c>
      <c r="D2570" t="s">
        <v>50512</v>
      </c>
      <c r="E2570" t="s">
        <v>50513</v>
      </c>
      <c r="F2570" t="s">
        <v>50514</v>
      </c>
      <c r="G2570" t="s">
        <v>50515</v>
      </c>
      <c r="H2570" t="s">
        <v>50516</v>
      </c>
      <c r="I2570" t="s">
        <v>50517</v>
      </c>
      <c r="J2570" t="s">
        <v>50518</v>
      </c>
      <c r="K2570" t="s">
        <v>50519</v>
      </c>
      <c r="L2570" t="s">
        <v>50520</v>
      </c>
      <c r="M2570" t="s">
        <v>50521</v>
      </c>
      <c r="N2570" t="s">
        <v>50522</v>
      </c>
      <c r="O2570">
        <f>-585.290575924761 -100.328620663678 -738.43962117575</f>
        <v>-1424.0588177641889</v>
      </c>
      <c r="P2570">
        <f>-586.011983497091 -92.9005256184689 -422.005550887084</f>
        <v>-1100.9180600026439</v>
      </c>
      <c r="Q2570">
        <f>-336.092994661063 -21.5864653600221 -431.847596705709</f>
        <v>-789.52705672679417</v>
      </c>
      <c r="R2570" t="s">
        <v>50523</v>
      </c>
      <c r="S2570" t="s">
        <v>50524</v>
      </c>
      <c r="T2570" t="s">
        <v>50525</v>
      </c>
      <c r="U2570" t="s">
        <v>50526</v>
      </c>
      <c r="V2570" t="s">
        <v>50527</v>
      </c>
      <c r="W2570" t="s">
        <v>50528</v>
      </c>
      <c r="X2570" t="s">
        <v>50529</v>
      </c>
      <c r="Y2570" t="s">
        <v>50530</v>
      </c>
    </row>
    <row r="2571" spans="1:25" x14ac:dyDescent="0.3">
      <c r="A2571">
        <v>128500</v>
      </c>
      <c r="B2571" t="s">
        <v>50531</v>
      </c>
      <c r="C2571" t="s">
        <v>50532</v>
      </c>
      <c r="D2571" t="s">
        <v>50533</v>
      </c>
      <c r="E2571" t="s">
        <v>50534</v>
      </c>
      <c r="F2571" t="s">
        <v>50535</v>
      </c>
      <c r="G2571" t="s">
        <v>50536</v>
      </c>
      <c r="H2571" t="s">
        <v>50537</v>
      </c>
      <c r="I2571" t="s">
        <v>50538</v>
      </c>
      <c r="J2571" t="s">
        <v>50539</v>
      </c>
      <c r="K2571" t="s">
        <v>50540</v>
      </c>
      <c r="L2571" t="s">
        <v>50541</v>
      </c>
      <c r="M2571" t="s">
        <v>50542</v>
      </c>
      <c r="N2571" t="s">
        <v>50543</v>
      </c>
      <c r="O2571">
        <f>-585.975677391255 -101.527040550868 -738.177740539834</f>
        <v>-1425.680458481957</v>
      </c>
      <c r="P2571">
        <f>-586.767277929384 -93.5024214388961 -421.758345807751</f>
        <v>-1102.0280451760311</v>
      </c>
      <c r="Q2571">
        <f>-336.578988646547 -22.8598743750412 -429.341365411402</f>
        <v>-788.78022843299027</v>
      </c>
      <c r="R2571" t="s">
        <v>50544</v>
      </c>
      <c r="S2571" t="s">
        <v>50545</v>
      </c>
      <c r="T2571" t="s">
        <v>50546</v>
      </c>
      <c r="U2571" t="s">
        <v>50547</v>
      </c>
      <c r="V2571" t="s">
        <v>50548</v>
      </c>
      <c r="W2571" t="s">
        <v>50549</v>
      </c>
      <c r="X2571" t="s">
        <v>50550</v>
      </c>
      <c r="Y2571" t="s">
        <v>50551</v>
      </c>
    </row>
    <row r="2572" spans="1:25" x14ac:dyDescent="0.3">
      <c r="A2572">
        <v>128550</v>
      </c>
      <c r="B2572" t="s">
        <v>50552</v>
      </c>
      <c r="C2572" t="s">
        <v>50553</v>
      </c>
      <c r="D2572" t="s">
        <v>50554</v>
      </c>
      <c r="E2572" t="s">
        <v>50555</v>
      </c>
      <c r="F2572" t="s">
        <v>50556</v>
      </c>
      <c r="G2572" t="s">
        <v>50557</v>
      </c>
      <c r="H2572" t="s">
        <v>50558</v>
      </c>
      <c r="I2572" t="s">
        <v>50559</v>
      </c>
      <c r="J2572" t="s">
        <v>50560</v>
      </c>
      <c r="K2572" t="s">
        <v>50561</v>
      </c>
      <c r="L2572" t="s">
        <v>50562</v>
      </c>
      <c r="M2572" t="s">
        <v>50563</v>
      </c>
      <c r="N2572" t="s">
        <v>50564</v>
      </c>
      <c r="O2572">
        <f>-587.931842815489 -105.797399697061 -736.961100381129</f>
        <v>-1430.6903428936789</v>
      </c>
      <c r="P2572">
        <f>-589.034821890473 -95.6073069658128 -420.605071002273</f>
        <v>-1105.2471998585588</v>
      </c>
      <c r="Q2572">
        <f>-338.589317866149 -25.4799168735635 -421.721974168622</f>
        <v>-785.79120890833451</v>
      </c>
      <c r="R2572" t="s">
        <v>50565</v>
      </c>
      <c r="S2572" t="s">
        <v>50566</v>
      </c>
      <c r="T2572" t="s">
        <v>50567</v>
      </c>
      <c r="U2572" t="s">
        <v>50568</v>
      </c>
      <c r="V2572" t="s">
        <v>50569</v>
      </c>
      <c r="W2572" t="s">
        <v>50570</v>
      </c>
      <c r="X2572" t="s">
        <v>50571</v>
      </c>
      <c r="Y2572" t="s">
        <v>50572</v>
      </c>
    </row>
    <row r="2573" spans="1:25" x14ac:dyDescent="0.3">
      <c r="A2573">
        <v>128600</v>
      </c>
      <c r="B2573" t="s">
        <v>50573</v>
      </c>
      <c r="C2573" t="s">
        <v>50574</v>
      </c>
      <c r="D2573" t="s">
        <v>50575</v>
      </c>
      <c r="E2573" t="s">
        <v>50576</v>
      </c>
      <c r="F2573" t="s">
        <v>50577</v>
      </c>
      <c r="G2573" t="s">
        <v>50578</v>
      </c>
      <c r="H2573" t="s">
        <v>50579</v>
      </c>
      <c r="I2573" t="s">
        <v>50580</v>
      </c>
      <c r="J2573" t="s">
        <v>50581</v>
      </c>
      <c r="K2573" t="s">
        <v>50582</v>
      </c>
      <c r="L2573" t="s">
        <v>50583</v>
      </c>
      <c r="M2573" t="s">
        <v>50584</v>
      </c>
      <c r="N2573" t="s">
        <v>50585</v>
      </c>
      <c r="O2573">
        <f>-588.955916097882 -108.085193889163 -736.221173389978</f>
        <v>-1433.2622833770229</v>
      </c>
      <c r="P2573">
        <f>-590.382930824227 -96.5962912391864 -419.910941898796</f>
        <v>-1106.8901639622093</v>
      </c>
      <c r="Q2573">
        <f>-340.03265194252 -26.1423765402367 -418.162086881704</f>
        <v>-784.33711536446071</v>
      </c>
      <c r="R2573" t="s">
        <v>50586</v>
      </c>
      <c r="S2573" t="s">
        <v>50587</v>
      </c>
      <c r="T2573" t="s">
        <v>50588</v>
      </c>
      <c r="U2573" t="s">
        <v>50589</v>
      </c>
      <c r="V2573" t="s">
        <v>50590</v>
      </c>
      <c r="W2573" t="s">
        <v>50591</v>
      </c>
      <c r="X2573" t="s">
        <v>50592</v>
      </c>
      <c r="Y2573" t="s">
        <v>50593</v>
      </c>
    </row>
    <row r="2574" spans="1:25" x14ac:dyDescent="0.3">
      <c r="A2574">
        <v>128650</v>
      </c>
      <c r="B2574" t="s">
        <v>50594</v>
      </c>
      <c r="C2574" t="s">
        <v>50595</v>
      </c>
      <c r="D2574" t="s">
        <v>50596</v>
      </c>
      <c r="E2574" t="s">
        <v>50597</v>
      </c>
      <c r="F2574" t="s">
        <v>50598</v>
      </c>
      <c r="G2574" t="s">
        <v>50599</v>
      </c>
      <c r="H2574" t="s">
        <v>50600</v>
      </c>
      <c r="I2574" t="s">
        <v>50601</v>
      </c>
      <c r="J2574" t="s">
        <v>50602</v>
      </c>
      <c r="K2574" t="s">
        <v>50603</v>
      </c>
      <c r="L2574" t="s">
        <v>50604</v>
      </c>
      <c r="M2574" t="s">
        <v>50605</v>
      </c>
      <c r="N2574" t="s">
        <v>50606</v>
      </c>
      <c r="O2574">
        <f>-589.935645598218 -112.971799812868 -734.905214836151</f>
        <v>-1437.8126602472371</v>
      </c>
      <c r="P2574">
        <f>-591.564105736734 -98.1027026252125 -418.736806717891</f>
        <v>-1108.4036150798374</v>
      </c>
      <c r="Q2574">
        <f>-341.639808984759 -26.2973734939065 -413.850118501649</f>
        <v>-781.78730098031451</v>
      </c>
      <c r="R2574" t="s">
        <v>50607</v>
      </c>
      <c r="S2574" t="s">
        <v>50608</v>
      </c>
      <c r="T2574" t="s">
        <v>50609</v>
      </c>
      <c r="U2574" t="s">
        <v>50610</v>
      </c>
      <c r="V2574" t="s">
        <v>50611</v>
      </c>
      <c r="W2574" t="s">
        <v>50612</v>
      </c>
      <c r="X2574" t="s">
        <v>50613</v>
      </c>
      <c r="Y2574" t="s">
        <v>50614</v>
      </c>
    </row>
    <row r="2575" spans="1:25" x14ac:dyDescent="0.3">
      <c r="A2575">
        <v>128700</v>
      </c>
      <c r="B2575" t="s">
        <v>50615</v>
      </c>
      <c r="C2575" t="s">
        <v>50616</v>
      </c>
      <c r="D2575" t="s">
        <v>50617</v>
      </c>
      <c r="E2575" t="s">
        <v>50618</v>
      </c>
      <c r="F2575" t="s">
        <v>50619</v>
      </c>
      <c r="G2575" t="s">
        <v>50620</v>
      </c>
      <c r="H2575" t="s">
        <v>50621</v>
      </c>
      <c r="I2575" t="s">
        <v>50622</v>
      </c>
      <c r="J2575" t="s">
        <v>50623</v>
      </c>
      <c r="K2575" t="s">
        <v>50624</v>
      </c>
      <c r="L2575" t="s">
        <v>50625</v>
      </c>
      <c r="M2575" t="s">
        <v>50626</v>
      </c>
      <c r="N2575" t="s">
        <v>50627</v>
      </c>
      <c r="O2575">
        <f>-590.227784800422 -114.644157706725 -734.533944005287</f>
        <v>-1439.4058865124339</v>
      </c>
      <c r="P2575">
        <f>-591.965972292344 -98.6899013161473 -418.418982523473</f>
        <v>-1109.0748561319642</v>
      </c>
      <c r="Q2575">
        <f>-342.324226528422 -25.9689842905515 -412.699034813602</f>
        <v>-780.99224563257553</v>
      </c>
      <c r="R2575" t="s">
        <v>50628</v>
      </c>
      <c r="S2575" t="s">
        <v>50629</v>
      </c>
      <c r="T2575" t="s">
        <v>50630</v>
      </c>
      <c r="U2575" t="s">
        <v>50631</v>
      </c>
      <c r="V2575" t="s">
        <v>50632</v>
      </c>
      <c r="W2575" t="s">
        <v>50633</v>
      </c>
      <c r="X2575" t="s">
        <v>50634</v>
      </c>
      <c r="Y2575" t="s">
        <v>50635</v>
      </c>
    </row>
    <row r="2576" spans="1:25" x14ac:dyDescent="0.3">
      <c r="A2576">
        <v>128750</v>
      </c>
      <c r="B2576" t="s">
        <v>50636</v>
      </c>
      <c r="C2576" t="s">
        <v>50637</v>
      </c>
      <c r="D2576" t="s">
        <v>50638</v>
      </c>
      <c r="E2576" t="s">
        <v>50639</v>
      </c>
      <c r="F2576" t="s">
        <v>50640</v>
      </c>
      <c r="G2576" t="s">
        <v>50641</v>
      </c>
      <c r="H2576" t="s">
        <v>50642</v>
      </c>
      <c r="I2576" t="s">
        <v>50643</v>
      </c>
      <c r="J2576" t="s">
        <v>50644</v>
      </c>
      <c r="K2576" t="s">
        <v>50645</v>
      </c>
      <c r="L2576" t="s">
        <v>50646</v>
      </c>
      <c r="M2576" t="s">
        <v>50647</v>
      </c>
      <c r="N2576" t="s">
        <v>50648</v>
      </c>
      <c r="O2576">
        <f>-591.609826897248 -117.045092839134 -733.688943524791</f>
        <v>-1442.3438632611728</v>
      </c>
      <c r="P2576">
        <f>-593.044196326381 -99.7105935443916 -417.645172828242</f>
        <v>-1110.3999626990146</v>
      </c>
      <c r="Q2576">
        <f>-343.929768024229 -25.2235886993377 -411.66828586776</f>
        <v>-780.82164259132674</v>
      </c>
      <c r="R2576" t="s">
        <v>50649</v>
      </c>
      <c r="S2576" t="s">
        <v>50650</v>
      </c>
      <c r="T2576" t="s">
        <v>50651</v>
      </c>
      <c r="U2576" t="s">
        <v>50652</v>
      </c>
      <c r="V2576" t="s">
        <v>50653</v>
      </c>
      <c r="W2576" t="s">
        <v>50654</v>
      </c>
      <c r="X2576" t="s">
        <v>50655</v>
      </c>
      <c r="Y2576" t="s">
        <v>50656</v>
      </c>
    </row>
    <row r="2577" spans="1:25" x14ac:dyDescent="0.3">
      <c r="A2577">
        <v>128800</v>
      </c>
      <c r="B2577" t="s">
        <v>50657</v>
      </c>
      <c r="C2577" t="s">
        <v>50658</v>
      </c>
      <c r="D2577" t="s">
        <v>50659</v>
      </c>
      <c r="E2577" t="s">
        <v>50660</v>
      </c>
      <c r="F2577" t="s">
        <v>50661</v>
      </c>
      <c r="G2577" t="s">
        <v>50662</v>
      </c>
      <c r="H2577" t="s">
        <v>50663</v>
      </c>
      <c r="I2577" t="s">
        <v>50664</v>
      </c>
      <c r="J2577" t="s">
        <v>50665</v>
      </c>
      <c r="K2577" t="s">
        <v>50666</v>
      </c>
      <c r="L2577" t="s">
        <v>50667</v>
      </c>
      <c r="M2577" t="s">
        <v>50668</v>
      </c>
      <c r="N2577" t="s">
        <v>50669</v>
      </c>
      <c r="O2577">
        <f>-592.175404224979 -118.215375195532 -733.411644185331</f>
        <v>-1443.8024236058423</v>
      </c>
      <c r="P2577">
        <f>-593.1957104326 -100.523606386971 -417.386054193442</f>
        <v>-1111.1053710130129</v>
      </c>
      <c r="Q2577">
        <f>-344.285309508502 -25.2725568542168 -412.597538949953</f>
        <v>-782.15540531267175</v>
      </c>
      <c r="R2577" t="s">
        <v>50670</v>
      </c>
      <c r="S2577" t="s">
        <v>50671</v>
      </c>
      <c r="T2577" t="s">
        <v>50672</v>
      </c>
      <c r="U2577" t="s">
        <v>50673</v>
      </c>
      <c r="V2577" t="s">
        <v>50674</v>
      </c>
      <c r="W2577" t="s">
        <v>50675</v>
      </c>
      <c r="X2577" t="s">
        <v>50676</v>
      </c>
      <c r="Y2577" t="s">
        <v>50677</v>
      </c>
    </row>
    <row r="2578" spans="1:25" x14ac:dyDescent="0.3">
      <c r="A2578">
        <v>128850</v>
      </c>
      <c r="B2578" t="s">
        <v>50678</v>
      </c>
      <c r="C2578" t="s">
        <v>50679</v>
      </c>
      <c r="D2578" t="s">
        <v>50680</v>
      </c>
      <c r="E2578" t="s">
        <v>50681</v>
      </c>
      <c r="F2578" t="s">
        <v>50682</v>
      </c>
      <c r="G2578" t="s">
        <v>50683</v>
      </c>
      <c r="H2578" t="s">
        <v>50684</v>
      </c>
      <c r="I2578" t="s">
        <v>50685</v>
      </c>
      <c r="J2578" t="s">
        <v>50686</v>
      </c>
      <c r="K2578" t="s">
        <v>50687</v>
      </c>
      <c r="L2578" t="s">
        <v>50688</v>
      </c>
      <c r="M2578" t="s">
        <v>50689</v>
      </c>
      <c r="N2578" t="s">
        <v>50690</v>
      </c>
      <c r="O2578">
        <f>-593.876127065062 -119.174985979494 -732.930235557525</f>
        <v>-1445.9813486020807</v>
      </c>
      <c r="P2578">
        <f>-593.311122978303 -101.89321575356 -416.880754549397</f>
        <v>-1112.08509328126</v>
      </c>
      <c r="Q2578">
        <f>-344.465428565729 -26.2945716767233 -415.229478228608</f>
        <v>-785.98947847106024</v>
      </c>
      <c r="R2578" t="s">
        <v>50691</v>
      </c>
      <c r="S2578" t="s">
        <v>50692</v>
      </c>
      <c r="T2578" t="s">
        <v>50693</v>
      </c>
      <c r="U2578" t="s">
        <v>50694</v>
      </c>
      <c r="V2578" t="s">
        <v>50695</v>
      </c>
      <c r="W2578" t="s">
        <v>50696</v>
      </c>
      <c r="X2578" t="s">
        <v>50697</v>
      </c>
      <c r="Y2578" t="s">
        <v>50698</v>
      </c>
    </row>
    <row r="2579" spans="1:25" x14ac:dyDescent="0.3">
      <c r="A2579">
        <v>128900</v>
      </c>
      <c r="B2579" t="s">
        <v>50699</v>
      </c>
      <c r="C2579" t="s">
        <v>50700</v>
      </c>
      <c r="D2579" t="s">
        <v>50701</v>
      </c>
      <c r="E2579" t="s">
        <v>50702</v>
      </c>
      <c r="F2579" t="s">
        <v>50703</v>
      </c>
      <c r="G2579" t="s">
        <v>50704</v>
      </c>
      <c r="H2579" t="s">
        <v>50705</v>
      </c>
      <c r="I2579" t="s">
        <v>50706</v>
      </c>
      <c r="J2579" t="s">
        <v>50707</v>
      </c>
      <c r="K2579" t="s">
        <v>50708</v>
      </c>
      <c r="L2579" t="s">
        <v>50709</v>
      </c>
      <c r="M2579" t="s">
        <v>50710</v>
      </c>
      <c r="N2579" t="s">
        <v>50711</v>
      </c>
      <c r="O2579">
        <f>-594.341308680784 -119.202707585257 -732.804196438468</f>
        <v>-1446.348212704509</v>
      </c>
      <c r="P2579">
        <f>-593.173850112112 -102.360172663585 -416.732665973202</f>
        <v>-1112.266688748899</v>
      </c>
      <c r="Q2579">
        <f>-344.266660092389 -26.9476451896688 -416.2706277876</f>
        <v>-787.4849330696577</v>
      </c>
      <c r="R2579" t="s">
        <v>50712</v>
      </c>
      <c r="S2579" t="s">
        <v>50713</v>
      </c>
      <c r="T2579" t="s">
        <v>50714</v>
      </c>
      <c r="U2579" t="s">
        <v>50715</v>
      </c>
      <c r="V2579" t="s">
        <v>50716</v>
      </c>
      <c r="W2579" t="s">
        <v>50717</v>
      </c>
      <c r="X2579" t="s">
        <v>50718</v>
      </c>
      <c r="Y2579" t="s">
        <v>50719</v>
      </c>
    </row>
    <row r="2580" spans="1:25" x14ac:dyDescent="0.3">
      <c r="A2580">
        <v>128950</v>
      </c>
      <c r="B2580" t="s">
        <v>50720</v>
      </c>
      <c r="C2580" t="s">
        <v>50721</v>
      </c>
      <c r="D2580" t="s">
        <v>50722</v>
      </c>
      <c r="E2580" t="s">
        <v>50723</v>
      </c>
      <c r="F2580" t="s">
        <v>50724</v>
      </c>
      <c r="G2580" t="s">
        <v>50725</v>
      </c>
      <c r="H2580" t="s">
        <v>50726</v>
      </c>
      <c r="I2580" t="s">
        <v>50727</v>
      </c>
      <c r="J2580" t="s">
        <v>50728</v>
      </c>
      <c r="K2580" t="s">
        <v>50729</v>
      </c>
      <c r="L2580" t="s">
        <v>50730</v>
      </c>
      <c r="M2580" t="s">
        <v>50731</v>
      </c>
      <c r="N2580" t="s">
        <v>50732</v>
      </c>
      <c r="O2580">
        <f>-593.970833888494 -117.781058045982 -733.079593027669</f>
        <v>-1444.8314849621452</v>
      </c>
      <c r="P2580">
        <f>-592.024499673285 -102.21698544673 -416.946520996361</f>
        <v>-1111.1880061163761</v>
      </c>
      <c r="Q2580">
        <f>-343.163884766249 -26.6685135319599 -418.637173367697</f>
        <v>-788.46957166590596</v>
      </c>
      <c r="R2580" t="s">
        <v>50733</v>
      </c>
      <c r="S2580" t="s">
        <v>50734</v>
      </c>
      <c r="T2580" t="s">
        <v>50735</v>
      </c>
      <c r="U2580" t="s">
        <v>50736</v>
      </c>
      <c r="V2580" t="s">
        <v>50737</v>
      </c>
      <c r="W2580" t="s">
        <v>50738</v>
      </c>
      <c r="X2580" t="s">
        <v>50739</v>
      </c>
      <c r="Y2580" t="s">
        <v>50740</v>
      </c>
    </row>
    <row r="2581" spans="1:25" x14ac:dyDescent="0.3">
      <c r="A2581">
        <v>129000</v>
      </c>
      <c r="B2581" t="s">
        <v>50741</v>
      </c>
      <c r="C2581" t="s">
        <v>50742</v>
      </c>
      <c r="D2581" t="s">
        <v>50743</v>
      </c>
      <c r="E2581" t="s">
        <v>50744</v>
      </c>
      <c r="F2581" t="s">
        <v>50745</v>
      </c>
      <c r="G2581" t="s">
        <v>50746</v>
      </c>
      <c r="H2581" t="s">
        <v>50747</v>
      </c>
      <c r="I2581" t="s">
        <v>50748</v>
      </c>
      <c r="J2581" t="s">
        <v>50749</v>
      </c>
      <c r="K2581" t="s">
        <v>50750</v>
      </c>
      <c r="L2581" t="s">
        <v>50751</v>
      </c>
      <c r="M2581" t="s">
        <v>50752</v>
      </c>
      <c r="N2581" t="s">
        <v>50753</v>
      </c>
      <c r="O2581">
        <f>-593.252500233283 -116.876156348154 -733.360516589683</f>
        <v>-1443.48917317112</v>
      </c>
      <c r="P2581">
        <f>-591.057111544071 -102.076209369024 -417.192323828122</f>
        <v>-1110.325644741217</v>
      </c>
      <c r="Q2581">
        <f>-342.0988837606 -26.8672522456699 -419.525414510292</f>
        <v>-788.49155051656192</v>
      </c>
      <c r="R2581" t="s">
        <v>50754</v>
      </c>
      <c r="S2581" t="s">
        <v>50755</v>
      </c>
      <c r="T2581" t="s">
        <v>50756</v>
      </c>
      <c r="U2581" t="s">
        <v>50757</v>
      </c>
      <c r="V2581" t="s">
        <v>50758</v>
      </c>
      <c r="W2581" t="s">
        <v>50759</v>
      </c>
      <c r="X2581" t="s">
        <v>50760</v>
      </c>
      <c r="Y2581" t="s">
        <v>50761</v>
      </c>
    </row>
    <row r="2582" spans="1:25" x14ac:dyDescent="0.3">
      <c r="A2582">
        <v>129050</v>
      </c>
      <c r="B2582" t="s">
        <v>50762</v>
      </c>
      <c r="C2582" t="s">
        <v>50763</v>
      </c>
      <c r="D2582" t="s">
        <v>50764</v>
      </c>
      <c r="E2582" t="s">
        <v>50765</v>
      </c>
      <c r="F2582" t="s">
        <v>50766</v>
      </c>
      <c r="G2582" t="s">
        <v>50767</v>
      </c>
      <c r="H2582" t="s">
        <v>50768</v>
      </c>
      <c r="I2582" t="s">
        <v>50769</v>
      </c>
      <c r="J2582" t="s">
        <v>50770</v>
      </c>
      <c r="K2582" t="s">
        <v>50771</v>
      </c>
      <c r="L2582" t="s">
        <v>50772</v>
      </c>
      <c r="M2582" t="s">
        <v>50773</v>
      </c>
      <c r="N2582" t="s">
        <v>50774</v>
      </c>
      <c r="O2582">
        <f>-592.829487179164 -115.251286518526 -734.096979600501</f>
        <v>-1442.177753298191</v>
      </c>
      <c r="P2582">
        <f>-590.622663984311 -101.590173111855 -417.877559623071</f>
        <v>-1110.0903967192369</v>
      </c>
      <c r="Q2582">
        <f>-341.819959686033 -25.9342655196778 -421.810224556824</f>
        <v>-789.56444976253476</v>
      </c>
      <c r="R2582" t="s">
        <v>50775</v>
      </c>
      <c r="S2582" t="s">
        <v>50776</v>
      </c>
      <c r="T2582" t="s">
        <v>50777</v>
      </c>
      <c r="U2582" t="s">
        <v>50778</v>
      </c>
      <c r="V2582" t="s">
        <v>50779</v>
      </c>
      <c r="W2582" t="s">
        <v>50780</v>
      </c>
      <c r="X2582" t="s">
        <v>50781</v>
      </c>
      <c r="Y2582" t="s">
        <v>50782</v>
      </c>
    </row>
    <row r="2583" spans="1:25" x14ac:dyDescent="0.3">
      <c r="A2583">
        <v>129100</v>
      </c>
      <c r="B2583" t="s">
        <v>50783</v>
      </c>
      <c r="C2583" t="s">
        <v>50784</v>
      </c>
      <c r="D2583" t="s">
        <v>50785</v>
      </c>
      <c r="E2583" t="s">
        <v>50786</v>
      </c>
      <c r="F2583" t="s">
        <v>50787</v>
      </c>
      <c r="G2583" t="s">
        <v>50788</v>
      </c>
      <c r="H2583" t="s">
        <v>50789</v>
      </c>
      <c r="I2583" t="s">
        <v>50790</v>
      </c>
      <c r="J2583" t="s">
        <v>50791</v>
      </c>
      <c r="K2583" t="s">
        <v>50792</v>
      </c>
      <c r="L2583" t="s">
        <v>50793</v>
      </c>
      <c r="M2583" t="s">
        <v>50794</v>
      </c>
      <c r="N2583" t="s">
        <v>50795</v>
      </c>
      <c r="O2583">
        <f>-593.036221482405 -114.580495512626 -734.693822654323</f>
        <v>-1442.310539649354</v>
      </c>
      <c r="P2583">
        <f>-590.626175838236 -101.53947126758 -418.449749390937</f>
        <v>-1110.615396496753</v>
      </c>
      <c r="Q2583">
        <f>-341.926906514996 -25.5702681865271 -422.856234840457</f>
        <v>-790.35340954198011</v>
      </c>
      <c r="R2583" t="s">
        <v>50796</v>
      </c>
      <c r="S2583" t="s">
        <v>50797</v>
      </c>
      <c r="T2583" t="s">
        <v>50798</v>
      </c>
      <c r="U2583" t="s">
        <v>50799</v>
      </c>
      <c r="V2583" t="s">
        <v>50800</v>
      </c>
      <c r="W2583" t="s">
        <v>50801</v>
      </c>
      <c r="X2583" t="s">
        <v>50802</v>
      </c>
      <c r="Y2583" t="s">
        <v>50803</v>
      </c>
    </row>
    <row r="2584" spans="1:25" x14ac:dyDescent="0.3">
      <c r="A2584">
        <v>129150</v>
      </c>
      <c r="B2584" t="s">
        <v>50804</v>
      </c>
      <c r="C2584" t="s">
        <v>50805</v>
      </c>
      <c r="D2584" t="s">
        <v>50806</v>
      </c>
      <c r="E2584" t="s">
        <v>50807</v>
      </c>
      <c r="F2584" t="s">
        <v>50808</v>
      </c>
      <c r="G2584" t="s">
        <v>50809</v>
      </c>
      <c r="H2584" t="s">
        <v>50810</v>
      </c>
      <c r="I2584" t="s">
        <v>50811</v>
      </c>
      <c r="J2584" t="s">
        <v>50812</v>
      </c>
      <c r="K2584" t="s">
        <v>50813</v>
      </c>
      <c r="L2584" t="s">
        <v>50814</v>
      </c>
      <c r="M2584" t="s">
        <v>50815</v>
      </c>
      <c r="N2584" t="s">
        <v>50816</v>
      </c>
      <c r="O2584">
        <f>-593.118670317276 -114.264348653706 -735.59094853368</f>
        <v>-1442.9739675046621</v>
      </c>
      <c r="P2584">
        <f>-590.552849645247 -102.262496428272 -419.306912244301</f>
        <v>-1112.1222583178201</v>
      </c>
      <c r="Q2584">
        <f>-341.923192730173 -26.1198188596887 -424.563870488671</f>
        <v>-792.60688207853264</v>
      </c>
      <c r="R2584" t="s">
        <v>50817</v>
      </c>
      <c r="S2584" t="s">
        <v>50818</v>
      </c>
      <c r="T2584" t="s">
        <v>50819</v>
      </c>
      <c r="U2584" t="s">
        <v>50820</v>
      </c>
      <c r="V2584" t="s">
        <v>50821</v>
      </c>
      <c r="W2584" t="s">
        <v>50822</v>
      </c>
      <c r="X2584" t="s">
        <v>50823</v>
      </c>
      <c r="Y2584" t="s">
        <v>50824</v>
      </c>
    </row>
    <row r="2585" spans="1:25" x14ac:dyDescent="0.3">
      <c r="A2585">
        <v>129200</v>
      </c>
      <c r="B2585" t="s">
        <v>50825</v>
      </c>
      <c r="C2585" t="s">
        <v>50826</v>
      </c>
      <c r="D2585" t="s">
        <v>50827</v>
      </c>
      <c r="E2585" t="s">
        <v>50828</v>
      </c>
      <c r="F2585" t="s">
        <v>50829</v>
      </c>
      <c r="G2585" t="s">
        <v>50830</v>
      </c>
      <c r="H2585" t="s">
        <v>50831</v>
      </c>
      <c r="I2585" t="s">
        <v>50832</v>
      </c>
      <c r="J2585" t="s">
        <v>50833</v>
      </c>
      <c r="K2585" t="s">
        <v>50834</v>
      </c>
      <c r="L2585" t="s">
        <v>50835</v>
      </c>
      <c r="M2585" t="s">
        <v>50836</v>
      </c>
      <c r="N2585" t="s">
        <v>50837</v>
      </c>
      <c r="O2585">
        <f>-593.698829610968 -114.488065636996 -735.750685904247</f>
        <v>-1443.9375811522109</v>
      </c>
      <c r="P2585">
        <f>-590.833770365105 -102.356875811325 -419.47427629164</f>
        <v>-1112.66492246807</v>
      </c>
      <c r="Q2585">
        <f>-342.052958982689 -26.701767742985 -424.618682535815</f>
        <v>-793.37340926148909</v>
      </c>
      <c r="R2585" t="s">
        <v>50838</v>
      </c>
      <c r="S2585" t="s">
        <v>50839</v>
      </c>
      <c r="T2585" t="s">
        <v>50840</v>
      </c>
      <c r="U2585" t="s">
        <v>50841</v>
      </c>
      <c r="V2585" t="s">
        <v>50842</v>
      </c>
      <c r="W2585" t="s">
        <v>50843</v>
      </c>
      <c r="X2585" t="s">
        <v>50844</v>
      </c>
      <c r="Y2585" t="s">
        <v>50845</v>
      </c>
    </row>
    <row r="2586" spans="1:25" x14ac:dyDescent="0.3">
      <c r="A2586">
        <v>129250</v>
      </c>
      <c r="B2586" t="s">
        <v>50846</v>
      </c>
      <c r="C2586" t="s">
        <v>50847</v>
      </c>
      <c r="D2586" t="s">
        <v>50848</v>
      </c>
      <c r="E2586" t="s">
        <v>50849</v>
      </c>
      <c r="F2586" t="s">
        <v>50850</v>
      </c>
      <c r="G2586" t="s">
        <v>50851</v>
      </c>
      <c r="H2586" t="s">
        <v>50852</v>
      </c>
      <c r="I2586" t="s">
        <v>50853</v>
      </c>
      <c r="J2586" t="s">
        <v>50854</v>
      </c>
      <c r="K2586" t="s">
        <v>50855</v>
      </c>
      <c r="L2586" t="s">
        <v>50856</v>
      </c>
      <c r="M2586" t="s">
        <v>50857</v>
      </c>
      <c r="N2586" t="s">
        <v>50858</v>
      </c>
      <c r="O2586">
        <f>-593.637622748124 -114.474465309665 -736.085367208878</f>
        <v>-1444.197455266667</v>
      </c>
      <c r="P2586">
        <f>-590.476427412011 -102.087826065068 -419.821509430825</f>
        <v>-1112.3857629079041</v>
      </c>
      <c r="Q2586">
        <f>-341.470785561771 -27.1502116690856 -424.574684446029</f>
        <v>-793.19568167688556</v>
      </c>
      <c r="R2586" t="s">
        <v>50859</v>
      </c>
      <c r="S2586" t="s">
        <v>50860</v>
      </c>
      <c r="T2586" t="s">
        <v>50861</v>
      </c>
      <c r="U2586" t="s">
        <v>50862</v>
      </c>
      <c r="V2586" t="s">
        <v>50863</v>
      </c>
      <c r="W2586" t="s">
        <v>50864</v>
      </c>
      <c r="X2586" t="s">
        <v>50865</v>
      </c>
      <c r="Y2586" t="s">
        <v>50866</v>
      </c>
    </row>
    <row r="2587" spans="1:25" x14ac:dyDescent="0.3">
      <c r="A2587">
        <v>129300</v>
      </c>
      <c r="B2587" t="s">
        <v>50867</v>
      </c>
      <c r="C2587" t="s">
        <v>50868</v>
      </c>
      <c r="D2587" t="s">
        <v>50869</v>
      </c>
      <c r="E2587" t="s">
        <v>50870</v>
      </c>
      <c r="F2587" t="s">
        <v>50871</v>
      </c>
      <c r="G2587" t="s">
        <v>50872</v>
      </c>
      <c r="H2587" t="s">
        <v>50873</v>
      </c>
      <c r="I2587" t="s">
        <v>50874</v>
      </c>
      <c r="J2587" t="s">
        <v>50875</v>
      </c>
      <c r="K2587" t="s">
        <v>50876</v>
      </c>
      <c r="L2587" t="s">
        <v>50877</v>
      </c>
      <c r="M2587" t="s">
        <v>50878</v>
      </c>
      <c r="N2587" t="s">
        <v>50879</v>
      </c>
      <c r="O2587">
        <f>-594.165576941241 -114.570195750227 -736.01998606662</f>
        <v>-1444.7557587580882</v>
      </c>
      <c r="P2587">
        <f>-591.222585452083 -102.039776009194 -419.759711117472</f>
        <v>-1113.022072578749</v>
      </c>
      <c r="Q2587">
        <f>-342.056349447996 -27.6207542836562 -424.236916968476</f>
        <v>-793.91402070012828</v>
      </c>
      <c r="R2587" t="s">
        <v>50880</v>
      </c>
      <c r="S2587" t="s">
        <v>50881</v>
      </c>
      <c r="T2587" t="s">
        <v>50882</v>
      </c>
      <c r="U2587" t="s">
        <v>50883</v>
      </c>
      <c r="V2587" t="s">
        <v>50884</v>
      </c>
      <c r="W2587" t="s">
        <v>50885</v>
      </c>
      <c r="X2587" t="s">
        <v>50886</v>
      </c>
      <c r="Y2587" t="s">
        <v>50887</v>
      </c>
    </row>
    <row r="2588" spans="1:25" x14ac:dyDescent="0.3">
      <c r="A2588">
        <v>129350</v>
      </c>
      <c r="B2588" t="s">
        <v>50888</v>
      </c>
      <c r="C2588" t="s">
        <v>50889</v>
      </c>
      <c r="D2588" t="s">
        <v>50890</v>
      </c>
      <c r="E2588" t="s">
        <v>50891</v>
      </c>
      <c r="F2588" t="s">
        <v>50892</v>
      </c>
      <c r="G2588" t="s">
        <v>50893</v>
      </c>
      <c r="H2588" t="s">
        <v>50894</v>
      </c>
      <c r="I2588" t="s">
        <v>50895</v>
      </c>
      <c r="J2588" t="s">
        <v>50896</v>
      </c>
      <c r="K2588" t="s">
        <v>50897</v>
      </c>
      <c r="L2588" t="s">
        <v>50898</v>
      </c>
      <c r="M2588" t="s">
        <v>50899</v>
      </c>
      <c r="N2588" t="s">
        <v>50900</v>
      </c>
      <c r="O2588">
        <f>-594.749388950805 -114.877292848813 -735.72145804337</f>
        <v>-1445.3481398429881</v>
      </c>
      <c r="P2588">
        <f>-591.99215428553 -102.045685116849 -419.471697265265</f>
        <v>-1113.5095366676439</v>
      </c>
      <c r="Q2588">
        <f>-342.550052109396 -28.487156990405 -422.604783935281</f>
        <v>-793.64199303508201</v>
      </c>
      <c r="R2588" t="s">
        <v>50901</v>
      </c>
      <c r="S2588" t="s">
        <v>50902</v>
      </c>
      <c r="T2588" t="s">
        <v>50903</v>
      </c>
      <c r="U2588" t="s">
        <v>50904</v>
      </c>
      <c r="V2588" t="s">
        <v>50905</v>
      </c>
      <c r="W2588" t="s">
        <v>50906</v>
      </c>
      <c r="X2588" t="s">
        <v>50907</v>
      </c>
      <c r="Y2588" t="s">
        <v>50908</v>
      </c>
    </row>
    <row r="2589" spans="1:25" x14ac:dyDescent="0.3">
      <c r="A2589">
        <v>129400</v>
      </c>
      <c r="B2589" t="s">
        <v>50909</v>
      </c>
      <c r="C2589" t="s">
        <v>50910</v>
      </c>
      <c r="D2589" t="s">
        <v>50911</v>
      </c>
      <c r="E2589" t="s">
        <v>50912</v>
      </c>
      <c r="F2589" t="s">
        <v>50913</v>
      </c>
      <c r="G2589" t="s">
        <v>50914</v>
      </c>
      <c r="H2589" t="s">
        <v>50915</v>
      </c>
      <c r="I2589" t="s">
        <v>50916</v>
      </c>
      <c r="J2589" t="s">
        <v>50917</v>
      </c>
      <c r="K2589" t="s">
        <v>50918</v>
      </c>
      <c r="L2589" t="s">
        <v>50919</v>
      </c>
      <c r="M2589" t="s">
        <v>50920</v>
      </c>
      <c r="N2589" t="s">
        <v>50921</v>
      </c>
      <c r="O2589">
        <f>-594.801943462491 -115.035233876381 -735.461018253182</f>
        <v>-1445.2981955920541</v>
      </c>
      <c r="P2589">
        <f>-592.225255725968 -101.802280125655 -419.226353669726</f>
        <v>-1113.253889521349</v>
      </c>
      <c r="Q2589">
        <f>-342.668734199348 -28.6086517982703 -421.733483595459</f>
        <v>-793.01086959307736</v>
      </c>
      <c r="R2589" t="s">
        <v>50922</v>
      </c>
      <c r="S2589" t="s">
        <v>50923</v>
      </c>
      <c r="T2589" t="s">
        <v>50924</v>
      </c>
      <c r="U2589" t="s">
        <v>50925</v>
      </c>
      <c r="V2589" t="s">
        <v>50926</v>
      </c>
      <c r="W2589" t="s">
        <v>50927</v>
      </c>
      <c r="X2589" t="s">
        <v>50928</v>
      </c>
      <c r="Y2589" t="s">
        <v>50929</v>
      </c>
    </row>
    <row r="2590" spans="1:25" x14ac:dyDescent="0.3">
      <c r="A2590">
        <v>129450</v>
      </c>
      <c r="B2590" t="s">
        <v>50930</v>
      </c>
      <c r="C2590" t="s">
        <v>50931</v>
      </c>
      <c r="D2590" t="s">
        <v>50932</v>
      </c>
      <c r="E2590" t="s">
        <v>50933</v>
      </c>
      <c r="F2590" t="s">
        <v>50934</v>
      </c>
      <c r="G2590" t="s">
        <v>50935</v>
      </c>
      <c r="H2590" t="s">
        <v>50936</v>
      </c>
      <c r="I2590" t="s">
        <v>50937</v>
      </c>
      <c r="J2590" t="s">
        <v>50938</v>
      </c>
      <c r="K2590" t="s">
        <v>50939</v>
      </c>
      <c r="L2590" t="s">
        <v>50940</v>
      </c>
      <c r="M2590" t="s">
        <v>50941</v>
      </c>
      <c r="N2590" t="s">
        <v>50942</v>
      </c>
      <c r="O2590">
        <f>-595.62027574472 -115.009534034573 -735.14861334689</f>
        <v>-1445.778423126183</v>
      </c>
      <c r="P2590">
        <f>-593.106810408242 -100.561936404136 -418.966438890351</f>
        <v>-1112.6351857027289</v>
      </c>
      <c r="Q2590">
        <f>-343.396501841605 -27.8608186017891 -420.133556260496</f>
        <v>-791.39087670389017</v>
      </c>
      <c r="R2590" t="s">
        <v>50943</v>
      </c>
      <c r="S2590" t="s">
        <v>50944</v>
      </c>
      <c r="T2590" t="s">
        <v>50945</v>
      </c>
      <c r="U2590" t="s">
        <v>50946</v>
      </c>
      <c r="V2590" t="s">
        <v>50947</v>
      </c>
      <c r="W2590" t="s">
        <v>50948</v>
      </c>
      <c r="X2590" t="s">
        <v>50949</v>
      </c>
      <c r="Y2590" t="s">
        <v>50950</v>
      </c>
    </row>
    <row r="2591" spans="1:25" x14ac:dyDescent="0.3">
      <c r="A2591">
        <v>129500</v>
      </c>
      <c r="B2591" t="s">
        <v>50951</v>
      </c>
      <c r="C2591" t="s">
        <v>50952</v>
      </c>
      <c r="D2591" t="s">
        <v>50953</v>
      </c>
      <c r="E2591" t="s">
        <v>50954</v>
      </c>
      <c r="F2591" t="s">
        <v>50955</v>
      </c>
      <c r="G2591" t="s">
        <v>50956</v>
      </c>
      <c r="H2591" t="s">
        <v>50957</v>
      </c>
      <c r="I2591" t="s">
        <v>50958</v>
      </c>
      <c r="J2591" t="s">
        <v>50959</v>
      </c>
      <c r="K2591" t="s">
        <v>50960</v>
      </c>
      <c r="L2591" t="s">
        <v>50961</v>
      </c>
      <c r="M2591" t="s">
        <v>50962</v>
      </c>
      <c r="N2591" t="s">
        <v>50963</v>
      </c>
      <c r="O2591">
        <f>-595.847870686672 -114.74722621797 -735.144864867151</f>
        <v>-1445.7399617717929</v>
      </c>
      <c r="P2591">
        <f>-593.683271972072 -99.7427654856202 -418.986087011604</f>
        <v>-1112.4121244692963</v>
      </c>
      <c r="Q2591">
        <f>-344.022433443207 -26.8669628021527 -419.781499329508</f>
        <v>-790.6708955748677</v>
      </c>
      <c r="R2591" t="s">
        <v>50964</v>
      </c>
      <c r="S2591" t="s">
        <v>50965</v>
      </c>
      <c r="T2591" t="s">
        <v>50966</v>
      </c>
      <c r="U2591" t="s">
        <v>50967</v>
      </c>
      <c r="V2591" t="s">
        <v>50968</v>
      </c>
      <c r="W2591" t="s">
        <v>50969</v>
      </c>
      <c r="X2591" t="s">
        <v>50970</v>
      </c>
      <c r="Y2591" t="s">
        <v>50971</v>
      </c>
    </row>
    <row r="2592" spans="1:25" x14ac:dyDescent="0.3">
      <c r="A2592">
        <v>129550</v>
      </c>
      <c r="B2592" t="s">
        <v>50972</v>
      </c>
      <c r="C2592" t="s">
        <v>50973</v>
      </c>
      <c r="D2592" t="s">
        <v>50974</v>
      </c>
      <c r="E2592" t="s">
        <v>50975</v>
      </c>
      <c r="F2592" t="s">
        <v>50976</v>
      </c>
      <c r="G2592" t="s">
        <v>50977</v>
      </c>
      <c r="H2592" t="s">
        <v>50978</v>
      </c>
      <c r="I2592" t="s">
        <v>50979</v>
      </c>
      <c r="J2592" t="s">
        <v>50980</v>
      </c>
      <c r="K2592" t="s">
        <v>50981</v>
      </c>
      <c r="L2592" t="s">
        <v>50982</v>
      </c>
      <c r="M2592" t="s">
        <v>50983</v>
      </c>
      <c r="N2592" t="s">
        <v>50984</v>
      </c>
      <c r="O2592">
        <f>-597.017036890499 -113.809131343816 -735.273163114919</f>
        <v>-1446.099331349234</v>
      </c>
      <c r="P2592">
        <f>-595.63106618478 -98.5239280342745 -419.123355090759</f>
        <v>-1113.2783493098136</v>
      </c>
      <c r="Q2592">
        <f>-345.893797452528 -25.9067819685335 -418.787147231427</f>
        <v>-790.58772665248853</v>
      </c>
      <c r="R2592" t="s">
        <v>50985</v>
      </c>
      <c r="S2592" t="s">
        <v>50986</v>
      </c>
      <c r="T2592" t="s">
        <v>50987</v>
      </c>
      <c r="U2592" t="s">
        <v>50988</v>
      </c>
      <c r="V2592" t="s">
        <v>50989</v>
      </c>
      <c r="W2592" t="s">
        <v>50990</v>
      </c>
      <c r="X2592" t="s">
        <v>50991</v>
      </c>
      <c r="Y2592" t="s">
        <v>50992</v>
      </c>
    </row>
    <row r="2593" spans="1:25" x14ac:dyDescent="0.3">
      <c r="A2593">
        <v>129600</v>
      </c>
      <c r="B2593" t="s">
        <v>50993</v>
      </c>
      <c r="C2593" t="s">
        <v>50994</v>
      </c>
      <c r="D2593" t="s">
        <v>50995</v>
      </c>
      <c r="E2593" t="s">
        <v>50996</v>
      </c>
      <c r="F2593" t="s">
        <v>50997</v>
      </c>
      <c r="G2593" t="s">
        <v>50998</v>
      </c>
      <c r="H2593" t="s">
        <v>50999</v>
      </c>
      <c r="I2593" t="s">
        <v>51000</v>
      </c>
      <c r="J2593" t="s">
        <v>51001</v>
      </c>
      <c r="K2593" t="s">
        <v>51002</v>
      </c>
      <c r="L2593" t="s">
        <v>51003</v>
      </c>
      <c r="M2593" t="s">
        <v>51004</v>
      </c>
      <c r="N2593" t="s">
        <v>51005</v>
      </c>
      <c r="O2593">
        <f>-597.599974619379 -113.542252411638 -735.416189537465</f>
        <v>-1446.558416568482</v>
      </c>
      <c r="P2593">
        <f>-596.953872153241 -98.0651140772848 -419.273438088396</f>
        <v>-1114.2924243189218</v>
      </c>
      <c r="Q2593">
        <f>-347.116803793141 -25.795021126901 -418.539066173778</f>
        <v>-791.45089109382002</v>
      </c>
      <c r="R2593" t="s">
        <v>51006</v>
      </c>
      <c r="S2593" t="s">
        <v>51007</v>
      </c>
      <c r="T2593" t="s">
        <v>51008</v>
      </c>
      <c r="U2593" t="s">
        <v>51009</v>
      </c>
      <c r="V2593" t="s">
        <v>51010</v>
      </c>
      <c r="W2593" t="s">
        <v>51011</v>
      </c>
      <c r="X2593" t="s">
        <v>51012</v>
      </c>
      <c r="Y2593" t="s">
        <v>51013</v>
      </c>
    </row>
    <row r="2594" spans="1:25" x14ac:dyDescent="0.3">
      <c r="A2594">
        <v>129650</v>
      </c>
      <c r="B2594" t="s">
        <v>51014</v>
      </c>
      <c r="C2594" t="s">
        <v>51015</v>
      </c>
      <c r="D2594" t="s">
        <v>51016</v>
      </c>
      <c r="E2594" t="s">
        <v>51017</v>
      </c>
      <c r="F2594" t="s">
        <v>51018</v>
      </c>
      <c r="G2594" t="s">
        <v>51019</v>
      </c>
      <c r="H2594" t="s">
        <v>51020</v>
      </c>
      <c r="I2594" t="s">
        <v>51021</v>
      </c>
      <c r="J2594" t="s">
        <v>51022</v>
      </c>
      <c r="K2594" t="s">
        <v>51023</v>
      </c>
      <c r="L2594" t="s">
        <v>51024</v>
      </c>
      <c r="M2594" t="s">
        <v>51025</v>
      </c>
      <c r="N2594" t="s">
        <v>51026</v>
      </c>
      <c r="O2594">
        <f>-597.741714019331 -113.384244578503 -735.807295651514</f>
        <v>-1446.933254249348</v>
      </c>
      <c r="P2594">
        <f>-598.378291829227 -97.7828683077927 -419.670652110976</f>
        <v>-1115.8318122479957</v>
      </c>
      <c r="Q2594">
        <f>-348.283233096776 -26.4386492251644 -417.546321640292</f>
        <v>-792.26820396223229</v>
      </c>
      <c r="R2594" t="s">
        <v>51027</v>
      </c>
      <c r="S2594" t="s">
        <v>51028</v>
      </c>
      <c r="T2594" t="s">
        <v>51029</v>
      </c>
      <c r="U2594" t="s">
        <v>51030</v>
      </c>
      <c r="V2594" t="s">
        <v>51031</v>
      </c>
      <c r="W2594" t="s">
        <v>51032</v>
      </c>
      <c r="X2594" t="s">
        <v>51033</v>
      </c>
      <c r="Y2594" t="s">
        <v>51034</v>
      </c>
    </row>
    <row r="2595" spans="1:25" x14ac:dyDescent="0.3">
      <c r="A2595">
        <v>129700</v>
      </c>
      <c r="B2595" t="s">
        <v>51035</v>
      </c>
      <c r="C2595" t="s">
        <v>51036</v>
      </c>
      <c r="D2595" t="s">
        <v>51037</v>
      </c>
      <c r="E2595" t="s">
        <v>51038</v>
      </c>
      <c r="F2595" t="s">
        <v>51039</v>
      </c>
      <c r="G2595" t="s">
        <v>51040</v>
      </c>
      <c r="H2595" t="s">
        <v>51041</v>
      </c>
      <c r="I2595" t="s">
        <v>51042</v>
      </c>
      <c r="J2595" t="s">
        <v>51043</v>
      </c>
      <c r="K2595" t="s">
        <v>51044</v>
      </c>
      <c r="L2595" t="s">
        <v>51045</v>
      </c>
      <c r="M2595" t="s">
        <v>51046</v>
      </c>
      <c r="N2595" t="s">
        <v>51047</v>
      </c>
      <c r="O2595">
        <f>-597.510749926147 -113.424513433536 -735.973462926708</f>
        <v>-1446.9087262863909</v>
      </c>
      <c r="P2595">
        <f>-598.916647831233 -97.4159071037334 -419.859587696112</f>
        <v>-1116.1921426310785</v>
      </c>
      <c r="Q2595">
        <f>-348.667440974944 -26.6497677448024 -416.772418671437</f>
        <v>-792.08962739118328</v>
      </c>
      <c r="R2595" t="s">
        <v>51048</v>
      </c>
      <c r="S2595" t="s">
        <v>51049</v>
      </c>
      <c r="T2595" t="s">
        <v>51050</v>
      </c>
      <c r="U2595" t="s">
        <v>51051</v>
      </c>
      <c r="V2595" t="s">
        <v>51052</v>
      </c>
      <c r="W2595" t="s">
        <v>51053</v>
      </c>
      <c r="X2595" t="s">
        <v>51054</v>
      </c>
      <c r="Y2595" t="s">
        <v>51055</v>
      </c>
    </row>
    <row r="2596" spans="1:25" x14ac:dyDescent="0.3">
      <c r="A2596">
        <v>129750</v>
      </c>
      <c r="B2596" t="s">
        <v>51056</v>
      </c>
      <c r="C2596" t="s">
        <v>51057</v>
      </c>
      <c r="D2596" t="s">
        <v>51058</v>
      </c>
      <c r="E2596" t="s">
        <v>51059</v>
      </c>
      <c r="F2596" t="s">
        <v>51060</v>
      </c>
      <c r="G2596" t="s">
        <v>51061</v>
      </c>
      <c r="H2596" t="s">
        <v>51062</v>
      </c>
      <c r="I2596" t="s">
        <v>51063</v>
      </c>
      <c r="J2596" t="s">
        <v>51064</v>
      </c>
      <c r="K2596" t="s">
        <v>51065</v>
      </c>
      <c r="L2596" t="s">
        <v>51066</v>
      </c>
      <c r="M2596" t="s">
        <v>51067</v>
      </c>
      <c r="N2596" t="s">
        <v>51068</v>
      </c>
      <c r="O2596">
        <f>-596.482679234003 -114.610659793545 -735.955749221223</f>
        <v>-1447.0490882487709</v>
      </c>
      <c r="P2596">
        <f>-599.4552470407 -98.117161820535 -419.877774783614</f>
        <v>-1117.4501836448489</v>
      </c>
      <c r="Q2596">
        <f>-349.530567744819 -26.2863369051767 -415.400784862864</f>
        <v>-791.21768951285969</v>
      </c>
      <c r="R2596" t="s">
        <v>51069</v>
      </c>
      <c r="S2596" t="s">
        <v>51070</v>
      </c>
      <c r="T2596" t="s">
        <v>51071</v>
      </c>
      <c r="U2596" t="s">
        <v>51072</v>
      </c>
      <c r="V2596" t="s">
        <v>51073</v>
      </c>
      <c r="W2596" t="s">
        <v>51074</v>
      </c>
      <c r="X2596" t="s">
        <v>51075</v>
      </c>
      <c r="Y2596" t="s">
        <v>51076</v>
      </c>
    </row>
    <row r="2597" spans="1:25" x14ac:dyDescent="0.3">
      <c r="A2597">
        <v>129800</v>
      </c>
      <c r="B2597" t="s">
        <v>51077</v>
      </c>
      <c r="C2597" t="s">
        <v>51078</v>
      </c>
      <c r="D2597" t="s">
        <v>51079</v>
      </c>
      <c r="E2597" t="s">
        <v>51080</v>
      </c>
      <c r="F2597" t="s">
        <v>51081</v>
      </c>
      <c r="G2597" t="s">
        <v>51082</v>
      </c>
      <c r="H2597" t="s">
        <v>51083</v>
      </c>
      <c r="I2597" t="s">
        <v>51084</v>
      </c>
      <c r="J2597" t="s">
        <v>51085</v>
      </c>
      <c r="K2597" t="s">
        <v>51086</v>
      </c>
      <c r="L2597" t="s">
        <v>51087</v>
      </c>
      <c r="M2597" t="s">
        <v>51088</v>
      </c>
      <c r="N2597" t="s">
        <v>51089</v>
      </c>
      <c r="O2597">
        <f>-596.393913583724 -115.344986673075 -735.835604214937</f>
        <v>-1447.574504471736</v>
      </c>
      <c r="P2597">
        <f>-599.82599127408 -98.7032390602834 -419.77011742031</f>
        <v>-1118.2993477546734</v>
      </c>
      <c r="Q2597">
        <f>-350.266137736409 -25.6266273986293 -415.104550189847</f>
        <v>-790.99731532488522</v>
      </c>
      <c r="R2597" t="s">
        <v>51090</v>
      </c>
      <c r="S2597" t="s">
        <v>51091</v>
      </c>
      <c r="T2597" t="s">
        <v>51092</v>
      </c>
      <c r="U2597" t="s">
        <v>51093</v>
      </c>
      <c r="V2597" t="s">
        <v>51094</v>
      </c>
      <c r="W2597" t="s">
        <v>51095</v>
      </c>
      <c r="X2597" t="s">
        <v>51096</v>
      </c>
      <c r="Y2597" t="s">
        <v>51097</v>
      </c>
    </row>
    <row r="2598" spans="1:25" x14ac:dyDescent="0.3">
      <c r="A2598">
        <v>129850</v>
      </c>
      <c r="B2598" t="s">
        <v>51098</v>
      </c>
      <c r="C2598" t="s">
        <v>51099</v>
      </c>
      <c r="D2598" t="s">
        <v>51100</v>
      </c>
      <c r="E2598" t="s">
        <v>51101</v>
      </c>
      <c r="F2598" t="s">
        <v>51102</v>
      </c>
      <c r="G2598" t="s">
        <v>51103</v>
      </c>
      <c r="H2598" t="s">
        <v>51104</v>
      </c>
      <c r="I2598" t="s">
        <v>51105</v>
      </c>
      <c r="J2598" t="s">
        <v>51106</v>
      </c>
      <c r="K2598" t="s">
        <v>51107</v>
      </c>
      <c r="L2598" t="s">
        <v>51108</v>
      </c>
      <c r="M2598" t="s">
        <v>51109</v>
      </c>
      <c r="N2598" t="s">
        <v>51110</v>
      </c>
      <c r="O2598">
        <f>-596.7153865258 -115.98080657277 -735.596620714108</f>
        <v>-1448.2928138126781</v>
      </c>
      <c r="P2598">
        <f>-599.76244361728 -99.2145672706584 -419.533697958105</f>
        <v>-1118.5107088460436</v>
      </c>
      <c r="Q2598">
        <f>-350.900753280502 -23.791282982153 -414.925947587209</f>
        <v>-789.617983849864</v>
      </c>
      <c r="R2598" t="s">
        <v>51111</v>
      </c>
      <c r="S2598" t="s">
        <v>51112</v>
      </c>
      <c r="T2598" t="s">
        <v>51113</v>
      </c>
      <c r="U2598" t="s">
        <v>51114</v>
      </c>
      <c r="V2598" t="s">
        <v>51115</v>
      </c>
      <c r="W2598" t="s">
        <v>51116</v>
      </c>
      <c r="X2598" t="s">
        <v>51117</v>
      </c>
      <c r="Y2598" t="s">
        <v>51118</v>
      </c>
    </row>
    <row r="2599" spans="1:25" x14ac:dyDescent="0.3">
      <c r="A2599">
        <v>129900</v>
      </c>
      <c r="B2599" t="s">
        <v>51119</v>
      </c>
      <c r="C2599" t="s">
        <v>51120</v>
      </c>
      <c r="D2599" t="s">
        <v>51121</v>
      </c>
      <c r="E2599" t="s">
        <v>51122</v>
      </c>
      <c r="F2599" t="s">
        <v>51123</v>
      </c>
      <c r="G2599" t="s">
        <v>51124</v>
      </c>
      <c r="H2599" t="s">
        <v>51125</v>
      </c>
      <c r="I2599" t="s">
        <v>51126</v>
      </c>
      <c r="J2599" t="s">
        <v>51127</v>
      </c>
      <c r="K2599" t="s">
        <v>51128</v>
      </c>
      <c r="L2599" t="s">
        <v>51129</v>
      </c>
      <c r="M2599" t="s">
        <v>51130</v>
      </c>
      <c r="N2599" t="s">
        <v>51131</v>
      </c>
      <c r="O2599">
        <f>-596.988644915197 -116.193154882092 -735.530816773611</f>
        <v>-1448.7126165709001</v>
      </c>
      <c r="P2599">
        <f>-599.487664854744 -99.3609028023476 -419.46654052173</f>
        <v>-1118.3151081788217</v>
      </c>
      <c r="Q2599">
        <f>-350.815183491882 -23.3153803175538 -414.867491108571</f>
        <v>-788.9980549180068</v>
      </c>
      <c r="R2599" t="s">
        <v>51132</v>
      </c>
      <c r="S2599" t="s">
        <v>51133</v>
      </c>
      <c r="T2599" t="s">
        <v>51134</v>
      </c>
      <c r="U2599" t="s">
        <v>51135</v>
      </c>
      <c r="V2599" t="s">
        <v>51136</v>
      </c>
      <c r="W2599" t="s">
        <v>51137</v>
      </c>
      <c r="X2599" t="s">
        <v>51138</v>
      </c>
      <c r="Y2599" t="s">
        <v>51139</v>
      </c>
    </row>
    <row r="2600" spans="1:25" x14ac:dyDescent="0.3">
      <c r="A2600">
        <v>129950</v>
      </c>
      <c r="B2600" t="s">
        <v>51140</v>
      </c>
      <c r="C2600" t="s">
        <v>51141</v>
      </c>
      <c r="D2600" t="s">
        <v>51142</v>
      </c>
      <c r="E2600" t="s">
        <v>51143</v>
      </c>
      <c r="F2600" t="s">
        <v>51144</v>
      </c>
      <c r="G2600" t="s">
        <v>51145</v>
      </c>
      <c r="H2600" t="s">
        <v>51146</v>
      </c>
      <c r="I2600" t="s">
        <v>51147</v>
      </c>
      <c r="J2600" t="s">
        <v>51148</v>
      </c>
      <c r="K2600" t="s">
        <v>51149</v>
      </c>
      <c r="L2600" t="s">
        <v>51150</v>
      </c>
      <c r="M2600" t="s">
        <v>51151</v>
      </c>
      <c r="N2600" t="s">
        <v>51152</v>
      </c>
      <c r="O2600">
        <f>-597.518901006104 -115.664603343028 -735.70577517359</f>
        <v>-1448.8892795227221</v>
      </c>
      <c r="P2600">
        <f>-599.499686844335 -99.4258605164867 -419.606753551519</f>
        <v>-1118.5323009123406</v>
      </c>
      <c r="Q2600">
        <f>-350.92462261241 -23.051320870738 -415.202446060403</f>
        <v>-789.17838954355102</v>
      </c>
      <c r="R2600" t="s">
        <v>51153</v>
      </c>
      <c r="S2600" t="s">
        <v>51154</v>
      </c>
      <c r="T2600" t="s">
        <v>51155</v>
      </c>
      <c r="U2600" t="s">
        <v>51156</v>
      </c>
      <c r="V2600" t="s">
        <v>51157</v>
      </c>
      <c r="W2600" t="s">
        <v>51158</v>
      </c>
      <c r="X2600" t="s">
        <v>51159</v>
      </c>
      <c r="Y2600" t="s">
        <v>51160</v>
      </c>
    </row>
    <row r="2601" spans="1:25" x14ac:dyDescent="0.3">
      <c r="A2601">
        <v>130000</v>
      </c>
      <c r="B2601" t="s">
        <v>51161</v>
      </c>
      <c r="C2601" t="s">
        <v>51162</v>
      </c>
      <c r="D2601" t="s">
        <v>51163</v>
      </c>
      <c r="E2601" t="s">
        <v>51164</v>
      </c>
      <c r="F2601" t="s">
        <v>51165</v>
      </c>
      <c r="G2601" t="s">
        <v>51166</v>
      </c>
      <c r="H2601" t="s">
        <v>51167</v>
      </c>
      <c r="I2601" t="s">
        <v>51168</v>
      </c>
      <c r="J2601" t="s">
        <v>51169</v>
      </c>
      <c r="K2601" t="s">
        <v>51170</v>
      </c>
      <c r="L2601" t="s">
        <v>51171</v>
      </c>
      <c r="M2601" t="s">
        <v>51172</v>
      </c>
      <c r="N2601" t="s">
        <v>51173</v>
      </c>
      <c r="O2601">
        <f>-597.968873056078 -115.136459010571 -735.830746695465</f>
        <v>-1448.936078762114</v>
      </c>
      <c r="P2601">
        <f>-599.846900576233 -99.4517942486883 -419.703217899658</f>
        <v>-1119.0019127245794</v>
      </c>
      <c r="Q2601">
        <f>-351.081250096704 -23.6970995095117 -415.350795675317</f>
        <v>-790.12914528153271</v>
      </c>
      <c r="R2601" t="s">
        <v>51174</v>
      </c>
      <c r="S2601" t="s">
        <v>51175</v>
      </c>
      <c r="T2601" t="s">
        <v>51176</v>
      </c>
      <c r="U2601" t="s">
        <v>51177</v>
      </c>
      <c r="V2601" t="s">
        <v>51178</v>
      </c>
      <c r="W2601" t="s">
        <v>51179</v>
      </c>
      <c r="X2601" t="s">
        <v>51180</v>
      </c>
      <c r="Y2601" t="s">
        <v>51181</v>
      </c>
    </row>
    <row r="2602" spans="1:25" x14ac:dyDescent="0.3">
      <c r="A2602">
        <v>130050</v>
      </c>
      <c r="B2602" t="s">
        <v>51182</v>
      </c>
      <c r="C2602" t="s">
        <v>51183</v>
      </c>
      <c r="D2602" t="s">
        <v>51184</v>
      </c>
      <c r="E2602" t="s">
        <v>51185</v>
      </c>
      <c r="F2602" t="s">
        <v>51186</v>
      </c>
      <c r="G2602" t="s">
        <v>51187</v>
      </c>
      <c r="H2602" t="s">
        <v>51188</v>
      </c>
      <c r="I2602" t="s">
        <v>51189</v>
      </c>
      <c r="J2602" t="s">
        <v>51190</v>
      </c>
      <c r="K2602" t="s">
        <v>51191</v>
      </c>
      <c r="L2602" t="s">
        <v>51192</v>
      </c>
      <c r="M2602" t="s">
        <v>51193</v>
      </c>
      <c r="N2602" t="s">
        <v>51194</v>
      </c>
      <c r="O2602">
        <f>-598.86151247355 -113.888570071208 -736.12435379569</f>
        <v>-1448.874436340448</v>
      </c>
      <c r="P2602">
        <f>-600.850676743407 -98.5923966425276 -419.978448248408</f>
        <v>-1119.4215216343428</v>
      </c>
      <c r="Q2602">
        <f>-351.29563489841 -25.4957521345999 -415.373559423964</f>
        <v>-792.16494645697389</v>
      </c>
      <c r="R2602" t="s">
        <v>51195</v>
      </c>
      <c r="S2602" t="s">
        <v>51196</v>
      </c>
      <c r="T2602" t="s">
        <v>51197</v>
      </c>
      <c r="U2602" t="s">
        <v>51198</v>
      </c>
      <c r="V2602" t="s">
        <v>51199</v>
      </c>
      <c r="W2602" t="s">
        <v>51200</v>
      </c>
      <c r="X2602" t="s">
        <v>51201</v>
      </c>
      <c r="Y2602" t="s">
        <v>51202</v>
      </c>
    </row>
    <row r="2603" spans="1:25" x14ac:dyDescent="0.3">
      <c r="A2603">
        <v>130100</v>
      </c>
      <c r="B2603" t="s">
        <v>51203</v>
      </c>
      <c r="C2603" t="s">
        <v>51204</v>
      </c>
      <c r="D2603" t="s">
        <v>51205</v>
      </c>
      <c r="E2603" t="s">
        <v>51206</v>
      </c>
      <c r="F2603" t="s">
        <v>51207</v>
      </c>
      <c r="G2603" t="s">
        <v>51208</v>
      </c>
      <c r="H2603" t="s">
        <v>51209</v>
      </c>
      <c r="I2603" t="s">
        <v>51210</v>
      </c>
      <c r="J2603" t="s">
        <v>51211</v>
      </c>
      <c r="K2603" t="s">
        <v>51212</v>
      </c>
      <c r="L2603" t="s">
        <v>51213</v>
      </c>
      <c r="M2603" t="s">
        <v>51214</v>
      </c>
      <c r="N2603" t="s">
        <v>51215</v>
      </c>
      <c r="O2603">
        <f>-598.886843196745 -113.292569409978 -736.264842411374</f>
        <v>-1448.444255018097</v>
      </c>
      <c r="P2603">
        <f>-601.035023651708 -98.1537880889472 -420.112348322565</f>
        <v>-1119.3011600632203</v>
      </c>
      <c r="Q2603">
        <f>-351.035716979474 -26.6121653742359 -415.195085809655</f>
        <v>-792.84296816336484</v>
      </c>
      <c r="R2603" t="s">
        <v>51216</v>
      </c>
      <c r="S2603" t="s">
        <v>51217</v>
      </c>
      <c r="T2603" t="s">
        <v>51218</v>
      </c>
      <c r="U2603" t="s">
        <v>51219</v>
      </c>
      <c r="V2603" t="s">
        <v>51220</v>
      </c>
      <c r="W2603" t="s">
        <v>51221</v>
      </c>
      <c r="X2603" t="s">
        <v>51222</v>
      </c>
      <c r="Y2603" t="s">
        <v>51223</v>
      </c>
    </row>
    <row r="2604" spans="1:25" x14ac:dyDescent="0.3">
      <c r="A2604">
        <v>130150</v>
      </c>
      <c r="B2604" t="s">
        <v>51224</v>
      </c>
      <c r="C2604" t="s">
        <v>51225</v>
      </c>
      <c r="D2604" t="s">
        <v>51226</v>
      </c>
      <c r="E2604" t="s">
        <v>51227</v>
      </c>
      <c r="F2604" t="s">
        <v>51228</v>
      </c>
      <c r="G2604" t="s">
        <v>51229</v>
      </c>
      <c r="H2604" t="s">
        <v>51230</v>
      </c>
      <c r="I2604" t="s">
        <v>51231</v>
      </c>
      <c r="J2604" t="s">
        <v>51232</v>
      </c>
      <c r="K2604" t="s">
        <v>51233</v>
      </c>
      <c r="L2604" t="s">
        <v>51234</v>
      </c>
      <c r="M2604" t="s">
        <v>51235</v>
      </c>
      <c r="N2604" t="s">
        <v>51236</v>
      </c>
      <c r="O2604">
        <f>-598.489369613581 -112.123060772851 -736.645112313786</f>
        <v>-1447.257542700218</v>
      </c>
      <c r="P2604">
        <f>-601.463034177009 -97.002235787166 -420.498401403181</f>
        <v>-1118.963671367356</v>
      </c>
      <c r="Q2604">
        <f>-350.880981100677 -27.586098301273 -414.832899032203</f>
        <v>-793.29997843415299</v>
      </c>
      <c r="R2604" t="s">
        <v>51237</v>
      </c>
      <c r="S2604" t="s">
        <v>51238</v>
      </c>
      <c r="T2604" t="s">
        <v>51239</v>
      </c>
      <c r="U2604" t="s">
        <v>51240</v>
      </c>
      <c r="V2604" t="s">
        <v>51241</v>
      </c>
      <c r="W2604" t="s">
        <v>51242</v>
      </c>
      <c r="X2604" t="s">
        <v>51243</v>
      </c>
      <c r="Y2604" t="s">
        <v>51244</v>
      </c>
    </row>
    <row r="2605" spans="1:25" x14ac:dyDescent="0.3">
      <c r="A2605">
        <v>130200</v>
      </c>
      <c r="B2605" t="s">
        <v>51245</v>
      </c>
      <c r="C2605" t="s">
        <v>51246</v>
      </c>
      <c r="D2605" t="s">
        <v>51247</v>
      </c>
      <c r="E2605" t="s">
        <v>51248</v>
      </c>
      <c r="F2605" t="s">
        <v>51249</v>
      </c>
      <c r="G2605" t="s">
        <v>51250</v>
      </c>
      <c r="H2605" t="s">
        <v>51251</v>
      </c>
      <c r="I2605" t="s">
        <v>51252</v>
      </c>
      <c r="J2605" t="s">
        <v>51253</v>
      </c>
      <c r="K2605" t="s">
        <v>51254</v>
      </c>
      <c r="L2605" t="s">
        <v>51255</v>
      </c>
      <c r="M2605" t="s">
        <v>51256</v>
      </c>
      <c r="N2605" t="s">
        <v>51257</v>
      </c>
      <c r="O2605">
        <f>-598.350466042715 -112.039579579882 -736.798132574989</f>
        <v>-1447.188178197586</v>
      </c>
      <c r="P2605">
        <f>-601.734116507687 -97.2033188149103 -420.642000472887</f>
        <v>-1119.5794357954842</v>
      </c>
      <c r="Q2605">
        <f>-351.042399124705 -28.2254772381278 -414.496911370598</f>
        <v>-793.76478773343081</v>
      </c>
      <c r="R2605" t="s">
        <v>51258</v>
      </c>
      <c r="S2605" t="s">
        <v>51259</v>
      </c>
      <c r="T2605" t="s">
        <v>51260</v>
      </c>
      <c r="U2605" t="s">
        <v>51261</v>
      </c>
      <c r="V2605" t="s">
        <v>51262</v>
      </c>
      <c r="W2605" t="s">
        <v>51263</v>
      </c>
      <c r="X2605" t="s">
        <v>51264</v>
      </c>
      <c r="Y2605" t="s">
        <v>51265</v>
      </c>
    </row>
    <row r="2606" spans="1:25" x14ac:dyDescent="0.3">
      <c r="A2606">
        <v>130250</v>
      </c>
      <c r="B2606" t="s">
        <v>51266</v>
      </c>
      <c r="C2606" t="s">
        <v>51267</v>
      </c>
      <c r="D2606" t="s">
        <v>51268</v>
      </c>
      <c r="E2606" t="s">
        <v>51269</v>
      </c>
      <c r="F2606" t="s">
        <v>51270</v>
      </c>
      <c r="G2606" t="s">
        <v>51271</v>
      </c>
      <c r="H2606" t="s">
        <v>51272</v>
      </c>
      <c r="I2606" t="s">
        <v>51273</v>
      </c>
      <c r="J2606" t="s">
        <v>51274</v>
      </c>
      <c r="K2606" t="s">
        <v>51275</v>
      </c>
      <c r="L2606" t="s">
        <v>51276</v>
      </c>
      <c r="M2606" t="s">
        <v>51277</v>
      </c>
      <c r="N2606" t="s">
        <v>51278</v>
      </c>
      <c r="O2606">
        <f>-597.464581485061 -111.646288061458 -736.995080574066</f>
        <v>-1446.105950120585</v>
      </c>
      <c r="P2606">
        <f>-601.519386150475 -96.9739959203519 -420.839351149197</f>
        <v>-1119.3327332200238</v>
      </c>
      <c r="Q2606">
        <f>-350.915268823859 -27.7637278895366 -413.797377434216</f>
        <v>-792.47637414761152</v>
      </c>
      <c r="R2606" t="s">
        <v>51279</v>
      </c>
      <c r="S2606" t="s">
        <v>51280</v>
      </c>
      <c r="T2606" t="s">
        <v>51281</v>
      </c>
      <c r="U2606" t="s">
        <v>51282</v>
      </c>
      <c r="V2606" t="s">
        <v>51283</v>
      </c>
      <c r="W2606" t="s">
        <v>51284</v>
      </c>
      <c r="X2606" t="s">
        <v>51285</v>
      </c>
      <c r="Y2606" t="s">
        <v>51286</v>
      </c>
    </row>
    <row r="2607" spans="1:25" x14ac:dyDescent="0.3">
      <c r="A2607">
        <v>130300</v>
      </c>
      <c r="B2607" t="s">
        <v>51287</v>
      </c>
      <c r="C2607" t="s">
        <v>51288</v>
      </c>
      <c r="D2607" t="s">
        <v>51289</v>
      </c>
      <c r="E2607" t="s">
        <v>51290</v>
      </c>
      <c r="F2607" t="s">
        <v>51291</v>
      </c>
      <c r="G2607" t="s">
        <v>51292</v>
      </c>
      <c r="H2607" t="s">
        <v>51293</v>
      </c>
      <c r="I2607" t="s">
        <v>51294</v>
      </c>
      <c r="J2607" t="s">
        <v>51295</v>
      </c>
      <c r="K2607" t="s">
        <v>51296</v>
      </c>
      <c r="L2607" t="s">
        <v>51297</v>
      </c>
      <c r="M2607" t="s">
        <v>51298</v>
      </c>
      <c r="N2607" t="s">
        <v>51299</v>
      </c>
      <c r="O2607">
        <f>-596.755696407587 -111.240027709227 -737.033067378319</f>
        <v>-1445.028791495133</v>
      </c>
      <c r="P2607">
        <f>-601.205512824195 -96.7170316639233 -420.875651986303</f>
        <v>-1118.7981964744213</v>
      </c>
      <c r="Q2607">
        <f>-350.823902968042 -26.7283583684731 -413.617160218296</f>
        <v>-791.16942155481115</v>
      </c>
      <c r="R2607" t="s">
        <v>51300</v>
      </c>
      <c r="S2607" t="s">
        <v>51301</v>
      </c>
      <c r="T2607" t="s">
        <v>51302</v>
      </c>
      <c r="U2607" t="s">
        <v>51303</v>
      </c>
      <c r="V2607" t="s">
        <v>51304</v>
      </c>
      <c r="W2607" t="s">
        <v>51305</v>
      </c>
      <c r="X2607" t="s">
        <v>51306</v>
      </c>
      <c r="Y2607" t="s">
        <v>51307</v>
      </c>
    </row>
    <row r="2608" spans="1:25" x14ac:dyDescent="0.3">
      <c r="A2608">
        <v>130350</v>
      </c>
      <c r="B2608" t="s">
        <v>51308</v>
      </c>
      <c r="C2608" t="s">
        <v>51309</v>
      </c>
      <c r="D2608" t="s">
        <v>51310</v>
      </c>
      <c r="E2608" t="s">
        <v>51311</v>
      </c>
      <c r="F2608" t="s">
        <v>51312</v>
      </c>
      <c r="G2608" t="s">
        <v>51313</v>
      </c>
      <c r="H2608" t="s">
        <v>51314</v>
      </c>
      <c r="I2608" t="s">
        <v>51315</v>
      </c>
      <c r="J2608" t="s">
        <v>51316</v>
      </c>
      <c r="K2608" t="s">
        <v>51317</v>
      </c>
      <c r="L2608" t="s">
        <v>51318</v>
      </c>
      <c r="M2608" t="s">
        <v>51319</v>
      </c>
      <c r="N2608" t="s">
        <v>51320</v>
      </c>
      <c r="O2608">
        <f>-594.801573907492 -110.890761145271 -737.276897273223</f>
        <v>-1442.969232325986</v>
      </c>
      <c r="P2608">
        <f>-599.562509211118 -96.8268434679966 -421.103146014959</f>
        <v>-1117.4924986940737</v>
      </c>
      <c r="Q2608">
        <f>-349.8537466335 -24.4955540613581 -413.635313397542</f>
        <v>-787.98461409240008</v>
      </c>
      <c r="R2608" t="s">
        <v>51321</v>
      </c>
      <c r="S2608" t="s">
        <v>51322</v>
      </c>
      <c r="T2608" t="s">
        <v>51323</v>
      </c>
      <c r="U2608" t="s">
        <v>51324</v>
      </c>
      <c r="V2608" t="s">
        <v>51325</v>
      </c>
      <c r="W2608" t="s">
        <v>51326</v>
      </c>
      <c r="X2608" t="s">
        <v>51327</v>
      </c>
      <c r="Y2608" t="s">
        <v>51328</v>
      </c>
    </row>
    <row r="2609" spans="1:25" x14ac:dyDescent="0.3">
      <c r="A2609">
        <v>130400</v>
      </c>
      <c r="B2609" t="s">
        <v>51329</v>
      </c>
      <c r="C2609" t="s">
        <v>51330</v>
      </c>
      <c r="D2609" t="s">
        <v>51331</v>
      </c>
      <c r="E2609" t="s">
        <v>51332</v>
      </c>
      <c r="F2609" t="s">
        <v>51333</v>
      </c>
      <c r="G2609" t="s">
        <v>51334</v>
      </c>
      <c r="H2609" t="s">
        <v>51335</v>
      </c>
      <c r="I2609" t="s">
        <v>51336</v>
      </c>
      <c r="J2609" t="s">
        <v>51337</v>
      </c>
      <c r="K2609" t="s">
        <v>51338</v>
      </c>
      <c r="L2609" t="s">
        <v>51339</v>
      </c>
      <c r="M2609" t="s">
        <v>51340</v>
      </c>
      <c r="N2609" t="s">
        <v>51341</v>
      </c>
      <c r="O2609">
        <f>-593.728249371493 -110.776575806409 -737.379135256271</f>
        <v>-1441.8839604341729</v>
      </c>
      <c r="P2609">
        <f>-598.566927535325 -97.1957121649697 -421.185743446454</f>
        <v>-1116.9483831467487</v>
      </c>
      <c r="Q2609">
        <f>-349.143359242202 -23.9002910055989 -413.589018785601</f>
        <v>-786.63266903340195</v>
      </c>
      <c r="R2609" t="s">
        <v>51342</v>
      </c>
      <c r="S2609" t="s">
        <v>51343</v>
      </c>
      <c r="T2609" t="s">
        <v>51344</v>
      </c>
      <c r="U2609" t="s">
        <v>51345</v>
      </c>
      <c r="V2609" t="s">
        <v>51346</v>
      </c>
      <c r="W2609" t="s">
        <v>51347</v>
      </c>
      <c r="X2609" t="s">
        <v>51348</v>
      </c>
      <c r="Y2609" t="s">
        <v>51349</v>
      </c>
    </row>
    <row r="2610" spans="1:25" x14ac:dyDescent="0.3">
      <c r="A2610">
        <v>130450</v>
      </c>
      <c r="B2610" t="s">
        <v>51350</v>
      </c>
      <c r="C2610" t="s">
        <v>51351</v>
      </c>
      <c r="D2610" t="s">
        <v>51352</v>
      </c>
      <c r="E2610" t="s">
        <v>51353</v>
      </c>
      <c r="F2610" t="s">
        <v>51354</v>
      </c>
      <c r="G2610" t="s">
        <v>51355</v>
      </c>
      <c r="H2610" t="s">
        <v>51356</v>
      </c>
      <c r="I2610" t="s">
        <v>51357</v>
      </c>
      <c r="J2610" t="s">
        <v>51358</v>
      </c>
      <c r="K2610" t="s">
        <v>51359</v>
      </c>
      <c r="L2610" t="s">
        <v>51360</v>
      </c>
      <c r="M2610" t="s">
        <v>51361</v>
      </c>
      <c r="N2610" t="s">
        <v>51362</v>
      </c>
      <c r="O2610">
        <f>-590.709018334939 -109.81077504548 -738.026871018518</f>
        <v>-1438.5466643989371</v>
      </c>
      <c r="P2610">
        <f>-595.817363813328 -96.620004189292 -421.821008940346</f>
        <v>-1114.2583769429662</v>
      </c>
      <c r="Q2610">
        <f>-346.702166965503 -22.2903371271887 -414.152863886282</f>
        <v>-783.1453679789737</v>
      </c>
      <c r="R2610" t="s">
        <v>51363</v>
      </c>
      <c r="S2610" t="s">
        <v>51364</v>
      </c>
      <c r="T2610" t="s">
        <v>51365</v>
      </c>
      <c r="U2610" t="s">
        <v>51366</v>
      </c>
      <c r="V2610" t="s">
        <v>51367</v>
      </c>
      <c r="W2610" t="s">
        <v>51368</v>
      </c>
      <c r="X2610" t="s">
        <v>51369</v>
      </c>
      <c r="Y2610" t="s">
        <v>51370</v>
      </c>
    </row>
    <row r="2611" spans="1:25" x14ac:dyDescent="0.3">
      <c r="A2611">
        <v>130500</v>
      </c>
      <c r="B2611" t="s">
        <v>51371</v>
      </c>
      <c r="C2611" t="s">
        <v>51372</v>
      </c>
      <c r="D2611" t="s">
        <v>51373</v>
      </c>
      <c r="E2611" t="s">
        <v>51374</v>
      </c>
      <c r="F2611" t="s">
        <v>51375</v>
      </c>
      <c r="G2611" t="s">
        <v>51376</v>
      </c>
      <c r="H2611" t="s">
        <v>51377</v>
      </c>
      <c r="I2611" t="s">
        <v>51378</v>
      </c>
      <c r="J2611" t="s">
        <v>51379</v>
      </c>
      <c r="K2611" t="s">
        <v>51380</v>
      </c>
      <c r="L2611" t="s">
        <v>51381</v>
      </c>
      <c r="M2611" t="s">
        <v>51382</v>
      </c>
      <c r="N2611" t="s">
        <v>51383</v>
      </c>
      <c r="O2611">
        <f>-589.353281017603 -109.048229597214 -738.291892365009</f>
        <v>-1436.6934029798258</v>
      </c>
      <c r="P2611">
        <f>-594.687352798422 -96.2034998354224 -422.075559919509</f>
        <v>-1112.9664125533534</v>
      </c>
      <c r="Q2611">
        <f>-345.647867814687 -21.5867760614207 -414.746064643725</f>
        <v>-781.98070851983266</v>
      </c>
      <c r="R2611" t="s">
        <v>51384</v>
      </c>
      <c r="S2611" t="s">
        <v>51385</v>
      </c>
      <c r="T2611" t="s">
        <v>51386</v>
      </c>
      <c r="U2611" t="s">
        <v>51387</v>
      </c>
      <c r="V2611" t="s">
        <v>51388</v>
      </c>
      <c r="W2611" t="s">
        <v>51389</v>
      </c>
      <c r="X2611" t="s">
        <v>51390</v>
      </c>
      <c r="Y2611" t="s">
        <v>51391</v>
      </c>
    </row>
    <row r="2612" spans="1:25" x14ac:dyDescent="0.3">
      <c r="A2612">
        <v>130550</v>
      </c>
      <c r="B2612" t="s">
        <v>51392</v>
      </c>
      <c r="C2612" t="s">
        <v>51393</v>
      </c>
      <c r="D2612" t="s">
        <v>51394</v>
      </c>
      <c r="E2612" t="s">
        <v>51395</v>
      </c>
      <c r="F2612" t="s">
        <v>51396</v>
      </c>
      <c r="G2612" t="s">
        <v>51397</v>
      </c>
      <c r="H2612" t="s">
        <v>51398</v>
      </c>
      <c r="I2612" t="s">
        <v>51399</v>
      </c>
      <c r="J2612" t="s">
        <v>51400</v>
      </c>
      <c r="K2612" t="s">
        <v>51401</v>
      </c>
      <c r="L2612" t="s">
        <v>51402</v>
      </c>
      <c r="M2612" t="s">
        <v>51403</v>
      </c>
      <c r="N2612" t="s">
        <v>51404</v>
      </c>
      <c r="O2612">
        <f>-585.676059469154 -108.868922211516 -738.861069807056</f>
        <v>-1433.406051487726</v>
      </c>
      <c r="P2612">
        <f>-591.466427741306 -96.3987169573672 -422.637855254477</f>
        <v>-1110.5029999531503</v>
      </c>
      <c r="Q2612">
        <f>-342.335410024313 -22.0815541932457 -415.373277768948</f>
        <v>-779.79024198650677</v>
      </c>
      <c r="R2612" t="s">
        <v>51405</v>
      </c>
      <c r="S2612" t="s">
        <v>51406</v>
      </c>
      <c r="T2612" t="s">
        <v>51407</v>
      </c>
      <c r="U2612" t="s">
        <v>51408</v>
      </c>
      <c r="V2612" t="s">
        <v>51409</v>
      </c>
      <c r="W2612" t="s">
        <v>51410</v>
      </c>
      <c r="X2612" t="s">
        <v>51411</v>
      </c>
      <c r="Y2612" t="s">
        <v>51412</v>
      </c>
    </row>
    <row r="2613" spans="1:25" x14ac:dyDescent="0.3">
      <c r="A2613">
        <v>130600</v>
      </c>
      <c r="B2613" t="s">
        <v>51413</v>
      </c>
      <c r="C2613" t="s">
        <v>51414</v>
      </c>
      <c r="D2613" t="s">
        <v>51415</v>
      </c>
      <c r="E2613" t="s">
        <v>51416</v>
      </c>
      <c r="F2613" t="s">
        <v>51417</v>
      </c>
      <c r="G2613" t="s">
        <v>51418</v>
      </c>
      <c r="H2613" t="s">
        <v>51419</v>
      </c>
      <c r="I2613" t="s">
        <v>51420</v>
      </c>
      <c r="J2613" t="s">
        <v>51421</v>
      </c>
      <c r="K2613" t="s">
        <v>51422</v>
      </c>
      <c r="L2613" t="s">
        <v>51423</v>
      </c>
      <c r="M2613" t="s">
        <v>51424</v>
      </c>
      <c r="N2613" t="s">
        <v>51425</v>
      </c>
      <c r="O2613">
        <f>-584.097622456116 -108.825412530681 -739.060727156221</f>
        <v>-1431.9837621430179</v>
      </c>
      <c r="P2613">
        <f>-590.091159060168 -96.2712043370021 -422.844560030392</f>
        <v>-1109.2069234275623</v>
      </c>
      <c r="Q2613">
        <f>-340.772854078686 -22.5936629748503 -415.49210540908</f>
        <v>-778.85862246261627</v>
      </c>
      <c r="R2613" t="s">
        <v>51426</v>
      </c>
      <c r="S2613" t="s">
        <v>51427</v>
      </c>
      <c r="T2613" t="s">
        <v>51428</v>
      </c>
      <c r="U2613" t="s">
        <v>51429</v>
      </c>
      <c r="V2613" t="s">
        <v>51430</v>
      </c>
      <c r="W2613" t="s">
        <v>51431</v>
      </c>
      <c r="X2613" t="s">
        <v>51432</v>
      </c>
      <c r="Y2613" t="s">
        <v>51433</v>
      </c>
    </row>
    <row r="2614" spans="1:25" x14ac:dyDescent="0.3">
      <c r="A2614">
        <v>130650</v>
      </c>
      <c r="B2614" t="s">
        <v>51434</v>
      </c>
      <c r="C2614" t="s">
        <v>51435</v>
      </c>
      <c r="D2614" t="s">
        <v>51436</v>
      </c>
      <c r="E2614" t="s">
        <v>51437</v>
      </c>
      <c r="F2614" t="s">
        <v>51438</v>
      </c>
      <c r="G2614" t="s">
        <v>51439</v>
      </c>
      <c r="H2614" t="s">
        <v>51440</v>
      </c>
      <c r="I2614" t="s">
        <v>51441</v>
      </c>
      <c r="J2614" t="s">
        <v>51442</v>
      </c>
      <c r="K2614" t="s">
        <v>51443</v>
      </c>
      <c r="L2614" t="s">
        <v>51444</v>
      </c>
      <c r="M2614" t="s">
        <v>51445</v>
      </c>
      <c r="N2614" t="s">
        <v>51446</v>
      </c>
      <c r="O2614">
        <f>-581.523871249784 -108.018476945673 -739.572702036391</f>
        <v>-1429.1150502318478</v>
      </c>
      <c r="P2614">
        <f>-587.689715132299 -95.5450567620283 -423.356605810143</f>
        <v>-1106.5913777044702</v>
      </c>
      <c r="Q2614">
        <f>-338.029296621773 -23.1137736586654 -415.267622898939</f>
        <v>-776.4106931793774</v>
      </c>
      <c r="R2614" t="s">
        <v>51447</v>
      </c>
      <c r="S2614" t="s">
        <v>51448</v>
      </c>
      <c r="T2614" t="s">
        <v>51449</v>
      </c>
      <c r="U2614" t="s">
        <v>51450</v>
      </c>
      <c r="V2614" t="s">
        <v>51451</v>
      </c>
      <c r="W2614" t="s">
        <v>51452</v>
      </c>
      <c r="X2614" t="s">
        <v>51453</v>
      </c>
      <c r="Y2614" t="s">
        <v>51454</v>
      </c>
    </row>
    <row r="2615" spans="1:25" x14ac:dyDescent="0.3">
      <c r="A2615">
        <v>130700</v>
      </c>
      <c r="B2615" t="s">
        <v>51455</v>
      </c>
      <c r="C2615" t="s">
        <v>51456</v>
      </c>
      <c r="D2615" t="s">
        <v>51457</v>
      </c>
      <c r="E2615" t="s">
        <v>51458</v>
      </c>
      <c r="F2615" t="s">
        <v>51459</v>
      </c>
      <c r="G2615" t="s">
        <v>51460</v>
      </c>
      <c r="H2615" t="s">
        <v>51461</v>
      </c>
      <c r="I2615" t="s">
        <v>51462</v>
      </c>
      <c r="J2615" t="s">
        <v>51463</v>
      </c>
      <c r="K2615" t="s">
        <v>51464</v>
      </c>
      <c r="L2615" t="s">
        <v>51465</v>
      </c>
      <c r="M2615" t="s">
        <v>51466</v>
      </c>
      <c r="N2615" t="s">
        <v>51467</v>
      </c>
      <c r="O2615">
        <f>-580.051197785882 -107.612289753418 -739.827000872535</f>
        <v>-1427.490488411835</v>
      </c>
      <c r="P2615">
        <f>-586.540915100897 -94.9762639068393 -423.623717160034</f>
        <v>-1105.1408961677703</v>
      </c>
      <c r="Q2615">
        <f>-336.668271240869 -23.3007703787141 -415.356311249931</f>
        <v>-775.32535286951406</v>
      </c>
      <c r="R2615" t="s">
        <v>51468</v>
      </c>
      <c r="S2615" t="s">
        <v>51469</v>
      </c>
      <c r="T2615" t="s">
        <v>51470</v>
      </c>
      <c r="U2615" t="s">
        <v>51471</v>
      </c>
      <c r="V2615" t="s">
        <v>51472</v>
      </c>
      <c r="W2615" t="s">
        <v>51473</v>
      </c>
      <c r="X2615" t="s">
        <v>51474</v>
      </c>
      <c r="Y2615" t="s">
        <v>51475</v>
      </c>
    </row>
    <row r="2616" spans="1:25" x14ac:dyDescent="0.3">
      <c r="A2616">
        <v>130750</v>
      </c>
      <c r="B2616" t="s">
        <v>51476</v>
      </c>
      <c r="C2616" t="s">
        <v>51477</v>
      </c>
      <c r="D2616" t="s">
        <v>51478</v>
      </c>
      <c r="E2616" t="s">
        <v>51479</v>
      </c>
      <c r="F2616" t="s">
        <v>51480</v>
      </c>
      <c r="G2616" t="s">
        <v>51481</v>
      </c>
      <c r="H2616" t="s">
        <v>51482</v>
      </c>
      <c r="I2616" t="s">
        <v>51483</v>
      </c>
      <c r="J2616" t="s">
        <v>51484</v>
      </c>
      <c r="K2616" t="s">
        <v>51485</v>
      </c>
      <c r="L2616" t="s">
        <v>51486</v>
      </c>
      <c r="M2616" t="s">
        <v>51487</v>
      </c>
      <c r="N2616" t="s">
        <v>51488</v>
      </c>
      <c r="O2616">
        <f>-577.636798399832 -106.972545861021 -739.918430849602</f>
        <v>-1424.527775110455</v>
      </c>
      <c r="P2616">
        <f>-585.559227472086 -95.3009688881511 -423.711061392223</f>
        <v>-1104.57125775246</v>
      </c>
      <c r="Q2616">
        <f>-335.503187331695 -24.1994001229139 -416.058199494426</f>
        <v>-775.76078694903492</v>
      </c>
      <c r="R2616" t="s">
        <v>51489</v>
      </c>
      <c r="S2616" t="s">
        <v>51490</v>
      </c>
      <c r="T2616" t="s">
        <v>51491</v>
      </c>
      <c r="U2616" t="s">
        <v>51492</v>
      </c>
      <c r="V2616" t="s">
        <v>51493</v>
      </c>
      <c r="W2616" t="s">
        <v>51494</v>
      </c>
      <c r="X2616" t="s">
        <v>51495</v>
      </c>
      <c r="Y2616" t="s">
        <v>51496</v>
      </c>
    </row>
    <row r="2617" spans="1:25" x14ac:dyDescent="0.3">
      <c r="A2617">
        <v>130800</v>
      </c>
      <c r="B2617" t="s">
        <v>51497</v>
      </c>
      <c r="C2617" t="s">
        <v>51498</v>
      </c>
      <c r="D2617" t="s">
        <v>51499</v>
      </c>
      <c r="E2617" t="s">
        <v>51500</v>
      </c>
      <c r="F2617" t="s">
        <v>51501</v>
      </c>
      <c r="G2617" t="s">
        <v>51502</v>
      </c>
      <c r="H2617" t="s">
        <v>51503</v>
      </c>
      <c r="I2617" t="s">
        <v>51504</v>
      </c>
      <c r="J2617" t="s">
        <v>51505</v>
      </c>
      <c r="K2617" t="s">
        <v>51506</v>
      </c>
      <c r="L2617" t="s">
        <v>51507</v>
      </c>
      <c r="M2617" t="s">
        <v>51508</v>
      </c>
      <c r="N2617" t="s">
        <v>51509</v>
      </c>
      <c r="O2617">
        <f>-576.827861343092 -106.500705717891 -740.028592121608</f>
        <v>-1423.357159182591</v>
      </c>
      <c r="P2617">
        <f>-585.109339971983 -95.2889890661331 -423.813578290902</f>
        <v>-1104.2119073290182</v>
      </c>
      <c r="Q2617">
        <f>-335.029995092867 -24.232809869407 -416.506684063367</f>
        <v>-775.76948902564095</v>
      </c>
      <c r="R2617" t="s">
        <v>51510</v>
      </c>
      <c r="S2617" t="s">
        <v>51511</v>
      </c>
      <c r="T2617" t="s">
        <v>51512</v>
      </c>
      <c r="U2617" t="s">
        <v>51513</v>
      </c>
      <c r="V2617" t="s">
        <v>51514</v>
      </c>
      <c r="W2617" t="s">
        <v>51515</v>
      </c>
      <c r="X2617" t="s">
        <v>51516</v>
      </c>
      <c r="Y2617" t="s">
        <v>51517</v>
      </c>
    </row>
    <row r="2618" spans="1:25" x14ac:dyDescent="0.3">
      <c r="A2618">
        <v>130850</v>
      </c>
      <c r="B2618" t="s">
        <v>51518</v>
      </c>
      <c r="C2618" t="s">
        <v>51519</v>
      </c>
      <c r="D2618" t="s">
        <v>51520</v>
      </c>
      <c r="E2618" t="s">
        <v>51521</v>
      </c>
      <c r="F2618" t="s">
        <v>51522</v>
      </c>
      <c r="G2618" t="s">
        <v>51523</v>
      </c>
      <c r="H2618" t="s">
        <v>51524</v>
      </c>
      <c r="I2618" t="s">
        <v>51525</v>
      </c>
      <c r="J2618" t="s">
        <v>51526</v>
      </c>
      <c r="K2618" t="s">
        <v>51527</v>
      </c>
      <c r="L2618" t="s">
        <v>51528</v>
      </c>
      <c r="M2618" t="s">
        <v>51529</v>
      </c>
      <c r="N2618" t="s">
        <v>51530</v>
      </c>
      <c r="O2618">
        <f>-575.789721169618 -106.235606855282 -739.78091434549</f>
        <v>-1421.80624237039</v>
      </c>
      <c r="P2618">
        <f>-584.581295501105 -94.9272774017444 -423.583057407762</f>
        <v>-1103.0916303106114</v>
      </c>
      <c r="Q2618">
        <f>-334.422131711558 -24.0875410798736 -416.937112095754</f>
        <v>-775.44678488718557</v>
      </c>
      <c r="R2618" t="s">
        <v>51531</v>
      </c>
      <c r="S2618" t="s">
        <v>51532</v>
      </c>
      <c r="T2618" t="s">
        <v>51533</v>
      </c>
      <c r="U2618" t="s">
        <v>51534</v>
      </c>
      <c r="V2618" t="s">
        <v>51535</v>
      </c>
      <c r="W2618" t="s">
        <v>51536</v>
      </c>
      <c r="X2618" t="s">
        <v>51537</v>
      </c>
      <c r="Y2618" t="s">
        <v>51538</v>
      </c>
    </row>
    <row r="2619" spans="1:25" x14ac:dyDescent="0.3">
      <c r="A2619">
        <v>130900</v>
      </c>
      <c r="B2619" t="s">
        <v>51539</v>
      </c>
      <c r="C2619" t="s">
        <v>51540</v>
      </c>
      <c r="D2619" t="s">
        <v>51541</v>
      </c>
      <c r="E2619" t="s">
        <v>51542</v>
      </c>
      <c r="F2619" t="s">
        <v>51543</v>
      </c>
      <c r="G2619" t="s">
        <v>51544</v>
      </c>
      <c r="H2619" t="s">
        <v>51545</v>
      </c>
      <c r="I2619" t="s">
        <v>51546</v>
      </c>
      <c r="J2619" t="s">
        <v>51547</v>
      </c>
      <c r="K2619" t="s">
        <v>51548</v>
      </c>
      <c r="L2619" t="s">
        <v>51549</v>
      </c>
      <c r="M2619" t="s">
        <v>51550</v>
      </c>
      <c r="N2619" t="s">
        <v>51551</v>
      </c>
      <c r="O2619">
        <f>-575.812905849302 -106.244971399721 -739.502524375342</f>
        <v>-1421.5604016243649</v>
      </c>
      <c r="P2619">
        <f>-584.595744454534 -94.8912974289348 -423.306201826398</f>
        <v>-1102.7932437098668</v>
      </c>
      <c r="Q2619">
        <f>-334.321309183653 -24.3537448499 -417.90083379299</f>
        <v>-776.57588782654307</v>
      </c>
      <c r="R2619" t="s">
        <v>51552</v>
      </c>
      <c r="S2619" t="s">
        <v>51553</v>
      </c>
      <c r="T2619" t="s">
        <v>51554</v>
      </c>
      <c r="U2619" t="s">
        <v>51555</v>
      </c>
      <c r="V2619" t="s">
        <v>51556</v>
      </c>
      <c r="W2619" t="s">
        <v>51557</v>
      </c>
      <c r="X2619" t="s">
        <v>51558</v>
      </c>
      <c r="Y2619" t="s">
        <v>51559</v>
      </c>
    </row>
    <row r="2620" spans="1:25" x14ac:dyDescent="0.3">
      <c r="A2620">
        <v>130950</v>
      </c>
      <c r="B2620" t="s">
        <v>51560</v>
      </c>
      <c r="C2620" t="s">
        <v>51561</v>
      </c>
      <c r="D2620" t="s">
        <v>51562</v>
      </c>
      <c r="E2620" t="s">
        <v>51563</v>
      </c>
      <c r="F2620" t="s">
        <v>51564</v>
      </c>
      <c r="G2620" t="s">
        <v>51565</v>
      </c>
      <c r="H2620" t="s">
        <v>51566</v>
      </c>
      <c r="I2620" t="s">
        <v>51567</v>
      </c>
      <c r="J2620" t="s">
        <v>51568</v>
      </c>
      <c r="K2620" t="s">
        <v>51569</v>
      </c>
      <c r="L2620" t="s">
        <v>51570</v>
      </c>
      <c r="M2620" t="s">
        <v>51571</v>
      </c>
      <c r="N2620" t="s">
        <v>51572</v>
      </c>
      <c r="O2620">
        <f>-576.290013347061 -106.215617581989 -738.872853686995</f>
        <v>-1421.3784846160449</v>
      </c>
      <c r="P2620">
        <f>-584.295199757505 -94.3099691277996 -422.67612627852</f>
        <v>-1101.2812951638246</v>
      </c>
      <c r="Q2620">
        <f>-333.424122839686 -25.7553675505646 -420.225273720721</f>
        <v>-779.40476411097166</v>
      </c>
      <c r="R2620" t="s">
        <v>51573</v>
      </c>
      <c r="S2620" t="s">
        <v>51574</v>
      </c>
      <c r="T2620" t="s">
        <v>51575</v>
      </c>
      <c r="U2620" t="s">
        <v>51576</v>
      </c>
      <c r="V2620" t="s">
        <v>51577</v>
      </c>
      <c r="W2620" t="s">
        <v>51578</v>
      </c>
      <c r="X2620" t="s">
        <v>51579</v>
      </c>
      <c r="Y2620" t="s">
        <v>51580</v>
      </c>
    </row>
    <row r="2621" spans="1:25" x14ac:dyDescent="0.3">
      <c r="A2621">
        <v>131000</v>
      </c>
      <c r="B2621" t="s">
        <v>51581</v>
      </c>
      <c r="C2621" t="s">
        <v>51582</v>
      </c>
      <c r="D2621" t="s">
        <v>51583</v>
      </c>
      <c r="E2621" t="s">
        <v>51584</v>
      </c>
      <c r="F2621" t="s">
        <v>51585</v>
      </c>
      <c r="G2621" t="s">
        <v>51586</v>
      </c>
      <c r="H2621" t="s">
        <v>51587</v>
      </c>
      <c r="I2621" t="s">
        <v>51588</v>
      </c>
      <c r="J2621" t="s">
        <v>51589</v>
      </c>
      <c r="K2621" t="s">
        <v>51590</v>
      </c>
      <c r="L2621" t="s">
        <v>51591</v>
      </c>
      <c r="M2621" t="s">
        <v>51592</v>
      </c>
      <c r="N2621" t="s">
        <v>51593</v>
      </c>
      <c r="O2621">
        <f>-576.3125044406 -106.038343268766 -738.437154183126</f>
        <v>-1420.788001892492</v>
      </c>
      <c r="P2621">
        <f>-584.011087080576 -93.8290995264583 -422.244378686583</f>
        <v>-1100.0845652936173</v>
      </c>
      <c r="Q2621">
        <f>-332.950016361054 -26.0273222803194 -418.597240544496</f>
        <v>-777.57457918586942</v>
      </c>
      <c r="R2621" t="s">
        <v>51594</v>
      </c>
      <c r="S2621" t="s">
        <v>51595</v>
      </c>
      <c r="T2621" t="s">
        <v>51596</v>
      </c>
      <c r="U2621" t="s">
        <v>51597</v>
      </c>
      <c r="V2621" t="s">
        <v>51598</v>
      </c>
      <c r="W2621" t="s">
        <v>51599</v>
      </c>
      <c r="X2621" t="s">
        <v>51600</v>
      </c>
      <c r="Y2621" t="s">
        <v>51601</v>
      </c>
    </row>
    <row r="2622" spans="1:25" x14ac:dyDescent="0.3">
      <c r="A2622">
        <v>131050</v>
      </c>
      <c r="B2622" t="s">
        <v>51602</v>
      </c>
      <c r="C2622" t="s">
        <v>51603</v>
      </c>
      <c r="D2622" t="s">
        <v>51604</v>
      </c>
      <c r="E2622" t="s">
        <v>51605</v>
      </c>
      <c r="F2622" t="s">
        <v>51606</v>
      </c>
      <c r="G2622" t="s">
        <v>51607</v>
      </c>
      <c r="H2622" t="s">
        <v>51608</v>
      </c>
      <c r="I2622" t="s">
        <v>51609</v>
      </c>
      <c r="J2622" t="s">
        <v>51610</v>
      </c>
      <c r="K2622" t="s">
        <v>51611</v>
      </c>
      <c r="L2622" t="s">
        <v>51612</v>
      </c>
      <c r="M2622" t="s">
        <v>51613</v>
      </c>
      <c r="N2622" t="s">
        <v>51614</v>
      </c>
      <c r="O2622">
        <f>-576.825684165938 -105.818373751877 -738.092626143983</f>
        <v>-1420.7366840617979</v>
      </c>
      <c r="P2622">
        <f>-585.045624893046 -92.4530721171239 -421.959827121224</f>
        <v>-1099.4585241313939</v>
      </c>
      <c r="Q2622">
        <f>-334.273162773358 -24.2524807456898 -411.767706433453</f>
        <v>-770.29334995250088</v>
      </c>
      <c r="R2622" t="s">
        <v>51615</v>
      </c>
      <c r="S2622" t="s">
        <v>51616</v>
      </c>
      <c r="T2622" t="s">
        <v>51617</v>
      </c>
      <c r="U2622" t="s">
        <v>51618</v>
      </c>
      <c r="V2622" t="s">
        <v>51619</v>
      </c>
      <c r="W2622" t="s">
        <v>51620</v>
      </c>
      <c r="X2622" t="s">
        <v>51621</v>
      </c>
      <c r="Y2622" t="s">
        <v>51622</v>
      </c>
    </row>
    <row r="2623" spans="1:25" x14ac:dyDescent="0.3">
      <c r="A2623">
        <v>131100</v>
      </c>
      <c r="B2623" t="s">
        <v>51623</v>
      </c>
      <c r="C2623" t="s">
        <v>51624</v>
      </c>
      <c r="D2623" t="s">
        <v>51625</v>
      </c>
      <c r="E2623" t="s">
        <v>51626</v>
      </c>
      <c r="F2623" t="s">
        <v>51627</v>
      </c>
      <c r="G2623" t="s">
        <v>51628</v>
      </c>
      <c r="H2623" t="s">
        <v>51629</v>
      </c>
      <c r="I2623" t="s">
        <v>51630</v>
      </c>
      <c r="J2623" t="s">
        <v>51631</v>
      </c>
      <c r="K2623" t="s">
        <v>51632</v>
      </c>
      <c r="L2623" t="s">
        <v>51633</v>
      </c>
      <c r="M2623" t="s">
        <v>51634</v>
      </c>
      <c r="N2623" t="s">
        <v>51635</v>
      </c>
      <c r="O2623">
        <f>-576.842849894369 -105.6141473229 -738.059991057397</f>
        <v>-1420.5169882746659</v>
      </c>
      <c r="P2623">
        <f>-585.516870023626 -92.0501690645049 -421.947820429765</f>
        <v>-1099.5148595178957</v>
      </c>
      <c r="Q2623">
        <f>-334.855896349404 -23.6831230881162 -410.238621951817</f>
        <v>-768.77764138933719</v>
      </c>
      <c r="R2623" t="s">
        <v>51636</v>
      </c>
      <c r="S2623" t="s">
        <v>51637</v>
      </c>
      <c r="T2623" t="s">
        <v>51638</v>
      </c>
      <c r="U2623" t="s">
        <v>51639</v>
      </c>
      <c r="V2623" t="s">
        <v>51640</v>
      </c>
      <c r="W2623" t="s">
        <v>51641</v>
      </c>
      <c r="X2623" t="s">
        <v>51642</v>
      </c>
      <c r="Y2623" t="s">
        <v>51643</v>
      </c>
    </row>
    <row r="2624" spans="1:25" x14ac:dyDescent="0.3">
      <c r="A2624">
        <v>131150</v>
      </c>
      <c r="B2624" t="s">
        <v>51644</v>
      </c>
      <c r="C2624" t="s">
        <v>51645</v>
      </c>
      <c r="D2624" t="s">
        <v>51646</v>
      </c>
      <c r="E2624" t="s">
        <v>51647</v>
      </c>
      <c r="F2624" t="s">
        <v>51648</v>
      </c>
      <c r="G2624" t="s">
        <v>51649</v>
      </c>
      <c r="H2624" t="s">
        <v>51650</v>
      </c>
      <c r="I2624" t="s">
        <v>51651</v>
      </c>
      <c r="J2624" t="s">
        <v>51652</v>
      </c>
      <c r="K2624" t="s">
        <v>51653</v>
      </c>
      <c r="L2624" t="s">
        <v>51654</v>
      </c>
      <c r="M2624" t="s">
        <v>51655</v>
      </c>
      <c r="N2624" t="s">
        <v>51656</v>
      </c>
      <c r="O2624">
        <f>-576.699583272945 -105.321744628647 -737.967059546364</f>
        <v>-1419.988387447956</v>
      </c>
      <c r="P2624">
        <f>-584.245383523761 -89.9470700152797 -421.908702607251</f>
        <v>-1096.1011561462917</v>
      </c>
      <c r="Q2624">
        <f>-333.277575157476 -22.4654022951459 -411.738601839765</f>
        <v>-767.48157929238687</v>
      </c>
      <c r="R2624" t="s">
        <v>51657</v>
      </c>
      <c r="S2624" t="s">
        <v>51658</v>
      </c>
      <c r="T2624" t="s">
        <v>51659</v>
      </c>
      <c r="U2624" t="s">
        <v>51660</v>
      </c>
      <c r="V2624" t="s">
        <v>51661</v>
      </c>
      <c r="W2624" t="s">
        <v>51662</v>
      </c>
      <c r="X2624" t="s">
        <v>51663</v>
      </c>
      <c r="Y2624" t="s">
        <v>51664</v>
      </c>
    </row>
    <row r="2625" spans="1:25" x14ac:dyDescent="0.3">
      <c r="A2625">
        <v>131200</v>
      </c>
      <c r="B2625" t="s">
        <v>51665</v>
      </c>
      <c r="C2625" t="s">
        <v>51666</v>
      </c>
      <c r="D2625" t="s">
        <v>51667</v>
      </c>
      <c r="E2625" t="s">
        <v>51668</v>
      </c>
      <c r="F2625" t="s">
        <v>51669</v>
      </c>
      <c r="G2625" t="s">
        <v>51670</v>
      </c>
      <c r="H2625" t="s">
        <v>51671</v>
      </c>
      <c r="I2625" t="s">
        <v>51672</v>
      </c>
      <c r="J2625" t="s">
        <v>51673</v>
      </c>
      <c r="K2625" t="s">
        <v>51674</v>
      </c>
      <c r="L2625" t="s">
        <v>51675</v>
      </c>
      <c r="M2625" t="s">
        <v>51676</v>
      </c>
      <c r="N2625" t="s">
        <v>51677</v>
      </c>
      <c r="O2625">
        <f>-575.983134618703 -105.428376307032 -737.754536554866</f>
        <v>-1419.166047480601</v>
      </c>
      <c r="P2625">
        <f>-582.734939644369 -88.6663369106538 -421.748751005986</f>
        <v>-1093.1500275610088</v>
      </c>
      <c r="Q2625">
        <f>-331.078846899673 -23.6197812928584 -412.790601593713</f>
        <v>-767.48922978624444</v>
      </c>
      <c r="R2625" t="s">
        <v>51678</v>
      </c>
      <c r="S2625" t="s">
        <v>51679</v>
      </c>
      <c r="T2625" t="s">
        <v>51680</v>
      </c>
      <c r="U2625" t="s">
        <v>51681</v>
      </c>
      <c r="V2625" t="s">
        <v>51682</v>
      </c>
      <c r="W2625" t="s">
        <v>51683</v>
      </c>
      <c r="X2625" t="s">
        <v>51684</v>
      </c>
      <c r="Y2625" t="s">
        <v>51685</v>
      </c>
    </row>
    <row r="2626" spans="1:25" x14ac:dyDescent="0.3">
      <c r="A2626">
        <v>131250</v>
      </c>
      <c r="B2626" t="s">
        <v>51686</v>
      </c>
      <c r="C2626" t="s">
        <v>51687</v>
      </c>
      <c r="D2626" t="s">
        <v>51688</v>
      </c>
      <c r="E2626" t="s">
        <v>51689</v>
      </c>
      <c r="F2626" t="s">
        <v>51690</v>
      </c>
      <c r="G2626" t="s">
        <v>51691</v>
      </c>
      <c r="H2626" t="s">
        <v>51692</v>
      </c>
      <c r="I2626" t="s">
        <v>51693</v>
      </c>
      <c r="J2626" t="s">
        <v>51694</v>
      </c>
      <c r="K2626" t="s">
        <v>51695</v>
      </c>
      <c r="L2626" t="s">
        <v>51696</v>
      </c>
      <c r="M2626" t="s">
        <v>51697</v>
      </c>
      <c r="N2626" t="s">
        <v>51698</v>
      </c>
      <c r="O2626">
        <f>-573.839620456276 -105.546473546406 -737.869316643732</f>
        <v>-1417.255410646414</v>
      </c>
      <c r="P2626">
        <f>-580.399136576363 -89.0319482143914 -421.846491513398</f>
        <v>-1091.2775763041525</v>
      </c>
      <c r="Q2626">
        <f>-327.902114648797 -27.4506825232732 -412.096134128484</f>
        <v>-767.44893130055425</v>
      </c>
      <c r="R2626" t="s">
        <v>51699</v>
      </c>
      <c r="S2626" t="s">
        <v>51700</v>
      </c>
      <c r="T2626" t="s">
        <v>51701</v>
      </c>
      <c r="U2626" t="s">
        <v>51702</v>
      </c>
      <c r="V2626" t="s">
        <v>51703</v>
      </c>
      <c r="W2626" t="s">
        <v>51704</v>
      </c>
      <c r="X2626" t="s">
        <v>51705</v>
      </c>
      <c r="Y2626" t="s">
        <v>51706</v>
      </c>
    </row>
    <row r="2627" spans="1:25" x14ac:dyDescent="0.3">
      <c r="A2627">
        <v>131300</v>
      </c>
      <c r="B2627" t="s">
        <v>51707</v>
      </c>
      <c r="C2627" t="s">
        <v>51708</v>
      </c>
      <c r="D2627" t="s">
        <v>51709</v>
      </c>
      <c r="E2627" t="s">
        <v>51710</v>
      </c>
      <c r="F2627" t="s">
        <v>51711</v>
      </c>
      <c r="G2627" t="s">
        <v>51712</v>
      </c>
      <c r="H2627" t="s">
        <v>51713</v>
      </c>
      <c r="I2627" t="s">
        <v>51714</v>
      </c>
      <c r="J2627" t="s">
        <v>51715</v>
      </c>
      <c r="K2627" t="s">
        <v>51716</v>
      </c>
      <c r="L2627" t="s">
        <v>51717</v>
      </c>
      <c r="M2627" t="s">
        <v>51718</v>
      </c>
      <c r="N2627" t="s">
        <v>51719</v>
      </c>
      <c r="O2627">
        <f>-572.547807008174 -105.939926292242 -738.01041527909</f>
        <v>-1416.4981485795061</v>
      </c>
      <c r="P2627">
        <f>-579.94592951245 -90.6229814501987 -421.945668219184</f>
        <v>-1092.5145791818327</v>
      </c>
      <c r="Q2627">
        <f>-327.630959594786 -28.3865737910638 -411.658182260317</f>
        <v>-767.67571564616685</v>
      </c>
      <c r="R2627" t="s">
        <v>51720</v>
      </c>
      <c r="S2627" t="s">
        <v>51721</v>
      </c>
      <c r="T2627" t="s">
        <v>51722</v>
      </c>
      <c r="U2627" t="s">
        <v>51723</v>
      </c>
      <c r="V2627" t="s">
        <v>51724</v>
      </c>
      <c r="W2627" t="s">
        <v>51725</v>
      </c>
      <c r="X2627" t="s">
        <v>51726</v>
      </c>
      <c r="Y2627" t="s">
        <v>51727</v>
      </c>
    </row>
    <row r="2628" spans="1:25" x14ac:dyDescent="0.3">
      <c r="A2628">
        <v>131350</v>
      </c>
      <c r="B2628" t="s">
        <v>51728</v>
      </c>
      <c r="C2628" t="s">
        <v>51729</v>
      </c>
      <c r="D2628" t="s">
        <v>51730</v>
      </c>
      <c r="E2628" t="s">
        <v>51731</v>
      </c>
      <c r="F2628" t="s">
        <v>51732</v>
      </c>
      <c r="G2628" t="s">
        <v>51733</v>
      </c>
      <c r="H2628" t="s">
        <v>51734</v>
      </c>
      <c r="I2628" t="s">
        <v>51735</v>
      </c>
      <c r="J2628" t="s">
        <v>51736</v>
      </c>
      <c r="K2628" t="s">
        <v>51737</v>
      </c>
      <c r="L2628" t="s">
        <v>51738</v>
      </c>
      <c r="M2628" t="s">
        <v>51739</v>
      </c>
      <c r="N2628" t="s">
        <v>51740</v>
      </c>
      <c r="O2628">
        <f>-570.577447596534 -106.359488185223 -738.270010095392</f>
        <v>-1415.2069458771489</v>
      </c>
      <c r="P2628">
        <f>-579.240683393125 -91.2631442082346 -422.226903103446</f>
        <v>-1092.7307307048056</v>
      </c>
      <c r="Q2628">
        <f>-327.539922579022 -26.5704675283866 -412.04670609419</f>
        <v>-766.15709620159851</v>
      </c>
      <c r="R2628" t="s">
        <v>51741</v>
      </c>
      <c r="S2628" t="s">
        <v>51742</v>
      </c>
      <c r="T2628" t="s">
        <v>51743</v>
      </c>
      <c r="U2628" t="s">
        <v>51744</v>
      </c>
      <c r="V2628" t="s">
        <v>51745</v>
      </c>
      <c r="W2628" t="s">
        <v>51746</v>
      </c>
      <c r="X2628" t="s">
        <v>51747</v>
      </c>
      <c r="Y2628" t="s">
        <v>51748</v>
      </c>
    </row>
    <row r="2629" spans="1:25" x14ac:dyDescent="0.3">
      <c r="A2629">
        <v>131400</v>
      </c>
      <c r="B2629" t="s">
        <v>51749</v>
      </c>
      <c r="C2629" t="s">
        <v>51750</v>
      </c>
      <c r="D2629" t="s">
        <v>51751</v>
      </c>
      <c r="E2629" t="s">
        <v>51752</v>
      </c>
      <c r="F2629" t="s">
        <v>51753</v>
      </c>
      <c r="G2629" t="s">
        <v>51754</v>
      </c>
      <c r="H2629" t="s">
        <v>51755</v>
      </c>
      <c r="I2629" t="s">
        <v>51756</v>
      </c>
      <c r="J2629" t="s">
        <v>51757</v>
      </c>
      <c r="K2629" t="s">
        <v>51758</v>
      </c>
      <c r="L2629" t="s">
        <v>51759</v>
      </c>
      <c r="M2629" t="s">
        <v>51760</v>
      </c>
      <c r="N2629" t="s">
        <v>51761</v>
      </c>
      <c r="O2629">
        <f>-569.499369751761 -106.403610525756 -738.307214589351</f>
        <v>-1414.2101948668681</v>
      </c>
      <c r="P2629">
        <f>-578.166710297755 -90.0385236731998 -422.327314986927</f>
        <v>-1090.5325489578818</v>
      </c>
      <c r="Q2629">
        <f>-326.758526706646 -24.2302713141268 -412.068093876803</f>
        <v>-763.05689189757584</v>
      </c>
      <c r="R2629" t="s">
        <v>51762</v>
      </c>
      <c r="S2629" t="s">
        <v>51763</v>
      </c>
      <c r="T2629" t="s">
        <v>51764</v>
      </c>
      <c r="U2629" t="s">
        <v>51765</v>
      </c>
      <c r="V2629" t="s">
        <v>51766</v>
      </c>
      <c r="W2629" t="s">
        <v>51767</v>
      </c>
      <c r="X2629" t="s">
        <v>51768</v>
      </c>
      <c r="Y2629" t="s">
        <v>51769</v>
      </c>
    </row>
    <row r="2630" spans="1:25" x14ac:dyDescent="0.3">
      <c r="A2630">
        <v>131450</v>
      </c>
      <c r="B2630" t="s">
        <v>51770</v>
      </c>
      <c r="C2630" t="s">
        <v>51771</v>
      </c>
      <c r="D2630" t="s">
        <v>51772</v>
      </c>
      <c r="E2630" t="s">
        <v>51773</v>
      </c>
      <c r="F2630" t="s">
        <v>51774</v>
      </c>
      <c r="G2630" t="s">
        <v>51775</v>
      </c>
      <c r="H2630" t="s">
        <v>51776</v>
      </c>
      <c r="I2630" t="s">
        <v>51777</v>
      </c>
      <c r="J2630" t="s">
        <v>51778</v>
      </c>
      <c r="K2630" t="s">
        <v>51779</v>
      </c>
      <c r="L2630" t="s">
        <v>51780</v>
      </c>
      <c r="M2630" t="s">
        <v>51781</v>
      </c>
      <c r="N2630" t="s">
        <v>51782</v>
      </c>
      <c r="O2630">
        <f>-567.073210429727 -106.649591472765 -738.315731505169</f>
        <v>-1412.0385334076609</v>
      </c>
      <c r="P2630">
        <f>-576.767036363227 -89.4698140094708 -422.409044600326</f>
        <v>-1088.6458949730238</v>
      </c>
      <c r="Q2630">
        <f>-326.456225812006 -19.7879060680078 -410.965293365708</f>
        <v>-757.20942524572183</v>
      </c>
      <c r="R2630" t="s">
        <v>51783</v>
      </c>
      <c r="S2630" t="s">
        <v>51784</v>
      </c>
      <c r="T2630" t="s">
        <v>51785</v>
      </c>
      <c r="U2630" t="s">
        <v>51786</v>
      </c>
      <c r="V2630" t="s">
        <v>51787</v>
      </c>
      <c r="W2630" t="s">
        <v>51788</v>
      </c>
      <c r="X2630" t="s">
        <v>51789</v>
      </c>
      <c r="Y2630" t="s">
        <v>51790</v>
      </c>
    </row>
    <row r="2631" spans="1:25" x14ac:dyDescent="0.3">
      <c r="A2631">
        <v>131500</v>
      </c>
      <c r="B2631" t="s">
        <v>51791</v>
      </c>
      <c r="C2631" t="s">
        <v>51792</v>
      </c>
      <c r="D2631" t="s">
        <v>51793</v>
      </c>
      <c r="E2631" t="s">
        <v>51794</v>
      </c>
      <c r="F2631" t="s">
        <v>51795</v>
      </c>
      <c r="G2631" t="s">
        <v>51796</v>
      </c>
      <c r="H2631" t="s">
        <v>51797</v>
      </c>
      <c r="I2631" t="s">
        <v>51798</v>
      </c>
      <c r="J2631" t="s">
        <v>51799</v>
      </c>
      <c r="K2631" t="s">
        <v>51800</v>
      </c>
      <c r="L2631" t="s">
        <v>51801</v>
      </c>
      <c r="M2631" t="s">
        <v>51802</v>
      </c>
      <c r="N2631" t="s">
        <v>51803</v>
      </c>
      <c r="O2631">
        <f>-565.993598066409 -106.717319054094 -738.509660514561</f>
        <v>-1411.220577635064</v>
      </c>
      <c r="P2631">
        <f>-576.412129686002 -89.979856610218 -422.602285247609</f>
        <v>-1088.994271543829</v>
      </c>
      <c r="Q2631">
        <f>-326.686842519857 -18.4518798191551 -409.83145082657</f>
        <v>-754.97017316558208</v>
      </c>
      <c r="R2631" t="s">
        <v>51804</v>
      </c>
      <c r="S2631" t="s">
        <v>51805</v>
      </c>
      <c r="T2631" t="s">
        <v>51806</v>
      </c>
      <c r="U2631" t="s">
        <v>51807</v>
      </c>
      <c r="V2631" t="s">
        <v>51808</v>
      </c>
      <c r="W2631" t="s">
        <v>51809</v>
      </c>
      <c r="X2631" t="s">
        <v>51810</v>
      </c>
      <c r="Y2631" t="s">
        <v>51811</v>
      </c>
    </row>
    <row r="2632" spans="1:25" x14ac:dyDescent="0.3">
      <c r="A2632">
        <v>131550</v>
      </c>
      <c r="B2632" t="s">
        <v>51812</v>
      </c>
      <c r="C2632" t="s">
        <v>51813</v>
      </c>
      <c r="D2632" t="s">
        <v>51814</v>
      </c>
      <c r="E2632" t="s">
        <v>51815</v>
      </c>
      <c r="F2632" t="s">
        <v>51816</v>
      </c>
      <c r="G2632" t="s">
        <v>51817</v>
      </c>
      <c r="H2632" t="s">
        <v>51818</v>
      </c>
      <c r="I2632" t="s">
        <v>51819</v>
      </c>
      <c r="J2632" t="s">
        <v>51820</v>
      </c>
      <c r="K2632" t="s">
        <v>51821</v>
      </c>
      <c r="L2632" t="s">
        <v>51822</v>
      </c>
      <c r="M2632" t="s">
        <v>51823</v>
      </c>
      <c r="N2632" t="s">
        <v>51824</v>
      </c>
      <c r="O2632">
        <f>-564.245420229798 -106.277762862426 -739.049430555965</f>
        <v>-1409.572613648189</v>
      </c>
      <c r="P2632">
        <f>-575.680072871734 -90.3203054583771 -423.136869046558</f>
        <v>-1089.1372473766692</v>
      </c>
      <c r="Q2632">
        <f>-326.574484942561 -17.0144591358313 -408.483955697082</f>
        <v>-752.0728997754743</v>
      </c>
      <c r="R2632" t="s">
        <v>51825</v>
      </c>
      <c r="S2632" t="s">
        <v>51826</v>
      </c>
      <c r="T2632" t="s">
        <v>51827</v>
      </c>
      <c r="U2632" t="s">
        <v>51828</v>
      </c>
      <c r="V2632" t="s">
        <v>51829</v>
      </c>
      <c r="W2632" t="s">
        <v>51830</v>
      </c>
      <c r="X2632" t="s">
        <v>51831</v>
      </c>
      <c r="Y2632" t="s">
        <v>51832</v>
      </c>
    </row>
    <row r="2633" spans="1:25" x14ac:dyDescent="0.3">
      <c r="A2633">
        <v>131600</v>
      </c>
      <c r="B2633" t="s">
        <v>51833</v>
      </c>
      <c r="C2633" t="s">
        <v>51834</v>
      </c>
      <c r="D2633" t="s">
        <v>51835</v>
      </c>
      <c r="E2633" t="s">
        <v>51836</v>
      </c>
      <c r="F2633" t="s">
        <v>51837</v>
      </c>
      <c r="G2633" t="s">
        <v>51838</v>
      </c>
      <c r="H2633" t="s">
        <v>51839</v>
      </c>
      <c r="I2633" t="s">
        <v>51840</v>
      </c>
      <c r="J2633" t="s">
        <v>51841</v>
      </c>
      <c r="K2633" t="s">
        <v>51842</v>
      </c>
      <c r="L2633" t="s">
        <v>51843</v>
      </c>
      <c r="M2633" t="s">
        <v>51844</v>
      </c>
      <c r="N2633" t="s">
        <v>51845</v>
      </c>
      <c r="O2633">
        <f>-563.556310469823 -106.133708356499 -739.304283402795</f>
        <v>-1408.994302229117</v>
      </c>
      <c r="P2633">
        <f>-575.383836904923 -90.217455459772 -423.403990052547</f>
        <v>-1089.0052824172419</v>
      </c>
      <c r="Q2633">
        <f>-326.29346003665 -16.8832530797984 -408.633699149923</f>
        <v>-751.81041226637149</v>
      </c>
      <c r="R2633" t="s">
        <v>51846</v>
      </c>
      <c r="S2633" t="s">
        <v>51847</v>
      </c>
      <c r="T2633" t="s">
        <v>51848</v>
      </c>
      <c r="U2633" t="s">
        <v>51849</v>
      </c>
      <c r="V2633" t="s">
        <v>51850</v>
      </c>
      <c r="W2633" t="s">
        <v>51851</v>
      </c>
      <c r="X2633" t="s">
        <v>51852</v>
      </c>
      <c r="Y2633" t="s">
        <v>51853</v>
      </c>
    </row>
    <row r="2634" spans="1:25" x14ac:dyDescent="0.3">
      <c r="A2634">
        <v>131650</v>
      </c>
      <c r="B2634" t="s">
        <v>51854</v>
      </c>
      <c r="C2634" t="s">
        <v>51855</v>
      </c>
      <c r="D2634" t="s">
        <v>51856</v>
      </c>
      <c r="E2634" t="s">
        <v>51857</v>
      </c>
      <c r="F2634" t="s">
        <v>51858</v>
      </c>
      <c r="G2634" t="s">
        <v>51859</v>
      </c>
      <c r="H2634" t="s">
        <v>51860</v>
      </c>
      <c r="I2634" t="s">
        <v>51861</v>
      </c>
      <c r="J2634" t="s">
        <v>51862</v>
      </c>
      <c r="K2634" t="s">
        <v>51863</v>
      </c>
      <c r="L2634" t="s">
        <v>51864</v>
      </c>
      <c r="M2634" t="s">
        <v>51865</v>
      </c>
      <c r="N2634" t="s">
        <v>51866</v>
      </c>
      <c r="O2634">
        <f>-562.708781421152 -105.716654141445 -739.66541582974</f>
        <v>-1408.0908513923371</v>
      </c>
      <c r="P2634">
        <f>-574.651004950084 -90.2313783556966 -423.748027772385</f>
        <v>-1088.6304110781657</v>
      </c>
      <c r="Q2634">
        <f>-325.111720741082 -18.3784457390915 -409.278476008981</f>
        <v>-752.76864248915444</v>
      </c>
      <c r="R2634" t="s">
        <v>51867</v>
      </c>
      <c r="S2634" t="s">
        <v>51868</v>
      </c>
      <c r="T2634" t="s">
        <v>51869</v>
      </c>
      <c r="U2634" t="s">
        <v>51870</v>
      </c>
      <c r="V2634" t="s">
        <v>51871</v>
      </c>
      <c r="W2634" t="s">
        <v>51872</v>
      </c>
      <c r="X2634" t="s">
        <v>51873</v>
      </c>
      <c r="Y2634" t="s">
        <v>51874</v>
      </c>
    </row>
    <row r="2635" spans="1:25" x14ac:dyDescent="0.3">
      <c r="A2635">
        <v>131700</v>
      </c>
      <c r="B2635" t="s">
        <v>51875</v>
      </c>
      <c r="C2635" t="s">
        <v>51876</v>
      </c>
      <c r="D2635" t="s">
        <v>51877</v>
      </c>
      <c r="E2635" t="s">
        <v>51878</v>
      </c>
      <c r="F2635" t="s">
        <v>51879</v>
      </c>
      <c r="G2635" t="s">
        <v>51880</v>
      </c>
      <c r="H2635" t="s">
        <v>51881</v>
      </c>
      <c r="I2635" t="s">
        <v>51882</v>
      </c>
      <c r="J2635" t="s">
        <v>51883</v>
      </c>
      <c r="K2635" t="s">
        <v>51884</v>
      </c>
      <c r="L2635" t="s">
        <v>51885</v>
      </c>
      <c r="M2635" t="s">
        <v>51886</v>
      </c>
      <c r="N2635" t="s">
        <v>51887</v>
      </c>
      <c r="O2635">
        <f>-562.30727600624 -105.685451204077 -739.786016040216</f>
        <v>-1407.7787432505331</v>
      </c>
      <c r="P2635">
        <f>-574.230298376599 -90.3438453127742 -423.861026554664</f>
        <v>-1088.4351702440372</v>
      </c>
      <c r="Q2635">
        <f>-324.383295407359 -19.5342207268134 -409.560151716335</f>
        <v>-753.47766785050737</v>
      </c>
      <c r="R2635" t="s">
        <v>51888</v>
      </c>
      <c r="S2635" t="s">
        <v>51889</v>
      </c>
      <c r="T2635" t="s">
        <v>51890</v>
      </c>
      <c r="U2635" t="s">
        <v>51891</v>
      </c>
      <c r="V2635" t="s">
        <v>51892</v>
      </c>
      <c r="W2635" t="s">
        <v>51893</v>
      </c>
      <c r="X2635" t="s">
        <v>51894</v>
      </c>
      <c r="Y2635" t="s">
        <v>51895</v>
      </c>
    </row>
    <row r="2636" spans="1:25" x14ac:dyDescent="0.3">
      <c r="A2636">
        <v>131750</v>
      </c>
      <c r="B2636" t="s">
        <v>51896</v>
      </c>
      <c r="C2636" t="s">
        <v>51897</v>
      </c>
      <c r="D2636" t="s">
        <v>51898</v>
      </c>
      <c r="E2636" t="s">
        <v>51899</v>
      </c>
      <c r="F2636" t="s">
        <v>51900</v>
      </c>
      <c r="G2636" t="s">
        <v>51901</v>
      </c>
      <c r="H2636" t="s">
        <v>51902</v>
      </c>
      <c r="I2636" t="s">
        <v>51903</v>
      </c>
      <c r="J2636" t="s">
        <v>51904</v>
      </c>
      <c r="K2636" t="s">
        <v>51905</v>
      </c>
      <c r="L2636" t="s">
        <v>51906</v>
      </c>
      <c r="M2636" t="s">
        <v>51907</v>
      </c>
      <c r="N2636" t="s">
        <v>51908</v>
      </c>
      <c r="O2636">
        <f>-562.053656627451 -105.415486560932 -739.970567286357</f>
        <v>-1407.43971047474</v>
      </c>
      <c r="P2636">
        <f>-573.834199483731 -90.3442170495429 -424.027095880806</f>
        <v>-1088.2055124140797</v>
      </c>
      <c r="Q2636">
        <f>-323.407749697218 -21.590437069671 -409.829824654951</f>
        <v>-754.82801142183996</v>
      </c>
      <c r="R2636" t="s">
        <v>51909</v>
      </c>
      <c r="S2636" t="s">
        <v>51910</v>
      </c>
      <c r="T2636" t="s">
        <v>51911</v>
      </c>
      <c r="U2636" t="s">
        <v>51912</v>
      </c>
      <c r="V2636" t="s">
        <v>51913</v>
      </c>
      <c r="W2636" t="s">
        <v>51914</v>
      </c>
      <c r="X2636" t="s">
        <v>51915</v>
      </c>
      <c r="Y2636" t="s">
        <v>51916</v>
      </c>
    </row>
    <row r="2637" spans="1:25" x14ac:dyDescent="0.3">
      <c r="A2637">
        <v>131800</v>
      </c>
      <c r="B2637" t="s">
        <v>51917</v>
      </c>
      <c r="C2637" t="s">
        <v>51918</v>
      </c>
      <c r="D2637" t="s">
        <v>51919</v>
      </c>
      <c r="E2637" t="s">
        <v>51920</v>
      </c>
      <c r="F2637" t="s">
        <v>51921</v>
      </c>
      <c r="G2637" t="s">
        <v>51922</v>
      </c>
      <c r="H2637" t="s">
        <v>51923</v>
      </c>
      <c r="I2637" t="s">
        <v>51924</v>
      </c>
      <c r="J2637" t="s">
        <v>51925</v>
      </c>
      <c r="K2637" t="s">
        <v>51926</v>
      </c>
      <c r="L2637" t="s">
        <v>51927</v>
      </c>
      <c r="M2637" t="s">
        <v>51928</v>
      </c>
      <c r="N2637" t="s">
        <v>51929</v>
      </c>
      <c r="O2637">
        <f>-561.987266152305 -105.111756532228 -740.019155462693</f>
        <v>-1407.118178147226</v>
      </c>
      <c r="P2637">
        <f>-573.644682987194 -90.0531846034079 -424.070512822566</f>
        <v>-1087.768380413168</v>
      </c>
      <c r="Q2637">
        <f>-322.972977820392 -22.1760620997655 -409.983324530481</f>
        <v>-755.13236445063853</v>
      </c>
      <c r="R2637" t="s">
        <v>51930</v>
      </c>
      <c r="S2637" t="s">
        <v>51931</v>
      </c>
      <c r="T2637" t="s">
        <v>51932</v>
      </c>
      <c r="U2637" t="s">
        <v>51933</v>
      </c>
      <c r="V2637" t="s">
        <v>51934</v>
      </c>
      <c r="W2637" t="s">
        <v>51935</v>
      </c>
      <c r="X2637" t="s">
        <v>51936</v>
      </c>
      <c r="Y2637" t="s">
        <v>51937</v>
      </c>
    </row>
    <row r="2638" spans="1:25" x14ac:dyDescent="0.3">
      <c r="A2638">
        <v>131850</v>
      </c>
      <c r="B2638" t="s">
        <v>51938</v>
      </c>
      <c r="C2638" t="s">
        <v>51939</v>
      </c>
      <c r="D2638" t="s">
        <v>51940</v>
      </c>
      <c r="E2638" t="s">
        <v>51941</v>
      </c>
      <c r="F2638" t="s">
        <v>51942</v>
      </c>
      <c r="G2638" t="s">
        <v>51943</v>
      </c>
      <c r="H2638" t="s">
        <v>51944</v>
      </c>
      <c r="I2638" t="s">
        <v>51945</v>
      </c>
      <c r="J2638" t="s">
        <v>51946</v>
      </c>
      <c r="K2638" t="s">
        <v>51947</v>
      </c>
      <c r="L2638" t="s">
        <v>51948</v>
      </c>
      <c r="M2638" t="s">
        <v>51949</v>
      </c>
      <c r="N2638" t="s">
        <v>51950</v>
      </c>
      <c r="O2638">
        <f>-561.630281988359 -104.495146263804 -740.003674423128</f>
        <v>-1406.1291026752911</v>
      </c>
      <c r="P2638">
        <f>-573.160013961113 -89.0694299117179 -424.06808967038</f>
        <v>-1086.2975335432109</v>
      </c>
      <c r="Q2638">
        <f>-322.197854410425 -22.212642676544 -410.275993358579</f>
        <v>-754.68649044554809</v>
      </c>
      <c r="R2638" t="s">
        <v>51951</v>
      </c>
      <c r="S2638" t="s">
        <v>51952</v>
      </c>
      <c r="T2638" t="s">
        <v>51953</v>
      </c>
      <c r="U2638" t="s">
        <v>51954</v>
      </c>
      <c r="V2638" t="s">
        <v>51955</v>
      </c>
      <c r="W2638" t="s">
        <v>51956</v>
      </c>
      <c r="X2638" t="s">
        <v>51957</v>
      </c>
      <c r="Y2638" t="s">
        <v>51958</v>
      </c>
    </row>
    <row r="2639" spans="1:25" x14ac:dyDescent="0.3">
      <c r="A2639">
        <v>131900</v>
      </c>
      <c r="B2639" t="s">
        <v>51959</v>
      </c>
      <c r="C2639" t="s">
        <v>51960</v>
      </c>
      <c r="D2639" t="s">
        <v>51961</v>
      </c>
      <c r="E2639" t="s">
        <v>51962</v>
      </c>
      <c r="F2639" t="s">
        <v>51963</v>
      </c>
      <c r="G2639" t="s">
        <v>51964</v>
      </c>
      <c r="H2639" t="s">
        <v>51965</v>
      </c>
      <c r="I2639" t="s">
        <v>51966</v>
      </c>
      <c r="J2639" t="s">
        <v>51967</v>
      </c>
      <c r="K2639" t="s">
        <v>51968</v>
      </c>
      <c r="L2639" t="s">
        <v>51969</v>
      </c>
      <c r="M2639" t="s">
        <v>51970</v>
      </c>
      <c r="N2639" t="s">
        <v>51971</v>
      </c>
      <c r="O2639">
        <f>-561.399498858144 -104.23760571514 -739.913072075093</f>
        <v>-1405.5501766483771</v>
      </c>
      <c r="P2639">
        <f>-572.897040074937 -88.5090842905262 -423.991258076803</f>
        <v>-1085.397382442266</v>
      </c>
      <c r="Q2639">
        <f>-321.928540816259 -21.6794847522347 -410.182102940836</f>
        <v>-753.79012850932963</v>
      </c>
      <c r="R2639" t="s">
        <v>51972</v>
      </c>
      <c r="S2639" t="s">
        <v>51973</v>
      </c>
      <c r="T2639" t="s">
        <v>51974</v>
      </c>
      <c r="U2639" t="s">
        <v>51975</v>
      </c>
      <c r="V2639" t="s">
        <v>51976</v>
      </c>
      <c r="W2639" t="s">
        <v>51977</v>
      </c>
      <c r="X2639" t="s">
        <v>51978</v>
      </c>
      <c r="Y2639" t="s">
        <v>51979</v>
      </c>
    </row>
    <row r="2640" spans="1:25" x14ac:dyDescent="0.3">
      <c r="A2640">
        <v>131950</v>
      </c>
      <c r="B2640" t="s">
        <v>51980</v>
      </c>
      <c r="C2640" t="s">
        <v>51981</v>
      </c>
      <c r="D2640" t="s">
        <v>51982</v>
      </c>
      <c r="E2640" t="s">
        <v>51983</v>
      </c>
      <c r="F2640" t="s">
        <v>51984</v>
      </c>
      <c r="G2640" t="s">
        <v>51985</v>
      </c>
      <c r="H2640" t="s">
        <v>51986</v>
      </c>
      <c r="I2640" t="s">
        <v>51987</v>
      </c>
      <c r="J2640" t="s">
        <v>51988</v>
      </c>
      <c r="K2640" t="s">
        <v>51989</v>
      </c>
      <c r="L2640" t="s">
        <v>51990</v>
      </c>
      <c r="M2640" t="s">
        <v>51991</v>
      </c>
      <c r="N2640" t="s">
        <v>51992</v>
      </c>
      <c r="O2640">
        <f>-560.89148409978 -104.492589669479 -739.681458142705</f>
        <v>-1405.0655319119639</v>
      </c>
      <c r="P2640">
        <f>-572.331626124279 -88.5104561464633 -423.77016248728</f>
        <v>-1084.6122447580224</v>
      </c>
      <c r="Q2640">
        <f>-321.598613261469 -20.8595765029117 -409.685091502872</f>
        <v>-752.14328126725263</v>
      </c>
      <c r="R2640" t="s">
        <v>51993</v>
      </c>
      <c r="S2640" t="s">
        <v>51994</v>
      </c>
      <c r="T2640" t="s">
        <v>51995</v>
      </c>
      <c r="U2640" t="s">
        <v>51996</v>
      </c>
      <c r="V2640" t="s">
        <v>51997</v>
      </c>
      <c r="W2640" t="s">
        <v>51998</v>
      </c>
      <c r="X2640" t="s">
        <v>51999</v>
      </c>
      <c r="Y2640" t="s">
        <v>52000</v>
      </c>
    </row>
    <row r="2641" spans="1:25" x14ac:dyDescent="0.3">
      <c r="A2641">
        <v>132000</v>
      </c>
      <c r="B2641" t="s">
        <v>52001</v>
      </c>
      <c r="C2641" t="s">
        <v>52002</v>
      </c>
      <c r="D2641" t="s">
        <v>52003</v>
      </c>
      <c r="E2641" t="s">
        <v>52004</v>
      </c>
      <c r="F2641" t="s">
        <v>52005</v>
      </c>
      <c r="G2641" t="s">
        <v>52006</v>
      </c>
      <c r="H2641" t="s">
        <v>52007</v>
      </c>
      <c r="I2641" t="s">
        <v>52008</v>
      </c>
      <c r="J2641" t="s">
        <v>52009</v>
      </c>
      <c r="K2641" t="s">
        <v>52010</v>
      </c>
      <c r="L2641" t="s">
        <v>52011</v>
      </c>
      <c r="M2641" t="s">
        <v>52012</v>
      </c>
      <c r="N2641" t="s">
        <v>52013</v>
      </c>
      <c r="O2641">
        <f>-560.622116789158 -104.553076661089 -739.499279999935</f>
        <v>-1404.6744734501819</v>
      </c>
      <c r="P2641">
        <f>-571.96706332168 -88.3543925395734 -423.595741920655</f>
        <v>-1083.9171977819083</v>
      </c>
      <c r="Q2641">
        <f>-321.369658003082 -20.2178768096097 -409.439469797893</f>
        <v>-751.02700461058475</v>
      </c>
      <c r="R2641" t="s">
        <v>52014</v>
      </c>
      <c r="S2641" t="s">
        <v>52015</v>
      </c>
      <c r="T2641" t="s">
        <v>52016</v>
      </c>
      <c r="U2641" t="s">
        <v>52017</v>
      </c>
      <c r="V2641" t="s">
        <v>52018</v>
      </c>
      <c r="W2641" t="s">
        <v>52019</v>
      </c>
      <c r="X2641" t="s">
        <v>52020</v>
      </c>
      <c r="Y2641" t="s">
        <v>52021</v>
      </c>
    </row>
    <row r="2642" spans="1:25" x14ac:dyDescent="0.3">
      <c r="A2642">
        <v>132050</v>
      </c>
      <c r="B2642" t="s">
        <v>52022</v>
      </c>
      <c r="C2642" t="s">
        <v>52023</v>
      </c>
      <c r="D2642" t="s">
        <v>52024</v>
      </c>
      <c r="E2642" t="s">
        <v>52025</v>
      </c>
      <c r="F2642" t="s">
        <v>52026</v>
      </c>
      <c r="G2642" t="s">
        <v>52027</v>
      </c>
      <c r="H2642" t="s">
        <v>52028</v>
      </c>
      <c r="I2642" t="s">
        <v>52029</v>
      </c>
      <c r="J2642" t="s">
        <v>52030</v>
      </c>
      <c r="K2642" t="s">
        <v>52031</v>
      </c>
      <c r="L2642" t="s">
        <v>52032</v>
      </c>
      <c r="M2642" t="s">
        <v>52033</v>
      </c>
      <c r="N2642" t="s">
        <v>52034</v>
      </c>
      <c r="O2642">
        <f>-559.879855001473 -104.566023500727 -739.221891131355</f>
        <v>-1403.6677696335551</v>
      </c>
      <c r="P2642">
        <f>-571.007896387814 -87.9949724102599 -423.32976876481</f>
        <v>-1082.332637562884</v>
      </c>
      <c r="Q2642">
        <f>-320.653056073015 -18.8963629825014 -409.550408242012</f>
        <v>-749.09982729752846</v>
      </c>
      <c r="R2642" t="s">
        <v>52035</v>
      </c>
      <c r="S2642" t="s">
        <v>52036</v>
      </c>
      <c r="T2642" t="s">
        <v>52037</v>
      </c>
      <c r="U2642" t="s">
        <v>52038</v>
      </c>
      <c r="V2642" t="s">
        <v>52039</v>
      </c>
      <c r="W2642" t="s">
        <v>52040</v>
      </c>
      <c r="X2642" t="s">
        <v>52041</v>
      </c>
      <c r="Y2642" t="s">
        <v>52042</v>
      </c>
    </row>
    <row r="2643" spans="1:25" x14ac:dyDescent="0.3">
      <c r="A2643">
        <v>132100</v>
      </c>
      <c r="B2643" t="s">
        <v>52043</v>
      </c>
      <c r="C2643" t="s">
        <v>52044</v>
      </c>
      <c r="D2643" t="s">
        <v>52045</v>
      </c>
      <c r="E2643" t="s">
        <v>52046</v>
      </c>
      <c r="F2643" t="s">
        <v>52047</v>
      </c>
      <c r="G2643" t="s">
        <v>52048</v>
      </c>
      <c r="H2643" t="s">
        <v>52049</v>
      </c>
      <c r="I2643" t="s">
        <v>52050</v>
      </c>
      <c r="J2643" t="s">
        <v>52051</v>
      </c>
      <c r="K2643" t="s">
        <v>52052</v>
      </c>
      <c r="L2643" t="s">
        <v>52053</v>
      </c>
      <c r="M2643" t="s">
        <v>52054</v>
      </c>
      <c r="N2643" t="s">
        <v>52055</v>
      </c>
      <c r="O2643">
        <f>-559.582867651894 -104.529249135207 -739.02496965397</f>
        <v>-1403.137086441071</v>
      </c>
      <c r="P2643">
        <f>-570.333320265794 -87.9300557724612 -423.121192327692</f>
        <v>-1081.3845683659472</v>
      </c>
      <c r="Q2643">
        <f>-320.043704219135 -18.552602835572 -409.560421282975</f>
        <v>-748.15672833768201</v>
      </c>
      <c r="R2643" t="s">
        <v>52056</v>
      </c>
      <c r="S2643" t="s">
        <v>52057</v>
      </c>
      <c r="T2643" t="s">
        <v>52058</v>
      </c>
      <c r="U2643" t="s">
        <v>52059</v>
      </c>
      <c r="V2643" t="s">
        <v>52060</v>
      </c>
      <c r="W2643" t="s">
        <v>52061</v>
      </c>
      <c r="X2643" t="s">
        <v>52062</v>
      </c>
      <c r="Y2643" t="s">
        <v>52063</v>
      </c>
    </row>
    <row r="2644" spans="1:25" x14ac:dyDescent="0.3">
      <c r="A2644">
        <v>132150</v>
      </c>
      <c r="B2644" t="s">
        <v>52064</v>
      </c>
      <c r="C2644" t="s">
        <v>52065</v>
      </c>
      <c r="D2644" t="s">
        <v>52066</v>
      </c>
      <c r="E2644" t="s">
        <v>52067</v>
      </c>
      <c r="F2644" t="s">
        <v>52068</v>
      </c>
      <c r="G2644" t="s">
        <v>52069</v>
      </c>
      <c r="H2644" t="s">
        <v>52070</v>
      </c>
      <c r="I2644" t="s">
        <v>52071</v>
      </c>
      <c r="J2644" t="s">
        <v>52072</v>
      </c>
      <c r="K2644" t="s">
        <v>52073</v>
      </c>
      <c r="L2644" t="s">
        <v>52074</v>
      </c>
      <c r="M2644" t="s">
        <v>52075</v>
      </c>
      <c r="N2644" t="s">
        <v>52076</v>
      </c>
      <c r="O2644">
        <f>-559.727235655604 -104.263595745486 -738.702508011061</f>
        <v>-1402.6933394121511</v>
      </c>
      <c r="P2644">
        <f>-569.668205373842 -87.6072297011239 -422.775507292867</f>
        <v>-1080.0509423678329</v>
      </c>
      <c r="Q2644">
        <f>-319.589361591917 -17.3492251143556 -409.873739708038</f>
        <v>-746.81232641431052</v>
      </c>
      <c r="R2644" t="s">
        <v>52077</v>
      </c>
      <c r="S2644" t="s">
        <v>52078</v>
      </c>
      <c r="T2644" t="s">
        <v>52079</v>
      </c>
      <c r="U2644" t="s">
        <v>52080</v>
      </c>
      <c r="V2644" t="s">
        <v>52081</v>
      </c>
      <c r="W2644" t="s">
        <v>52082</v>
      </c>
      <c r="X2644" t="s">
        <v>52083</v>
      </c>
      <c r="Y2644" t="s">
        <v>52084</v>
      </c>
    </row>
    <row r="2645" spans="1:25" x14ac:dyDescent="0.3">
      <c r="A2645">
        <v>132200</v>
      </c>
      <c r="B2645" t="s">
        <v>52085</v>
      </c>
      <c r="C2645" t="s">
        <v>52086</v>
      </c>
      <c r="D2645" t="s">
        <v>52087</v>
      </c>
      <c r="E2645" t="s">
        <v>52088</v>
      </c>
      <c r="F2645" t="s">
        <v>52089</v>
      </c>
      <c r="G2645" t="s">
        <v>52090</v>
      </c>
      <c r="H2645" t="s">
        <v>52091</v>
      </c>
      <c r="I2645" t="s">
        <v>52092</v>
      </c>
      <c r="J2645" t="s">
        <v>52093</v>
      </c>
      <c r="K2645" t="s">
        <v>52094</v>
      </c>
      <c r="L2645" t="s">
        <v>52095</v>
      </c>
      <c r="M2645" t="s">
        <v>52096</v>
      </c>
      <c r="N2645" t="s">
        <v>52097</v>
      </c>
      <c r="O2645">
        <f>-560.000151431487 -104.018203043858 -738.577147619186</f>
        <v>-1402.595502094531</v>
      </c>
      <c r="P2645">
        <f>-569.473402198431 -87.464683064416 -422.630379642321</f>
        <v>-1079.568464905168</v>
      </c>
      <c r="Q2645">
        <f>-319.497833944625 -16.7998539161966 -409.950340222813</f>
        <v>-746.24802808363461</v>
      </c>
      <c r="R2645" t="s">
        <v>52098</v>
      </c>
      <c r="S2645" t="s">
        <v>52099</v>
      </c>
      <c r="T2645" t="s">
        <v>52100</v>
      </c>
      <c r="U2645" t="s">
        <v>52101</v>
      </c>
      <c r="V2645" t="s">
        <v>52102</v>
      </c>
      <c r="W2645" t="s">
        <v>52103</v>
      </c>
      <c r="X2645" t="s">
        <v>52104</v>
      </c>
      <c r="Y2645" t="s">
        <v>52105</v>
      </c>
    </row>
    <row r="2646" spans="1:25" x14ac:dyDescent="0.3">
      <c r="A2646">
        <v>132250</v>
      </c>
      <c r="B2646" t="s">
        <v>52106</v>
      </c>
      <c r="C2646" t="s">
        <v>52107</v>
      </c>
      <c r="D2646" t="s">
        <v>52108</v>
      </c>
      <c r="E2646" t="s">
        <v>52109</v>
      </c>
      <c r="F2646" t="s">
        <v>52110</v>
      </c>
      <c r="G2646" t="s">
        <v>52111</v>
      </c>
      <c r="H2646" t="s">
        <v>52112</v>
      </c>
      <c r="I2646" t="s">
        <v>52113</v>
      </c>
      <c r="J2646" t="s">
        <v>52114</v>
      </c>
      <c r="K2646" t="s">
        <v>52115</v>
      </c>
      <c r="L2646" t="s">
        <v>52116</v>
      </c>
      <c r="M2646" t="s">
        <v>52117</v>
      </c>
      <c r="N2646" t="s">
        <v>52118</v>
      </c>
      <c r="O2646">
        <f>-559.956572090857 -103.791631922717 -738.322733810126</f>
        <v>-1402.0709378237</v>
      </c>
      <c r="P2646">
        <f>-569.227031968161 -87.141662277516 -422.374898818994</f>
        <v>-1078.7435930646711</v>
      </c>
      <c r="Q2646">
        <f>-319.446986971702 -15.6920954302814 -410.252112479561</f>
        <v>-745.39119488154438</v>
      </c>
      <c r="R2646" t="s">
        <v>52119</v>
      </c>
      <c r="S2646" t="s">
        <v>52120</v>
      </c>
      <c r="T2646" t="s">
        <v>52121</v>
      </c>
      <c r="U2646" t="s">
        <v>52122</v>
      </c>
      <c r="V2646" t="s">
        <v>52123</v>
      </c>
      <c r="W2646" t="s">
        <v>52124</v>
      </c>
      <c r="X2646" t="s">
        <v>52125</v>
      </c>
      <c r="Y2646" t="s">
        <v>52126</v>
      </c>
    </row>
    <row r="2647" spans="1:25" x14ac:dyDescent="0.3">
      <c r="A2647">
        <v>132300</v>
      </c>
      <c r="B2647" t="s">
        <v>52127</v>
      </c>
      <c r="C2647" t="s">
        <v>52128</v>
      </c>
      <c r="D2647" t="s">
        <v>52129</v>
      </c>
      <c r="E2647" t="s">
        <v>52130</v>
      </c>
      <c r="F2647" t="s">
        <v>52131</v>
      </c>
      <c r="G2647" t="s">
        <v>52132</v>
      </c>
      <c r="H2647" t="s">
        <v>52133</v>
      </c>
      <c r="I2647" t="s">
        <v>52134</v>
      </c>
      <c r="J2647" t="s">
        <v>52135</v>
      </c>
      <c r="K2647" t="s">
        <v>52136</v>
      </c>
      <c r="L2647" t="s">
        <v>52137</v>
      </c>
      <c r="M2647" t="s">
        <v>52138</v>
      </c>
      <c r="N2647" t="s">
        <v>52139</v>
      </c>
      <c r="O2647">
        <f>-559.985655415409 -103.48789006046 -738.324856235054</f>
        <v>-1401.7984017109229</v>
      </c>
      <c r="P2647">
        <f>-569.336294110962 -86.7009714253558 -422.386604230018</f>
        <v>-1078.4238697663357</v>
      </c>
      <c r="Q2647">
        <f>-319.6370769646 -14.9665676346334 -410.28126480966</f>
        <v>-744.88490940889346</v>
      </c>
      <c r="R2647" t="s">
        <v>52140</v>
      </c>
      <c r="S2647" t="s">
        <v>52141</v>
      </c>
      <c r="T2647" t="s">
        <v>52142</v>
      </c>
      <c r="U2647" t="s">
        <v>52143</v>
      </c>
      <c r="V2647" t="s">
        <v>52144</v>
      </c>
      <c r="W2647" t="s">
        <v>52145</v>
      </c>
      <c r="X2647" t="s">
        <v>52146</v>
      </c>
      <c r="Y2647" t="s">
        <v>52147</v>
      </c>
    </row>
    <row r="2648" spans="1:25" x14ac:dyDescent="0.3">
      <c r="A2648">
        <v>132350</v>
      </c>
      <c r="B2648" t="s">
        <v>52148</v>
      </c>
      <c r="C2648" t="s">
        <v>52149</v>
      </c>
      <c r="D2648" t="s">
        <v>52150</v>
      </c>
      <c r="E2648" t="s">
        <v>52151</v>
      </c>
      <c r="F2648" t="s">
        <v>52152</v>
      </c>
      <c r="G2648" t="s">
        <v>52153</v>
      </c>
      <c r="H2648" t="s">
        <v>52154</v>
      </c>
      <c r="I2648" t="s">
        <v>52155</v>
      </c>
      <c r="J2648" t="s">
        <v>52156</v>
      </c>
      <c r="K2648" t="s">
        <v>52157</v>
      </c>
      <c r="L2648" t="s">
        <v>52158</v>
      </c>
      <c r="M2648" t="s">
        <v>52159</v>
      </c>
      <c r="N2648" t="s">
        <v>52160</v>
      </c>
      <c r="O2648">
        <f>-560.241094825007 -102.777672808483 -738.403522685289</f>
        <v>-1401.422290318779</v>
      </c>
      <c r="P2648">
        <f>-569.893247610041 -85.9099011211246 -422.478579259508</f>
        <v>-1078.2817279906735</v>
      </c>
      <c r="Q2648">
        <f>-320.356616205791 -13.6782152214014 -409.984808937992</f>
        <v>-744.01964036518439</v>
      </c>
      <c r="R2648" t="s">
        <v>52161</v>
      </c>
      <c r="S2648" t="s">
        <v>52162</v>
      </c>
      <c r="T2648" t="s">
        <v>52163</v>
      </c>
      <c r="U2648" t="s">
        <v>52164</v>
      </c>
      <c r="V2648" t="s">
        <v>52165</v>
      </c>
      <c r="W2648" t="s">
        <v>52166</v>
      </c>
      <c r="X2648" t="s">
        <v>52167</v>
      </c>
      <c r="Y2648" t="s">
        <v>52168</v>
      </c>
    </row>
    <row r="2649" spans="1:25" x14ac:dyDescent="0.3">
      <c r="A2649">
        <v>132400</v>
      </c>
      <c r="B2649" t="s">
        <v>52169</v>
      </c>
      <c r="C2649" t="s">
        <v>52170</v>
      </c>
      <c r="D2649" t="s">
        <v>52171</v>
      </c>
      <c r="E2649" t="s">
        <v>52172</v>
      </c>
      <c r="F2649" t="s">
        <v>52173</v>
      </c>
      <c r="G2649" t="s">
        <v>52174</v>
      </c>
      <c r="H2649" t="s">
        <v>52175</v>
      </c>
      <c r="I2649" t="s">
        <v>52176</v>
      </c>
      <c r="J2649" t="s">
        <v>52177</v>
      </c>
      <c r="K2649" t="s">
        <v>52178</v>
      </c>
      <c r="L2649" t="s">
        <v>52179</v>
      </c>
      <c r="M2649" t="s">
        <v>52180</v>
      </c>
      <c r="N2649" t="s">
        <v>52181</v>
      </c>
      <c r="O2649">
        <f>-560.387458883168 -102.465802644985 -738.458681880542</f>
        <v>-1401.3119434086952</v>
      </c>
      <c r="P2649">
        <f>-570.274978926891 -85.3868330117998 -422.552540374625</f>
        <v>-1078.2143523133159</v>
      </c>
      <c r="Q2649">
        <f>-320.790010739365 -13.0114447226771 -409.85972926048</f>
        <v>-743.66118472252208</v>
      </c>
      <c r="R2649" t="s">
        <v>52182</v>
      </c>
      <c r="S2649" t="s">
        <v>52183</v>
      </c>
      <c r="T2649" t="s">
        <v>52184</v>
      </c>
      <c r="U2649" t="s">
        <v>52185</v>
      </c>
      <c r="V2649" t="s">
        <v>52186</v>
      </c>
      <c r="W2649" t="s">
        <v>52187</v>
      </c>
      <c r="X2649" t="s">
        <v>52188</v>
      </c>
      <c r="Y2649" t="s">
        <v>52189</v>
      </c>
    </row>
    <row r="2650" spans="1:25" x14ac:dyDescent="0.3">
      <c r="A2650">
        <v>132450</v>
      </c>
      <c r="B2650" t="s">
        <v>52190</v>
      </c>
      <c r="C2650" t="s">
        <v>52191</v>
      </c>
      <c r="D2650" t="s">
        <v>52192</v>
      </c>
      <c r="E2650" t="s">
        <v>52193</v>
      </c>
      <c r="F2650" t="s">
        <v>52194</v>
      </c>
      <c r="G2650" t="s">
        <v>52195</v>
      </c>
      <c r="H2650" t="s">
        <v>52196</v>
      </c>
      <c r="I2650" t="s">
        <v>52197</v>
      </c>
      <c r="J2650" t="s">
        <v>52198</v>
      </c>
      <c r="K2650" t="s">
        <v>52199</v>
      </c>
      <c r="L2650" t="s">
        <v>52200</v>
      </c>
      <c r="M2650" t="s">
        <v>52201</v>
      </c>
      <c r="N2650" t="s">
        <v>52202</v>
      </c>
      <c r="O2650">
        <f>-561.135919728316 -101.704542340721 -738.482879948346</f>
        <v>-1401.3233420173829</v>
      </c>
      <c r="P2650">
        <f>-571.167039120851 -84.5164839499177 -422.5872128442</f>
        <v>-1078.2707359149686</v>
      </c>
      <c r="Q2650">
        <f>-321.671213928437 -12.2408428942186 -409.543763204247</f>
        <v>-743.45582002690253</v>
      </c>
      <c r="R2650" t="s">
        <v>52203</v>
      </c>
      <c r="S2650" t="s">
        <v>52204</v>
      </c>
      <c r="T2650" t="s">
        <v>52205</v>
      </c>
      <c r="U2650" t="s">
        <v>52206</v>
      </c>
      <c r="V2650" t="s">
        <v>52207</v>
      </c>
      <c r="W2650" t="s">
        <v>52208</v>
      </c>
      <c r="X2650" t="s">
        <v>52209</v>
      </c>
      <c r="Y2650" t="s">
        <v>52210</v>
      </c>
    </row>
    <row r="2651" spans="1:25" x14ac:dyDescent="0.3">
      <c r="A2651">
        <v>132500</v>
      </c>
      <c r="B2651" t="s">
        <v>52211</v>
      </c>
      <c r="C2651" t="s">
        <v>52212</v>
      </c>
      <c r="D2651" t="s">
        <v>52213</v>
      </c>
      <c r="E2651" t="s">
        <v>52214</v>
      </c>
      <c r="F2651" t="s">
        <v>52215</v>
      </c>
      <c r="G2651" t="s">
        <v>52216</v>
      </c>
      <c r="H2651" t="s">
        <v>52217</v>
      </c>
      <c r="I2651" t="s">
        <v>52218</v>
      </c>
      <c r="J2651" t="s">
        <v>52219</v>
      </c>
      <c r="K2651" t="s">
        <v>52220</v>
      </c>
      <c r="L2651" t="s">
        <v>52221</v>
      </c>
      <c r="M2651" t="s">
        <v>52222</v>
      </c>
      <c r="N2651" t="s">
        <v>52223</v>
      </c>
      <c r="O2651">
        <f>-561.500063026593 -101.213883437624 -738.521476278429</f>
        <v>-1401.2354227426458</v>
      </c>
      <c r="P2651">
        <f>-571.622847563007 -83.9921907222713 -422.63051376225</f>
        <v>-1078.2455520475282</v>
      </c>
      <c r="Q2651">
        <f>-322.071376647631 -11.9154987339096 -409.550918460912</f>
        <v>-743.53779384245263</v>
      </c>
      <c r="R2651" t="s">
        <v>52224</v>
      </c>
      <c r="S2651" t="s">
        <v>52225</v>
      </c>
      <c r="T2651" t="s">
        <v>52226</v>
      </c>
      <c r="U2651" t="s">
        <v>52227</v>
      </c>
      <c r="V2651" t="s">
        <v>52228</v>
      </c>
      <c r="W2651" t="s">
        <v>52229</v>
      </c>
      <c r="X2651" t="s">
        <v>52230</v>
      </c>
      <c r="Y2651" t="s">
        <v>52231</v>
      </c>
    </row>
    <row r="2652" spans="1:25" x14ac:dyDescent="0.3">
      <c r="A2652">
        <v>132550</v>
      </c>
      <c r="B2652" t="s">
        <v>52232</v>
      </c>
      <c r="C2652" t="s">
        <v>52233</v>
      </c>
      <c r="D2652" t="s">
        <v>52234</v>
      </c>
      <c r="E2652" t="s">
        <v>52235</v>
      </c>
      <c r="F2652" t="s">
        <v>52236</v>
      </c>
      <c r="G2652" t="s">
        <v>52237</v>
      </c>
      <c r="H2652" t="s">
        <v>52238</v>
      </c>
      <c r="I2652" t="s">
        <v>52239</v>
      </c>
      <c r="J2652" t="s">
        <v>52240</v>
      </c>
      <c r="K2652" t="s">
        <v>52241</v>
      </c>
      <c r="L2652" t="s">
        <v>52242</v>
      </c>
      <c r="M2652" t="s">
        <v>52243</v>
      </c>
      <c r="N2652" t="s">
        <v>52244</v>
      </c>
      <c r="O2652">
        <f>-562.111230328387 -100.459434390698 -738.590869589859</f>
        <v>-1401.1615343089441</v>
      </c>
      <c r="P2652">
        <f>-572.313605212252 -83.2567029310744 -422.701428168798</f>
        <v>-1078.2717363121244</v>
      </c>
      <c r="Q2652">
        <f>-322.593170877745 -11.7843237580247 -409.530756339149</f>
        <v>-743.9082509749187</v>
      </c>
      <c r="R2652" t="s">
        <v>52245</v>
      </c>
      <c r="S2652" t="s">
        <v>52246</v>
      </c>
      <c r="T2652" t="s">
        <v>52247</v>
      </c>
      <c r="U2652" t="s">
        <v>52248</v>
      </c>
      <c r="V2652" t="s">
        <v>52249</v>
      </c>
      <c r="W2652" t="s">
        <v>52250</v>
      </c>
      <c r="X2652" t="s">
        <v>52251</v>
      </c>
      <c r="Y2652" t="s">
        <v>52252</v>
      </c>
    </row>
    <row r="2653" spans="1:25" x14ac:dyDescent="0.3">
      <c r="A2653">
        <v>132600</v>
      </c>
      <c r="B2653" t="s">
        <v>52253</v>
      </c>
      <c r="C2653" t="s">
        <v>52254</v>
      </c>
      <c r="D2653" t="s">
        <v>52255</v>
      </c>
      <c r="E2653" t="s">
        <v>52256</v>
      </c>
      <c r="F2653" t="s">
        <v>52257</v>
      </c>
      <c r="G2653" t="s">
        <v>52258</v>
      </c>
      <c r="H2653" t="s">
        <v>52259</v>
      </c>
      <c r="I2653" t="s">
        <v>52260</v>
      </c>
      <c r="J2653" t="s">
        <v>52261</v>
      </c>
      <c r="K2653" t="s">
        <v>52262</v>
      </c>
      <c r="L2653" t="s">
        <v>52263</v>
      </c>
      <c r="M2653" t="s">
        <v>52264</v>
      </c>
      <c r="N2653" t="s">
        <v>52265</v>
      </c>
      <c r="O2653">
        <f>-562.607512549788 -99.9225470476439 -738.591644291011</f>
        <v>-1401.1217038884429</v>
      </c>
      <c r="P2653">
        <f>-572.792642381882 -82.8292516093719 -422.695613177215</f>
        <v>-1078.3175071684691</v>
      </c>
      <c r="Q2653">
        <f>-323.011143091994 -11.5709698584805 -409.521848518065</f>
        <v>-744.10396146853941</v>
      </c>
      <c r="R2653" t="s">
        <v>52266</v>
      </c>
      <c r="S2653" t="s">
        <v>52267</v>
      </c>
      <c r="T2653" t="s">
        <v>52268</v>
      </c>
      <c r="U2653" t="s">
        <v>52269</v>
      </c>
      <c r="V2653" t="s">
        <v>52270</v>
      </c>
      <c r="W2653" t="s">
        <v>52271</v>
      </c>
      <c r="X2653" t="s">
        <v>52272</v>
      </c>
      <c r="Y2653" t="s">
        <v>52273</v>
      </c>
    </row>
    <row r="2654" spans="1:25" x14ac:dyDescent="0.3">
      <c r="A2654">
        <v>132650</v>
      </c>
      <c r="B2654" t="s">
        <v>52274</v>
      </c>
      <c r="C2654" t="s">
        <v>52275</v>
      </c>
      <c r="D2654" t="s">
        <v>52276</v>
      </c>
      <c r="E2654" t="s">
        <v>52277</v>
      </c>
      <c r="F2654" t="s">
        <v>52278</v>
      </c>
      <c r="G2654" t="s">
        <v>52279</v>
      </c>
      <c r="H2654" t="s">
        <v>52280</v>
      </c>
      <c r="I2654" t="s">
        <v>52281</v>
      </c>
      <c r="J2654" t="s">
        <v>52282</v>
      </c>
      <c r="K2654" t="s">
        <v>52283</v>
      </c>
      <c r="L2654" t="s">
        <v>52284</v>
      </c>
      <c r="M2654" t="s">
        <v>52285</v>
      </c>
      <c r="N2654" t="s">
        <v>52286</v>
      </c>
      <c r="O2654">
        <f>-563.118952369125 -99.0083184547731 -738.689315877225</f>
        <v>-1400.816586701123</v>
      </c>
      <c r="P2654">
        <f>-573.282064236706 -81.9421525227793 -422.79119257372</f>
        <v>-1078.0154093332053</v>
      </c>
      <c r="Q2654">
        <f>-323.341860615118 -11.2502830905262 -409.577623324011</f>
        <v>-744.16976702965508</v>
      </c>
      <c r="R2654" t="s">
        <v>52287</v>
      </c>
      <c r="S2654" t="s">
        <v>52288</v>
      </c>
      <c r="T2654" t="s">
        <v>52289</v>
      </c>
      <c r="U2654" t="s">
        <v>52290</v>
      </c>
      <c r="V2654" t="s">
        <v>52291</v>
      </c>
      <c r="W2654" t="s">
        <v>52292</v>
      </c>
      <c r="X2654" t="s">
        <v>52293</v>
      </c>
      <c r="Y2654" t="s">
        <v>52294</v>
      </c>
    </row>
    <row r="2655" spans="1:25" x14ac:dyDescent="0.3">
      <c r="A2655">
        <v>132700</v>
      </c>
      <c r="B2655" t="s">
        <v>52295</v>
      </c>
      <c r="C2655" t="s">
        <v>52296</v>
      </c>
      <c r="D2655" t="s">
        <v>52297</v>
      </c>
      <c r="E2655" t="s">
        <v>52298</v>
      </c>
      <c r="F2655" t="s">
        <v>52299</v>
      </c>
      <c r="G2655" t="s">
        <v>52300</v>
      </c>
      <c r="H2655" t="s">
        <v>52301</v>
      </c>
      <c r="I2655" t="s">
        <v>52302</v>
      </c>
      <c r="J2655" t="s">
        <v>52303</v>
      </c>
      <c r="K2655" t="s">
        <v>52304</v>
      </c>
      <c r="L2655" t="s">
        <v>52305</v>
      </c>
      <c r="M2655" t="s">
        <v>52306</v>
      </c>
      <c r="N2655" t="s">
        <v>52307</v>
      </c>
      <c r="O2655">
        <f>-563.321265281108 -98.401081598477 -738.817052452005</f>
        <v>-1400.5393993315902</v>
      </c>
      <c r="P2655">
        <f>-573.495864790241 -81.3851292487345 -422.916568830562</f>
        <v>-1077.7975628695376</v>
      </c>
      <c r="Q2655">
        <f>-323.51594738165 -10.8414762090821 -409.661793200179</f>
        <v>-744.01921679091106</v>
      </c>
      <c r="R2655" t="s">
        <v>52308</v>
      </c>
      <c r="S2655" t="s">
        <v>52309</v>
      </c>
      <c r="T2655" t="s">
        <v>52310</v>
      </c>
      <c r="U2655" t="s">
        <v>52311</v>
      </c>
      <c r="V2655" t="s">
        <v>52312</v>
      </c>
      <c r="W2655" t="s">
        <v>52313</v>
      </c>
      <c r="X2655" t="s">
        <v>52314</v>
      </c>
      <c r="Y2655" t="s">
        <v>52315</v>
      </c>
    </row>
    <row r="2656" spans="1:25" x14ac:dyDescent="0.3">
      <c r="A2656">
        <v>132750</v>
      </c>
      <c r="B2656" t="s">
        <v>52316</v>
      </c>
      <c r="C2656" t="s">
        <v>52317</v>
      </c>
      <c r="D2656" t="s">
        <v>52318</v>
      </c>
      <c r="E2656" t="s">
        <v>52319</v>
      </c>
      <c r="F2656" t="s">
        <v>52320</v>
      </c>
      <c r="G2656" t="s">
        <v>52321</v>
      </c>
      <c r="H2656" t="s">
        <v>52322</v>
      </c>
      <c r="I2656" t="s">
        <v>52323</v>
      </c>
      <c r="J2656" t="s">
        <v>52324</v>
      </c>
      <c r="K2656" t="s">
        <v>52325</v>
      </c>
      <c r="L2656" t="s">
        <v>52326</v>
      </c>
      <c r="M2656" t="s">
        <v>52327</v>
      </c>
      <c r="N2656" t="s">
        <v>52328</v>
      </c>
      <c r="O2656">
        <f>-563.588865291704 -97.5105221868195 -739.005505414306</f>
        <v>-1400.1048928928294</v>
      </c>
      <c r="P2656">
        <f>-573.827087944017 -80.8990901990834 -423.085470357426</f>
        <v>-1077.8116485005264</v>
      </c>
      <c r="Q2656">
        <f>-323.786751479768 -10.629171173689 -409.521037113561</f>
        <v>-743.93695976701792</v>
      </c>
      <c r="R2656" t="s">
        <v>52329</v>
      </c>
      <c r="S2656" t="s">
        <v>52330</v>
      </c>
      <c r="T2656" t="s">
        <v>52331</v>
      </c>
      <c r="U2656" t="s">
        <v>52332</v>
      </c>
      <c r="V2656" t="s">
        <v>52333</v>
      </c>
      <c r="W2656" t="s">
        <v>52334</v>
      </c>
      <c r="X2656" t="s">
        <v>52335</v>
      </c>
      <c r="Y2656" t="s">
        <v>52336</v>
      </c>
    </row>
    <row r="2657" spans="1:25" x14ac:dyDescent="0.3">
      <c r="A2657">
        <v>132800</v>
      </c>
      <c r="B2657" t="s">
        <v>52337</v>
      </c>
      <c r="C2657" t="s">
        <v>52338</v>
      </c>
      <c r="D2657" t="s">
        <v>52339</v>
      </c>
      <c r="E2657" t="s">
        <v>52340</v>
      </c>
      <c r="F2657" t="s">
        <v>52341</v>
      </c>
      <c r="G2657" t="s">
        <v>52342</v>
      </c>
      <c r="H2657" t="s">
        <v>52343</v>
      </c>
      <c r="I2657" t="s">
        <v>52344</v>
      </c>
      <c r="J2657" t="s">
        <v>52345</v>
      </c>
      <c r="K2657" t="s">
        <v>52346</v>
      </c>
      <c r="L2657" t="s">
        <v>52347</v>
      </c>
      <c r="M2657" t="s">
        <v>52348</v>
      </c>
      <c r="N2657" t="s">
        <v>52349</v>
      </c>
      <c r="O2657">
        <f>-563.492883830988 -97.3013058131287 -739.131749314869</f>
        <v>-1399.9259389589856</v>
      </c>
      <c r="P2657">
        <f>-573.890597027747 -80.7542785383167 -423.213610407718</f>
        <v>-1077.8584859737819</v>
      </c>
      <c r="Q2657">
        <f>-323.794727165644 -10.7056862223474 -409.52866501491</f>
        <v>-744.0290784029014</v>
      </c>
      <c r="R2657" t="s">
        <v>52350</v>
      </c>
      <c r="S2657" t="s">
        <v>52351</v>
      </c>
      <c r="T2657" t="s">
        <v>52352</v>
      </c>
      <c r="U2657" t="s">
        <v>52353</v>
      </c>
      <c r="V2657" t="s">
        <v>52354</v>
      </c>
      <c r="W2657" t="s">
        <v>52355</v>
      </c>
      <c r="X2657" t="s">
        <v>52356</v>
      </c>
      <c r="Y2657" t="s">
        <v>52357</v>
      </c>
    </row>
    <row r="2658" spans="1:25" x14ac:dyDescent="0.3">
      <c r="A2658">
        <v>132850</v>
      </c>
      <c r="B2658" t="s">
        <v>52358</v>
      </c>
      <c r="C2658" t="s">
        <v>52359</v>
      </c>
      <c r="D2658" t="s">
        <v>52360</v>
      </c>
      <c r="E2658" t="s">
        <v>52361</v>
      </c>
      <c r="F2658" t="s">
        <v>52362</v>
      </c>
      <c r="G2658" t="s">
        <v>52363</v>
      </c>
      <c r="H2658" t="s">
        <v>52364</v>
      </c>
      <c r="I2658" t="s">
        <v>52365</v>
      </c>
      <c r="J2658" t="s">
        <v>52366</v>
      </c>
      <c r="K2658" t="s">
        <v>52367</v>
      </c>
      <c r="L2658" t="s">
        <v>52368</v>
      </c>
      <c r="M2658" t="s">
        <v>52369</v>
      </c>
      <c r="N2658" t="s">
        <v>52370</v>
      </c>
      <c r="O2658">
        <f>-563.146111108104 -96.7106539618916 -739.296350237562</f>
        <v>-1399.1531153075575</v>
      </c>
      <c r="P2658">
        <f>-573.750944567144 -80.3355680685844 -423.376184515916</f>
        <v>-1077.4626971516443</v>
      </c>
      <c r="Q2658">
        <f>-323.509102865064 -10.8555666381409 -409.462777459343</f>
        <v>-743.82744696254781</v>
      </c>
      <c r="R2658" t="s">
        <v>52371</v>
      </c>
      <c r="S2658" t="s">
        <v>52372</v>
      </c>
      <c r="T2658" t="s">
        <v>52373</v>
      </c>
      <c r="U2658" t="s">
        <v>52374</v>
      </c>
      <c r="V2658" t="s">
        <v>52375</v>
      </c>
      <c r="W2658" t="s">
        <v>52376</v>
      </c>
      <c r="X2658" t="s">
        <v>52377</v>
      </c>
      <c r="Y2658" t="s">
        <v>52378</v>
      </c>
    </row>
    <row r="2659" spans="1:25" x14ac:dyDescent="0.3">
      <c r="A2659">
        <v>132900</v>
      </c>
      <c r="B2659" t="s">
        <v>52379</v>
      </c>
      <c r="C2659" t="s">
        <v>52380</v>
      </c>
      <c r="D2659" t="s">
        <v>52381</v>
      </c>
      <c r="E2659" t="s">
        <v>52382</v>
      </c>
      <c r="F2659" t="s">
        <v>52383</v>
      </c>
      <c r="G2659" t="s">
        <v>52384</v>
      </c>
      <c r="H2659" t="s">
        <v>52385</v>
      </c>
      <c r="I2659" t="s">
        <v>52386</v>
      </c>
      <c r="J2659" t="s">
        <v>52387</v>
      </c>
      <c r="K2659" t="s">
        <v>52388</v>
      </c>
      <c r="L2659" t="s">
        <v>52389</v>
      </c>
      <c r="M2659" t="s">
        <v>52390</v>
      </c>
      <c r="N2659" t="s">
        <v>52391</v>
      </c>
      <c r="O2659">
        <f>-562.913872082844 -96.4084322463444 -739.363770136037</f>
        <v>-1398.6860744652254</v>
      </c>
      <c r="P2659">
        <f>-573.661009484018 -80.0184324314645 -423.449137079882</f>
        <v>-1077.1285789953645</v>
      </c>
      <c r="Q2659">
        <f>-323.348866495006 -10.8172016714838 -409.41054395127</f>
        <v>-743.57661211775985</v>
      </c>
      <c r="R2659" t="s">
        <v>52392</v>
      </c>
      <c r="S2659" t="s">
        <v>52393</v>
      </c>
      <c r="T2659" t="s">
        <v>52394</v>
      </c>
      <c r="U2659" t="s">
        <v>52395</v>
      </c>
      <c r="V2659" t="s">
        <v>52396</v>
      </c>
      <c r="W2659" t="s">
        <v>52397</v>
      </c>
      <c r="X2659" t="s">
        <v>52398</v>
      </c>
      <c r="Y2659" t="s">
        <v>52399</v>
      </c>
    </row>
    <row r="2660" spans="1:25" x14ac:dyDescent="0.3">
      <c r="A2660">
        <v>132950</v>
      </c>
      <c r="B2660" t="s">
        <v>52400</v>
      </c>
      <c r="C2660" t="s">
        <v>52401</v>
      </c>
      <c r="D2660" t="s">
        <v>52402</v>
      </c>
      <c r="E2660" t="s">
        <v>52403</v>
      </c>
      <c r="F2660" t="s">
        <v>52404</v>
      </c>
      <c r="G2660" t="s">
        <v>52405</v>
      </c>
      <c r="H2660" t="s">
        <v>52406</v>
      </c>
      <c r="I2660" t="s">
        <v>52407</v>
      </c>
      <c r="J2660" t="s">
        <v>52408</v>
      </c>
      <c r="K2660" t="s">
        <v>52409</v>
      </c>
      <c r="L2660" t="s">
        <v>52410</v>
      </c>
      <c r="M2660" t="s">
        <v>52411</v>
      </c>
      <c r="N2660" t="s">
        <v>52412</v>
      </c>
      <c r="O2660">
        <f>-562.208517740972 -95.4411339296703 -739.5665900168</f>
        <v>-1397.2162416874421</v>
      </c>
      <c r="P2660">
        <f>-573.113077600443 -79.3864410770967 -423.640103364518</f>
        <v>-1076.1396220420577</v>
      </c>
      <c r="Q2660">
        <f>-322.697480802408 -10.5987190611478 -409.414813298294</f>
        <v>-742.71101316184979</v>
      </c>
      <c r="R2660" t="s">
        <v>52413</v>
      </c>
      <c r="S2660" t="s">
        <v>52414</v>
      </c>
      <c r="T2660" t="s">
        <v>52415</v>
      </c>
      <c r="U2660" t="s">
        <v>52416</v>
      </c>
      <c r="V2660" t="s">
        <v>52417</v>
      </c>
      <c r="W2660" t="s">
        <v>52418</v>
      </c>
      <c r="X2660" t="s">
        <v>52419</v>
      </c>
      <c r="Y2660" t="s">
        <v>52420</v>
      </c>
    </row>
    <row r="2661" spans="1:25" x14ac:dyDescent="0.3">
      <c r="A2661">
        <v>133000</v>
      </c>
      <c r="B2661" t="s">
        <v>52421</v>
      </c>
      <c r="C2661" t="s">
        <v>52422</v>
      </c>
      <c r="D2661" t="s">
        <v>52423</v>
      </c>
      <c r="E2661" t="s">
        <v>52424</v>
      </c>
      <c r="F2661" t="s">
        <v>52425</v>
      </c>
      <c r="G2661" t="s">
        <v>52426</v>
      </c>
      <c r="H2661" t="s">
        <v>52427</v>
      </c>
      <c r="I2661" t="s">
        <v>52428</v>
      </c>
      <c r="J2661" t="s">
        <v>52429</v>
      </c>
      <c r="K2661" t="s">
        <v>52430</v>
      </c>
      <c r="L2661" t="s">
        <v>52431</v>
      </c>
      <c r="M2661" t="s">
        <v>52432</v>
      </c>
      <c r="N2661" t="s">
        <v>52433</v>
      </c>
      <c r="O2661">
        <f>-561.807189215897 -94.9943937786268 -739.664950219276</f>
        <v>-1396.4665332137997</v>
      </c>
      <c r="P2661">
        <f>-572.855048587958 -79.021949512239 -423.739268051604</f>
        <v>-1075.616266151801</v>
      </c>
      <c r="Q2661">
        <f>-322.403549409682 -10.364372319726 -409.517431352272</f>
        <v>-742.28535308168</v>
      </c>
      <c r="R2661" t="s">
        <v>52434</v>
      </c>
      <c r="S2661" t="s">
        <v>52435</v>
      </c>
      <c r="T2661" t="s">
        <v>52436</v>
      </c>
      <c r="U2661" t="s">
        <v>52437</v>
      </c>
      <c r="V2661" t="s">
        <v>52438</v>
      </c>
      <c r="W2661" t="s">
        <v>52439</v>
      </c>
      <c r="X2661" t="s">
        <v>52440</v>
      </c>
      <c r="Y2661" t="s">
        <v>52441</v>
      </c>
    </row>
    <row r="2662" spans="1:25" x14ac:dyDescent="0.3">
      <c r="A2662">
        <v>133050</v>
      </c>
      <c r="B2662" t="s">
        <v>52442</v>
      </c>
      <c r="C2662" t="s">
        <v>52443</v>
      </c>
      <c r="D2662" t="s">
        <v>52444</v>
      </c>
      <c r="E2662" t="s">
        <v>52445</v>
      </c>
      <c r="F2662" t="s">
        <v>52446</v>
      </c>
      <c r="G2662" t="s">
        <v>52447</v>
      </c>
      <c r="H2662" t="s">
        <v>52448</v>
      </c>
      <c r="I2662" t="s">
        <v>52449</v>
      </c>
      <c r="J2662" t="s">
        <v>52450</v>
      </c>
      <c r="K2662" t="s">
        <v>52451</v>
      </c>
      <c r="L2662" t="s">
        <v>52452</v>
      </c>
      <c r="M2662" t="s">
        <v>52453</v>
      </c>
      <c r="N2662" t="s">
        <v>52454</v>
      </c>
      <c r="O2662">
        <f>-561.282746685908 -94.1050427572936 -739.842318184108</f>
        <v>-1395.2301076273097</v>
      </c>
      <c r="P2662">
        <f>-572.383417819751 -78.486689080701 -423.900892720312</f>
        <v>-1074.7709996207641</v>
      </c>
      <c r="Q2662">
        <f>-321.848613537117 -10.1795557234544 -409.461671852232</f>
        <v>-741.48984111280333</v>
      </c>
      <c r="R2662" t="s">
        <v>52455</v>
      </c>
      <c r="S2662" t="s">
        <v>52456</v>
      </c>
      <c r="T2662" t="s">
        <v>52457</v>
      </c>
      <c r="U2662" t="s">
        <v>52458</v>
      </c>
      <c r="V2662" t="s">
        <v>52459</v>
      </c>
      <c r="W2662" t="s">
        <v>52460</v>
      </c>
      <c r="X2662" t="s">
        <v>52461</v>
      </c>
      <c r="Y2662" t="s">
        <v>52462</v>
      </c>
    </row>
    <row r="2663" spans="1:25" x14ac:dyDescent="0.3">
      <c r="A2663">
        <v>133100</v>
      </c>
      <c r="B2663" t="s">
        <v>52463</v>
      </c>
      <c r="C2663" t="s">
        <v>52464</v>
      </c>
      <c r="D2663" t="s">
        <v>52465</v>
      </c>
      <c r="E2663" t="s">
        <v>52466</v>
      </c>
      <c r="F2663" t="s">
        <v>52467</v>
      </c>
      <c r="G2663" t="s">
        <v>52468</v>
      </c>
      <c r="H2663" t="s">
        <v>52469</v>
      </c>
      <c r="I2663" t="s">
        <v>52470</v>
      </c>
      <c r="J2663" t="s">
        <v>52471</v>
      </c>
      <c r="K2663" t="s">
        <v>52472</v>
      </c>
      <c r="L2663" t="s">
        <v>52473</v>
      </c>
      <c r="M2663" t="s">
        <v>52474</v>
      </c>
      <c r="N2663" t="s">
        <v>52475</v>
      </c>
      <c r="O2663">
        <f>-560.927337187008 -93.6742270978374 -739.905085291324</f>
        <v>-1394.5066495761694</v>
      </c>
      <c r="P2663">
        <f>-572.061462848061 -78.1374592432922 -423.960621334692</f>
        <v>-1074.159543426045</v>
      </c>
      <c r="Q2663">
        <f>-321.485863105417 -10.0018940499037 -409.418204691077</f>
        <v>-740.90596184639776</v>
      </c>
      <c r="R2663" t="s">
        <v>52476</v>
      </c>
      <c r="S2663" t="s">
        <v>52477</v>
      </c>
      <c r="T2663" t="s">
        <v>52478</v>
      </c>
      <c r="U2663" t="s">
        <v>52479</v>
      </c>
      <c r="V2663" t="s">
        <v>52480</v>
      </c>
      <c r="W2663" t="s">
        <v>52481</v>
      </c>
      <c r="X2663" t="s">
        <v>52482</v>
      </c>
      <c r="Y2663" t="s">
        <v>52483</v>
      </c>
    </row>
    <row r="2664" spans="1:25" x14ac:dyDescent="0.3">
      <c r="A2664">
        <v>133150</v>
      </c>
      <c r="B2664" t="s">
        <v>52484</v>
      </c>
      <c r="C2664" t="s">
        <v>52485</v>
      </c>
      <c r="D2664" t="s">
        <v>52486</v>
      </c>
      <c r="E2664" t="s">
        <v>52487</v>
      </c>
      <c r="F2664" t="s">
        <v>52488</v>
      </c>
      <c r="G2664" t="s">
        <v>52489</v>
      </c>
      <c r="H2664" t="s">
        <v>52490</v>
      </c>
      <c r="I2664" t="s">
        <v>52491</v>
      </c>
      <c r="J2664" t="s">
        <v>52492</v>
      </c>
      <c r="K2664" t="s">
        <v>52493</v>
      </c>
      <c r="L2664" t="s">
        <v>52494</v>
      </c>
      <c r="M2664" t="s">
        <v>52495</v>
      </c>
      <c r="N2664" t="s">
        <v>52496</v>
      </c>
      <c r="O2664">
        <f>-560.333313108733 -92.7934385505241 -740.084675579027</f>
        <v>-1393.2114272382842</v>
      </c>
      <c r="P2664">
        <f>-571.597836303607 -77.1641676022712 -424.149520624066</f>
        <v>-1072.911524529944</v>
      </c>
      <c r="Q2664">
        <f>-320.955697833464 -9.28766913623744 -409.543358031448</f>
        <v>-739.78672500114953</v>
      </c>
      <c r="R2664" t="s">
        <v>52497</v>
      </c>
      <c r="S2664" t="s">
        <v>52498</v>
      </c>
      <c r="T2664" t="s">
        <v>52499</v>
      </c>
      <c r="U2664" t="s">
        <v>52500</v>
      </c>
      <c r="V2664" t="s">
        <v>52501</v>
      </c>
      <c r="W2664" t="s">
        <v>52502</v>
      </c>
      <c r="X2664" t="s">
        <v>52503</v>
      </c>
      <c r="Y2664" t="s">
        <v>52504</v>
      </c>
    </row>
    <row r="2665" spans="1:25" x14ac:dyDescent="0.3">
      <c r="A2665">
        <v>133200</v>
      </c>
      <c r="B2665" t="s">
        <v>52505</v>
      </c>
      <c r="C2665" t="s">
        <v>52506</v>
      </c>
      <c r="D2665" t="s">
        <v>52507</v>
      </c>
      <c r="E2665" t="s">
        <v>52508</v>
      </c>
      <c r="F2665" t="s">
        <v>52509</v>
      </c>
      <c r="G2665" t="s">
        <v>52510</v>
      </c>
      <c r="H2665" t="s">
        <v>52511</v>
      </c>
      <c r="I2665" t="s">
        <v>52512</v>
      </c>
      <c r="J2665" t="s">
        <v>52513</v>
      </c>
      <c r="K2665" t="s">
        <v>52514</v>
      </c>
      <c r="L2665" t="s">
        <v>52515</v>
      </c>
      <c r="M2665" t="s">
        <v>52516</v>
      </c>
      <c r="N2665" t="s">
        <v>52517</v>
      </c>
      <c r="O2665">
        <f>-559.977200206571 -92.4074264645017 -740.11057443126</f>
        <v>-1392.4952011023327</v>
      </c>
      <c r="P2665">
        <f>-571.186788768618 -77.0601714251211 -424.159580274896</f>
        <v>-1072.4065404686351</v>
      </c>
      <c r="Q2665">
        <f>-320.519090794613 -9.29096039819021 -409.494388708077</f>
        <v>-739.3044399008802</v>
      </c>
      <c r="R2665" t="s">
        <v>52518</v>
      </c>
      <c r="S2665" t="s">
        <v>52519</v>
      </c>
      <c r="T2665" t="s">
        <v>52520</v>
      </c>
      <c r="U2665" t="s">
        <v>52521</v>
      </c>
      <c r="V2665" t="s">
        <v>52522</v>
      </c>
      <c r="W2665" t="s">
        <v>52523</v>
      </c>
      <c r="X2665" t="s">
        <v>52524</v>
      </c>
      <c r="Y2665" t="s">
        <v>52525</v>
      </c>
    </row>
    <row r="2666" spans="1:25" x14ac:dyDescent="0.3">
      <c r="A2666">
        <v>133250</v>
      </c>
      <c r="B2666" t="s">
        <v>52526</v>
      </c>
      <c r="C2666" t="s">
        <v>52527</v>
      </c>
      <c r="D2666" t="s">
        <v>52528</v>
      </c>
      <c r="E2666" t="s">
        <v>52529</v>
      </c>
      <c r="F2666" t="s">
        <v>52530</v>
      </c>
      <c r="G2666" t="s">
        <v>52531</v>
      </c>
      <c r="H2666" t="s">
        <v>52532</v>
      </c>
      <c r="I2666" t="s">
        <v>52533</v>
      </c>
      <c r="J2666" t="s">
        <v>52534</v>
      </c>
      <c r="K2666" t="s">
        <v>52535</v>
      </c>
      <c r="L2666" t="s">
        <v>52536</v>
      </c>
      <c r="M2666" t="s">
        <v>52537</v>
      </c>
      <c r="N2666" t="s">
        <v>52538</v>
      </c>
      <c r="O2666">
        <f>-558.786032102357 -91.5474219261058 -740.149854803695</f>
        <v>-1390.4833088321579</v>
      </c>
      <c r="P2666">
        <f>-570.081171791667 -76.1666459174252 -424.203653925781</f>
        <v>-1070.4514716348731</v>
      </c>
      <c r="Q2666">
        <f>-319.363521502398 -8.56096863396317 -409.635793241751</f>
        <v>-737.56028337811222</v>
      </c>
      <c r="R2666" t="s">
        <v>52539</v>
      </c>
      <c r="S2666" t="s">
        <v>52540</v>
      </c>
      <c r="T2666" t="s">
        <v>52541</v>
      </c>
      <c r="U2666" t="s">
        <v>52542</v>
      </c>
      <c r="V2666" t="s">
        <v>52543</v>
      </c>
      <c r="W2666" t="s">
        <v>52544</v>
      </c>
      <c r="X2666" t="s">
        <v>52545</v>
      </c>
      <c r="Y2666" t="s">
        <v>52546</v>
      </c>
    </row>
    <row r="2667" spans="1:25" x14ac:dyDescent="0.3">
      <c r="A2667">
        <v>133300</v>
      </c>
      <c r="B2667" t="s">
        <v>52547</v>
      </c>
      <c r="C2667" t="s">
        <v>52548</v>
      </c>
      <c r="D2667" t="s">
        <v>52549</v>
      </c>
      <c r="E2667" t="s">
        <v>52550</v>
      </c>
      <c r="F2667" t="s">
        <v>52551</v>
      </c>
      <c r="G2667" t="s">
        <v>52552</v>
      </c>
      <c r="H2667" t="s">
        <v>52553</v>
      </c>
      <c r="I2667" t="s">
        <v>52554</v>
      </c>
      <c r="J2667" t="s">
        <v>52555</v>
      </c>
      <c r="K2667" t="s">
        <v>52556</v>
      </c>
      <c r="L2667" t="s">
        <v>52557</v>
      </c>
      <c r="M2667" t="s">
        <v>52558</v>
      </c>
      <c r="N2667" t="s">
        <v>52559</v>
      </c>
      <c r="O2667">
        <f>-558.347764804016 -91.121718094038 -740.129987746699</f>
        <v>-1389.5994706447532</v>
      </c>
      <c r="P2667">
        <f>-569.538012303703 -75.8557641660185 -424.174507965373</f>
        <v>-1069.5682844350945</v>
      </c>
      <c r="Q2667">
        <f>-318.808950049609 -8.28787677415455 -409.62884920462</f>
        <v>-736.72567602838353</v>
      </c>
      <c r="R2667" t="s">
        <v>52560</v>
      </c>
      <c r="S2667" t="s">
        <v>52561</v>
      </c>
      <c r="T2667" t="s">
        <v>52562</v>
      </c>
      <c r="U2667" t="s">
        <v>52563</v>
      </c>
      <c r="V2667" t="s">
        <v>52564</v>
      </c>
      <c r="W2667" t="s">
        <v>52565</v>
      </c>
      <c r="X2667" t="s">
        <v>52566</v>
      </c>
      <c r="Y2667" t="s">
        <v>52567</v>
      </c>
    </row>
    <row r="2668" spans="1:25" x14ac:dyDescent="0.3">
      <c r="A2668">
        <v>133350</v>
      </c>
      <c r="B2668" t="s">
        <v>52568</v>
      </c>
      <c r="C2668" t="s">
        <v>52569</v>
      </c>
      <c r="D2668" t="s">
        <v>52570</v>
      </c>
      <c r="E2668" t="s">
        <v>52571</v>
      </c>
      <c r="F2668" t="s">
        <v>52572</v>
      </c>
      <c r="G2668" t="s">
        <v>52573</v>
      </c>
      <c r="H2668" t="s">
        <v>52574</v>
      </c>
      <c r="I2668" t="s">
        <v>52575</v>
      </c>
      <c r="J2668" t="s">
        <v>52576</v>
      </c>
      <c r="K2668" t="s">
        <v>52577</v>
      </c>
      <c r="L2668" t="s">
        <v>52578</v>
      </c>
      <c r="M2668" t="s">
        <v>52579</v>
      </c>
      <c r="N2668" t="s">
        <v>52580</v>
      </c>
      <c r="O2668">
        <f>-557.413804350509 -90.2195941581934 -740.123554895646</f>
        <v>-1387.7569534043485</v>
      </c>
      <c r="P2668">
        <f>-568.464521506831 -74.896741287689 -424.165786997915</f>
        <v>-1067.527049792435</v>
      </c>
      <c r="Q2668">
        <f>-317.6617245106 -7.59699584514924 -409.649025507032</f>
        <v>-734.90774586278121</v>
      </c>
      <c r="R2668" t="s">
        <v>52581</v>
      </c>
      <c r="S2668" t="s">
        <v>52582</v>
      </c>
      <c r="T2668" t="s">
        <v>52583</v>
      </c>
      <c r="U2668" t="s">
        <v>52584</v>
      </c>
      <c r="V2668" t="s">
        <v>52585</v>
      </c>
      <c r="W2668" t="s">
        <v>52586</v>
      </c>
      <c r="X2668" t="s">
        <v>52587</v>
      </c>
      <c r="Y2668" t="s">
        <v>52588</v>
      </c>
    </row>
    <row r="2669" spans="1:25" x14ac:dyDescent="0.3">
      <c r="A2669">
        <v>133400</v>
      </c>
      <c r="B2669" t="s">
        <v>52589</v>
      </c>
      <c r="C2669" t="s">
        <v>52590</v>
      </c>
      <c r="D2669" t="s">
        <v>52591</v>
      </c>
      <c r="E2669" t="s">
        <v>52592</v>
      </c>
      <c r="F2669" t="s">
        <v>52593</v>
      </c>
      <c r="G2669" t="s">
        <v>52594</v>
      </c>
      <c r="H2669" t="s">
        <v>52595</v>
      </c>
      <c r="I2669" t="s">
        <v>52596</v>
      </c>
      <c r="J2669" t="s">
        <v>52597</v>
      </c>
      <c r="K2669" t="s">
        <v>52598</v>
      </c>
      <c r="L2669" t="s">
        <v>52599</v>
      </c>
      <c r="M2669" t="s">
        <v>52600</v>
      </c>
      <c r="N2669" t="s">
        <v>52601</v>
      </c>
      <c r="O2669">
        <f>-557.183778322018 -89.9435082258006 -740.123548521625</f>
        <v>-1387.2508350694436</v>
      </c>
      <c r="P2669">
        <f>-568.271035908958 -74.5757594592865 -424.169265253319</f>
        <v>-1067.0160606215634</v>
      </c>
      <c r="Q2669">
        <f>-317.433930002063 -7.40478205273731 -409.648359828117</f>
        <v>-734.48707188291723</v>
      </c>
      <c r="R2669" t="s">
        <v>52602</v>
      </c>
      <c r="S2669" t="s">
        <v>52603</v>
      </c>
      <c r="T2669" t="s">
        <v>52604</v>
      </c>
      <c r="U2669" t="s">
        <v>52605</v>
      </c>
      <c r="V2669" t="s">
        <v>52606</v>
      </c>
      <c r="W2669" t="s">
        <v>52607</v>
      </c>
      <c r="X2669" t="s">
        <v>52608</v>
      </c>
      <c r="Y2669" t="s">
        <v>52609</v>
      </c>
    </row>
    <row r="2670" spans="1:25" x14ac:dyDescent="0.3">
      <c r="A2670">
        <v>133450</v>
      </c>
      <c r="B2670" t="s">
        <v>52610</v>
      </c>
      <c r="C2670" t="s">
        <v>52611</v>
      </c>
      <c r="D2670" t="s">
        <v>52612</v>
      </c>
      <c r="E2670" t="s">
        <v>52613</v>
      </c>
      <c r="F2670" t="s">
        <v>52614</v>
      </c>
      <c r="G2670" t="s">
        <v>52615</v>
      </c>
      <c r="H2670" t="s">
        <v>52616</v>
      </c>
      <c r="I2670" t="s">
        <v>52617</v>
      </c>
      <c r="J2670" t="s">
        <v>52618</v>
      </c>
      <c r="K2670" t="s">
        <v>52619</v>
      </c>
      <c r="L2670" t="s">
        <v>52620</v>
      </c>
      <c r="M2670" t="s">
        <v>52621</v>
      </c>
      <c r="N2670" t="s">
        <v>52622</v>
      </c>
      <c r="O2670">
        <f>-557.461066747886 -89.7051148154687 -740.124932875678</f>
        <v>-1387.2911144390328</v>
      </c>
      <c r="P2670">
        <f>-568.633100222751 -74.1214239142631 -424.184199618249</f>
        <v>-1066.938723755263</v>
      </c>
      <c r="Q2670">
        <f>-317.760733472408 -7.10303779965356 -409.567699161135</f>
        <v>-734.43147043319664</v>
      </c>
      <c r="R2670" t="s">
        <v>52623</v>
      </c>
      <c r="S2670" t="s">
        <v>52624</v>
      </c>
      <c r="T2670" t="s">
        <v>52625</v>
      </c>
      <c r="U2670" t="s">
        <v>52626</v>
      </c>
      <c r="V2670" t="s">
        <v>52627</v>
      </c>
      <c r="W2670" t="s">
        <v>52628</v>
      </c>
      <c r="X2670" t="s">
        <v>52629</v>
      </c>
      <c r="Y2670" t="s">
        <v>52630</v>
      </c>
    </row>
    <row r="2671" spans="1:25" x14ac:dyDescent="0.3">
      <c r="A2671">
        <v>133500</v>
      </c>
      <c r="B2671" t="s">
        <v>52631</v>
      </c>
      <c r="C2671" t="s">
        <v>52632</v>
      </c>
      <c r="D2671" t="s">
        <v>52633</v>
      </c>
      <c r="E2671" t="s">
        <v>52634</v>
      </c>
      <c r="F2671" t="s">
        <v>52635</v>
      </c>
      <c r="G2671" t="s">
        <v>52636</v>
      </c>
      <c r="H2671" t="s">
        <v>52637</v>
      </c>
      <c r="I2671" t="s">
        <v>52638</v>
      </c>
      <c r="J2671" t="s">
        <v>52639</v>
      </c>
      <c r="K2671" t="s">
        <v>52640</v>
      </c>
      <c r="L2671" t="s">
        <v>52641</v>
      </c>
      <c r="M2671" t="s">
        <v>52642</v>
      </c>
      <c r="N2671" t="s">
        <v>52643</v>
      </c>
      <c r="O2671">
        <f>-558.253663275023 -90.1018396303186 -739.825474074773</f>
        <v>-1388.1809769801146</v>
      </c>
      <c r="P2671">
        <f>-569.545335110554 -74.4965023458629 -423.890008017079</f>
        <v>-1067.931845473496</v>
      </c>
      <c r="Q2671">
        <f>-318.642089462984 -7.58250574784678 -409.324942608595</f>
        <v>-735.54953781942572</v>
      </c>
      <c r="R2671" t="s">
        <v>52644</v>
      </c>
      <c r="S2671" t="s">
        <v>52645</v>
      </c>
      <c r="T2671" t="s">
        <v>52646</v>
      </c>
      <c r="U2671" t="s">
        <v>52647</v>
      </c>
      <c r="V2671" t="s">
        <v>52648</v>
      </c>
      <c r="W2671" t="s">
        <v>52649</v>
      </c>
      <c r="X2671" t="s">
        <v>52650</v>
      </c>
      <c r="Y2671" t="s">
        <v>52651</v>
      </c>
    </row>
    <row r="2672" spans="1:25" x14ac:dyDescent="0.3">
      <c r="A2672">
        <v>133550</v>
      </c>
      <c r="B2672" t="s">
        <v>52652</v>
      </c>
      <c r="C2672" t="s">
        <v>52653</v>
      </c>
      <c r="D2672" t="s">
        <v>52654</v>
      </c>
      <c r="E2672" t="s">
        <v>52655</v>
      </c>
      <c r="F2672" t="s">
        <v>52656</v>
      </c>
      <c r="G2672" t="s">
        <v>52657</v>
      </c>
      <c r="H2672" t="s">
        <v>52658</v>
      </c>
      <c r="I2672" t="s">
        <v>52659</v>
      </c>
      <c r="J2672" t="s">
        <v>52660</v>
      </c>
      <c r="K2672" t="s">
        <v>52661</v>
      </c>
      <c r="L2672" t="s">
        <v>52662</v>
      </c>
      <c r="M2672" t="s">
        <v>52663</v>
      </c>
      <c r="N2672" t="s">
        <v>52664</v>
      </c>
      <c r="O2672">
        <f>-557.906023320474 -90.8135891222442 -739.876938158871</f>
        <v>-1388.5965506015891</v>
      </c>
      <c r="P2672">
        <f>-569.657056421342 -75.1990787162317 -423.958755910278</f>
        <v>-1068.8148910478517</v>
      </c>
      <c r="Q2672">
        <f>-318.749161384513 -8.26982086845953 -409.544386168087</f>
        <v>-736.56336842105952</v>
      </c>
      <c r="R2672" t="s">
        <v>52665</v>
      </c>
      <c r="S2672" t="s">
        <v>52666</v>
      </c>
      <c r="T2672" t="s">
        <v>52667</v>
      </c>
      <c r="U2672" t="s">
        <v>52668</v>
      </c>
      <c r="V2672" t="s">
        <v>52669</v>
      </c>
      <c r="W2672" t="s">
        <v>52670</v>
      </c>
      <c r="X2672" t="s">
        <v>52671</v>
      </c>
      <c r="Y2672" t="s">
        <v>52672</v>
      </c>
    </row>
    <row r="2673" spans="1:25" x14ac:dyDescent="0.3">
      <c r="A2673">
        <v>133600</v>
      </c>
      <c r="B2673" t="s">
        <v>52673</v>
      </c>
      <c r="C2673" t="s">
        <v>52674</v>
      </c>
      <c r="D2673" t="s">
        <v>52675</v>
      </c>
      <c r="E2673" t="s">
        <v>52676</v>
      </c>
      <c r="F2673" t="s">
        <v>52677</v>
      </c>
      <c r="G2673" t="s">
        <v>52678</v>
      </c>
      <c r="H2673" t="s">
        <v>52679</v>
      </c>
      <c r="I2673" t="s">
        <v>52680</v>
      </c>
      <c r="J2673" t="s">
        <v>52681</v>
      </c>
      <c r="K2673" t="s">
        <v>52682</v>
      </c>
      <c r="L2673" t="s">
        <v>52683</v>
      </c>
      <c r="M2673" t="s">
        <v>52684</v>
      </c>
      <c r="N2673" t="s">
        <v>52685</v>
      </c>
      <c r="O2673">
        <f>-557.52070165906 -90.9704188535268 -739.859327294553</f>
        <v>-1388.35044780714</v>
      </c>
      <c r="P2673">
        <f>-569.922867996238 -75.2716098765671 -423.970178482669</f>
        <v>-1069.1646563554741</v>
      </c>
      <c r="Q2673">
        <f>-319.016483230217 -8.37864929938975 -409.362434546096</f>
        <v>-736.7575670757027</v>
      </c>
      <c r="R2673" t="s">
        <v>52686</v>
      </c>
      <c r="S2673" t="s">
        <v>52687</v>
      </c>
      <c r="T2673" t="s">
        <v>52688</v>
      </c>
      <c r="U2673" t="s">
        <v>52689</v>
      </c>
      <c r="V2673" t="s">
        <v>52690</v>
      </c>
      <c r="W2673" t="s">
        <v>52691</v>
      </c>
      <c r="X2673" t="s">
        <v>52692</v>
      </c>
      <c r="Y2673" t="s">
        <v>52693</v>
      </c>
    </row>
    <row r="2674" spans="1:25" x14ac:dyDescent="0.3">
      <c r="A2674">
        <v>133650</v>
      </c>
      <c r="B2674" t="s">
        <v>52694</v>
      </c>
      <c r="C2674" t="s">
        <v>52695</v>
      </c>
      <c r="D2674" t="s">
        <v>52696</v>
      </c>
      <c r="E2674" t="s">
        <v>52697</v>
      </c>
      <c r="F2674" t="s">
        <v>52698</v>
      </c>
      <c r="G2674" t="s">
        <v>52699</v>
      </c>
      <c r="H2674" t="s">
        <v>52700</v>
      </c>
      <c r="I2674" t="s">
        <v>52701</v>
      </c>
      <c r="J2674" t="s">
        <v>52702</v>
      </c>
      <c r="K2674" t="s">
        <v>52703</v>
      </c>
      <c r="L2674" t="s">
        <v>52704</v>
      </c>
      <c r="M2674" t="s">
        <v>52705</v>
      </c>
      <c r="N2674" t="s">
        <v>52706</v>
      </c>
      <c r="O2674">
        <f>-556.507461305913 -91.8519503982139 -739.604413744351</f>
        <v>-1387.963825448478</v>
      </c>
      <c r="P2674">
        <f>-569.926325335721 -75.8555089945247 -423.77179858371</f>
        <v>-1069.5536329139557</v>
      </c>
      <c r="Q2674">
        <f>-319.115454089114 -8.75601794667671 -408.486920513394</f>
        <v>-736.35839254918471</v>
      </c>
      <c r="R2674" t="s">
        <v>52707</v>
      </c>
      <c r="S2674" t="s">
        <v>52708</v>
      </c>
      <c r="T2674" t="s">
        <v>52709</v>
      </c>
      <c r="U2674" t="s">
        <v>52710</v>
      </c>
      <c r="V2674" t="s">
        <v>52711</v>
      </c>
      <c r="W2674" t="s">
        <v>52712</v>
      </c>
      <c r="X2674" t="s">
        <v>52713</v>
      </c>
      <c r="Y2674" t="s">
        <v>52714</v>
      </c>
    </row>
    <row r="2675" spans="1:25" x14ac:dyDescent="0.3">
      <c r="A2675">
        <v>133700</v>
      </c>
      <c r="B2675" t="s">
        <v>52715</v>
      </c>
      <c r="C2675" t="s">
        <v>52716</v>
      </c>
      <c r="D2675" t="s">
        <v>52717</v>
      </c>
      <c r="E2675" t="s">
        <v>52718</v>
      </c>
      <c r="F2675" t="s">
        <v>52719</v>
      </c>
      <c r="G2675" t="s">
        <v>52720</v>
      </c>
      <c r="H2675" t="s">
        <v>52721</v>
      </c>
      <c r="I2675" t="s">
        <v>52722</v>
      </c>
      <c r="J2675" t="s">
        <v>52723</v>
      </c>
      <c r="K2675" t="s">
        <v>52724</v>
      </c>
      <c r="L2675" t="s">
        <v>52725</v>
      </c>
      <c r="M2675" t="s">
        <v>52726</v>
      </c>
      <c r="N2675" t="s">
        <v>52727</v>
      </c>
      <c r="O2675">
        <f>-555.897986465771 -92.118548760775 -739.462199262406</f>
        <v>-1387.4787344889519</v>
      </c>
      <c r="P2675">
        <f>-569.838155860939 -76.0672079777463 -423.654983296236</f>
        <v>-1069.5603471349214</v>
      </c>
      <c r="Q2675">
        <f>-319.13789965101 -8.55869086078637 -408.357653754912</f>
        <v>-736.05424426670834</v>
      </c>
      <c r="R2675" t="s">
        <v>52728</v>
      </c>
      <c r="S2675" t="s">
        <v>52729</v>
      </c>
      <c r="T2675" t="s">
        <v>52730</v>
      </c>
      <c r="U2675" t="s">
        <v>52731</v>
      </c>
      <c r="V2675" t="s">
        <v>52732</v>
      </c>
      <c r="W2675" t="s">
        <v>52733</v>
      </c>
      <c r="X2675" t="s">
        <v>52734</v>
      </c>
      <c r="Y2675" t="s">
        <v>52735</v>
      </c>
    </row>
    <row r="2676" spans="1:25" x14ac:dyDescent="0.3">
      <c r="A2676">
        <v>133750</v>
      </c>
      <c r="B2676" t="s">
        <v>52736</v>
      </c>
      <c r="C2676" t="s">
        <v>52737</v>
      </c>
      <c r="D2676" t="s">
        <v>52738</v>
      </c>
      <c r="E2676" t="s">
        <v>52739</v>
      </c>
      <c r="F2676" t="s">
        <v>52740</v>
      </c>
      <c r="G2676" t="s">
        <v>52741</v>
      </c>
      <c r="H2676" t="s">
        <v>52742</v>
      </c>
      <c r="I2676" t="s">
        <v>52743</v>
      </c>
      <c r="J2676" t="s">
        <v>52744</v>
      </c>
      <c r="K2676" t="s">
        <v>52745</v>
      </c>
      <c r="L2676" t="s">
        <v>52746</v>
      </c>
      <c r="M2676" t="s">
        <v>52747</v>
      </c>
      <c r="N2676" t="s">
        <v>52748</v>
      </c>
      <c r="O2676">
        <f>-554.752315371989 -92.4870257329043 -739.376797869645</f>
        <v>-1386.6161389745382</v>
      </c>
      <c r="P2676">
        <f>-569.494877805339 -76.3661503518726 -423.609586164286</f>
        <v>-1069.4706143214976</v>
      </c>
      <c r="Q2676">
        <f>-318.99131436995 -8.14544333018645 -408.248361490848</f>
        <v>-735.38511919098437</v>
      </c>
      <c r="R2676" t="s">
        <v>52749</v>
      </c>
      <c r="S2676" t="s">
        <v>52750</v>
      </c>
      <c r="T2676" t="s">
        <v>52751</v>
      </c>
      <c r="U2676" t="s">
        <v>52752</v>
      </c>
      <c r="V2676" t="s">
        <v>52753</v>
      </c>
      <c r="W2676" t="s">
        <v>52754</v>
      </c>
      <c r="X2676" t="s">
        <v>52755</v>
      </c>
      <c r="Y2676" t="s">
        <v>52756</v>
      </c>
    </row>
    <row r="2677" spans="1:25" x14ac:dyDescent="0.3">
      <c r="A2677">
        <v>133800</v>
      </c>
      <c r="B2677" t="s">
        <v>52757</v>
      </c>
      <c r="C2677" t="s">
        <v>52758</v>
      </c>
      <c r="D2677" t="s">
        <v>52759</v>
      </c>
      <c r="E2677" t="s">
        <v>52760</v>
      </c>
      <c r="F2677" t="s">
        <v>52761</v>
      </c>
      <c r="G2677" t="s">
        <v>52762</v>
      </c>
      <c r="H2677" t="s">
        <v>52763</v>
      </c>
      <c r="I2677" t="s">
        <v>52764</v>
      </c>
      <c r="J2677" t="s">
        <v>52765</v>
      </c>
      <c r="K2677" t="s">
        <v>52766</v>
      </c>
      <c r="L2677" t="s">
        <v>52767</v>
      </c>
      <c r="M2677" t="s">
        <v>52768</v>
      </c>
      <c r="N2677" t="s">
        <v>52769</v>
      </c>
      <c r="O2677">
        <f>-554.3628429839 -92.8385778210274 -739.363497664306</f>
        <v>-1386.5649184692334</v>
      </c>
      <c r="P2677">
        <f>-569.346212687424 -76.7702172254958 -423.604916728179</f>
        <v>-1069.7213466410988</v>
      </c>
      <c r="Q2677">
        <f>-318.967200617937 -8.10458322831954 -408.195830954607</f>
        <v>-735.26761480086361</v>
      </c>
      <c r="R2677" t="s">
        <v>52770</v>
      </c>
      <c r="S2677" t="s">
        <v>52771</v>
      </c>
      <c r="T2677" t="s">
        <v>52772</v>
      </c>
      <c r="U2677" t="s">
        <v>52773</v>
      </c>
      <c r="V2677" t="s">
        <v>52774</v>
      </c>
      <c r="W2677" t="s">
        <v>52775</v>
      </c>
      <c r="X2677" t="s">
        <v>52776</v>
      </c>
      <c r="Y2677" t="s">
        <v>52777</v>
      </c>
    </row>
    <row r="2678" spans="1:25" x14ac:dyDescent="0.3">
      <c r="A2678">
        <v>133850</v>
      </c>
      <c r="B2678" t="s">
        <v>52778</v>
      </c>
      <c r="C2678" t="s">
        <v>52779</v>
      </c>
      <c r="D2678" t="s">
        <v>52780</v>
      </c>
      <c r="E2678" t="s">
        <v>52781</v>
      </c>
      <c r="F2678" t="s">
        <v>52782</v>
      </c>
      <c r="G2678" t="s">
        <v>52783</v>
      </c>
      <c r="H2678" t="s">
        <v>52784</v>
      </c>
      <c r="I2678" t="s">
        <v>52785</v>
      </c>
      <c r="J2678" t="s">
        <v>52786</v>
      </c>
      <c r="K2678" t="s">
        <v>52787</v>
      </c>
      <c r="L2678" t="s">
        <v>52788</v>
      </c>
      <c r="M2678" t="s">
        <v>52789</v>
      </c>
      <c r="N2678" t="s">
        <v>52790</v>
      </c>
      <c r="O2678">
        <f>-554.303261710783 -92.7237416389136 -739.692651782019</f>
        <v>-1386.7196551317156</v>
      </c>
      <c r="P2678">
        <f>-569.569981758496 -77.2433367326 -423.918247087129</f>
        <v>-1070.7315655782249</v>
      </c>
      <c r="Q2678">
        <f>-319.57640220695 -7.20522623213434 -408.427910344568</f>
        <v>-735.20953878365231</v>
      </c>
      <c r="R2678" t="s">
        <v>52791</v>
      </c>
      <c r="S2678" t="s">
        <v>52792</v>
      </c>
      <c r="T2678" t="s">
        <v>52793</v>
      </c>
      <c r="U2678" t="s">
        <v>52794</v>
      </c>
      <c r="V2678" t="s">
        <v>52795</v>
      </c>
      <c r="W2678" t="s">
        <v>52796</v>
      </c>
      <c r="X2678" t="s">
        <v>52797</v>
      </c>
      <c r="Y2678" t="s">
        <v>52798</v>
      </c>
    </row>
    <row r="2679" spans="1:25" x14ac:dyDescent="0.3">
      <c r="A2679">
        <v>133900</v>
      </c>
      <c r="B2679" t="s">
        <v>52799</v>
      </c>
      <c r="C2679" t="s">
        <v>52800</v>
      </c>
      <c r="D2679" t="s">
        <v>52801</v>
      </c>
      <c r="E2679" t="s">
        <v>52802</v>
      </c>
      <c r="F2679" t="s">
        <v>52803</v>
      </c>
      <c r="G2679" t="s">
        <v>52804</v>
      </c>
      <c r="H2679" t="s">
        <v>52805</v>
      </c>
      <c r="I2679" t="s">
        <v>52806</v>
      </c>
      <c r="J2679" t="s">
        <v>52807</v>
      </c>
      <c r="K2679" t="s">
        <v>52808</v>
      </c>
      <c r="L2679" t="s">
        <v>52809</v>
      </c>
      <c r="M2679" t="s">
        <v>52810</v>
      </c>
      <c r="N2679" t="s">
        <v>52811</v>
      </c>
      <c r="O2679">
        <f>-554.218771470573 -92.6246405002258 -740.197133392096</f>
        <v>-1387.0405453628948</v>
      </c>
      <c r="P2679">
        <f>-569.447189143204 -77.3611176325687 -424.410464189294</f>
        <v>-1071.2187709650666</v>
      </c>
      <c r="Q2679">
        <f>-319.57972985827 -6.87385093589085 -408.922653407409</f>
        <v>-735.37623420156979</v>
      </c>
      <c r="R2679" t="s">
        <v>52812</v>
      </c>
      <c r="S2679" t="s">
        <v>52813</v>
      </c>
      <c r="T2679" t="s">
        <v>52814</v>
      </c>
      <c r="U2679" t="s">
        <v>52815</v>
      </c>
      <c r="V2679" t="s">
        <v>52816</v>
      </c>
      <c r="W2679" t="s">
        <v>52817</v>
      </c>
      <c r="X2679" t="s">
        <v>52818</v>
      </c>
      <c r="Y2679" t="s">
        <v>52819</v>
      </c>
    </row>
    <row r="2680" spans="1:25" x14ac:dyDescent="0.3">
      <c r="A2680">
        <v>133950</v>
      </c>
      <c r="B2680" t="s">
        <v>52820</v>
      </c>
      <c r="C2680" t="s">
        <v>52821</v>
      </c>
      <c r="D2680" t="s">
        <v>52822</v>
      </c>
      <c r="E2680" t="s">
        <v>52823</v>
      </c>
      <c r="F2680" t="s">
        <v>52824</v>
      </c>
      <c r="G2680" t="s">
        <v>52825</v>
      </c>
      <c r="H2680" t="s">
        <v>52826</v>
      </c>
      <c r="I2680" t="s">
        <v>52827</v>
      </c>
      <c r="J2680" t="s">
        <v>52828</v>
      </c>
      <c r="K2680" t="s">
        <v>52829</v>
      </c>
      <c r="L2680" t="s">
        <v>52830</v>
      </c>
      <c r="M2680" t="s">
        <v>52831</v>
      </c>
      <c r="N2680" t="s">
        <v>52832</v>
      </c>
      <c r="O2680">
        <f>-554.725990792762 -91.7542058171697 -740.81852924347</f>
        <v>-1387.2987258534017</v>
      </c>
      <c r="P2680">
        <f>-569.837225728035 -76.7894198892532 -425.011923049433</f>
        <v>-1071.6385686667213</v>
      </c>
      <c r="Q2680">
        <f>-320.095211249331 -5.82026467995536 -409.70327958625</f>
        <v>-735.61875551553635</v>
      </c>
      <c r="R2680" t="s">
        <v>52833</v>
      </c>
      <c r="S2680" t="s">
        <v>52834</v>
      </c>
      <c r="T2680" t="s">
        <v>52835</v>
      </c>
      <c r="U2680" t="s">
        <v>52836</v>
      </c>
      <c r="V2680" t="s">
        <v>52837</v>
      </c>
      <c r="W2680" t="s">
        <v>52838</v>
      </c>
      <c r="X2680" t="s">
        <v>52839</v>
      </c>
      <c r="Y2680" t="s">
        <v>52840</v>
      </c>
    </row>
    <row r="2681" spans="1:25" x14ac:dyDescent="0.3">
      <c r="A2681">
        <v>134000</v>
      </c>
      <c r="B2681" t="s">
        <v>52841</v>
      </c>
      <c r="C2681" t="s">
        <v>52842</v>
      </c>
      <c r="D2681" t="s">
        <v>52843</v>
      </c>
      <c r="E2681" t="s">
        <v>52844</v>
      </c>
      <c r="F2681" t="s">
        <v>52845</v>
      </c>
      <c r="G2681" t="s">
        <v>52846</v>
      </c>
      <c r="H2681" t="s">
        <v>52847</v>
      </c>
      <c r="I2681" t="s">
        <v>52848</v>
      </c>
      <c r="J2681" t="s">
        <v>52849</v>
      </c>
      <c r="K2681" t="s">
        <v>52850</v>
      </c>
      <c r="L2681" t="s">
        <v>52851</v>
      </c>
      <c r="M2681" t="s">
        <v>52852</v>
      </c>
      <c r="N2681" t="s">
        <v>52853</v>
      </c>
      <c r="O2681">
        <f>-555.151739934702 -91.4442944753621 -740.94696140038</f>
        <v>-1387.5429958104442</v>
      </c>
      <c r="P2681">
        <f>-570.349041700951 -76.5392222247087 -425.141510408675</f>
        <v>-1072.0297743343349</v>
      </c>
      <c r="Q2681">
        <f>-320.658355927098 -5.36229001843496 -409.960892651471</f>
        <v>-735.98153859700392</v>
      </c>
      <c r="R2681" t="s">
        <v>52854</v>
      </c>
      <c r="S2681" t="s">
        <v>52855</v>
      </c>
      <c r="T2681" t="s">
        <v>52856</v>
      </c>
      <c r="U2681" t="s">
        <v>52857</v>
      </c>
      <c r="V2681" t="s">
        <v>52858</v>
      </c>
      <c r="W2681" t="s">
        <v>52859</v>
      </c>
      <c r="X2681" t="s">
        <v>52860</v>
      </c>
      <c r="Y2681" t="s">
        <v>52861</v>
      </c>
    </row>
    <row r="2682" spans="1:25" x14ac:dyDescent="0.3">
      <c r="A2682">
        <v>134050</v>
      </c>
      <c r="B2682" t="s">
        <v>52862</v>
      </c>
      <c r="C2682" t="s">
        <v>52863</v>
      </c>
      <c r="D2682" t="s">
        <v>52864</v>
      </c>
      <c r="E2682" t="s">
        <v>52865</v>
      </c>
      <c r="F2682" t="s">
        <v>52866</v>
      </c>
      <c r="G2682" t="s">
        <v>52867</v>
      </c>
      <c r="H2682" t="s">
        <v>52868</v>
      </c>
      <c r="I2682" t="s">
        <v>52869</v>
      </c>
      <c r="J2682" t="s">
        <v>52870</v>
      </c>
      <c r="K2682" t="s">
        <v>52871</v>
      </c>
      <c r="L2682" t="s">
        <v>52872</v>
      </c>
      <c r="M2682" t="s">
        <v>52873</v>
      </c>
      <c r="N2682" t="s">
        <v>52874</v>
      </c>
      <c r="O2682">
        <f>-555.969873453382 -91.1698211720556 -740.943768003709</f>
        <v>-1388.0834626291467</v>
      </c>
      <c r="P2682">
        <f>-570.890269151201 -76.8560763967507 -425.097880289738</f>
        <v>-1072.8442258376897</v>
      </c>
      <c r="Q2682">
        <f>-321.271386127686 -5.39594128177735 -410.066940572221</f>
        <v>-736.7342679816843</v>
      </c>
      <c r="R2682" t="s">
        <v>52875</v>
      </c>
      <c r="S2682" t="s">
        <v>52876</v>
      </c>
      <c r="T2682" t="s">
        <v>52877</v>
      </c>
      <c r="U2682" t="s">
        <v>52878</v>
      </c>
      <c r="V2682" t="s">
        <v>52879</v>
      </c>
      <c r="W2682" t="s">
        <v>52880</v>
      </c>
      <c r="X2682" t="s">
        <v>52881</v>
      </c>
      <c r="Y2682" t="s">
        <v>52882</v>
      </c>
    </row>
    <row r="2683" spans="1:25" x14ac:dyDescent="0.3">
      <c r="A2683">
        <v>134100</v>
      </c>
      <c r="B2683" t="s">
        <v>52883</v>
      </c>
      <c r="C2683" t="s">
        <v>52884</v>
      </c>
      <c r="D2683" t="s">
        <v>52885</v>
      </c>
      <c r="E2683" t="s">
        <v>52886</v>
      </c>
      <c r="F2683" t="s">
        <v>52887</v>
      </c>
      <c r="G2683" t="s">
        <v>52888</v>
      </c>
      <c r="H2683" t="s">
        <v>52889</v>
      </c>
      <c r="I2683" t="s">
        <v>52890</v>
      </c>
      <c r="J2683" t="s">
        <v>52891</v>
      </c>
      <c r="K2683" t="s">
        <v>52892</v>
      </c>
      <c r="L2683" t="s">
        <v>52893</v>
      </c>
      <c r="M2683" t="s">
        <v>52894</v>
      </c>
      <c r="N2683" t="s">
        <v>52895</v>
      </c>
      <c r="O2683">
        <f>-556.517470165308 -90.745264844785 -740.924979118929</f>
        <v>-1388.187714129022</v>
      </c>
      <c r="P2683">
        <f>-571.369942884658 -76.4965451453254 -425.072913070558</f>
        <v>-1072.9394011005415</v>
      </c>
      <c r="Q2683">
        <f>-321.745531297916 -5.04169590854307 -410.108992769893</f>
        <v>-736.89621997635209</v>
      </c>
      <c r="R2683" t="s">
        <v>52896</v>
      </c>
      <c r="S2683" t="s">
        <v>52897</v>
      </c>
      <c r="T2683" t="s">
        <v>52898</v>
      </c>
      <c r="U2683" t="s">
        <v>52899</v>
      </c>
      <c r="V2683" t="s">
        <v>52900</v>
      </c>
      <c r="W2683" t="s">
        <v>52901</v>
      </c>
      <c r="X2683" t="s">
        <v>52902</v>
      </c>
      <c r="Y2683" t="s">
        <v>52903</v>
      </c>
    </row>
    <row r="2684" spans="1:25" x14ac:dyDescent="0.3">
      <c r="A2684">
        <v>134150</v>
      </c>
      <c r="B2684" t="s">
        <v>52904</v>
      </c>
      <c r="C2684" t="s">
        <v>52905</v>
      </c>
      <c r="D2684" t="s">
        <v>52906</v>
      </c>
      <c r="E2684" t="s">
        <v>52907</v>
      </c>
      <c r="F2684" t="s">
        <v>52908</v>
      </c>
      <c r="G2684" t="s">
        <v>52909</v>
      </c>
      <c r="H2684" t="s">
        <v>52910</v>
      </c>
      <c r="I2684" t="s">
        <v>52911</v>
      </c>
      <c r="J2684" t="s">
        <v>52912</v>
      </c>
      <c r="K2684" t="s">
        <v>52913</v>
      </c>
      <c r="L2684" t="s">
        <v>52914</v>
      </c>
      <c r="M2684" t="s">
        <v>52915</v>
      </c>
      <c r="N2684" t="s">
        <v>52916</v>
      </c>
      <c r="O2684">
        <f>-557.274821613838 -90.0483172544996 -741.505908770455</f>
        <v>-1388.8290476387924</v>
      </c>
      <c r="P2684">
        <f>-572.484996790267 -76.2927119421336 -425.648854687093</f>
        <v>-1074.4265634194935</v>
      </c>
      <c r="Q2684">
        <f>-322.812230098556 -5.04012129935258 -410.52810473838</f>
        <v>-738.38045613628856</v>
      </c>
      <c r="R2684" t="s">
        <v>52917</v>
      </c>
      <c r="S2684" t="s">
        <v>52918</v>
      </c>
      <c r="T2684" t="s">
        <v>52919</v>
      </c>
      <c r="U2684" t="s">
        <v>52920</v>
      </c>
      <c r="V2684" t="s">
        <v>52921</v>
      </c>
      <c r="W2684" t="s">
        <v>52922</v>
      </c>
      <c r="X2684" t="s">
        <v>52923</v>
      </c>
      <c r="Y2684" t="s">
        <v>52924</v>
      </c>
    </row>
    <row r="2685" spans="1:25" x14ac:dyDescent="0.3">
      <c r="A2685">
        <v>134200</v>
      </c>
      <c r="B2685" t="s">
        <v>52925</v>
      </c>
      <c r="C2685" t="s">
        <v>52926</v>
      </c>
      <c r="D2685" t="s">
        <v>52927</v>
      </c>
      <c r="E2685" t="s">
        <v>52928</v>
      </c>
      <c r="F2685" t="s">
        <v>52929</v>
      </c>
      <c r="G2685" t="s">
        <v>52930</v>
      </c>
      <c r="H2685" t="s">
        <v>52931</v>
      </c>
      <c r="I2685" t="s">
        <v>52932</v>
      </c>
      <c r="J2685" t="s">
        <v>52933</v>
      </c>
      <c r="K2685" t="s">
        <v>52934</v>
      </c>
      <c r="L2685" t="s">
        <v>52935</v>
      </c>
      <c r="M2685" t="s">
        <v>52936</v>
      </c>
      <c r="N2685" t="s">
        <v>52937</v>
      </c>
      <c r="O2685">
        <f>-556.799070087343 -89.4648280984588 -742.170164093354</f>
        <v>-1388.4340622791558</v>
      </c>
      <c r="P2685">
        <f>-572.493579570993 -76.103980572503 -426.320026898033</f>
        <v>-1074.917587041529</v>
      </c>
      <c r="Q2685">
        <f>-322.780349068528 -5.08453048474642 -410.777139816315</f>
        <v>-738.64201936958943</v>
      </c>
      <c r="R2685" t="s">
        <v>52938</v>
      </c>
      <c r="S2685" t="s">
        <v>52939</v>
      </c>
      <c r="T2685" t="s">
        <v>52940</v>
      </c>
      <c r="U2685" t="s">
        <v>52941</v>
      </c>
      <c r="V2685" t="s">
        <v>52942</v>
      </c>
      <c r="W2685" t="s">
        <v>52943</v>
      </c>
      <c r="X2685" t="s">
        <v>52944</v>
      </c>
      <c r="Y2685" t="s">
        <v>52945</v>
      </c>
    </row>
    <row r="2686" spans="1:25" x14ac:dyDescent="0.3">
      <c r="A2686">
        <v>134250</v>
      </c>
      <c r="B2686" t="s">
        <v>52946</v>
      </c>
      <c r="C2686" t="s">
        <v>52947</v>
      </c>
      <c r="D2686" t="s">
        <v>52948</v>
      </c>
      <c r="E2686" t="s">
        <v>52949</v>
      </c>
      <c r="F2686" t="s">
        <v>52950</v>
      </c>
      <c r="G2686" t="s">
        <v>52951</v>
      </c>
      <c r="H2686" t="s">
        <v>52952</v>
      </c>
      <c r="I2686" t="s">
        <v>52953</v>
      </c>
      <c r="J2686" t="s">
        <v>52954</v>
      </c>
      <c r="K2686" t="s">
        <v>52955</v>
      </c>
      <c r="L2686" t="s">
        <v>52956</v>
      </c>
      <c r="M2686" t="s">
        <v>52957</v>
      </c>
      <c r="N2686" t="s">
        <v>52958</v>
      </c>
      <c r="O2686">
        <f>-555.800707537201 -87.1860934241374 -743.681156449473</f>
        <v>-1386.6679574108114</v>
      </c>
      <c r="P2686">
        <f>-573.12915830579 -74.6266815820733 -427.883383786827</f>
        <v>-1075.6392236746904</v>
      </c>
      <c r="Q2686">
        <f>-323.28980883467 -4.36372148732407 -410.987330522896</f>
        <v>-738.64086084489008</v>
      </c>
      <c r="R2686" t="s">
        <v>52959</v>
      </c>
      <c r="S2686" t="s">
        <v>52960</v>
      </c>
      <c r="T2686" t="s">
        <v>52961</v>
      </c>
      <c r="U2686" t="s">
        <v>52962</v>
      </c>
      <c r="V2686" t="s">
        <v>52963</v>
      </c>
      <c r="W2686" t="s">
        <v>52964</v>
      </c>
      <c r="X2686" t="s">
        <v>52965</v>
      </c>
      <c r="Y2686" t="s">
        <v>52966</v>
      </c>
    </row>
    <row r="2687" spans="1:25" x14ac:dyDescent="0.3">
      <c r="A2687">
        <v>134300</v>
      </c>
      <c r="B2687" t="s">
        <v>52967</v>
      </c>
      <c r="C2687" t="s">
        <v>52968</v>
      </c>
      <c r="D2687" t="s">
        <v>52969</v>
      </c>
      <c r="E2687" t="s">
        <v>52970</v>
      </c>
      <c r="F2687" t="s">
        <v>52971</v>
      </c>
      <c r="G2687" t="s">
        <v>52972</v>
      </c>
      <c r="H2687" t="s">
        <v>52973</v>
      </c>
      <c r="I2687" t="s">
        <v>52974</v>
      </c>
      <c r="J2687" t="s">
        <v>52975</v>
      </c>
      <c r="K2687" t="s">
        <v>52976</v>
      </c>
      <c r="L2687" t="s">
        <v>52977</v>
      </c>
      <c r="M2687" t="s">
        <v>52978</v>
      </c>
      <c r="N2687" t="s">
        <v>52979</v>
      </c>
      <c r="O2687">
        <f>-555.200168574627 -86.0802316918111 -744.472243102366</f>
        <v>-1385.752643368804</v>
      </c>
      <c r="P2687">
        <f>-573.460134356122 -74.0842979399008 -428.705139383358</f>
        <v>-1076.2495716793808</v>
      </c>
      <c r="Q2687">
        <f>-323.555380587076 -4.24870034313524 -411.023255569691</f>
        <v>-738.82733649990223</v>
      </c>
      <c r="R2687" t="s">
        <v>52980</v>
      </c>
      <c r="S2687" t="s">
        <v>52981</v>
      </c>
      <c r="T2687" t="s">
        <v>52982</v>
      </c>
      <c r="U2687" t="s">
        <v>52983</v>
      </c>
      <c r="V2687" t="s">
        <v>52984</v>
      </c>
      <c r="W2687" t="s">
        <v>52985</v>
      </c>
      <c r="X2687" t="s">
        <v>52986</v>
      </c>
      <c r="Y2687" t="s">
        <v>52987</v>
      </c>
    </row>
    <row r="2688" spans="1:25" x14ac:dyDescent="0.3">
      <c r="A2688">
        <v>134350</v>
      </c>
      <c r="B2688" t="s">
        <v>52988</v>
      </c>
      <c r="C2688" t="s">
        <v>52989</v>
      </c>
      <c r="D2688" t="s">
        <v>52990</v>
      </c>
      <c r="E2688" t="s">
        <v>52991</v>
      </c>
      <c r="F2688" t="s">
        <v>52992</v>
      </c>
      <c r="G2688" t="s">
        <v>52993</v>
      </c>
      <c r="H2688" t="s">
        <v>52994</v>
      </c>
      <c r="I2688" t="s">
        <v>52995</v>
      </c>
      <c r="J2688" t="s">
        <v>52996</v>
      </c>
      <c r="K2688" t="s">
        <v>52997</v>
      </c>
      <c r="L2688" t="s">
        <v>52998</v>
      </c>
      <c r="M2688" t="s">
        <v>52999</v>
      </c>
      <c r="N2688" t="s">
        <v>53000</v>
      </c>
      <c r="O2688">
        <f>-553.208663661917 -82.9855132766463 -746.633247064795</f>
        <v>-1382.8274240033584</v>
      </c>
      <c r="P2688">
        <f>-573.919063926835 -73.2854721282177 -430.938410497677</f>
        <v>-1078.1429465527297</v>
      </c>
      <c r="Q2688">
        <f>-323.905409383525 -4.32941646115259 -411.436810474959</f>
        <v>-739.6716363196366</v>
      </c>
      <c r="R2688" t="s">
        <v>53001</v>
      </c>
      <c r="S2688" t="s">
        <v>53002</v>
      </c>
      <c r="T2688" t="s">
        <v>53003</v>
      </c>
      <c r="U2688" t="s">
        <v>53004</v>
      </c>
      <c r="V2688" t="s">
        <v>53005</v>
      </c>
      <c r="W2688" t="s">
        <v>53006</v>
      </c>
      <c r="X2688" t="s">
        <v>53007</v>
      </c>
      <c r="Y2688" t="s">
        <v>53008</v>
      </c>
    </row>
    <row r="2689" spans="1:25" x14ac:dyDescent="0.3">
      <c r="A2689">
        <v>134400</v>
      </c>
      <c r="B2689" t="s">
        <v>53009</v>
      </c>
      <c r="C2689" t="s">
        <v>53010</v>
      </c>
      <c r="D2689" t="s">
        <v>53011</v>
      </c>
      <c r="E2689" t="s">
        <v>53012</v>
      </c>
      <c r="F2689" t="s">
        <v>53013</v>
      </c>
      <c r="G2689" t="s">
        <v>53014</v>
      </c>
      <c r="H2689" t="s">
        <v>53015</v>
      </c>
      <c r="I2689" t="s">
        <v>53016</v>
      </c>
      <c r="J2689" t="s">
        <v>53017</v>
      </c>
      <c r="K2689" t="s">
        <v>53018</v>
      </c>
      <c r="L2689" t="s">
        <v>53019</v>
      </c>
      <c r="M2689" t="s">
        <v>53020</v>
      </c>
      <c r="N2689" t="s">
        <v>53021</v>
      </c>
      <c r="O2689">
        <f>-551.895777504921 -81.009352763288 -747.98265422561</f>
        <v>-1380.887784493819</v>
      </c>
      <c r="P2689">
        <f>-574.644034201444 -72.79751551468 -432.385788273159</f>
        <v>-1079.827337989283</v>
      </c>
      <c r="Q2689">
        <f>-324.573249838038 -4.42689145397898 -411.598032067848</f>
        <v>-740.59817335986497</v>
      </c>
      <c r="R2689" t="s">
        <v>53022</v>
      </c>
      <c r="S2689" t="s">
        <v>53023</v>
      </c>
      <c r="T2689" t="s">
        <v>53024</v>
      </c>
      <c r="U2689" t="s">
        <v>53025</v>
      </c>
      <c r="V2689" t="s">
        <v>53026</v>
      </c>
      <c r="W2689" t="s">
        <v>53027</v>
      </c>
      <c r="X2689" t="s">
        <v>53028</v>
      </c>
      <c r="Y2689" t="s">
        <v>53029</v>
      </c>
    </row>
    <row r="2690" spans="1:25" x14ac:dyDescent="0.3">
      <c r="A2690">
        <v>134450</v>
      </c>
      <c r="B2690" t="s">
        <v>53030</v>
      </c>
      <c r="C2690" t="s">
        <v>53031</v>
      </c>
      <c r="D2690" t="s">
        <v>53032</v>
      </c>
      <c r="E2690" t="s">
        <v>53033</v>
      </c>
      <c r="F2690" t="s">
        <v>53034</v>
      </c>
      <c r="G2690" t="s">
        <v>53035</v>
      </c>
      <c r="H2690" t="s">
        <v>53036</v>
      </c>
      <c r="I2690" t="s">
        <v>53037</v>
      </c>
      <c r="J2690" t="s">
        <v>53038</v>
      </c>
      <c r="K2690" t="s">
        <v>53039</v>
      </c>
      <c r="L2690" t="s">
        <v>53040</v>
      </c>
      <c r="M2690" t="s">
        <v>53041</v>
      </c>
      <c r="N2690" t="s">
        <v>53042</v>
      </c>
      <c r="O2690">
        <f>-547.87629369964 -76.6172155324575 -751.560740741238</f>
        <v>-1376.0542499733356</v>
      </c>
      <c r="P2690">
        <f>-576.828686770737 -71.6626710963723 -436.404688115881</f>
        <v>-1084.8960459829902</v>
      </c>
      <c r="Q2690">
        <f>-326.788390549816 -4.39290573236225 -411.977439312908</f>
        <v>-743.15873559508623</v>
      </c>
      <c r="R2690" t="s">
        <v>53043</v>
      </c>
      <c r="S2690" t="s">
        <v>53044</v>
      </c>
      <c r="T2690" t="s">
        <v>53045</v>
      </c>
      <c r="U2690" t="s">
        <v>53046</v>
      </c>
      <c r="V2690" t="s">
        <v>53047</v>
      </c>
      <c r="W2690" t="s">
        <v>53048</v>
      </c>
      <c r="X2690" t="s">
        <v>53049</v>
      </c>
      <c r="Y2690" t="s">
        <v>53050</v>
      </c>
    </row>
    <row r="2691" spans="1:25" x14ac:dyDescent="0.3">
      <c r="A2691">
        <v>134500</v>
      </c>
      <c r="B2691" t="s">
        <v>53051</v>
      </c>
      <c r="C2691" t="s">
        <v>53052</v>
      </c>
      <c r="D2691" t="s">
        <v>53053</v>
      </c>
      <c r="E2691" t="s">
        <v>53054</v>
      </c>
      <c r="F2691" t="s">
        <v>53055</v>
      </c>
      <c r="G2691" t="s">
        <v>53056</v>
      </c>
      <c r="H2691" t="s">
        <v>53057</v>
      </c>
      <c r="I2691" t="s">
        <v>53058</v>
      </c>
      <c r="J2691" t="s">
        <v>53059</v>
      </c>
      <c r="K2691" t="s">
        <v>53060</v>
      </c>
      <c r="L2691" t="s">
        <v>53061</v>
      </c>
      <c r="M2691" t="s">
        <v>53062</v>
      </c>
      <c r="N2691" t="s">
        <v>53063</v>
      </c>
      <c r="O2691">
        <f>-545.299725446261 -74.5103543212979 -753.760469355353</f>
        <v>-1373.5705491229119</v>
      </c>
      <c r="P2691">
        <f>-578.170976764603 -71.8513275066047 -438.961136495098</f>
        <v>-1088.9834407663056</v>
      </c>
      <c r="Q2691">
        <f>-328.233510848633 -5.1298170861283 -412.099311841848</f>
        <v>-745.46263977660931</v>
      </c>
      <c r="R2691" t="s">
        <v>53064</v>
      </c>
      <c r="S2691" t="s">
        <v>53065</v>
      </c>
      <c r="T2691" t="s">
        <v>53066</v>
      </c>
      <c r="U2691" t="s">
        <v>53067</v>
      </c>
      <c r="V2691" t="s">
        <v>53068</v>
      </c>
      <c r="W2691" t="s">
        <v>53069</v>
      </c>
      <c r="X2691" t="s">
        <v>53070</v>
      </c>
      <c r="Y2691" t="s">
        <v>53071</v>
      </c>
    </row>
    <row r="2692" spans="1:25" x14ac:dyDescent="0.3">
      <c r="A2692">
        <v>134550</v>
      </c>
      <c r="B2692" t="s">
        <v>53072</v>
      </c>
      <c r="C2692" t="s">
        <v>53073</v>
      </c>
      <c r="D2692" t="s">
        <v>53074</v>
      </c>
      <c r="E2692" t="s">
        <v>53075</v>
      </c>
      <c r="F2692" t="s">
        <v>53076</v>
      </c>
      <c r="G2692" t="s">
        <v>53077</v>
      </c>
      <c r="H2692" t="s">
        <v>53078</v>
      </c>
      <c r="I2692" t="s">
        <v>53079</v>
      </c>
      <c r="J2692" t="s">
        <v>53080</v>
      </c>
      <c r="K2692" t="s">
        <v>53081</v>
      </c>
      <c r="L2692" t="s">
        <v>53082</v>
      </c>
      <c r="M2692" t="s">
        <v>53083</v>
      </c>
      <c r="N2692" t="s">
        <v>53084</v>
      </c>
      <c r="O2692">
        <f>-539.820902196656 -70.456139251748 -758.87117643469</f>
        <v>-1369.148217883094</v>
      </c>
      <c r="P2692">
        <f>-582.755727851343 -72.2601663202666 -445.279750260671</f>
        <v>-1100.2956444322806</v>
      </c>
      <c r="Q2692">
        <f>-332.988113317843 -7.31673826530216 -413.022302694395</f>
        <v>-753.3271542775401</v>
      </c>
      <c r="R2692" t="s">
        <v>53085</v>
      </c>
      <c r="S2692" t="s">
        <v>53086</v>
      </c>
      <c r="T2692" t="s">
        <v>53087</v>
      </c>
      <c r="U2692" t="s">
        <v>53088</v>
      </c>
      <c r="V2692" t="s">
        <v>53089</v>
      </c>
      <c r="W2692" t="s">
        <v>53090</v>
      </c>
      <c r="X2692" t="s">
        <v>53091</v>
      </c>
      <c r="Y2692" t="s">
        <v>53092</v>
      </c>
    </row>
    <row r="2693" spans="1:25" x14ac:dyDescent="0.3">
      <c r="A2693">
        <v>134600</v>
      </c>
      <c r="B2693" t="s">
        <v>53093</v>
      </c>
      <c r="C2693" t="s">
        <v>53094</v>
      </c>
      <c r="D2693" t="s">
        <v>53095</v>
      </c>
      <c r="E2693" t="s">
        <v>53096</v>
      </c>
      <c r="F2693" t="s">
        <v>53097</v>
      </c>
      <c r="G2693" t="s">
        <v>53098</v>
      </c>
      <c r="H2693" t="s">
        <v>53099</v>
      </c>
      <c r="I2693" t="s">
        <v>53100</v>
      </c>
      <c r="J2693" t="s">
        <v>53101</v>
      </c>
      <c r="K2693" t="s">
        <v>53102</v>
      </c>
      <c r="L2693" t="s">
        <v>53103</v>
      </c>
      <c r="M2693" t="s">
        <v>53104</v>
      </c>
      <c r="N2693" t="s">
        <v>53105</v>
      </c>
      <c r="O2693">
        <f>-536.564304469464 -68.3578915396081 -761.731142708738</f>
        <v>-1366.6533387178101</v>
      </c>
      <c r="P2693">
        <f>-585.364239511359 -73.064901753966 -449.029026385359</f>
        <v>-1107.4581676506839</v>
      </c>
      <c r="Q2693">
        <f>-335.743784904949 -9.13986495933987 -413.740684064527</f>
        <v>-758.62433392881587</v>
      </c>
      <c r="R2693" t="s">
        <v>53106</v>
      </c>
      <c r="S2693" t="s">
        <v>53107</v>
      </c>
      <c r="T2693" t="s">
        <v>53108</v>
      </c>
      <c r="U2693" t="s">
        <v>53109</v>
      </c>
      <c r="V2693" t="s">
        <v>53110</v>
      </c>
      <c r="W2693" t="s">
        <v>53111</v>
      </c>
      <c r="X2693" t="s">
        <v>53112</v>
      </c>
      <c r="Y2693" t="s">
        <v>53113</v>
      </c>
    </row>
    <row r="2694" spans="1:25" x14ac:dyDescent="0.3">
      <c r="A2694">
        <v>134650</v>
      </c>
      <c r="B2694" t="s">
        <v>53114</v>
      </c>
      <c r="C2694" t="s">
        <v>53115</v>
      </c>
      <c r="D2694" t="s">
        <v>53116</v>
      </c>
      <c r="E2694" t="s">
        <v>53117</v>
      </c>
      <c r="F2694" t="s">
        <v>53118</v>
      </c>
      <c r="G2694" t="s">
        <v>53119</v>
      </c>
      <c r="H2694" t="s">
        <v>53120</v>
      </c>
      <c r="I2694" t="s">
        <v>53121</v>
      </c>
      <c r="J2694" t="s">
        <v>53122</v>
      </c>
      <c r="K2694" t="s">
        <v>53123</v>
      </c>
      <c r="L2694" t="s">
        <v>53124</v>
      </c>
      <c r="M2694" t="s">
        <v>53125</v>
      </c>
      <c r="N2694" t="s">
        <v>53126</v>
      </c>
      <c r="O2694">
        <f>-529.187439126231 -63.7553713956151 -767.724409814831</f>
        <v>-1360.667220336677</v>
      </c>
      <c r="P2694">
        <f>-592.288315966094 -74.1928858260751 -457.731674457902</f>
        <v>-1124.2128762500711</v>
      </c>
      <c r="Q2694">
        <f>-343.171875197461 -12.8524840780041 -415.065720826962</f>
        <v>-771.09008010242712</v>
      </c>
      <c r="R2694" t="s">
        <v>53127</v>
      </c>
      <c r="S2694" t="s">
        <v>53128</v>
      </c>
      <c r="T2694" t="s">
        <v>53129</v>
      </c>
      <c r="U2694" t="s">
        <v>53130</v>
      </c>
      <c r="V2694" t="s">
        <v>53131</v>
      </c>
      <c r="W2694" t="s">
        <v>53132</v>
      </c>
      <c r="X2694" t="s">
        <v>53133</v>
      </c>
      <c r="Y2694" t="s">
        <v>53134</v>
      </c>
    </row>
    <row r="2695" spans="1:25" x14ac:dyDescent="0.3">
      <c r="A2695">
        <v>134700</v>
      </c>
      <c r="B2695" t="s">
        <v>53135</v>
      </c>
      <c r="C2695" t="s">
        <v>53136</v>
      </c>
      <c r="D2695" t="s">
        <v>53137</v>
      </c>
      <c r="E2695" t="s">
        <v>53138</v>
      </c>
      <c r="F2695" t="s">
        <v>53139</v>
      </c>
      <c r="G2695" t="s">
        <v>53140</v>
      </c>
      <c r="H2695" t="s">
        <v>53141</v>
      </c>
      <c r="I2695" t="s">
        <v>53142</v>
      </c>
      <c r="J2695" t="s">
        <v>53143</v>
      </c>
      <c r="K2695" t="s">
        <v>53144</v>
      </c>
      <c r="L2695" t="s">
        <v>53145</v>
      </c>
      <c r="M2695" t="s">
        <v>53146</v>
      </c>
      <c r="N2695" t="s">
        <v>53147</v>
      </c>
      <c r="O2695">
        <f>-525.351976605961 -61.0004732764539 -771.024197712444</f>
        <v>-1357.3766475948589</v>
      </c>
      <c r="P2695">
        <f>-596.448806800692 -74.232514047618 -462.874307192466</f>
        <v>-1133.5556280407759</v>
      </c>
      <c r="Q2695">
        <f>-347.641112234818 -14.9232663913171 -415.76570862413</f>
        <v>-778.33008725026514</v>
      </c>
      <c r="R2695" t="s">
        <v>53148</v>
      </c>
      <c r="S2695" t="s">
        <v>53149</v>
      </c>
      <c r="T2695" t="s">
        <v>53150</v>
      </c>
      <c r="U2695" t="s">
        <v>53151</v>
      </c>
      <c r="V2695" t="s">
        <v>53152</v>
      </c>
      <c r="W2695" t="s">
        <v>53153</v>
      </c>
      <c r="X2695" t="s">
        <v>53154</v>
      </c>
      <c r="Y2695" t="s">
        <v>53155</v>
      </c>
    </row>
    <row r="2696" spans="1:25" x14ac:dyDescent="0.3">
      <c r="A2696">
        <v>134750</v>
      </c>
      <c r="B2696" t="s">
        <v>53156</v>
      </c>
      <c r="C2696" t="s">
        <v>53157</v>
      </c>
      <c r="D2696" t="s">
        <v>53158</v>
      </c>
      <c r="E2696" t="s">
        <v>53159</v>
      </c>
      <c r="F2696" t="s">
        <v>53160</v>
      </c>
      <c r="G2696" t="s">
        <v>53161</v>
      </c>
      <c r="H2696" t="s">
        <v>53162</v>
      </c>
      <c r="I2696" t="s">
        <v>53163</v>
      </c>
      <c r="J2696" t="s">
        <v>53164</v>
      </c>
      <c r="K2696" t="s">
        <v>53165</v>
      </c>
      <c r="L2696" t="s">
        <v>53166</v>
      </c>
      <c r="M2696" t="s">
        <v>53167</v>
      </c>
      <c r="N2696" t="s">
        <v>53168</v>
      </c>
      <c r="O2696">
        <f>-514.241783492694 -56.3784994276331 -778.007569361108</f>
        <v>-1348.627852281435</v>
      </c>
      <c r="P2696">
        <f>-603.50147892227 -73.6128935872639 -474.821402668512</f>
        <v>-1151.935775178046</v>
      </c>
      <c r="Q2696">
        <f>-355.514571334211 -19.2582332356282 -418.340448761388</f>
        <v>-793.11325333122727</v>
      </c>
      <c r="R2696" t="s">
        <v>53169</v>
      </c>
      <c r="S2696" t="s">
        <v>53170</v>
      </c>
      <c r="T2696" t="s">
        <v>53171</v>
      </c>
      <c r="U2696" t="s">
        <v>53172</v>
      </c>
      <c r="V2696" t="s">
        <v>53173</v>
      </c>
      <c r="W2696" t="s">
        <v>53174</v>
      </c>
      <c r="X2696" t="s">
        <v>53175</v>
      </c>
      <c r="Y2696" t="s">
        <v>53176</v>
      </c>
    </row>
    <row r="2697" spans="1:25" x14ac:dyDescent="0.3">
      <c r="A2697">
        <v>134800</v>
      </c>
      <c r="B2697" t="s">
        <v>53177</v>
      </c>
      <c r="C2697" t="s">
        <v>53178</v>
      </c>
      <c r="D2697" t="s">
        <v>53179</v>
      </c>
      <c r="E2697" t="s">
        <v>53180</v>
      </c>
      <c r="F2697" t="s">
        <v>53181</v>
      </c>
      <c r="G2697" t="s">
        <v>53182</v>
      </c>
      <c r="H2697" t="s">
        <v>53183</v>
      </c>
      <c r="I2697" t="s">
        <v>53184</v>
      </c>
      <c r="J2697" t="s">
        <v>53185</v>
      </c>
      <c r="K2697" t="s">
        <v>53186</v>
      </c>
      <c r="L2697" t="s">
        <v>53187</v>
      </c>
      <c r="M2697" t="s">
        <v>53188</v>
      </c>
      <c r="N2697" t="s">
        <v>53189</v>
      </c>
      <c r="O2697">
        <f>-507.654863178638 -53.4337247005818 -781.58236565285</f>
        <v>-1342.6709535320697</v>
      </c>
      <c r="P2697">
        <f>-606.484549365725 -72.0793688257226 -481.463815315982</f>
        <v>-1160.0277335074295</v>
      </c>
      <c r="Q2697">
        <f>-359.136201903159 -20.0702123970978 -420.178299831905</f>
        <v>-799.38471413216189</v>
      </c>
      <c r="R2697" t="s">
        <v>53190</v>
      </c>
      <c r="S2697" t="s">
        <v>53191</v>
      </c>
      <c r="T2697" t="s">
        <v>53192</v>
      </c>
      <c r="U2697" t="s">
        <v>53193</v>
      </c>
      <c r="V2697" t="s">
        <v>53194</v>
      </c>
      <c r="W2697" t="s">
        <v>53195</v>
      </c>
      <c r="X2697" t="s">
        <v>53196</v>
      </c>
      <c r="Y2697" t="s">
        <v>53197</v>
      </c>
    </row>
    <row r="2698" spans="1:25" x14ac:dyDescent="0.3">
      <c r="A2698">
        <v>134850</v>
      </c>
      <c r="B2698" t="s">
        <v>53198</v>
      </c>
      <c r="C2698" t="s">
        <v>53199</v>
      </c>
      <c r="D2698" t="s">
        <v>53200</v>
      </c>
      <c r="E2698" t="s">
        <v>53201</v>
      </c>
      <c r="F2698" t="s">
        <v>53202</v>
      </c>
      <c r="G2698" t="s">
        <v>53203</v>
      </c>
      <c r="H2698" t="s">
        <v>53204</v>
      </c>
      <c r="I2698" t="s">
        <v>53205</v>
      </c>
      <c r="J2698" t="s">
        <v>53206</v>
      </c>
      <c r="K2698" t="s">
        <v>53207</v>
      </c>
      <c r="L2698" t="s">
        <v>53208</v>
      </c>
      <c r="M2698" t="s">
        <v>53209</v>
      </c>
      <c r="N2698" t="s">
        <v>53210</v>
      </c>
      <c r="O2698">
        <f>-492.311896331795 -46.8295227257014 -787.857157804772</f>
        <v>-1326.9985768622685</v>
      </c>
      <c r="P2698">
        <f>-611.388683727436 -68.2368154738533 -495.370135913856</f>
        <v>-1174.9956351151454</v>
      </c>
      <c r="Q2698">
        <f>-365.918418989399 -20.3708347396817 -423.989043987098</f>
        <v>-810.27829771617871</v>
      </c>
      <c r="R2698" t="s">
        <v>53211</v>
      </c>
      <c r="S2698" t="s">
        <v>53212</v>
      </c>
      <c r="T2698" t="s">
        <v>53213</v>
      </c>
      <c r="U2698" t="s">
        <v>53214</v>
      </c>
      <c r="V2698" t="s">
        <v>53215</v>
      </c>
      <c r="W2698" t="s">
        <v>53216</v>
      </c>
      <c r="X2698" t="s">
        <v>53217</v>
      </c>
      <c r="Y2698" t="s">
        <v>53218</v>
      </c>
    </row>
    <row r="2699" spans="1:25" x14ac:dyDescent="0.3">
      <c r="A2699">
        <v>134900</v>
      </c>
      <c r="B2699" t="s">
        <v>53219</v>
      </c>
      <c r="C2699" t="s">
        <v>53220</v>
      </c>
      <c r="D2699" t="s">
        <v>53221</v>
      </c>
      <c r="E2699" t="s">
        <v>53222</v>
      </c>
      <c r="F2699" t="s">
        <v>53223</v>
      </c>
      <c r="G2699" t="s">
        <v>53224</v>
      </c>
      <c r="H2699" t="s">
        <v>53225</v>
      </c>
      <c r="I2699" t="s">
        <v>53226</v>
      </c>
      <c r="J2699" t="s">
        <v>53227</v>
      </c>
      <c r="K2699" t="s">
        <v>53228</v>
      </c>
      <c r="L2699" t="s">
        <v>53229</v>
      </c>
      <c r="M2699" t="s">
        <v>53230</v>
      </c>
      <c r="N2699" t="s">
        <v>53231</v>
      </c>
      <c r="O2699">
        <f>-472.10745448344 -40.3022711313037 -792.884963411855</f>
        <v>-1305.2946890265987</v>
      </c>
      <c r="P2699">
        <f>-610.203915218978 -63.7484614234302 -509.043871594817</f>
        <v>-1182.9962482372252</v>
      </c>
      <c r="Q2699">
        <f>-366.905554719016 -19.553561986026 -428.453663735702</f>
        <v>-814.91278044074397</v>
      </c>
      <c r="R2699" t="s">
        <v>53232</v>
      </c>
      <c r="S2699" t="s">
        <v>53233</v>
      </c>
      <c r="T2699" t="s">
        <v>53234</v>
      </c>
      <c r="U2699" t="s">
        <v>53235</v>
      </c>
      <c r="V2699" t="s">
        <v>53236</v>
      </c>
      <c r="W2699" t="s">
        <v>53237</v>
      </c>
      <c r="X2699" t="s">
        <v>53238</v>
      </c>
      <c r="Y2699" t="s">
        <v>53239</v>
      </c>
    </row>
    <row r="2700" spans="1:25" x14ac:dyDescent="0.3">
      <c r="A2700">
        <v>134950</v>
      </c>
      <c r="B2700" t="s">
        <v>53240</v>
      </c>
      <c r="C2700" t="s">
        <v>53241</v>
      </c>
      <c r="D2700" t="s">
        <v>53242</v>
      </c>
      <c r="E2700" t="s">
        <v>53243</v>
      </c>
      <c r="F2700" t="s">
        <v>53244</v>
      </c>
      <c r="G2700" t="s">
        <v>53245</v>
      </c>
      <c r="H2700" t="s">
        <v>53246</v>
      </c>
      <c r="I2700" t="s">
        <v>53247</v>
      </c>
      <c r="J2700" t="s">
        <v>53248</v>
      </c>
      <c r="K2700" t="s">
        <v>53249</v>
      </c>
      <c r="L2700" t="s">
        <v>53250</v>
      </c>
      <c r="M2700" t="s">
        <v>53251</v>
      </c>
      <c r="N2700" t="s">
        <v>53252</v>
      </c>
      <c r="O2700">
        <f>-460.150449250923 -36.4986653801755 -794.860210768824</f>
        <v>-1291.5093253999225</v>
      </c>
      <c r="P2700">
        <f>-606.696678430888 -61.0263021151023 -515.380666428885</f>
        <v>-1183.1036469748753</v>
      </c>
      <c r="Q2700">
        <f>-364.379149044024 -18.5802690928271 -430.98525632862</f>
        <v>-813.94467446547105</v>
      </c>
      <c r="R2700" t="s">
        <v>53253</v>
      </c>
      <c r="S2700" t="s">
        <v>53254</v>
      </c>
      <c r="T2700" t="s">
        <v>53255</v>
      </c>
      <c r="U2700" t="s">
        <v>53256</v>
      </c>
      <c r="V2700" t="s">
        <v>53257</v>
      </c>
      <c r="W2700" t="s">
        <v>53258</v>
      </c>
      <c r="X2700" t="s">
        <v>53259</v>
      </c>
      <c r="Y2700" t="s">
        <v>53260</v>
      </c>
    </row>
    <row r="2701" spans="1:25" x14ac:dyDescent="0.3">
      <c r="A2701">
        <v>135000</v>
      </c>
      <c r="B2701" t="s">
        <v>53261</v>
      </c>
      <c r="C2701" t="s">
        <v>53262</v>
      </c>
      <c r="D2701" t="s">
        <v>53263</v>
      </c>
      <c r="E2701" t="s">
        <v>53264</v>
      </c>
      <c r="F2701" t="s">
        <v>53265</v>
      </c>
      <c r="G2701" t="s">
        <v>53266</v>
      </c>
      <c r="H2701" t="s">
        <v>53267</v>
      </c>
      <c r="I2701" t="s">
        <v>53268</v>
      </c>
      <c r="J2701" t="s">
        <v>53269</v>
      </c>
      <c r="K2701" t="s">
        <v>53270</v>
      </c>
      <c r="L2701" t="s">
        <v>53271</v>
      </c>
      <c r="M2701" t="s">
        <v>53272</v>
      </c>
      <c r="N2701" t="s">
        <v>53273</v>
      </c>
      <c r="O2701">
        <f>-449.063615644659 -34.1745546756078 -796.302568950901</f>
        <v>-1279.5407392711677</v>
      </c>
      <c r="P2701">
        <f>-602.934862667579 -59.4378990448981 -520.854529765289</f>
        <v>-1183.2272914777661</v>
      </c>
      <c r="Q2701">
        <f>-361.437249089798 -18.5059023578336 -433.415953964229</f>
        <v>-813.35910541186058</v>
      </c>
      <c r="R2701" t="s">
        <v>53274</v>
      </c>
      <c r="S2701" t="s">
        <v>53275</v>
      </c>
      <c r="T2701" t="s">
        <v>53276</v>
      </c>
      <c r="U2701" t="s">
        <v>53277</v>
      </c>
      <c r="V2701" t="s">
        <v>53278</v>
      </c>
      <c r="W2701" t="s">
        <v>53279</v>
      </c>
      <c r="X2701" t="s">
        <v>53280</v>
      </c>
      <c r="Y2701" t="s">
        <v>53281</v>
      </c>
    </row>
    <row r="2702" spans="1:25" x14ac:dyDescent="0.3">
      <c r="A2702">
        <v>135050</v>
      </c>
      <c r="B2702" t="s">
        <v>53282</v>
      </c>
      <c r="C2702" t="s">
        <v>53283</v>
      </c>
      <c r="D2702" t="s">
        <v>53284</v>
      </c>
      <c r="E2702" t="s">
        <v>53285</v>
      </c>
      <c r="F2702" t="s">
        <v>53286</v>
      </c>
      <c r="G2702" t="s">
        <v>53287</v>
      </c>
      <c r="H2702" t="s">
        <v>53288</v>
      </c>
      <c r="I2702" t="s">
        <v>53289</v>
      </c>
      <c r="J2702" t="s">
        <v>53290</v>
      </c>
      <c r="K2702" t="s">
        <v>53291</v>
      </c>
      <c r="L2702" t="s">
        <v>53292</v>
      </c>
      <c r="M2702" t="s">
        <v>53293</v>
      </c>
      <c r="N2702" t="s">
        <v>53294</v>
      </c>
      <c r="O2702">
        <f>-433.827537595808 -32.2973441666676 -797.861163748535</f>
        <v>-1263.9860455110106</v>
      </c>
      <c r="P2702">
        <f>-598.615794275167 -59.2705436248738 -528.968048384168</f>
        <v>-1186.8543862842089</v>
      </c>
      <c r="Q2702">
        <f>-358.393698693604 -20.3983271713186 -437.183814342921</f>
        <v>-815.97584020784359</v>
      </c>
      <c r="R2702" t="s">
        <v>53295</v>
      </c>
      <c r="S2702" t="s">
        <v>53296</v>
      </c>
      <c r="T2702" t="s">
        <v>53297</v>
      </c>
      <c r="U2702" t="s">
        <v>53298</v>
      </c>
      <c r="V2702" t="s">
        <v>53299</v>
      </c>
      <c r="W2702" t="s">
        <v>53300</v>
      </c>
      <c r="X2702" t="s">
        <v>53301</v>
      </c>
      <c r="Y2702" t="s">
        <v>53302</v>
      </c>
    </row>
    <row r="2703" spans="1:25" x14ac:dyDescent="0.3">
      <c r="A2703">
        <v>135100</v>
      </c>
      <c r="B2703" t="s">
        <v>53303</v>
      </c>
      <c r="C2703" t="s">
        <v>53304</v>
      </c>
      <c r="D2703" t="s">
        <v>53305</v>
      </c>
      <c r="E2703" t="s">
        <v>53306</v>
      </c>
      <c r="F2703" t="s">
        <v>53307</v>
      </c>
      <c r="G2703" t="s">
        <v>53308</v>
      </c>
      <c r="H2703" t="s">
        <v>53309</v>
      </c>
      <c r="I2703" t="s">
        <v>53310</v>
      </c>
      <c r="J2703" t="s">
        <v>53311</v>
      </c>
      <c r="K2703" t="s">
        <v>53312</v>
      </c>
      <c r="L2703" t="s">
        <v>53313</v>
      </c>
      <c r="M2703" t="s">
        <v>53314</v>
      </c>
      <c r="N2703" t="s">
        <v>53315</v>
      </c>
      <c r="O2703">
        <f>-430.134235315201 -32.8240422151052 -797.937527964697</f>
        <v>-1260.8958054950031</v>
      </c>
      <c r="P2703">
        <f>-597.51563253098 -61.2322596393596 -530.799626649477</f>
        <v>-1189.5475188198166</v>
      </c>
      <c r="Q2703">
        <f>-357.716260519931 -22.7478651124641 -437.755169406379</f>
        <v>-818.21929503877413</v>
      </c>
      <c r="R2703" t="s">
        <v>53316</v>
      </c>
      <c r="S2703" t="s">
        <v>53317</v>
      </c>
      <c r="T2703" t="s">
        <v>53318</v>
      </c>
      <c r="U2703" t="s">
        <v>53319</v>
      </c>
      <c r="V2703" t="s">
        <v>53320</v>
      </c>
      <c r="W2703" t="s">
        <v>53321</v>
      </c>
      <c r="X2703" t="s">
        <v>53322</v>
      </c>
      <c r="Y2703" t="s">
        <v>53323</v>
      </c>
    </row>
    <row r="2704" spans="1:25" x14ac:dyDescent="0.3">
      <c r="A2704">
        <v>135150</v>
      </c>
      <c r="B2704" t="s">
        <v>53324</v>
      </c>
      <c r="C2704" t="s">
        <v>53325</v>
      </c>
      <c r="D2704" t="s">
        <v>53326</v>
      </c>
      <c r="E2704" t="s">
        <v>53327</v>
      </c>
      <c r="F2704" t="s">
        <v>53328</v>
      </c>
      <c r="G2704" t="s">
        <v>53329</v>
      </c>
      <c r="H2704" t="s">
        <v>53330</v>
      </c>
      <c r="I2704" t="s">
        <v>53331</v>
      </c>
      <c r="J2704" t="s">
        <v>53332</v>
      </c>
      <c r="K2704" t="s">
        <v>53333</v>
      </c>
      <c r="L2704" t="s">
        <v>53334</v>
      </c>
      <c r="M2704" t="s">
        <v>53335</v>
      </c>
      <c r="N2704" t="s">
        <v>53336</v>
      </c>
      <c r="O2704">
        <f>-428.6119115403 -34.9364005058021 -798.186082526704</f>
        <v>-1261.7343945728062</v>
      </c>
      <c r="P2704">
        <f>-597.48743290346 -62.7365064612653 -531.926077214786</f>
        <v>-1192.1500165795114</v>
      </c>
      <c r="Q2704">
        <f>-357.603537284338 -25.1501431810594 -438.732527577926</f>
        <v>-821.48620804332336</v>
      </c>
      <c r="R2704" t="s">
        <v>53337</v>
      </c>
      <c r="S2704" t="s">
        <v>53338</v>
      </c>
      <c r="T2704" t="s">
        <v>53339</v>
      </c>
      <c r="U2704" t="s">
        <v>53340</v>
      </c>
      <c r="V2704" t="s">
        <v>53341</v>
      </c>
      <c r="W2704" t="s">
        <v>53342</v>
      </c>
      <c r="X2704" t="s">
        <v>53343</v>
      </c>
      <c r="Y2704" t="s">
        <v>53344</v>
      </c>
    </row>
    <row r="2705" spans="1:25" x14ac:dyDescent="0.3">
      <c r="A2705">
        <v>135200</v>
      </c>
      <c r="B2705" t="s">
        <v>53345</v>
      </c>
      <c r="C2705" t="s">
        <v>53346</v>
      </c>
      <c r="D2705" t="s">
        <v>53347</v>
      </c>
      <c r="E2705" t="s">
        <v>53348</v>
      </c>
      <c r="F2705" t="s">
        <v>53349</v>
      </c>
      <c r="G2705" t="s">
        <v>53350</v>
      </c>
      <c r="H2705" t="s">
        <v>53351</v>
      </c>
      <c r="I2705" t="s">
        <v>53352</v>
      </c>
      <c r="J2705" t="s">
        <v>53353</v>
      </c>
      <c r="K2705" t="s">
        <v>53354</v>
      </c>
      <c r="L2705" t="s">
        <v>53355</v>
      </c>
      <c r="M2705" t="s">
        <v>53356</v>
      </c>
      <c r="N2705" t="s">
        <v>53357</v>
      </c>
      <c r="O2705">
        <f>-428.686819976109 -36.3763526868733 -797.445037880089</f>
        <v>-1262.5082105430713</v>
      </c>
      <c r="P2705">
        <f>-597.508861698552 -62.5547036227814 -530.986772463248</f>
        <v>-1191.0503377845814</v>
      </c>
      <c r="Q2705">
        <f>-357.217310963837 -25.1230218952648 -438.78651643103</f>
        <v>-821.12684929013176</v>
      </c>
      <c r="R2705" t="s">
        <v>53358</v>
      </c>
      <c r="S2705" t="s">
        <v>53359</v>
      </c>
      <c r="T2705" t="s">
        <v>53360</v>
      </c>
      <c r="U2705" t="s">
        <v>53361</v>
      </c>
      <c r="V2705" t="s">
        <v>53362</v>
      </c>
      <c r="W2705" t="s">
        <v>53363</v>
      </c>
      <c r="X2705" t="s">
        <v>53364</v>
      </c>
      <c r="Y2705" t="s">
        <v>53365</v>
      </c>
    </row>
    <row r="2706" spans="1:25" x14ac:dyDescent="0.3">
      <c r="A2706">
        <v>135250</v>
      </c>
      <c r="B2706" t="s">
        <v>53366</v>
      </c>
      <c r="C2706" t="s">
        <v>53367</v>
      </c>
      <c r="D2706" t="s">
        <v>53368</v>
      </c>
      <c r="E2706" t="s">
        <v>53369</v>
      </c>
      <c r="F2706" t="s">
        <v>53370</v>
      </c>
      <c r="G2706" t="s">
        <v>53371</v>
      </c>
      <c r="H2706" t="s">
        <v>53372</v>
      </c>
      <c r="I2706" t="s">
        <v>53373</v>
      </c>
      <c r="J2706" t="s">
        <v>53374</v>
      </c>
      <c r="K2706" t="s">
        <v>53375</v>
      </c>
      <c r="L2706" t="s">
        <v>53376</v>
      </c>
      <c r="M2706" t="s">
        <v>53377</v>
      </c>
      <c r="N2706" t="s">
        <v>53378</v>
      </c>
      <c r="O2706">
        <f>-430.739684628498 -38.2819411138086 -795.480873134671</f>
        <v>-1264.5024988769776</v>
      </c>
      <c r="P2706">
        <f>-597.349667708772 -60.7483370210396 -527.297078120209</f>
        <v>-1185.3950828500206</v>
      </c>
      <c r="Q2706">
        <f>-356.161163351475 -23.2551138130467 -437.494849108625</f>
        <v>-816.91112627314669</v>
      </c>
      <c r="R2706" t="s">
        <v>53379</v>
      </c>
      <c r="S2706" t="s">
        <v>53380</v>
      </c>
      <c r="T2706" t="s">
        <v>53381</v>
      </c>
      <c r="U2706" t="s">
        <v>53382</v>
      </c>
      <c r="V2706" t="s">
        <v>53383</v>
      </c>
      <c r="W2706" t="s">
        <v>53384</v>
      </c>
      <c r="X2706" t="s">
        <v>53385</v>
      </c>
      <c r="Y2706" t="s">
        <v>53386</v>
      </c>
    </row>
    <row r="2707" spans="1:25" x14ac:dyDescent="0.3">
      <c r="A2707">
        <v>135300</v>
      </c>
      <c r="B2707" t="s">
        <v>53387</v>
      </c>
      <c r="C2707" t="s">
        <v>53388</v>
      </c>
      <c r="D2707" t="s">
        <v>53389</v>
      </c>
      <c r="E2707" t="s">
        <v>53390</v>
      </c>
      <c r="F2707" t="s">
        <v>53391</v>
      </c>
      <c r="G2707" t="s">
        <v>53392</v>
      </c>
      <c r="H2707" t="s">
        <v>53393</v>
      </c>
      <c r="I2707" t="s">
        <v>53394</v>
      </c>
      <c r="J2707" t="s">
        <v>53395</v>
      </c>
      <c r="K2707" t="s">
        <v>53396</v>
      </c>
      <c r="L2707" t="s">
        <v>53397</v>
      </c>
      <c r="M2707" t="s">
        <v>53398</v>
      </c>
      <c r="N2707" t="s">
        <v>53399</v>
      </c>
      <c r="O2707">
        <f>-432.160895011341 -38.9861887498006 -794.414578403004</f>
        <v>-1265.5616621641457</v>
      </c>
      <c r="P2707">
        <f>-597.004752827346 -59.8422615973615 -525.012006842002</f>
        <v>-1181.8590212667095</v>
      </c>
      <c r="Q2707">
        <f>-355.568985886932 -22.0742462963838 -435.993034663018</f>
        <v>-813.63626684633391</v>
      </c>
      <c r="R2707" t="s">
        <v>53400</v>
      </c>
      <c r="S2707" t="s">
        <v>53401</v>
      </c>
      <c r="T2707" t="s">
        <v>53402</v>
      </c>
      <c r="U2707" t="s">
        <v>53403</v>
      </c>
      <c r="V2707" t="s">
        <v>53404</v>
      </c>
      <c r="W2707" t="s">
        <v>53405</v>
      </c>
      <c r="X2707" t="s">
        <v>53406</v>
      </c>
      <c r="Y2707" t="s">
        <v>53407</v>
      </c>
    </row>
    <row r="2708" spans="1:25" x14ac:dyDescent="0.3">
      <c r="A2708">
        <v>135350</v>
      </c>
      <c r="B2708" t="s">
        <v>53408</v>
      </c>
      <c r="C2708" t="s">
        <v>53409</v>
      </c>
      <c r="D2708" t="s">
        <v>53410</v>
      </c>
      <c r="E2708" t="s">
        <v>53411</v>
      </c>
      <c r="F2708" t="s">
        <v>53412</v>
      </c>
      <c r="G2708" t="s">
        <v>53413</v>
      </c>
      <c r="H2708" t="s">
        <v>53414</v>
      </c>
      <c r="I2708" t="s">
        <v>53415</v>
      </c>
      <c r="J2708" t="s">
        <v>53416</v>
      </c>
      <c r="K2708" t="s">
        <v>53417</v>
      </c>
      <c r="L2708" t="s">
        <v>53418</v>
      </c>
      <c r="M2708" t="s">
        <v>53419</v>
      </c>
      <c r="N2708" t="s">
        <v>53420</v>
      </c>
      <c r="O2708">
        <f>-436.314381756766 -39.2646921884265 -792.5584635938</f>
        <v>-1268.1375375389925</v>
      </c>
      <c r="P2708">
        <f>-597.08817294418 -57.4487248984122 -520.515664371246</f>
        <v>-1175.0525622138382</v>
      </c>
      <c r="Q2708">
        <f>-355.371021982155 -17.9999294595992 -433.001878333279</f>
        <v>-806.37282977503321</v>
      </c>
      <c r="R2708" t="s">
        <v>53421</v>
      </c>
      <c r="S2708" t="s">
        <v>53422</v>
      </c>
      <c r="T2708" t="s">
        <v>53423</v>
      </c>
      <c r="U2708" t="s">
        <v>53424</v>
      </c>
      <c r="V2708" t="s">
        <v>53425</v>
      </c>
      <c r="W2708" t="s">
        <v>53426</v>
      </c>
      <c r="X2708" t="s">
        <v>53427</v>
      </c>
      <c r="Y2708" t="s">
        <v>53428</v>
      </c>
    </row>
    <row r="2709" spans="1:25" x14ac:dyDescent="0.3">
      <c r="A2709">
        <v>135400</v>
      </c>
      <c r="B2709" t="s">
        <v>53429</v>
      </c>
      <c r="C2709" t="s">
        <v>53430</v>
      </c>
      <c r="D2709" t="s">
        <v>53431</v>
      </c>
      <c r="E2709" t="s">
        <v>53432</v>
      </c>
      <c r="F2709" t="s">
        <v>53433</v>
      </c>
      <c r="G2709" t="s">
        <v>53434</v>
      </c>
      <c r="H2709" t="s">
        <v>53435</v>
      </c>
      <c r="I2709" t="s">
        <v>53436</v>
      </c>
      <c r="J2709" t="s">
        <v>53437</v>
      </c>
      <c r="K2709" t="s">
        <v>53438</v>
      </c>
      <c r="L2709" t="s">
        <v>53439</v>
      </c>
      <c r="M2709" t="s">
        <v>53440</v>
      </c>
      <c r="N2709" t="s">
        <v>53441</v>
      </c>
      <c r="O2709">
        <f>-437.449710993206 -39.9880251410719 -791.360939648145</f>
        <v>-1268.7986757824228</v>
      </c>
      <c r="P2709">
        <f>-596.406455242218 -57.143788378281 -518.185778554027</f>
        <v>-1171.7360221745262</v>
      </c>
      <c r="Q2709">
        <f>-354.632363432826 -16.3078423516821 -431.469156377724</f>
        <v>-802.40936216223213</v>
      </c>
      <c r="R2709" t="s">
        <v>53442</v>
      </c>
      <c r="S2709" t="s">
        <v>53443</v>
      </c>
      <c r="T2709" t="s">
        <v>53444</v>
      </c>
      <c r="U2709" t="s">
        <v>53445</v>
      </c>
      <c r="V2709" t="s">
        <v>53446</v>
      </c>
      <c r="W2709" t="s">
        <v>53447</v>
      </c>
      <c r="X2709" t="s">
        <v>53448</v>
      </c>
      <c r="Y2709" t="s">
        <v>53449</v>
      </c>
    </row>
    <row r="2710" spans="1:25" x14ac:dyDescent="0.3">
      <c r="A2710">
        <v>135450</v>
      </c>
      <c r="B2710" t="s">
        <v>53450</v>
      </c>
      <c r="C2710" t="s">
        <v>53451</v>
      </c>
      <c r="D2710" t="s">
        <v>53452</v>
      </c>
      <c r="E2710" t="s">
        <v>53453</v>
      </c>
      <c r="F2710" t="s">
        <v>53454</v>
      </c>
      <c r="G2710" t="s">
        <v>53455</v>
      </c>
      <c r="H2710" t="s">
        <v>53456</v>
      </c>
      <c r="I2710" t="s">
        <v>53457</v>
      </c>
      <c r="J2710" t="s">
        <v>53458</v>
      </c>
      <c r="K2710" t="s">
        <v>53459</v>
      </c>
      <c r="L2710" t="s">
        <v>53460</v>
      </c>
      <c r="M2710" t="s">
        <v>53461</v>
      </c>
      <c r="N2710" t="s">
        <v>53462</v>
      </c>
      <c r="O2710">
        <f>-439.276383840859 -38.500562549469 -789.417500661561</f>
        <v>-1267.194447051889</v>
      </c>
      <c r="P2710">
        <f>-596.333777243327 -54.7281425602394 -515.089639475326</f>
        <v>-1166.1515592788924</v>
      </c>
      <c r="Q2710">
        <f>-354.817631805569 -10.2712071650852 -429.441579014877</f>
        <v>-794.53041798553113</v>
      </c>
      <c r="R2710" t="s">
        <v>53463</v>
      </c>
      <c r="S2710" t="s">
        <v>53464</v>
      </c>
      <c r="T2710" t="s">
        <v>53465</v>
      </c>
      <c r="U2710" t="s">
        <v>53466</v>
      </c>
      <c r="V2710" t="s">
        <v>53467</v>
      </c>
      <c r="W2710" t="s">
        <v>53468</v>
      </c>
      <c r="X2710" t="s">
        <v>53469</v>
      </c>
      <c r="Y2710" t="s">
        <v>53470</v>
      </c>
    </row>
    <row r="2711" spans="1:25" x14ac:dyDescent="0.3">
      <c r="A2711">
        <v>135500</v>
      </c>
      <c r="B2711" t="s">
        <v>53471</v>
      </c>
      <c r="C2711" t="s">
        <v>53472</v>
      </c>
      <c r="D2711" t="s">
        <v>53473</v>
      </c>
      <c r="E2711" t="s">
        <v>53474</v>
      </c>
      <c r="F2711" t="s">
        <v>53475</v>
      </c>
      <c r="G2711" t="s">
        <v>53476</v>
      </c>
      <c r="H2711" t="s">
        <v>53477</v>
      </c>
      <c r="I2711" t="s">
        <v>53478</v>
      </c>
      <c r="J2711" t="s">
        <v>53479</v>
      </c>
      <c r="K2711" t="s">
        <v>53480</v>
      </c>
      <c r="L2711" t="s">
        <v>53481</v>
      </c>
      <c r="M2711" t="s">
        <v>53482</v>
      </c>
      <c r="N2711" t="s">
        <v>53483</v>
      </c>
      <c r="O2711">
        <f>-439.257698534107 -36.5895078609542 -789.690353052743</f>
        <v>-1265.5375594478041</v>
      </c>
      <c r="P2711">
        <f>-596.210248536409 -53.740989340725 -515.358629164263</f>
        <v>-1165.309867041397</v>
      </c>
      <c r="Q2711">
        <f>-355.056300725242 -7.41997087456109 -429.677929899918</f>
        <v>-792.15420149972113</v>
      </c>
      <c r="R2711" t="s">
        <v>53484</v>
      </c>
      <c r="S2711" t="s">
        <v>53485</v>
      </c>
      <c r="T2711" t="s">
        <v>53486</v>
      </c>
      <c r="U2711" t="s">
        <v>53487</v>
      </c>
      <c r="V2711" t="s">
        <v>53488</v>
      </c>
      <c r="W2711" t="s">
        <v>53489</v>
      </c>
      <c r="X2711" t="s">
        <v>53490</v>
      </c>
      <c r="Y2711" t="s">
        <v>53491</v>
      </c>
    </row>
    <row r="2712" spans="1:25" x14ac:dyDescent="0.3">
      <c r="A2712">
        <v>135550</v>
      </c>
      <c r="B2712" t="s">
        <v>53492</v>
      </c>
      <c r="C2712" t="s">
        <v>53493</v>
      </c>
      <c r="D2712" t="s">
        <v>53494</v>
      </c>
      <c r="E2712" t="s">
        <v>53495</v>
      </c>
      <c r="F2712" t="s">
        <v>53496</v>
      </c>
      <c r="G2712" t="s">
        <v>53497</v>
      </c>
      <c r="H2712" t="s">
        <v>53498</v>
      </c>
      <c r="I2712" t="s">
        <v>53499</v>
      </c>
      <c r="J2712" t="s">
        <v>53500</v>
      </c>
      <c r="K2712" t="s">
        <v>53501</v>
      </c>
      <c r="L2712" t="s">
        <v>53502</v>
      </c>
      <c r="M2712" t="s">
        <v>53503</v>
      </c>
      <c r="N2712" t="s">
        <v>53504</v>
      </c>
      <c r="O2712">
        <f>-439.599919350961 -32.9643233563307 -790.966346197672</f>
        <v>-1263.5305889049637</v>
      </c>
      <c r="P2712">
        <f>-595.563505987048 -55.6115967780552 -516.469281271405</f>
        <v>-1167.6443840365082</v>
      </c>
      <c r="Q2712">
        <f>-355.286193428941 -6.09459549682254 -430.115835438916</f>
        <v>-791.49662436467952</v>
      </c>
      <c r="R2712" t="s">
        <v>53505</v>
      </c>
      <c r="S2712" t="s">
        <v>53506</v>
      </c>
      <c r="T2712" t="s">
        <v>53507</v>
      </c>
      <c r="U2712" t="s">
        <v>53508</v>
      </c>
      <c r="V2712" t="s">
        <v>53509</v>
      </c>
      <c r="W2712" t="s">
        <v>53510</v>
      </c>
      <c r="X2712" t="s">
        <v>53511</v>
      </c>
      <c r="Y2712" t="s">
        <v>53512</v>
      </c>
    </row>
    <row r="2713" spans="1:25" x14ac:dyDescent="0.3">
      <c r="A2713">
        <v>135600</v>
      </c>
      <c r="B2713" t="s">
        <v>53513</v>
      </c>
      <c r="C2713" t="s">
        <v>53514</v>
      </c>
      <c r="D2713" t="s">
        <v>53515</v>
      </c>
      <c r="E2713" t="s">
        <v>53516</v>
      </c>
      <c r="F2713" t="s">
        <v>53517</v>
      </c>
      <c r="G2713" t="s">
        <v>53518</v>
      </c>
      <c r="H2713" t="s">
        <v>53519</v>
      </c>
      <c r="I2713" t="s">
        <v>53520</v>
      </c>
      <c r="J2713" t="s">
        <v>53521</v>
      </c>
      <c r="K2713" t="s">
        <v>53522</v>
      </c>
      <c r="L2713" t="s">
        <v>53523</v>
      </c>
      <c r="M2713" t="s">
        <v>53524</v>
      </c>
      <c r="N2713" t="s">
        <v>53525</v>
      </c>
      <c r="O2713">
        <f>-441.336411474103 -31.3203538723021 -792.335368101527</f>
        <v>-1264.9921334479322</v>
      </c>
      <c r="P2713">
        <f>-597.464584126896 -56.3877660048853 -518.142336125845</f>
        <v>-1171.9946862576262</v>
      </c>
      <c r="Q2713">
        <f>-357.33314026979 -6.2194662914365 -431.759006585027</f>
        <v>-795.31161314625353</v>
      </c>
      <c r="R2713" t="s">
        <v>53526</v>
      </c>
      <c r="S2713" t="s">
        <v>53527</v>
      </c>
      <c r="T2713" t="s">
        <v>53528</v>
      </c>
      <c r="U2713" t="s">
        <v>53529</v>
      </c>
      <c r="V2713" t="s">
        <v>53530</v>
      </c>
      <c r="W2713" t="s">
        <v>53531</v>
      </c>
      <c r="X2713" t="s">
        <v>53532</v>
      </c>
      <c r="Y2713" t="s">
        <v>53533</v>
      </c>
    </row>
    <row r="2714" spans="1:25" x14ac:dyDescent="0.3">
      <c r="A2714">
        <v>135650</v>
      </c>
      <c r="B2714" t="s">
        <v>53534</v>
      </c>
      <c r="C2714" t="s">
        <v>53535</v>
      </c>
      <c r="D2714" t="s">
        <v>53536</v>
      </c>
      <c r="E2714" t="s">
        <v>53537</v>
      </c>
      <c r="F2714" t="s">
        <v>53538</v>
      </c>
      <c r="G2714" t="s">
        <v>53539</v>
      </c>
      <c r="H2714" t="s">
        <v>53540</v>
      </c>
      <c r="I2714" t="s">
        <v>53541</v>
      </c>
      <c r="J2714" t="s">
        <v>53542</v>
      </c>
      <c r="K2714" t="s">
        <v>53543</v>
      </c>
      <c r="L2714" t="s">
        <v>53544</v>
      </c>
      <c r="M2714" t="s">
        <v>53545</v>
      </c>
      <c r="N2714" t="s">
        <v>53546</v>
      </c>
      <c r="O2714">
        <f>-443.621001621735 -29.6553308981863 -795.028645182012</f>
        <v>-1268.3049777019332</v>
      </c>
      <c r="P2714">
        <f>-600.494992938878 -58.3114874588938 -521.61398792666</f>
        <v>-1180.4204683244318</v>
      </c>
      <c r="Q2714">
        <f>-360.274592439268 -8.43322484816957 -435.310013856282</f>
        <v>-804.0178311437196</v>
      </c>
      <c r="R2714" t="s">
        <v>53547</v>
      </c>
      <c r="S2714" t="s">
        <v>53548</v>
      </c>
      <c r="T2714" t="s">
        <v>53549</v>
      </c>
      <c r="U2714" t="s">
        <v>53550</v>
      </c>
      <c r="V2714" t="s">
        <v>53551</v>
      </c>
      <c r="W2714" t="s">
        <v>53552</v>
      </c>
      <c r="X2714" t="s">
        <v>53553</v>
      </c>
      <c r="Y2714" t="s">
        <v>53554</v>
      </c>
    </row>
    <row r="2715" spans="1:25" x14ac:dyDescent="0.3">
      <c r="A2715">
        <v>135700</v>
      </c>
      <c r="B2715" t="s">
        <v>53555</v>
      </c>
      <c r="C2715" t="s">
        <v>53556</v>
      </c>
      <c r="D2715" t="s">
        <v>53557</v>
      </c>
      <c r="E2715" t="s">
        <v>53558</v>
      </c>
      <c r="F2715" t="s">
        <v>53559</v>
      </c>
      <c r="G2715" t="s">
        <v>53560</v>
      </c>
      <c r="H2715" t="s">
        <v>53561</v>
      </c>
      <c r="I2715" t="s">
        <v>53562</v>
      </c>
      <c r="J2715" t="s">
        <v>53563</v>
      </c>
      <c r="K2715" t="s">
        <v>53564</v>
      </c>
      <c r="L2715" t="s">
        <v>53565</v>
      </c>
      <c r="M2715" t="s">
        <v>53566</v>
      </c>
      <c r="N2715" t="s">
        <v>53567</v>
      </c>
      <c r="O2715">
        <f>-445.18350991295 -29.0584915362636 -795.917560786649</f>
        <v>-1270.1595622358627</v>
      </c>
      <c r="P2715">
        <f>-602.411607491054 -58.9710012944861 -522.841065043653</f>
        <v>-1184.2236738291931</v>
      </c>
      <c r="Q2715">
        <f>-362.160691043993 -9.4337940295304 -436.425733015315</f>
        <v>-808.02021808883842</v>
      </c>
      <c r="R2715" t="s">
        <v>53568</v>
      </c>
      <c r="S2715" t="s">
        <v>53569</v>
      </c>
      <c r="T2715" t="s">
        <v>53570</v>
      </c>
      <c r="U2715" t="s">
        <v>53571</v>
      </c>
      <c r="V2715" t="s">
        <v>53572</v>
      </c>
      <c r="W2715" t="s">
        <v>53573</v>
      </c>
      <c r="X2715" t="s">
        <v>53574</v>
      </c>
      <c r="Y2715" t="s">
        <v>53575</v>
      </c>
    </row>
    <row r="2716" spans="1:25" x14ac:dyDescent="0.3">
      <c r="A2716">
        <v>135750</v>
      </c>
      <c r="B2716" t="s">
        <v>53576</v>
      </c>
      <c r="C2716" t="s">
        <v>53577</v>
      </c>
      <c r="D2716" t="s">
        <v>53578</v>
      </c>
      <c r="E2716" t="s">
        <v>53579</v>
      </c>
      <c r="F2716" t="s">
        <v>53580</v>
      </c>
      <c r="G2716" t="s">
        <v>53581</v>
      </c>
      <c r="H2716" t="s">
        <v>53582</v>
      </c>
      <c r="I2716" t="s">
        <v>53583</v>
      </c>
      <c r="J2716" t="s">
        <v>53584</v>
      </c>
      <c r="K2716" t="s">
        <v>53585</v>
      </c>
      <c r="L2716" t="s">
        <v>53586</v>
      </c>
      <c r="M2716" t="s">
        <v>53587</v>
      </c>
      <c r="N2716" t="s">
        <v>53588</v>
      </c>
      <c r="O2716">
        <f>-448.091591136411 -30.4000495423062 -796.043318518122</f>
        <v>-1274.5349591968393</v>
      </c>
      <c r="P2716">
        <f>-606.052906393616 -60.014844202938 -523.357777096944</f>
        <v>-1189.425527693498</v>
      </c>
      <c r="Q2716">
        <f>-365.454822436224 -11.6355881610336 -437.252653693502</f>
        <v>-814.34306429075957</v>
      </c>
      <c r="R2716" t="s">
        <v>53589</v>
      </c>
      <c r="S2716" t="s">
        <v>53590</v>
      </c>
      <c r="T2716" t="s">
        <v>53591</v>
      </c>
      <c r="U2716" t="s">
        <v>53592</v>
      </c>
      <c r="V2716" t="s">
        <v>53593</v>
      </c>
      <c r="W2716" t="s">
        <v>53594</v>
      </c>
      <c r="X2716" t="s">
        <v>53595</v>
      </c>
      <c r="Y2716" t="s">
        <v>53596</v>
      </c>
    </row>
    <row r="2717" spans="1:25" x14ac:dyDescent="0.3">
      <c r="A2717">
        <v>135800</v>
      </c>
      <c r="B2717" t="s">
        <v>53597</v>
      </c>
      <c r="C2717" t="s">
        <v>53598</v>
      </c>
      <c r="D2717" t="s">
        <v>53599</v>
      </c>
      <c r="E2717" t="s">
        <v>53600</v>
      </c>
      <c r="F2717" t="s">
        <v>53601</v>
      </c>
      <c r="G2717" t="s">
        <v>53602</v>
      </c>
      <c r="H2717" t="s">
        <v>53603</v>
      </c>
      <c r="I2717" t="s">
        <v>53604</v>
      </c>
      <c r="J2717" t="s">
        <v>53605</v>
      </c>
      <c r="K2717" t="s">
        <v>53606</v>
      </c>
      <c r="L2717" t="s">
        <v>53607</v>
      </c>
      <c r="M2717" t="s">
        <v>53608</v>
      </c>
      <c r="N2717" t="s">
        <v>53609</v>
      </c>
      <c r="O2717">
        <f>-448.771026931805 -31.826509489387 -795.173837961458</f>
        <v>-1275.77137438265</v>
      </c>
      <c r="P2717">
        <f>-606.513269996741 -60.271923016464 -522.237250734167</f>
        <v>-1189.0224437473721</v>
      </c>
      <c r="Q2717">
        <f>-365.55647910912 -12.6387908752545 -436.721346972354</f>
        <v>-814.91661695672849</v>
      </c>
      <c r="R2717" t="s">
        <v>53610</v>
      </c>
      <c r="S2717" t="s">
        <v>53611</v>
      </c>
      <c r="T2717" t="s">
        <v>53612</v>
      </c>
      <c r="U2717" t="s">
        <v>53613</v>
      </c>
      <c r="V2717" t="s">
        <v>53614</v>
      </c>
      <c r="W2717" t="s">
        <v>53615</v>
      </c>
      <c r="X2717" t="s">
        <v>53616</v>
      </c>
      <c r="Y2717" t="s">
        <v>53617</v>
      </c>
    </row>
    <row r="2718" spans="1:25" x14ac:dyDescent="0.3">
      <c r="A2718">
        <v>135850</v>
      </c>
      <c r="B2718" t="s">
        <v>53618</v>
      </c>
      <c r="C2718" t="s">
        <v>53619</v>
      </c>
      <c r="D2718" t="s">
        <v>53620</v>
      </c>
      <c r="E2718" t="s">
        <v>53621</v>
      </c>
      <c r="F2718" t="s">
        <v>53622</v>
      </c>
      <c r="G2718" t="s">
        <v>53623</v>
      </c>
      <c r="H2718" t="s">
        <v>53624</v>
      </c>
      <c r="I2718" t="s">
        <v>53625</v>
      </c>
      <c r="J2718" t="s">
        <v>53626</v>
      </c>
      <c r="K2718" t="s">
        <v>53627</v>
      </c>
      <c r="L2718" t="s">
        <v>53628</v>
      </c>
      <c r="M2718" t="s">
        <v>53629</v>
      </c>
      <c r="N2718" t="s">
        <v>53630</v>
      </c>
      <c r="O2718">
        <f>-450.442801245493 -32.4243269781554 -792.962902060743</f>
        <v>-1275.8300302843913</v>
      </c>
      <c r="P2718">
        <f>-606.830836179617 -57.3185383744768 -518.902227506453</f>
        <v>-1183.0516020605469</v>
      </c>
      <c r="Q2718">
        <f>-365.109854522871 -11.4436620372876 -434.590326795419</f>
        <v>-811.14384335557759</v>
      </c>
      <c r="R2718" t="s">
        <v>53631</v>
      </c>
      <c r="S2718" t="s">
        <v>53632</v>
      </c>
      <c r="T2718" t="s">
        <v>53633</v>
      </c>
      <c r="U2718" t="s">
        <v>53634</v>
      </c>
      <c r="V2718" t="s">
        <v>53635</v>
      </c>
      <c r="W2718" t="s">
        <v>53636</v>
      </c>
      <c r="X2718" t="s">
        <v>53637</v>
      </c>
      <c r="Y2718" t="s">
        <v>53638</v>
      </c>
    </row>
    <row r="2719" spans="1:25" x14ac:dyDescent="0.3">
      <c r="A2719">
        <v>135900</v>
      </c>
      <c r="B2719" t="s">
        <v>53639</v>
      </c>
      <c r="C2719" t="s">
        <v>53640</v>
      </c>
      <c r="D2719" t="s">
        <v>53641</v>
      </c>
      <c r="E2719" t="s">
        <v>53642</v>
      </c>
      <c r="F2719" t="s">
        <v>53643</v>
      </c>
      <c r="G2719" t="s">
        <v>53644</v>
      </c>
      <c r="H2719" t="s">
        <v>53645</v>
      </c>
      <c r="I2719" t="s">
        <v>53646</v>
      </c>
      <c r="J2719" t="s">
        <v>53647</v>
      </c>
      <c r="K2719" t="s">
        <v>53648</v>
      </c>
      <c r="L2719" t="s">
        <v>53649</v>
      </c>
      <c r="M2719" t="s">
        <v>53650</v>
      </c>
      <c r="N2719" t="s">
        <v>53651</v>
      </c>
      <c r="O2719">
        <f>-451.187167633419 -32.6404511507582 -791.87584859207</f>
        <v>-1275.7034673762473</v>
      </c>
      <c r="P2719">
        <f>-607.177263216943 -56.3070991979316 -517.479796237045</f>
        <v>-1180.9641586519197</v>
      </c>
      <c r="Q2719">
        <f>-365.231107815405 -10.8655218738196 -433.580113085691</f>
        <v>-809.67674277491551</v>
      </c>
      <c r="R2719" t="s">
        <v>53652</v>
      </c>
      <c r="S2719" t="s">
        <v>53653</v>
      </c>
      <c r="T2719" t="s">
        <v>53654</v>
      </c>
      <c r="U2719" t="s">
        <v>53655</v>
      </c>
      <c r="V2719" t="s">
        <v>53656</v>
      </c>
      <c r="W2719" t="s">
        <v>53657</v>
      </c>
      <c r="X2719" t="s">
        <v>53658</v>
      </c>
      <c r="Y2719" t="s">
        <v>53659</v>
      </c>
    </row>
    <row r="2720" spans="1:25" x14ac:dyDescent="0.3">
      <c r="A2720">
        <v>135950</v>
      </c>
      <c r="B2720" t="s">
        <v>53660</v>
      </c>
      <c r="C2720" t="s">
        <v>53661</v>
      </c>
      <c r="D2720" t="s">
        <v>53662</v>
      </c>
      <c r="E2720" t="s">
        <v>53663</v>
      </c>
      <c r="F2720" t="s">
        <v>53664</v>
      </c>
      <c r="G2720" t="s">
        <v>53665</v>
      </c>
      <c r="H2720" t="s">
        <v>53666</v>
      </c>
      <c r="I2720" t="s">
        <v>53667</v>
      </c>
      <c r="J2720" t="s">
        <v>53668</v>
      </c>
      <c r="K2720" t="s">
        <v>53669</v>
      </c>
      <c r="L2720" t="s">
        <v>53670</v>
      </c>
      <c r="M2720" t="s">
        <v>53671</v>
      </c>
      <c r="N2720" t="s">
        <v>53672</v>
      </c>
      <c r="O2720">
        <f>-448.712821764448 -31.7285617332849 -790.678941737173</f>
        <v>-1271.120325234906</v>
      </c>
      <c r="P2720">
        <f>-604.928501185905 -53.5182475917126 -516.255827334927</f>
        <v>-1174.7025761125446</v>
      </c>
      <c r="Q2720">
        <f>-363.162226058857 -7.73470814009623 -432.024163482348</f>
        <v>-802.92109768130126</v>
      </c>
      <c r="R2720" t="s">
        <v>53673</v>
      </c>
      <c r="S2720" t="s">
        <v>53674</v>
      </c>
      <c r="T2720" t="s">
        <v>53675</v>
      </c>
      <c r="U2720" t="s">
        <v>53676</v>
      </c>
      <c r="V2720" t="s">
        <v>53677</v>
      </c>
      <c r="W2720" t="s">
        <v>53678</v>
      </c>
      <c r="X2720" t="s">
        <v>53679</v>
      </c>
      <c r="Y2720" t="s">
        <v>53680</v>
      </c>
    </row>
    <row r="2721" spans="1:25" x14ac:dyDescent="0.3">
      <c r="A2721">
        <v>136000</v>
      </c>
      <c r="B2721" t="s">
        <v>53681</v>
      </c>
      <c r="C2721" t="s">
        <v>53682</v>
      </c>
      <c r="D2721" t="s">
        <v>53683</v>
      </c>
      <c r="E2721" t="s">
        <v>53684</v>
      </c>
      <c r="F2721" t="s">
        <v>53685</v>
      </c>
      <c r="G2721" t="s">
        <v>53686</v>
      </c>
      <c r="H2721" t="s">
        <v>53687</v>
      </c>
      <c r="I2721" t="s">
        <v>53688</v>
      </c>
      <c r="J2721" t="s">
        <v>53689</v>
      </c>
      <c r="K2721" t="s">
        <v>53690</v>
      </c>
      <c r="L2721" t="s">
        <v>53691</v>
      </c>
      <c r="M2721" t="s">
        <v>53692</v>
      </c>
      <c r="N2721" t="s">
        <v>53693</v>
      </c>
      <c r="O2721">
        <f>-447.369433052524 -30.6635477307479 -790.941629749381</f>
        <v>-1268.9746105326531</v>
      </c>
      <c r="P2721">
        <f>-603.954005421077 -52.8384419965038 -516.759644104942</f>
        <v>-1173.5520915225229</v>
      </c>
      <c r="Q2721">
        <f>-362.596501223455 -6.14556059517206 -431.857546031613</f>
        <v>-800.59960785024009</v>
      </c>
      <c r="R2721" t="s">
        <v>53694</v>
      </c>
      <c r="S2721" t="s">
        <v>53695</v>
      </c>
      <c r="T2721" t="s">
        <v>53696</v>
      </c>
      <c r="U2721" t="s">
        <v>53697</v>
      </c>
      <c r="V2721" t="s">
        <v>53698</v>
      </c>
      <c r="W2721" t="s">
        <v>53699</v>
      </c>
      <c r="X2721" t="s">
        <v>53700</v>
      </c>
      <c r="Y2721" t="s">
        <v>53701</v>
      </c>
    </row>
    <row r="2722" spans="1:25" x14ac:dyDescent="0.3">
      <c r="A2722">
        <v>136050</v>
      </c>
      <c r="B2722" t="s">
        <v>53702</v>
      </c>
      <c r="C2722" t="s">
        <v>53703</v>
      </c>
      <c r="D2722" t="s">
        <v>53704</v>
      </c>
      <c r="E2722" t="s">
        <v>53705</v>
      </c>
      <c r="F2722" t="s">
        <v>53706</v>
      </c>
      <c r="G2722" t="s">
        <v>53707</v>
      </c>
      <c r="H2722" t="s">
        <v>53708</v>
      </c>
      <c r="I2722" t="s">
        <v>53709</v>
      </c>
      <c r="J2722" t="s">
        <v>53710</v>
      </c>
      <c r="K2722" t="s">
        <v>53711</v>
      </c>
      <c r="L2722" t="s">
        <v>53712</v>
      </c>
      <c r="M2722" t="s">
        <v>53713</v>
      </c>
      <c r="N2722" t="s">
        <v>53714</v>
      </c>
      <c r="O2722">
        <f>-446.673837086356 -28.7403885490935 -792.429208149068</f>
        <v>-1267.8434337845174</v>
      </c>
      <c r="P2722">
        <f>-603.121014986353 -53.6913985528246 -518.407355094653</f>
        <v>-1175.2197686338304</v>
      </c>
      <c r="Q2722">
        <f>-362.678768465718 -5.23772840495425 -431.909822509687</f>
        <v>-799.82631938035922</v>
      </c>
      <c r="R2722" t="s">
        <v>53715</v>
      </c>
      <c r="S2722" t="s">
        <v>53716</v>
      </c>
      <c r="T2722" t="s">
        <v>53717</v>
      </c>
      <c r="U2722" t="s">
        <v>53718</v>
      </c>
      <c r="V2722" t="s">
        <v>53719</v>
      </c>
      <c r="W2722" t="s">
        <v>53720</v>
      </c>
      <c r="X2722" t="s">
        <v>53721</v>
      </c>
      <c r="Y2722" t="s">
        <v>53722</v>
      </c>
    </row>
    <row r="2723" spans="1:25" x14ac:dyDescent="0.3">
      <c r="A2723">
        <v>136100</v>
      </c>
      <c r="B2723" t="s">
        <v>53723</v>
      </c>
      <c r="C2723" t="s">
        <v>53724</v>
      </c>
      <c r="D2723" t="s">
        <v>53725</v>
      </c>
      <c r="E2723" t="s">
        <v>53726</v>
      </c>
      <c r="F2723" t="s">
        <v>53727</v>
      </c>
      <c r="G2723" t="s">
        <v>53728</v>
      </c>
      <c r="H2723" t="s">
        <v>53729</v>
      </c>
      <c r="I2723" t="s">
        <v>53730</v>
      </c>
      <c r="J2723" t="s">
        <v>53731</v>
      </c>
      <c r="K2723" t="s">
        <v>53732</v>
      </c>
      <c r="L2723" t="s">
        <v>53733</v>
      </c>
      <c r="M2723" t="s">
        <v>53734</v>
      </c>
      <c r="N2723" t="s">
        <v>53735</v>
      </c>
      <c r="O2723">
        <f>-446.598991755931 -27.9494169892521 -793.162104954981</f>
        <v>-1267.710513700164</v>
      </c>
      <c r="P2723">
        <f>-603.014956540883 -54.2061130423855 -519.24460024906</f>
        <v>-1176.4656698323283</v>
      </c>
      <c r="Q2723">
        <f>-362.809341429522 -5.18182203640279 -432.411843856714</f>
        <v>-800.40300732263881</v>
      </c>
      <c r="R2723" t="s">
        <v>53736</v>
      </c>
      <c r="S2723" t="s">
        <v>53737</v>
      </c>
      <c r="T2723" t="s">
        <v>53738</v>
      </c>
      <c r="U2723" t="s">
        <v>53739</v>
      </c>
      <c r="V2723" t="s">
        <v>53740</v>
      </c>
      <c r="W2723" t="s">
        <v>53741</v>
      </c>
      <c r="X2723" t="s">
        <v>53742</v>
      </c>
      <c r="Y2723" t="s">
        <v>53743</v>
      </c>
    </row>
    <row r="2724" spans="1:25" x14ac:dyDescent="0.3">
      <c r="A2724">
        <v>136150</v>
      </c>
      <c r="B2724" t="s">
        <v>53744</v>
      </c>
      <c r="C2724" t="s">
        <v>53745</v>
      </c>
      <c r="D2724" t="s">
        <v>53746</v>
      </c>
      <c r="E2724" t="s">
        <v>53747</v>
      </c>
      <c r="F2724" t="s">
        <v>53748</v>
      </c>
      <c r="G2724" t="s">
        <v>53749</v>
      </c>
      <c r="H2724" t="s">
        <v>53750</v>
      </c>
      <c r="I2724" t="s">
        <v>53751</v>
      </c>
      <c r="J2724" t="s">
        <v>53752</v>
      </c>
      <c r="K2724" t="s">
        <v>53753</v>
      </c>
      <c r="L2724" t="s">
        <v>53754</v>
      </c>
      <c r="M2724" t="s">
        <v>53755</v>
      </c>
      <c r="N2724" t="s">
        <v>53756</v>
      </c>
      <c r="O2724">
        <f>-445.887951018262 -26.0256853412967 -794.564465834855</f>
        <v>-1266.4781021944136</v>
      </c>
      <c r="P2724">
        <f>-602.438350800439 -55.1317675790888 -521.011822919472</f>
        <v>-1178.5819412989999</v>
      </c>
      <c r="Q2724">
        <f>-362.490890180701 -5.12402720108612 -434.026299406873</f>
        <v>-801.64121678866013</v>
      </c>
      <c r="R2724" t="s">
        <v>53757</v>
      </c>
      <c r="S2724" t="s">
        <v>53758</v>
      </c>
      <c r="T2724" t="s">
        <v>53759</v>
      </c>
      <c r="U2724" t="s">
        <v>53760</v>
      </c>
      <c r="V2724" t="s">
        <v>53761</v>
      </c>
      <c r="W2724" t="s">
        <v>53762</v>
      </c>
      <c r="X2724" t="s">
        <v>53763</v>
      </c>
      <c r="Y2724" t="s">
        <v>53764</v>
      </c>
    </row>
    <row r="2725" spans="1:25" x14ac:dyDescent="0.3">
      <c r="A2725">
        <v>136200</v>
      </c>
      <c r="B2725" t="s">
        <v>53765</v>
      </c>
      <c r="C2725" t="s">
        <v>53766</v>
      </c>
      <c r="D2725" t="s">
        <v>53767</v>
      </c>
      <c r="E2725" t="s">
        <v>53768</v>
      </c>
      <c r="F2725" t="s">
        <v>53769</v>
      </c>
      <c r="G2725" t="s">
        <v>53770</v>
      </c>
      <c r="H2725" t="s">
        <v>53771</v>
      </c>
      <c r="I2725" t="s">
        <v>53772</v>
      </c>
      <c r="J2725" t="s">
        <v>53773</v>
      </c>
      <c r="K2725" t="s">
        <v>53774</v>
      </c>
      <c r="L2725" t="s">
        <v>53775</v>
      </c>
      <c r="M2725" t="s">
        <v>53776</v>
      </c>
      <c r="N2725" t="s">
        <v>53777</v>
      </c>
      <c r="O2725">
        <f>-445.242909139636 -25.1184666362506 -795.407239736939</f>
        <v>-1265.7686155128256</v>
      </c>
      <c r="P2725">
        <f>-601.81440850327 -55.6031101296779 -522.017039675492</f>
        <v>-1179.43455830844</v>
      </c>
      <c r="Q2725">
        <f>-361.932996907942 -5.34048962474877 -434.996088099285</f>
        <v>-802.26957463197573</v>
      </c>
      <c r="R2725" t="s">
        <v>53778</v>
      </c>
      <c r="S2725" t="s">
        <v>53779</v>
      </c>
      <c r="T2725" t="s">
        <v>53780</v>
      </c>
      <c r="U2725" t="s">
        <v>53781</v>
      </c>
      <c r="V2725" t="s">
        <v>53782</v>
      </c>
      <c r="W2725" t="s">
        <v>53783</v>
      </c>
      <c r="X2725" t="s">
        <v>53784</v>
      </c>
      <c r="Y2725" t="s">
        <v>53785</v>
      </c>
    </row>
    <row r="2726" spans="1:25" x14ac:dyDescent="0.3">
      <c r="A2726">
        <v>136250</v>
      </c>
      <c r="B2726" t="s">
        <v>53786</v>
      </c>
      <c r="C2726" t="s">
        <v>53787</v>
      </c>
      <c r="D2726" t="s">
        <v>53788</v>
      </c>
      <c r="E2726" t="s">
        <v>53789</v>
      </c>
      <c r="F2726" t="s">
        <v>53790</v>
      </c>
      <c r="G2726" t="s">
        <v>53791</v>
      </c>
      <c r="H2726" t="s">
        <v>53792</v>
      </c>
      <c r="I2726" t="s">
        <v>53793</v>
      </c>
      <c r="J2726" t="s">
        <v>53794</v>
      </c>
      <c r="K2726" t="s">
        <v>53795</v>
      </c>
      <c r="L2726" t="s">
        <v>53796</v>
      </c>
      <c r="M2726" t="s">
        <v>53797</v>
      </c>
      <c r="N2726" t="s">
        <v>53798</v>
      </c>
      <c r="O2726">
        <f>-443.464937373363 -22.8439576315902 -796.952090377097</f>
        <v>-1263.2609853820502</v>
      </c>
      <c r="P2726">
        <f>-600.127963150396 -55.5922550726162 -523.87620608522</f>
        <v>-1179.5964243082321</v>
      </c>
      <c r="Q2726">
        <f>-360.102794417167 -5.69173905494863 -437.043628933353</f>
        <v>-802.83816240546867</v>
      </c>
      <c r="R2726" t="s">
        <v>53799</v>
      </c>
      <c r="S2726" t="s">
        <v>53800</v>
      </c>
      <c r="T2726" t="s">
        <v>53801</v>
      </c>
      <c r="U2726" t="s">
        <v>53802</v>
      </c>
      <c r="V2726" t="s">
        <v>53803</v>
      </c>
      <c r="W2726" t="s">
        <v>53804</v>
      </c>
      <c r="X2726" t="s">
        <v>53805</v>
      </c>
      <c r="Y2726" t="s">
        <v>53806</v>
      </c>
    </row>
    <row r="2727" spans="1:25" x14ac:dyDescent="0.3">
      <c r="A2727">
        <v>136300</v>
      </c>
      <c r="B2727" t="s">
        <v>53807</v>
      </c>
      <c r="C2727" t="s">
        <v>53808</v>
      </c>
      <c r="D2727" t="s">
        <v>53809</v>
      </c>
      <c r="E2727" t="s">
        <v>53810</v>
      </c>
      <c r="F2727" t="s">
        <v>53811</v>
      </c>
      <c r="G2727" t="s">
        <v>53812</v>
      </c>
      <c r="H2727" t="s">
        <v>53813</v>
      </c>
      <c r="I2727" t="s">
        <v>53814</v>
      </c>
      <c r="J2727" t="s">
        <v>53815</v>
      </c>
      <c r="K2727" t="s">
        <v>53816</v>
      </c>
      <c r="L2727" t="s">
        <v>53817</v>
      </c>
      <c r="M2727" t="s">
        <v>53818</v>
      </c>
      <c r="N2727" t="s">
        <v>53819</v>
      </c>
      <c r="O2727">
        <f>-443.843916952844 -21.7073801775507 -797.929626149082</f>
        <v>-1263.4809232794767</v>
      </c>
      <c r="P2727">
        <f>-600.495288403939 -55.1660224090783 -524.933208939238</f>
        <v>-1180.5945197522553</v>
      </c>
      <c r="Q2727">
        <f>-360.355402204215 -5.63418672476931 -438.206947035491</f>
        <v>-804.19653596447529</v>
      </c>
      <c r="R2727" t="s">
        <v>53820</v>
      </c>
      <c r="S2727" t="s">
        <v>53821</v>
      </c>
      <c r="T2727" t="s">
        <v>53822</v>
      </c>
      <c r="U2727" t="s">
        <v>53823</v>
      </c>
      <c r="V2727" t="s">
        <v>53824</v>
      </c>
      <c r="W2727" t="s">
        <v>53825</v>
      </c>
      <c r="X2727" t="s">
        <v>53826</v>
      </c>
      <c r="Y2727" t="s">
        <v>53827</v>
      </c>
    </row>
    <row r="2728" spans="1:25" x14ac:dyDescent="0.3">
      <c r="A2728">
        <v>136350</v>
      </c>
      <c r="B2728" t="s">
        <v>53828</v>
      </c>
      <c r="C2728" t="s">
        <v>53829</v>
      </c>
      <c r="D2728" t="s">
        <v>53830</v>
      </c>
      <c r="E2728" t="s">
        <v>53831</v>
      </c>
      <c r="F2728" t="s">
        <v>53832</v>
      </c>
      <c r="G2728" t="s">
        <v>53833</v>
      </c>
      <c r="H2728" t="s">
        <v>53834</v>
      </c>
      <c r="I2728" t="s">
        <v>53835</v>
      </c>
      <c r="J2728" t="s">
        <v>53836</v>
      </c>
      <c r="K2728" t="s">
        <v>53837</v>
      </c>
      <c r="L2728" t="s">
        <v>53838</v>
      </c>
      <c r="M2728" t="s">
        <v>53839</v>
      </c>
      <c r="N2728" t="s">
        <v>53840</v>
      </c>
      <c r="O2728">
        <f>-444.555015622451 -21.6828275375732 -798.447007060838</f>
        <v>-1264.6848502208622</v>
      </c>
      <c r="P2728">
        <f>-600.556633191107 -55.3319624144913 -525.102100039487</f>
        <v>-1180.9906956450855</v>
      </c>
      <c r="Q2728">
        <f>-360.101005175626 -6.58890532628475 -438.804657117222</f>
        <v>-805.49456761913279</v>
      </c>
      <c r="R2728" t="s">
        <v>53841</v>
      </c>
      <c r="S2728" t="s">
        <v>53842</v>
      </c>
      <c r="T2728" t="s">
        <v>53843</v>
      </c>
      <c r="U2728" t="s">
        <v>53844</v>
      </c>
      <c r="V2728" t="s">
        <v>53845</v>
      </c>
      <c r="W2728" t="s">
        <v>53846</v>
      </c>
      <c r="X2728" t="s">
        <v>53847</v>
      </c>
      <c r="Y2728" t="s">
        <v>53848</v>
      </c>
    </row>
    <row r="2729" spans="1:25" x14ac:dyDescent="0.3">
      <c r="A2729">
        <v>136400</v>
      </c>
      <c r="B2729" t="s">
        <v>53849</v>
      </c>
      <c r="C2729" t="s">
        <v>53850</v>
      </c>
      <c r="D2729" t="s">
        <v>53851</v>
      </c>
      <c r="E2729" t="s">
        <v>53852</v>
      </c>
      <c r="F2729" t="s">
        <v>53853</v>
      </c>
      <c r="G2729" t="s">
        <v>53854</v>
      </c>
      <c r="H2729" t="s">
        <v>53855</v>
      </c>
      <c r="I2729" t="s">
        <v>53856</v>
      </c>
      <c r="J2729" t="s">
        <v>53857</v>
      </c>
      <c r="K2729" t="s">
        <v>53858</v>
      </c>
      <c r="L2729" t="s">
        <v>53859</v>
      </c>
      <c r="M2729" t="s">
        <v>53860</v>
      </c>
      <c r="N2729" t="s">
        <v>53861</v>
      </c>
      <c r="O2729">
        <f>-444.792718772681 -22.3548381874645 -798.252219687935</f>
        <v>-1265.3997766480807</v>
      </c>
      <c r="P2729">
        <f>-600.331240603182 -55.6792822811525 -524.60373092946</f>
        <v>-1180.6142538137944</v>
      </c>
      <c r="Q2729">
        <f>-359.584088550582 -7.45045855006517 -438.831743615507</f>
        <v>-805.86629071615414</v>
      </c>
      <c r="R2729" t="s">
        <v>53862</v>
      </c>
      <c r="S2729" t="s">
        <v>53863</v>
      </c>
      <c r="T2729" t="s">
        <v>53864</v>
      </c>
      <c r="U2729" t="s">
        <v>53865</v>
      </c>
      <c r="V2729" t="s">
        <v>53866</v>
      </c>
      <c r="W2729" t="s">
        <v>53867</v>
      </c>
      <c r="X2729" t="s">
        <v>53868</v>
      </c>
      <c r="Y2729" t="s">
        <v>53869</v>
      </c>
    </row>
    <row r="2730" spans="1:25" x14ac:dyDescent="0.3">
      <c r="A2730">
        <v>136450</v>
      </c>
      <c r="B2730" t="s">
        <v>53870</v>
      </c>
      <c r="C2730" t="s">
        <v>53871</v>
      </c>
      <c r="D2730" t="s">
        <v>53872</v>
      </c>
      <c r="E2730" t="s">
        <v>53873</v>
      </c>
      <c r="F2730" t="s">
        <v>53874</v>
      </c>
      <c r="G2730" t="s">
        <v>53875</v>
      </c>
      <c r="H2730" t="s">
        <v>53876</v>
      </c>
      <c r="I2730" t="s">
        <v>53877</v>
      </c>
      <c r="J2730" t="s">
        <v>53878</v>
      </c>
      <c r="K2730" t="s">
        <v>53879</v>
      </c>
      <c r="L2730" t="s">
        <v>53880</v>
      </c>
      <c r="M2730" t="s">
        <v>53881</v>
      </c>
      <c r="N2730" t="s">
        <v>53882</v>
      </c>
      <c r="O2730">
        <f>-446.607733197909 -24.855606056406 -798.093660781659</f>
        <v>-1269.5570000359739</v>
      </c>
      <c r="P2730">
        <f>-600.990020447641 -56.8665202269839 -523.634881014906</f>
        <v>-1181.4914216895309</v>
      </c>
      <c r="Q2730">
        <f>-359.522504580576 -10.0757033120705 -439.100429712041</f>
        <v>-808.69863760468752</v>
      </c>
      <c r="R2730" t="s">
        <v>53883</v>
      </c>
      <c r="S2730" t="s">
        <v>53884</v>
      </c>
      <c r="T2730" t="s">
        <v>53885</v>
      </c>
      <c r="U2730" t="s">
        <v>53886</v>
      </c>
      <c r="V2730" t="s">
        <v>53887</v>
      </c>
      <c r="W2730" t="s">
        <v>53888</v>
      </c>
      <c r="X2730" t="s">
        <v>53889</v>
      </c>
      <c r="Y2730" t="s">
        <v>53890</v>
      </c>
    </row>
    <row r="2731" spans="1:25" x14ac:dyDescent="0.3">
      <c r="A2731">
        <v>136500</v>
      </c>
      <c r="B2731" t="s">
        <v>53891</v>
      </c>
      <c r="C2731" t="s">
        <v>53892</v>
      </c>
      <c r="D2731" t="s">
        <v>53893</v>
      </c>
      <c r="E2731" t="s">
        <v>53894</v>
      </c>
      <c r="F2731" t="s">
        <v>53895</v>
      </c>
      <c r="G2731" t="s">
        <v>53896</v>
      </c>
      <c r="H2731" t="s">
        <v>53897</v>
      </c>
      <c r="I2731" t="s">
        <v>53898</v>
      </c>
      <c r="J2731" t="s">
        <v>53899</v>
      </c>
      <c r="K2731" t="s">
        <v>53900</v>
      </c>
      <c r="L2731" t="s">
        <v>53901</v>
      </c>
      <c r="M2731" t="s">
        <v>53902</v>
      </c>
      <c r="N2731" t="s">
        <v>53903</v>
      </c>
      <c r="O2731">
        <f>-447.773467810753 -25.2993693296968 -798.209359891212</f>
        <v>-1271.2821970316618</v>
      </c>
      <c r="P2731">
        <f>-601.045658563633 -56.0123016406336 -522.981182961437</f>
        <v>-1180.0391431657035</v>
      </c>
      <c r="Q2731">
        <f>-359.235956579757 -9.9921561538633 -439.003496386047</f>
        <v>-808.23160911966727</v>
      </c>
      <c r="R2731" t="s">
        <v>53904</v>
      </c>
      <c r="S2731" t="s">
        <v>53905</v>
      </c>
      <c r="T2731" t="s">
        <v>53906</v>
      </c>
      <c r="U2731" t="s">
        <v>53907</v>
      </c>
      <c r="V2731" t="s">
        <v>53908</v>
      </c>
      <c r="W2731" t="s">
        <v>53909</v>
      </c>
      <c r="X2731" t="s">
        <v>53910</v>
      </c>
      <c r="Y2731" t="s">
        <v>53911</v>
      </c>
    </row>
    <row r="2732" spans="1:25" x14ac:dyDescent="0.3">
      <c r="A2732">
        <v>136550</v>
      </c>
      <c r="B2732" t="s">
        <v>53912</v>
      </c>
      <c r="C2732" t="s">
        <v>53913</v>
      </c>
      <c r="D2732" t="s">
        <v>53914</v>
      </c>
      <c r="E2732" t="s">
        <v>53915</v>
      </c>
      <c r="F2732" t="s">
        <v>53916</v>
      </c>
      <c r="G2732" t="s">
        <v>53917</v>
      </c>
      <c r="H2732" t="s">
        <v>53918</v>
      </c>
      <c r="I2732" t="s">
        <v>53919</v>
      </c>
      <c r="J2732" t="s">
        <v>53920</v>
      </c>
      <c r="K2732" t="s">
        <v>53921</v>
      </c>
      <c r="L2732" t="s">
        <v>53922</v>
      </c>
      <c r="M2732" t="s">
        <v>53923</v>
      </c>
      <c r="N2732" t="s">
        <v>53924</v>
      </c>
      <c r="O2732">
        <f>-451.52317311374 -27.7666699557893 -798.057079432949</f>
        <v>-1277.3469225024783</v>
      </c>
      <c r="P2732">
        <f>-601.518013380736 -55.9757286377748 -520.763010788935</f>
        <v>-1178.2567528074458</v>
      </c>
      <c r="Q2732">
        <f>-358.961449238234 -10.7271964789833 -438.538064681438</f>
        <v>-808.22671039865531</v>
      </c>
      <c r="R2732" t="s">
        <v>53925</v>
      </c>
      <c r="S2732" t="s">
        <v>53926</v>
      </c>
      <c r="T2732" t="s">
        <v>53927</v>
      </c>
      <c r="U2732" t="s">
        <v>53928</v>
      </c>
      <c r="V2732" t="s">
        <v>53929</v>
      </c>
      <c r="W2732" t="s">
        <v>53930</v>
      </c>
      <c r="X2732" t="s">
        <v>53931</v>
      </c>
      <c r="Y2732" t="s">
        <v>53932</v>
      </c>
    </row>
    <row r="2733" spans="1:25" x14ac:dyDescent="0.3">
      <c r="A2733">
        <v>136600</v>
      </c>
      <c r="B2733" t="s">
        <v>53933</v>
      </c>
      <c r="C2733" t="s">
        <v>53934</v>
      </c>
      <c r="D2733" t="s">
        <v>53935</v>
      </c>
      <c r="E2733" t="s">
        <v>53936</v>
      </c>
      <c r="F2733" t="s">
        <v>53937</v>
      </c>
      <c r="G2733" t="s">
        <v>53938</v>
      </c>
      <c r="H2733" t="s">
        <v>53939</v>
      </c>
      <c r="I2733" t="s">
        <v>53940</v>
      </c>
      <c r="J2733" t="s">
        <v>53941</v>
      </c>
      <c r="K2733" t="s">
        <v>53942</v>
      </c>
      <c r="L2733" t="s">
        <v>53943</v>
      </c>
      <c r="M2733" t="s">
        <v>53944</v>
      </c>
      <c r="N2733" t="s">
        <v>53945</v>
      </c>
      <c r="O2733">
        <f>-453.939206765636 -29.4738423835272 -797.859627587276</f>
        <v>-1281.2726767364393</v>
      </c>
      <c r="P2733">
        <f>-601.707047251948 -56.4253514286884 -519.247976908801</f>
        <v>-1177.3803755894373</v>
      </c>
      <c r="Q2733">
        <f>-358.51487278444 -11.5875078077828 -438.692480027995</f>
        <v>-808.79486062021783</v>
      </c>
      <c r="R2733" t="s">
        <v>53946</v>
      </c>
      <c r="S2733" t="s">
        <v>53947</v>
      </c>
      <c r="T2733" t="s">
        <v>53948</v>
      </c>
      <c r="U2733" t="s">
        <v>53949</v>
      </c>
      <c r="V2733" t="s">
        <v>53950</v>
      </c>
      <c r="W2733" t="s">
        <v>53951</v>
      </c>
      <c r="X2733" t="s">
        <v>53952</v>
      </c>
      <c r="Y2733" t="s">
        <v>53953</v>
      </c>
    </row>
    <row r="2734" spans="1:25" x14ac:dyDescent="0.3">
      <c r="A2734">
        <v>136650</v>
      </c>
      <c r="B2734" t="s">
        <v>53954</v>
      </c>
      <c r="C2734" t="s">
        <v>53955</v>
      </c>
      <c r="D2734" t="s">
        <v>53956</v>
      </c>
      <c r="E2734" t="s">
        <v>53957</v>
      </c>
      <c r="F2734" t="s">
        <v>53958</v>
      </c>
      <c r="G2734" t="s">
        <v>53959</v>
      </c>
      <c r="H2734" t="s">
        <v>53960</v>
      </c>
      <c r="I2734" t="s">
        <v>53961</v>
      </c>
      <c r="J2734" t="s">
        <v>53962</v>
      </c>
      <c r="K2734" t="s">
        <v>53963</v>
      </c>
      <c r="L2734" t="s">
        <v>53964</v>
      </c>
      <c r="M2734" t="s">
        <v>53965</v>
      </c>
      <c r="N2734" t="s">
        <v>53966</v>
      </c>
      <c r="O2734">
        <f>-456.78029820464 -30.7704423990872 -797.631932466317</f>
        <v>-1285.1826730700443</v>
      </c>
      <c r="P2734">
        <f>-602.054524232611 -56.1982466136957 -517.569452352532</f>
        <v>-1175.8222231988389</v>
      </c>
      <c r="Q2734">
        <f>-358.089299100076 -11.8531789266471 -439.105895551061</f>
        <v>-809.0483735777841</v>
      </c>
      <c r="R2734" t="s">
        <v>53967</v>
      </c>
      <c r="S2734" t="s">
        <v>53968</v>
      </c>
      <c r="T2734" t="s">
        <v>53969</v>
      </c>
      <c r="U2734" t="s">
        <v>53970</v>
      </c>
      <c r="V2734" t="s">
        <v>53971</v>
      </c>
      <c r="W2734" t="s">
        <v>53972</v>
      </c>
      <c r="X2734" t="s">
        <v>53973</v>
      </c>
      <c r="Y2734" t="s">
        <v>53974</v>
      </c>
    </row>
    <row r="2735" spans="1:25" x14ac:dyDescent="0.3">
      <c r="A2735">
        <v>136700</v>
      </c>
      <c r="B2735" t="s">
        <v>53975</v>
      </c>
      <c r="C2735" t="s">
        <v>53976</v>
      </c>
      <c r="D2735" t="s">
        <v>53977</v>
      </c>
      <c r="E2735" t="s">
        <v>53978</v>
      </c>
      <c r="F2735" t="s">
        <v>53979</v>
      </c>
      <c r="G2735" t="s">
        <v>53980</v>
      </c>
      <c r="H2735" t="s">
        <v>53981</v>
      </c>
      <c r="I2735" t="s">
        <v>53982</v>
      </c>
      <c r="J2735" t="s">
        <v>53983</v>
      </c>
      <c r="K2735" t="s">
        <v>53984</v>
      </c>
      <c r="L2735" t="s">
        <v>53985</v>
      </c>
      <c r="M2735" t="s">
        <v>53986</v>
      </c>
      <c r="N2735" t="s">
        <v>53987</v>
      </c>
      <c r="O2735">
        <f>-460.52189996299 -33.124078266532 -796.575026143746</f>
        <v>-1290.221004373268</v>
      </c>
      <c r="P2735">
        <f>-600.528028732638 -55.5379965482416 -513.587260637716</f>
        <v>-1169.6532859185954</v>
      </c>
      <c r="Q2735">
        <f>-355.198742327083 -11.138613172941 -439.531261966423</f>
        <v>-805.86861746644695</v>
      </c>
      <c r="R2735" t="s">
        <v>53988</v>
      </c>
      <c r="S2735" t="s">
        <v>53989</v>
      </c>
      <c r="T2735" t="s">
        <v>53990</v>
      </c>
      <c r="U2735" t="s">
        <v>53991</v>
      </c>
      <c r="V2735" t="s">
        <v>53992</v>
      </c>
      <c r="W2735" t="s">
        <v>53993</v>
      </c>
      <c r="X2735" t="s">
        <v>53994</v>
      </c>
      <c r="Y2735" t="s">
        <v>53995</v>
      </c>
    </row>
    <row r="2736" spans="1:25" x14ac:dyDescent="0.3">
      <c r="A2736">
        <v>136750</v>
      </c>
      <c r="B2736" t="s">
        <v>53996</v>
      </c>
      <c r="C2736" t="s">
        <v>53997</v>
      </c>
      <c r="D2736" t="s">
        <v>53998</v>
      </c>
      <c r="E2736" t="s">
        <v>53999</v>
      </c>
      <c r="F2736" t="s">
        <v>54000</v>
      </c>
      <c r="G2736" t="s">
        <v>54001</v>
      </c>
      <c r="H2736" t="s">
        <v>54002</v>
      </c>
      <c r="I2736" t="s">
        <v>54003</v>
      </c>
      <c r="J2736" t="s">
        <v>54004</v>
      </c>
      <c r="K2736" t="s">
        <v>54005</v>
      </c>
      <c r="L2736" t="s">
        <v>54006</v>
      </c>
      <c r="M2736" t="s">
        <v>54007</v>
      </c>
      <c r="N2736" t="s">
        <v>54008</v>
      </c>
      <c r="O2736">
        <f>-463.480672074409 -37.4197280661278 -794.492758409195</f>
        <v>-1295.3931585497317</v>
      </c>
      <c r="P2736">
        <f>-597.258386127155 -59.2505946909213 -508.46277421118</f>
        <v>-1164.9717550292562</v>
      </c>
      <c r="Q2736">
        <f>-351.016548711962 -12.7582402366674 -438.853334285434</f>
        <v>-802.62812323406342</v>
      </c>
      <c r="R2736" t="s">
        <v>54009</v>
      </c>
      <c r="S2736" t="s">
        <v>54010</v>
      </c>
      <c r="T2736" t="s">
        <v>54011</v>
      </c>
      <c r="U2736" t="s">
        <v>54012</v>
      </c>
      <c r="V2736" t="s">
        <v>54013</v>
      </c>
      <c r="W2736" t="s">
        <v>54014</v>
      </c>
      <c r="X2736" t="s">
        <v>54015</v>
      </c>
      <c r="Y2736" t="s">
        <v>54016</v>
      </c>
    </row>
    <row r="2737" spans="1:25" x14ac:dyDescent="0.3">
      <c r="A2737">
        <v>136800</v>
      </c>
      <c r="B2737" t="s">
        <v>54017</v>
      </c>
      <c r="C2737" t="s">
        <v>54018</v>
      </c>
      <c r="D2737" t="s">
        <v>54019</v>
      </c>
      <c r="E2737" t="s">
        <v>54020</v>
      </c>
      <c r="F2737" t="s">
        <v>54021</v>
      </c>
      <c r="G2737" t="s">
        <v>54022</v>
      </c>
      <c r="H2737" t="s">
        <v>54023</v>
      </c>
      <c r="I2737" t="s">
        <v>54024</v>
      </c>
      <c r="J2737" t="s">
        <v>54025</v>
      </c>
      <c r="K2737" t="s">
        <v>54026</v>
      </c>
      <c r="L2737" t="s">
        <v>54027</v>
      </c>
      <c r="M2737" t="s">
        <v>54028</v>
      </c>
      <c r="N2737" t="s">
        <v>54029</v>
      </c>
      <c r="O2737">
        <f>-466.39767605159 -39.1215061219002 -793.236827451946</f>
        <v>-1298.7560096254363</v>
      </c>
      <c r="P2737">
        <f>-596.504258828938 -60.4516473777737 -505.480783925117</f>
        <v>-1162.4366901318288</v>
      </c>
      <c r="Q2737">
        <f>-349.782677427621 -12.7871498058318 -438.409339866077</f>
        <v>-800.97916709952983</v>
      </c>
      <c r="R2737" t="s">
        <v>54030</v>
      </c>
      <c r="S2737" t="s">
        <v>54031</v>
      </c>
      <c r="T2737" t="s">
        <v>54032</v>
      </c>
      <c r="U2737" t="s">
        <v>54033</v>
      </c>
      <c r="V2737" t="s">
        <v>54034</v>
      </c>
      <c r="W2737" t="s">
        <v>54035</v>
      </c>
      <c r="X2737" t="s">
        <v>54036</v>
      </c>
      <c r="Y2737" t="s">
        <v>54037</v>
      </c>
    </row>
    <row r="2738" spans="1:25" x14ac:dyDescent="0.3">
      <c r="A2738">
        <v>136850</v>
      </c>
      <c r="B2738" t="s">
        <v>54038</v>
      </c>
      <c r="C2738" t="s">
        <v>54039</v>
      </c>
      <c r="D2738" t="s">
        <v>54040</v>
      </c>
      <c r="E2738" t="s">
        <v>54041</v>
      </c>
      <c r="F2738" t="s">
        <v>54042</v>
      </c>
      <c r="G2738" t="s">
        <v>54043</v>
      </c>
      <c r="H2738" t="s">
        <v>54044</v>
      </c>
      <c r="I2738" t="s">
        <v>54045</v>
      </c>
      <c r="J2738" t="s">
        <v>54046</v>
      </c>
      <c r="K2738" t="s">
        <v>54047</v>
      </c>
      <c r="L2738" t="s">
        <v>54048</v>
      </c>
      <c r="M2738" t="s">
        <v>54049</v>
      </c>
      <c r="N2738" t="s">
        <v>54050</v>
      </c>
      <c r="O2738">
        <f>-473.525792746299 -41.7625001578221 -790.078170430462</f>
        <v>-1305.3664633345832</v>
      </c>
      <c r="P2738">
        <f>-594.870074965505 -61.3473979387127 -498.396522980916</f>
        <v>-1154.6139958851336</v>
      </c>
      <c r="Q2738">
        <f>-347.243284991643 -11.2997779476064 -436.604286792042</f>
        <v>-795.14734973129134</v>
      </c>
      <c r="R2738" t="s">
        <v>54051</v>
      </c>
      <c r="S2738" t="s">
        <v>54052</v>
      </c>
      <c r="T2738" t="s">
        <v>54053</v>
      </c>
      <c r="U2738" t="s">
        <v>54054</v>
      </c>
      <c r="V2738" t="s">
        <v>54055</v>
      </c>
      <c r="W2738" t="s">
        <v>54056</v>
      </c>
      <c r="X2738" t="s">
        <v>54057</v>
      </c>
      <c r="Y2738" t="s">
        <v>54058</v>
      </c>
    </row>
    <row r="2739" spans="1:25" x14ac:dyDescent="0.3">
      <c r="A2739">
        <v>136900</v>
      </c>
      <c r="B2739" t="s">
        <v>54059</v>
      </c>
      <c r="C2739" t="s">
        <v>54060</v>
      </c>
      <c r="D2739" t="s">
        <v>54061</v>
      </c>
      <c r="E2739" t="s">
        <v>54062</v>
      </c>
      <c r="F2739" t="s">
        <v>54063</v>
      </c>
      <c r="G2739" t="s">
        <v>54064</v>
      </c>
      <c r="H2739" t="s">
        <v>54065</v>
      </c>
      <c r="I2739" t="s">
        <v>54066</v>
      </c>
      <c r="J2739" t="s">
        <v>54067</v>
      </c>
      <c r="K2739" t="s">
        <v>54068</v>
      </c>
      <c r="L2739" t="s">
        <v>54069</v>
      </c>
      <c r="M2739" t="s">
        <v>54070</v>
      </c>
      <c r="N2739" t="s">
        <v>54071</v>
      </c>
      <c r="O2739">
        <f>-478.722837011318 -42.5635571856834 -788.586295491088</f>
        <v>-1309.8726896880894</v>
      </c>
      <c r="P2739">
        <f>-594.843743330268 -61.6227746288377 -494.751676883196</f>
        <v>-1151.2181948423017</v>
      </c>
      <c r="Q2739">
        <f>-346.872248234095 -9.9690161263272 -435.725438100374</f>
        <v>-792.56670246079625</v>
      </c>
      <c r="R2739" t="s">
        <v>54072</v>
      </c>
      <c r="S2739" t="s">
        <v>54073</v>
      </c>
      <c r="T2739" t="s">
        <v>54074</v>
      </c>
      <c r="U2739" t="s">
        <v>54075</v>
      </c>
      <c r="V2739" t="s">
        <v>54076</v>
      </c>
      <c r="W2739" t="s">
        <v>54077</v>
      </c>
      <c r="X2739" t="s">
        <v>54078</v>
      </c>
      <c r="Y2739" t="s">
        <v>54079</v>
      </c>
    </row>
    <row r="2740" spans="1:25" x14ac:dyDescent="0.3">
      <c r="A2740">
        <v>136950</v>
      </c>
      <c r="B2740" t="s">
        <v>54080</v>
      </c>
      <c r="C2740" t="s">
        <v>54081</v>
      </c>
      <c r="D2740" t="s">
        <v>54082</v>
      </c>
      <c r="E2740" t="s">
        <v>54083</v>
      </c>
      <c r="F2740" t="s">
        <v>54084</v>
      </c>
      <c r="G2740" t="s">
        <v>54085</v>
      </c>
      <c r="H2740" t="s">
        <v>54086</v>
      </c>
      <c r="I2740" t="s">
        <v>54087</v>
      </c>
      <c r="J2740" t="s">
        <v>54088</v>
      </c>
      <c r="K2740" t="s">
        <v>54089</v>
      </c>
      <c r="L2740" t="s">
        <v>54090</v>
      </c>
      <c r="M2740" t="s">
        <v>54091</v>
      </c>
      <c r="N2740" t="s">
        <v>54092</v>
      </c>
      <c r="O2740">
        <f>-489.522515316857 -45.153778679893 -785.546046425279</f>
        <v>-1320.222340422029</v>
      </c>
      <c r="P2740">
        <f>-594.595299149707 -63.1252714681805 -487.514257411864</f>
        <v>-1145.2348280297515</v>
      </c>
      <c r="Q2740">
        <f>-345.914620393756 -8.09722341070245 -434.865510192411</f>
        <v>-788.87735399686949</v>
      </c>
      <c r="R2740" t="s">
        <v>54093</v>
      </c>
      <c r="S2740" t="s">
        <v>54094</v>
      </c>
      <c r="T2740" t="s">
        <v>54095</v>
      </c>
      <c r="U2740" t="s">
        <v>54096</v>
      </c>
      <c r="V2740" t="s">
        <v>54097</v>
      </c>
      <c r="W2740" t="s">
        <v>54098</v>
      </c>
      <c r="X2740" t="s">
        <v>54099</v>
      </c>
      <c r="Y2740" t="s">
        <v>54100</v>
      </c>
    </row>
    <row r="2741" spans="1:25" x14ac:dyDescent="0.3">
      <c r="A2741">
        <v>137000</v>
      </c>
      <c r="B2741" t="s">
        <v>54101</v>
      </c>
      <c r="C2741" t="s">
        <v>54102</v>
      </c>
      <c r="D2741" t="s">
        <v>54103</v>
      </c>
      <c r="E2741" t="s">
        <v>54104</v>
      </c>
      <c r="F2741" t="s">
        <v>54105</v>
      </c>
      <c r="G2741" t="s">
        <v>54106</v>
      </c>
      <c r="H2741" t="s">
        <v>54107</v>
      </c>
      <c r="I2741" t="s">
        <v>54108</v>
      </c>
      <c r="J2741" t="s">
        <v>54109</v>
      </c>
      <c r="K2741" t="s">
        <v>54110</v>
      </c>
      <c r="L2741" t="s">
        <v>54111</v>
      </c>
      <c r="M2741" t="s">
        <v>54112</v>
      </c>
      <c r="N2741" t="s">
        <v>54113</v>
      </c>
      <c r="O2741">
        <f>-493.915740424938 -46.3472146465483 -784.095894504146</f>
        <v>-1324.3588495756323</v>
      </c>
      <c r="P2741">
        <f>-593.754942793839 -63.4559727474408 -484.219796106665</f>
        <v>-1141.4307116479447</v>
      </c>
      <c r="Q2741">
        <f>-344.78188556013 -6.82756104713283 -434.745727768524</f>
        <v>-786.35517437578676</v>
      </c>
      <c r="R2741" t="s">
        <v>54114</v>
      </c>
      <c r="S2741" t="s">
        <v>54115</v>
      </c>
      <c r="T2741" t="s">
        <v>54116</v>
      </c>
      <c r="U2741" t="s">
        <v>54117</v>
      </c>
      <c r="V2741" t="s">
        <v>54118</v>
      </c>
      <c r="W2741" t="s">
        <v>54119</v>
      </c>
      <c r="X2741" t="s">
        <v>54120</v>
      </c>
      <c r="Y2741" t="s">
        <v>54121</v>
      </c>
    </row>
    <row r="2742" spans="1:25" x14ac:dyDescent="0.3">
      <c r="A2742">
        <v>137050</v>
      </c>
      <c r="B2742" t="s">
        <v>54122</v>
      </c>
      <c r="C2742" t="s">
        <v>54123</v>
      </c>
      <c r="D2742" t="s">
        <v>54124</v>
      </c>
      <c r="E2742" t="s">
        <v>54125</v>
      </c>
      <c r="F2742" t="s">
        <v>54126</v>
      </c>
      <c r="G2742" t="s">
        <v>54127</v>
      </c>
      <c r="H2742" t="s">
        <v>54128</v>
      </c>
      <c r="I2742" t="s">
        <v>54129</v>
      </c>
      <c r="J2742" t="s">
        <v>54130</v>
      </c>
      <c r="K2742" t="s">
        <v>54131</v>
      </c>
      <c r="L2742" t="s">
        <v>54132</v>
      </c>
      <c r="M2742" t="s">
        <v>54133</v>
      </c>
      <c r="N2742" t="s">
        <v>54134</v>
      </c>
      <c r="O2742">
        <f>-503.156948564861 -47.7953842335272 -780.964851552758</f>
        <v>-1331.9171843511463</v>
      </c>
      <c r="P2742">
        <f>-594.044649486044 -62.9531954443555 -478.151620420428</f>
        <v>-1135.1494653508275</v>
      </c>
      <c r="Q2742">
        <f>-345.137980319016 -1.90396877860385 -433.873709970599</f>
        <v>-780.91565906821882</v>
      </c>
      <c r="R2742" t="s">
        <v>54135</v>
      </c>
      <c r="S2742" t="s">
        <v>54136</v>
      </c>
      <c r="T2742" t="s">
        <v>54137</v>
      </c>
      <c r="U2742" t="s">
        <v>54138</v>
      </c>
      <c r="V2742" t="s">
        <v>54139</v>
      </c>
      <c r="W2742" t="s">
        <v>54140</v>
      </c>
      <c r="X2742" t="s">
        <v>54141</v>
      </c>
      <c r="Y2742" t="s">
        <v>54142</v>
      </c>
    </row>
    <row r="2743" spans="1:25" x14ac:dyDescent="0.3">
      <c r="A2743">
        <v>137100</v>
      </c>
      <c r="B2743" t="s">
        <v>54143</v>
      </c>
      <c r="C2743" t="s">
        <v>54144</v>
      </c>
      <c r="D2743" t="s">
        <v>54145</v>
      </c>
      <c r="E2743" t="s">
        <v>54146</v>
      </c>
      <c r="F2743" t="s">
        <v>54147</v>
      </c>
      <c r="G2743" t="s">
        <v>54148</v>
      </c>
      <c r="H2743" t="s">
        <v>54149</v>
      </c>
      <c r="I2743" t="s">
        <v>54150</v>
      </c>
      <c r="J2743" t="s">
        <v>54151</v>
      </c>
      <c r="K2743" t="s">
        <v>54152</v>
      </c>
      <c r="L2743" t="s">
        <v>54153</v>
      </c>
      <c r="M2743" t="s">
        <v>54154</v>
      </c>
      <c r="N2743" t="s">
        <v>54155</v>
      </c>
      <c r="O2743">
        <f>-509.057106801326 -48.6572494082295 -779.613334346068</f>
        <v>-1337.3276905556236</v>
      </c>
      <c r="P2743">
        <f>-595.752463948945 -63.718164221775 -475.568434635584</f>
        <v>-1135.0390628063039</v>
      </c>
      <c r="Q2743">
        <f>-347.031241360477 -0.37653286881249 -433.524972543578</f>
        <v>-780.9327467728674</v>
      </c>
      <c r="R2743" t="s">
        <v>54156</v>
      </c>
      <c r="S2743" t="s">
        <v>54157</v>
      </c>
      <c r="T2743" t="s">
        <v>54158</v>
      </c>
      <c r="U2743" t="s">
        <v>54159</v>
      </c>
      <c r="V2743" t="s">
        <v>54160</v>
      </c>
      <c r="W2743" t="s">
        <v>54161</v>
      </c>
      <c r="X2743" t="s">
        <v>54162</v>
      </c>
      <c r="Y2743" t="s">
        <v>54163</v>
      </c>
    </row>
    <row r="2744" spans="1:25" x14ac:dyDescent="0.3">
      <c r="A2744">
        <v>137150</v>
      </c>
      <c r="B2744" t="s">
        <v>54164</v>
      </c>
      <c r="C2744" t="s">
        <v>54165</v>
      </c>
      <c r="D2744" t="s">
        <v>54166</v>
      </c>
      <c r="E2744" t="s">
        <v>54167</v>
      </c>
      <c r="F2744" t="s">
        <v>54168</v>
      </c>
      <c r="G2744" t="s">
        <v>54169</v>
      </c>
      <c r="H2744" t="s">
        <v>54170</v>
      </c>
      <c r="I2744" t="s">
        <v>54171</v>
      </c>
      <c r="J2744" t="s">
        <v>54172</v>
      </c>
      <c r="K2744" t="s">
        <v>54173</v>
      </c>
      <c r="L2744" t="s">
        <v>54174</v>
      </c>
      <c r="M2744" t="s">
        <v>54175</v>
      </c>
      <c r="N2744" t="s">
        <v>54176</v>
      </c>
      <c r="O2744">
        <f>-520.442546024338 -51.0405646975667 -776.911871558706</f>
        <v>-1348.3949822806107</v>
      </c>
      <c r="P2744">
        <f>-597.860068528373 -65.7158708747504 -470.354610207458</f>
        <v>-1133.9305496105812</v>
      </c>
      <c r="Q2744" t="s">
        <v>54177</v>
      </c>
      <c r="R2744" t="s">
        <v>54178</v>
      </c>
      <c r="S2744" t="s">
        <v>54179</v>
      </c>
      <c r="T2744" t="s">
        <v>54180</v>
      </c>
      <c r="U2744" t="s">
        <v>54181</v>
      </c>
      <c r="V2744" t="s">
        <v>54182</v>
      </c>
      <c r="W2744" t="s">
        <v>54183</v>
      </c>
      <c r="X2744" t="s">
        <v>54184</v>
      </c>
      <c r="Y2744" t="s">
        <v>54185</v>
      </c>
    </row>
    <row r="2745" spans="1:25" x14ac:dyDescent="0.3">
      <c r="A2745">
        <v>137200</v>
      </c>
      <c r="B2745" t="s">
        <v>54186</v>
      </c>
      <c r="C2745" t="s">
        <v>54187</v>
      </c>
      <c r="D2745" t="s">
        <v>54188</v>
      </c>
      <c r="E2745" t="s">
        <v>54189</v>
      </c>
      <c r="F2745" t="s">
        <v>54190</v>
      </c>
      <c r="G2745" t="s">
        <v>54191</v>
      </c>
      <c r="H2745" t="s">
        <v>54192</v>
      </c>
      <c r="I2745" t="s">
        <v>54193</v>
      </c>
      <c r="J2745" t="s">
        <v>54194</v>
      </c>
      <c r="K2745" t="s">
        <v>54195</v>
      </c>
      <c r="L2745" t="s">
        <v>54196</v>
      </c>
      <c r="M2745" t="s">
        <v>54197</v>
      </c>
      <c r="N2745" t="s">
        <v>54198</v>
      </c>
      <c r="O2745">
        <f>-525.782805486691 -52.3684314960513 -775.582104583828</f>
        <v>-1353.7333415665703</v>
      </c>
      <c r="P2745">
        <f>-598.937978904507 -66.4851656718515 -467.95363090542</f>
        <v>-1133.3767754817786</v>
      </c>
      <c r="Q2745">
        <f>-350.016485909666 -0.269178274024505 -431.959184635251</f>
        <v>-782.24484881894159</v>
      </c>
      <c r="R2745" t="s">
        <v>54199</v>
      </c>
      <c r="S2745" t="s">
        <v>54200</v>
      </c>
      <c r="T2745" t="s">
        <v>54201</v>
      </c>
      <c r="U2745" t="s">
        <v>54202</v>
      </c>
      <c r="V2745" t="s">
        <v>54203</v>
      </c>
      <c r="W2745" t="s">
        <v>54204</v>
      </c>
      <c r="X2745" t="s">
        <v>54205</v>
      </c>
      <c r="Y2745" t="s">
        <v>54206</v>
      </c>
    </row>
    <row r="2746" spans="1:25" x14ac:dyDescent="0.3">
      <c r="A2746">
        <v>137250</v>
      </c>
      <c r="B2746" t="s">
        <v>54207</v>
      </c>
      <c r="C2746" t="s">
        <v>54208</v>
      </c>
      <c r="D2746" t="s">
        <v>54209</v>
      </c>
      <c r="E2746" t="s">
        <v>54210</v>
      </c>
      <c r="F2746" t="s">
        <v>54211</v>
      </c>
      <c r="G2746" t="s">
        <v>54212</v>
      </c>
      <c r="H2746" t="s">
        <v>54213</v>
      </c>
      <c r="I2746" t="s">
        <v>54214</v>
      </c>
      <c r="J2746" t="s">
        <v>54215</v>
      </c>
      <c r="K2746" t="s">
        <v>54216</v>
      </c>
      <c r="L2746" t="s">
        <v>54217</v>
      </c>
      <c r="M2746" t="s">
        <v>54218</v>
      </c>
      <c r="N2746" t="s">
        <v>54219</v>
      </c>
      <c r="O2746">
        <f>-535.197468510567 -57.3615153576621 -772.41026632254</f>
        <v>-1364.9692501907691</v>
      </c>
      <c r="P2746">
        <f>-600.626969174303 -70.1747976661591 -462.989870593697</f>
        <v>-1133.7916374341589</v>
      </c>
      <c r="Q2746">
        <f>-350.886032229221 -5.08302536912884 -430.825404133024</f>
        <v>-786.79446173137376</v>
      </c>
      <c r="R2746" t="s">
        <v>54220</v>
      </c>
      <c r="S2746" t="s">
        <v>54221</v>
      </c>
      <c r="T2746" t="s">
        <v>54222</v>
      </c>
      <c r="U2746" t="s">
        <v>54223</v>
      </c>
      <c r="V2746" t="s">
        <v>54224</v>
      </c>
      <c r="W2746" t="s">
        <v>54225</v>
      </c>
      <c r="X2746" t="s">
        <v>54226</v>
      </c>
      <c r="Y2746" t="s">
        <v>54227</v>
      </c>
    </row>
    <row r="2747" spans="1:25" x14ac:dyDescent="0.3">
      <c r="A2747">
        <v>137300</v>
      </c>
      <c r="B2747" t="s">
        <v>54228</v>
      </c>
      <c r="C2747" t="s">
        <v>54229</v>
      </c>
      <c r="D2747" t="s">
        <v>54230</v>
      </c>
      <c r="E2747" t="s">
        <v>54231</v>
      </c>
      <c r="F2747" t="s">
        <v>54232</v>
      </c>
      <c r="G2747" t="s">
        <v>54233</v>
      </c>
      <c r="H2747" t="s">
        <v>54234</v>
      </c>
      <c r="I2747" t="s">
        <v>54235</v>
      </c>
      <c r="J2747" t="s">
        <v>54236</v>
      </c>
      <c r="K2747" t="s">
        <v>54237</v>
      </c>
      <c r="L2747" t="s">
        <v>54238</v>
      </c>
      <c r="M2747" t="s">
        <v>54239</v>
      </c>
      <c r="N2747" t="s">
        <v>54240</v>
      </c>
      <c r="O2747">
        <f>-539.474582178293 -59.8519994653427 -770.651491150857</f>
        <v>-1369.9780727944926</v>
      </c>
      <c r="P2747">
        <f>-601.645170197986 -71.3969992095667 -460.510033608687</f>
        <v>-1133.5522030162397</v>
      </c>
      <c r="Q2747">
        <f>-351.382797034908 -7.31855092132089 -430.431157931799</f>
        <v>-789.13250588802794</v>
      </c>
      <c r="R2747" t="s">
        <v>54241</v>
      </c>
      <c r="S2747" t="s">
        <v>54242</v>
      </c>
      <c r="T2747" t="s">
        <v>54243</v>
      </c>
      <c r="U2747" t="s">
        <v>54244</v>
      </c>
      <c r="V2747" t="s">
        <v>54245</v>
      </c>
      <c r="W2747" t="s">
        <v>54246</v>
      </c>
      <c r="X2747" t="s">
        <v>54247</v>
      </c>
      <c r="Y2747" t="s">
        <v>54248</v>
      </c>
    </row>
    <row r="2748" spans="1:25" x14ac:dyDescent="0.3">
      <c r="A2748">
        <v>137350</v>
      </c>
      <c r="B2748" t="s">
        <v>54249</v>
      </c>
      <c r="C2748" t="s">
        <v>54250</v>
      </c>
      <c r="D2748" t="s">
        <v>54251</v>
      </c>
      <c r="E2748" t="s">
        <v>54252</v>
      </c>
      <c r="F2748" t="s">
        <v>54253</v>
      </c>
      <c r="G2748" t="s">
        <v>54254</v>
      </c>
      <c r="H2748" t="s">
        <v>54255</v>
      </c>
      <c r="I2748" t="s">
        <v>54256</v>
      </c>
      <c r="J2748" t="s">
        <v>54257</v>
      </c>
      <c r="K2748" t="s">
        <v>54258</v>
      </c>
      <c r="L2748" t="s">
        <v>54259</v>
      </c>
      <c r="M2748" t="s">
        <v>54260</v>
      </c>
      <c r="N2748" t="s">
        <v>54261</v>
      </c>
      <c r="O2748">
        <f>-543.045195146617 -61.8041659132839 -768.880450111095</f>
        <v>-1373.7298111709958</v>
      </c>
      <c r="P2748">
        <f>-602.367388244034 -71.9741369155648 -458.133504926261</f>
        <v>-1132.47503008586</v>
      </c>
      <c r="Q2748">
        <f>-351.514575586152 -9.47032615860364 -429.704837474617</f>
        <v>-790.68973921937265</v>
      </c>
      <c r="R2748" t="s">
        <v>54262</v>
      </c>
      <c r="S2748" t="s">
        <v>54263</v>
      </c>
      <c r="T2748" t="s">
        <v>54264</v>
      </c>
      <c r="U2748" t="s">
        <v>54265</v>
      </c>
      <c r="V2748" t="s">
        <v>54266</v>
      </c>
      <c r="W2748" t="s">
        <v>54267</v>
      </c>
      <c r="X2748" t="s">
        <v>54268</v>
      </c>
      <c r="Y2748" t="s">
        <v>54269</v>
      </c>
    </row>
    <row r="2749" spans="1:25" x14ac:dyDescent="0.3">
      <c r="A2749">
        <v>137400</v>
      </c>
      <c r="B2749" t="s">
        <v>54270</v>
      </c>
      <c r="C2749" t="s">
        <v>54271</v>
      </c>
      <c r="D2749" t="s">
        <v>54272</v>
      </c>
      <c r="E2749" t="s">
        <v>54273</v>
      </c>
      <c r="F2749" t="s">
        <v>54274</v>
      </c>
      <c r="G2749" t="s">
        <v>54275</v>
      </c>
      <c r="H2749" t="s">
        <v>54276</v>
      </c>
      <c r="I2749" t="s">
        <v>54277</v>
      </c>
      <c r="J2749" t="s">
        <v>54278</v>
      </c>
      <c r="K2749" t="s">
        <v>54279</v>
      </c>
      <c r="L2749" t="s">
        <v>54280</v>
      </c>
      <c r="M2749" t="s">
        <v>54281</v>
      </c>
      <c r="N2749" t="s">
        <v>54282</v>
      </c>
      <c r="O2749">
        <f>-549.929807442713 -64.8291925121405 -765.64444124925</f>
        <v>-1380.4034412041035</v>
      </c>
      <c r="P2749">
        <f>-604.660608292808 -72.1207542640961 -453.975541955303</f>
        <v>-1130.7569045122073</v>
      </c>
      <c r="Q2749">
        <f>-352.91059310468 -12.0741911093164 -428.316308869745</f>
        <v>-793.30109308374142</v>
      </c>
      <c r="R2749" t="s">
        <v>54283</v>
      </c>
      <c r="S2749" t="s">
        <v>54284</v>
      </c>
      <c r="T2749" t="s">
        <v>54285</v>
      </c>
      <c r="U2749" t="s">
        <v>54286</v>
      </c>
      <c r="V2749" t="s">
        <v>54287</v>
      </c>
      <c r="W2749" t="s">
        <v>54288</v>
      </c>
      <c r="X2749" t="s">
        <v>54289</v>
      </c>
      <c r="Y2749" t="s">
        <v>54290</v>
      </c>
    </row>
    <row r="2750" spans="1:25" x14ac:dyDescent="0.3">
      <c r="A2750">
        <v>137450</v>
      </c>
      <c r="B2750" t="s">
        <v>54291</v>
      </c>
      <c r="C2750" t="s">
        <v>54292</v>
      </c>
      <c r="D2750" t="s">
        <v>54293</v>
      </c>
      <c r="E2750" t="s">
        <v>54294</v>
      </c>
      <c r="F2750" t="s">
        <v>54295</v>
      </c>
      <c r="G2750" t="s">
        <v>54296</v>
      </c>
      <c r="H2750" t="s">
        <v>54297</v>
      </c>
      <c r="I2750" t="s">
        <v>54298</v>
      </c>
      <c r="J2750" t="s">
        <v>54299</v>
      </c>
      <c r="K2750" t="s">
        <v>54300</v>
      </c>
      <c r="L2750" t="s">
        <v>54301</v>
      </c>
      <c r="M2750" t="s">
        <v>54302</v>
      </c>
      <c r="N2750" t="s">
        <v>54303</v>
      </c>
      <c r="O2750">
        <f>-555.778028193685 -67.4589916401252 -763.692845259228</f>
        <v>-1386.9298650930382</v>
      </c>
      <c r="P2750">
        <f>-606.306381788025 -73.7980790951162 -451.294299832247</f>
        <v>-1131.3987607153881</v>
      </c>
      <c r="Q2750">
        <f>-354.174417950638 -14.5853871906061 -427.516610516041</f>
        <v>-796.27641565728504</v>
      </c>
      <c r="R2750" t="s">
        <v>54304</v>
      </c>
      <c r="S2750" t="s">
        <v>54305</v>
      </c>
      <c r="T2750" t="s">
        <v>54306</v>
      </c>
      <c r="U2750" t="s">
        <v>54307</v>
      </c>
      <c r="V2750" t="s">
        <v>54308</v>
      </c>
      <c r="W2750" t="s">
        <v>54309</v>
      </c>
      <c r="X2750" t="s">
        <v>54310</v>
      </c>
      <c r="Y2750" t="s">
        <v>54311</v>
      </c>
    </row>
    <row r="2751" spans="1:25" x14ac:dyDescent="0.3">
      <c r="A2751">
        <v>137500</v>
      </c>
      <c r="B2751" t="s">
        <v>54312</v>
      </c>
      <c r="C2751" t="s">
        <v>54313</v>
      </c>
      <c r="D2751" t="s">
        <v>54314</v>
      </c>
      <c r="E2751" t="s">
        <v>54315</v>
      </c>
      <c r="F2751" t="s">
        <v>54316</v>
      </c>
      <c r="G2751" t="s">
        <v>54317</v>
      </c>
      <c r="H2751" t="s">
        <v>54318</v>
      </c>
      <c r="I2751" t="s">
        <v>54319</v>
      </c>
      <c r="J2751" t="s">
        <v>54320</v>
      </c>
      <c r="K2751" t="s">
        <v>54321</v>
      </c>
      <c r="L2751" t="s">
        <v>54322</v>
      </c>
      <c r="M2751" t="s">
        <v>54323</v>
      </c>
      <c r="N2751" t="s">
        <v>54324</v>
      </c>
      <c r="O2751">
        <f>-559.142806924774 -68.6072957390916 -763.137687669955</f>
        <v>-1390.8877903338207</v>
      </c>
      <c r="P2751">
        <f>-607.875398634704 -74.8618042277628 -450.452317997612</f>
        <v>-1133.1895208600788</v>
      </c>
      <c r="Q2751">
        <f>-355.699275040824 -15.516575734386 -427.487269066162</f>
        <v>-798.70311984137197</v>
      </c>
      <c r="R2751" t="s">
        <v>54325</v>
      </c>
      <c r="S2751" t="s">
        <v>54326</v>
      </c>
      <c r="T2751" t="s">
        <v>54327</v>
      </c>
      <c r="U2751" t="s">
        <v>54328</v>
      </c>
      <c r="V2751" t="s">
        <v>54329</v>
      </c>
      <c r="W2751" t="s">
        <v>54330</v>
      </c>
      <c r="X2751" t="s">
        <v>54331</v>
      </c>
      <c r="Y2751" t="s">
        <v>54332</v>
      </c>
    </row>
    <row r="2752" spans="1:25" x14ac:dyDescent="0.3">
      <c r="A2752">
        <v>137550</v>
      </c>
      <c r="B2752" t="s">
        <v>54333</v>
      </c>
      <c r="C2752" t="s">
        <v>54334</v>
      </c>
      <c r="D2752" t="s">
        <v>54335</v>
      </c>
      <c r="E2752" t="s">
        <v>54336</v>
      </c>
      <c r="F2752" t="s">
        <v>54337</v>
      </c>
      <c r="G2752" t="s">
        <v>54338</v>
      </c>
      <c r="H2752" t="s">
        <v>54339</v>
      </c>
      <c r="I2752" t="s">
        <v>54340</v>
      </c>
      <c r="J2752" t="s">
        <v>54341</v>
      </c>
      <c r="K2752" t="s">
        <v>54342</v>
      </c>
      <c r="L2752" t="s">
        <v>54343</v>
      </c>
      <c r="M2752" t="s">
        <v>54344</v>
      </c>
      <c r="N2752" t="s">
        <v>54345</v>
      </c>
      <c r="O2752">
        <f>-565.576827009177 -71.6464934072863 -762.332843544206</f>
        <v>-1399.5561639606694</v>
      </c>
      <c r="P2752">
        <f>-611.142123590458 -77.9286056386574 -449.170637038936</f>
        <v>-1138.2413662680515</v>
      </c>
      <c r="Q2752">
        <f>-358.863801764476 -18.4481544368888 -427.727995347095</f>
        <v>-805.03995154845984</v>
      </c>
      <c r="R2752" t="s">
        <v>54346</v>
      </c>
      <c r="S2752" t="s">
        <v>54347</v>
      </c>
      <c r="T2752" t="s">
        <v>54348</v>
      </c>
      <c r="U2752" t="s">
        <v>54349</v>
      </c>
      <c r="V2752" t="s">
        <v>54350</v>
      </c>
      <c r="W2752" t="s">
        <v>54351</v>
      </c>
      <c r="X2752" t="s">
        <v>54352</v>
      </c>
      <c r="Y2752" t="s">
        <v>54353</v>
      </c>
    </row>
    <row r="2753" spans="1:25" x14ac:dyDescent="0.3">
      <c r="A2753">
        <v>137600</v>
      </c>
      <c r="B2753" t="s">
        <v>54354</v>
      </c>
      <c r="C2753" t="s">
        <v>54355</v>
      </c>
      <c r="D2753" t="s">
        <v>54356</v>
      </c>
      <c r="E2753" t="s">
        <v>54357</v>
      </c>
      <c r="F2753" t="s">
        <v>54358</v>
      </c>
      <c r="G2753" t="s">
        <v>54359</v>
      </c>
      <c r="H2753" t="s">
        <v>54360</v>
      </c>
      <c r="I2753" t="s">
        <v>54361</v>
      </c>
      <c r="J2753" t="s">
        <v>54362</v>
      </c>
      <c r="K2753" t="s">
        <v>54363</v>
      </c>
      <c r="L2753" t="s">
        <v>54364</v>
      </c>
      <c r="M2753" t="s">
        <v>54365</v>
      </c>
      <c r="N2753" t="s">
        <v>54366</v>
      </c>
      <c r="O2753">
        <f>-568.261711342105 -72.9256623814295 -761.971256971031</f>
        <v>-1403.1586306945655</v>
      </c>
      <c r="P2753">
        <f>-612.593644000598 -78.667599607522 -448.621827071801</f>
        <v>-1139.883070679921</v>
      </c>
      <c r="Q2753">
        <f>-360.210082909789 -19.3331098395228 -428.030169050949</f>
        <v>-807.57336180026073</v>
      </c>
      <c r="R2753" t="s">
        <v>54367</v>
      </c>
      <c r="S2753" t="s">
        <v>54368</v>
      </c>
      <c r="T2753" t="s">
        <v>54369</v>
      </c>
      <c r="U2753" t="s">
        <v>54370</v>
      </c>
      <c r="V2753" t="s">
        <v>54371</v>
      </c>
      <c r="W2753" t="s">
        <v>54372</v>
      </c>
      <c r="X2753" t="s">
        <v>54373</v>
      </c>
      <c r="Y2753" t="s">
        <v>54374</v>
      </c>
    </row>
    <row r="2754" spans="1:25" x14ac:dyDescent="0.3">
      <c r="A2754">
        <v>137650</v>
      </c>
      <c r="B2754" t="s">
        <v>54375</v>
      </c>
      <c r="C2754" t="s">
        <v>54376</v>
      </c>
      <c r="D2754" t="s">
        <v>54377</v>
      </c>
      <c r="E2754" t="s">
        <v>54378</v>
      </c>
      <c r="F2754" t="s">
        <v>54379</v>
      </c>
      <c r="G2754" t="s">
        <v>54380</v>
      </c>
      <c r="H2754" t="s">
        <v>54381</v>
      </c>
      <c r="I2754" t="s">
        <v>54382</v>
      </c>
      <c r="J2754" t="s">
        <v>54383</v>
      </c>
      <c r="K2754" t="s">
        <v>54384</v>
      </c>
      <c r="L2754" t="s">
        <v>54385</v>
      </c>
      <c r="M2754" t="s">
        <v>54386</v>
      </c>
      <c r="N2754" t="s">
        <v>54387</v>
      </c>
      <c r="O2754">
        <f>-573.305098999946 -75.1212972788027 -761.033021855516</f>
        <v>-1409.4594181342648</v>
      </c>
      <c r="P2754">
        <f>-615.163318942067 -79.6342726327546 -447.323524760123</f>
        <v>-1142.1211163349446</v>
      </c>
      <c r="Q2754">
        <f>-362.503395677256 -20.9451670701783 -428.333916680304</f>
        <v>-811.78247942773828</v>
      </c>
      <c r="R2754" t="s">
        <v>54388</v>
      </c>
      <c r="S2754" t="s">
        <v>54389</v>
      </c>
      <c r="T2754" t="s">
        <v>54390</v>
      </c>
      <c r="U2754" t="s">
        <v>54391</v>
      </c>
      <c r="V2754" t="s">
        <v>54392</v>
      </c>
      <c r="W2754" t="s">
        <v>54393</v>
      </c>
      <c r="X2754" t="s">
        <v>54394</v>
      </c>
      <c r="Y2754" t="s">
        <v>54395</v>
      </c>
    </row>
    <row r="2755" spans="1:25" x14ac:dyDescent="0.3">
      <c r="A2755">
        <v>137700</v>
      </c>
      <c r="B2755" t="s">
        <v>54396</v>
      </c>
      <c r="C2755" t="s">
        <v>54397</v>
      </c>
      <c r="D2755" t="s">
        <v>54398</v>
      </c>
      <c r="E2755" t="s">
        <v>54399</v>
      </c>
      <c r="F2755" t="s">
        <v>54400</v>
      </c>
      <c r="G2755" t="s">
        <v>54401</v>
      </c>
      <c r="H2755" t="s">
        <v>54402</v>
      </c>
      <c r="I2755" t="s">
        <v>54403</v>
      </c>
      <c r="J2755" t="s">
        <v>54404</v>
      </c>
      <c r="K2755" t="s">
        <v>54405</v>
      </c>
      <c r="L2755" t="s">
        <v>54406</v>
      </c>
      <c r="M2755" t="s">
        <v>54407</v>
      </c>
      <c r="N2755" t="s">
        <v>54408</v>
      </c>
      <c r="O2755">
        <f>-575.642746885522 -75.8987372508602 -760.526351628752</f>
        <v>-1412.0678357651341</v>
      </c>
      <c r="P2755">
        <f>-616.012074177796 -79.438067544747 -446.60918866776</f>
        <v>-1142.0593303903029</v>
      </c>
      <c r="Q2755">
        <f>-363.176250817427 -21.3200719133823 -428.213649308839</f>
        <v>-812.70997203964839</v>
      </c>
      <c r="R2755" t="s">
        <v>54409</v>
      </c>
      <c r="S2755" t="s">
        <v>54410</v>
      </c>
      <c r="T2755" t="s">
        <v>54411</v>
      </c>
      <c r="U2755" t="s">
        <v>54412</v>
      </c>
      <c r="V2755" t="s">
        <v>54413</v>
      </c>
      <c r="W2755" t="s">
        <v>54414</v>
      </c>
      <c r="X2755" t="s">
        <v>54415</v>
      </c>
      <c r="Y2755" t="s">
        <v>54416</v>
      </c>
    </row>
    <row r="2756" spans="1:25" x14ac:dyDescent="0.3">
      <c r="A2756">
        <v>137750</v>
      </c>
      <c r="B2756" t="s">
        <v>54417</v>
      </c>
      <c r="C2756" t="s">
        <v>54418</v>
      </c>
      <c r="D2756" t="s">
        <v>54419</v>
      </c>
      <c r="E2756" t="s">
        <v>54420</v>
      </c>
      <c r="F2756" t="s">
        <v>54421</v>
      </c>
      <c r="G2756" t="s">
        <v>54422</v>
      </c>
      <c r="H2756" t="s">
        <v>54423</v>
      </c>
      <c r="I2756" t="s">
        <v>54424</v>
      </c>
      <c r="J2756" t="s">
        <v>54425</v>
      </c>
      <c r="K2756" t="s">
        <v>54426</v>
      </c>
      <c r="L2756" t="s">
        <v>54427</v>
      </c>
      <c r="M2756" t="s">
        <v>54428</v>
      </c>
      <c r="N2756" t="s">
        <v>54429</v>
      </c>
      <c r="O2756">
        <f>-580.187300878614 -77.660846108309 -758.897094204477</f>
        <v>-1416.7452411914001</v>
      </c>
      <c r="P2756">
        <f>-617.121843835601 -80.1155116707224 -444.547047124275</f>
        <v>-1141.7844026305984</v>
      </c>
      <c r="Q2756">
        <f>-363.905211756768 -23.4293888427073 -426.937965177068</f>
        <v>-814.27256577654327</v>
      </c>
      <c r="R2756" t="s">
        <v>54430</v>
      </c>
      <c r="S2756" t="s">
        <v>54431</v>
      </c>
      <c r="T2756" t="s">
        <v>54432</v>
      </c>
      <c r="U2756" t="s">
        <v>54433</v>
      </c>
      <c r="V2756" t="s">
        <v>54434</v>
      </c>
      <c r="W2756" t="s">
        <v>54435</v>
      </c>
      <c r="X2756" t="s">
        <v>54436</v>
      </c>
      <c r="Y2756" t="s">
        <v>54437</v>
      </c>
    </row>
    <row r="2757" spans="1:25" x14ac:dyDescent="0.3">
      <c r="A2757">
        <v>137800</v>
      </c>
      <c r="B2757" t="s">
        <v>54438</v>
      </c>
      <c r="C2757" t="s">
        <v>54439</v>
      </c>
      <c r="D2757" t="s">
        <v>54440</v>
      </c>
      <c r="E2757" t="s">
        <v>54441</v>
      </c>
      <c r="F2757" t="s">
        <v>54442</v>
      </c>
      <c r="G2757" t="s">
        <v>54443</v>
      </c>
      <c r="H2757" t="s">
        <v>54444</v>
      </c>
      <c r="I2757" t="s">
        <v>54445</v>
      </c>
      <c r="J2757" t="s">
        <v>54446</v>
      </c>
      <c r="K2757" t="s">
        <v>54447</v>
      </c>
      <c r="L2757" t="s">
        <v>54448</v>
      </c>
      <c r="M2757" t="s">
        <v>54449</v>
      </c>
      <c r="N2757" t="s">
        <v>54450</v>
      </c>
      <c r="O2757">
        <f>-582.129933146432 -78.6151653193187 -758.020658472641</f>
        <v>-1418.7657569383919</v>
      </c>
      <c r="P2757">
        <f>-617.876937797619 -80.1998527841579 -443.527714118167</f>
        <v>-1141.6045046999438</v>
      </c>
      <c r="Q2757">
        <f>-364.512614220162 -23.8949238655127 -426.84416353206</f>
        <v>-815.25170161773462</v>
      </c>
      <c r="R2757" t="s">
        <v>54451</v>
      </c>
      <c r="S2757" t="s">
        <v>54452</v>
      </c>
      <c r="T2757" t="s">
        <v>54453</v>
      </c>
      <c r="U2757" t="s">
        <v>54454</v>
      </c>
      <c r="V2757" t="s">
        <v>54455</v>
      </c>
      <c r="W2757" t="s">
        <v>54456</v>
      </c>
      <c r="X2757" t="s">
        <v>54457</v>
      </c>
      <c r="Y2757" t="s">
        <v>54458</v>
      </c>
    </row>
    <row r="2758" spans="1:25" x14ac:dyDescent="0.3">
      <c r="A2758">
        <v>137850</v>
      </c>
      <c r="B2758" t="s">
        <v>54459</v>
      </c>
      <c r="C2758" t="s">
        <v>54460</v>
      </c>
      <c r="D2758" t="s">
        <v>54461</v>
      </c>
      <c r="E2758" t="s">
        <v>54462</v>
      </c>
      <c r="F2758" t="s">
        <v>54463</v>
      </c>
      <c r="G2758" t="s">
        <v>54464</v>
      </c>
      <c r="H2758" t="s">
        <v>54465</v>
      </c>
      <c r="I2758" t="s">
        <v>54466</v>
      </c>
      <c r="J2758" t="s">
        <v>54467</v>
      </c>
      <c r="K2758" t="s">
        <v>54468</v>
      </c>
      <c r="L2758" t="s">
        <v>54469</v>
      </c>
      <c r="M2758" t="s">
        <v>54470</v>
      </c>
      <c r="N2758" t="s">
        <v>54471</v>
      </c>
      <c r="O2758">
        <f>-585.106952226105 -79.5294220259871 -756.592474776067</f>
        <v>-1421.2288490281589</v>
      </c>
      <c r="P2758">
        <f>-618.649912227004 -79.9318269885226 -441.853036865934</f>
        <v>-1140.4347760814608</v>
      </c>
      <c r="Q2758">
        <f>-365.025301591189 -24.1528079801706 -427.524327825788</f>
        <v>-816.70243739714761</v>
      </c>
      <c r="R2758" t="s">
        <v>54472</v>
      </c>
      <c r="S2758" t="s">
        <v>54473</v>
      </c>
      <c r="T2758" t="s">
        <v>54474</v>
      </c>
      <c r="U2758" t="s">
        <v>54475</v>
      </c>
      <c r="V2758" t="s">
        <v>54476</v>
      </c>
      <c r="W2758" t="s">
        <v>54477</v>
      </c>
      <c r="X2758" t="s">
        <v>54478</v>
      </c>
      <c r="Y2758" t="s">
        <v>54479</v>
      </c>
    </row>
    <row r="2759" spans="1:25" x14ac:dyDescent="0.3">
      <c r="A2759">
        <v>137900</v>
      </c>
      <c r="B2759" t="s">
        <v>54480</v>
      </c>
      <c r="C2759" t="s">
        <v>54481</v>
      </c>
      <c r="D2759" t="s">
        <v>54482</v>
      </c>
      <c r="E2759" t="s">
        <v>54483</v>
      </c>
      <c r="F2759" t="s">
        <v>54484</v>
      </c>
      <c r="G2759" t="s">
        <v>54485</v>
      </c>
      <c r="H2759" t="s">
        <v>54486</v>
      </c>
      <c r="I2759" t="s">
        <v>54487</v>
      </c>
      <c r="J2759" t="s">
        <v>54488</v>
      </c>
      <c r="K2759" t="s">
        <v>54489</v>
      </c>
      <c r="L2759" t="s">
        <v>54490</v>
      </c>
      <c r="M2759" t="s">
        <v>54491</v>
      </c>
      <c r="N2759" t="s">
        <v>54492</v>
      </c>
      <c r="O2759">
        <f>-586.552028811137 -79.5622058828443 -755.891664851485</f>
        <v>-1422.0058995454663</v>
      </c>
      <c r="P2759">
        <f>-618.76333311916 -79.4729498974255 -441.012949523727</f>
        <v>-1139.2492325403125</v>
      </c>
      <c r="Q2759">
        <f>-364.90203693791 -24.5579054287407 -427.564197067011</f>
        <v>-817.02413943366173</v>
      </c>
      <c r="R2759" t="s">
        <v>54493</v>
      </c>
      <c r="S2759" t="s">
        <v>54494</v>
      </c>
      <c r="T2759" t="s">
        <v>54495</v>
      </c>
      <c r="U2759" t="s">
        <v>54496</v>
      </c>
      <c r="V2759" t="s">
        <v>54497</v>
      </c>
      <c r="W2759" t="s">
        <v>54498</v>
      </c>
      <c r="X2759" t="s">
        <v>54499</v>
      </c>
      <c r="Y2759" t="s">
        <v>54500</v>
      </c>
    </row>
    <row r="2760" spans="1:25" x14ac:dyDescent="0.3">
      <c r="A2760">
        <v>137950</v>
      </c>
      <c r="B2760" t="s">
        <v>54501</v>
      </c>
      <c r="C2760" t="s">
        <v>54502</v>
      </c>
      <c r="D2760" t="s">
        <v>54503</v>
      </c>
      <c r="E2760" t="s">
        <v>54504</v>
      </c>
      <c r="F2760" t="s">
        <v>54505</v>
      </c>
      <c r="G2760" t="s">
        <v>54506</v>
      </c>
      <c r="H2760" t="s">
        <v>54507</v>
      </c>
      <c r="I2760" t="s">
        <v>54508</v>
      </c>
      <c r="J2760" t="s">
        <v>54509</v>
      </c>
      <c r="K2760" t="s">
        <v>54510</v>
      </c>
      <c r="L2760" t="s">
        <v>54511</v>
      </c>
      <c r="M2760" t="s">
        <v>54512</v>
      </c>
      <c r="N2760" t="s">
        <v>54513</v>
      </c>
      <c r="O2760">
        <f>-588.596787720219 -79.391065778318 -754.929050282213</f>
        <v>-1422.9169037807501</v>
      </c>
      <c r="P2760">
        <f>-619.132413923111 -78.7742946535254 -439.883878392327</f>
        <v>-1137.7905869689635</v>
      </c>
      <c r="Q2760">
        <f>-364.971726128912 -25.037914113158 -427.362129260595</f>
        <v>-817.37176950266507</v>
      </c>
      <c r="R2760" t="s">
        <v>54514</v>
      </c>
      <c r="S2760" t="s">
        <v>54515</v>
      </c>
      <c r="T2760" t="s">
        <v>54516</v>
      </c>
      <c r="U2760" t="s">
        <v>54517</v>
      </c>
      <c r="V2760" t="s">
        <v>54518</v>
      </c>
      <c r="W2760" t="s">
        <v>54519</v>
      </c>
      <c r="X2760" t="s">
        <v>54520</v>
      </c>
      <c r="Y2760" t="s">
        <v>54521</v>
      </c>
    </row>
    <row r="2761" spans="1:25" x14ac:dyDescent="0.3">
      <c r="A2761">
        <v>138000</v>
      </c>
      <c r="B2761" t="s">
        <v>54522</v>
      </c>
      <c r="C2761" t="s">
        <v>54523</v>
      </c>
      <c r="D2761" t="s">
        <v>54524</v>
      </c>
      <c r="E2761" t="s">
        <v>54525</v>
      </c>
      <c r="F2761" t="s">
        <v>54526</v>
      </c>
      <c r="G2761" t="s">
        <v>54527</v>
      </c>
      <c r="H2761" t="s">
        <v>54528</v>
      </c>
      <c r="I2761" t="s">
        <v>54529</v>
      </c>
      <c r="J2761" t="s">
        <v>54530</v>
      </c>
      <c r="K2761" t="s">
        <v>54531</v>
      </c>
      <c r="L2761" t="s">
        <v>54532</v>
      </c>
      <c r="M2761" t="s">
        <v>54533</v>
      </c>
      <c r="N2761" t="s">
        <v>54534</v>
      </c>
      <c r="O2761">
        <f>-588.795759278668 -79.2505726988299 -754.55055349205</f>
        <v>-1422.5968854695479</v>
      </c>
      <c r="P2761">
        <f>-619.271064256607 -78.8196388365937 -439.49928724295</f>
        <v>-1137.5899903361508</v>
      </c>
      <c r="Q2761">
        <f>-365.038446970028 -25.4518942729243 -426.860722702007</f>
        <v>-817.35106394495938</v>
      </c>
      <c r="R2761" t="s">
        <v>54535</v>
      </c>
      <c r="S2761" t="s">
        <v>54536</v>
      </c>
      <c r="T2761" t="s">
        <v>54537</v>
      </c>
      <c r="U2761" t="s">
        <v>54538</v>
      </c>
      <c r="V2761" t="s">
        <v>54539</v>
      </c>
      <c r="W2761" t="s">
        <v>54540</v>
      </c>
      <c r="X2761" t="s">
        <v>54541</v>
      </c>
      <c r="Y2761" t="s">
        <v>54542</v>
      </c>
    </row>
    <row r="2762" spans="1:25" x14ac:dyDescent="0.3">
      <c r="A2762">
        <v>138050</v>
      </c>
      <c r="B2762" t="s">
        <v>54543</v>
      </c>
      <c r="C2762" t="s">
        <v>54544</v>
      </c>
      <c r="D2762" t="s">
        <v>54545</v>
      </c>
      <c r="E2762" t="s">
        <v>54546</v>
      </c>
      <c r="F2762" t="s">
        <v>54547</v>
      </c>
      <c r="G2762" t="s">
        <v>54548</v>
      </c>
      <c r="H2762" t="s">
        <v>54549</v>
      </c>
      <c r="I2762" t="s">
        <v>54550</v>
      </c>
      <c r="J2762" t="s">
        <v>54551</v>
      </c>
      <c r="K2762" t="s">
        <v>54552</v>
      </c>
      <c r="L2762" t="s">
        <v>54553</v>
      </c>
      <c r="M2762" t="s">
        <v>54554</v>
      </c>
      <c r="N2762" t="s">
        <v>54555</v>
      </c>
      <c r="O2762">
        <f>-590.290826794676 -79.6173145809594 -753.810520630165</f>
        <v>-1423.7186620058005</v>
      </c>
      <c r="P2762">
        <f>-620.764726098045 -78.8261715588586 -438.759910861406</f>
        <v>-1138.3508085183096</v>
      </c>
      <c r="Q2762">
        <f>-366.490753133598 -25.786840504717 -425.583163869537</f>
        <v>-817.86075750785199</v>
      </c>
      <c r="R2762" t="s">
        <v>54556</v>
      </c>
      <c r="S2762" t="s">
        <v>54557</v>
      </c>
      <c r="T2762" t="s">
        <v>54558</v>
      </c>
      <c r="U2762" t="s">
        <v>54559</v>
      </c>
      <c r="V2762" t="s">
        <v>54560</v>
      </c>
      <c r="W2762" t="s">
        <v>54561</v>
      </c>
      <c r="X2762" t="s">
        <v>54562</v>
      </c>
      <c r="Y2762" t="s">
        <v>54563</v>
      </c>
    </row>
    <row r="2763" spans="1:25" x14ac:dyDescent="0.3">
      <c r="A2763">
        <v>138100</v>
      </c>
      <c r="B2763" t="s">
        <v>54564</v>
      </c>
      <c r="C2763" t="s">
        <v>54565</v>
      </c>
      <c r="D2763" t="s">
        <v>54566</v>
      </c>
      <c r="E2763" t="s">
        <v>54567</v>
      </c>
      <c r="F2763" t="s">
        <v>54568</v>
      </c>
      <c r="G2763" t="s">
        <v>54569</v>
      </c>
      <c r="H2763" t="s">
        <v>54570</v>
      </c>
      <c r="I2763" t="s">
        <v>54571</v>
      </c>
      <c r="J2763" t="s">
        <v>54572</v>
      </c>
      <c r="K2763" t="s">
        <v>54573</v>
      </c>
      <c r="L2763" t="s">
        <v>54574</v>
      </c>
      <c r="M2763" t="s">
        <v>54575</v>
      </c>
      <c r="N2763" t="s">
        <v>54576</v>
      </c>
      <c r="O2763">
        <f>-590.496427876071 -79.7225434986898 -753.405878043103</f>
        <v>-1423.624849417864</v>
      </c>
      <c r="P2763">
        <f>-621.081847790285 -78.823005919631 -438.366357915118</f>
        <v>-1138.2712116250341</v>
      </c>
      <c r="Q2763">
        <f>-366.75949334806 -26.1104243848282 -424.816659157422</f>
        <v>-817.68657689031022</v>
      </c>
      <c r="R2763" t="s">
        <v>54577</v>
      </c>
      <c r="S2763" t="s">
        <v>54578</v>
      </c>
      <c r="T2763" t="s">
        <v>54579</v>
      </c>
      <c r="U2763" t="s">
        <v>54580</v>
      </c>
      <c r="V2763" t="s">
        <v>54581</v>
      </c>
      <c r="W2763" t="s">
        <v>54582</v>
      </c>
      <c r="X2763" t="s">
        <v>54583</v>
      </c>
      <c r="Y2763" t="s">
        <v>54584</v>
      </c>
    </row>
    <row r="2764" spans="1:25" x14ac:dyDescent="0.3">
      <c r="A2764">
        <v>138150</v>
      </c>
      <c r="B2764" t="s">
        <v>54585</v>
      </c>
      <c r="C2764" t="s">
        <v>54586</v>
      </c>
      <c r="D2764" t="s">
        <v>54587</v>
      </c>
      <c r="E2764" t="s">
        <v>54588</v>
      </c>
      <c r="F2764" t="s">
        <v>54589</v>
      </c>
      <c r="G2764" t="s">
        <v>54590</v>
      </c>
      <c r="H2764" t="s">
        <v>54591</v>
      </c>
      <c r="I2764" t="s">
        <v>54592</v>
      </c>
      <c r="J2764" t="s">
        <v>54593</v>
      </c>
      <c r="K2764" t="s">
        <v>54594</v>
      </c>
      <c r="L2764" t="s">
        <v>54595</v>
      </c>
      <c r="M2764" t="s">
        <v>54596</v>
      </c>
      <c r="N2764" t="s">
        <v>54597</v>
      </c>
      <c r="O2764">
        <f>-591.613596522246 -79.5124274134291 -752.402829846257</f>
        <v>-1423.528853781932</v>
      </c>
      <c r="P2764">
        <f>-621.802710182356 -76.731351612419 -437.335974973475</f>
        <v>-1135.87003676825</v>
      </c>
      <c r="Q2764">
        <f>-367.297711164067 -25.0604629039521 -423.215580317401</f>
        <v>-815.5737543854201</v>
      </c>
      <c r="R2764" t="s">
        <v>54598</v>
      </c>
      <c r="S2764" t="s">
        <v>54599</v>
      </c>
      <c r="T2764" t="s">
        <v>54600</v>
      </c>
      <c r="U2764" t="s">
        <v>54601</v>
      </c>
      <c r="V2764" t="s">
        <v>54602</v>
      </c>
      <c r="W2764" t="s">
        <v>54603</v>
      </c>
      <c r="X2764" t="s">
        <v>54604</v>
      </c>
      <c r="Y2764" t="s">
        <v>54605</v>
      </c>
    </row>
    <row r="2765" spans="1:25" x14ac:dyDescent="0.3">
      <c r="A2765">
        <v>138200</v>
      </c>
      <c r="B2765" t="s">
        <v>54606</v>
      </c>
      <c r="C2765" t="s">
        <v>54607</v>
      </c>
      <c r="D2765" t="s">
        <v>54608</v>
      </c>
      <c r="E2765" t="s">
        <v>54609</v>
      </c>
      <c r="F2765" t="s">
        <v>54610</v>
      </c>
      <c r="G2765" t="s">
        <v>54611</v>
      </c>
      <c r="H2765" t="s">
        <v>54612</v>
      </c>
      <c r="I2765" t="s">
        <v>54613</v>
      </c>
      <c r="J2765" t="s">
        <v>54614</v>
      </c>
      <c r="K2765" t="s">
        <v>54615</v>
      </c>
      <c r="L2765" t="s">
        <v>54616</v>
      </c>
      <c r="M2765" t="s">
        <v>54617</v>
      </c>
      <c r="N2765" t="s">
        <v>54618</v>
      </c>
      <c r="O2765">
        <f>-592.084860256621 -79.2582453573069 -751.846173725345</f>
        <v>-1423.1892793392731</v>
      </c>
      <c r="P2765">
        <f>-622.057398186321 -75.6633972905348 -436.767043644937</f>
        <v>-1134.4878391217928</v>
      </c>
      <c r="Q2765">
        <f>-367.517367658016 -24.2208247941804 -422.445465527179</f>
        <v>-814.18365797937531</v>
      </c>
      <c r="R2765" t="s">
        <v>54619</v>
      </c>
      <c r="S2765" t="s">
        <v>54620</v>
      </c>
      <c r="T2765" t="s">
        <v>54621</v>
      </c>
      <c r="U2765" t="s">
        <v>54622</v>
      </c>
      <c r="V2765" t="s">
        <v>54623</v>
      </c>
      <c r="W2765" t="s">
        <v>54624</v>
      </c>
      <c r="X2765" t="s">
        <v>54625</v>
      </c>
      <c r="Y2765" t="s">
        <v>54626</v>
      </c>
    </row>
    <row r="2766" spans="1:25" x14ac:dyDescent="0.3">
      <c r="A2766">
        <v>138250</v>
      </c>
      <c r="B2766" t="s">
        <v>54627</v>
      </c>
      <c r="C2766" t="s">
        <v>54628</v>
      </c>
      <c r="D2766" t="s">
        <v>54629</v>
      </c>
      <c r="E2766" t="s">
        <v>54630</v>
      </c>
      <c r="F2766" t="s">
        <v>54631</v>
      </c>
      <c r="G2766" t="s">
        <v>54632</v>
      </c>
      <c r="H2766" t="s">
        <v>54633</v>
      </c>
      <c r="I2766" t="s">
        <v>54634</v>
      </c>
      <c r="J2766" t="s">
        <v>54635</v>
      </c>
      <c r="K2766" t="s">
        <v>54636</v>
      </c>
      <c r="L2766" t="s">
        <v>54637</v>
      </c>
      <c r="M2766" t="s">
        <v>54638</v>
      </c>
      <c r="N2766" t="s">
        <v>54639</v>
      </c>
      <c r="O2766">
        <f>-593.468043985618 -78.7520263126583 -750.578124974633</f>
        <v>-1422.7981952729094</v>
      </c>
      <c r="P2766">
        <f>-622.635875790133 -73.8060504353403 -435.441703788162</f>
        <v>-1131.8836300136352</v>
      </c>
      <c r="Q2766">
        <f>-368.163276939687 -21.9756771669637 -421.321504555525</f>
        <v>-811.46045866217571</v>
      </c>
      <c r="R2766" t="s">
        <v>54640</v>
      </c>
      <c r="S2766" t="s">
        <v>54641</v>
      </c>
      <c r="T2766" t="s">
        <v>54642</v>
      </c>
      <c r="U2766" t="s">
        <v>54643</v>
      </c>
      <c r="V2766" t="s">
        <v>54644</v>
      </c>
      <c r="W2766" t="s">
        <v>54645</v>
      </c>
      <c r="X2766" t="s">
        <v>54646</v>
      </c>
      <c r="Y2766" t="s">
        <v>54647</v>
      </c>
    </row>
    <row r="2767" spans="1:25" x14ac:dyDescent="0.3">
      <c r="A2767">
        <v>138300</v>
      </c>
      <c r="B2767" t="s">
        <v>54648</v>
      </c>
      <c r="C2767" t="s">
        <v>54649</v>
      </c>
      <c r="D2767" t="s">
        <v>54650</v>
      </c>
      <c r="E2767" t="s">
        <v>54651</v>
      </c>
      <c r="F2767" t="s">
        <v>54652</v>
      </c>
      <c r="G2767" t="s">
        <v>54653</v>
      </c>
      <c r="H2767" t="s">
        <v>54654</v>
      </c>
      <c r="I2767" t="s">
        <v>54655</v>
      </c>
      <c r="J2767" t="s">
        <v>54656</v>
      </c>
      <c r="K2767" t="s">
        <v>54657</v>
      </c>
      <c r="L2767" t="s">
        <v>54658</v>
      </c>
      <c r="M2767" t="s">
        <v>54659</v>
      </c>
      <c r="N2767" t="s">
        <v>54660</v>
      </c>
      <c r="O2767">
        <f>-594.287157661433 -78.1469512704536 -750.048058932787</f>
        <v>-1422.4821678646736</v>
      </c>
      <c r="P2767">
        <f>-622.877323330178 -72.8661452140882 -434.86400009527</f>
        <v>-1130.6074686395361</v>
      </c>
      <c r="Q2767">
        <f>-368.47081253489 -20.6570380649097 -420.950259144279</f>
        <v>-810.07810974407869</v>
      </c>
      <c r="R2767" t="s">
        <v>54661</v>
      </c>
      <c r="S2767" t="s">
        <v>54662</v>
      </c>
      <c r="T2767" t="s">
        <v>54663</v>
      </c>
      <c r="U2767" t="s">
        <v>54664</v>
      </c>
      <c r="V2767" t="s">
        <v>54665</v>
      </c>
      <c r="W2767" t="s">
        <v>54666</v>
      </c>
      <c r="X2767" t="s">
        <v>54667</v>
      </c>
      <c r="Y2767" t="s">
        <v>54668</v>
      </c>
    </row>
    <row r="2768" spans="1:25" x14ac:dyDescent="0.3">
      <c r="A2768">
        <v>138350</v>
      </c>
      <c r="B2768" t="s">
        <v>54669</v>
      </c>
      <c r="C2768" t="s">
        <v>54670</v>
      </c>
      <c r="D2768" t="s">
        <v>54671</v>
      </c>
      <c r="E2768" t="s">
        <v>54672</v>
      </c>
      <c r="F2768" t="s">
        <v>54673</v>
      </c>
      <c r="G2768" t="s">
        <v>54674</v>
      </c>
      <c r="H2768" t="s">
        <v>54675</v>
      </c>
      <c r="I2768" t="s">
        <v>54676</v>
      </c>
      <c r="J2768" t="s">
        <v>54677</v>
      </c>
      <c r="K2768" t="s">
        <v>54678</v>
      </c>
      <c r="L2768" t="s">
        <v>54679</v>
      </c>
      <c r="M2768" t="s">
        <v>54680</v>
      </c>
      <c r="N2768" t="s">
        <v>54681</v>
      </c>
      <c r="O2768">
        <f>-596.252326283068 -77.0953444580293 -749.404176173163</f>
        <v>-1422.7518469142603</v>
      </c>
      <c r="P2768">
        <f>-623.228519644287 -71.414853480661 -434.085038350066</f>
        <v>-1128.7284114750139</v>
      </c>
      <c r="Q2768">
        <f>-368.846063929806 -18.9430107582545 -420.730962365671</f>
        <v>-808.52003705373158</v>
      </c>
      <c r="R2768" t="s">
        <v>54682</v>
      </c>
      <c r="S2768" t="s">
        <v>54683</v>
      </c>
      <c r="T2768" t="s">
        <v>54684</v>
      </c>
      <c r="U2768" t="s">
        <v>54685</v>
      </c>
      <c r="V2768" t="s">
        <v>54686</v>
      </c>
      <c r="W2768" t="s">
        <v>54687</v>
      </c>
      <c r="X2768" t="s">
        <v>54688</v>
      </c>
      <c r="Y2768" t="s">
        <v>54689</v>
      </c>
    </row>
    <row r="2769" spans="1:25" x14ac:dyDescent="0.3">
      <c r="A2769">
        <v>138400</v>
      </c>
      <c r="B2769" t="s">
        <v>54690</v>
      </c>
      <c r="C2769" t="s">
        <v>54691</v>
      </c>
      <c r="D2769" t="s">
        <v>54692</v>
      </c>
      <c r="E2769" t="s">
        <v>54693</v>
      </c>
      <c r="F2769" t="s">
        <v>54694</v>
      </c>
      <c r="G2769" t="s">
        <v>54695</v>
      </c>
      <c r="H2769" t="s">
        <v>54696</v>
      </c>
      <c r="I2769" t="s">
        <v>54697</v>
      </c>
      <c r="J2769" t="s">
        <v>54698</v>
      </c>
      <c r="K2769" t="s">
        <v>54699</v>
      </c>
      <c r="L2769" t="s">
        <v>54700</v>
      </c>
      <c r="M2769" t="s">
        <v>54701</v>
      </c>
      <c r="N2769" t="s">
        <v>54702</v>
      </c>
      <c r="O2769">
        <f>-597.187422604023 -76.5556669601072 -749.149355396312</f>
        <v>-1422.8924449604424</v>
      </c>
      <c r="P2769">
        <f>-623.442849727623 -71.0801220207567 -433.765728203869</f>
        <v>-1128.2886999522486</v>
      </c>
      <c r="Q2769">
        <f>-369.042543652765 -18.5604314680122 -420.951041125728</f>
        <v>-808.55401624650517</v>
      </c>
      <c r="R2769" t="s">
        <v>54703</v>
      </c>
      <c r="S2769" t="s">
        <v>54704</v>
      </c>
      <c r="T2769" t="s">
        <v>54705</v>
      </c>
      <c r="U2769" t="s">
        <v>54706</v>
      </c>
      <c r="V2769" t="s">
        <v>54707</v>
      </c>
      <c r="W2769" t="s">
        <v>54708</v>
      </c>
      <c r="X2769" t="s">
        <v>54709</v>
      </c>
      <c r="Y2769" t="s">
        <v>54710</v>
      </c>
    </row>
    <row r="2770" spans="1:25" x14ac:dyDescent="0.3">
      <c r="A2770">
        <v>138450</v>
      </c>
      <c r="B2770" t="s">
        <v>54711</v>
      </c>
      <c r="C2770" t="s">
        <v>54712</v>
      </c>
      <c r="D2770" t="s">
        <v>54713</v>
      </c>
      <c r="E2770" t="s">
        <v>54714</v>
      </c>
      <c r="F2770" t="s">
        <v>54715</v>
      </c>
      <c r="G2770" t="s">
        <v>54716</v>
      </c>
      <c r="H2770" t="s">
        <v>54717</v>
      </c>
      <c r="I2770" t="s">
        <v>54718</v>
      </c>
      <c r="J2770" t="s">
        <v>54719</v>
      </c>
      <c r="K2770" t="s">
        <v>54720</v>
      </c>
      <c r="L2770" t="s">
        <v>54721</v>
      </c>
      <c r="M2770" t="s">
        <v>54722</v>
      </c>
      <c r="N2770" t="s">
        <v>54723</v>
      </c>
      <c r="O2770">
        <f>-599.872785118312 -75.9096692694418 -748.469672376716</f>
        <v>-1424.2521267644697</v>
      </c>
      <c r="P2770">
        <f>-624.792570612076 -70.5184688368242 -432.976219792734</f>
        <v>-1128.2872592416343</v>
      </c>
      <c r="Q2770">
        <f>-370.238447298629 -18.4243850488657 -421.554514290659</f>
        <v>-810.21734663815369</v>
      </c>
      <c r="R2770" t="s">
        <v>54724</v>
      </c>
      <c r="S2770" t="s">
        <v>54725</v>
      </c>
      <c r="T2770" t="s">
        <v>54726</v>
      </c>
      <c r="U2770" t="s">
        <v>54727</v>
      </c>
      <c r="V2770" t="s">
        <v>54728</v>
      </c>
      <c r="W2770" t="s">
        <v>54729</v>
      </c>
      <c r="X2770" t="s">
        <v>54730</v>
      </c>
      <c r="Y2770" t="s">
        <v>54731</v>
      </c>
    </row>
    <row r="2771" spans="1:25" x14ac:dyDescent="0.3">
      <c r="A2771">
        <v>138500</v>
      </c>
      <c r="B2771" t="s">
        <v>54732</v>
      </c>
      <c r="C2771" t="s">
        <v>54733</v>
      </c>
      <c r="D2771" t="s">
        <v>54734</v>
      </c>
      <c r="E2771" t="s">
        <v>54735</v>
      </c>
      <c r="F2771" t="s">
        <v>54736</v>
      </c>
      <c r="G2771" t="s">
        <v>54737</v>
      </c>
      <c r="H2771" t="s">
        <v>54738</v>
      </c>
      <c r="I2771" t="s">
        <v>54739</v>
      </c>
      <c r="J2771" t="s">
        <v>54740</v>
      </c>
      <c r="K2771" t="s">
        <v>54741</v>
      </c>
      <c r="L2771" t="s">
        <v>54742</v>
      </c>
      <c r="M2771" t="s">
        <v>54743</v>
      </c>
      <c r="N2771" t="s">
        <v>54744</v>
      </c>
      <c r="O2771">
        <f>-601.01072770622 -75.5604512195304 -748.082276947076</f>
        <v>-1424.6534558728263</v>
      </c>
      <c r="P2771">
        <f>-625.105039282781 -70.1559996474904 -432.524889914075</f>
        <v>-1127.7859288443465</v>
      </c>
      <c r="Q2771">
        <f>-370.400364375295 -18.69801834273 -421.586650456199</f>
        <v>-810.68503317422392</v>
      </c>
      <c r="R2771" t="s">
        <v>54745</v>
      </c>
      <c r="S2771" t="s">
        <v>54746</v>
      </c>
      <c r="T2771" t="s">
        <v>54747</v>
      </c>
      <c r="U2771" t="s">
        <v>54748</v>
      </c>
      <c r="V2771" t="s">
        <v>54749</v>
      </c>
      <c r="W2771" t="s">
        <v>54750</v>
      </c>
      <c r="X2771" t="s">
        <v>54751</v>
      </c>
      <c r="Y2771" t="s">
        <v>54752</v>
      </c>
    </row>
    <row r="2772" spans="1:25" x14ac:dyDescent="0.3">
      <c r="A2772">
        <v>138550</v>
      </c>
      <c r="B2772" t="s">
        <v>54753</v>
      </c>
      <c r="C2772" t="s">
        <v>54754</v>
      </c>
      <c r="D2772" t="s">
        <v>54755</v>
      </c>
      <c r="E2772" t="s">
        <v>54756</v>
      </c>
      <c r="F2772" t="s">
        <v>54757</v>
      </c>
      <c r="G2772" t="s">
        <v>54758</v>
      </c>
      <c r="H2772" t="s">
        <v>54759</v>
      </c>
      <c r="I2772" t="s">
        <v>54760</v>
      </c>
      <c r="J2772" t="s">
        <v>54761</v>
      </c>
      <c r="K2772" t="s">
        <v>54762</v>
      </c>
      <c r="L2772" t="s">
        <v>54763</v>
      </c>
      <c r="M2772" t="s">
        <v>54764</v>
      </c>
      <c r="N2772" t="s">
        <v>54765</v>
      </c>
      <c r="O2772">
        <f>-602.252416247421 -74.0345256375258 -747.849005707291</f>
        <v>-1424.1359475922377</v>
      </c>
      <c r="P2772">
        <f>-625.426649687411 -68.4599325702505 -432.225656383939</f>
        <v>-1126.1122386416005</v>
      </c>
      <c r="Q2772">
        <f>-370.39702233964 -18.4850234875402 -422.005427951349</f>
        <v>-810.88747377852928</v>
      </c>
      <c r="R2772" t="s">
        <v>54766</v>
      </c>
      <c r="S2772" t="s">
        <v>54767</v>
      </c>
      <c r="T2772" t="s">
        <v>54768</v>
      </c>
      <c r="U2772" t="s">
        <v>54769</v>
      </c>
      <c r="V2772" t="s">
        <v>54770</v>
      </c>
      <c r="W2772" t="s">
        <v>54771</v>
      </c>
      <c r="X2772" t="s">
        <v>54772</v>
      </c>
      <c r="Y2772" t="s">
        <v>54773</v>
      </c>
    </row>
    <row r="2773" spans="1:25" x14ac:dyDescent="0.3">
      <c r="A2773">
        <v>138600</v>
      </c>
      <c r="B2773" t="s">
        <v>54774</v>
      </c>
      <c r="C2773" t="s">
        <v>54775</v>
      </c>
      <c r="D2773" t="s">
        <v>54776</v>
      </c>
      <c r="E2773" t="s">
        <v>54777</v>
      </c>
      <c r="F2773" t="s">
        <v>54778</v>
      </c>
      <c r="G2773" t="s">
        <v>54779</v>
      </c>
      <c r="H2773" t="s">
        <v>54780</v>
      </c>
      <c r="I2773" t="s">
        <v>54781</v>
      </c>
      <c r="J2773" t="s">
        <v>54782</v>
      </c>
      <c r="K2773" t="s">
        <v>54783</v>
      </c>
      <c r="L2773" t="s">
        <v>54784</v>
      </c>
      <c r="M2773" t="s">
        <v>54785</v>
      </c>
      <c r="N2773" t="s">
        <v>54786</v>
      </c>
      <c r="O2773">
        <f>-603.007096557562 -73.3895631405757 -747.667082279381</f>
        <v>-1424.0637419775187</v>
      </c>
      <c r="P2773">
        <f>-625.945177519164 -67.7425457583053 -432.027850340518</f>
        <v>-1125.7155736179873</v>
      </c>
      <c r="Q2773">
        <f>-370.714958102501 -18.84804196354 -421.592033074193</f>
        <v>-811.15503314023408</v>
      </c>
      <c r="R2773" t="s">
        <v>54787</v>
      </c>
      <c r="S2773" t="s">
        <v>54788</v>
      </c>
      <c r="T2773" t="s">
        <v>54789</v>
      </c>
      <c r="U2773" t="s">
        <v>54790</v>
      </c>
      <c r="V2773" t="s">
        <v>54791</v>
      </c>
      <c r="W2773" t="s">
        <v>54792</v>
      </c>
      <c r="X2773" t="s">
        <v>54793</v>
      </c>
      <c r="Y2773" t="s">
        <v>54794</v>
      </c>
    </row>
    <row r="2774" spans="1:25" x14ac:dyDescent="0.3">
      <c r="A2774">
        <v>138650</v>
      </c>
      <c r="B2774" t="s">
        <v>54795</v>
      </c>
      <c r="C2774" t="s">
        <v>54796</v>
      </c>
      <c r="D2774" t="s">
        <v>54797</v>
      </c>
      <c r="E2774" t="s">
        <v>54798</v>
      </c>
      <c r="F2774" t="s">
        <v>54799</v>
      </c>
      <c r="G2774" t="s">
        <v>54800</v>
      </c>
      <c r="H2774" t="s">
        <v>54801</v>
      </c>
      <c r="I2774" t="s">
        <v>54802</v>
      </c>
      <c r="J2774" t="s">
        <v>54803</v>
      </c>
      <c r="K2774" t="s">
        <v>54804</v>
      </c>
      <c r="L2774" t="s">
        <v>54805</v>
      </c>
      <c r="M2774" t="s">
        <v>54806</v>
      </c>
      <c r="N2774" t="s">
        <v>54807</v>
      </c>
      <c r="O2774">
        <f>-603.253139735118 -72.927174466617 -747.709359544043</f>
        <v>-1423.8896737457781</v>
      </c>
      <c r="P2774">
        <f>-626.598964559579 -66.8695106661169 -432.107690765385</f>
        <v>-1125.5761659910809</v>
      </c>
      <c r="Q2774">
        <f>-371.121018331164 -19.5464389196602 -420.549868003951</f>
        <v>-811.21732525477523</v>
      </c>
      <c r="R2774" t="s">
        <v>54808</v>
      </c>
      <c r="S2774" t="s">
        <v>54809</v>
      </c>
      <c r="T2774" t="s">
        <v>54810</v>
      </c>
      <c r="U2774" t="s">
        <v>54811</v>
      </c>
      <c r="V2774" t="s">
        <v>54812</v>
      </c>
      <c r="W2774" t="s">
        <v>54813</v>
      </c>
      <c r="X2774" t="s">
        <v>54814</v>
      </c>
      <c r="Y2774" t="s">
        <v>54815</v>
      </c>
    </row>
    <row r="2775" spans="1:25" x14ac:dyDescent="0.3">
      <c r="A2775">
        <v>138700</v>
      </c>
      <c r="B2775" t="s">
        <v>54816</v>
      </c>
      <c r="C2775" t="s">
        <v>54817</v>
      </c>
      <c r="D2775" t="s">
        <v>54818</v>
      </c>
      <c r="E2775" t="s">
        <v>54819</v>
      </c>
      <c r="F2775" t="s">
        <v>54820</v>
      </c>
      <c r="G2775" t="s">
        <v>54821</v>
      </c>
      <c r="H2775" t="s">
        <v>54822</v>
      </c>
      <c r="I2775" t="s">
        <v>54823</v>
      </c>
      <c r="J2775" t="s">
        <v>54824</v>
      </c>
      <c r="K2775" t="s">
        <v>54825</v>
      </c>
      <c r="L2775" t="s">
        <v>54826</v>
      </c>
      <c r="M2775" t="s">
        <v>54827</v>
      </c>
      <c r="N2775" t="s">
        <v>54828</v>
      </c>
      <c r="O2775">
        <f>-603.812980976095 -72.9946583411219 -747.662003105294</f>
        <v>-1424.4696424225108</v>
      </c>
      <c r="P2775">
        <f>-627.429577388489 -66.9903636153743 -432.079382242197</f>
        <v>-1126.4993232460604</v>
      </c>
      <c r="Q2775">
        <f>-371.88358505197 -20.1818273724134 -419.943966931581</f>
        <v>-812.00937935596437</v>
      </c>
      <c r="R2775" t="s">
        <v>54829</v>
      </c>
      <c r="S2775" t="s">
        <v>54830</v>
      </c>
      <c r="T2775" t="s">
        <v>54831</v>
      </c>
      <c r="U2775" t="s">
        <v>54832</v>
      </c>
      <c r="V2775" t="s">
        <v>54833</v>
      </c>
      <c r="W2775" t="s">
        <v>54834</v>
      </c>
      <c r="X2775" t="s">
        <v>54835</v>
      </c>
      <c r="Y2775" t="s">
        <v>54836</v>
      </c>
    </row>
    <row r="2776" spans="1:25" x14ac:dyDescent="0.3">
      <c r="A2776">
        <v>138750</v>
      </c>
      <c r="B2776" t="s">
        <v>54837</v>
      </c>
      <c r="C2776" t="s">
        <v>54838</v>
      </c>
      <c r="D2776" t="s">
        <v>54839</v>
      </c>
      <c r="E2776" t="s">
        <v>54840</v>
      </c>
      <c r="F2776" t="s">
        <v>54841</v>
      </c>
      <c r="G2776" t="s">
        <v>54842</v>
      </c>
      <c r="H2776" t="s">
        <v>54843</v>
      </c>
      <c r="I2776" t="s">
        <v>54844</v>
      </c>
      <c r="J2776" t="s">
        <v>54845</v>
      </c>
      <c r="K2776" t="s">
        <v>54846</v>
      </c>
      <c r="L2776" t="s">
        <v>54847</v>
      </c>
      <c r="M2776" t="s">
        <v>54848</v>
      </c>
      <c r="N2776" t="s">
        <v>54849</v>
      </c>
      <c r="O2776">
        <f>-603.459763339053 -73.176570672973 -747.566539263165</f>
        <v>-1424.202873275191</v>
      </c>
      <c r="P2776">
        <f>-627.452274388937 -66.2810837173469 -432.030537319744</f>
        <v>-1125.7638954260278</v>
      </c>
      <c r="Q2776">
        <f>-371.680084985083 -20.9093186999575 -419.223078983174</f>
        <v>-811.81248266821444</v>
      </c>
      <c r="R2776" t="s">
        <v>54850</v>
      </c>
      <c r="S2776" t="s">
        <v>54851</v>
      </c>
      <c r="T2776" t="s">
        <v>54852</v>
      </c>
      <c r="U2776" t="s">
        <v>54853</v>
      </c>
      <c r="V2776" t="s">
        <v>54854</v>
      </c>
      <c r="W2776" t="s">
        <v>54855</v>
      </c>
      <c r="X2776" t="s">
        <v>54856</v>
      </c>
      <c r="Y2776" t="s">
        <v>54857</v>
      </c>
    </row>
    <row r="2777" spans="1:25" x14ac:dyDescent="0.3">
      <c r="A2777">
        <v>138800</v>
      </c>
      <c r="B2777" t="s">
        <v>54858</v>
      </c>
      <c r="C2777" t="s">
        <v>54859</v>
      </c>
      <c r="D2777" t="s">
        <v>54860</v>
      </c>
      <c r="E2777" t="s">
        <v>54861</v>
      </c>
      <c r="F2777" t="s">
        <v>54862</v>
      </c>
      <c r="G2777" t="s">
        <v>54863</v>
      </c>
      <c r="H2777" t="s">
        <v>54864</v>
      </c>
      <c r="I2777" t="s">
        <v>54865</v>
      </c>
      <c r="J2777" t="s">
        <v>54866</v>
      </c>
      <c r="K2777" t="s">
        <v>54867</v>
      </c>
      <c r="L2777" t="s">
        <v>54868</v>
      </c>
      <c r="M2777" t="s">
        <v>54869</v>
      </c>
      <c r="N2777" t="s">
        <v>54870</v>
      </c>
      <c r="O2777">
        <f>-602.849153638767 -73.214286946867 -747.506315177095</f>
        <v>-1423.5697557627291</v>
      </c>
      <c r="P2777">
        <f>-627.314747832014 -65.844900778489 -432.017400635085</f>
        <v>-1125.177049245588</v>
      </c>
      <c r="Q2777">
        <f>-371.455013738961 -21.075884767127 -418.842128815685</f>
        <v>-811.37302732177295</v>
      </c>
      <c r="R2777" t="s">
        <v>54871</v>
      </c>
      <c r="S2777" t="s">
        <v>54872</v>
      </c>
      <c r="T2777" t="s">
        <v>54873</v>
      </c>
      <c r="U2777" t="s">
        <v>54874</v>
      </c>
      <c r="V2777" t="s">
        <v>54875</v>
      </c>
      <c r="W2777" t="s">
        <v>54876</v>
      </c>
      <c r="X2777" t="s">
        <v>54877</v>
      </c>
      <c r="Y2777" t="s">
        <v>54878</v>
      </c>
    </row>
    <row r="2778" spans="1:25" x14ac:dyDescent="0.3">
      <c r="A2778">
        <v>138850</v>
      </c>
      <c r="B2778" t="s">
        <v>54879</v>
      </c>
      <c r="C2778" t="s">
        <v>54880</v>
      </c>
      <c r="D2778" t="s">
        <v>54881</v>
      </c>
      <c r="E2778" t="s">
        <v>54882</v>
      </c>
      <c r="F2778" t="s">
        <v>54883</v>
      </c>
      <c r="G2778" t="s">
        <v>54884</v>
      </c>
      <c r="H2778" t="s">
        <v>54885</v>
      </c>
      <c r="I2778" t="s">
        <v>54886</v>
      </c>
      <c r="J2778" t="s">
        <v>54887</v>
      </c>
      <c r="K2778" t="s">
        <v>54888</v>
      </c>
      <c r="L2778" t="s">
        <v>54889</v>
      </c>
      <c r="M2778" t="s">
        <v>54890</v>
      </c>
      <c r="N2778" t="s">
        <v>54891</v>
      </c>
      <c r="O2778">
        <f>-600.876665572214 -73.4625332910248 -747.515541029128</f>
        <v>-1421.854739892367</v>
      </c>
      <c r="P2778">
        <f>-626.882116171652 -65.7163381472448 -432.1588149632</f>
        <v>-1124.7572692820968</v>
      </c>
      <c r="Q2778">
        <f>-371.048445380412 -21.3367177779058 -417.27102069562</f>
        <v>-809.65618385393782</v>
      </c>
      <c r="R2778" t="s">
        <v>54892</v>
      </c>
      <c r="S2778" t="s">
        <v>54893</v>
      </c>
      <c r="T2778" t="s">
        <v>54894</v>
      </c>
      <c r="U2778" t="s">
        <v>54895</v>
      </c>
      <c r="V2778" t="s">
        <v>54896</v>
      </c>
      <c r="W2778" t="s">
        <v>54897</v>
      </c>
      <c r="X2778" t="s">
        <v>54898</v>
      </c>
      <c r="Y2778" t="s">
        <v>54899</v>
      </c>
    </row>
    <row r="2779" spans="1:25" x14ac:dyDescent="0.3">
      <c r="A2779">
        <v>138900</v>
      </c>
      <c r="B2779" t="s">
        <v>54900</v>
      </c>
      <c r="C2779" t="s">
        <v>54901</v>
      </c>
      <c r="D2779" t="s">
        <v>54902</v>
      </c>
      <c r="E2779" t="s">
        <v>54903</v>
      </c>
      <c r="F2779" t="s">
        <v>54904</v>
      </c>
      <c r="G2779" t="s">
        <v>54905</v>
      </c>
      <c r="H2779" t="s">
        <v>54906</v>
      </c>
      <c r="I2779" t="s">
        <v>54907</v>
      </c>
      <c r="J2779" t="s">
        <v>54908</v>
      </c>
      <c r="K2779" t="s">
        <v>54909</v>
      </c>
      <c r="L2779" t="s">
        <v>54910</v>
      </c>
      <c r="M2779" t="s">
        <v>54911</v>
      </c>
      <c r="N2779" t="s">
        <v>54912</v>
      </c>
      <c r="O2779">
        <f>-599.457974561579 -73.7864285292246 -747.486219358522</f>
        <v>-1420.7306224493257</v>
      </c>
      <c r="P2779">
        <f>-626.441238294338 -65.9773652853689 -432.213177290599</f>
        <v>-1124.6317808703059</v>
      </c>
      <c r="Q2779">
        <f>-370.742737509715 -21.2054761420326 -416.22009798401</f>
        <v>-808.16831163575762</v>
      </c>
      <c r="R2779" t="s">
        <v>54913</v>
      </c>
      <c r="S2779" t="s">
        <v>54914</v>
      </c>
      <c r="T2779" t="s">
        <v>54915</v>
      </c>
      <c r="U2779" t="s">
        <v>54916</v>
      </c>
      <c r="V2779" t="s">
        <v>54917</v>
      </c>
      <c r="W2779" t="s">
        <v>54918</v>
      </c>
      <c r="X2779" t="s">
        <v>54919</v>
      </c>
      <c r="Y2779" t="s">
        <v>54920</v>
      </c>
    </row>
    <row r="2780" spans="1:25" x14ac:dyDescent="0.3">
      <c r="A2780">
        <v>138950</v>
      </c>
      <c r="B2780" t="s">
        <v>54921</v>
      </c>
      <c r="C2780" t="s">
        <v>54922</v>
      </c>
      <c r="D2780" t="s">
        <v>54923</v>
      </c>
      <c r="E2780" t="s">
        <v>54924</v>
      </c>
      <c r="F2780" t="s">
        <v>54925</v>
      </c>
      <c r="G2780" t="s">
        <v>54926</v>
      </c>
      <c r="H2780" t="s">
        <v>54927</v>
      </c>
      <c r="I2780" t="s">
        <v>54928</v>
      </c>
      <c r="J2780" t="s">
        <v>54929</v>
      </c>
      <c r="K2780" t="s">
        <v>54930</v>
      </c>
      <c r="L2780" t="s">
        <v>54931</v>
      </c>
      <c r="M2780" t="s">
        <v>54932</v>
      </c>
      <c r="N2780" t="s">
        <v>54933</v>
      </c>
      <c r="O2780">
        <f>-597.523774604077 -74.9508243709217 -747.471253374176</f>
        <v>-1419.9458523491746</v>
      </c>
      <c r="P2780">
        <f>-626.192029519072 -66.7192834576578 -432.357599482652</f>
        <v>-1125.2689124593817</v>
      </c>
      <c r="Q2780">
        <f>-370.711278442326 -21.4232225488219 -414.471378984324</f>
        <v>-806.60587997547191</v>
      </c>
      <c r="R2780" t="s">
        <v>54934</v>
      </c>
      <c r="S2780" t="s">
        <v>54935</v>
      </c>
      <c r="T2780" t="s">
        <v>54936</v>
      </c>
      <c r="U2780" t="s">
        <v>54937</v>
      </c>
      <c r="V2780" t="s">
        <v>54938</v>
      </c>
      <c r="W2780" t="s">
        <v>54939</v>
      </c>
      <c r="X2780" t="s">
        <v>54940</v>
      </c>
      <c r="Y2780" t="s">
        <v>54941</v>
      </c>
    </row>
    <row r="2781" spans="1:25" x14ac:dyDescent="0.3">
      <c r="A2781">
        <v>139000</v>
      </c>
      <c r="B2781" t="s">
        <v>54942</v>
      </c>
      <c r="C2781" t="s">
        <v>54943</v>
      </c>
      <c r="D2781" t="s">
        <v>54944</v>
      </c>
      <c r="E2781" t="s">
        <v>54945</v>
      </c>
      <c r="F2781" t="s">
        <v>54946</v>
      </c>
      <c r="G2781" t="s">
        <v>54947</v>
      </c>
      <c r="H2781" t="s">
        <v>54948</v>
      </c>
      <c r="I2781" t="s">
        <v>54949</v>
      </c>
      <c r="J2781" t="s">
        <v>54950</v>
      </c>
      <c r="K2781" t="s">
        <v>54951</v>
      </c>
      <c r="L2781" t="s">
        <v>54952</v>
      </c>
      <c r="M2781" t="s">
        <v>54953</v>
      </c>
      <c r="N2781" t="s">
        <v>54954</v>
      </c>
      <c r="O2781">
        <f>-596.162971479926 -75.6862791571337 -747.629750256874</f>
        <v>-1419.4790008939335</v>
      </c>
      <c r="P2781">
        <f>-625.402403500232 -66.8878518978638 -432.583896569121</f>
        <v>-1124.8741519672169</v>
      </c>
      <c r="Q2781">
        <f>-369.953886296779 -21.6232195189285 -414.165516269831</f>
        <v>-805.74262208553853</v>
      </c>
      <c r="R2781" t="s">
        <v>54955</v>
      </c>
      <c r="S2781" t="s">
        <v>54956</v>
      </c>
      <c r="T2781" t="s">
        <v>54957</v>
      </c>
      <c r="U2781" t="s">
        <v>54958</v>
      </c>
      <c r="V2781" t="s">
        <v>54959</v>
      </c>
      <c r="W2781" t="s">
        <v>54960</v>
      </c>
      <c r="X2781" t="s">
        <v>54961</v>
      </c>
      <c r="Y2781" t="s">
        <v>54962</v>
      </c>
    </row>
    <row r="2782" spans="1:25" x14ac:dyDescent="0.3">
      <c r="A2782">
        <v>139050</v>
      </c>
      <c r="B2782" t="s">
        <v>54963</v>
      </c>
      <c r="C2782" t="s">
        <v>54964</v>
      </c>
      <c r="D2782" t="s">
        <v>54965</v>
      </c>
      <c r="E2782" t="s">
        <v>54966</v>
      </c>
      <c r="F2782" t="s">
        <v>54967</v>
      </c>
      <c r="G2782" t="s">
        <v>54968</v>
      </c>
      <c r="H2782" t="s">
        <v>54969</v>
      </c>
      <c r="I2782" t="s">
        <v>54970</v>
      </c>
      <c r="J2782" t="s">
        <v>54971</v>
      </c>
      <c r="K2782" t="s">
        <v>54972</v>
      </c>
      <c r="L2782" t="s">
        <v>54973</v>
      </c>
      <c r="M2782" t="s">
        <v>54974</v>
      </c>
      <c r="N2782" t="s">
        <v>54975</v>
      </c>
      <c r="O2782">
        <f>-594.550408666194 -77.2046516498584 -747.888138904076</f>
        <v>-1419.6431992201283</v>
      </c>
      <c r="P2782">
        <f>-624.109211457672 -67.6093218161731 -432.895542426388</f>
        <v>-1124.6140757002331</v>
      </c>
      <c r="Q2782">
        <f>-368.687835678131 -22.2346910624288 -414.3719905274</f>
        <v>-805.2945172679598</v>
      </c>
      <c r="R2782" t="s">
        <v>54976</v>
      </c>
      <c r="S2782" t="s">
        <v>54977</v>
      </c>
      <c r="T2782" t="s">
        <v>54978</v>
      </c>
      <c r="U2782" t="s">
        <v>54979</v>
      </c>
      <c r="V2782" t="s">
        <v>54980</v>
      </c>
      <c r="W2782" t="s">
        <v>54981</v>
      </c>
      <c r="X2782" t="s">
        <v>54982</v>
      </c>
      <c r="Y2782" t="s">
        <v>54983</v>
      </c>
    </row>
    <row r="2783" spans="1:25" x14ac:dyDescent="0.3">
      <c r="A2783">
        <v>139100</v>
      </c>
      <c r="B2783" t="s">
        <v>54984</v>
      </c>
      <c r="C2783" t="s">
        <v>54985</v>
      </c>
      <c r="D2783" t="s">
        <v>54986</v>
      </c>
      <c r="E2783" t="s">
        <v>54987</v>
      </c>
      <c r="F2783" t="s">
        <v>54988</v>
      </c>
      <c r="G2783" t="s">
        <v>54989</v>
      </c>
      <c r="H2783" t="s">
        <v>54990</v>
      </c>
      <c r="I2783" t="s">
        <v>54991</v>
      </c>
      <c r="J2783" t="s">
        <v>54992</v>
      </c>
      <c r="K2783" t="s">
        <v>54993</v>
      </c>
      <c r="L2783" t="s">
        <v>54994</v>
      </c>
      <c r="M2783" t="s">
        <v>54995</v>
      </c>
      <c r="N2783" t="s">
        <v>54996</v>
      </c>
      <c r="O2783">
        <f>-594.017795628045 -78.0336082704652 -747.88089273052</f>
        <v>-1419.9322966290301</v>
      </c>
      <c r="P2783">
        <f>-623.268842237895 -68.4267934057248 -432.859743696019</f>
        <v>-1124.5553793396389</v>
      </c>
      <c r="Q2783">
        <f>-367.82072102883 -23.2103030232204 -414.319092778859</f>
        <v>-805.35011683090943</v>
      </c>
      <c r="R2783" t="s">
        <v>54997</v>
      </c>
      <c r="S2783" t="s">
        <v>54998</v>
      </c>
      <c r="T2783" t="s">
        <v>54999</v>
      </c>
      <c r="U2783" t="s">
        <v>55000</v>
      </c>
      <c r="V2783" t="s">
        <v>55001</v>
      </c>
      <c r="W2783" t="s">
        <v>55002</v>
      </c>
      <c r="X2783" t="s">
        <v>55003</v>
      </c>
      <c r="Y2783" t="s">
        <v>55004</v>
      </c>
    </row>
    <row r="2784" spans="1:25" x14ac:dyDescent="0.3">
      <c r="A2784">
        <v>139150</v>
      </c>
      <c r="B2784" t="s">
        <v>55005</v>
      </c>
      <c r="C2784" t="s">
        <v>55006</v>
      </c>
      <c r="D2784" t="s">
        <v>55007</v>
      </c>
      <c r="E2784" t="s">
        <v>55008</v>
      </c>
      <c r="F2784" t="s">
        <v>55009</v>
      </c>
      <c r="G2784" t="s">
        <v>55010</v>
      </c>
      <c r="H2784" t="s">
        <v>55011</v>
      </c>
      <c r="I2784" t="s">
        <v>55012</v>
      </c>
      <c r="J2784" t="s">
        <v>55013</v>
      </c>
      <c r="K2784" t="s">
        <v>55014</v>
      </c>
      <c r="L2784" t="s">
        <v>55015</v>
      </c>
      <c r="M2784" t="s">
        <v>55016</v>
      </c>
      <c r="N2784" t="s">
        <v>55017</v>
      </c>
      <c r="O2784">
        <f>-592.903850616417 -78.9517390483409 -747.630681662355</f>
        <v>-1419.4862713271127</v>
      </c>
      <c r="P2784">
        <f>-622.809517188624 -69.6481971771771 -432.661971665729</f>
        <v>-1125.1196860315301</v>
      </c>
      <c r="Q2784">
        <f>-367.356726642383 -24.5255853233384 -413.957424270361</f>
        <v>-805.83973623608244</v>
      </c>
      <c r="R2784" t="s">
        <v>55018</v>
      </c>
      <c r="S2784" t="s">
        <v>55019</v>
      </c>
      <c r="T2784" t="s">
        <v>55020</v>
      </c>
      <c r="U2784" t="s">
        <v>55021</v>
      </c>
      <c r="V2784" t="s">
        <v>55022</v>
      </c>
      <c r="W2784" t="s">
        <v>55023</v>
      </c>
      <c r="X2784" t="s">
        <v>55024</v>
      </c>
      <c r="Y2784" t="s">
        <v>55025</v>
      </c>
    </row>
    <row r="2785" spans="1:25" x14ac:dyDescent="0.3">
      <c r="A2785">
        <v>139200</v>
      </c>
      <c r="B2785" t="s">
        <v>55026</v>
      </c>
      <c r="C2785" t="s">
        <v>55027</v>
      </c>
      <c r="D2785" t="s">
        <v>55028</v>
      </c>
      <c r="E2785" t="s">
        <v>55029</v>
      </c>
      <c r="F2785" t="s">
        <v>55030</v>
      </c>
      <c r="G2785" t="s">
        <v>55031</v>
      </c>
      <c r="H2785" t="s">
        <v>55032</v>
      </c>
      <c r="I2785" t="s">
        <v>55033</v>
      </c>
      <c r="J2785" t="s">
        <v>55034</v>
      </c>
      <c r="K2785" t="s">
        <v>55035</v>
      </c>
      <c r="L2785" t="s">
        <v>55036</v>
      </c>
      <c r="M2785" t="s">
        <v>55037</v>
      </c>
      <c r="N2785" t="s">
        <v>55038</v>
      </c>
      <c r="O2785">
        <f>-591.649307637049 -79.1833974353017 -747.567819392628</f>
        <v>-1418.4005244649788</v>
      </c>
      <c r="P2785">
        <f>-622.352098326503 -69.8848901771369 -432.675720069771</f>
        <v>-1124.9127085734108</v>
      </c>
      <c r="Q2785">
        <f>-366.948451916607 -24.6347292520082 -413.611768248347</f>
        <v>-805.19494941696212</v>
      </c>
      <c r="R2785" t="s">
        <v>55039</v>
      </c>
      <c r="S2785" t="s">
        <v>55040</v>
      </c>
      <c r="T2785" t="s">
        <v>55041</v>
      </c>
      <c r="U2785" t="s">
        <v>55042</v>
      </c>
      <c r="V2785" t="s">
        <v>55043</v>
      </c>
      <c r="W2785" t="s">
        <v>55044</v>
      </c>
      <c r="X2785" t="s">
        <v>55045</v>
      </c>
      <c r="Y2785" t="s">
        <v>55046</v>
      </c>
    </row>
    <row r="2786" spans="1:25" x14ac:dyDescent="0.3">
      <c r="A2786">
        <v>139250</v>
      </c>
      <c r="B2786" t="s">
        <v>55047</v>
      </c>
      <c r="C2786" t="s">
        <v>55048</v>
      </c>
      <c r="D2786" t="s">
        <v>55049</v>
      </c>
      <c r="E2786" t="s">
        <v>55050</v>
      </c>
      <c r="F2786" t="s">
        <v>55051</v>
      </c>
      <c r="G2786" t="s">
        <v>55052</v>
      </c>
      <c r="H2786" t="s">
        <v>55053</v>
      </c>
      <c r="I2786" t="s">
        <v>55054</v>
      </c>
      <c r="J2786" t="s">
        <v>55055</v>
      </c>
      <c r="K2786" t="s">
        <v>55056</v>
      </c>
      <c r="L2786" t="s">
        <v>55057</v>
      </c>
      <c r="M2786" t="s">
        <v>55058</v>
      </c>
      <c r="N2786" t="s">
        <v>55059</v>
      </c>
      <c r="O2786">
        <f>-590.000860643206 -79.495758505393 -747.449917880959</f>
        <v>-1416.9465370295579</v>
      </c>
      <c r="P2786">
        <f>-621.521599569365 -70.3474332783671 -432.634190195092</f>
        <v>-1124.5032230428242</v>
      </c>
      <c r="Q2786">
        <f>-366.178249972364 -24.915640740077 -413.19771368633</f>
        <v>-804.29160439877091</v>
      </c>
      <c r="R2786" t="s">
        <v>55060</v>
      </c>
      <c r="S2786" t="s">
        <v>55061</v>
      </c>
      <c r="T2786" t="s">
        <v>55062</v>
      </c>
      <c r="U2786" t="s">
        <v>55063</v>
      </c>
      <c r="V2786" t="s">
        <v>55064</v>
      </c>
      <c r="W2786" t="s">
        <v>55065</v>
      </c>
      <c r="X2786" t="s">
        <v>55066</v>
      </c>
      <c r="Y2786" t="s">
        <v>55067</v>
      </c>
    </row>
    <row r="2787" spans="1:25" x14ac:dyDescent="0.3">
      <c r="A2787">
        <v>139300</v>
      </c>
      <c r="B2787" t="s">
        <v>55068</v>
      </c>
      <c r="C2787" t="s">
        <v>55069</v>
      </c>
      <c r="D2787" t="s">
        <v>55070</v>
      </c>
      <c r="E2787" t="s">
        <v>55071</v>
      </c>
      <c r="F2787" t="s">
        <v>55072</v>
      </c>
      <c r="G2787" t="s">
        <v>55073</v>
      </c>
      <c r="H2787" t="s">
        <v>55074</v>
      </c>
      <c r="I2787" t="s">
        <v>55075</v>
      </c>
      <c r="J2787" t="s">
        <v>55076</v>
      </c>
      <c r="K2787" t="s">
        <v>55077</v>
      </c>
      <c r="L2787" t="s">
        <v>55078</v>
      </c>
      <c r="M2787" t="s">
        <v>55079</v>
      </c>
      <c r="N2787" t="s">
        <v>55080</v>
      </c>
      <c r="O2787">
        <f>-585.975044145409 -80.0299081948252 -747.533198354106</f>
        <v>-1413.5381506943404</v>
      </c>
      <c r="P2787">
        <f>-618.753904005071 -70.2950178275156 -432.863646841446</f>
        <v>-1121.9125686740326</v>
      </c>
      <c r="Q2787">
        <f>-363.577809781941 -24.2565790702731 -412.672625525692</f>
        <v>-800.50701437790622</v>
      </c>
      <c r="R2787" t="s">
        <v>55081</v>
      </c>
      <c r="S2787" t="s">
        <v>55082</v>
      </c>
      <c r="T2787" t="s">
        <v>55083</v>
      </c>
      <c r="U2787" t="s">
        <v>55084</v>
      </c>
      <c r="V2787" t="s">
        <v>55085</v>
      </c>
      <c r="W2787" t="s">
        <v>55086</v>
      </c>
      <c r="X2787" t="s">
        <v>55087</v>
      </c>
      <c r="Y2787" t="s">
        <v>55088</v>
      </c>
    </row>
    <row r="2788" spans="1:25" x14ac:dyDescent="0.3">
      <c r="A2788">
        <v>139350</v>
      </c>
      <c r="B2788" t="s">
        <v>55089</v>
      </c>
      <c r="C2788" t="s">
        <v>55090</v>
      </c>
      <c r="D2788" t="s">
        <v>55091</v>
      </c>
      <c r="E2788" t="s">
        <v>55092</v>
      </c>
      <c r="F2788" t="s">
        <v>55093</v>
      </c>
      <c r="G2788" t="s">
        <v>55094</v>
      </c>
      <c r="H2788" t="s">
        <v>55095</v>
      </c>
      <c r="I2788" t="s">
        <v>55096</v>
      </c>
      <c r="J2788" t="s">
        <v>55097</v>
      </c>
      <c r="K2788" t="s">
        <v>55098</v>
      </c>
      <c r="L2788" t="s">
        <v>55099</v>
      </c>
      <c r="M2788" t="s">
        <v>55100</v>
      </c>
      <c r="N2788" t="s">
        <v>55101</v>
      </c>
      <c r="O2788">
        <f>-583.969764314814 -80.1538281808554 -747.921823451419</f>
        <v>-1412.0454159470883</v>
      </c>
      <c r="P2788">
        <f>-617.312349267496 -69.8889415439857 -433.328351190762</f>
        <v>-1120.5296420022437</v>
      </c>
      <c r="Q2788">
        <f>-362.546357077401 -21.9515471378289 -412.391674513531</f>
        <v>-796.88957872876085</v>
      </c>
      <c r="R2788" t="s">
        <v>55102</v>
      </c>
      <c r="S2788" t="s">
        <v>55103</v>
      </c>
      <c r="T2788" t="s">
        <v>55104</v>
      </c>
      <c r="U2788" t="s">
        <v>55105</v>
      </c>
      <c r="V2788" t="s">
        <v>55106</v>
      </c>
      <c r="W2788" t="s">
        <v>55107</v>
      </c>
      <c r="X2788" t="s">
        <v>55108</v>
      </c>
      <c r="Y2788" t="s">
        <v>55109</v>
      </c>
    </row>
    <row r="2789" spans="1:25" x14ac:dyDescent="0.3">
      <c r="A2789">
        <v>139400</v>
      </c>
      <c r="B2789" t="s">
        <v>55110</v>
      </c>
      <c r="C2789" t="s">
        <v>55111</v>
      </c>
      <c r="D2789" t="s">
        <v>55112</v>
      </c>
      <c r="E2789" t="s">
        <v>55113</v>
      </c>
      <c r="F2789" t="s">
        <v>55114</v>
      </c>
      <c r="G2789" t="s">
        <v>55115</v>
      </c>
      <c r="H2789" t="s">
        <v>55116</v>
      </c>
      <c r="I2789" t="s">
        <v>55117</v>
      </c>
      <c r="J2789" t="s">
        <v>55118</v>
      </c>
      <c r="K2789" t="s">
        <v>55119</v>
      </c>
      <c r="L2789" t="s">
        <v>55120</v>
      </c>
      <c r="M2789" t="s">
        <v>55121</v>
      </c>
      <c r="N2789" t="s">
        <v>55122</v>
      </c>
      <c r="O2789">
        <f>-583.775611493248 -79.5589091439434 -748.22598030126</f>
        <v>-1411.5605009384515</v>
      </c>
      <c r="P2789">
        <f>-616.916944767698 -69.2862960734105 -433.611382863446</f>
        <v>-1119.8146237045546</v>
      </c>
      <c r="Q2789">
        <f>-362.42848252628 -20.1246696494773 -412.144835228717</f>
        <v>-794.69798740447436</v>
      </c>
      <c r="R2789" t="s">
        <v>55123</v>
      </c>
      <c r="S2789" t="s">
        <v>55124</v>
      </c>
      <c r="T2789" t="s">
        <v>55125</v>
      </c>
      <c r="U2789" t="s">
        <v>55126</v>
      </c>
      <c r="V2789" t="s">
        <v>55127</v>
      </c>
      <c r="W2789" t="s">
        <v>55128</v>
      </c>
      <c r="X2789" t="s">
        <v>55129</v>
      </c>
      <c r="Y2789" t="s">
        <v>55130</v>
      </c>
    </row>
    <row r="2790" spans="1:25" x14ac:dyDescent="0.3">
      <c r="A2790">
        <v>139450</v>
      </c>
      <c r="B2790" t="s">
        <v>55131</v>
      </c>
      <c r="C2790" t="s">
        <v>55132</v>
      </c>
      <c r="D2790" t="s">
        <v>55133</v>
      </c>
      <c r="E2790" t="s">
        <v>55134</v>
      </c>
      <c r="F2790" t="s">
        <v>55135</v>
      </c>
      <c r="G2790" t="s">
        <v>55136</v>
      </c>
      <c r="H2790" t="s">
        <v>55137</v>
      </c>
      <c r="I2790" t="s">
        <v>55138</v>
      </c>
      <c r="J2790" t="s">
        <v>55139</v>
      </c>
      <c r="K2790" t="s">
        <v>55140</v>
      </c>
      <c r="L2790" t="s">
        <v>55141</v>
      </c>
      <c r="M2790" t="s">
        <v>55142</v>
      </c>
      <c r="N2790" t="s">
        <v>55143</v>
      </c>
      <c r="O2790">
        <f>-584.437943355223 -79.0708975018019 -748.661933266943</f>
        <v>-1412.1707741239679</v>
      </c>
      <c r="P2790">
        <f>-616.599878778122 -69.1639337381869 -433.934078676966</f>
        <v>-1119.6978911932749</v>
      </c>
      <c r="Q2790">
        <f>-362.543459093746 -18.3451993930168 -411.243463533249</f>
        <v>-792.13212202001182</v>
      </c>
      <c r="R2790" t="s">
        <v>55144</v>
      </c>
      <c r="S2790" t="s">
        <v>55145</v>
      </c>
      <c r="T2790" t="s">
        <v>55146</v>
      </c>
      <c r="U2790" t="s">
        <v>55147</v>
      </c>
      <c r="V2790" t="s">
        <v>55148</v>
      </c>
      <c r="W2790" t="s">
        <v>55149</v>
      </c>
      <c r="X2790" t="s">
        <v>55150</v>
      </c>
      <c r="Y2790" t="s">
        <v>55151</v>
      </c>
    </row>
    <row r="2791" spans="1:25" x14ac:dyDescent="0.3">
      <c r="A2791">
        <v>139500</v>
      </c>
      <c r="B2791" t="s">
        <v>55152</v>
      </c>
      <c r="C2791" t="s">
        <v>55153</v>
      </c>
      <c r="D2791" t="s">
        <v>55154</v>
      </c>
      <c r="E2791" t="s">
        <v>55155</v>
      </c>
      <c r="F2791" t="s">
        <v>55156</v>
      </c>
      <c r="G2791" t="s">
        <v>55157</v>
      </c>
      <c r="H2791" t="s">
        <v>55158</v>
      </c>
      <c r="I2791" t="s">
        <v>55159</v>
      </c>
      <c r="J2791" t="s">
        <v>55160</v>
      </c>
      <c r="K2791" t="s">
        <v>55161</v>
      </c>
      <c r="L2791" t="s">
        <v>55162</v>
      </c>
      <c r="M2791" t="s">
        <v>55163</v>
      </c>
      <c r="N2791" t="s">
        <v>55164</v>
      </c>
      <c r="O2791">
        <f>-585.131318630467 -78.8545781553958 -748.578718559205</f>
        <v>-1412.5646153450678</v>
      </c>
      <c r="P2791">
        <f>-616.8377221379 -69.2437419197055 -433.795407148681</f>
        <v>-1119.8768712062865</v>
      </c>
      <c r="Q2791">
        <f>-362.895065975485 -18.092634149727 -410.584895803403</f>
        <v>-791.5725959286151</v>
      </c>
      <c r="R2791" t="s">
        <v>55165</v>
      </c>
      <c r="S2791" t="s">
        <v>55166</v>
      </c>
      <c r="T2791" t="s">
        <v>55167</v>
      </c>
      <c r="U2791" t="s">
        <v>55168</v>
      </c>
      <c r="V2791" t="s">
        <v>55169</v>
      </c>
      <c r="W2791" t="s">
        <v>55170</v>
      </c>
      <c r="X2791" t="s">
        <v>55171</v>
      </c>
      <c r="Y2791" t="s">
        <v>55172</v>
      </c>
    </row>
    <row r="2792" spans="1:25" x14ac:dyDescent="0.3">
      <c r="A2792">
        <v>139550</v>
      </c>
      <c r="B2792" t="s">
        <v>55173</v>
      </c>
      <c r="C2792" t="s">
        <v>55174</v>
      </c>
      <c r="D2792" t="s">
        <v>55175</v>
      </c>
      <c r="E2792" t="s">
        <v>55176</v>
      </c>
      <c r="F2792" t="s">
        <v>55177</v>
      </c>
      <c r="G2792" t="s">
        <v>55178</v>
      </c>
      <c r="H2792" t="s">
        <v>55179</v>
      </c>
      <c r="I2792" t="s">
        <v>55180</v>
      </c>
      <c r="J2792" t="s">
        <v>55181</v>
      </c>
      <c r="K2792" t="s">
        <v>55182</v>
      </c>
      <c r="L2792" t="s">
        <v>55183</v>
      </c>
      <c r="M2792" t="s">
        <v>55184</v>
      </c>
      <c r="N2792" t="s">
        <v>55185</v>
      </c>
      <c r="O2792">
        <f>-586.287306945358 -79.2576735628138 -748.189187935929</f>
        <v>-1413.7341684441008</v>
      </c>
      <c r="P2792">
        <f>-617.725760416455 -70.0033848570091 -433.36841473041</f>
        <v>-1121.0975600038742</v>
      </c>
      <c r="Q2792">
        <f>-363.868133163544 -18.3488413717812 -410.34279656611</f>
        <v>-792.55977110143522</v>
      </c>
      <c r="R2792" t="s">
        <v>55186</v>
      </c>
      <c r="S2792" t="s">
        <v>55187</v>
      </c>
      <c r="T2792" t="s">
        <v>55188</v>
      </c>
      <c r="U2792" t="s">
        <v>55189</v>
      </c>
      <c r="V2792" t="s">
        <v>55190</v>
      </c>
      <c r="W2792" t="s">
        <v>55191</v>
      </c>
      <c r="X2792" t="s">
        <v>55192</v>
      </c>
      <c r="Y2792" t="s">
        <v>55193</v>
      </c>
    </row>
    <row r="2793" spans="1:25" x14ac:dyDescent="0.3">
      <c r="A2793">
        <v>139600</v>
      </c>
      <c r="B2793" t="s">
        <v>55194</v>
      </c>
      <c r="C2793" t="s">
        <v>55195</v>
      </c>
      <c r="D2793" t="s">
        <v>55196</v>
      </c>
      <c r="E2793" t="s">
        <v>55197</v>
      </c>
      <c r="F2793" t="s">
        <v>55198</v>
      </c>
      <c r="G2793" t="s">
        <v>55199</v>
      </c>
      <c r="H2793" t="s">
        <v>55200</v>
      </c>
      <c r="I2793" t="s">
        <v>55201</v>
      </c>
      <c r="J2793" t="s">
        <v>55202</v>
      </c>
      <c r="K2793" t="s">
        <v>55203</v>
      </c>
      <c r="L2793" t="s">
        <v>55204</v>
      </c>
      <c r="M2793" t="s">
        <v>55205</v>
      </c>
      <c r="N2793" t="s">
        <v>55206</v>
      </c>
      <c r="O2793">
        <f>-587.113837505541 -79.2246289813318 -747.908565145267</f>
        <v>-1414.2470316321396</v>
      </c>
      <c r="P2793">
        <f>-618.297165664158 -69.968383247864 -433.062299339018</f>
        <v>-1121.32784825104</v>
      </c>
      <c r="Q2793">
        <f>-364.415295461566 -18.1995851287153 -410.567040467314</f>
        <v>-793.18192105759522</v>
      </c>
      <c r="R2793" t="s">
        <v>55207</v>
      </c>
      <c r="S2793" t="s">
        <v>55208</v>
      </c>
      <c r="T2793" t="s">
        <v>55209</v>
      </c>
      <c r="U2793" t="s">
        <v>55210</v>
      </c>
      <c r="V2793" t="s">
        <v>55211</v>
      </c>
      <c r="W2793" t="s">
        <v>55212</v>
      </c>
      <c r="X2793" t="s">
        <v>55213</v>
      </c>
      <c r="Y2793" t="s">
        <v>55214</v>
      </c>
    </row>
    <row r="2794" spans="1:25" x14ac:dyDescent="0.3">
      <c r="A2794">
        <v>139650</v>
      </c>
      <c r="B2794" t="s">
        <v>55215</v>
      </c>
      <c r="C2794" t="s">
        <v>55216</v>
      </c>
      <c r="D2794" t="s">
        <v>55217</v>
      </c>
      <c r="E2794" t="s">
        <v>55218</v>
      </c>
      <c r="F2794" t="s">
        <v>55219</v>
      </c>
      <c r="G2794" t="s">
        <v>55220</v>
      </c>
      <c r="H2794" t="s">
        <v>55221</v>
      </c>
      <c r="I2794" t="s">
        <v>55222</v>
      </c>
      <c r="J2794" t="s">
        <v>55223</v>
      </c>
      <c r="K2794" t="s">
        <v>55224</v>
      </c>
      <c r="L2794" t="s">
        <v>55225</v>
      </c>
      <c r="M2794" t="s">
        <v>55226</v>
      </c>
      <c r="N2794" t="s">
        <v>55227</v>
      </c>
      <c r="O2794">
        <f>-588.300857474552 -78.9476164029347 -747.220914100387</f>
        <v>-1414.4693879778738</v>
      </c>
      <c r="P2794">
        <f>-618.810983936575 -69.7362940195025 -432.307516162319</f>
        <v>-1120.8547941183965</v>
      </c>
      <c r="Q2794">
        <f>-364.678724369451 -18.9865320965285 -410.323707838272</f>
        <v>-793.98896430425157</v>
      </c>
      <c r="R2794" t="s">
        <v>55228</v>
      </c>
      <c r="S2794" t="s">
        <v>55229</v>
      </c>
      <c r="T2794" t="s">
        <v>55230</v>
      </c>
      <c r="U2794" t="s">
        <v>55231</v>
      </c>
      <c r="V2794" t="s">
        <v>55232</v>
      </c>
      <c r="W2794" t="s">
        <v>55233</v>
      </c>
      <c r="X2794" t="s">
        <v>55234</v>
      </c>
      <c r="Y2794" t="s">
        <v>55235</v>
      </c>
    </row>
    <row r="2795" spans="1:25" x14ac:dyDescent="0.3">
      <c r="A2795">
        <v>139700</v>
      </c>
      <c r="B2795" t="s">
        <v>55236</v>
      </c>
      <c r="C2795" t="s">
        <v>55237</v>
      </c>
      <c r="D2795" t="s">
        <v>55238</v>
      </c>
      <c r="E2795" t="s">
        <v>55239</v>
      </c>
      <c r="F2795" t="s">
        <v>55240</v>
      </c>
      <c r="G2795" t="s">
        <v>55241</v>
      </c>
      <c r="H2795" t="s">
        <v>55242</v>
      </c>
      <c r="I2795" t="s">
        <v>55243</v>
      </c>
      <c r="J2795" t="s">
        <v>55244</v>
      </c>
      <c r="K2795" t="s">
        <v>55245</v>
      </c>
      <c r="L2795" t="s">
        <v>55246</v>
      </c>
      <c r="M2795" t="s">
        <v>55247</v>
      </c>
      <c r="N2795" t="s">
        <v>55248</v>
      </c>
      <c r="O2795">
        <f>-588.365358042488 -78.7618840266987 -746.988850964881</f>
        <v>-1414.1160930340675</v>
      </c>
      <c r="P2795">
        <f>-618.767701985054 -69.2784490498135 -432.073155243349</f>
        <v>-1120.1193062782165</v>
      </c>
      <c r="Q2795">
        <f>-364.456250940509 -19.4280389779253 -410.10285444791</f>
        <v>-793.9871443663443</v>
      </c>
      <c r="R2795" t="s">
        <v>55249</v>
      </c>
      <c r="S2795" t="s">
        <v>55250</v>
      </c>
      <c r="T2795" t="s">
        <v>55251</v>
      </c>
      <c r="U2795" t="s">
        <v>55252</v>
      </c>
      <c r="V2795" t="s">
        <v>55253</v>
      </c>
      <c r="W2795" t="s">
        <v>55254</v>
      </c>
      <c r="X2795" t="s">
        <v>55255</v>
      </c>
      <c r="Y2795" t="s">
        <v>55256</v>
      </c>
    </row>
    <row r="2796" spans="1:25" x14ac:dyDescent="0.3">
      <c r="A2796">
        <v>139750</v>
      </c>
      <c r="B2796" t="s">
        <v>55257</v>
      </c>
      <c r="C2796" t="s">
        <v>55258</v>
      </c>
      <c r="D2796" t="s">
        <v>55259</v>
      </c>
      <c r="E2796" t="s">
        <v>55260</v>
      </c>
      <c r="F2796" t="s">
        <v>55261</v>
      </c>
      <c r="G2796" t="s">
        <v>55262</v>
      </c>
      <c r="H2796" t="s">
        <v>55263</v>
      </c>
      <c r="I2796" t="s">
        <v>55264</v>
      </c>
      <c r="J2796" t="s">
        <v>55265</v>
      </c>
      <c r="K2796" t="s">
        <v>55266</v>
      </c>
      <c r="L2796" t="s">
        <v>55267</v>
      </c>
      <c r="M2796" t="s">
        <v>55268</v>
      </c>
      <c r="N2796" t="s">
        <v>55269</v>
      </c>
      <c r="O2796">
        <f>-588.642912572019 -78.2636800977549 -747.190103524288</f>
        <v>-1414.0966961940619</v>
      </c>
      <c r="P2796">
        <f>-619.288125666368 -68.8553632279038 -432.295732474115</f>
        <v>-1120.4392213683868</v>
      </c>
      <c r="Q2796">
        <f>-364.746613939881 -20.4808819644593 -409.699485299043</f>
        <v>-794.92698120338332</v>
      </c>
      <c r="R2796" t="s">
        <v>55270</v>
      </c>
      <c r="S2796" t="s">
        <v>55271</v>
      </c>
      <c r="T2796" t="s">
        <v>55272</v>
      </c>
      <c r="U2796" t="s">
        <v>55273</v>
      </c>
      <c r="V2796" t="s">
        <v>55274</v>
      </c>
      <c r="W2796" t="s">
        <v>55275</v>
      </c>
      <c r="X2796" t="s">
        <v>55276</v>
      </c>
      <c r="Y2796" t="s">
        <v>55277</v>
      </c>
    </row>
    <row r="2797" spans="1:25" x14ac:dyDescent="0.3">
      <c r="A2797">
        <v>139800</v>
      </c>
      <c r="B2797" t="s">
        <v>55278</v>
      </c>
      <c r="C2797" t="s">
        <v>55279</v>
      </c>
      <c r="D2797" t="s">
        <v>55280</v>
      </c>
      <c r="E2797" t="s">
        <v>55281</v>
      </c>
      <c r="F2797" t="s">
        <v>55282</v>
      </c>
      <c r="G2797" t="s">
        <v>55283</v>
      </c>
      <c r="H2797" t="s">
        <v>55284</v>
      </c>
      <c r="I2797" t="s">
        <v>55285</v>
      </c>
      <c r="J2797" t="s">
        <v>55286</v>
      </c>
      <c r="K2797" t="s">
        <v>55287</v>
      </c>
      <c r="L2797" t="s">
        <v>55288</v>
      </c>
      <c r="M2797" t="s">
        <v>55289</v>
      </c>
      <c r="N2797" t="s">
        <v>55290</v>
      </c>
      <c r="O2797">
        <f>-588.444429678342 -78.1774519261007 -747.395244788509</f>
        <v>-1414.0171263929517</v>
      </c>
      <c r="P2797">
        <f>-619.281723099658 -68.9040536074539 -432.515426729128</f>
        <v>-1120.7012034362399</v>
      </c>
      <c r="Q2797">
        <f>-364.644177883289 -21.1525311365581 -409.677504643828</f>
        <v>-795.47421366367507</v>
      </c>
      <c r="R2797" t="s">
        <v>55291</v>
      </c>
      <c r="S2797" t="s">
        <v>55292</v>
      </c>
      <c r="T2797" t="s">
        <v>55293</v>
      </c>
      <c r="U2797" t="s">
        <v>55294</v>
      </c>
      <c r="V2797" t="s">
        <v>55295</v>
      </c>
      <c r="W2797" t="s">
        <v>55296</v>
      </c>
      <c r="X2797" t="s">
        <v>55297</v>
      </c>
      <c r="Y2797" t="s">
        <v>55298</v>
      </c>
    </row>
    <row r="2798" spans="1:25" x14ac:dyDescent="0.3">
      <c r="A2798">
        <v>139850</v>
      </c>
      <c r="B2798" t="s">
        <v>55299</v>
      </c>
      <c r="C2798" t="s">
        <v>55300</v>
      </c>
      <c r="D2798" t="s">
        <v>55301</v>
      </c>
      <c r="E2798" t="s">
        <v>55302</v>
      </c>
      <c r="F2798" t="s">
        <v>55303</v>
      </c>
      <c r="G2798" t="s">
        <v>55304</v>
      </c>
      <c r="H2798" t="s">
        <v>55305</v>
      </c>
      <c r="I2798" t="s">
        <v>55306</v>
      </c>
      <c r="J2798" t="s">
        <v>55307</v>
      </c>
      <c r="K2798" t="s">
        <v>55308</v>
      </c>
      <c r="L2798" t="s">
        <v>55309</v>
      </c>
      <c r="M2798" t="s">
        <v>55310</v>
      </c>
      <c r="N2798" t="s">
        <v>55311</v>
      </c>
      <c r="O2798">
        <f>-588.512109549595 -77.6727577184337 -747.893680858499</f>
        <v>-1414.0785481265277</v>
      </c>
      <c r="P2798">
        <f>-619.535639407422 -68.1261117211195 -433.040294764262</f>
        <v>-1120.7020458928034</v>
      </c>
      <c r="Q2798">
        <f>-364.597593180015 -22.1003072415982 -410.01264192618</f>
        <v>-796.71054234779319</v>
      </c>
      <c r="R2798" t="s">
        <v>55312</v>
      </c>
      <c r="S2798" t="s">
        <v>55313</v>
      </c>
      <c r="T2798" t="s">
        <v>55314</v>
      </c>
      <c r="U2798" t="s">
        <v>55315</v>
      </c>
      <c r="V2798" t="s">
        <v>55316</v>
      </c>
      <c r="W2798" t="s">
        <v>55317</v>
      </c>
      <c r="X2798" t="s">
        <v>55318</v>
      </c>
      <c r="Y2798" t="s">
        <v>55319</v>
      </c>
    </row>
    <row r="2799" spans="1:25" x14ac:dyDescent="0.3">
      <c r="A2799">
        <v>139900</v>
      </c>
      <c r="B2799" t="s">
        <v>55320</v>
      </c>
      <c r="C2799" t="s">
        <v>55321</v>
      </c>
      <c r="D2799" t="s">
        <v>55322</v>
      </c>
      <c r="E2799" t="s">
        <v>55323</v>
      </c>
      <c r="F2799" t="s">
        <v>55324</v>
      </c>
      <c r="G2799" t="s">
        <v>55325</v>
      </c>
      <c r="H2799" t="s">
        <v>55326</v>
      </c>
      <c r="I2799" t="s">
        <v>55327</v>
      </c>
      <c r="J2799" t="s">
        <v>55328</v>
      </c>
      <c r="K2799" t="s">
        <v>55329</v>
      </c>
      <c r="L2799" t="s">
        <v>55330</v>
      </c>
      <c r="M2799" t="s">
        <v>55331</v>
      </c>
      <c r="N2799" t="s">
        <v>55332</v>
      </c>
      <c r="O2799">
        <f>-588.181694974301 -77.7226660280596 -748.106584352249</f>
        <v>-1414.0109453546097</v>
      </c>
      <c r="P2799">
        <f>-619.204378589708 -68.1033433299433 -433.255490751051</f>
        <v>-1120.5632126707023</v>
      </c>
      <c r="Q2799">
        <f>-364.126473688108 -22.9485006799283 -410.053238221195</f>
        <v>-797.12821258923123</v>
      </c>
      <c r="R2799" t="s">
        <v>55333</v>
      </c>
      <c r="S2799" t="s">
        <v>55334</v>
      </c>
      <c r="T2799" t="s">
        <v>55335</v>
      </c>
      <c r="U2799" t="s">
        <v>55336</v>
      </c>
      <c r="V2799" t="s">
        <v>55337</v>
      </c>
      <c r="W2799" t="s">
        <v>55338</v>
      </c>
      <c r="X2799" t="s">
        <v>55339</v>
      </c>
      <c r="Y2799" t="s">
        <v>55340</v>
      </c>
    </row>
    <row r="2800" spans="1:25" x14ac:dyDescent="0.3">
      <c r="A2800">
        <v>139950</v>
      </c>
      <c r="B2800" t="s">
        <v>55341</v>
      </c>
      <c r="C2800" t="s">
        <v>55342</v>
      </c>
      <c r="D2800" t="s">
        <v>55343</v>
      </c>
      <c r="E2800" t="s">
        <v>55344</v>
      </c>
      <c r="F2800" t="s">
        <v>55345</v>
      </c>
      <c r="G2800" t="s">
        <v>55346</v>
      </c>
      <c r="H2800" t="s">
        <v>55347</v>
      </c>
      <c r="I2800" t="s">
        <v>55348</v>
      </c>
      <c r="J2800" t="s">
        <v>55349</v>
      </c>
      <c r="K2800" t="s">
        <v>55350</v>
      </c>
      <c r="L2800" t="s">
        <v>55351</v>
      </c>
      <c r="M2800" t="s">
        <v>55352</v>
      </c>
      <c r="N2800" t="s">
        <v>55353</v>
      </c>
      <c r="O2800">
        <f>-588.324949798049 -77.0822995079449 -748.465794279556</f>
        <v>-1413.87304358555</v>
      </c>
      <c r="P2800">
        <f>-619.553499974512 -67.059790328655 -433.647650789366</f>
        <v>-1120.2609410925329</v>
      </c>
      <c r="Q2800">
        <f>-364.231246825176 -23.7789592105361 -409.577844481061</f>
        <v>-797.58805051677314</v>
      </c>
      <c r="R2800" t="s">
        <v>55354</v>
      </c>
      <c r="S2800" t="s">
        <v>55355</v>
      </c>
      <c r="T2800" t="s">
        <v>55356</v>
      </c>
      <c r="U2800" t="s">
        <v>55357</v>
      </c>
      <c r="V2800" t="s">
        <v>55358</v>
      </c>
      <c r="W2800" t="s">
        <v>55359</v>
      </c>
      <c r="X2800" t="s">
        <v>55360</v>
      </c>
      <c r="Y2800" t="s">
        <v>55361</v>
      </c>
    </row>
    <row r="2801" spans="1:25" x14ac:dyDescent="0.3">
      <c r="A2801">
        <v>140000</v>
      </c>
      <c r="B2801" t="s">
        <v>55362</v>
      </c>
      <c r="C2801" t="s">
        <v>55363</v>
      </c>
      <c r="D2801" t="s">
        <v>55364</v>
      </c>
      <c r="E2801" t="s">
        <v>55365</v>
      </c>
      <c r="F2801" t="s">
        <v>55366</v>
      </c>
      <c r="G2801" t="s">
        <v>55367</v>
      </c>
      <c r="H2801" t="s">
        <v>55368</v>
      </c>
      <c r="I2801" t="s">
        <v>55369</v>
      </c>
      <c r="J2801" t="s">
        <v>55370</v>
      </c>
      <c r="K2801" t="s">
        <v>55371</v>
      </c>
      <c r="L2801" t="s">
        <v>55372</v>
      </c>
      <c r="M2801" t="s">
        <v>55373</v>
      </c>
      <c r="N2801" t="s">
        <v>55374</v>
      </c>
      <c r="O2801">
        <f>-588.15093692769 -77.0443818963281 -748.584351771183</f>
        <v>-1413.7796705952012</v>
      </c>
      <c r="P2801">
        <f>-619.610794333133 -66.8803922010092 -433.793713329447</f>
        <v>-1120.2848998635891</v>
      </c>
      <c r="Q2801">
        <f>-364.222856118614 -24.1792454722755 -409.386682419097</f>
        <v>-797.78878400998656</v>
      </c>
      <c r="R2801" t="s">
        <v>55375</v>
      </c>
      <c r="S2801" t="s">
        <v>55376</v>
      </c>
      <c r="T2801" t="s">
        <v>55377</v>
      </c>
      <c r="U2801" t="s">
        <v>55378</v>
      </c>
      <c r="V2801" t="s">
        <v>55379</v>
      </c>
      <c r="W2801" t="s">
        <v>55380</v>
      </c>
      <c r="X2801" t="s">
        <v>55381</v>
      </c>
      <c r="Y2801" t="s">
        <v>55382</v>
      </c>
    </row>
    <row r="2802" spans="1:25" x14ac:dyDescent="0.3">
      <c r="A2802">
        <v>140050</v>
      </c>
      <c r="B2802" t="s">
        <v>55383</v>
      </c>
      <c r="C2802" t="s">
        <v>55384</v>
      </c>
      <c r="D2802" t="s">
        <v>55385</v>
      </c>
      <c r="E2802" t="s">
        <v>55386</v>
      </c>
      <c r="F2802" t="s">
        <v>55387</v>
      </c>
      <c r="G2802" t="s">
        <v>55388</v>
      </c>
      <c r="H2802" t="s">
        <v>55389</v>
      </c>
      <c r="I2802" t="s">
        <v>55390</v>
      </c>
      <c r="J2802" t="s">
        <v>55391</v>
      </c>
      <c r="K2802" t="s">
        <v>55392</v>
      </c>
      <c r="L2802" t="s">
        <v>55393</v>
      </c>
      <c r="M2802" t="s">
        <v>55394</v>
      </c>
      <c r="N2802" t="s">
        <v>55395</v>
      </c>
      <c r="O2802">
        <f>-588.112377621916 -77.2860579178049 -748.718841442928</f>
        <v>-1414.1172769826489</v>
      </c>
      <c r="P2802">
        <f>-620.003250640384 -66.6838018424334 -433.986031506511</f>
        <v>-1120.6730839893282</v>
      </c>
      <c r="Q2802">
        <f>-364.493839683536 -25.2551607143524 -408.674675402407</f>
        <v>-798.42367580029531</v>
      </c>
      <c r="R2802" t="s">
        <v>55396</v>
      </c>
      <c r="S2802" t="s">
        <v>55397</v>
      </c>
      <c r="T2802" t="s">
        <v>55398</v>
      </c>
      <c r="U2802" t="s">
        <v>55399</v>
      </c>
      <c r="V2802" t="s">
        <v>55400</v>
      </c>
      <c r="W2802" t="s">
        <v>55401</v>
      </c>
      <c r="X2802" t="s">
        <v>55402</v>
      </c>
      <c r="Y2802" t="s">
        <v>55403</v>
      </c>
    </row>
    <row r="2803" spans="1:25" x14ac:dyDescent="0.3">
      <c r="A2803">
        <v>140100</v>
      </c>
      <c r="B2803" t="s">
        <v>55404</v>
      </c>
      <c r="C2803" t="s">
        <v>55405</v>
      </c>
      <c r="D2803" t="s">
        <v>55406</v>
      </c>
      <c r="E2803" t="s">
        <v>55407</v>
      </c>
      <c r="F2803" t="s">
        <v>55408</v>
      </c>
      <c r="G2803" t="s">
        <v>55409</v>
      </c>
      <c r="H2803" t="s">
        <v>55410</v>
      </c>
      <c r="I2803" t="s">
        <v>55411</v>
      </c>
      <c r="J2803" t="s">
        <v>55412</v>
      </c>
      <c r="K2803" t="s">
        <v>55413</v>
      </c>
      <c r="L2803" t="s">
        <v>55414</v>
      </c>
      <c r="M2803" t="s">
        <v>55415</v>
      </c>
      <c r="N2803" t="s">
        <v>55416</v>
      </c>
      <c r="O2803">
        <f>-587.881037687159 -78.0089800546313 -748.781974699004</f>
        <v>-1414.6719924407944</v>
      </c>
      <c r="P2803">
        <f>-619.993280412212 -67.0201448602671 -434.084833167688</f>
        <v>-1121.0982584401672</v>
      </c>
      <c r="Q2803">
        <f>-364.44495272388 -26.0028281288282 -408.498318467061</f>
        <v>-798.94609931976925</v>
      </c>
      <c r="R2803" t="s">
        <v>55417</v>
      </c>
      <c r="S2803" t="s">
        <v>55418</v>
      </c>
      <c r="T2803" t="s">
        <v>55419</v>
      </c>
      <c r="U2803" t="s">
        <v>55420</v>
      </c>
      <c r="V2803" t="s">
        <v>55421</v>
      </c>
      <c r="W2803" t="s">
        <v>55422</v>
      </c>
      <c r="X2803" t="s">
        <v>55423</v>
      </c>
      <c r="Y2803" t="s">
        <v>55424</v>
      </c>
    </row>
    <row r="2804" spans="1:25" x14ac:dyDescent="0.3">
      <c r="A2804">
        <v>140150</v>
      </c>
      <c r="B2804" t="s">
        <v>55425</v>
      </c>
      <c r="C2804" t="s">
        <v>55426</v>
      </c>
      <c r="D2804" t="s">
        <v>55427</v>
      </c>
      <c r="E2804" t="s">
        <v>55428</v>
      </c>
      <c r="F2804" t="s">
        <v>55429</v>
      </c>
      <c r="G2804" t="s">
        <v>55430</v>
      </c>
      <c r="H2804" t="s">
        <v>55431</v>
      </c>
      <c r="I2804" t="s">
        <v>55432</v>
      </c>
      <c r="J2804" t="s">
        <v>55433</v>
      </c>
      <c r="K2804" t="s">
        <v>55434</v>
      </c>
      <c r="L2804" t="s">
        <v>55435</v>
      </c>
      <c r="M2804" t="s">
        <v>55436</v>
      </c>
      <c r="N2804" t="s">
        <v>55437</v>
      </c>
      <c r="O2804">
        <f>-587.161017937985 -78.8449352452562 -748.798822397919</f>
        <v>-1414.8047755811604</v>
      </c>
      <c r="P2804">
        <f>-619.69696686808 -67.7001041570024 -434.150796855777</f>
        <v>-1121.5478678808595</v>
      </c>
      <c r="Q2804">
        <f>-364.128337026618 -27.13786056548 -408.045730783409</f>
        <v>-799.31192837550702</v>
      </c>
      <c r="R2804" t="s">
        <v>55438</v>
      </c>
      <c r="S2804" t="s">
        <v>55439</v>
      </c>
      <c r="T2804" t="s">
        <v>55440</v>
      </c>
      <c r="U2804" t="s">
        <v>55441</v>
      </c>
      <c r="V2804" t="s">
        <v>55442</v>
      </c>
      <c r="W2804" t="s">
        <v>55443</v>
      </c>
      <c r="X2804" t="s">
        <v>55444</v>
      </c>
      <c r="Y2804" t="s">
        <v>55445</v>
      </c>
    </row>
    <row r="2805" spans="1:25" x14ac:dyDescent="0.3">
      <c r="A2805">
        <v>140200</v>
      </c>
      <c r="B2805" t="s">
        <v>55446</v>
      </c>
      <c r="C2805" t="s">
        <v>55447</v>
      </c>
      <c r="D2805" t="s">
        <v>55448</v>
      </c>
      <c r="E2805" t="s">
        <v>55449</v>
      </c>
      <c r="F2805" t="s">
        <v>55450</v>
      </c>
      <c r="G2805" t="s">
        <v>55451</v>
      </c>
      <c r="H2805" t="s">
        <v>55452</v>
      </c>
      <c r="I2805" t="s">
        <v>55453</v>
      </c>
      <c r="J2805" t="s">
        <v>55454</v>
      </c>
      <c r="K2805" t="s">
        <v>55455</v>
      </c>
      <c r="L2805" t="s">
        <v>55456</v>
      </c>
      <c r="M2805" t="s">
        <v>55457</v>
      </c>
      <c r="N2805" t="s">
        <v>55458</v>
      </c>
      <c r="O2805">
        <f>-586.801460404103 -79.1424193044338 -748.856173160844</f>
        <v>-1414.8000528693808</v>
      </c>
      <c r="P2805">
        <f>-619.611063281184 -67.8172866318214 -434.242940269967</f>
        <v>-1121.6712901829724</v>
      </c>
      <c r="Q2805">
        <f>-364.035788581764 -27.3803171462391 -408.009445936728</f>
        <v>-799.42555166473107</v>
      </c>
      <c r="R2805" t="s">
        <v>55459</v>
      </c>
      <c r="S2805" t="s">
        <v>55460</v>
      </c>
      <c r="T2805" t="s">
        <v>55461</v>
      </c>
      <c r="U2805" t="s">
        <v>55462</v>
      </c>
      <c r="V2805" t="s">
        <v>55463</v>
      </c>
      <c r="W2805" t="s">
        <v>55464</v>
      </c>
      <c r="X2805" t="s">
        <v>55465</v>
      </c>
      <c r="Y2805" t="s">
        <v>55466</v>
      </c>
    </row>
    <row r="2806" spans="1:25" x14ac:dyDescent="0.3">
      <c r="A2806">
        <v>140250</v>
      </c>
      <c r="B2806" t="s">
        <v>55467</v>
      </c>
      <c r="C2806" t="s">
        <v>55468</v>
      </c>
      <c r="D2806" t="s">
        <v>55469</v>
      </c>
      <c r="E2806" t="s">
        <v>55470</v>
      </c>
      <c r="F2806" t="s">
        <v>55471</v>
      </c>
      <c r="G2806" t="s">
        <v>55472</v>
      </c>
      <c r="H2806" t="s">
        <v>55473</v>
      </c>
      <c r="I2806" t="s">
        <v>55474</v>
      </c>
      <c r="J2806" t="s">
        <v>55475</v>
      </c>
      <c r="K2806" t="s">
        <v>55476</v>
      </c>
      <c r="L2806" t="s">
        <v>55477</v>
      </c>
      <c r="M2806" t="s">
        <v>55478</v>
      </c>
      <c r="N2806" t="s">
        <v>55479</v>
      </c>
      <c r="O2806">
        <f>-585.719136379589 -79.4619696104674 -748.963531990412</f>
        <v>-1414.1446379804684</v>
      </c>
      <c r="P2806">
        <f>-618.659685619579 -68.5864108324648 -434.348188346001</f>
        <v>-1121.5942847980448</v>
      </c>
      <c r="Q2806">
        <f>-363.13421472115 -28.0750630303988 -407.747004194905</f>
        <v>-798.95628194645383</v>
      </c>
      <c r="R2806" t="s">
        <v>55480</v>
      </c>
      <c r="S2806" t="s">
        <v>55481</v>
      </c>
      <c r="T2806" t="s">
        <v>55482</v>
      </c>
      <c r="U2806" t="s">
        <v>55483</v>
      </c>
      <c r="V2806" t="s">
        <v>55484</v>
      </c>
      <c r="W2806" t="s">
        <v>55485</v>
      </c>
      <c r="X2806" t="s">
        <v>55486</v>
      </c>
      <c r="Y2806" t="s">
        <v>55487</v>
      </c>
    </row>
    <row r="2807" spans="1:25" x14ac:dyDescent="0.3">
      <c r="A2807">
        <v>140300</v>
      </c>
      <c r="B2807" t="s">
        <v>55488</v>
      </c>
      <c r="C2807" t="s">
        <v>55489</v>
      </c>
      <c r="D2807" t="s">
        <v>55490</v>
      </c>
      <c r="E2807" t="s">
        <v>55491</v>
      </c>
      <c r="F2807" t="s">
        <v>55492</v>
      </c>
      <c r="G2807" t="s">
        <v>55493</v>
      </c>
      <c r="H2807" t="s">
        <v>55494</v>
      </c>
      <c r="I2807" t="s">
        <v>55495</v>
      </c>
      <c r="J2807" t="s">
        <v>55496</v>
      </c>
      <c r="K2807" t="s">
        <v>55497</v>
      </c>
      <c r="L2807" t="s">
        <v>55498</v>
      </c>
      <c r="M2807" t="s">
        <v>55499</v>
      </c>
      <c r="N2807" t="s">
        <v>55500</v>
      </c>
      <c r="O2807">
        <f>-585.097112778907 -79.4573101383421 -749.151913704287</f>
        <v>-1413.7063366215361</v>
      </c>
      <c r="P2807">
        <f>-618.112794805413 -68.590281269432 -434.544121898715</f>
        <v>-1121.2471979735601</v>
      </c>
      <c r="Q2807">
        <f>-362.597163519623 -28.0779666046704 -407.850126393102</f>
        <v>-798.52525651739541</v>
      </c>
      <c r="R2807" t="s">
        <v>55501</v>
      </c>
      <c r="S2807" t="s">
        <v>55502</v>
      </c>
      <c r="T2807" t="s">
        <v>55503</v>
      </c>
      <c r="U2807" t="s">
        <v>55504</v>
      </c>
      <c r="V2807" t="s">
        <v>55505</v>
      </c>
      <c r="W2807" t="s">
        <v>55506</v>
      </c>
      <c r="X2807" t="s">
        <v>55507</v>
      </c>
      <c r="Y2807" t="s">
        <v>55508</v>
      </c>
    </row>
    <row r="2808" spans="1:25" x14ac:dyDescent="0.3">
      <c r="A2808">
        <v>140350</v>
      </c>
      <c r="B2808" t="s">
        <v>55509</v>
      </c>
      <c r="C2808" t="s">
        <v>55510</v>
      </c>
      <c r="D2808" t="s">
        <v>55511</v>
      </c>
      <c r="E2808" t="s">
        <v>55512</v>
      </c>
      <c r="F2808" t="s">
        <v>55513</v>
      </c>
      <c r="G2808" t="s">
        <v>55514</v>
      </c>
      <c r="H2808" t="s">
        <v>55515</v>
      </c>
      <c r="I2808" t="s">
        <v>55516</v>
      </c>
      <c r="J2808" t="s">
        <v>55517</v>
      </c>
      <c r="K2808" t="s">
        <v>55518</v>
      </c>
      <c r="L2808" t="s">
        <v>55519</v>
      </c>
      <c r="M2808" t="s">
        <v>55520</v>
      </c>
      <c r="N2808" t="s">
        <v>55521</v>
      </c>
      <c r="O2808">
        <f>-583.374771738619 -79.459009129065 -749.438701142651</f>
        <v>-1412.2724820103349</v>
      </c>
      <c r="P2808">
        <f>-616.549885748507 -68.9173260643292 -434.836578421579</f>
        <v>-1120.3037902344154</v>
      </c>
      <c r="Q2808">
        <f>-361.062847246622 -28.3412231440089 -407.966589250605</f>
        <v>-797.37065964123599</v>
      </c>
      <c r="R2808" t="s">
        <v>55522</v>
      </c>
      <c r="S2808" t="s">
        <v>55523</v>
      </c>
      <c r="T2808" t="s">
        <v>55524</v>
      </c>
      <c r="U2808" t="s">
        <v>55525</v>
      </c>
      <c r="V2808" t="s">
        <v>55526</v>
      </c>
      <c r="W2808" t="s">
        <v>55527</v>
      </c>
      <c r="X2808" t="s">
        <v>55528</v>
      </c>
      <c r="Y2808" t="s">
        <v>55529</v>
      </c>
    </row>
    <row r="2809" spans="1:25" x14ac:dyDescent="0.3">
      <c r="A2809">
        <v>140400</v>
      </c>
      <c r="B2809" t="s">
        <v>55530</v>
      </c>
      <c r="C2809" t="s">
        <v>55531</v>
      </c>
      <c r="D2809" t="s">
        <v>55532</v>
      </c>
      <c r="E2809" t="s">
        <v>55533</v>
      </c>
      <c r="F2809" t="s">
        <v>55534</v>
      </c>
      <c r="G2809" t="s">
        <v>55535</v>
      </c>
      <c r="H2809" t="s">
        <v>55536</v>
      </c>
      <c r="I2809" t="s">
        <v>55537</v>
      </c>
      <c r="J2809" t="s">
        <v>55538</v>
      </c>
      <c r="K2809" t="s">
        <v>55539</v>
      </c>
      <c r="L2809" t="s">
        <v>55540</v>
      </c>
      <c r="M2809" t="s">
        <v>55541</v>
      </c>
      <c r="N2809" t="s">
        <v>55542</v>
      </c>
      <c r="O2809">
        <f>-582.228652594946 -79.5149170257216 -749.632188079385</f>
        <v>-1411.3757577000524</v>
      </c>
      <c r="P2809">
        <f>-615.634103355728 -69.028130364543 -435.05268814269</f>
        <v>-1119.7149218629611</v>
      </c>
      <c r="Q2809">
        <f>-360.16804598001 -28.3530136624981 -408.132944716097</f>
        <v>-796.65400435860511</v>
      </c>
      <c r="R2809" t="s">
        <v>55543</v>
      </c>
      <c r="S2809" t="s">
        <v>55544</v>
      </c>
      <c r="T2809" t="s">
        <v>55545</v>
      </c>
      <c r="U2809" t="s">
        <v>55546</v>
      </c>
      <c r="V2809" t="s">
        <v>55547</v>
      </c>
      <c r="W2809" t="s">
        <v>55548</v>
      </c>
      <c r="X2809" t="s">
        <v>55549</v>
      </c>
      <c r="Y2809" t="s">
        <v>55550</v>
      </c>
    </row>
    <row r="2810" spans="1:25" x14ac:dyDescent="0.3">
      <c r="A2810">
        <v>140450</v>
      </c>
      <c r="B2810" t="s">
        <v>55551</v>
      </c>
      <c r="C2810" t="s">
        <v>55552</v>
      </c>
      <c r="D2810" t="s">
        <v>55553</v>
      </c>
      <c r="E2810" t="s">
        <v>55554</v>
      </c>
      <c r="F2810" t="s">
        <v>55555</v>
      </c>
      <c r="G2810" t="s">
        <v>55556</v>
      </c>
      <c r="H2810" t="s">
        <v>55557</v>
      </c>
      <c r="I2810" t="s">
        <v>55558</v>
      </c>
      <c r="J2810" t="s">
        <v>55559</v>
      </c>
      <c r="K2810" t="s">
        <v>55560</v>
      </c>
      <c r="L2810" t="s">
        <v>55561</v>
      </c>
      <c r="M2810" t="s">
        <v>55562</v>
      </c>
      <c r="N2810" t="s">
        <v>55563</v>
      </c>
      <c r="O2810">
        <f>-579.788358561691 -79.5640870290133 -749.91492421718</f>
        <v>-1409.2673698078843</v>
      </c>
      <c r="P2810">
        <f>-613.614942272158 -69.5513229246287 -435.364973704776</f>
        <v>-1118.5312389015628</v>
      </c>
      <c r="Q2810">
        <f>-358.25077700292 -28.4246416613507 -408.165812241383</f>
        <v>-794.84123090565367</v>
      </c>
      <c r="R2810" t="s">
        <v>55564</v>
      </c>
      <c r="S2810" t="s">
        <v>55565</v>
      </c>
      <c r="T2810" t="s">
        <v>55566</v>
      </c>
      <c r="U2810" t="s">
        <v>55567</v>
      </c>
      <c r="V2810" t="s">
        <v>55568</v>
      </c>
      <c r="W2810" t="s">
        <v>55569</v>
      </c>
      <c r="X2810" t="s">
        <v>55570</v>
      </c>
      <c r="Y2810" t="s">
        <v>55571</v>
      </c>
    </row>
    <row r="2811" spans="1:25" x14ac:dyDescent="0.3">
      <c r="A2811">
        <v>140500</v>
      </c>
      <c r="B2811" t="s">
        <v>55572</v>
      </c>
      <c r="C2811" t="s">
        <v>55573</v>
      </c>
      <c r="D2811" t="s">
        <v>55574</v>
      </c>
      <c r="E2811" t="s">
        <v>55575</v>
      </c>
      <c r="F2811" t="s">
        <v>55576</v>
      </c>
      <c r="G2811" t="s">
        <v>55577</v>
      </c>
      <c r="H2811" t="s">
        <v>55578</v>
      </c>
      <c r="I2811" t="s">
        <v>55579</v>
      </c>
      <c r="J2811" t="s">
        <v>55580</v>
      </c>
      <c r="K2811" t="s">
        <v>55581</v>
      </c>
      <c r="L2811" t="s">
        <v>55582</v>
      </c>
      <c r="M2811" t="s">
        <v>55583</v>
      </c>
      <c r="N2811" t="s">
        <v>55584</v>
      </c>
      <c r="O2811">
        <f>-579.041847656197 -79.6091159829508 -750.057570358347</f>
        <v>-1408.7085339974947</v>
      </c>
      <c r="P2811">
        <f>-612.769139588964 -69.5924781979493 -435.497133078554</f>
        <v>-1117.8587508654673</v>
      </c>
      <c r="Q2811">
        <f>-357.439107991836 -28.2962677530705 -408.234939655548</f>
        <v>-793.97031540045441</v>
      </c>
      <c r="R2811" t="s">
        <v>55585</v>
      </c>
      <c r="S2811" t="s">
        <v>55586</v>
      </c>
      <c r="T2811" t="s">
        <v>55587</v>
      </c>
      <c r="U2811" t="s">
        <v>55588</v>
      </c>
      <c r="V2811" t="s">
        <v>55589</v>
      </c>
      <c r="W2811" t="s">
        <v>55590</v>
      </c>
      <c r="X2811" t="s">
        <v>55591</v>
      </c>
      <c r="Y2811" t="s">
        <v>55592</v>
      </c>
    </row>
    <row r="2812" spans="1:25" x14ac:dyDescent="0.3">
      <c r="A2812">
        <v>140550</v>
      </c>
      <c r="B2812" t="s">
        <v>55593</v>
      </c>
      <c r="C2812" t="s">
        <v>55594</v>
      </c>
      <c r="D2812" t="s">
        <v>55595</v>
      </c>
      <c r="E2812" t="s">
        <v>55596</v>
      </c>
      <c r="F2812" t="s">
        <v>55597</v>
      </c>
      <c r="G2812" t="s">
        <v>55598</v>
      </c>
      <c r="H2812" t="s">
        <v>55599</v>
      </c>
      <c r="I2812" t="s">
        <v>55600</v>
      </c>
      <c r="J2812" t="s">
        <v>55601</v>
      </c>
      <c r="K2812" t="s">
        <v>55602</v>
      </c>
      <c r="L2812" t="s">
        <v>55603</v>
      </c>
      <c r="M2812" t="s">
        <v>55604</v>
      </c>
      <c r="N2812" t="s">
        <v>55605</v>
      </c>
      <c r="O2812">
        <f>-577.492034284892 -79.4608313357211 -750.257807865327</f>
        <v>-1407.2106734859401</v>
      </c>
      <c r="P2812">
        <f>-610.789147857991 -69.6853081901515 -435.643959189948</f>
        <v>-1116.1184152380906</v>
      </c>
      <c r="Q2812">
        <f>-355.52984179476 -27.7057608858537 -408.764963301715</f>
        <v>-792.00056598232868</v>
      </c>
      <c r="R2812" t="s">
        <v>55606</v>
      </c>
      <c r="S2812" t="s">
        <v>55607</v>
      </c>
      <c r="T2812" t="s">
        <v>55608</v>
      </c>
      <c r="U2812" t="s">
        <v>55609</v>
      </c>
      <c r="V2812" t="s">
        <v>55610</v>
      </c>
      <c r="W2812" t="s">
        <v>55611</v>
      </c>
      <c r="X2812" t="s">
        <v>55612</v>
      </c>
      <c r="Y2812" t="s">
        <v>55613</v>
      </c>
    </row>
    <row r="2813" spans="1:25" x14ac:dyDescent="0.3">
      <c r="A2813">
        <v>140600</v>
      </c>
      <c r="B2813" t="s">
        <v>55614</v>
      </c>
      <c r="C2813" t="s">
        <v>55615</v>
      </c>
      <c r="D2813" t="s">
        <v>55616</v>
      </c>
      <c r="E2813" t="s">
        <v>55617</v>
      </c>
      <c r="F2813" t="s">
        <v>55618</v>
      </c>
      <c r="G2813" t="s">
        <v>55619</v>
      </c>
      <c r="H2813" t="s">
        <v>55620</v>
      </c>
      <c r="I2813" t="s">
        <v>55621</v>
      </c>
      <c r="J2813" t="s">
        <v>55622</v>
      </c>
      <c r="K2813" t="s">
        <v>55623</v>
      </c>
      <c r="L2813" t="s">
        <v>55624</v>
      </c>
      <c r="M2813" t="s">
        <v>55625</v>
      </c>
      <c r="N2813" t="s">
        <v>55626</v>
      </c>
      <c r="O2813">
        <f>-576.82316239823 -79.2656985654487 -750.337381796108</f>
        <v>-1406.4262427597869</v>
      </c>
      <c r="P2813">
        <f>-609.896991367416 -69.6175999657004 -435.695968697955</f>
        <v>-1115.2105600310715</v>
      </c>
      <c r="Q2813">
        <f>-354.719584988386 -27.0706510275217 -408.93267181059</f>
        <v>-790.7229078264977</v>
      </c>
      <c r="R2813" t="s">
        <v>55627</v>
      </c>
      <c r="S2813" t="s">
        <v>55628</v>
      </c>
      <c r="T2813" t="s">
        <v>55629</v>
      </c>
      <c r="U2813" t="s">
        <v>55630</v>
      </c>
      <c r="V2813" t="s">
        <v>55631</v>
      </c>
      <c r="W2813" t="s">
        <v>55632</v>
      </c>
      <c r="X2813" t="s">
        <v>55633</v>
      </c>
      <c r="Y2813" t="s">
        <v>55634</v>
      </c>
    </row>
    <row r="2814" spans="1:25" x14ac:dyDescent="0.3">
      <c r="A2814">
        <v>140650</v>
      </c>
      <c r="B2814" t="s">
        <v>55635</v>
      </c>
      <c r="C2814" t="s">
        <v>55636</v>
      </c>
      <c r="D2814" t="s">
        <v>55637</v>
      </c>
      <c r="E2814" t="s">
        <v>55638</v>
      </c>
      <c r="F2814" t="s">
        <v>55639</v>
      </c>
      <c r="G2814" t="s">
        <v>55640</v>
      </c>
      <c r="H2814" t="s">
        <v>55641</v>
      </c>
      <c r="I2814" t="s">
        <v>55642</v>
      </c>
      <c r="J2814" t="s">
        <v>55643</v>
      </c>
      <c r="K2814" t="s">
        <v>55644</v>
      </c>
      <c r="L2814" t="s">
        <v>55645</v>
      </c>
      <c r="M2814" t="s">
        <v>55646</v>
      </c>
      <c r="N2814" t="s">
        <v>55647</v>
      </c>
      <c r="O2814">
        <f>-575.816713990491 -79.5424396593837 -750.309956947638</f>
        <v>-1405.6691105975128</v>
      </c>
      <c r="P2814">
        <f>-608.659885336644 -69.9888904783123 -435.641550888014</f>
        <v>-1114.2903267029712</v>
      </c>
      <c r="Q2814">
        <f>-353.603562503827 -26.3095770183504 -409.556557569401</f>
        <v>-789.46969709157838</v>
      </c>
      <c r="R2814" t="s">
        <v>55648</v>
      </c>
      <c r="S2814" t="s">
        <v>55649</v>
      </c>
      <c r="T2814" t="s">
        <v>55650</v>
      </c>
      <c r="U2814" t="s">
        <v>55651</v>
      </c>
      <c r="V2814" t="s">
        <v>55652</v>
      </c>
      <c r="W2814" t="s">
        <v>55653</v>
      </c>
      <c r="X2814" t="s">
        <v>55654</v>
      </c>
      <c r="Y2814" t="s">
        <v>55655</v>
      </c>
    </row>
    <row r="2815" spans="1:25" x14ac:dyDescent="0.3">
      <c r="A2815">
        <v>140700</v>
      </c>
      <c r="B2815" t="s">
        <v>55656</v>
      </c>
      <c r="C2815" t="s">
        <v>55657</v>
      </c>
      <c r="D2815" t="s">
        <v>55658</v>
      </c>
      <c r="E2815" t="s">
        <v>55659</v>
      </c>
      <c r="F2815" t="s">
        <v>55660</v>
      </c>
      <c r="G2815" t="s">
        <v>55661</v>
      </c>
      <c r="H2815" t="s">
        <v>55662</v>
      </c>
      <c r="I2815" t="s">
        <v>55663</v>
      </c>
      <c r="J2815" t="s">
        <v>55664</v>
      </c>
      <c r="K2815" t="s">
        <v>55665</v>
      </c>
      <c r="L2815" t="s">
        <v>55666</v>
      </c>
      <c r="M2815" t="s">
        <v>55667</v>
      </c>
      <c r="N2815" t="s">
        <v>55668</v>
      </c>
      <c r="O2815">
        <f>-575.695287606627 -79.3320704185348 -750.248714753828</f>
        <v>-1405.2760727789898</v>
      </c>
      <c r="P2815">
        <f>-608.253210266622 -69.9193046126638 -435.546397193893</f>
        <v>-1113.7189120731787</v>
      </c>
      <c r="Q2815">
        <f>-353.223372379463 -26.0041206427543 -409.597947834465</f>
        <v>-788.82544085668223</v>
      </c>
      <c r="R2815" t="s">
        <v>55669</v>
      </c>
      <c r="S2815" t="s">
        <v>55670</v>
      </c>
      <c r="T2815" t="s">
        <v>55671</v>
      </c>
      <c r="U2815" t="s">
        <v>55672</v>
      </c>
      <c r="V2815" t="s">
        <v>55673</v>
      </c>
      <c r="W2815" t="s">
        <v>55674</v>
      </c>
      <c r="X2815" t="s">
        <v>55675</v>
      </c>
      <c r="Y2815" t="s">
        <v>55676</v>
      </c>
    </row>
    <row r="2816" spans="1:25" x14ac:dyDescent="0.3">
      <c r="A2816">
        <v>140750</v>
      </c>
      <c r="B2816" t="s">
        <v>55677</v>
      </c>
      <c r="C2816" t="s">
        <v>55678</v>
      </c>
      <c r="D2816" t="s">
        <v>55679</v>
      </c>
      <c r="E2816" t="s">
        <v>55680</v>
      </c>
      <c r="F2816" t="s">
        <v>55681</v>
      </c>
      <c r="G2816" t="s">
        <v>55682</v>
      </c>
      <c r="H2816" t="s">
        <v>55683</v>
      </c>
      <c r="I2816" t="s">
        <v>55684</v>
      </c>
      <c r="J2816" t="s">
        <v>55685</v>
      </c>
      <c r="K2816" t="s">
        <v>55686</v>
      </c>
      <c r="L2816" t="s">
        <v>55687</v>
      </c>
      <c r="M2816" t="s">
        <v>55688</v>
      </c>
      <c r="N2816" t="s">
        <v>55689</v>
      </c>
      <c r="O2816">
        <f>-575.206474637592 -79.5465468775246 -750.067879559295</f>
        <v>-1404.8209010744117</v>
      </c>
      <c r="P2816">
        <f>-606.888995981803 -70.1053097041612 -435.276986022924</f>
        <v>-1112.2712917088882</v>
      </c>
      <c r="Q2816">
        <f>-352.031491952512 -25.0399709859403 -409.609250219579</f>
        <v>-786.68071315803127</v>
      </c>
      <c r="R2816" t="s">
        <v>55690</v>
      </c>
      <c r="S2816" t="s">
        <v>55691</v>
      </c>
      <c r="T2816" t="s">
        <v>55692</v>
      </c>
      <c r="U2816" t="s">
        <v>55693</v>
      </c>
      <c r="V2816" t="s">
        <v>55694</v>
      </c>
      <c r="W2816" t="s">
        <v>55695</v>
      </c>
      <c r="X2816" t="s">
        <v>55696</v>
      </c>
      <c r="Y2816" t="s">
        <v>55697</v>
      </c>
    </row>
    <row r="2817" spans="1:25" x14ac:dyDescent="0.3">
      <c r="A2817">
        <v>140800</v>
      </c>
      <c r="B2817" t="s">
        <v>55698</v>
      </c>
      <c r="C2817" t="s">
        <v>55699</v>
      </c>
      <c r="D2817" t="s">
        <v>55700</v>
      </c>
      <c r="E2817" t="s">
        <v>55701</v>
      </c>
      <c r="F2817" t="s">
        <v>55702</v>
      </c>
      <c r="G2817" t="s">
        <v>55703</v>
      </c>
      <c r="H2817" t="s">
        <v>55704</v>
      </c>
      <c r="I2817" t="s">
        <v>55705</v>
      </c>
      <c r="J2817" t="s">
        <v>55706</v>
      </c>
      <c r="K2817" t="s">
        <v>55707</v>
      </c>
      <c r="L2817" t="s">
        <v>55708</v>
      </c>
      <c r="M2817" t="s">
        <v>55709</v>
      </c>
      <c r="N2817" t="s">
        <v>55710</v>
      </c>
      <c r="O2817">
        <f>-575.318231511669 -79.3941692608513 -749.892730951312</f>
        <v>-1404.6051317238323</v>
      </c>
      <c r="P2817">
        <f>-606.61810508518 -69.733260862762 -435.070232098136</f>
        <v>-1111.4215980460781</v>
      </c>
      <c r="Q2817">
        <f>-351.856260053405 -23.7399012797553 -410.109566512578</f>
        <v>-785.70572784573824</v>
      </c>
      <c r="R2817" t="s">
        <v>55711</v>
      </c>
      <c r="S2817" t="s">
        <v>55712</v>
      </c>
      <c r="T2817" t="s">
        <v>55713</v>
      </c>
      <c r="U2817" t="s">
        <v>55714</v>
      </c>
      <c r="V2817" t="s">
        <v>55715</v>
      </c>
      <c r="W2817" t="s">
        <v>55716</v>
      </c>
      <c r="X2817" t="s">
        <v>55717</v>
      </c>
      <c r="Y2817" t="s">
        <v>55718</v>
      </c>
    </row>
    <row r="2818" spans="1:25" x14ac:dyDescent="0.3">
      <c r="A2818">
        <v>140850</v>
      </c>
      <c r="B2818" t="s">
        <v>55719</v>
      </c>
      <c r="C2818" t="s">
        <v>55720</v>
      </c>
      <c r="D2818" t="s">
        <v>55721</v>
      </c>
      <c r="E2818" t="s">
        <v>55722</v>
      </c>
      <c r="F2818" t="s">
        <v>55723</v>
      </c>
      <c r="G2818" t="s">
        <v>55724</v>
      </c>
      <c r="H2818" t="s">
        <v>55725</v>
      </c>
      <c r="I2818" t="s">
        <v>55726</v>
      </c>
      <c r="J2818" t="s">
        <v>55727</v>
      </c>
      <c r="K2818" t="s">
        <v>55728</v>
      </c>
      <c r="L2818" t="s">
        <v>55729</v>
      </c>
      <c r="M2818" t="s">
        <v>55730</v>
      </c>
      <c r="N2818" t="s">
        <v>55731</v>
      </c>
      <c r="O2818">
        <f>-575.933831060049 -79.5042128402521 -749.547930609783</f>
        <v>-1404.9859745100839</v>
      </c>
      <c r="P2818">
        <f>-606.244847516167 -69.653691336577 -434.634735177354</f>
        <v>-1110.533274030098</v>
      </c>
      <c r="Q2818">
        <f>-351.748697138224 -21.9038783916199 -410.268475983024</f>
        <v>-783.92105151286796</v>
      </c>
      <c r="R2818" t="s">
        <v>55732</v>
      </c>
      <c r="S2818" t="s">
        <v>55733</v>
      </c>
      <c r="T2818" t="s">
        <v>55734</v>
      </c>
      <c r="U2818" t="s">
        <v>55735</v>
      </c>
      <c r="V2818" t="s">
        <v>55736</v>
      </c>
      <c r="W2818" t="s">
        <v>55737</v>
      </c>
      <c r="X2818" t="s">
        <v>55738</v>
      </c>
      <c r="Y2818" t="s">
        <v>55739</v>
      </c>
    </row>
    <row r="2819" spans="1:25" x14ac:dyDescent="0.3">
      <c r="A2819">
        <v>140900</v>
      </c>
      <c r="B2819" t="s">
        <v>55740</v>
      </c>
      <c r="C2819" t="s">
        <v>55741</v>
      </c>
      <c r="D2819" t="s">
        <v>55742</v>
      </c>
      <c r="E2819" t="s">
        <v>55743</v>
      </c>
      <c r="F2819" t="s">
        <v>55744</v>
      </c>
      <c r="G2819" t="s">
        <v>55745</v>
      </c>
      <c r="H2819" t="s">
        <v>55746</v>
      </c>
      <c r="I2819" t="s">
        <v>55747</v>
      </c>
      <c r="J2819" t="s">
        <v>55748</v>
      </c>
      <c r="K2819" t="s">
        <v>55749</v>
      </c>
      <c r="L2819" t="s">
        <v>55750</v>
      </c>
      <c r="M2819" t="s">
        <v>55751</v>
      </c>
      <c r="N2819" t="s">
        <v>55752</v>
      </c>
      <c r="O2819">
        <f>-576.632670007463 -79.8769595507754 -749.399805948348</f>
        <v>-1405.9094355065863</v>
      </c>
      <c r="P2819">
        <f>-606.393390625998 -69.8659729063575 -434.439013633409</f>
        <v>-1110.6983771657644</v>
      </c>
      <c r="Q2819">
        <f>-352.014082074595 -21.5824885389423 -409.904903655828</f>
        <v>-783.5014742693653</v>
      </c>
      <c r="R2819" t="s">
        <v>55753</v>
      </c>
      <c r="S2819" t="s">
        <v>55754</v>
      </c>
      <c r="T2819" t="s">
        <v>55755</v>
      </c>
      <c r="U2819" t="s">
        <v>55756</v>
      </c>
      <c r="V2819" t="s">
        <v>55757</v>
      </c>
      <c r="W2819" t="s">
        <v>55758</v>
      </c>
      <c r="X2819" t="s">
        <v>55759</v>
      </c>
      <c r="Y2819" t="s">
        <v>55760</v>
      </c>
    </row>
    <row r="2820" spans="1:25" x14ac:dyDescent="0.3">
      <c r="A2820">
        <v>140950</v>
      </c>
      <c r="B2820" t="s">
        <v>55761</v>
      </c>
      <c r="C2820" t="s">
        <v>55762</v>
      </c>
      <c r="D2820" t="s">
        <v>55763</v>
      </c>
      <c r="E2820" t="s">
        <v>55764</v>
      </c>
      <c r="F2820" t="s">
        <v>55765</v>
      </c>
      <c r="G2820" t="s">
        <v>55766</v>
      </c>
      <c r="H2820" t="s">
        <v>55767</v>
      </c>
      <c r="I2820" t="s">
        <v>55768</v>
      </c>
      <c r="J2820" t="s">
        <v>55769</v>
      </c>
      <c r="K2820" t="s">
        <v>55770</v>
      </c>
      <c r="L2820" t="s">
        <v>55771</v>
      </c>
      <c r="M2820" t="s">
        <v>55772</v>
      </c>
      <c r="N2820" t="s">
        <v>55773</v>
      </c>
      <c r="O2820">
        <f>-577.704081253574 -81.1392685982262 -748.907950357373</f>
        <v>-1407.7513002091732</v>
      </c>
      <c r="P2820">
        <f>-607.063776434441 -70.494870638154 -433.930327173462</f>
        <v>-1111.4889742460571</v>
      </c>
      <c r="Q2820">
        <f>-352.638892980005 -22.2845155536233 -409.727135389546</f>
        <v>-784.65054392317427</v>
      </c>
      <c r="R2820" t="s">
        <v>55774</v>
      </c>
      <c r="S2820" t="s">
        <v>55775</v>
      </c>
      <c r="T2820" t="s">
        <v>55776</v>
      </c>
      <c r="U2820" t="s">
        <v>55777</v>
      </c>
      <c r="V2820" t="s">
        <v>55778</v>
      </c>
      <c r="W2820" t="s">
        <v>55779</v>
      </c>
      <c r="X2820" t="s">
        <v>55780</v>
      </c>
      <c r="Y2820" t="s">
        <v>55781</v>
      </c>
    </row>
    <row r="2821" spans="1:25" x14ac:dyDescent="0.3">
      <c r="A2821">
        <v>141000</v>
      </c>
      <c r="B2821" t="s">
        <v>55782</v>
      </c>
      <c r="C2821" t="s">
        <v>55783</v>
      </c>
      <c r="D2821" t="s">
        <v>55784</v>
      </c>
      <c r="E2821" t="s">
        <v>55785</v>
      </c>
      <c r="F2821" t="s">
        <v>55786</v>
      </c>
      <c r="G2821" t="s">
        <v>55787</v>
      </c>
      <c r="H2821" t="s">
        <v>55788</v>
      </c>
      <c r="I2821" t="s">
        <v>55789</v>
      </c>
      <c r="J2821" t="s">
        <v>55790</v>
      </c>
      <c r="K2821" t="s">
        <v>55791</v>
      </c>
      <c r="L2821" t="s">
        <v>55792</v>
      </c>
      <c r="M2821" t="s">
        <v>55793</v>
      </c>
      <c r="N2821" t="s">
        <v>55794</v>
      </c>
      <c r="O2821">
        <f>-578.303481971995 -81.5385234330496 -748.761064837251</f>
        <v>-1408.6030702422954</v>
      </c>
      <c r="P2821">
        <f>-607.486206325354 -70.836181171014 -433.769047392293</f>
        <v>-1112.0914348886611</v>
      </c>
      <c r="Q2821">
        <f>-353.007537567957 -22.7412169213616 -409.904459496015</f>
        <v>-785.65321398533365</v>
      </c>
      <c r="R2821" t="s">
        <v>55795</v>
      </c>
      <c r="S2821" t="s">
        <v>55796</v>
      </c>
      <c r="T2821" t="s">
        <v>55797</v>
      </c>
      <c r="U2821" t="s">
        <v>55798</v>
      </c>
      <c r="V2821" t="s">
        <v>55799</v>
      </c>
      <c r="W2821" t="s">
        <v>55800</v>
      </c>
      <c r="X2821" t="s">
        <v>55801</v>
      </c>
      <c r="Y2821" t="s">
        <v>55802</v>
      </c>
    </row>
    <row r="2822" spans="1:25" x14ac:dyDescent="0.3">
      <c r="A2822">
        <v>141050</v>
      </c>
      <c r="B2822" t="s">
        <v>55803</v>
      </c>
      <c r="C2822" t="s">
        <v>55804</v>
      </c>
      <c r="D2822" t="s">
        <v>55805</v>
      </c>
      <c r="E2822" t="s">
        <v>55806</v>
      </c>
      <c r="F2822" t="s">
        <v>55807</v>
      </c>
      <c r="G2822" t="s">
        <v>55808</v>
      </c>
      <c r="H2822" t="s">
        <v>55809</v>
      </c>
      <c r="I2822" t="s">
        <v>55810</v>
      </c>
      <c r="J2822" t="s">
        <v>55811</v>
      </c>
      <c r="K2822" t="s">
        <v>55812</v>
      </c>
      <c r="L2822" t="s">
        <v>55813</v>
      </c>
      <c r="M2822" t="s">
        <v>55814</v>
      </c>
      <c r="N2822" t="s">
        <v>55815</v>
      </c>
      <c r="O2822">
        <f>-579.950813766781 -82.6477248963511 -748.123310820347</f>
        <v>-1410.7218494834792</v>
      </c>
      <c r="P2822">
        <f>-608.342739489278 -71.5402538538544 -433.072903716994</f>
        <v>-1112.9558970601265</v>
      </c>
      <c r="Q2822">
        <f>-353.594859419195 -24.2614329493938 -410.483755569505</f>
        <v>-788.34004793809379</v>
      </c>
      <c r="R2822" t="s">
        <v>55816</v>
      </c>
      <c r="S2822" t="s">
        <v>55817</v>
      </c>
      <c r="T2822" t="s">
        <v>55818</v>
      </c>
      <c r="U2822" t="s">
        <v>55819</v>
      </c>
      <c r="V2822" t="s">
        <v>55820</v>
      </c>
      <c r="W2822" t="s">
        <v>55821</v>
      </c>
      <c r="X2822" t="s">
        <v>55822</v>
      </c>
      <c r="Y2822" t="s">
        <v>55823</v>
      </c>
    </row>
    <row r="2823" spans="1:25" x14ac:dyDescent="0.3">
      <c r="A2823">
        <v>141100</v>
      </c>
      <c r="B2823" t="s">
        <v>55824</v>
      </c>
      <c r="C2823" t="s">
        <v>55825</v>
      </c>
      <c r="D2823" t="s">
        <v>55826</v>
      </c>
      <c r="E2823" t="s">
        <v>55827</v>
      </c>
      <c r="F2823" t="s">
        <v>55828</v>
      </c>
      <c r="G2823" t="s">
        <v>55829</v>
      </c>
      <c r="H2823" t="s">
        <v>55830</v>
      </c>
      <c r="I2823" t="s">
        <v>55831</v>
      </c>
      <c r="J2823" t="s">
        <v>55832</v>
      </c>
      <c r="K2823" t="s">
        <v>55833</v>
      </c>
      <c r="L2823" t="s">
        <v>55834</v>
      </c>
      <c r="M2823" t="s">
        <v>55835</v>
      </c>
      <c r="N2823" t="s">
        <v>55836</v>
      </c>
      <c r="O2823">
        <f>-580.938707274217 -83.1027507059633 -747.466533031938</f>
        <v>-1411.5079910121183</v>
      </c>
      <c r="P2823">
        <f>-608.385877830623 -71.8508856493721 -432.337568340302</f>
        <v>-1112.5743318202972</v>
      </c>
      <c r="Q2823">
        <f>-353.408221433325 -25.3589449573816 -410.728739770059</f>
        <v>-789.49590616076557</v>
      </c>
      <c r="R2823" t="s">
        <v>55837</v>
      </c>
      <c r="S2823" t="s">
        <v>55838</v>
      </c>
      <c r="T2823" t="s">
        <v>55839</v>
      </c>
      <c r="U2823" t="s">
        <v>55840</v>
      </c>
      <c r="V2823" t="s">
        <v>55841</v>
      </c>
      <c r="W2823" t="s">
        <v>55842</v>
      </c>
      <c r="X2823" t="s">
        <v>55843</v>
      </c>
      <c r="Y2823" t="s">
        <v>55844</v>
      </c>
    </row>
    <row r="2824" spans="1:25" x14ac:dyDescent="0.3">
      <c r="A2824">
        <v>141150</v>
      </c>
      <c r="B2824" t="s">
        <v>55845</v>
      </c>
      <c r="C2824" t="s">
        <v>55846</v>
      </c>
      <c r="D2824" t="s">
        <v>55847</v>
      </c>
      <c r="E2824" t="s">
        <v>55848</v>
      </c>
      <c r="F2824" t="s">
        <v>55849</v>
      </c>
      <c r="G2824" t="s">
        <v>55850</v>
      </c>
      <c r="H2824" t="s">
        <v>55851</v>
      </c>
      <c r="I2824" t="s">
        <v>55852</v>
      </c>
      <c r="J2824" t="s">
        <v>55853</v>
      </c>
      <c r="K2824" t="s">
        <v>55854</v>
      </c>
      <c r="L2824" t="s">
        <v>55855</v>
      </c>
      <c r="M2824" t="s">
        <v>55856</v>
      </c>
      <c r="N2824" t="s">
        <v>55857</v>
      </c>
      <c r="O2824">
        <f>-582.55223697889 -84.3202427422822 -745.556510297942</f>
        <v>-1412.4289900191143</v>
      </c>
      <c r="P2824">
        <f>-608.666708223141 -72.3681970302203 -430.340190465267</f>
        <v>-1111.3750957186285</v>
      </c>
      <c r="Q2824">
        <f>-353.451837964686 -26.1835777302282 -410.990667065071</f>
        <v>-790.62608275998514</v>
      </c>
      <c r="R2824" t="s">
        <v>55858</v>
      </c>
      <c r="S2824" t="s">
        <v>55859</v>
      </c>
      <c r="T2824" t="s">
        <v>55860</v>
      </c>
      <c r="U2824" t="s">
        <v>55861</v>
      </c>
      <c r="V2824" t="s">
        <v>55862</v>
      </c>
      <c r="W2824" t="s">
        <v>55863</v>
      </c>
      <c r="X2824" t="s">
        <v>55864</v>
      </c>
      <c r="Y2824" t="s">
        <v>55865</v>
      </c>
    </row>
    <row r="2825" spans="1:25" x14ac:dyDescent="0.3">
      <c r="A2825">
        <v>141200</v>
      </c>
      <c r="B2825" t="s">
        <v>55866</v>
      </c>
      <c r="C2825" t="s">
        <v>55867</v>
      </c>
      <c r="D2825" t="s">
        <v>55868</v>
      </c>
      <c r="E2825" t="s">
        <v>55869</v>
      </c>
      <c r="F2825" t="s">
        <v>55870</v>
      </c>
      <c r="G2825" t="s">
        <v>55871</v>
      </c>
      <c r="H2825" t="s">
        <v>55872</v>
      </c>
      <c r="I2825" t="s">
        <v>55873</v>
      </c>
      <c r="J2825" t="s">
        <v>55874</v>
      </c>
      <c r="K2825" t="s">
        <v>55875</v>
      </c>
      <c r="L2825" t="s">
        <v>55876</v>
      </c>
      <c r="M2825" t="s">
        <v>55877</v>
      </c>
      <c r="N2825" t="s">
        <v>55878</v>
      </c>
      <c r="O2825">
        <f>-583.433511697973 -84.7727307162949 -744.758368771592</f>
        <v>-1412.9646111858599</v>
      </c>
      <c r="P2825">
        <f>-608.687313677195 -72.8139757319241 -429.472220275111</f>
        <v>-1110.9735096842301</v>
      </c>
      <c r="Q2825">
        <f>-353.458886731334 -26.3496129254578 -410.990766000017</f>
        <v>-790.79926565680876</v>
      </c>
      <c r="R2825" t="s">
        <v>55879</v>
      </c>
      <c r="S2825" t="s">
        <v>55880</v>
      </c>
      <c r="T2825" t="s">
        <v>55881</v>
      </c>
      <c r="U2825" t="s">
        <v>55882</v>
      </c>
      <c r="V2825" t="s">
        <v>55883</v>
      </c>
      <c r="W2825" t="s">
        <v>55884</v>
      </c>
      <c r="X2825" t="s">
        <v>55885</v>
      </c>
      <c r="Y2825" t="s">
        <v>55886</v>
      </c>
    </row>
    <row r="2826" spans="1:25" x14ac:dyDescent="0.3">
      <c r="A2826">
        <v>141250</v>
      </c>
      <c r="B2826" t="s">
        <v>55887</v>
      </c>
      <c r="C2826" t="s">
        <v>55888</v>
      </c>
      <c r="D2826" t="s">
        <v>55889</v>
      </c>
      <c r="E2826" t="s">
        <v>55890</v>
      </c>
      <c r="F2826" t="s">
        <v>55891</v>
      </c>
      <c r="G2826" t="s">
        <v>55892</v>
      </c>
      <c r="H2826" t="s">
        <v>55893</v>
      </c>
      <c r="I2826" t="s">
        <v>55894</v>
      </c>
      <c r="J2826" t="s">
        <v>55895</v>
      </c>
      <c r="K2826" t="s">
        <v>55896</v>
      </c>
      <c r="L2826" t="s">
        <v>55897</v>
      </c>
      <c r="M2826" t="s">
        <v>55898</v>
      </c>
      <c r="N2826" t="s">
        <v>55899</v>
      </c>
      <c r="O2826">
        <f>-584.091615373463 -85.7810865146116 -744.003205717164</f>
        <v>-1413.8759076052386</v>
      </c>
      <c r="P2826">
        <f>-607.533236950952 -73.3598144521424 -428.594958691606</f>
        <v>-1109.4880100947003</v>
      </c>
      <c r="Q2826">
        <f>-352.330116587738 -26.2021765482778 -411.577024706269</f>
        <v>-790.10931784228478</v>
      </c>
      <c r="R2826" t="s">
        <v>55900</v>
      </c>
      <c r="S2826" t="s">
        <v>55901</v>
      </c>
      <c r="T2826" t="s">
        <v>55902</v>
      </c>
      <c r="U2826" t="s">
        <v>55903</v>
      </c>
      <c r="V2826" t="s">
        <v>55904</v>
      </c>
      <c r="W2826" t="s">
        <v>55905</v>
      </c>
      <c r="X2826" t="s">
        <v>55906</v>
      </c>
      <c r="Y2826" t="s">
        <v>55907</v>
      </c>
    </row>
    <row r="2827" spans="1:25" x14ac:dyDescent="0.3">
      <c r="A2827">
        <v>141300</v>
      </c>
      <c r="B2827" t="s">
        <v>55908</v>
      </c>
      <c r="C2827" t="s">
        <v>55909</v>
      </c>
      <c r="D2827" t="s">
        <v>55910</v>
      </c>
      <c r="E2827" t="s">
        <v>55911</v>
      </c>
      <c r="F2827" t="s">
        <v>55912</v>
      </c>
      <c r="G2827" t="s">
        <v>55913</v>
      </c>
      <c r="H2827" t="s">
        <v>55914</v>
      </c>
      <c r="I2827" t="s">
        <v>55915</v>
      </c>
      <c r="J2827" t="s">
        <v>55916</v>
      </c>
      <c r="K2827" t="s">
        <v>55917</v>
      </c>
      <c r="L2827" t="s">
        <v>55918</v>
      </c>
      <c r="M2827" t="s">
        <v>55919</v>
      </c>
      <c r="N2827" t="s">
        <v>55920</v>
      </c>
      <c r="O2827">
        <f>-583.928315374923 -86.6024341348071 -743.963325054268</f>
        <v>-1414.4940745639983</v>
      </c>
      <c r="P2827">
        <f>-605.893113916719 -73.6881106443444 -428.468679895661</f>
        <v>-1108.0499044567246</v>
      </c>
      <c r="Q2827">
        <f>-350.539017485646 -27.2229845336169 -411.815800160729</f>
        <v>-789.57780217999198</v>
      </c>
      <c r="R2827" t="s">
        <v>55921</v>
      </c>
      <c r="S2827" t="s">
        <v>55922</v>
      </c>
      <c r="T2827" t="s">
        <v>55923</v>
      </c>
      <c r="U2827" t="s">
        <v>55924</v>
      </c>
      <c r="V2827" t="s">
        <v>55925</v>
      </c>
      <c r="W2827" t="s">
        <v>55926</v>
      </c>
      <c r="X2827" t="s">
        <v>55927</v>
      </c>
      <c r="Y2827" t="s">
        <v>55928</v>
      </c>
    </row>
    <row r="2828" spans="1:25" x14ac:dyDescent="0.3">
      <c r="A2828">
        <v>141350</v>
      </c>
      <c r="B2828" t="s">
        <v>55929</v>
      </c>
      <c r="C2828" t="s">
        <v>55930</v>
      </c>
      <c r="D2828" t="s">
        <v>55931</v>
      </c>
      <c r="E2828" t="s">
        <v>55932</v>
      </c>
      <c r="F2828" t="s">
        <v>55933</v>
      </c>
      <c r="G2828" t="s">
        <v>55934</v>
      </c>
      <c r="H2828" t="s">
        <v>55935</v>
      </c>
      <c r="I2828" t="s">
        <v>55936</v>
      </c>
      <c r="J2828" t="s">
        <v>55937</v>
      </c>
      <c r="K2828" t="s">
        <v>55938</v>
      </c>
      <c r="L2828" t="s">
        <v>55939</v>
      </c>
      <c r="M2828" t="s">
        <v>55940</v>
      </c>
      <c r="N2828" t="s">
        <v>55941</v>
      </c>
      <c r="O2828">
        <f>-583.84639451089 -88.0609598792925 -743.705890589982</f>
        <v>-1415.6132449801644</v>
      </c>
      <c r="P2828">
        <f>-603.863411090702 -75.2042287724712 -428.079233238994</f>
        <v>-1107.1468731021673</v>
      </c>
      <c r="Q2828">
        <f>-348.497078324674 -28.1364723240346 -413.426325534865</f>
        <v>-790.05987618357358</v>
      </c>
      <c r="R2828" t="s">
        <v>55942</v>
      </c>
      <c r="S2828" t="s">
        <v>55943</v>
      </c>
      <c r="T2828" t="s">
        <v>55944</v>
      </c>
      <c r="U2828" t="s">
        <v>55945</v>
      </c>
      <c r="V2828" t="s">
        <v>55946</v>
      </c>
      <c r="W2828" t="s">
        <v>55947</v>
      </c>
      <c r="X2828" t="s">
        <v>55948</v>
      </c>
      <c r="Y2828" t="s">
        <v>55949</v>
      </c>
    </row>
    <row r="2829" spans="1:25" x14ac:dyDescent="0.3">
      <c r="A2829">
        <v>141400</v>
      </c>
      <c r="B2829" t="s">
        <v>55950</v>
      </c>
      <c r="C2829" t="s">
        <v>55951</v>
      </c>
      <c r="D2829" t="s">
        <v>55952</v>
      </c>
      <c r="E2829" t="s">
        <v>55953</v>
      </c>
      <c r="F2829" t="s">
        <v>55954</v>
      </c>
      <c r="G2829" t="s">
        <v>55955</v>
      </c>
      <c r="H2829" t="s">
        <v>55956</v>
      </c>
      <c r="I2829" t="s">
        <v>55957</v>
      </c>
      <c r="J2829" t="s">
        <v>55958</v>
      </c>
      <c r="K2829" t="s">
        <v>55959</v>
      </c>
      <c r="L2829" t="s">
        <v>55960</v>
      </c>
      <c r="M2829" t="s">
        <v>55961</v>
      </c>
      <c r="N2829" t="s">
        <v>55962</v>
      </c>
      <c r="O2829">
        <f>-583.567509510415 -88.7150132046656 -743.608643675131</f>
        <v>-1415.8911663902118</v>
      </c>
      <c r="P2829">
        <f>-602.76902264703 -75.9971641180752 -427.925718967265</f>
        <v>-1106.6919057323703</v>
      </c>
      <c r="Q2829">
        <f>-347.352508036711 -28.897644644869 -414.2848008818</f>
        <v>-790.53495356337999</v>
      </c>
      <c r="R2829" t="s">
        <v>55963</v>
      </c>
      <c r="S2829" t="s">
        <v>55964</v>
      </c>
      <c r="T2829" t="s">
        <v>55965</v>
      </c>
      <c r="U2829" t="s">
        <v>55966</v>
      </c>
      <c r="V2829" t="s">
        <v>55967</v>
      </c>
      <c r="W2829" t="s">
        <v>55968</v>
      </c>
      <c r="X2829" t="s">
        <v>55969</v>
      </c>
      <c r="Y2829" t="s">
        <v>55970</v>
      </c>
    </row>
    <row r="2830" spans="1:25" x14ac:dyDescent="0.3">
      <c r="A2830">
        <v>141450</v>
      </c>
      <c r="B2830" t="s">
        <v>55971</v>
      </c>
      <c r="C2830" t="s">
        <v>55972</v>
      </c>
      <c r="D2830" t="s">
        <v>55973</v>
      </c>
      <c r="E2830" t="s">
        <v>55974</v>
      </c>
      <c r="F2830" t="s">
        <v>55975</v>
      </c>
      <c r="G2830" t="s">
        <v>55976</v>
      </c>
      <c r="H2830" t="s">
        <v>55977</v>
      </c>
      <c r="I2830" t="s">
        <v>55978</v>
      </c>
      <c r="J2830" t="s">
        <v>55979</v>
      </c>
      <c r="K2830" t="s">
        <v>55980</v>
      </c>
      <c r="L2830" t="s">
        <v>55981</v>
      </c>
      <c r="M2830" t="s">
        <v>55982</v>
      </c>
      <c r="N2830" t="s">
        <v>55983</v>
      </c>
      <c r="O2830">
        <f>-583.6583241417 -90.1724205513361 -743.156430816525</f>
        <v>-1416.987175509561</v>
      </c>
      <c r="P2830">
        <f>-601.688670284444 -77.5542473122535 -427.400322699479</f>
        <v>-1106.6432402961764</v>
      </c>
      <c r="Q2830">
        <f>-346.06232709402 -31.1489667691638 -415.409741866162</f>
        <v>-792.62103572934575</v>
      </c>
      <c r="R2830" t="s">
        <v>55984</v>
      </c>
      <c r="S2830" t="s">
        <v>55985</v>
      </c>
      <c r="T2830" t="s">
        <v>55986</v>
      </c>
      <c r="U2830" t="s">
        <v>55987</v>
      </c>
      <c r="V2830" t="s">
        <v>55988</v>
      </c>
      <c r="W2830" t="s">
        <v>55989</v>
      </c>
      <c r="X2830" t="s">
        <v>55990</v>
      </c>
      <c r="Y2830" t="s">
        <v>55991</v>
      </c>
    </row>
    <row r="2831" spans="1:25" x14ac:dyDescent="0.3">
      <c r="A2831">
        <v>141500</v>
      </c>
      <c r="B2831" t="s">
        <v>55992</v>
      </c>
      <c r="C2831" t="s">
        <v>55993</v>
      </c>
      <c r="D2831" t="s">
        <v>55994</v>
      </c>
      <c r="E2831" t="s">
        <v>55995</v>
      </c>
      <c r="F2831" t="s">
        <v>55996</v>
      </c>
      <c r="G2831" t="s">
        <v>55997</v>
      </c>
      <c r="H2831" t="s">
        <v>55998</v>
      </c>
      <c r="I2831" t="s">
        <v>55999</v>
      </c>
      <c r="J2831" t="s">
        <v>56000</v>
      </c>
      <c r="K2831" t="s">
        <v>56001</v>
      </c>
      <c r="L2831" t="s">
        <v>56002</v>
      </c>
      <c r="M2831" t="s">
        <v>56003</v>
      </c>
      <c r="N2831" t="s">
        <v>56004</v>
      </c>
      <c r="O2831">
        <f>-583.702178171926 -90.5798943767866 -742.974019671673</f>
        <v>-1417.2560922203857</v>
      </c>
      <c r="P2831">
        <f>-600.92050328865 -78.1334413625066 -427.165852469122</f>
        <v>-1106.2197971202786</v>
      </c>
      <c r="Q2831">
        <f>-345.221307935706 -32.0125221624731 -415.640539758176</f>
        <v>-792.87436985635509</v>
      </c>
      <c r="R2831" t="s">
        <v>56005</v>
      </c>
      <c r="S2831" t="s">
        <v>56006</v>
      </c>
      <c r="T2831" t="s">
        <v>56007</v>
      </c>
      <c r="U2831" t="s">
        <v>56008</v>
      </c>
      <c r="V2831" t="s">
        <v>56009</v>
      </c>
      <c r="W2831" t="s">
        <v>56010</v>
      </c>
      <c r="X2831" t="s">
        <v>56011</v>
      </c>
      <c r="Y2831" t="s">
        <v>56012</v>
      </c>
    </row>
    <row r="2832" spans="1:25" x14ac:dyDescent="0.3">
      <c r="A2832">
        <v>141550</v>
      </c>
      <c r="B2832" t="s">
        <v>56013</v>
      </c>
      <c r="C2832" t="s">
        <v>56014</v>
      </c>
      <c r="D2832" t="s">
        <v>56015</v>
      </c>
      <c r="E2832" t="s">
        <v>56016</v>
      </c>
      <c r="F2832" t="s">
        <v>56017</v>
      </c>
      <c r="G2832" t="s">
        <v>56018</v>
      </c>
      <c r="H2832" t="s">
        <v>56019</v>
      </c>
      <c r="I2832" t="s">
        <v>56020</v>
      </c>
      <c r="J2832" t="s">
        <v>56021</v>
      </c>
      <c r="K2832" t="s">
        <v>56022</v>
      </c>
      <c r="L2832" t="s">
        <v>56023</v>
      </c>
      <c r="M2832" t="s">
        <v>56024</v>
      </c>
      <c r="N2832" t="s">
        <v>56025</v>
      </c>
      <c r="O2832">
        <f>-585.503107678659 -92.3980515798193 -742.291110063181</f>
        <v>-1420.1922693216593</v>
      </c>
      <c r="P2832">
        <f>-599.469073595857 -80.3489013058741 -426.307094461464</f>
        <v>-1106.1250693631951</v>
      </c>
      <c r="Q2832">
        <f>-343.937436234704 -33.3191177445039 -414.739222924469</f>
        <v>-791.99577690367687</v>
      </c>
      <c r="R2832" t="s">
        <v>56026</v>
      </c>
      <c r="S2832" t="s">
        <v>56027</v>
      </c>
      <c r="T2832" t="s">
        <v>56028</v>
      </c>
      <c r="U2832" t="s">
        <v>56029</v>
      </c>
      <c r="V2832" t="s">
        <v>56030</v>
      </c>
      <c r="W2832" t="s">
        <v>56031</v>
      </c>
      <c r="X2832" t="s">
        <v>56032</v>
      </c>
      <c r="Y2832" t="s">
        <v>56033</v>
      </c>
    </row>
    <row r="2833" spans="1:25" x14ac:dyDescent="0.3">
      <c r="A2833">
        <v>141600</v>
      </c>
      <c r="B2833" t="s">
        <v>56034</v>
      </c>
      <c r="C2833" t="s">
        <v>56035</v>
      </c>
      <c r="D2833" t="s">
        <v>56036</v>
      </c>
      <c r="E2833" t="s">
        <v>56037</v>
      </c>
      <c r="F2833" t="s">
        <v>56038</v>
      </c>
      <c r="G2833" t="s">
        <v>56039</v>
      </c>
      <c r="H2833" t="s">
        <v>56040</v>
      </c>
      <c r="I2833" t="s">
        <v>56041</v>
      </c>
      <c r="J2833" t="s">
        <v>56042</v>
      </c>
      <c r="K2833" t="s">
        <v>56043</v>
      </c>
      <c r="L2833" t="s">
        <v>56044</v>
      </c>
      <c r="M2833" t="s">
        <v>56045</v>
      </c>
      <c r="N2833" t="s">
        <v>56046</v>
      </c>
      <c r="O2833">
        <f>-586.158545024291 -93.5301209498077 -741.831630808167</f>
        <v>-1421.5202967822656</v>
      </c>
      <c r="P2833">
        <f>-598.346710825081 -81.5406412510341 -425.771558541437</f>
        <v>-1105.658910617552</v>
      </c>
      <c r="Q2833">
        <f>-342.965445989983 -33.8218904128383 -413.712354176638</f>
        <v>-790.49969057945918</v>
      </c>
      <c r="R2833" t="s">
        <v>56047</v>
      </c>
      <c r="S2833" t="s">
        <v>56048</v>
      </c>
      <c r="T2833" t="s">
        <v>56049</v>
      </c>
      <c r="U2833" t="s">
        <v>56050</v>
      </c>
      <c r="V2833" t="s">
        <v>56051</v>
      </c>
      <c r="W2833" t="s">
        <v>56052</v>
      </c>
      <c r="X2833" t="s">
        <v>56053</v>
      </c>
      <c r="Y2833" t="s">
        <v>56054</v>
      </c>
    </row>
    <row r="2834" spans="1:25" x14ac:dyDescent="0.3">
      <c r="A2834">
        <v>141650</v>
      </c>
      <c r="B2834" t="s">
        <v>56055</v>
      </c>
      <c r="C2834" t="s">
        <v>56056</v>
      </c>
      <c r="D2834" t="s">
        <v>56057</v>
      </c>
      <c r="E2834" t="s">
        <v>56058</v>
      </c>
      <c r="F2834" t="s">
        <v>56059</v>
      </c>
      <c r="G2834" t="s">
        <v>56060</v>
      </c>
      <c r="H2834" t="s">
        <v>56061</v>
      </c>
      <c r="I2834" t="s">
        <v>56062</v>
      </c>
      <c r="J2834" t="s">
        <v>56063</v>
      </c>
      <c r="K2834" t="s">
        <v>56064</v>
      </c>
      <c r="L2834" t="s">
        <v>56065</v>
      </c>
      <c r="M2834" t="s">
        <v>56066</v>
      </c>
      <c r="N2834" t="s">
        <v>56067</v>
      </c>
      <c r="O2834">
        <f>-587.351562347322 -96.0444374965118 -740.461545194259</f>
        <v>-1423.8575450380927</v>
      </c>
      <c r="P2834">
        <f>-596.470799888416 -83.0027704716878 -424.339882695832</f>
        <v>-1103.8134530559357</v>
      </c>
      <c r="Q2834">
        <f>-341.225666068517 -34.5546259325117 -412.307778518578</f>
        <v>-788.08807051960662</v>
      </c>
      <c r="R2834" t="s">
        <v>56068</v>
      </c>
      <c r="S2834" t="s">
        <v>56069</v>
      </c>
      <c r="T2834" t="s">
        <v>56070</v>
      </c>
      <c r="U2834" t="s">
        <v>56071</v>
      </c>
      <c r="V2834" t="s">
        <v>56072</v>
      </c>
      <c r="W2834" t="s">
        <v>56073</v>
      </c>
      <c r="X2834" t="s">
        <v>56074</v>
      </c>
      <c r="Y2834" t="s">
        <v>56075</v>
      </c>
    </row>
    <row r="2835" spans="1:25" x14ac:dyDescent="0.3">
      <c r="A2835">
        <v>141700</v>
      </c>
      <c r="B2835" t="s">
        <v>56076</v>
      </c>
      <c r="C2835" t="s">
        <v>56077</v>
      </c>
      <c r="D2835" t="s">
        <v>56078</v>
      </c>
      <c r="E2835" t="s">
        <v>56079</v>
      </c>
      <c r="F2835" t="s">
        <v>56080</v>
      </c>
      <c r="G2835" t="s">
        <v>56081</v>
      </c>
      <c r="H2835" t="s">
        <v>56082</v>
      </c>
      <c r="I2835" t="s">
        <v>56083</v>
      </c>
      <c r="J2835" t="s">
        <v>56084</v>
      </c>
      <c r="K2835" t="s">
        <v>56085</v>
      </c>
      <c r="L2835" t="s">
        <v>56086</v>
      </c>
      <c r="M2835" t="s">
        <v>56087</v>
      </c>
      <c r="N2835" t="s">
        <v>56088</v>
      </c>
      <c r="O2835">
        <f>-587.921045435686 -97.3835992001696 -739.566270699071</f>
        <v>-1424.8709153349264</v>
      </c>
      <c r="P2835">
        <f>-596.006098811676 -84.4501097568299 -423.412004298127</f>
        <v>-1103.8682128666328</v>
      </c>
      <c r="Q2835">
        <f>-340.927446780309 -35.0784531838223 -411.605801944743</f>
        <v>-787.61170190887435</v>
      </c>
      <c r="R2835" t="s">
        <v>56089</v>
      </c>
      <c r="S2835" t="s">
        <v>56090</v>
      </c>
      <c r="T2835" t="s">
        <v>56091</v>
      </c>
      <c r="U2835" t="s">
        <v>56092</v>
      </c>
      <c r="V2835" t="s">
        <v>56093</v>
      </c>
      <c r="W2835" t="s">
        <v>56094</v>
      </c>
      <c r="X2835" t="s">
        <v>56095</v>
      </c>
      <c r="Y2835" t="s">
        <v>56096</v>
      </c>
    </row>
    <row r="2836" spans="1:25" x14ac:dyDescent="0.3">
      <c r="A2836">
        <v>141750</v>
      </c>
      <c r="B2836" t="s">
        <v>56097</v>
      </c>
      <c r="C2836" t="s">
        <v>56098</v>
      </c>
      <c r="D2836" t="s">
        <v>56099</v>
      </c>
      <c r="E2836" t="s">
        <v>56100</v>
      </c>
      <c r="F2836" t="s">
        <v>56101</v>
      </c>
      <c r="G2836" t="s">
        <v>56102</v>
      </c>
      <c r="H2836" t="s">
        <v>56103</v>
      </c>
      <c r="I2836" t="s">
        <v>56104</v>
      </c>
      <c r="J2836" t="s">
        <v>56105</v>
      </c>
      <c r="K2836" t="s">
        <v>56106</v>
      </c>
      <c r="L2836" t="s">
        <v>56107</v>
      </c>
      <c r="M2836" t="s">
        <v>56108</v>
      </c>
      <c r="N2836" t="s">
        <v>56109</v>
      </c>
      <c r="O2836">
        <f>-588.547832793941 -100.8957936456 -737.548692904271</f>
        <v>-1426.9923193438119</v>
      </c>
      <c r="P2836">
        <f>-595.367055786207 -88.1399030909953 -421.357348043403</f>
        <v>-1104.8643069206053</v>
      </c>
      <c r="Q2836">
        <f>-341.118399843703 -34.4157088009834 -410.709457511519</f>
        <v>-786.24356615620536</v>
      </c>
      <c r="R2836" t="s">
        <v>56110</v>
      </c>
      <c r="S2836" t="s">
        <v>56111</v>
      </c>
      <c r="T2836" t="s">
        <v>56112</v>
      </c>
      <c r="U2836" t="s">
        <v>56113</v>
      </c>
      <c r="V2836" t="s">
        <v>56114</v>
      </c>
      <c r="W2836" t="s">
        <v>56115</v>
      </c>
      <c r="X2836" t="s">
        <v>56116</v>
      </c>
      <c r="Y2836" t="s">
        <v>56117</v>
      </c>
    </row>
    <row r="2837" spans="1:25" x14ac:dyDescent="0.3">
      <c r="A2837">
        <v>141800</v>
      </c>
      <c r="B2837" t="s">
        <v>56118</v>
      </c>
      <c r="C2837" t="s">
        <v>56119</v>
      </c>
      <c r="D2837" t="s">
        <v>56120</v>
      </c>
      <c r="E2837" t="s">
        <v>56121</v>
      </c>
      <c r="F2837" t="s">
        <v>56122</v>
      </c>
      <c r="G2837" t="s">
        <v>56123</v>
      </c>
      <c r="H2837" t="s">
        <v>56124</v>
      </c>
      <c r="I2837" t="s">
        <v>56125</v>
      </c>
      <c r="J2837" t="s">
        <v>56126</v>
      </c>
      <c r="K2837" t="s">
        <v>56127</v>
      </c>
      <c r="L2837" t="s">
        <v>56128</v>
      </c>
      <c r="M2837" t="s">
        <v>56129</v>
      </c>
      <c r="N2837" t="s">
        <v>56130</v>
      </c>
      <c r="O2837">
        <f>-589.428114509772 -102.557827904173 -736.340830616158</f>
        <v>-1428.3267730301029</v>
      </c>
      <c r="P2837">
        <f>-595.467089176958 -89.2661524990371 -420.155740712392</f>
        <v>-1104.8889823883869</v>
      </c>
      <c r="Q2837">
        <f>-341.482741634309 -34.2022005917044 -410.059387997906</f>
        <v>-785.74433022391941</v>
      </c>
      <c r="R2837" t="s">
        <v>56131</v>
      </c>
      <c r="S2837" t="s">
        <v>56132</v>
      </c>
      <c r="T2837" t="s">
        <v>56133</v>
      </c>
      <c r="U2837" t="s">
        <v>56134</v>
      </c>
      <c r="V2837" t="s">
        <v>56135</v>
      </c>
      <c r="W2837" t="s">
        <v>56136</v>
      </c>
      <c r="X2837" t="s">
        <v>56137</v>
      </c>
      <c r="Y2837" t="s">
        <v>56138</v>
      </c>
    </row>
    <row r="2838" spans="1:25" x14ac:dyDescent="0.3">
      <c r="A2838">
        <v>141850</v>
      </c>
      <c r="B2838" t="s">
        <v>56139</v>
      </c>
      <c r="C2838" t="s">
        <v>56140</v>
      </c>
      <c r="D2838" t="s">
        <v>56141</v>
      </c>
      <c r="E2838" t="s">
        <v>56142</v>
      </c>
      <c r="F2838" t="s">
        <v>56143</v>
      </c>
      <c r="G2838" t="s">
        <v>56144</v>
      </c>
      <c r="H2838" t="s">
        <v>56145</v>
      </c>
      <c r="I2838" t="s">
        <v>56146</v>
      </c>
      <c r="J2838" t="s">
        <v>56147</v>
      </c>
      <c r="K2838" t="s">
        <v>56148</v>
      </c>
      <c r="L2838" t="s">
        <v>56149</v>
      </c>
      <c r="M2838" t="s">
        <v>56150</v>
      </c>
      <c r="N2838" t="s">
        <v>56151</v>
      </c>
      <c r="O2838">
        <f>-590.916825795817 -104.342911525742 -734.614725958922</f>
        <v>-1429.874463280481</v>
      </c>
      <c r="P2838">
        <f>-595.688771014766 -90.3356311657193 -418.438718620434</f>
        <v>-1104.4631208009191</v>
      </c>
      <c r="Q2838">
        <f>-341.802209000818 -34.918036044706 -407.828678866216</f>
        <v>-784.54892391174008</v>
      </c>
      <c r="R2838" t="s">
        <v>56152</v>
      </c>
      <c r="S2838" t="s">
        <v>56153</v>
      </c>
      <c r="T2838" t="s">
        <v>56154</v>
      </c>
      <c r="U2838" t="s">
        <v>56155</v>
      </c>
      <c r="V2838" t="s">
        <v>56156</v>
      </c>
      <c r="W2838" t="s">
        <v>56157</v>
      </c>
      <c r="X2838" t="s">
        <v>56158</v>
      </c>
      <c r="Y2838" t="s">
        <v>56159</v>
      </c>
    </row>
    <row r="2839" spans="1:25" x14ac:dyDescent="0.3">
      <c r="A2839">
        <v>141900</v>
      </c>
      <c r="B2839" t="s">
        <v>56160</v>
      </c>
      <c r="C2839" t="s">
        <v>56161</v>
      </c>
      <c r="D2839" t="s">
        <v>56162</v>
      </c>
      <c r="E2839" t="s">
        <v>56163</v>
      </c>
      <c r="F2839" t="s">
        <v>56164</v>
      </c>
      <c r="G2839" t="s">
        <v>56165</v>
      </c>
      <c r="H2839" t="s">
        <v>56166</v>
      </c>
      <c r="I2839" t="s">
        <v>56167</v>
      </c>
      <c r="J2839" t="s">
        <v>56168</v>
      </c>
      <c r="K2839" t="s">
        <v>56169</v>
      </c>
      <c r="L2839" t="s">
        <v>56170</v>
      </c>
      <c r="M2839" t="s">
        <v>56171</v>
      </c>
      <c r="N2839" t="s">
        <v>56172</v>
      </c>
      <c r="O2839">
        <f>-590.870181891906 -105.215685073215 -734.144201008359</f>
        <v>-1430.2300679734799</v>
      </c>
      <c r="P2839">
        <f>-595.791072442872 -90.9727390099021 -417.981082567584</f>
        <v>-1104.7448940203581</v>
      </c>
      <c r="Q2839">
        <f>-341.909663967279 -35.5899864806668 -407.070546130876</f>
        <v>-784.57019657882188</v>
      </c>
      <c r="R2839" t="s">
        <v>56173</v>
      </c>
      <c r="S2839" t="s">
        <v>56174</v>
      </c>
      <c r="T2839" t="s">
        <v>56175</v>
      </c>
      <c r="U2839" t="s">
        <v>56176</v>
      </c>
      <c r="V2839" t="s">
        <v>56177</v>
      </c>
      <c r="W2839" t="s">
        <v>56178</v>
      </c>
      <c r="X2839" t="s">
        <v>56179</v>
      </c>
      <c r="Y2839" t="s">
        <v>56180</v>
      </c>
    </row>
    <row r="2840" spans="1:25" x14ac:dyDescent="0.3">
      <c r="A2840">
        <v>141950</v>
      </c>
      <c r="B2840" t="s">
        <v>56181</v>
      </c>
      <c r="C2840" t="s">
        <v>56182</v>
      </c>
      <c r="D2840" t="s">
        <v>56183</v>
      </c>
      <c r="E2840" t="s">
        <v>56184</v>
      </c>
      <c r="F2840" t="s">
        <v>56185</v>
      </c>
      <c r="G2840" t="s">
        <v>56186</v>
      </c>
      <c r="H2840" t="s">
        <v>56187</v>
      </c>
      <c r="I2840" t="s">
        <v>56188</v>
      </c>
      <c r="J2840" t="s">
        <v>56189</v>
      </c>
      <c r="K2840" t="s">
        <v>56190</v>
      </c>
      <c r="L2840" t="s">
        <v>56191</v>
      </c>
      <c r="M2840" t="s">
        <v>56192</v>
      </c>
      <c r="N2840" t="s">
        <v>56193</v>
      </c>
      <c r="O2840">
        <f>-590.917550810806 -107.087338220299 -733.05635988911</f>
        <v>-1431.0612489202149</v>
      </c>
      <c r="P2840">
        <f>-596.210140688942 -92.7501708276503 -416.9034464813</f>
        <v>-1105.8637579978924</v>
      </c>
      <c r="Q2840">
        <f>-342.39347483573 -37.1219323007118 -405.739571473261</f>
        <v>-785.25497860970279</v>
      </c>
      <c r="R2840" t="s">
        <v>56194</v>
      </c>
      <c r="S2840" t="s">
        <v>56195</v>
      </c>
      <c r="T2840" t="s">
        <v>56196</v>
      </c>
      <c r="U2840" t="s">
        <v>56197</v>
      </c>
      <c r="V2840" t="s">
        <v>56198</v>
      </c>
      <c r="W2840" t="s">
        <v>56199</v>
      </c>
      <c r="X2840" t="s">
        <v>56200</v>
      </c>
      <c r="Y2840" t="s">
        <v>56201</v>
      </c>
    </row>
    <row r="2841" spans="1:25" x14ac:dyDescent="0.3">
      <c r="A2841">
        <v>142000</v>
      </c>
      <c r="B2841" t="s">
        <v>56202</v>
      </c>
      <c r="C2841" t="s">
        <v>56203</v>
      </c>
      <c r="D2841" t="s">
        <v>56204</v>
      </c>
      <c r="E2841" t="s">
        <v>56205</v>
      </c>
      <c r="F2841" t="s">
        <v>56206</v>
      </c>
      <c r="G2841" t="s">
        <v>56207</v>
      </c>
      <c r="H2841" t="s">
        <v>56208</v>
      </c>
      <c r="I2841" t="s">
        <v>56209</v>
      </c>
      <c r="J2841" t="s">
        <v>56210</v>
      </c>
      <c r="K2841" t="s">
        <v>56211</v>
      </c>
      <c r="L2841" t="s">
        <v>56212</v>
      </c>
      <c r="M2841" t="s">
        <v>56213</v>
      </c>
      <c r="N2841" t="s">
        <v>56214</v>
      </c>
      <c r="O2841">
        <f>-591.125193995832 -107.975627194862 -732.426165744972</f>
        <v>-1431.5269869356659</v>
      </c>
      <c r="P2841">
        <f>-596.415699242011 -93.5863834475067 -416.275573927342</f>
        <v>-1106.2776566168598</v>
      </c>
      <c r="Q2841">
        <f>-342.856317972923 -36.8139826745581 -405.023976131039</f>
        <v>-784.69427677852013</v>
      </c>
      <c r="R2841" t="s">
        <v>56215</v>
      </c>
      <c r="S2841" t="s">
        <v>56216</v>
      </c>
      <c r="T2841" t="s">
        <v>56217</v>
      </c>
      <c r="U2841" t="s">
        <v>56218</v>
      </c>
      <c r="V2841" t="s">
        <v>56219</v>
      </c>
      <c r="W2841" t="s">
        <v>56220</v>
      </c>
      <c r="X2841" t="s">
        <v>56221</v>
      </c>
      <c r="Y2841" t="s">
        <v>56222</v>
      </c>
    </row>
    <row r="2842" spans="1:25" x14ac:dyDescent="0.3">
      <c r="A2842">
        <v>142050</v>
      </c>
      <c r="B2842" t="s">
        <v>56223</v>
      </c>
      <c r="C2842" t="s">
        <v>56224</v>
      </c>
      <c r="D2842" t="s">
        <v>56225</v>
      </c>
      <c r="E2842" t="s">
        <v>56226</v>
      </c>
      <c r="F2842" t="s">
        <v>56227</v>
      </c>
      <c r="G2842" t="s">
        <v>56228</v>
      </c>
      <c r="H2842" t="s">
        <v>56229</v>
      </c>
      <c r="I2842" t="s">
        <v>56230</v>
      </c>
      <c r="J2842" t="s">
        <v>56231</v>
      </c>
      <c r="K2842" t="s">
        <v>56232</v>
      </c>
      <c r="L2842" t="s">
        <v>56233</v>
      </c>
      <c r="M2842" t="s">
        <v>56234</v>
      </c>
      <c r="N2842" t="s">
        <v>56235</v>
      </c>
      <c r="O2842">
        <f>-591.544113863268 -108.896427392749 -731.639467472282</f>
        <v>-1432.0800087282992</v>
      </c>
      <c r="P2842">
        <f>-597.102404256511 -93.6287128117527 -415.534685988806</f>
        <v>-1106.2658030570697</v>
      </c>
      <c r="Q2842">
        <f>-343.934488236195 -35.0227053206766 -404.886346178842</f>
        <v>-783.84353973571365</v>
      </c>
      <c r="R2842" t="s">
        <v>56236</v>
      </c>
      <c r="S2842" t="s">
        <v>56237</v>
      </c>
      <c r="T2842" t="s">
        <v>56238</v>
      </c>
      <c r="U2842" t="s">
        <v>56239</v>
      </c>
      <c r="V2842" t="s">
        <v>56240</v>
      </c>
      <c r="W2842" t="s">
        <v>56241</v>
      </c>
      <c r="X2842" t="s">
        <v>56242</v>
      </c>
      <c r="Y2842" t="s">
        <v>56243</v>
      </c>
    </row>
    <row r="2843" spans="1:25" x14ac:dyDescent="0.3">
      <c r="A2843">
        <v>142100</v>
      </c>
      <c r="B2843" t="s">
        <v>56244</v>
      </c>
      <c r="C2843" t="s">
        <v>56245</v>
      </c>
      <c r="D2843" t="s">
        <v>56246</v>
      </c>
      <c r="E2843" t="s">
        <v>56247</v>
      </c>
      <c r="F2843" t="s">
        <v>56248</v>
      </c>
      <c r="G2843" t="s">
        <v>56249</v>
      </c>
      <c r="H2843" t="s">
        <v>56250</v>
      </c>
      <c r="I2843" t="s">
        <v>56251</v>
      </c>
      <c r="J2843" t="s">
        <v>56252</v>
      </c>
      <c r="K2843" t="s">
        <v>56253</v>
      </c>
      <c r="L2843" t="s">
        <v>56254</v>
      </c>
      <c r="M2843" t="s">
        <v>56255</v>
      </c>
      <c r="N2843" t="s">
        <v>56256</v>
      </c>
      <c r="O2843">
        <f>-591.410218116782 -108.816030536559 -731.541521714084</f>
        <v>-1431.7677703674249</v>
      </c>
      <c r="P2843">
        <f>-597.11056806781 -93.4694517679562 -415.443231696771</f>
        <v>-1106.0232515325374</v>
      </c>
      <c r="Q2843">
        <f>-343.920250187543 -34.8909830122054 -405.182316655867</f>
        <v>-783.99354985561536</v>
      </c>
      <c r="R2843" t="s">
        <v>56257</v>
      </c>
      <c r="S2843" t="s">
        <v>56258</v>
      </c>
      <c r="T2843" t="s">
        <v>56259</v>
      </c>
      <c r="U2843" t="s">
        <v>56260</v>
      </c>
      <c r="V2843" t="s">
        <v>56261</v>
      </c>
      <c r="W2843" t="s">
        <v>56262</v>
      </c>
      <c r="X2843" t="s">
        <v>56263</v>
      </c>
      <c r="Y2843" t="s">
        <v>56264</v>
      </c>
    </row>
    <row r="2844" spans="1:25" x14ac:dyDescent="0.3">
      <c r="A2844">
        <v>142150</v>
      </c>
      <c r="B2844" t="s">
        <v>56265</v>
      </c>
      <c r="C2844" t="s">
        <v>56266</v>
      </c>
      <c r="D2844" t="s">
        <v>56267</v>
      </c>
      <c r="E2844" t="s">
        <v>56268</v>
      </c>
      <c r="F2844" t="s">
        <v>56269</v>
      </c>
      <c r="G2844" t="s">
        <v>56270</v>
      </c>
      <c r="H2844" t="s">
        <v>56271</v>
      </c>
      <c r="I2844" t="s">
        <v>56272</v>
      </c>
      <c r="J2844" t="s">
        <v>56273</v>
      </c>
      <c r="K2844" t="s">
        <v>56274</v>
      </c>
      <c r="L2844" t="s">
        <v>56275</v>
      </c>
      <c r="M2844" t="s">
        <v>56276</v>
      </c>
      <c r="N2844" t="s">
        <v>56277</v>
      </c>
      <c r="O2844">
        <f>-590.91515751432 -107.743805745566 -731.71841755661</f>
        <v>-1430.377380816496</v>
      </c>
      <c r="P2844">
        <f>-597.638684933119 -93.1149674695493 -415.606195887075</f>
        <v>-1106.3598482897432</v>
      </c>
      <c r="Q2844">
        <f>-344.084122843555 -36.0572778028322 -405.780284026706</f>
        <v>-785.92168467309318</v>
      </c>
      <c r="R2844" t="s">
        <v>56278</v>
      </c>
      <c r="S2844" t="s">
        <v>56279</v>
      </c>
      <c r="T2844" t="s">
        <v>56280</v>
      </c>
      <c r="U2844" t="s">
        <v>56281</v>
      </c>
      <c r="V2844" t="s">
        <v>56282</v>
      </c>
      <c r="W2844" t="s">
        <v>56283</v>
      </c>
      <c r="X2844" t="s">
        <v>56284</v>
      </c>
      <c r="Y2844" t="s">
        <v>56285</v>
      </c>
    </row>
    <row r="2845" spans="1:25" x14ac:dyDescent="0.3">
      <c r="A2845">
        <v>142200</v>
      </c>
      <c r="B2845" t="s">
        <v>56286</v>
      </c>
      <c r="C2845" t="s">
        <v>56287</v>
      </c>
      <c r="D2845" t="s">
        <v>56288</v>
      </c>
      <c r="E2845" t="s">
        <v>56289</v>
      </c>
      <c r="F2845" t="s">
        <v>56290</v>
      </c>
      <c r="G2845" t="s">
        <v>56291</v>
      </c>
      <c r="H2845" t="s">
        <v>56292</v>
      </c>
      <c r="I2845" t="s">
        <v>56293</v>
      </c>
      <c r="J2845" t="s">
        <v>56294</v>
      </c>
      <c r="K2845" t="s">
        <v>56295</v>
      </c>
      <c r="L2845" t="s">
        <v>56296</v>
      </c>
      <c r="M2845" t="s">
        <v>56297</v>
      </c>
      <c r="N2845" t="s">
        <v>56298</v>
      </c>
      <c r="O2845">
        <f>-590.493826723983 -106.91511126611 -732.029743940577</f>
        <v>-1429.4386819306701</v>
      </c>
      <c r="P2845">
        <f>-597.86423448087 -92.6684121133433 -415.91442456327</f>
        <v>-1106.4470711574832</v>
      </c>
      <c r="Q2845">
        <f>-344.01034630795 -37.0172007235999 -405.75405215457</f>
        <v>-786.78159918611982</v>
      </c>
      <c r="R2845" t="s">
        <v>56299</v>
      </c>
      <c r="S2845" t="s">
        <v>56300</v>
      </c>
      <c r="T2845" t="s">
        <v>56301</v>
      </c>
      <c r="U2845" t="s">
        <v>56302</v>
      </c>
      <c r="V2845" t="s">
        <v>56303</v>
      </c>
      <c r="W2845" t="s">
        <v>56304</v>
      </c>
      <c r="X2845" t="s">
        <v>56305</v>
      </c>
      <c r="Y2845" t="s">
        <v>56306</v>
      </c>
    </row>
    <row r="2846" spans="1:25" x14ac:dyDescent="0.3">
      <c r="A2846">
        <v>142250</v>
      </c>
      <c r="B2846" t="s">
        <v>56307</v>
      </c>
      <c r="C2846" t="s">
        <v>56308</v>
      </c>
      <c r="D2846" t="s">
        <v>56309</v>
      </c>
      <c r="E2846" t="s">
        <v>56310</v>
      </c>
      <c r="F2846" t="s">
        <v>56311</v>
      </c>
      <c r="G2846" t="s">
        <v>56312</v>
      </c>
      <c r="H2846" t="s">
        <v>56313</v>
      </c>
      <c r="I2846" t="s">
        <v>56314</v>
      </c>
      <c r="J2846" t="s">
        <v>56315</v>
      </c>
      <c r="K2846" t="s">
        <v>56316</v>
      </c>
      <c r="L2846" t="s">
        <v>56317</v>
      </c>
      <c r="M2846" t="s">
        <v>56318</v>
      </c>
      <c r="N2846" t="s">
        <v>56319</v>
      </c>
      <c r="O2846">
        <f>-590.242679797173 -105.429153626274 -732.568162660546</f>
        <v>-1428.239996083993</v>
      </c>
      <c r="P2846">
        <f>-598.549253051418 -90.6826789100036 -416.499042877364</f>
        <v>-1105.7309748387856</v>
      </c>
      <c r="Q2846">
        <f>-343.904369429709 -39.1206428588119 -404.692546329637</f>
        <v>-787.71755861815791</v>
      </c>
      <c r="R2846" t="s">
        <v>56320</v>
      </c>
      <c r="S2846" t="s">
        <v>56321</v>
      </c>
      <c r="T2846" t="s">
        <v>56322</v>
      </c>
      <c r="U2846" t="s">
        <v>56323</v>
      </c>
      <c r="V2846" t="s">
        <v>56324</v>
      </c>
      <c r="W2846" t="s">
        <v>56325</v>
      </c>
      <c r="X2846" t="s">
        <v>56326</v>
      </c>
      <c r="Y2846" t="s">
        <v>56327</v>
      </c>
    </row>
    <row r="2847" spans="1:25" x14ac:dyDescent="0.3">
      <c r="A2847">
        <v>142300</v>
      </c>
      <c r="B2847" t="s">
        <v>56328</v>
      </c>
      <c r="C2847" t="s">
        <v>56329</v>
      </c>
      <c r="D2847" t="s">
        <v>56330</v>
      </c>
      <c r="E2847" t="s">
        <v>56331</v>
      </c>
      <c r="F2847" t="s">
        <v>56332</v>
      </c>
      <c r="G2847" t="s">
        <v>56333</v>
      </c>
      <c r="H2847" t="s">
        <v>56334</v>
      </c>
      <c r="I2847" t="s">
        <v>56335</v>
      </c>
      <c r="J2847" t="s">
        <v>56336</v>
      </c>
      <c r="K2847" t="s">
        <v>56337</v>
      </c>
      <c r="L2847" t="s">
        <v>56338</v>
      </c>
      <c r="M2847" t="s">
        <v>56339</v>
      </c>
      <c r="N2847" t="s">
        <v>56340</v>
      </c>
      <c r="O2847">
        <f>-590.038535264653 -104.947295334812 -732.782060330039</f>
        <v>-1427.7678909295041</v>
      </c>
      <c r="P2847">
        <f>-599.168647654937 -89.2978054375998 -416.779028611764</f>
        <v>-1105.2454817043008</v>
      </c>
      <c r="Q2847">
        <f>-343.969378403048 -40.7065963372254 -404.357345901143</f>
        <v>-789.03332064141637</v>
      </c>
      <c r="R2847" t="s">
        <v>56341</v>
      </c>
      <c r="S2847" t="s">
        <v>56342</v>
      </c>
      <c r="T2847" t="s">
        <v>56343</v>
      </c>
      <c r="U2847" t="s">
        <v>56344</v>
      </c>
      <c r="V2847" t="s">
        <v>56345</v>
      </c>
      <c r="W2847" t="s">
        <v>56346</v>
      </c>
      <c r="X2847" t="s">
        <v>56347</v>
      </c>
      <c r="Y2847" t="s">
        <v>56348</v>
      </c>
    </row>
    <row r="2848" spans="1:25" x14ac:dyDescent="0.3">
      <c r="A2848">
        <v>142350</v>
      </c>
      <c r="B2848" t="s">
        <v>56349</v>
      </c>
      <c r="C2848" t="s">
        <v>56350</v>
      </c>
      <c r="D2848" t="s">
        <v>56351</v>
      </c>
      <c r="E2848" t="s">
        <v>56352</v>
      </c>
      <c r="F2848" t="s">
        <v>56353</v>
      </c>
      <c r="G2848" t="s">
        <v>56354</v>
      </c>
      <c r="H2848" t="s">
        <v>56355</v>
      </c>
      <c r="I2848" t="s">
        <v>56356</v>
      </c>
      <c r="J2848" t="s">
        <v>56357</v>
      </c>
      <c r="K2848" t="s">
        <v>56358</v>
      </c>
      <c r="L2848" t="s">
        <v>56359</v>
      </c>
      <c r="M2848" t="s">
        <v>56360</v>
      </c>
      <c r="N2848" t="s">
        <v>56361</v>
      </c>
      <c r="O2848">
        <f>-589.303299482184 -104.086682399482 -733.273011444724</f>
        <v>-1426.6629933263901</v>
      </c>
      <c r="P2848">
        <f>-602.623164380952 -89.3818595769147 -417.373470691584</f>
        <v>-1109.3784946494507</v>
      </c>
      <c r="Q2848">
        <f>-346.713396845643 -44.3171904667683 -406.354498577369</f>
        <v>-797.38508588978027</v>
      </c>
      <c r="R2848" t="s">
        <v>56362</v>
      </c>
      <c r="S2848" t="s">
        <v>56363</v>
      </c>
      <c r="T2848" t="s">
        <v>56364</v>
      </c>
      <c r="U2848" t="s">
        <v>56365</v>
      </c>
      <c r="V2848" t="s">
        <v>56366</v>
      </c>
      <c r="W2848" t="s">
        <v>56367</v>
      </c>
      <c r="X2848" t="s">
        <v>56368</v>
      </c>
      <c r="Y2848" t="s">
        <v>56369</v>
      </c>
    </row>
    <row r="2849" spans="1:25" x14ac:dyDescent="0.3">
      <c r="A2849">
        <v>142400</v>
      </c>
      <c r="B2849" t="s">
        <v>56370</v>
      </c>
      <c r="C2849" t="s">
        <v>56371</v>
      </c>
      <c r="D2849" t="s">
        <v>56372</v>
      </c>
      <c r="E2849" t="s">
        <v>56373</v>
      </c>
      <c r="F2849" t="s">
        <v>56374</v>
      </c>
      <c r="G2849" t="s">
        <v>56375</v>
      </c>
      <c r="H2849" t="s">
        <v>56376</v>
      </c>
      <c r="I2849" t="s">
        <v>56377</v>
      </c>
      <c r="J2849" t="s">
        <v>56378</v>
      </c>
      <c r="K2849" t="s">
        <v>56379</v>
      </c>
      <c r="L2849" t="s">
        <v>56380</v>
      </c>
      <c r="M2849" t="s">
        <v>56381</v>
      </c>
      <c r="N2849" t="s">
        <v>56382</v>
      </c>
      <c r="O2849">
        <f>-589.216376999374 -103.805805648841 -733.679261232415</f>
        <v>-1426.70144388063</v>
      </c>
      <c r="P2849">
        <f>-605.306355729799 -90.6711662613324 -417.839473143402</f>
        <v>-1113.8169951345333</v>
      </c>
      <c r="Q2849">
        <f>-349.433804940079 -44.9158052353208 -409.022127192953</f>
        <v>-803.3717373683528</v>
      </c>
      <c r="R2849" t="s">
        <v>56383</v>
      </c>
      <c r="S2849" t="s">
        <v>56384</v>
      </c>
      <c r="T2849" t="s">
        <v>56385</v>
      </c>
      <c r="U2849" t="s">
        <v>56386</v>
      </c>
      <c r="V2849" t="s">
        <v>56387</v>
      </c>
      <c r="W2849" t="s">
        <v>56388</v>
      </c>
      <c r="X2849" t="s">
        <v>56389</v>
      </c>
      <c r="Y2849" t="s">
        <v>56390</v>
      </c>
    </row>
    <row r="2850" spans="1:25" x14ac:dyDescent="0.3">
      <c r="A2850">
        <v>142450</v>
      </c>
      <c r="B2850" t="s">
        <v>56391</v>
      </c>
      <c r="C2850" t="s">
        <v>56392</v>
      </c>
      <c r="D2850" t="s">
        <v>56393</v>
      </c>
      <c r="E2850" t="s">
        <v>56394</v>
      </c>
      <c r="F2850" t="s">
        <v>56395</v>
      </c>
      <c r="G2850" t="s">
        <v>56396</v>
      </c>
      <c r="H2850" t="s">
        <v>56397</v>
      </c>
      <c r="I2850" t="s">
        <v>56398</v>
      </c>
      <c r="J2850" t="s">
        <v>56399</v>
      </c>
      <c r="K2850" t="s">
        <v>56400</v>
      </c>
      <c r="L2850" t="s">
        <v>56401</v>
      </c>
      <c r="M2850" t="s">
        <v>56402</v>
      </c>
      <c r="N2850" t="s">
        <v>56403</v>
      </c>
      <c r="O2850">
        <f>-589.871505042267 -102.810849397733 -734.072982213285</f>
        <v>-1426.755336653285</v>
      </c>
      <c r="P2850">
        <f>-604.52713996598 -87.9097373102576 -418.24164342305</f>
        <v>-1110.6785206992877</v>
      </c>
      <c r="Q2850">
        <f>-348.090178987661 -44.8926006165477 -412.614240891698</f>
        <v>-805.59702049590669</v>
      </c>
      <c r="R2850" t="s">
        <v>56404</v>
      </c>
      <c r="S2850" t="s">
        <v>56405</v>
      </c>
      <c r="T2850" t="s">
        <v>56406</v>
      </c>
      <c r="U2850" t="s">
        <v>56407</v>
      </c>
      <c r="V2850" t="s">
        <v>56408</v>
      </c>
      <c r="W2850" t="s">
        <v>56409</v>
      </c>
      <c r="X2850" t="s">
        <v>56410</v>
      </c>
      <c r="Y2850" t="s">
        <v>56411</v>
      </c>
    </row>
    <row r="2851" spans="1:25" x14ac:dyDescent="0.3">
      <c r="A2851">
        <v>142500</v>
      </c>
      <c r="B2851" t="s">
        <v>56412</v>
      </c>
      <c r="C2851" t="s">
        <v>56413</v>
      </c>
      <c r="D2851" t="s">
        <v>56414</v>
      </c>
      <c r="E2851" t="s">
        <v>56415</v>
      </c>
      <c r="F2851" t="s">
        <v>56416</v>
      </c>
      <c r="G2851" t="s">
        <v>56417</v>
      </c>
      <c r="H2851" t="s">
        <v>56418</v>
      </c>
      <c r="I2851" t="s">
        <v>56419</v>
      </c>
      <c r="J2851" t="s">
        <v>56420</v>
      </c>
      <c r="K2851" t="s">
        <v>56421</v>
      </c>
      <c r="L2851" t="s">
        <v>56422</v>
      </c>
      <c r="M2851" t="s">
        <v>56423</v>
      </c>
      <c r="N2851" t="s">
        <v>56424</v>
      </c>
      <c r="O2851">
        <f>-590.5557461582 -102.785473860895 -733.671664099932</f>
        <v>-1427.0128841190269</v>
      </c>
      <c r="P2851">
        <f>-603.608231382061 -86.6308123497608 -417.831766117528</f>
        <v>-1108.0708098493499</v>
      </c>
      <c r="Q2851">
        <f>-346.767176540007 -45.9795064517235 -413.123760373149</f>
        <v>-805.87044336487952</v>
      </c>
      <c r="R2851" t="s">
        <v>56425</v>
      </c>
      <c r="S2851" t="s">
        <v>56426</v>
      </c>
      <c r="T2851" t="s">
        <v>56427</v>
      </c>
      <c r="U2851" t="s">
        <v>56428</v>
      </c>
      <c r="V2851" t="s">
        <v>56429</v>
      </c>
      <c r="W2851" t="s">
        <v>56430</v>
      </c>
      <c r="X2851" t="s">
        <v>56431</v>
      </c>
      <c r="Y2851" t="s">
        <v>56432</v>
      </c>
    </row>
    <row r="2852" spans="1:25" x14ac:dyDescent="0.3">
      <c r="A2852">
        <v>142550</v>
      </c>
      <c r="B2852" t="s">
        <v>56433</v>
      </c>
      <c r="C2852" t="s">
        <v>56434</v>
      </c>
      <c r="D2852" t="s">
        <v>56435</v>
      </c>
      <c r="E2852" t="s">
        <v>56436</v>
      </c>
      <c r="F2852" t="s">
        <v>56437</v>
      </c>
      <c r="G2852" t="s">
        <v>56438</v>
      </c>
      <c r="H2852" t="s">
        <v>56439</v>
      </c>
      <c r="I2852" t="s">
        <v>56440</v>
      </c>
      <c r="J2852" t="s">
        <v>56441</v>
      </c>
      <c r="K2852" t="s">
        <v>56442</v>
      </c>
      <c r="L2852" t="s">
        <v>56443</v>
      </c>
      <c r="M2852" t="s">
        <v>56444</v>
      </c>
      <c r="N2852" t="s">
        <v>56445</v>
      </c>
      <c r="O2852">
        <f>-591.217009805497 -102.420077901089 -733.003931011506</f>
        <v>-1426.641018718092</v>
      </c>
      <c r="P2852">
        <f>-602.522703665255 -85.2051108100863 -417.152720995181</f>
        <v>-1104.8805354705223</v>
      </c>
      <c r="Q2852">
        <f>-345.204071137358 -47.7812147605773 -411.802865205352</f>
        <v>-804.78815110328742</v>
      </c>
      <c r="R2852" t="s">
        <v>56446</v>
      </c>
      <c r="S2852" t="s">
        <v>56447</v>
      </c>
      <c r="T2852" t="s">
        <v>56448</v>
      </c>
      <c r="U2852" t="s">
        <v>56449</v>
      </c>
      <c r="V2852" t="s">
        <v>56450</v>
      </c>
      <c r="W2852" t="s">
        <v>56451</v>
      </c>
      <c r="X2852" t="s">
        <v>56452</v>
      </c>
      <c r="Y2852" t="s">
        <v>56453</v>
      </c>
    </row>
    <row r="2853" spans="1:25" x14ac:dyDescent="0.3">
      <c r="A2853">
        <v>142600</v>
      </c>
      <c r="B2853" t="s">
        <v>56454</v>
      </c>
      <c r="C2853" t="s">
        <v>56455</v>
      </c>
      <c r="D2853" t="s">
        <v>56456</v>
      </c>
      <c r="E2853" t="s">
        <v>56457</v>
      </c>
      <c r="F2853" t="s">
        <v>56458</v>
      </c>
      <c r="G2853" t="s">
        <v>56459</v>
      </c>
      <c r="H2853" t="s">
        <v>56460</v>
      </c>
      <c r="I2853" t="s">
        <v>56461</v>
      </c>
      <c r="J2853" t="s">
        <v>56462</v>
      </c>
      <c r="K2853" t="s">
        <v>56463</v>
      </c>
      <c r="L2853" t="s">
        <v>56464</v>
      </c>
      <c r="M2853" t="s">
        <v>56465</v>
      </c>
      <c r="N2853" t="s">
        <v>56466</v>
      </c>
      <c r="O2853">
        <f>-591.173101710574 -102.238092047248 -732.767989250633</f>
        <v>-1426.1791830084549</v>
      </c>
      <c r="P2853">
        <f>-602.547892452504 -85.4964246118382 -416.893646942351</f>
        <v>-1104.9379640066932</v>
      </c>
      <c r="Q2853">
        <f>-345.170625108341 -48.4112821977771 -412.029838164133</f>
        <v>-805.61174547025121</v>
      </c>
      <c r="R2853" t="s">
        <v>56467</v>
      </c>
      <c r="S2853" t="s">
        <v>56468</v>
      </c>
      <c r="T2853" t="s">
        <v>56469</v>
      </c>
      <c r="U2853" t="s">
        <v>56470</v>
      </c>
      <c r="V2853" t="s">
        <v>56471</v>
      </c>
      <c r="W2853" t="s">
        <v>56472</v>
      </c>
      <c r="X2853" t="s">
        <v>56473</v>
      </c>
      <c r="Y2853" t="s">
        <v>56474</v>
      </c>
    </row>
    <row r="2854" spans="1:25" x14ac:dyDescent="0.3">
      <c r="A2854">
        <v>142650</v>
      </c>
      <c r="B2854" t="s">
        <v>56475</v>
      </c>
      <c r="C2854" t="s">
        <v>56476</v>
      </c>
      <c r="D2854" t="s">
        <v>56477</v>
      </c>
      <c r="E2854" t="s">
        <v>56478</v>
      </c>
      <c r="F2854" t="s">
        <v>56479</v>
      </c>
      <c r="G2854" t="s">
        <v>56480</v>
      </c>
      <c r="H2854" t="s">
        <v>56481</v>
      </c>
      <c r="I2854" t="s">
        <v>56482</v>
      </c>
      <c r="J2854" t="s">
        <v>56483</v>
      </c>
      <c r="K2854" t="s">
        <v>56484</v>
      </c>
      <c r="L2854" t="s">
        <v>56485</v>
      </c>
      <c r="M2854" t="s">
        <v>56486</v>
      </c>
      <c r="N2854" t="s">
        <v>56487</v>
      </c>
      <c r="O2854">
        <f>-591.694958778361 -101.866896061108 -732.250786725339</f>
        <v>-1425.812641564808</v>
      </c>
      <c r="P2854">
        <f>-602.530050259905 -85.2792115174912 -416.349391284901</f>
        <v>-1104.1586530622972</v>
      </c>
      <c r="Q2854">
        <f>-344.972846515479 -49.2003818609775 -414.19035510532</f>
        <v>-808.36358348177646</v>
      </c>
      <c r="R2854" t="s">
        <v>56488</v>
      </c>
      <c r="S2854" t="s">
        <v>56489</v>
      </c>
      <c r="T2854" t="s">
        <v>56490</v>
      </c>
      <c r="U2854" t="s">
        <v>56491</v>
      </c>
      <c r="V2854" t="s">
        <v>56492</v>
      </c>
      <c r="W2854" t="s">
        <v>56493</v>
      </c>
      <c r="X2854" t="s">
        <v>56494</v>
      </c>
      <c r="Y2854" t="s">
        <v>56495</v>
      </c>
    </row>
    <row r="2855" spans="1:25" x14ac:dyDescent="0.3">
      <c r="A2855">
        <v>142700</v>
      </c>
      <c r="B2855" t="s">
        <v>56496</v>
      </c>
      <c r="C2855" t="s">
        <v>56497</v>
      </c>
      <c r="D2855" t="s">
        <v>56498</v>
      </c>
      <c r="E2855" t="s">
        <v>56499</v>
      </c>
      <c r="F2855" t="s">
        <v>56500</v>
      </c>
      <c r="G2855" t="s">
        <v>56501</v>
      </c>
      <c r="H2855" t="s">
        <v>56502</v>
      </c>
      <c r="I2855" t="s">
        <v>56503</v>
      </c>
      <c r="J2855" t="s">
        <v>56504</v>
      </c>
      <c r="K2855" t="s">
        <v>56505</v>
      </c>
      <c r="L2855" t="s">
        <v>56506</v>
      </c>
      <c r="M2855" t="s">
        <v>56507</v>
      </c>
      <c r="N2855" t="s">
        <v>56508</v>
      </c>
      <c r="O2855">
        <f>-592.115190440666 -101.768935046004 -731.803407127052</f>
        <v>-1425.6875326137219</v>
      </c>
      <c r="P2855">
        <f>-602.414807681511 -84.8869921961696 -415.899804311571</f>
        <v>-1103.2016041892516</v>
      </c>
      <c r="Q2855">
        <f>-344.763845324613 -49.4247177907197 -415.218136781582</f>
        <v>-809.40669989691469</v>
      </c>
      <c r="R2855" t="s">
        <v>56509</v>
      </c>
      <c r="S2855" t="s">
        <v>56510</v>
      </c>
      <c r="T2855" t="s">
        <v>56511</v>
      </c>
      <c r="U2855" t="s">
        <v>56512</v>
      </c>
      <c r="V2855" t="s">
        <v>56513</v>
      </c>
      <c r="W2855" t="s">
        <v>56514</v>
      </c>
      <c r="X2855" t="s">
        <v>56515</v>
      </c>
      <c r="Y2855" t="s">
        <v>56516</v>
      </c>
    </row>
    <row r="2856" spans="1:25" x14ac:dyDescent="0.3">
      <c r="A2856">
        <v>142750</v>
      </c>
      <c r="B2856" t="s">
        <v>56517</v>
      </c>
      <c r="C2856" t="s">
        <v>56518</v>
      </c>
      <c r="D2856" t="s">
        <v>56519</v>
      </c>
      <c r="E2856" t="s">
        <v>56520</v>
      </c>
      <c r="F2856" t="s">
        <v>56521</v>
      </c>
      <c r="G2856" t="s">
        <v>56522</v>
      </c>
      <c r="H2856" t="s">
        <v>56523</v>
      </c>
      <c r="I2856" t="s">
        <v>56524</v>
      </c>
      <c r="J2856" t="s">
        <v>56525</v>
      </c>
      <c r="K2856" t="s">
        <v>56526</v>
      </c>
      <c r="L2856" t="s">
        <v>56527</v>
      </c>
      <c r="M2856" t="s">
        <v>56528</v>
      </c>
      <c r="N2856" t="s">
        <v>56529</v>
      </c>
      <c r="O2856">
        <f>-593.31814264074 -101.91717140733 -730.799243027284</f>
        <v>-1426.0345570753539</v>
      </c>
      <c r="P2856">
        <f>-602.307920521056 -84.3444748936255 -414.893271689627</f>
        <v>-1101.5456671043084</v>
      </c>
      <c r="Q2856">
        <f>-344.525531112458 -49.8462324705822 -414.503246905172</f>
        <v>-808.87501048821218</v>
      </c>
      <c r="R2856" t="s">
        <v>56530</v>
      </c>
      <c r="S2856" t="s">
        <v>56531</v>
      </c>
      <c r="T2856" t="s">
        <v>56532</v>
      </c>
      <c r="U2856" t="s">
        <v>56533</v>
      </c>
      <c r="V2856" t="s">
        <v>56534</v>
      </c>
      <c r="W2856" t="s">
        <v>56535</v>
      </c>
      <c r="X2856" t="s">
        <v>56536</v>
      </c>
      <c r="Y2856" t="s">
        <v>56537</v>
      </c>
    </row>
    <row r="2857" spans="1:25" x14ac:dyDescent="0.3">
      <c r="A2857">
        <v>142800</v>
      </c>
      <c r="B2857" t="s">
        <v>56538</v>
      </c>
      <c r="C2857" t="s">
        <v>56539</v>
      </c>
      <c r="D2857" t="s">
        <v>56540</v>
      </c>
      <c r="E2857" t="s">
        <v>56541</v>
      </c>
      <c r="F2857" t="s">
        <v>56542</v>
      </c>
      <c r="G2857" t="s">
        <v>56543</v>
      </c>
      <c r="H2857" t="s">
        <v>56544</v>
      </c>
      <c r="I2857" t="s">
        <v>56545</v>
      </c>
      <c r="J2857" t="s">
        <v>56546</v>
      </c>
      <c r="K2857" t="s">
        <v>56547</v>
      </c>
      <c r="L2857" t="s">
        <v>56548</v>
      </c>
      <c r="M2857" t="s">
        <v>56549</v>
      </c>
      <c r="N2857" t="s">
        <v>56550</v>
      </c>
      <c r="O2857">
        <f>-593.629545107784 -101.984766943186 -730.139151554775</f>
        <v>-1425.7534636057451</v>
      </c>
      <c r="P2857">
        <f>-602.197188051802 -83.9841749646459 -414.245547508596</f>
        <v>-1100.4269105250439</v>
      </c>
      <c r="Q2857">
        <f>-344.394523681903 -49.6503536704146 -413.237035163808</f>
        <v>-807.28191251612566</v>
      </c>
      <c r="R2857" t="s">
        <v>56551</v>
      </c>
      <c r="S2857" t="s">
        <v>56552</v>
      </c>
      <c r="T2857" t="s">
        <v>56553</v>
      </c>
      <c r="U2857" t="s">
        <v>56554</v>
      </c>
      <c r="V2857" t="s">
        <v>56555</v>
      </c>
      <c r="W2857" t="s">
        <v>56556</v>
      </c>
      <c r="X2857" t="s">
        <v>56557</v>
      </c>
      <c r="Y2857" t="s">
        <v>56558</v>
      </c>
    </row>
    <row r="2858" spans="1:25" x14ac:dyDescent="0.3">
      <c r="A2858">
        <v>142850</v>
      </c>
      <c r="B2858" t="s">
        <v>56559</v>
      </c>
      <c r="C2858" t="s">
        <v>56560</v>
      </c>
      <c r="D2858" t="s">
        <v>56561</v>
      </c>
      <c r="E2858" t="s">
        <v>56562</v>
      </c>
      <c r="F2858" t="s">
        <v>56563</v>
      </c>
      <c r="G2858" t="s">
        <v>56564</v>
      </c>
      <c r="H2858" t="s">
        <v>56565</v>
      </c>
      <c r="I2858" t="s">
        <v>56566</v>
      </c>
      <c r="J2858" t="s">
        <v>56567</v>
      </c>
      <c r="K2858" t="s">
        <v>56568</v>
      </c>
      <c r="L2858" t="s">
        <v>56569</v>
      </c>
      <c r="M2858" t="s">
        <v>56570</v>
      </c>
      <c r="N2858" t="s">
        <v>56571</v>
      </c>
      <c r="O2858">
        <f>-594.337079585185 -102.351949378984 -728.413744486619</f>
        <v>-1425.1027734507879</v>
      </c>
      <c r="P2858">
        <f>-602.072354975172 -83.0186089139509 -412.577362234702</f>
        <v>-1097.6683261238247</v>
      </c>
      <c r="Q2858">
        <f>-344.334973654252 -48.2024045605678 -411.422930338855</f>
        <v>-803.96030855367485</v>
      </c>
      <c r="R2858" t="s">
        <v>56572</v>
      </c>
      <c r="S2858" t="s">
        <v>56573</v>
      </c>
      <c r="T2858" t="s">
        <v>56574</v>
      </c>
      <c r="U2858" t="s">
        <v>56575</v>
      </c>
      <c r="V2858" t="s">
        <v>56576</v>
      </c>
      <c r="W2858" t="s">
        <v>56577</v>
      </c>
      <c r="X2858" t="s">
        <v>56578</v>
      </c>
      <c r="Y2858" t="s">
        <v>56579</v>
      </c>
    </row>
    <row r="2859" spans="1:25" x14ac:dyDescent="0.3">
      <c r="A2859">
        <v>142900</v>
      </c>
      <c r="B2859" t="s">
        <v>56580</v>
      </c>
      <c r="C2859" t="s">
        <v>56581</v>
      </c>
      <c r="D2859" t="s">
        <v>56582</v>
      </c>
      <c r="E2859" t="s">
        <v>56583</v>
      </c>
      <c r="F2859" t="s">
        <v>56584</v>
      </c>
      <c r="G2859" t="s">
        <v>56585</v>
      </c>
      <c r="H2859" t="s">
        <v>56586</v>
      </c>
      <c r="I2859" t="s">
        <v>56587</v>
      </c>
      <c r="J2859" t="s">
        <v>56588</v>
      </c>
      <c r="K2859" t="s">
        <v>56589</v>
      </c>
      <c r="L2859" t="s">
        <v>56590</v>
      </c>
      <c r="M2859" t="s">
        <v>56591</v>
      </c>
      <c r="N2859" t="s">
        <v>56592</v>
      </c>
      <c r="O2859">
        <f>-594.528931978258 -102.44955528466 -727.628441010297</f>
        <v>-1424.6069282732151</v>
      </c>
      <c r="P2859">
        <f>-601.874495604551 -82.8233136166681 -411.800975045382</f>
        <v>-1096.4987842666012</v>
      </c>
      <c r="Q2859">
        <f>-344.17943835646 -47.681071223191 -411.195019170401</f>
        <v>-803.05552875005196</v>
      </c>
      <c r="R2859" t="s">
        <v>56593</v>
      </c>
      <c r="S2859" t="s">
        <v>56594</v>
      </c>
      <c r="T2859" t="s">
        <v>56595</v>
      </c>
      <c r="U2859" t="s">
        <v>56596</v>
      </c>
      <c r="V2859" t="s">
        <v>56597</v>
      </c>
      <c r="W2859" t="s">
        <v>56598</v>
      </c>
      <c r="X2859" t="s">
        <v>56599</v>
      </c>
      <c r="Y2859" t="s">
        <v>56600</v>
      </c>
    </row>
    <row r="2860" spans="1:25" x14ac:dyDescent="0.3">
      <c r="A2860">
        <v>142950</v>
      </c>
      <c r="B2860" t="s">
        <v>56601</v>
      </c>
      <c r="C2860" t="s">
        <v>56602</v>
      </c>
      <c r="D2860" t="s">
        <v>56603</v>
      </c>
      <c r="E2860" t="s">
        <v>56604</v>
      </c>
      <c r="F2860" t="s">
        <v>56605</v>
      </c>
      <c r="G2860" t="s">
        <v>56606</v>
      </c>
      <c r="H2860" t="s">
        <v>56607</v>
      </c>
      <c r="I2860" t="s">
        <v>56608</v>
      </c>
      <c r="J2860" t="s">
        <v>56609</v>
      </c>
      <c r="K2860" t="s">
        <v>56610</v>
      </c>
      <c r="L2860" t="s">
        <v>56611</v>
      </c>
      <c r="M2860" t="s">
        <v>56612</v>
      </c>
      <c r="N2860" t="s">
        <v>56613</v>
      </c>
      <c r="O2860">
        <f>-594.930634244424 -102.874142020542 -726.331033943663</f>
        <v>-1424.135810208629</v>
      </c>
      <c r="P2860">
        <f>-601.593748762329 -82.739163284779 -410.520529213014</f>
        <v>-1094.8534412601221</v>
      </c>
      <c r="Q2860">
        <f>-343.992819604179 -46.9132908435084 -411.109342812652</f>
        <v>-802.01545326033943</v>
      </c>
      <c r="R2860" t="s">
        <v>56614</v>
      </c>
      <c r="S2860" t="s">
        <v>56615</v>
      </c>
      <c r="T2860" t="s">
        <v>56616</v>
      </c>
      <c r="U2860" t="s">
        <v>56617</v>
      </c>
      <c r="V2860" t="s">
        <v>56618</v>
      </c>
      <c r="W2860" t="s">
        <v>56619</v>
      </c>
      <c r="X2860" t="s">
        <v>56620</v>
      </c>
      <c r="Y2860" t="s">
        <v>56621</v>
      </c>
    </row>
    <row r="2861" spans="1:25" x14ac:dyDescent="0.3">
      <c r="A2861">
        <v>143000</v>
      </c>
      <c r="B2861" t="s">
        <v>56622</v>
      </c>
      <c r="C2861" t="s">
        <v>56623</v>
      </c>
      <c r="D2861" t="s">
        <v>56624</v>
      </c>
      <c r="E2861" t="s">
        <v>56625</v>
      </c>
      <c r="F2861" t="s">
        <v>56626</v>
      </c>
      <c r="G2861" t="s">
        <v>56627</v>
      </c>
      <c r="H2861" t="s">
        <v>56628</v>
      </c>
      <c r="I2861" t="s">
        <v>56629</v>
      </c>
      <c r="J2861" t="s">
        <v>56630</v>
      </c>
      <c r="K2861" t="s">
        <v>56631</v>
      </c>
      <c r="L2861" t="s">
        <v>56632</v>
      </c>
      <c r="M2861" t="s">
        <v>56633</v>
      </c>
      <c r="N2861" t="s">
        <v>56634</v>
      </c>
      <c r="O2861">
        <f>-595.1600504761 -102.917309277613 -725.98730956963</f>
        <v>-1424.064669323343</v>
      </c>
      <c r="P2861">
        <f>-601.671009120193 -82.8632617826639 -410.168416440934</f>
        <v>-1094.702687343791</v>
      </c>
      <c r="Q2861">
        <f>-344.052413776326 -47.1711801286976 -411.068342428769</f>
        <v>-802.29193633379259</v>
      </c>
      <c r="R2861" t="s">
        <v>56635</v>
      </c>
      <c r="S2861" t="s">
        <v>56636</v>
      </c>
      <c r="T2861" t="s">
        <v>56637</v>
      </c>
      <c r="U2861" t="s">
        <v>56638</v>
      </c>
      <c r="V2861" t="s">
        <v>56639</v>
      </c>
      <c r="W2861" t="s">
        <v>56640</v>
      </c>
      <c r="X2861" t="s">
        <v>56641</v>
      </c>
      <c r="Y2861" t="s">
        <v>56642</v>
      </c>
    </row>
    <row r="2862" spans="1:25" x14ac:dyDescent="0.3">
      <c r="A2862">
        <v>143050</v>
      </c>
      <c r="B2862" t="s">
        <v>56643</v>
      </c>
      <c r="C2862" t="s">
        <v>56644</v>
      </c>
      <c r="D2862" t="s">
        <v>56645</v>
      </c>
      <c r="E2862" t="s">
        <v>56646</v>
      </c>
      <c r="F2862" t="s">
        <v>56647</v>
      </c>
      <c r="G2862" t="s">
        <v>56648</v>
      </c>
      <c r="H2862" t="s">
        <v>56649</v>
      </c>
      <c r="I2862" t="s">
        <v>56650</v>
      </c>
      <c r="J2862" t="s">
        <v>56651</v>
      </c>
      <c r="K2862" t="s">
        <v>56652</v>
      </c>
      <c r="L2862" t="s">
        <v>56653</v>
      </c>
      <c r="M2862" t="s">
        <v>56654</v>
      </c>
      <c r="N2862" t="s">
        <v>56655</v>
      </c>
      <c r="O2862">
        <f>-594.867340269768 -103.466397878553 -725.546968938947</f>
        <v>-1423.8807070872681</v>
      </c>
      <c r="P2862">
        <f>-601.081178384754 -83.8758248442864 -409.692932779388</f>
        <v>-1094.6499360084285</v>
      </c>
      <c r="Q2862">
        <f>-343.268923487986 -49.6286550648313 -411.112090361068</f>
        <v>-804.00966891388532</v>
      </c>
      <c r="R2862" t="s">
        <v>56656</v>
      </c>
      <c r="S2862" t="s">
        <v>56657</v>
      </c>
      <c r="T2862" t="s">
        <v>56658</v>
      </c>
      <c r="U2862" t="s">
        <v>56659</v>
      </c>
      <c r="V2862" t="s">
        <v>56660</v>
      </c>
      <c r="W2862" t="s">
        <v>56661</v>
      </c>
      <c r="X2862" t="s">
        <v>56662</v>
      </c>
      <c r="Y2862" t="s">
        <v>56663</v>
      </c>
    </row>
    <row r="2863" spans="1:25" x14ac:dyDescent="0.3">
      <c r="A2863">
        <v>143100</v>
      </c>
      <c r="B2863" t="s">
        <v>56664</v>
      </c>
      <c r="C2863" t="s">
        <v>56665</v>
      </c>
      <c r="D2863" t="s">
        <v>56666</v>
      </c>
      <c r="E2863" t="s">
        <v>56667</v>
      </c>
      <c r="F2863" t="s">
        <v>56668</v>
      </c>
      <c r="G2863" t="s">
        <v>56669</v>
      </c>
      <c r="H2863" t="s">
        <v>56670</v>
      </c>
      <c r="I2863" t="s">
        <v>56671</v>
      </c>
      <c r="J2863" t="s">
        <v>56672</v>
      </c>
      <c r="K2863" t="s">
        <v>56673</v>
      </c>
      <c r="L2863" t="s">
        <v>56674</v>
      </c>
      <c r="M2863" t="s">
        <v>56675</v>
      </c>
      <c r="N2863" t="s">
        <v>56676</v>
      </c>
      <c r="O2863">
        <f>-594.703970360721 -103.830919616647 -725.298072398061</f>
        <v>-1423.8329623754289</v>
      </c>
      <c r="P2863">
        <f>-600.460804292034 -84.3215377573163 -409.430410099717</f>
        <v>-1094.2127521490672</v>
      </c>
      <c r="Q2863">
        <f>-342.507819443098 -51.1428320810488 -410.654904323165</f>
        <v>-804.30555584731178</v>
      </c>
      <c r="R2863" t="s">
        <v>56677</v>
      </c>
      <c r="S2863" t="s">
        <v>56678</v>
      </c>
      <c r="T2863" t="s">
        <v>56679</v>
      </c>
      <c r="U2863" t="s">
        <v>56680</v>
      </c>
      <c r="V2863" t="s">
        <v>56681</v>
      </c>
      <c r="W2863" t="s">
        <v>56682</v>
      </c>
      <c r="X2863" t="s">
        <v>56683</v>
      </c>
      <c r="Y2863" t="s">
        <v>56684</v>
      </c>
    </row>
    <row r="2864" spans="1:25" x14ac:dyDescent="0.3">
      <c r="A2864">
        <v>143150</v>
      </c>
      <c r="B2864" t="s">
        <v>56685</v>
      </c>
      <c r="C2864" t="s">
        <v>56686</v>
      </c>
      <c r="D2864" t="s">
        <v>56687</v>
      </c>
      <c r="E2864" t="s">
        <v>56688</v>
      </c>
      <c r="F2864" t="s">
        <v>56689</v>
      </c>
      <c r="G2864" t="s">
        <v>56690</v>
      </c>
      <c r="H2864" t="s">
        <v>56691</v>
      </c>
      <c r="I2864" t="s">
        <v>56692</v>
      </c>
      <c r="J2864" t="s">
        <v>56693</v>
      </c>
      <c r="K2864" t="s">
        <v>56694</v>
      </c>
      <c r="L2864" t="s">
        <v>56695</v>
      </c>
      <c r="M2864" t="s">
        <v>56696</v>
      </c>
      <c r="N2864" t="s">
        <v>56697</v>
      </c>
      <c r="O2864">
        <f>-593.086603174492 -104.776656005919 -725.055003741782</f>
        <v>-1422.918262922193</v>
      </c>
      <c r="P2864">
        <f>-599.054510404845 -84.7614594976344 -409.222737179256</f>
        <v>-1093.0387070817355</v>
      </c>
      <c r="Q2864">
        <f>-340.928302668963 -52.9454542442067 -410.040400855349</f>
        <v>-803.91415776851863</v>
      </c>
      <c r="R2864" t="s">
        <v>56698</v>
      </c>
      <c r="S2864" t="s">
        <v>56699</v>
      </c>
      <c r="T2864" t="s">
        <v>56700</v>
      </c>
      <c r="U2864" t="s">
        <v>56701</v>
      </c>
      <c r="V2864" t="s">
        <v>56702</v>
      </c>
      <c r="W2864" t="s">
        <v>56703</v>
      </c>
      <c r="X2864" t="s">
        <v>56704</v>
      </c>
      <c r="Y2864" t="s">
        <v>56705</v>
      </c>
    </row>
    <row r="2865" spans="1:25" x14ac:dyDescent="0.3">
      <c r="A2865">
        <v>143200</v>
      </c>
      <c r="B2865" t="s">
        <v>56706</v>
      </c>
      <c r="C2865" t="s">
        <v>56707</v>
      </c>
      <c r="D2865" t="s">
        <v>56708</v>
      </c>
      <c r="E2865" t="s">
        <v>56709</v>
      </c>
      <c r="F2865" t="s">
        <v>56710</v>
      </c>
      <c r="G2865" t="s">
        <v>56711</v>
      </c>
      <c r="H2865" t="s">
        <v>56712</v>
      </c>
      <c r="I2865" t="s">
        <v>56713</v>
      </c>
      <c r="J2865" t="s">
        <v>56714</v>
      </c>
      <c r="K2865" t="s">
        <v>56715</v>
      </c>
      <c r="L2865" t="s">
        <v>56716</v>
      </c>
      <c r="M2865" t="s">
        <v>56717</v>
      </c>
      <c r="N2865" t="s">
        <v>56718</v>
      </c>
      <c r="O2865">
        <f>-592.334337138359 -105.088046385803 -725.211997127319</f>
        <v>-1422.634380651481</v>
      </c>
      <c r="P2865">
        <f>-598.509433985667 -84.7573325575556 -409.404018645897</f>
        <v>-1092.6707851891197</v>
      </c>
      <c r="Q2865">
        <f>-340.365704726049 -53.0737352620814 -409.570646786616</f>
        <v>-803.01008677474647</v>
      </c>
      <c r="R2865" t="s">
        <v>56719</v>
      </c>
      <c r="S2865" t="s">
        <v>56720</v>
      </c>
      <c r="T2865" t="s">
        <v>56721</v>
      </c>
      <c r="U2865" t="s">
        <v>56722</v>
      </c>
      <c r="V2865" t="s">
        <v>56723</v>
      </c>
      <c r="W2865" t="s">
        <v>56724</v>
      </c>
      <c r="X2865" t="s">
        <v>56725</v>
      </c>
      <c r="Y2865" t="s">
        <v>56726</v>
      </c>
    </row>
    <row r="2866" spans="1:25" x14ac:dyDescent="0.3">
      <c r="A2866">
        <v>143250</v>
      </c>
      <c r="B2866" t="s">
        <v>56727</v>
      </c>
      <c r="C2866" t="s">
        <v>56728</v>
      </c>
      <c r="D2866" t="s">
        <v>56729</v>
      </c>
      <c r="E2866" t="s">
        <v>56730</v>
      </c>
      <c r="F2866" t="s">
        <v>56731</v>
      </c>
      <c r="G2866" t="s">
        <v>56732</v>
      </c>
      <c r="H2866" t="s">
        <v>56733</v>
      </c>
      <c r="I2866" t="s">
        <v>56734</v>
      </c>
      <c r="J2866" t="s">
        <v>56735</v>
      </c>
      <c r="K2866" t="s">
        <v>56736</v>
      </c>
      <c r="L2866" t="s">
        <v>56737</v>
      </c>
      <c r="M2866" t="s">
        <v>56738</v>
      </c>
      <c r="N2866" t="s">
        <v>56739</v>
      </c>
      <c r="O2866">
        <f>-590.735652001847 -104.998934489888 -726.089503599178</f>
        <v>-1421.8240900909132</v>
      </c>
      <c r="P2866">
        <f>-597.924697312061 -84.7679711466865 -410.296564557888</f>
        <v>-1092.9892330166354</v>
      </c>
      <c r="Q2866">
        <f>-339.925427538401 -51.9948857986431 -408.203130770969</f>
        <v>-800.12344410801302</v>
      </c>
      <c r="R2866" t="s">
        <v>56740</v>
      </c>
      <c r="S2866" t="s">
        <v>56741</v>
      </c>
      <c r="T2866" t="s">
        <v>56742</v>
      </c>
      <c r="U2866" t="s">
        <v>56743</v>
      </c>
      <c r="V2866" t="s">
        <v>56744</v>
      </c>
      <c r="W2866" t="s">
        <v>56745</v>
      </c>
      <c r="X2866" t="s">
        <v>56746</v>
      </c>
      <c r="Y2866" t="s">
        <v>56747</v>
      </c>
    </row>
    <row r="2867" spans="1:25" x14ac:dyDescent="0.3">
      <c r="A2867">
        <v>143300</v>
      </c>
      <c r="B2867" t="s">
        <v>56748</v>
      </c>
      <c r="C2867" t="s">
        <v>56749</v>
      </c>
      <c r="D2867" t="s">
        <v>56750</v>
      </c>
      <c r="E2867" t="s">
        <v>56751</v>
      </c>
      <c r="F2867" t="s">
        <v>56752</v>
      </c>
      <c r="G2867" t="s">
        <v>56753</v>
      </c>
      <c r="H2867" t="s">
        <v>56754</v>
      </c>
      <c r="I2867" t="s">
        <v>56755</v>
      </c>
      <c r="J2867" t="s">
        <v>56756</v>
      </c>
      <c r="K2867" t="s">
        <v>56757</v>
      </c>
      <c r="L2867" t="s">
        <v>56758</v>
      </c>
      <c r="M2867" t="s">
        <v>56759</v>
      </c>
      <c r="N2867" t="s">
        <v>56760</v>
      </c>
      <c r="O2867">
        <f>-589.946014017266 -104.796894438325 -726.76311229174</f>
        <v>-1421.5060207473309</v>
      </c>
      <c r="P2867">
        <f>-597.733861911856 -84.2964737507055 -411.001645586882</f>
        <v>-1093.0319812494436</v>
      </c>
      <c r="Q2867">
        <f>-339.870485397241 -50.6581174115526 -406.87951828812</f>
        <v>-797.40812109691365</v>
      </c>
      <c r="R2867" t="s">
        <v>56761</v>
      </c>
      <c r="S2867" t="s">
        <v>56762</v>
      </c>
      <c r="T2867" t="s">
        <v>56763</v>
      </c>
      <c r="U2867" t="s">
        <v>56764</v>
      </c>
      <c r="V2867" t="s">
        <v>56765</v>
      </c>
      <c r="W2867" t="s">
        <v>56766</v>
      </c>
      <c r="X2867" t="s">
        <v>56767</v>
      </c>
      <c r="Y2867" t="s">
        <v>56768</v>
      </c>
    </row>
    <row r="2868" spans="1:25" x14ac:dyDescent="0.3">
      <c r="A2868">
        <v>143350</v>
      </c>
      <c r="B2868" t="s">
        <v>56769</v>
      </c>
      <c r="C2868" t="s">
        <v>56770</v>
      </c>
      <c r="D2868" t="s">
        <v>56771</v>
      </c>
      <c r="E2868" t="s">
        <v>56772</v>
      </c>
      <c r="F2868" t="s">
        <v>56773</v>
      </c>
      <c r="G2868" t="s">
        <v>56774</v>
      </c>
      <c r="H2868" t="s">
        <v>56775</v>
      </c>
      <c r="I2868" t="s">
        <v>56776</v>
      </c>
      <c r="J2868" t="s">
        <v>56777</v>
      </c>
      <c r="K2868" t="s">
        <v>56778</v>
      </c>
      <c r="L2868" t="s">
        <v>56779</v>
      </c>
      <c r="M2868" t="s">
        <v>56780</v>
      </c>
      <c r="N2868" t="s">
        <v>56781</v>
      </c>
      <c r="O2868">
        <f>-588.623963327965 -104.753777981815 -728.523951341359</f>
        <v>-1421.901692651139</v>
      </c>
      <c r="P2868">
        <f>-597.604782471914 -84.790763103854 -412.759729176698</f>
        <v>-1095.1552747524661</v>
      </c>
      <c r="Q2868">
        <f>-340.392893572646 -46.8609978340457 -406.018663345622</f>
        <v>-793.27255475231368</v>
      </c>
      <c r="R2868" t="s">
        <v>56782</v>
      </c>
      <c r="S2868" t="s">
        <v>56783</v>
      </c>
      <c r="T2868" t="s">
        <v>56784</v>
      </c>
      <c r="U2868" t="s">
        <v>56785</v>
      </c>
      <c r="V2868" t="s">
        <v>56786</v>
      </c>
      <c r="W2868" t="s">
        <v>56787</v>
      </c>
      <c r="X2868" t="s">
        <v>56788</v>
      </c>
      <c r="Y2868" t="s">
        <v>56789</v>
      </c>
    </row>
    <row r="2869" spans="1:25" x14ac:dyDescent="0.3">
      <c r="A2869">
        <v>143400</v>
      </c>
      <c r="B2869" t="s">
        <v>56790</v>
      </c>
      <c r="C2869" t="s">
        <v>56791</v>
      </c>
      <c r="D2869" t="s">
        <v>56792</v>
      </c>
      <c r="E2869" t="s">
        <v>56793</v>
      </c>
      <c r="F2869" t="s">
        <v>56794</v>
      </c>
      <c r="G2869" t="s">
        <v>56795</v>
      </c>
      <c r="H2869" t="s">
        <v>56796</v>
      </c>
      <c r="I2869" t="s">
        <v>56797</v>
      </c>
      <c r="J2869" t="s">
        <v>56798</v>
      </c>
      <c r="K2869" t="s">
        <v>56799</v>
      </c>
      <c r="L2869" t="s">
        <v>56800</v>
      </c>
      <c r="M2869" t="s">
        <v>56801</v>
      </c>
      <c r="N2869" t="s">
        <v>56802</v>
      </c>
      <c r="O2869">
        <f>-588.307865744639 -104.908873616804 -729.362897496636</f>
        <v>-1422.5796368580791</v>
      </c>
      <c r="P2869">
        <f>-597.672279007886 -85.1912874090081 -413.594552792334</f>
        <v>-1096.458119209228</v>
      </c>
      <c r="Q2869">
        <f>-340.818192623513 -45.1206744802945 -405.695505367729</f>
        <v>-791.63437247153661</v>
      </c>
      <c r="R2869" t="s">
        <v>56803</v>
      </c>
      <c r="S2869" t="s">
        <v>56804</v>
      </c>
      <c r="T2869" t="s">
        <v>56805</v>
      </c>
      <c r="U2869" t="s">
        <v>56806</v>
      </c>
      <c r="V2869" t="s">
        <v>56807</v>
      </c>
      <c r="W2869" t="s">
        <v>56808</v>
      </c>
      <c r="X2869" t="s">
        <v>56809</v>
      </c>
      <c r="Y2869" t="s">
        <v>56810</v>
      </c>
    </row>
    <row r="2870" spans="1:25" x14ac:dyDescent="0.3">
      <c r="A2870">
        <v>143450</v>
      </c>
      <c r="B2870" t="s">
        <v>56811</v>
      </c>
      <c r="C2870" t="s">
        <v>56812</v>
      </c>
      <c r="D2870" t="s">
        <v>56813</v>
      </c>
      <c r="E2870" t="s">
        <v>56814</v>
      </c>
      <c r="F2870" t="s">
        <v>56815</v>
      </c>
      <c r="G2870" t="s">
        <v>56816</v>
      </c>
      <c r="H2870" t="s">
        <v>56817</v>
      </c>
      <c r="I2870" t="s">
        <v>56818</v>
      </c>
      <c r="J2870" t="s">
        <v>56819</v>
      </c>
      <c r="K2870" t="s">
        <v>56820</v>
      </c>
      <c r="L2870" t="s">
        <v>56821</v>
      </c>
      <c r="M2870" t="s">
        <v>56822</v>
      </c>
      <c r="N2870" t="s">
        <v>56823</v>
      </c>
      <c r="O2870">
        <f>-588.109148964012 -105.206220477849 -730.492635799631</f>
        <v>-1423.8080052414921</v>
      </c>
      <c r="P2870">
        <f>-597.636509970821 -86.2049962677646 -414.685103588789</f>
        <v>-1098.5266098273746</v>
      </c>
      <c r="Q2870">
        <f>-341.4300845944 -42.6586669204082 -404.484802850316</f>
        <v>-788.57355436512421</v>
      </c>
      <c r="R2870" t="s">
        <v>56824</v>
      </c>
      <c r="S2870" t="s">
        <v>56825</v>
      </c>
      <c r="T2870" t="s">
        <v>56826</v>
      </c>
      <c r="U2870" t="s">
        <v>56827</v>
      </c>
      <c r="V2870" t="s">
        <v>56828</v>
      </c>
      <c r="W2870" t="s">
        <v>56829</v>
      </c>
      <c r="X2870" t="s">
        <v>56830</v>
      </c>
      <c r="Y2870" t="s">
        <v>56831</v>
      </c>
    </row>
    <row r="2871" spans="1:25" x14ac:dyDescent="0.3">
      <c r="A2871">
        <v>143500</v>
      </c>
      <c r="B2871" t="s">
        <v>56832</v>
      </c>
      <c r="C2871" t="s">
        <v>56833</v>
      </c>
      <c r="D2871" t="s">
        <v>56834</v>
      </c>
      <c r="E2871" t="s">
        <v>56835</v>
      </c>
      <c r="F2871" t="s">
        <v>56836</v>
      </c>
      <c r="G2871" t="s">
        <v>56837</v>
      </c>
      <c r="H2871" t="s">
        <v>56838</v>
      </c>
      <c r="I2871" t="s">
        <v>56839</v>
      </c>
      <c r="J2871" t="s">
        <v>56840</v>
      </c>
      <c r="K2871" t="s">
        <v>56841</v>
      </c>
      <c r="L2871" t="s">
        <v>56842</v>
      </c>
      <c r="M2871" t="s">
        <v>56843</v>
      </c>
      <c r="N2871" t="s">
        <v>56844</v>
      </c>
      <c r="O2871">
        <f>-587.881441075032 -105.3576858002 -730.874556837246</f>
        <v>-1424.113683712478</v>
      </c>
      <c r="P2871">
        <f>-597.603573506499 -86.1236913932155 -415.087160785767</f>
        <v>-1098.8144256854814</v>
      </c>
      <c r="Q2871">
        <f>-341.639603496064 -41.4701197057 -403.661125361444</f>
        <v>-786.77084856320812</v>
      </c>
      <c r="R2871" t="s">
        <v>56845</v>
      </c>
      <c r="S2871" t="s">
        <v>56846</v>
      </c>
      <c r="T2871" t="s">
        <v>56847</v>
      </c>
      <c r="U2871" t="s">
        <v>56848</v>
      </c>
      <c r="V2871" t="s">
        <v>56849</v>
      </c>
      <c r="W2871" t="s">
        <v>56850</v>
      </c>
      <c r="X2871" t="s">
        <v>56851</v>
      </c>
      <c r="Y2871" t="s">
        <v>56852</v>
      </c>
    </row>
    <row r="2872" spans="1:25" x14ac:dyDescent="0.3">
      <c r="A2872">
        <v>143550</v>
      </c>
      <c r="B2872" t="s">
        <v>56853</v>
      </c>
      <c r="C2872" t="s">
        <v>56854</v>
      </c>
      <c r="D2872" t="s">
        <v>56855</v>
      </c>
      <c r="E2872" t="s">
        <v>56856</v>
      </c>
      <c r="F2872" t="s">
        <v>56857</v>
      </c>
      <c r="G2872" t="s">
        <v>56858</v>
      </c>
      <c r="H2872" t="s">
        <v>56859</v>
      </c>
      <c r="I2872" t="s">
        <v>56860</v>
      </c>
      <c r="J2872" t="s">
        <v>56861</v>
      </c>
      <c r="K2872" t="s">
        <v>56862</v>
      </c>
      <c r="L2872" t="s">
        <v>56863</v>
      </c>
      <c r="M2872" t="s">
        <v>56864</v>
      </c>
      <c r="N2872" t="s">
        <v>56865</v>
      </c>
      <c r="O2872">
        <f>-587.159781820487 -105.356073337769 -731.579384369959</f>
        <v>-1424.095239528215</v>
      </c>
      <c r="P2872">
        <f>-597.6566645605 -86.1720530581494 -415.813668737847</f>
        <v>-1099.6423863564964</v>
      </c>
      <c r="Q2872">
        <f>-342.025454653058 -40.2885247436507 -402.04964597415</f>
        <v>-784.3636253708587</v>
      </c>
      <c r="R2872" t="s">
        <v>56866</v>
      </c>
      <c r="S2872" t="s">
        <v>56867</v>
      </c>
      <c r="T2872" t="s">
        <v>56868</v>
      </c>
      <c r="U2872" t="s">
        <v>56869</v>
      </c>
      <c r="V2872" t="s">
        <v>56870</v>
      </c>
      <c r="W2872" t="s">
        <v>56871</v>
      </c>
      <c r="X2872" t="s">
        <v>56872</v>
      </c>
      <c r="Y2872" t="s">
        <v>56873</v>
      </c>
    </row>
    <row r="2873" spans="1:25" x14ac:dyDescent="0.3">
      <c r="A2873">
        <v>143600</v>
      </c>
      <c r="B2873" t="s">
        <v>56874</v>
      </c>
      <c r="C2873" t="s">
        <v>56875</v>
      </c>
      <c r="D2873" t="s">
        <v>56876</v>
      </c>
      <c r="E2873" t="s">
        <v>56877</v>
      </c>
      <c r="F2873" t="s">
        <v>56878</v>
      </c>
      <c r="G2873" t="s">
        <v>56879</v>
      </c>
      <c r="H2873" t="s">
        <v>56880</v>
      </c>
      <c r="I2873" t="s">
        <v>56881</v>
      </c>
      <c r="J2873" t="s">
        <v>56882</v>
      </c>
      <c r="K2873" t="s">
        <v>56883</v>
      </c>
      <c r="L2873" t="s">
        <v>56884</v>
      </c>
      <c r="M2873" t="s">
        <v>56885</v>
      </c>
      <c r="N2873" t="s">
        <v>56886</v>
      </c>
      <c r="O2873">
        <f>-586.83541962963 -105.256513570998 -731.930368861027</f>
        <v>-1424.022302061655</v>
      </c>
      <c r="P2873">
        <f>-598.113433128179 -86.0336865453323 -416.193776188675</f>
        <v>-1100.3408958621862</v>
      </c>
      <c r="Q2873">
        <f>-342.575255204411 -39.9067692588561 -401.545409104742</f>
        <v>-784.0274335680092</v>
      </c>
      <c r="R2873" t="s">
        <v>56887</v>
      </c>
      <c r="S2873" t="s">
        <v>56888</v>
      </c>
      <c r="T2873" t="s">
        <v>56889</v>
      </c>
      <c r="U2873" t="s">
        <v>56890</v>
      </c>
      <c r="V2873" t="s">
        <v>56891</v>
      </c>
      <c r="W2873" t="s">
        <v>56892</v>
      </c>
      <c r="X2873" t="s">
        <v>56893</v>
      </c>
      <c r="Y2873" t="s">
        <v>56894</v>
      </c>
    </row>
    <row r="2874" spans="1:25" x14ac:dyDescent="0.3">
      <c r="A2874">
        <v>143650</v>
      </c>
      <c r="B2874" t="s">
        <v>56895</v>
      </c>
      <c r="C2874" t="s">
        <v>56896</v>
      </c>
      <c r="D2874" t="s">
        <v>56897</v>
      </c>
      <c r="E2874" t="s">
        <v>56898</v>
      </c>
      <c r="F2874" t="s">
        <v>56899</v>
      </c>
      <c r="G2874" t="s">
        <v>56900</v>
      </c>
      <c r="H2874" t="s">
        <v>56901</v>
      </c>
      <c r="I2874" t="s">
        <v>56902</v>
      </c>
      <c r="J2874" t="s">
        <v>56903</v>
      </c>
      <c r="K2874" t="s">
        <v>56904</v>
      </c>
      <c r="L2874" t="s">
        <v>56905</v>
      </c>
      <c r="M2874" t="s">
        <v>56906</v>
      </c>
      <c r="N2874" t="s">
        <v>56907</v>
      </c>
      <c r="O2874">
        <f>-586.146708374367 -104.65504148236 -732.753886983635</f>
        <v>-1423.555636840362</v>
      </c>
      <c r="P2874">
        <f>-598.58977492572 -84.9015898126934 -417.094125260321</f>
        <v>-1100.5854899987344</v>
      </c>
      <c r="Q2874">
        <f>-343.104091900581 -39.1588424661019 -400.45899827992</f>
        <v>-782.72193264660291</v>
      </c>
      <c r="R2874" t="s">
        <v>56908</v>
      </c>
      <c r="S2874" t="s">
        <v>56909</v>
      </c>
      <c r="T2874" t="s">
        <v>56910</v>
      </c>
      <c r="U2874" t="s">
        <v>56911</v>
      </c>
      <c r="V2874" t="s">
        <v>56912</v>
      </c>
      <c r="W2874" t="s">
        <v>56913</v>
      </c>
      <c r="X2874" t="s">
        <v>56914</v>
      </c>
      <c r="Y2874" t="s">
        <v>56915</v>
      </c>
    </row>
    <row r="2875" spans="1:25" x14ac:dyDescent="0.3">
      <c r="A2875">
        <v>143700</v>
      </c>
      <c r="B2875" t="s">
        <v>56916</v>
      </c>
      <c r="C2875" t="s">
        <v>56917</v>
      </c>
      <c r="D2875" t="s">
        <v>56918</v>
      </c>
      <c r="E2875" t="s">
        <v>56919</v>
      </c>
      <c r="F2875" t="s">
        <v>56920</v>
      </c>
      <c r="G2875" t="s">
        <v>56921</v>
      </c>
      <c r="H2875" t="s">
        <v>56922</v>
      </c>
      <c r="I2875" t="s">
        <v>56923</v>
      </c>
      <c r="J2875" t="s">
        <v>56924</v>
      </c>
      <c r="K2875" t="s">
        <v>56925</v>
      </c>
      <c r="L2875" t="s">
        <v>56926</v>
      </c>
      <c r="M2875" t="s">
        <v>56927</v>
      </c>
      <c r="N2875" t="s">
        <v>56928</v>
      </c>
      <c r="O2875">
        <f>-585.46352162877 -104.023436927849 -733.307316399102</f>
        <v>-1422.794274955721</v>
      </c>
      <c r="P2875">
        <f>-598.435886787191 -84.3648059669811 -417.662910510992</f>
        <v>-1100.463603265164</v>
      </c>
      <c r="Q2875">
        <f>-343.023616719372 -38.6328878873799 -399.908951227875</f>
        <v>-781.56545583462685</v>
      </c>
      <c r="R2875" t="s">
        <v>56929</v>
      </c>
      <c r="S2875" t="s">
        <v>56930</v>
      </c>
      <c r="T2875" t="s">
        <v>56931</v>
      </c>
      <c r="U2875" t="s">
        <v>56932</v>
      </c>
      <c r="V2875" t="s">
        <v>56933</v>
      </c>
      <c r="W2875" t="s">
        <v>56934</v>
      </c>
      <c r="X2875" t="s">
        <v>56935</v>
      </c>
      <c r="Y2875" t="s">
        <v>56936</v>
      </c>
    </row>
    <row r="2876" spans="1:25" x14ac:dyDescent="0.3">
      <c r="A2876">
        <v>143750</v>
      </c>
      <c r="B2876" t="s">
        <v>56937</v>
      </c>
      <c r="C2876" t="s">
        <v>56938</v>
      </c>
      <c r="D2876" t="s">
        <v>56939</v>
      </c>
      <c r="E2876" t="s">
        <v>56940</v>
      </c>
      <c r="F2876" t="s">
        <v>56941</v>
      </c>
      <c r="G2876" t="s">
        <v>56942</v>
      </c>
      <c r="H2876" t="s">
        <v>56943</v>
      </c>
      <c r="I2876" t="s">
        <v>56944</v>
      </c>
      <c r="J2876" t="s">
        <v>56945</v>
      </c>
      <c r="K2876" t="s">
        <v>56946</v>
      </c>
      <c r="L2876" t="s">
        <v>56947</v>
      </c>
      <c r="M2876" t="s">
        <v>56948</v>
      </c>
      <c r="N2876" t="s">
        <v>56949</v>
      </c>
      <c r="O2876">
        <f>-584.924736387679 -102.870830022823 -734.665773128083</f>
        <v>-1422.461339538585</v>
      </c>
      <c r="P2876">
        <f>-598.986097474371 -83.1589345106933 -419.071241770129</f>
        <v>-1101.2162737551932</v>
      </c>
      <c r="Q2876">
        <f>-343.88754172009 -36.6706496320498 -398.931622753417</f>
        <v>-779.48981410555677</v>
      </c>
      <c r="R2876" t="s">
        <v>56950</v>
      </c>
      <c r="S2876" t="s">
        <v>56951</v>
      </c>
      <c r="T2876" t="s">
        <v>56952</v>
      </c>
      <c r="U2876" t="s">
        <v>56953</v>
      </c>
      <c r="V2876" t="s">
        <v>56954</v>
      </c>
      <c r="W2876" t="s">
        <v>56955</v>
      </c>
      <c r="X2876" t="s">
        <v>56956</v>
      </c>
      <c r="Y2876" t="s">
        <v>56957</v>
      </c>
    </row>
    <row r="2877" spans="1:25" x14ac:dyDescent="0.3">
      <c r="A2877">
        <v>143800</v>
      </c>
      <c r="B2877" t="s">
        <v>56958</v>
      </c>
      <c r="C2877" t="s">
        <v>56959</v>
      </c>
      <c r="D2877" t="s">
        <v>56960</v>
      </c>
      <c r="E2877" t="s">
        <v>56961</v>
      </c>
      <c r="F2877" t="s">
        <v>56962</v>
      </c>
      <c r="G2877" t="s">
        <v>56963</v>
      </c>
      <c r="H2877" t="s">
        <v>56964</v>
      </c>
      <c r="I2877" t="s">
        <v>56965</v>
      </c>
      <c r="J2877" t="s">
        <v>56966</v>
      </c>
      <c r="K2877" t="s">
        <v>56967</v>
      </c>
      <c r="L2877" t="s">
        <v>56968</v>
      </c>
      <c r="M2877" t="s">
        <v>56969</v>
      </c>
      <c r="N2877" t="s">
        <v>56970</v>
      </c>
      <c r="O2877">
        <f>-584.700463425472 -102.531815070785 -735.400188917491</f>
        <v>-1422.6324674137481</v>
      </c>
      <c r="P2877">
        <f>-599.370944550831 -83.1866607543528 -419.81060860786</f>
        <v>-1102.3682139130437</v>
      </c>
      <c r="Q2877">
        <f>-344.549496245396 -35.7447420725284 -398.424654964037</f>
        <v>-778.71889328196153</v>
      </c>
      <c r="R2877" t="s">
        <v>56971</v>
      </c>
      <c r="S2877" t="s">
        <v>56972</v>
      </c>
      <c r="T2877" t="s">
        <v>56973</v>
      </c>
      <c r="U2877" t="s">
        <v>56974</v>
      </c>
      <c r="V2877" t="s">
        <v>56975</v>
      </c>
      <c r="W2877" t="s">
        <v>56976</v>
      </c>
      <c r="X2877" t="s">
        <v>56977</v>
      </c>
      <c r="Y2877" t="s">
        <v>56978</v>
      </c>
    </row>
    <row r="2878" spans="1:25" x14ac:dyDescent="0.3">
      <c r="A2878">
        <v>143850</v>
      </c>
      <c r="B2878" t="s">
        <v>56979</v>
      </c>
      <c r="C2878" t="s">
        <v>56980</v>
      </c>
      <c r="D2878" t="s">
        <v>56981</v>
      </c>
      <c r="E2878" t="s">
        <v>56982</v>
      </c>
      <c r="F2878" t="s">
        <v>56983</v>
      </c>
      <c r="G2878" t="s">
        <v>56984</v>
      </c>
      <c r="H2878" t="s">
        <v>56985</v>
      </c>
      <c r="I2878" t="s">
        <v>56986</v>
      </c>
      <c r="J2878" t="s">
        <v>56987</v>
      </c>
      <c r="K2878" t="s">
        <v>56988</v>
      </c>
      <c r="L2878" t="s">
        <v>56989</v>
      </c>
      <c r="M2878" t="s">
        <v>56990</v>
      </c>
      <c r="N2878" t="s">
        <v>56991</v>
      </c>
      <c r="O2878">
        <f>-582.949637040803 -102.727612650432 -736.73105894869</f>
        <v>-1422.4083086399251</v>
      </c>
      <c r="P2878">
        <f>-598.99959065179 -82.8363919541414 -421.242716947535</f>
        <v>-1103.0786995534663</v>
      </c>
      <c r="Q2878">
        <f>-344.81041732656 -33.2393773986303 -397.366561203358</f>
        <v>-775.41635592854834</v>
      </c>
      <c r="R2878" t="s">
        <v>56992</v>
      </c>
      <c r="S2878" t="s">
        <v>56993</v>
      </c>
      <c r="T2878" t="s">
        <v>56994</v>
      </c>
      <c r="U2878" t="s">
        <v>56995</v>
      </c>
      <c r="V2878" t="s">
        <v>56996</v>
      </c>
      <c r="W2878" t="s">
        <v>56997</v>
      </c>
      <c r="X2878" t="s">
        <v>56998</v>
      </c>
      <c r="Y2878" t="s">
        <v>56999</v>
      </c>
    </row>
    <row r="2879" spans="1:25" x14ac:dyDescent="0.3">
      <c r="A2879">
        <v>143900</v>
      </c>
      <c r="B2879" t="s">
        <v>57000</v>
      </c>
      <c r="C2879" t="s">
        <v>57001</v>
      </c>
      <c r="D2879" t="s">
        <v>57002</v>
      </c>
      <c r="E2879" t="s">
        <v>57003</v>
      </c>
      <c r="F2879" t="s">
        <v>57004</v>
      </c>
      <c r="G2879" t="s">
        <v>57005</v>
      </c>
      <c r="H2879" t="s">
        <v>57006</v>
      </c>
      <c r="I2879" t="s">
        <v>57007</v>
      </c>
      <c r="J2879" t="s">
        <v>57008</v>
      </c>
      <c r="K2879" t="s">
        <v>57009</v>
      </c>
      <c r="L2879" t="s">
        <v>57010</v>
      </c>
      <c r="M2879" t="s">
        <v>57011</v>
      </c>
      <c r="N2879" t="s">
        <v>57012</v>
      </c>
      <c r="O2879">
        <f>-582.636728443696 -102.830884229678 -737.104304604111</f>
        <v>-1422.571917277485</v>
      </c>
      <c r="P2879">
        <f>-599.776148846972 -82.3999777614829 -421.707751860126</f>
        <v>-1103.8838784685809</v>
      </c>
      <c r="Q2879">
        <f>-345.960107006772 -31.5409876326222 -396.55119077111</f>
        <v>-774.05228541050417</v>
      </c>
      <c r="R2879" t="s">
        <v>57013</v>
      </c>
      <c r="S2879" t="s">
        <v>57014</v>
      </c>
      <c r="T2879" t="s">
        <v>57015</v>
      </c>
      <c r="U2879" t="s">
        <v>57016</v>
      </c>
      <c r="V2879" t="s">
        <v>57017</v>
      </c>
      <c r="W2879" t="s">
        <v>57018</v>
      </c>
      <c r="X2879" t="s">
        <v>57019</v>
      </c>
      <c r="Y2879" t="s">
        <v>57020</v>
      </c>
    </row>
    <row r="2880" spans="1:25" x14ac:dyDescent="0.3">
      <c r="A2880">
        <v>143950</v>
      </c>
      <c r="B2880" t="s">
        <v>57021</v>
      </c>
      <c r="C2880" t="s">
        <v>57022</v>
      </c>
      <c r="D2880" t="s">
        <v>57023</v>
      </c>
      <c r="E2880" t="s">
        <v>57024</v>
      </c>
      <c r="F2880" t="s">
        <v>57025</v>
      </c>
      <c r="G2880" t="s">
        <v>57026</v>
      </c>
      <c r="H2880" t="s">
        <v>57027</v>
      </c>
      <c r="I2880" t="s">
        <v>57028</v>
      </c>
      <c r="J2880" t="s">
        <v>57029</v>
      </c>
      <c r="K2880" t="s">
        <v>57030</v>
      </c>
      <c r="L2880" t="s">
        <v>57031</v>
      </c>
      <c r="M2880" t="s">
        <v>57032</v>
      </c>
      <c r="N2880" t="s">
        <v>57033</v>
      </c>
      <c r="O2880">
        <f>-581.424139596764 -102.855726008801 -737.723619359406</f>
        <v>-1422.003484964971</v>
      </c>
      <c r="P2880">
        <f>-600.115752432353 -82.2198168435371 -422.428605283054</f>
        <v>-1104.764174558944</v>
      </c>
      <c r="Q2880">
        <f>-347.161859613798 -28.7433741292933 -394.203392374566</f>
        <v>-770.10862611765742</v>
      </c>
      <c r="R2880" t="s">
        <v>57034</v>
      </c>
      <c r="S2880" t="s">
        <v>57035</v>
      </c>
      <c r="T2880" t="s">
        <v>57036</v>
      </c>
      <c r="U2880" t="s">
        <v>57037</v>
      </c>
      <c r="V2880" t="s">
        <v>57038</v>
      </c>
      <c r="W2880" t="s">
        <v>57039</v>
      </c>
      <c r="X2880" t="s">
        <v>57040</v>
      </c>
      <c r="Y2880" t="s">
        <v>57041</v>
      </c>
    </row>
    <row r="2881" spans="1:25" x14ac:dyDescent="0.3">
      <c r="A2881">
        <v>144000</v>
      </c>
      <c r="B2881" t="s">
        <v>57042</v>
      </c>
      <c r="C2881" t="s">
        <v>57043</v>
      </c>
      <c r="D2881" t="s">
        <v>57044</v>
      </c>
      <c r="E2881" t="s">
        <v>57045</v>
      </c>
      <c r="F2881" t="s">
        <v>57046</v>
      </c>
      <c r="G2881" t="s">
        <v>57047</v>
      </c>
      <c r="H2881" t="s">
        <v>57048</v>
      </c>
      <c r="I2881" t="s">
        <v>57049</v>
      </c>
      <c r="J2881" t="s">
        <v>57050</v>
      </c>
      <c r="K2881" t="s">
        <v>57051</v>
      </c>
      <c r="L2881" t="s">
        <v>57052</v>
      </c>
      <c r="M2881" t="s">
        <v>57053</v>
      </c>
      <c r="N2881" t="s">
        <v>57054</v>
      </c>
      <c r="O2881">
        <f>-580.836153488852 -102.838186578992 -738.05090139293</f>
        <v>-1421.725241460774</v>
      </c>
      <c r="P2881">
        <f>-600.416749028428 -81.6290645203601 -422.847925223824</f>
        <v>-1104.8937387726121</v>
      </c>
      <c r="Q2881">
        <f>-347.79444952186 -27.0400799628607 -393.79450214029</f>
        <v>-768.62903162501061</v>
      </c>
      <c r="R2881" t="s">
        <v>57055</v>
      </c>
      <c r="S2881" t="s">
        <v>57056</v>
      </c>
      <c r="T2881" t="s">
        <v>57057</v>
      </c>
      <c r="U2881" t="s">
        <v>57058</v>
      </c>
      <c r="V2881" t="s">
        <v>57059</v>
      </c>
      <c r="W2881" t="s">
        <v>57060</v>
      </c>
      <c r="X2881" t="s">
        <v>57061</v>
      </c>
      <c r="Y2881" t="s">
        <v>57062</v>
      </c>
    </row>
    <row r="2882" spans="1:25" x14ac:dyDescent="0.3">
      <c r="A2882">
        <v>144050</v>
      </c>
      <c r="B2882" t="s">
        <v>57063</v>
      </c>
      <c r="C2882" t="s">
        <v>57064</v>
      </c>
      <c r="D2882" t="s">
        <v>57065</v>
      </c>
      <c r="E2882" t="s">
        <v>57066</v>
      </c>
      <c r="F2882" t="s">
        <v>57067</v>
      </c>
      <c r="G2882" t="s">
        <v>57068</v>
      </c>
      <c r="H2882" t="s">
        <v>57069</v>
      </c>
      <c r="I2882" t="s">
        <v>57070</v>
      </c>
      <c r="J2882" t="s">
        <v>57071</v>
      </c>
      <c r="K2882" t="s">
        <v>57072</v>
      </c>
      <c r="L2882" t="s">
        <v>57073</v>
      </c>
      <c r="M2882" t="s">
        <v>57074</v>
      </c>
      <c r="N2882" t="s">
        <v>57075</v>
      </c>
      <c r="O2882">
        <f>-579.740386867149 -102.452933233369 -738.717320467393</f>
        <v>-1420.9106405679111</v>
      </c>
      <c r="P2882">
        <f>-600.643870647903 -81.1968346932825 -423.602321386086</f>
        <v>-1105.4430267272714</v>
      </c>
      <c r="Q2882">
        <f>-348.369318542781 -25.4690101854817 -393.702316303393</f>
        <v>-767.54064503165569</v>
      </c>
      <c r="R2882" t="s">
        <v>57076</v>
      </c>
      <c r="S2882" t="s">
        <v>57077</v>
      </c>
      <c r="T2882" t="s">
        <v>57078</v>
      </c>
      <c r="U2882" t="s">
        <v>57079</v>
      </c>
      <c r="V2882" t="s">
        <v>57080</v>
      </c>
      <c r="W2882" t="s">
        <v>57081</v>
      </c>
      <c r="X2882" t="s">
        <v>57082</v>
      </c>
      <c r="Y2882" t="s">
        <v>57083</v>
      </c>
    </row>
    <row r="2883" spans="1:25" x14ac:dyDescent="0.3">
      <c r="A2883">
        <v>144100</v>
      </c>
      <c r="B2883" t="s">
        <v>57084</v>
      </c>
      <c r="C2883" t="s">
        <v>57085</v>
      </c>
      <c r="D2883" t="s">
        <v>57086</v>
      </c>
      <c r="E2883" t="s">
        <v>57087</v>
      </c>
      <c r="F2883" t="s">
        <v>57088</v>
      </c>
      <c r="G2883" t="s">
        <v>57089</v>
      </c>
      <c r="H2883" t="s">
        <v>57090</v>
      </c>
      <c r="I2883" t="s">
        <v>57091</v>
      </c>
      <c r="J2883" t="s">
        <v>57092</v>
      </c>
      <c r="K2883" t="s">
        <v>57093</v>
      </c>
      <c r="L2883" t="s">
        <v>57094</v>
      </c>
      <c r="M2883" t="s">
        <v>57095</v>
      </c>
      <c r="N2883" t="s">
        <v>57096</v>
      </c>
      <c r="O2883">
        <f>-579.094900543278 -102.057645080276 -738.87818197555</f>
        <v>-1420.030727599104</v>
      </c>
      <c r="P2883">
        <f>-600.672050819519 -80.8065347115616 -423.808309537471</f>
        <v>-1105.2868950685515</v>
      </c>
      <c r="Q2883">
        <f>-348.408339806381 -25.0122646680071 -393.940581736637</f>
        <v>-767.36118621102514</v>
      </c>
      <c r="R2883" t="s">
        <v>57097</v>
      </c>
      <c r="S2883" t="s">
        <v>57098</v>
      </c>
      <c r="T2883" t="s">
        <v>57099</v>
      </c>
      <c r="U2883" t="s">
        <v>57100</v>
      </c>
      <c r="V2883" t="s">
        <v>57101</v>
      </c>
      <c r="W2883" t="s">
        <v>57102</v>
      </c>
      <c r="X2883" t="s">
        <v>57103</v>
      </c>
      <c r="Y2883" t="s">
        <v>57104</v>
      </c>
    </row>
    <row r="2884" spans="1:25" x14ac:dyDescent="0.3">
      <c r="A2884">
        <v>144150</v>
      </c>
      <c r="B2884" t="s">
        <v>57105</v>
      </c>
      <c r="C2884" t="s">
        <v>57106</v>
      </c>
      <c r="D2884" t="s">
        <v>57107</v>
      </c>
      <c r="E2884" t="s">
        <v>57108</v>
      </c>
      <c r="F2884" t="s">
        <v>57109</v>
      </c>
      <c r="G2884" t="s">
        <v>57110</v>
      </c>
      <c r="H2884" t="s">
        <v>57111</v>
      </c>
      <c r="I2884" t="s">
        <v>57112</v>
      </c>
      <c r="J2884" t="s">
        <v>57113</v>
      </c>
      <c r="K2884" t="s">
        <v>57114</v>
      </c>
      <c r="L2884" t="s">
        <v>57115</v>
      </c>
      <c r="M2884" t="s">
        <v>57116</v>
      </c>
      <c r="N2884" t="s">
        <v>57117</v>
      </c>
      <c r="O2884">
        <f>-577.874108106876 -101.269045345437 -739.234303178875</f>
        <v>-1418.3774566311881</v>
      </c>
      <c r="P2884">
        <f>-599.847659417352 -80.0197247383079 -424.191833045901</f>
        <v>-1104.0592172015608</v>
      </c>
      <c r="Q2884">
        <f>-347.323380692215 -25.2807521280358 -394.574536001762</f>
        <v>-767.17866882201281</v>
      </c>
      <c r="R2884" t="s">
        <v>57118</v>
      </c>
      <c r="S2884" t="s">
        <v>57119</v>
      </c>
      <c r="T2884" t="s">
        <v>57120</v>
      </c>
      <c r="U2884" t="s">
        <v>57121</v>
      </c>
      <c r="V2884" t="s">
        <v>57122</v>
      </c>
      <c r="W2884" t="s">
        <v>57123</v>
      </c>
      <c r="X2884" t="s">
        <v>57124</v>
      </c>
      <c r="Y2884" t="s">
        <v>57125</v>
      </c>
    </row>
    <row r="2885" spans="1:25" x14ac:dyDescent="0.3">
      <c r="A2885">
        <v>144200</v>
      </c>
      <c r="B2885" t="s">
        <v>57126</v>
      </c>
      <c r="C2885" t="s">
        <v>57127</v>
      </c>
      <c r="D2885" t="s">
        <v>57128</v>
      </c>
      <c r="E2885" t="s">
        <v>57129</v>
      </c>
      <c r="F2885" t="s">
        <v>57130</v>
      </c>
      <c r="G2885" t="s">
        <v>57131</v>
      </c>
      <c r="H2885" t="s">
        <v>57132</v>
      </c>
      <c r="I2885" t="s">
        <v>57133</v>
      </c>
      <c r="J2885" t="s">
        <v>57134</v>
      </c>
      <c r="K2885" t="s">
        <v>57135</v>
      </c>
      <c r="L2885" t="s">
        <v>57136</v>
      </c>
      <c r="M2885" t="s">
        <v>57137</v>
      </c>
      <c r="N2885" t="s">
        <v>57138</v>
      </c>
      <c r="O2885">
        <f>-577.482594642855 -100.405483794109 -739.417759542612</f>
        <v>-1417.3058379795762</v>
      </c>
      <c r="P2885">
        <f>-599.218905038783 -79.2654329108121 -424.351466020859</f>
        <v>-1102.835803970454</v>
      </c>
      <c r="Q2885">
        <f>-346.422488699163 -25.7208032799571 -394.872379649867</f>
        <v>-767.01567162898709</v>
      </c>
      <c r="R2885" t="s">
        <v>57139</v>
      </c>
      <c r="S2885" t="s">
        <v>57140</v>
      </c>
      <c r="T2885" t="s">
        <v>57141</v>
      </c>
      <c r="U2885" t="s">
        <v>57142</v>
      </c>
      <c r="V2885" t="s">
        <v>57143</v>
      </c>
      <c r="W2885" t="s">
        <v>57144</v>
      </c>
      <c r="X2885" t="s">
        <v>57145</v>
      </c>
      <c r="Y2885" t="s">
        <v>57146</v>
      </c>
    </row>
    <row r="2886" spans="1:25" x14ac:dyDescent="0.3">
      <c r="A2886">
        <v>144250</v>
      </c>
      <c r="B2886" t="s">
        <v>57147</v>
      </c>
      <c r="C2886" t="s">
        <v>57148</v>
      </c>
      <c r="D2886" t="s">
        <v>57149</v>
      </c>
      <c r="E2886" t="s">
        <v>57150</v>
      </c>
      <c r="F2886" t="s">
        <v>57151</v>
      </c>
      <c r="G2886" t="s">
        <v>57152</v>
      </c>
      <c r="H2886" t="s">
        <v>57153</v>
      </c>
      <c r="I2886" t="s">
        <v>57154</v>
      </c>
      <c r="J2886" t="s">
        <v>57155</v>
      </c>
      <c r="K2886" t="s">
        <v>57156</v>
      </c>
      <c r="L2886" t="s">
        <v>57157</v>
      </c>
      <c r="M2886" t="s">
        <v>57158</v>
      </c>
      <c r="N2886" t="s">
        <v>57159</v>
      </c>
      <c r="O2886">
        <f>-576.761087213564 -98.8821847080631 -739.511436268269</f>
        <v>-1415.1547081898962</v>
      </c>
      <c r="P2886">
        <f>-597.804568725803 -77.8003890519334 -424.394132346229</f>
        <v>-1099.9990901239655</v>
      </c>
      <c r="Q2886">
        <f>-344.525188346989 -26.5277827856207 -395.02173023118</f>
        <v>-766.0747013637897</v>
      </c>
      <c r="R2886" t="s">
        <v>57160</v>
      </c>
      <c r="S2886" t="s">
        <v>57161</v>
      </c>
      <c r="T2886" t="s">
        <v>57162</v>
      </c>
      <c r="U2886" t="s">
        <v>57163</v>
      </c>
      <c r="V2886" t="s">
        <v>57164</v>
      </c>
      <c r="W2886" t="s">
        <v>57165</v>
      </c>
      <c r="X2886" t="s">
        <v>57166</v>
      </c>
      <c r="Y2886" t="s">
        <v>57167</v>
      </c>
    </row>
    <row r="2887" spans="1:25" x14ac:dyDescent="0.3">
      <c r="A2887">
        <v>144300</v>
      </c>
      <c r="B2887" t="s">
        <v>57168</v>
      </c>
      <c r="C2887" t="s">
        <v>57169</v>
      </c>
      <c r="D2887" t="s">
        <v>57170</v>
      </c>
      <c r="E2887" t="s">
        <v>57171</v>
      </c>
      <c r="F2887" t="s">
        <v>57172</v>
      </c>
      <c r="G2887" t="s">
        <v>57173</v>
      </c>
      <c r="H2887" t="s">
        <v>57174</v>
      </c>
      <c r="I2887" t="s">
        <v>57175</v>
      </c>
      <c r="J2887" t="s">
        <v>57176</v>
      </c>
      <c r="K2887" t="s">
        <v>57177</v>
      </c>
      <c r="L2887" t="s">
        <v>57178</v>
      </c>
      <c r="M2887" t="s">
        <v>57179</v>
      </c>
      <c r="N2887" t="s">
        <v>57180</v>
      </c>
      <c r="O2887">
        <f>-576.970080929314 -98.2708139637697 -739.104742108496</f>
        <v>-1414.3456370015797</v>
      </c>
      <c r="P2887">
        <f>-597.586593257182 -77.206109311838 -423.957955101637</f>
        <v>-1098.7506576706569</v>
      </c>
      <c r="Q2887">
        <f>-344.119525905434 -26.7403543548901 -394.808223850914</f>
        <v>-765.66810411123811</v>
      </c>
      <c r="R2887" t="s">
        <v>57181</v>
      </c>
      <c r="S2887" t="s">
        <v>57182</v>
      </c>
      <c r="T2887" t="s">
        <v>57183</v>
      </c>
      <c r="U2887" t="s">
        <v>57184</v>
      </c>
      <c r="V2887" t="s">
        <v>57185</v>
      </c>
      <c r="W2887" t="s">
        <v>57186</v>
      </c>
      <c r="X2887" t="s">
        <v>57187</v>
      </c>
      <c r="Y2887" t="s">
        <v>57188</v>
      </c>
    </row>
    <row r="2888" spans="1:25" x14ac:dyDescent="0.3">
      <c r="A2888">
        <v>144350</v>
      </c>
      <c r="B2888" t="s">
        <v>57189</v>
      </c>
      <c r="C2888" t="s">
        <v>57190</v>
      </c>
      <c r="D2888" t="s">
        <v>57191</v>
      </c>
      <c r="E2888" t="s">
        <v>57192</v>
      </c>
      <c r="F2888" t="s">
        <v>57193</v>
      </c>
      <c r="G2888" t="s">
        <v>57194</v>
      </c>
      <c r="H2888" t="s">
        <v>57195</v>
      </c>
      <c r="I2888" t="s">
        <v>57196</v>
      </c>
      <c r="J2888" t="s">
        <v>57197</v>
      </c>
      <c r="K2888" t="s">
        <v>57198</v>
      </c>
      <c r="L2888" t="s">
        <v>57199</v>
      </c>
      <c r="M2888" t="s">
        <v>57200</v>
      </c>
      <c r="N2888" t="s">
        <v>57201</v>
      </c>
      <c r="O2888">
        <f>-577.806133704403 -97.2262842120359 -737.864432118364</f>
        <v>-1412.8968500348028</v>
      </c>
      <c r="P2888">
        <f>-598.008619144608 -76.3680548795211 -422.677343987363</f>
        <v>-1097.0540180114922</v>
      </c>
      <c r="Q2888">
        <f>-344.299338828502 -26.9550294181524 -393.83232416235</f>
        <v>-765.0866924090044</v>
      </c>
      <c r="R2888" t="s">
        <v>57202</v>
      </c>
      <c r="S2888" t="s">
        <v>57203</v>
      </c>
      <c r="T2888" t="s">
        <v>57204</v>
      </c>
      <c r="U2888" t="s">
        <v>57205</v>
      </c>
      <c r="V2888" t="s">
        <v>57206</v>
      </c>
      <c r="W2888" t="s">
        <v>57207</v>
      </c>
      <c r="X2888" t="s">
        <v>57208</v>
      </c>
      <c r="Y2888" t="s">
        <v>57209</v>
      </c>
    </row>
    <row r="2889" spans="1:25" x14ac:dyDescent="0.3">
      <c r="A2889">
        <v>144400</v>
      </c>
      <c r="B2889" t="s">
        <v>57210</v>
      </c>
      <c r="C2889" t="s">
        <v>57211</v>
      </c>
      <c r="D2889" t="s">
        <v>57212</v>
      </c>
      <c r="E2889" t="s">
        <v>57213</v>
      </c>
      <c r="F2889" t="s">
        <v>57214</v>
      </c>
      <c r="G2889" t="s">
        <v>57215</v>
      </c>
      <c r="H2889" t="s">
        <v>57216</v>
      </c>
      <c r="I2889" t="s">
        <v>57217</v>
      </c>
      <c r="J2889" t="s">
        <v>57218</v>
      </c>
      <c r="K2889" t="s">
        <v>57219</v>
      </c>
      <c r="L2889" t="s">
        <v>57220</v>
      </c>
      <c r="M2889" t="s">
        <v>57221</v>
      </c>
      <c r="N2889" t="s">
        <v>57222</v>
      </c>
      <c r="O2889">
        <f>-578.047816140924 -96.8160179246702 -737.218320316657</f>
        <v>-1412.0821543822512</v>
      </c>
      <c r="P2889">
        <f>-597.911792787414 -75.925401207704 -422.011595343421</f>
        <v>-1095.8487893385391</v>
      </c>
      <c r="Q2889">
        <f>-344.046083000482 -27.3341734266995 -393.147458954622</f>
        <v>-764.52771538180355</v>
      </c>
      <c r="R2889" t="s">
        <v>57223</v>
      </c>
      <c r="S2889" t="s">
        <v>57224</v>
      </c>
      <c r="T2889" t="s">
        <v>57225</v>
      </c>
      <c r="U2889" t="s">
        <v>57226</v>
      </c>
      <c r="V2889" t="s">
        <v>57227</v>
      </c>
      <c r="W2889" t="s">
        <v>57228</v>
      </c>
      <c r="X2889" t="s">
        <v>57229</v>
      </c>
      <c r="Y2889" t="s">
        <v>57230</v>
      </c>
    </row>
    <row r="2890" spans="1:25" x14ac:dyDescent="0.3">
      <c r="A2890">
        <v>144450</v>
      </c>
      <c r="B2890" t="s">
        <v>57231</v>
      </c>
      <c r="C2890" t="s">
        <v>57232</v>
      </c>
      <c r="D2890" t="s">
        <v>57233</v>
      </c>
      <c r="E2890" t="s">
        <v>57234</v>
      </c>
      <c r="F2890" t="s">
        <v>57235</v>
      </c>
      <c r="G2890" t="s">
        <v>57236</v>
      </c>
      <c r="H2890" t="s">
        <v>57237</v>
      </c>
      <c r="I2890" t="s">
        <v>57238</v>
      </c>
      <c r="J2890" t="s">
        <v>57239</v>
      </c>
      <c r="K2890" t="s">
        <v>57240</v>
      </c>
      <c r="L2890" t="s">
        <v>57241</v>
      </c>
      <c r="M2890" t="s">
        <v>57242</v>
      </c>
      <c r="N2890" t="s">
        <v>57243</v>
      </c>
      <c r="O2890">
        <f>-577.986525376608 -96.4008493135486 -736.101765422124</f>
        <v>-1410.4891401122807</v>
      </c>
      <c r="P2890">
        <f>-597.319371914319 -75.8648735715282 -420.838841875712</f>
        <v>-1094.0230873615592</v>
      </c>
      <c r="Q2890">
        <f>-343.335931548179 -28.0373424009456 -391.73621770178</f>
        <v>-763.1094916509046</v>
      </c>
      <c r="R2890" t="s">
        <v>57244</v>
      </c>
      <c r="S2890" t="s">
        <v>57245</v>
      </c>
      <c r="T2890" t="s">
        <v>57246</v>
      </c>
      <c r="U2890" t="s">
        <v>57247</v>
      </c>
      <c r="V2890" t="s">
        <v>57248</v>
      </c>
      <c r="W2890" t="s">
        <v>57249</v>
      </c>
      <c r="X2890" t="s">
        <v>57250</v>
      </c>
      <c r="Y2890" t="s">
        <v>57251</v>
      </c>
    </row>
    <row r="2891" spans="1:25" x14ac:dyDescent="0.3">
      <c r="A2891">
        <v>144500</v>
      </c>
      <c r="B2891" t="s">
        <v>57252</v>
      </c>
      <c r="C2891" t="s">
        <v>57253</v>
      </c>
      <c r="D2891" t="s">
        <v>57254</v>
      </c>
      <c r="E2891" t="s">
        <v>57255</v>
      </c>
      <c r="F2891" t="s">
        <v>57256</v>
      </c>
      <c r="G2891" t="s">
        <v>57257</v>
      </c>
      <c r="H2891" t="s">
        <v>57258</v>
      </c>
      <c r="I2891" t="s">
        <v>57259</v>
      </c>
      <c r="J2891" t="s">
        <v>57260</v>
      </c>
      <c r="K2891" t="s">
        <v>57261</v>
      </c>
      <c r="L2891" t="s">
        <v>57262</v>
      </c>
      <c r="M2891" t="s">
        <v>57263</v>
      </c>
      <c r="N2891" t="s">
        <v>57264</v>
      </c>
      <c r="O2891">
        <f>-577.89749709341 -96.204085389597 -735.687543828315</f>
        <v>-1409.789126311322</v>
      </c>
      <c r="P2891">
        <f>-596.968383468231 -75.8052152751518 -420.399759297518</f>
        <v>-1093.1733580409009</v>
      </c>
      <c r="Q2891">
        <f>-342.93148186711 -28.1071212143055 -391.552423780011</f>
        <v>-762.59102686142649</v>
      </c>
      <c r="R2891" t="s">
        <v>57265</v>
      </c>
      <c r="S2891" t="s">
        <v>57266</v>
      </c>
      <c r="T2891" t="s">
        <v>57267</v>
      </c>
      <c r="U2891" t="s">
        <v>57268</v>
      </c>
      <c r="V2891" t="s">
        <v>57269</v>
      </c>
      <c r="W2891" t="s">
        <v>57270</v>
      </c>
      <c r="X2891" t="s">
        <v>57271</v>
      </c>
      <c r="Y2891" t="s">
        <v>57272</v>
      </c>
    </row>
    <row r="2892" spans="1:25" x14ac:dyDescent="0.3">
      <c r="A2892">
        <v>144550</v>
      </c>
      <c r="B2892" t="s">
        <v>57273</v>
      </c>
      <c r="C2892" t="s">
        <v>57274</v>
      </c>
      <c r="D2892" t="s">
        <v>57275</v>
      </c>
      <c r="E2892" t="s">
        <v>57276</v>
      </c>
      <c r="F2892" t="s">
        <v>57277</v>
      </c>
      <c r="G2892" t="s">
        <v>57278</v>
      </c>
      <c r="H2892" t="s">
        <v>57279</v>
      </c>
      <c r="I2892" t="s">
        <v>57280</v>
      </c>
      <c r="J2892" t="s">
        <v>57281</v>
      </c>
      <c r="K2892" t="s">
        <v>57282</v>
      </c>
      <c r="L2892" t="s">
        <v>57283</v>
      </c>
      <c r="M2892" t="s">
        <v>57284</v>
      </c>
      <c r="N2892" t="s">
        <v>57285</v>
      </c>
      <c r="O2892">
        <f>-577.783585772226 -95.8256035379451 -734.980261454894</f>
        <v>-1408.5894507650651</v>
      </c>
      <c r="P2892">
        <f>-595.955355035816 -75.7301462544685 -419.619964212247</f>
        <v>-1091.3054655025314</v>
      </c>
      <c r="Q2892">
        <f>-341.797395793221 -28.0983484605876 -391.745114350286</f>
        <v>-761.64085860409455</v>
      </c>
      <c r="R2892" t="s">
        <v>57286</v>
      </c>
      <c r="S2892" t="s">
        <v>57287</v>
      </c>
      <c r="T2892" t="s">
        <v>57288</v>
      </c>
      <c r="U2892" t="s">
        <v>57289</v>
      </c>
      <c r="V2892" t="s">
        <v>57290</v>
      </c>
      <c r="W2892" t="s">
        <v>57291</v>
      </c>
      <c r="X2892" t="s">
        <v>57292</v>
      </c>
      <c r="Y2892" t="s">
        <v>57293</v>
      </c>
    </row>
    <row r="2893" spans="1:25" x14ac:dyDescent="0.3">
      <c r="A2893">
        <v>144600</v>
      </c>
      <c r="B2893" t="s">
        <v>57294</v>
      </c>
      <c r="C2893" t="s">
        <v>57295</v>
      </c>
      <c r="D2893" t="s">
        <v>57296</v>
      </c>
      <c r="E2893" t="s">
        <v>57297</v>
      </c>
      <c r="F2893" t="s">
        <v>57298</v>
      </c>
      <c r="G2893" t="s">
        <v>57299</v>
      </c>
      <c r="H2893" t="s">
        <v>57300</v>
      </c>
      <c r="I2893" t="s">
        <v>57301</v>
      </c>
      <c r="J2893" t="s">
        <v>57302</v>
      </c>
      <c r="K2893" t="s">
        <v>57303</v>
      </c>
      <c r="L2893" t="s">
        <v>57304</v>
      </c>
      <c r="M2893" t="s">
        <v>57305</v>
      </c>
      <c r="N2893" t="s">
        <v>57306</v>
      </c>
      <c r="O2893">
        <f>-577.960395531655 -95.5001566633029 -734.724225914497</f>
        <v>-1408.1847781094548</v>
      </c>
      <c r="P2893">
        <f>-595.741436435902 -75.7393268164285 -419.320540231605</f>
        <v>-1090.8013034839355</v>
      </c>
      <c r="Q2893">
        <f>-341.573112992535 -27.8215064079467 -392.036816540918</f>
        <v>-761.43143594139974</v>
      </c>
      <c r="R2893" t="s">
        <v>57307</v>
      </c>
      <c r="S2893" t="s">
        <v>57308</v>
      </c>
      <c r="T2893" t="s">
        <v>57309</v>
      </c>
      <c r="U2893" t="s">
        <v>57310</v>
      </c>
      <c r="V2893" t="s">
        <v>57311</v>
      </c>
      <c r="W2893" t="s">
        <v>57312</v>
      </c>
      <c r="X2893" t="s">
        <v>57313</v>
      </c>
      <c r="Y2893" t="s">
        <v>57314</v>
      </c>
    </row>
    <row r="2894" spans="1:25" x14ac:dyDescent="0.3">
      <c r="A2894">
        <v>144650</v>
      </c>
      <c r="B2894" t="s">
        <v>57315</v>
      </c>
      <c r="C2894" t="s">
        <v>57316</v>
      </c>
      <c r="D2894" t="s">
        <v>57317</v>
      </c>
      <c r="E2894" t="s">
        <v>57318</v>
      </c>
      <c r="F2894" t="s">
        <v>57319</v>
      </c>
      <c r="G2894" t="s">
        <v>57320</v>
      </c>
      <c r="H2894" t="s">
        <v>57321</v>
      </c>
      <c r="I2894" t="s">
        <v>57322</v>
      </c>
      <c r="J2894" t="s">
        <v>57323</v>
      </c>
      <c r="K2894" t="s">
        <v>57324</v>
      </c>
      <c r="L2894" t="s">
        <v>57325</v>
      </c>
      <c r="M2894" t="s">
        <v>57326</v>
      </c>
      <c r="N2894" t="s">
        <v>57327</v>
      </c>
      <c r="O2894">
        <f>-578.580797413159 -95.0116476062275 -734.491859047315</f>
        <v>-1408.0843040667014</v>
      </c>
      <c r="P2894">
        <f>-595.537866775251 -76.0450155891742 -418.994089409564</f>
        <v>-1090.5769717739893</v>
      </c>
      <c r="Q2894">
        <f>-341.354331268256 -27.6212025741185 -392.766676759191</f>
        <v>-761.74221060156549</v>
      </c>
      <c r="R2894" t="s">
        <v>57328</v>
      </c>
      <c r="S2894" t="s">
        <v>57329</v>
      </c>
      <c r="T2894" t="s">
        <v>57330</v>
      </c>
      <c r="U2894" t="s">
        <v>57331</v>
      </c>
      <c r="V2894" t="s">
        <v>57332</v>
      </c>
      <c r="W2894" t="s">
        <v>57333</v>
      </c>
      <c r="X2894" t="s">
        <v>57334</v>
      </c>
      <c r="Y2894" t="s">
        <v>57335</v>
      </c>
    </row>
    <row r="2895" spans="1:25" x14ac:dyDescent="0.3">
      <c r="A2895">
        <v>144700</v>
      </c>
      <c r="B2895" t="s">
        <v>57336</v>
      </c>
      <c r="C2895" t="s">
        <v>57337</v>
      </c>
      <c r="D2895" t="s">
        <v>57338</v>
      </c>
      <c r="E2895" t="s">
        <v>57339</v>
      </c>
      <c r="F2895" t="s">
        <v>57340</v>
      </c>
      <c r="G2895" t="s">
        <v>57341</v>
      </c>
      <c r="H2895" t="s">
        <v>57342</v>
      </c>
      <c r="I2895" t="s">
        <v>57343</v>
      </c>
      <c r="J2895" t="s">
        <v>57344</v>
      </c>
      <c r="K2895" t="s">
        <v>57345</v>
      </c>
      <c r="L2895" t="s">
        <v>57346</v>
      </c>
      <c r="M2895" t="s">
        <v>57347</v>
      </c>
      <c r="N2895" t="s">
        <v>57348</v>
      </c>
      <c r="O2895">
        <f>-579.021042539492 -94.8921824156235 -734.565774279705</f>
        <v>-1408.4789992348205</v>
      </c>
      <c r="P2895">
        <f>-595.716778159071 -76.1698947435025 -419.039404204791</f>
        <v>-1090.9260771073646</v>
      </c>
      <c r="Q2895">
        <f>-341.473165323218 -27.8039950907745 -393.290649706017</f>
        <v>-762.56781012000943</v>
      </c>
      <c r="R2895" t="s">
        <v>57349</v>
      </c>
      <c r="S2895" t="s">
        <v>57350</v>
      </c>
      <c r="T2895" t="s">
        <v>57351</v>
      </c>
      <c r="U2895" t="s">
        <v>57352</v>
      </c>
      <c r="V2895" t="s">
        <v>57353</v>
      </c>
      <c r="W2895" t="s">
        <v>57354</v>
      </c>
      <c r="X2895" t="s">
        <v>57355</v>
      </c>
      <c r="Y2895" t="s">
        <v>57356</v>
      </c>
    </row>
    <row r="2896" spans="1:25" x14ac:dyDescent="0.3">
      <c r="A2896">
        <v>144750</v>
      </c>
      <c r="B2896" t="s">
        <v>57357</v>
      </c>
      <c r="C2896" t="s">
        <v>57358</v>
      </c>
      <c r="D2896" t="s">
        <v>57359</v>
      </c>
      <c r="E2896" t="s">
        <v>57360</v>
      </c>
      <c r="F2896" t="s">
        <v>57361</v>
      </c>
      <c r="G2896" t="s">
        <v>57362</v>
      </c>
      <c r="H2896" t="s">
        <v>57363</v>
      </c>
      <c r="I2896" t="s">
        <v>57364</v>
      </c>
      <c r="J2896" t="s">
        <v>57365</v>
      </c>
      <c r="K2896" t="s">
        <v>57366</v>
      </c>
      <c r="L2896" t="s">
        <v>57367</v>
      </c>
      <c r="M2896" t="s">
        <v>57368</v>
      </c>
      <c r="N2896" t="s">
        <v>57369</v>
      </c>
      <c r="O2896">
        <f>-578.815671492038 -94.2109101420998 -735.985623734253</f>
        <v>-1409.0122053683908</v>
      </c>
      <c r="P2896">
        <f>-595.707347579494 -76.6807409092051 -420.40106780185</f>
        <v>-1092.7891562905493</v>
      </c>
      <c r="Q2896">
        <f>-341.358015800113 -28.4068815172894 -395.539818243786</f>
        <v>-765.30471556118835</v>
      </c>
      <c r="R2896" t="s">
        <v>57370</v>
      </c>
      <c r="S2896" t="s">
        <v>57371</v>
      </c>
      <c r="T2896" t="s">
        <v>57372</v>
      </c>
      <c r="U2896" t="s">
        <v>57373</v>
      </c>
      <c r="V2896" t="s">
        <v>57374</v>
      </c>
      <c r="W2896" t="s">
        <v>57375</v>
      </c>
      <c r="X2896" t="s">
        <v>57376</v>
      </c>
      <c r="Y2896" t="s">
        <v>57377</v>
      </c>
    </row>
    <row r="2897" spans="1:25" x14ac:dyDescent="0.3">
      <c r="A2897">
        <v>144800</v>
      </c>
      <c r="B2897" t="s">
        <v>57378</v>
      </c>
      <c r="C2897" t="s">
        <v>57379</v>
      </c>
      <c r="D2897" t="s">
        <v>57380</v>
      </c>
      <c r="E2897" t="s">
        <v>57381</v>
      </c>
      <c r="F2897" t="s">
        <v>57382</v>
      </c>
      <c r="G2897" t="s">
        <v>57383</v>
      </c>
      <c r="H2897" t="s">
        <v>57384</v>
      </c>
      <c r="I2897" t="s">
        <v>57385</v>
      </c>
      <c r="J2897" t="s">
        <v>57386</v>
      </c>
      <c r="K2897" t="s">
        <v>57387</v>
      </c>
      <c r="L2897" t="s">
        <v>57388</v>
      </c>
      <c r="M2897" t="s">
        <v>57389</v>
      </c>
      <c r="N2897" t="s">
        <v>57390</v>
      </c>
      <c r="O2897">
        <f>-578.79170454258 -93.8565019307805 -737.221323196256</f>
        <v>-1409.8695296696164</v>
      </c>
      <c r="P2897">
        <f>-595.994177419878 -76.8349974200317 -421.625829922767</f>
        <v>-1094.4550047626767</v>
      </c>
      <c r="Q2897">
        <f>-341.61414362556 -28.5491693673605 -397.103776255073</f>
        <v>-767.26708924799345</v>
      </c>
      <c r="R2897" t="s">
        <v>57391</v>
      </c>
      <c r="S2897" t="s">
        <v>57392</v>
      </c>
      <c r="T2897" t="s">
        <v>57393</v>
      </c>
      <c r="U2897" t="s">
        <v>57394</v>
      </c>
      <c r="V2897" t="s">
        <v>57395</v>
      </c>
      <c r="W2897" t="s">
        <v>57396</v>
      </c>
      <c r="X2897" t="s">
        <v>57397</v>
      </c>
      <c r="Y2897" t="s">
        <v>57398</v>
      </c>
    </row>
    <row r="2898" spans="1:25" x14ac:dyDescent="0.3">
      <c r="A2898">
        <v>144850</v>
      </c>
      <c r="B2898" t="s">
        <v>57399</v>
      </c>
      <c r="C2898" t="s">
        <v>57400</v>
      </c>
      <c r="D2898" t="s">
        <v>57401</v>
      </c>
      <c r="E2898" t="s">
        <v>57402</v>
      </c>
      <c r="F2898" t="s">
        <v>57403</v>
      </c>
      <c r="G2898" t="s">
        <v>57404</v>
      </c>
      <c r="H2898" t="s">
        <v>57405</v>
      </c>
      <c r="I2898" t="s">
        <v>57406</v>
      </c>
      <c r="J2898" t="s">
        <v>57407</v>
      </c>
      <c r="K2898" t="s">
        <v>57408</v>
      </c>
      <c r="L2898" t="s">
        <v>57409</v>
      </c>
      <c r="M2898" t="s">
        <v>57410</v>
      </c>
      <c r="N2898" t="s">
        <v>57411</v>
      </c>
      <c r="O2898">
        <f>-579.675895085011 -93.1325571113776 -739.254146164987</f>
        <v>-1412.0625983613754</v>
      </c>
      <c r="P2898">
        <f>-596.729523782713 -77.860937384571 -423.561022197903</f>
        <v>-1098.151483365187</v>
      </c>
      <c r="Q2898">
        <f>-342.240729473331 -29.6500502415339 -400.040992205141</f>
        <v>-771.93177192000587</v>
      </c>
      <c r="R2898" t="s">
        <v>57412</v>
      </c>
      <c r="S2898" t="s">
        <v>57413</v>
      </c>
      <c r="T2898" t="s">
        <v>57414</v>
      </c>
      <c r="U2898" t="s">
        <v>57415</v>
      </c>
      <c r="V2898" t="s">
        <v>57416</v>
      </c>
      <c r="W2898" t="s">
        <v>57417</v>
      </c>
      <c r="X2898" t="s">
        <v>57418</v>
      </c>
      <c r="Y2898" t="s">
        <v>57419</v>
      </c>
    </row>
    <row r="2899" spans="1:25" x14ac:dyDescent="0.3">
      <c r="A2899">
        <v>144900</v>
      </c>
      <c r="B2899" t="s">
        <v>57420</v>
      </c>
      <c r="C2899" t="s">
        <v>57421</v>
      </c>
      <c r="D2899" t="s">
        <v>57422</v>
      </c>
      <c r="E2899" t="s">
        <v>57423</v>
      </c>
      <c r="F2899" t="s">
        <v>57424</v>
      </c>
      <c r="G2899" t="s">
        <v>57425</v>
      </c>
      <c r="H2899" t="s">
        <v>57426</v>
      </c>
      <c r="I2899" t="s">
        <v>57427</v>
      </c>
      <c r="J2899" t="s">
        <v>57428</v>
      </c>
      <c r="K2899" t="s">
        <v>57429</v>
      </c>
      <c r="L2899" t="s">
        <v>57430</v>
      </c>
      <c r="M2899" t="s">
        <v>57431</v>
      </c>
      <c r="N2899" t="s">
        <v>57432</v>
      </c>
      <c r="O2899">
        <f>-580.12409685904 -92.6197080482841 -740.088434324536</f>
        <v>-1412.8322392318601</v>
      </c>
      <c r="P2899">
        <f>-597.122757762835 -77.8593764425614 -424.368010578661</f>
        <v>-1099.3501447840574</v>
      </c>
      <c r="Q2899">
        <f>-342.563542778264 -29.7802972187804 -401.345111759409</f>
        <v>-773.68895175645343</v>
      </c>
      <c r="R2899" t="s">
        <v>57433</v>
      </c>
      <c r="S2899" t="s">
        <v>57434</v>
      </c>
      <c r="T2899" t="s">
        <v>57435</v>
      </c>
      <c r="U2899" t="s">
        <v>57436</v>
      </c>
      <c r="V2899" t="s">
        <v>57437</v>
      </c>
      <c r="W2899" t="s">
        <v>57438</v>
      </c>
      <c r="X2899" t="s">
        <v>57439</v>
      </c>
      <c r="Y2899" t="s">
        <v>57440</v>
      </c>
    </row>
    <row r="2900" spans="1:25" x14ac:dyDescent="0.3">
      <c r="A2900">
        <v>144950</v>
      </c>
      <c r="B2900" t="s">
        <v>57441</v>
      </c>
      <c r="C2900" t="s">
        <v>57442</v>
      </c>
      <c r="D2900" t="s">
        <v>57443</v>
      </c>
      <c r="E2900" t="s">
        <v>57444</v>
      </c>
      <c r="F2900" t="s">
        <v>57445</v>
      </c>
      <c r="G2900" t="s">
        <v>57446</v>
      </c>
      <c r="H2900" t="s">
        <v>57447</v>
      </c>
      <c r="I2900" t="s">
        <v>57448</v>
      </c>
      <c r="J2900" t="s">
        <v>57449</v>
      </c>
      <c r="K2900" t="s">
        <v>57450</v>
      </c>
      <c r="L2900" t="s">
        <v>57451</v>
      </c>
      <c r="M2900" t="s">
        <v>57452</v>
      </c>
      <c r="N2900" t="s">
        <v>57453</v>
      </c>
      <c r="O2900">
        <f>-580.78180614919 -91.5416027792785 -741.699430949145</f>
        <v>-1414.0228398776135</v>
      </c>
      <c r="P2900">
        <f>-598.045449555526 -78.0110850878563 -425.938381594448</f>
        <v>-1101.9949162378302</v>
      </c>
      <c r="Q2900">
        <f>-343.448112337499 -30.0175997403969 -403.159209824205</f>
        <v>-776.62492190210094</v>
      </c>
      <c r="R2900" t="s">
        <v>57454</v>
      </c>
      <c r="S2900" t="s">
        <v>57455</v>
      </c>
      <c r="T2900" t="s">
        <v>57456</v>
      </c>
      <c r="U2900" t="s">
        <v>57457</v>
      </c>
      <c r="V2900" t="s">
        <v>57458</v>
      </c>
      <c r="W2900" t="s">
        <v>57459</v>
      </c>
      <c r="X2900" t="s">
        <v>57460</v>
      </c>
      <c r="Y2900" t="s">
        <v>57461</v>
      </c>
    </row>
    <row r="2901" spans="1:25" x14ac:dyDescent="0.3">
      <c r="A2901">
        <v>145000</v>
      </c>
      <c r="B2901" t="s">
        <v>57462</v>
      </c>
      <c r="C2901" t="s">
        <v>57463</v>
      </c>
      <c r="D2901" t="s">
        <v>57464</v>
      </c>
      <c r="E2901" t="s">
        <v>57465</v>
      </c>
      <c r="F2901" t="s">
        <v>57466</v>
      </c>
      <c r="G2901" t="s">
        <v>57467</v>
      </c>
      <c r="H2901" t="s">
        <v>57468</v>
      </c>
      <c r="I2901" t="s">
        <v>57469</v>
      </c>
      <c r="J2901" t="s">
        <v>57470</v>
      </c>
      <c r="K2901" t="s">
        <v>57471</v>
      </c>
      <c r="L2901" t="s">
        <v>57472</v>
      </c>
      <c r="M2901" t="s">
        <v>57473</v>
      </c>
      <c r="N2901" t="s">
        <v>57474</v>
      </c>
      <c r="O2901">
        <f>-580.825652890716 -91.3453210610534 -742.356726248873</f>
        <v>-1414.5277002006424</v>
      </c>
      <c r="P2901">
        <f>-598.465481995256 -78.0453846237106 -426.606715239223</f>
        <v>-1103.1175818581896</v>
      </c>
      <c r="Q2901">
        <f>-343.881433291814 -29.9674732955033 -403.856875282863</f>
        <v>-777.70578187018032</v>
      </c>
      <c r="R2901" t="s">
        <v>57475</v>
      </c>
      <c r="S2901" t="s">
        <v>57476</v>
      </c>
      <c r="T2901" t="s">
        <v>57477</v>
      </c>
      <c r="U2901" t="s">
        <v>57478</v>
      </c>
      <c r="V2901" t="s">
        <v>57479</v>
      </c>
      <c r="W2901" t="s">
        <v>57480</v>
      </c>
      <c r="X2901" t="s">
        <v>57481</v>
      </c>
      <c r="Y2901" t="s">
        <v>57482</v>
      </c>
    </row>
    <row r="2902" spans="1:25" x14ac:dyDescent="0.3">
      <c r="A2902">
        <v>145050</v>
      </c>
      <c r="B2902" t="s">
        <v>57483</v>
      </c>
      <c r="C2902" t="s">
        <v>57484</v>
      </c>
      <c r="D2902" t="s">
        <v>57485</v>
      </c>
      <c r="E2902" t="s">
        <v>57486</v>
      </c>
      <c r="F2902" t="s">
        <v>57487</v>
      </c>
      <c r="G2902" t="s">
        <v>57488</v>
      </c>
      <c r="H2902" t="s">
        <v>57489</v>
      </c>
      <c r="I2902" t="s">
        <v>57490</v>
      </c>
      <c r="J2902" t="s">
        <v>57491</v>
      </c>
      <c r="K2902" t="s">
        <v>57492</v>
      </c>
      <c r="L2902" t="s">
        <v>57493</v>
      </c>
      <c r="M2902" t="s">
        <v>57494</v>
      </c>
      <c r="N2902" t="s">
        <v>57495</v>
      </c>
      <c r="O2902">
        <f>-581.093004689338 -91.1673490956311 -743.299121709116</f>
        <v>-1415.5594754940851</v>
      </c>
      <c r="P2902">
        <f>-598.729860509094 -78.7981556485712 -427.511098277708</f>
        <v>-1105.0391144353732</v>
      </c>
      <c r="Q2902">
        <f>-344.239551373811 -30.3842653552349 -404.428109549459</f>
        <v>-779.05192627850488</v>
      </c>
      <c r="R2902" t="s">
        <v>57496</v>
      </c>
      <c r="S2902" t="s">
        <v>57497</v>
      </c>
      <c r="T2902" t="s">
        <v>57498</v>
      </c>
      <c r="U2902" t="s">
        <v>57499</v>
      </c>
      <c r="V2902" t="s">
        <v>57500</v>
      </c>
      <c r="W2902" t="s">
        <v>57501</v>
      </c>
      <c r="X2902" t="s">
        <v>57502</v>
      </c>
      <c r="Y2902" t="s">
        <v>57503</v>
      </c>
    </row>
    <row r="2903" spans="1:25" x14ac:dyDescent="0.3">
      <c r="A2903">
        <v>145100</v>
      </c>
      <c r="B2903" t="s">
        <v>57504</v>
      </c>
      <c r="C2903" t="s">
        <v>57505</v>
      </c>
      <c r="D2903" t="s">
        <v>57506</v>
      </c>
      <c r="E2903" t="s">
        <v>57507</v>
      </c>
      <c r="F2903" t="s">
        <v>57508</v>
      </c>
      <c r="G2903" t="s">
        <v>57509</v>
      </c>
      <c r="H2903" t="s">
        <v>57510</v>
      </c>
      <c r="I2903" t="s">
        <v>57511</v>
      </c>
      <c r="J2903" t="s">
        <v>57512</v>
      </c>
      <c r="K2903" t="s">
        <v>57513</v>
      </c>
      <c r="L2903" t="s">
        <v>57514</v>
      </c>
      <c r="M2903" t="s">
        <v>57515</v>
      </c>
      <c r="N2903" t="s">
        <v>57516</v>
      </c>
      <c r="O2903">
        <f>-581.52604348711 -90.9403462221976 -743.552099211748</f>
        <v>-1416.0184889210555</v>
      </c>
      <c r="P2903">
        <f>-599.119134304348 -78.9134942034849 -427.748328503901</f>
        <v>-1105.7809570117338</v>
      </c>
      <c r="Q2903">
        <f>-344.70960416522 -30.2794840532041 -404.241356342774</f>
        <v>-779.23044456119806</v>
      </c>
      <c r="R2903" t="s">
        <v>57517</v>
      </c>
      <c r="S2903" t="s">
        <v>57518</v>
      </c>
      <c r="T2903" t="s">
        <v>57519</v>
      </c>
      <c r="U2903" t="s">
        <v>57520</v>
      </c>
      <c r="V2903" t="s">
        <v>57521</v>
      </c>
      <c r="W2903" t="s">
        <v>57522</v>
      </c>
      <c r="X2903" t="s">
        <v>57523</v>
      </c>
      <c r="Y2903" t="s">
        <v>57524</v>
      </c>
    </row>
    <row r="2904" spans="1:25" x14ac:dyDescent="0.3">
      <c r="A2904">
        <v>145150</v>
      </c>
      <c r="B2904" t="s">
        <v>57525</v>
      </c>
      <c r="C2904" t="s">
        <v>57526</v>
      </c>
      <c r="D2904" t="s">
        <v>57527</v>
      </c>
      <c r="E2904" t="s">
        <v>57528</v>
      </c>
      <c r="F2904" t="s">
        <v>57529</v>
      </c>
      <c r="G2904" t="s">
        <v>57530</v>
      </c>
      <c r="H2904" t="s">
        <v>57531</v>
      </c>
      <c r="I2904" t="s">
        <v>57532</v>
      </c>
      <c r="J2904" t="s">
        <v>57533</v>
      </c>
      <c r="K2904" t="s">
        <v>57534</v>
      </c>
      <c r="L2904" t="s">
        <v>57535</v>
      </c>
      <c r="M2904" t="s">
        <v>57536</v>
      </c>
      <c r="N2904" t="s">
        <v>57537</v>
      </c>
      <c r="O2904">
        <f>-582.422458878001 -91.4878500631445 -743.597213611523</f>
        <v>-1417.5075225526684</v>
      </c>
      <c r="P2904">
        <f>-599.867795364372 -79.2537453806223 -427.793157721263</f>
        <v>-1106.9146984662573</v>
      </c>
      <c r="Q2904">
        <f>-345.603874988407 -30.3242445969024 -403.342995545657</f>
        <v>-779.27111513096634</v>
      </c>
      <c r="R2904" t="s">
        <v>57538</v>
      </c>
      <c r="S2904" t="s">
        <v>57539</v>
      </c>
      <c r="T2904" t="s">
        <v>57540</v>
      </c>
      <c r="U2904" t="s">
        <v>57541</v>
      </c>
      <c r="V2904" t="s">
        <v>57542</v>
      </c>
      <c r="W2904" t="s">
        <v>57543</v>
      </c>
      <c r="X2904" t="s">
        <v>57544</v>
      </c>
      <c r="Y2904" t="s">
        <v>57545</v>
      </c>
    </row>
    <row r="2905" spans="1:25" x14ac:dyDescent="0.3">
      <c r="A2905">
        <v>145200</v>
      </c>
      <c r="B2905" t="s">
        <v>57546</v>
      </c>
      <c r="C2905" t="s">
        <v>57547</v>
      </c>
      <c r="D2905" t="s">
        <v>57548</v>
      </c>
      <c r="E2905" t="s">
        <v>57549</v>
      </c>
      <c r="F2905" t="s">
        <v>57550</v>
      </c>
      <c r="G2905" t="s">
        <v>57551</v>
      </c>
      <c r="H2905" t="s">
        <v>57552</v>
      </c>
      <c r="I2905" t="s">
        <v>57553</v>
      </c>
      <c r="J2905" t="s">
        <v>57554</v>
      </c>
      <c r="K2905" t="s">
        <v>57555</v>
      </c>
      <c r="L2905" t="s">
        <v>57556</v>
      </c>
      <c r="M2905" t="s">
        <v>57557</v>
      </c>
      <c r="N2905" t="s">
        <v>57558</v>
      </c>
      <c r="O2905">
        <f>-582.825951792108 -91.8453952891366 -743.272720819924</f>
        <v>-1417.9440679011686</v>
      </c>
      <c r="P2905">
        <f>-600.155350039987 -79.238761138351 -427.477045300007</f>
        <v>-1106.871156478345</v>
      </c>
      <c r="Q2905">
        <f>-345.937076413553 -30.188853760544 -402.794861490855</f>
        <v>-778.92079166495205</v>
      </c>
      <c r="R2905" t="s">
        <v>57559</v>
      </c>
      <c r="S2905" t="s">
        <v>57560</v>
      </c>
      <c r="T2905" t="s">
        <v>57561</v>
      </c>
      <c r="U2905" t="s">
        <v>57562</v>
      </c>
      <c r="V2905" t="s">
        <v>57563</v>
      </c>
      <c r="W2905" t="s">
        <v>57564</v>
      </c>
      <c r="X2905" t="s">
        <v>57565</v>
      </c>
      <c r="Y2905" t="s">
        <v>57566</v>
      </c>
    </row>
    <row r="2906" spans="1:25" x14ac:dyDescent="0.3">
      <c r="A2906">
        <v>145250</v>
      </c>
      <c r="B2906" t="s">
        <v>57567</v>
      </c>
      <c r="C2906" t="s">
        <v>57568</v>
      </c>
      <c r="D2906" t="s">
        <v>57569</v>
      </c>
      <c r="E2906" t="s">
        <v>57570</v>
      </c>
      <c r="F2906" t="s">
        <v>57571</v>
      </c>
      <c r="G2906" t="s">
        <v>57572</v>
      </c>
      <c r="H2906" t="s">
        <v>57573</v>
      </c>
      <c r="I2906" t="s">
        <v>57574</v>
      </c>
      <c r="J2906" t="s">
        <v>57575</v>
      </c>
      <c r="K2906" t="s">
        <v>57576</v>
      </c>
      <c r="L2906" t="s">
        <v>57577</v>
      </c>
      <c r="M2906" t="s">
        <v>57578</v>
      </c>
      <c r="N2906" t="s">
        <v>57579</v>
      </c>
      <c r="O2906">
        <f>-584.127220911212 -92.5745013143085 -742.190705662047</f>
        <v>-1418.8924278875675</v>
      </c>
      <c r="P2906">
        <f>-601.045368186065 -78.6997885889949 -426.425817307935</f>
        <v>-1106.1709740829949</v>
      </c>
      <c r="Q2906">
        <f>-346.811644661464 -29.9936490161966 -401.226530155569</f>
        <v>-778.03182383322962</v>
      </c>
      <c r="R2906" t="s">
        <v>57580</v>
      </c>
      <c r="S2906" t="s">
        <v>57581</v>
      </c>
      <c r="T2906" t="s">
        <v>57582</v>
      </c>
      <c r="U2906" t="s">
        <v>57583</v>
      </c>
      <c r="V2906" t="s">
        <v>57584</v>
      </c>
      <c r="W2906" t="s">
        <v>57585</v>
      </c>
      <c r="X2906" t="s">
        <v>57586</v>
      </c>
      <c r="Y2906" t="s">
        <v>57587</v>
      </c>
    </row>
    <row r="2907" spans="1:25" x14ac:dyDescent="0.3">
      <c r="A2907">
        <v>145300</v>
      </c>
      <c r="B2907" t="s">
        <v>57588</v>
      </c>
      <c r="C2907" t="s">
        <v>57589</v>
      </c>
      <c r="D2907" t="s">
        <v>57590</v>
      </c>
      <c r="E2907" t="s">
        <v>57591</v>
      </c>
      <c r="F2907" t="s">
        <v>57592</v>
      </c>
      <c r="G2907" t="s">
        <v>57593</v>
      </c>
      <c r="H2907" t="s">
        <v>57594</v>
      </c>
      <c r="I2907" t="s">
        <v>57595</v>
      </c>
      <c r="J2907" t="s">
        <v>57596</v>
      </c>
      <c r="K2907" t="s">
        <v>57597</v>
      </c>
      <c r="L2907" t="s">
        <v>57598</v>
      </c>
      <c r="M2907" t="s">
        <v>57599</v>
      </c>
      <c r="N2907" t="s">
        <v>57600</v>
      </c>
      <c r="O2907">
        <f>-584.540574974464 -92.8606423575819 -741.634734142143</f>
        <v>-1419.035951474189</v>
      </c>
      <c r="P2907">
        <f>-601.502803218897 -78.333980766259 -425.901448543172</f>
        <v>-1105.7382325283279</v>
      </c>
      <c r="Q2907">
        <f>-347.238419985513 -29.6787665536364 -400.914829095503</f>
        <v>-777.83201563465241</v>
      </c>
      <c r="R2907" t="s">
        <v>57601</v>
      </c>
      <c r="S2907" t="s">
        <v>57602</v>
      </c>
      <c r="T2907" t="s">
        <v>57603</v>
      </c>
      <c r="U2907" t="s">
        <v>57604</v>
      </c>
      <c r="V2907" t="s">
        <v>57605</v>
      </c>
      <c r="W2907" t="s">
        <v>57606</v>
      </c>
      <c r="X2907" t="s">
        <v>57607</v>
      </c>
      <c r="Y2907" t="s">
        <v>57608</v>
      </c>
    </row>
    <row r="2908" spans="1:25" x14ac:dyDescent="0.3">
      <c r="A2908">
        <v>145350</v>
      </c>
      <c r="B2908" t="s">
        <v>57609</v>
      </c>
      <c r="C2908" t="s">
        <v>57610</v>
      </c>
      <c r="D2908" t="s">
        <v>57611</v>
      </c>
      <c r="E2908" t="s">
        <v>57612</v>
      </c>
      <c r="F2908" t="s">
        <v>57613</v>
      </c>
      <c r="G2908" t="s">
        <v>57614</v>
      </c>
      <c r="H2908" t="s">
        <v>57615</v>
      </c>
      <c r="I2908" t="s">
        <v>57616</v>
      </c>
      <c r="J2908" t="s">
        <v>57617</v>
      </c>
      <c r="K2908" t="s">
        <v>57618</v>
      </c>
      <c r="L2908" t="s">
        <v>57619</v>
      </c>
      <c r="M2908" t="s">
        <v>57620</v>
      </c>
      <c r="N2908" t="s">
        <v>57621</v>
      </c>
      <c r="O2908">
        <f>-585.591656533005 -93.6739477471634 -740.640900498481</f>
        <v>-1419.9065047786494</v>
      </c>
      <c r="P2908">
        <f>-601.978973300218 -78.2852134562082 -424.918203538051</f>
        <v>-1105.182390294477</v>
      </c>
      <c r="Q2908">
        <f>-347.636504018835 -29.822169408656 -400.355911376295</f>
        <v>-777.81458480378603</v>
      </c>
      <c r="R2908" t="s">
        <v>57622</v>
      </c>
      <c r="S2908" t="s">
        <v>57623</v>
      </c>
      <c r="T2908" t="s">
        <v>57624</v>
      </c>
      <c r="U2908" t="s">
        <v>57625</v>
      </c>
      <c r="V2908" t="s">
        <v>57626</v>
      </c>
      <c r="W2908" t="s">
        <v>57627</v>
      </c>
      <c r="X2908" t="s">
        <v>57628</v>
      </c>
      <c r="Y2908" t="s">
        <v>57629</v>
      </c>
    </row>
    <row r="2909" spans="1:25" x14ac:dyDescent="0.3">
      <c r="A2909">
        <v>145400</v>
      </c>
      <c r="B2909" t="s">
        <v>57630</v>
      </c>
      <c r="C2909" t="s">
        <v>57631</v>
      </c>
      <c r="D2909" t="s">
        <v>57632</v>
      </c>
      <c r="E2909" t="s">
        <v>57633</v>
      </c>
      <c r="F2909" t="s">
        <v>57634</v>
      </c>
      <c r="G2909" t="s">
        <v>57635</v>
      </c>
      <c r="H2909" t="s">
        <v>57636</v>
      </c>
      <c r="I2909" t="s">
        <v>57637</v>
      </c>
      <c r="J2909" t="s">
        <v>57638</v>
      </c>
      <c r="K2909" t="s">
        <v>57639</v>
      </c>
      <c r="L2909" t="s">
        <v>57640</v>
      </c>
      <c r="M2909" t="s">
        <v>57641</v>
      </c>
      <c r="N2909" t="s">
        <v>57642</v>
      </c>
      <c r="O2909">
        <f>-586.105319082277 -93.8842326477946 -740.127871890266</f>
        <v>-1420.1174236203376</v>
      </c>
      <c r="P2909">
        <f>-602.091249972936 -78.0091689012822 -424.408713569967</f>
        <v>-1104.5091324441853</v>
      </c>
      <c r="Q2909">
        <f>-347.632116668735 -30.1624043947684 -399.846938224104</f>
        <v>-777.6414592876074</v>
      </c>
      <c r="R2909" t="s">
        <v>57643</v>
      </c>
      <c r="S2909" t="s">
        <v>57644</v>
      </c>
      <c r="T2909" t="s">
        <v>57645</v>
      </c>
      <c r="U2909" t="s">
        <v>57646</v>
      </c>
      <c r="V2909" t="s">
        <v>57647</v>
      </c>
      <c r="W2909" t="s">
        <v>57648</v>
      </c>
      <c r="X2909" t="s">
        <v>57649</v>
      </c>
      <c r="Y2909" t="s">
        <v>57650</v>
      </c>
    </row>
    <row r="2910" spans="1:25" x14ac:dyDescent="0.3">
      <c r="A2910">
        <v>145450</v>
      </c>
      <c r="B2910" t="s">
        <v>57651</v>
      </c>
      <c r="C2910" t="s">
        <v>57652</v>
      </c>
      <c r="D2910" t="s">
        <v>57653</v>
      </c>
      <c r="E2910" t="s">
        <v>57654</v>
      </c>
      <c r="F2910" t="s">
        <v>57655</v>
      </c>
      <c r="G2910" t="s">
        <v>57656</v>
      </c>
      <c r="H2910" t="s">
        <v>57657</v>
      </c>
      <c r="I2910" t="s">
        <v>57658</v>
      </c>
      <c r="J2910" t="s">
        <v>57659</v>
      </c>
      <c r="K2910" t="s">
        <v>57660</v>
      </c>
      <c r="L2910" t="s">
        <v>57661</v>
      </c>
      <c r="M2910" t="s">
        <v>57662</v>
      </c>
      <c r="N2910" t="s">
        <v>57663</v>
      </c>
      <c r="O2910">
        <f>-587.42084401573 -94.0889676878757 -739.217850426177</f>
        <v>-1420.7276621297829</v>
      </c>
      <c r="P2910">
        <f>-602.097352811935 -77.6256970517632 -423.465093038058</f>
        <v>-1103.1881429017562</v>
      </c>
      <c r="Q2910">
        <f>-347.379802324405 -31.0903944545352 -399.062381677492</f>
        <v>-777.53257845643225</v>
      </c>
      <c r="R2910" t="s">
        <v>57664</v>
      </c>
      <c r="S2910" t="s">
        <v>57665</v>
      </c>
      <c r="T2910" t="s">
        <v>57666</v>
      </c>
      <c r="U2910" t="s">
        <v>57667</v>
      </c>
      <c r="V2910" t="s">
        <v>57668</v>
      </c>
      <c r="W2910" t="s">
        <v>57669</v>
      </c>
      <c r="X2910" t="s">
        <v>57670</v>
      </c>
      <c r="Y2910" t="s">
        <v>57671</v>
      </c>
    </row>
    <row r="2911" spans="1:25" x14ac:dyDescent="0.3">
      <c r="A2911">
        <v>145500</v>
      </c>
      <c r="B2911" t="s">
        <v>57672</v>
      </c>
      <c r="C2911" t="s">
        <v>57673</v>
      </c>
      <c r="D2911" t="s">
        <v>57674</v>
      </c>
      <c r="E2911" t="s">
        <v>57675</v>
      </c>
      <c r="F2911" t="s">
        <v>57676</v>
      </c>
      <c r="G2911" t="s">
        <v>57677</v>
      </c>
      <c r="H2911" t="s">
        <v>57678</v>
      </c>
      <c r="I2911" t="s">
        <v>57679</v>
      </c>
      <c r="J2911" t="s">
        <v>57680</v>
      </c>
      <c r="K2911" t="s">
        <v>57681</v>
      </c>
      <c r="L2911" t="s">
        <v>57682</v>
      </c>
      <c r="M2911" t="s">
        <v>57683</v>
      </c>
      <c r="N2911" t="s">
        <v>57684</v>
      </c>
      <c r="O2911">
        <f>-587.756744427572 -94.1507269130791 -738.752657447438</f>
        <v>-1420.660128788089</v>
      </c>
      <c r="P2911">
        <f>-601.948469737098 -77.5957817065452 -422.982667588985</f>
        <v>-1102.526919032628</v>
      </c>
      <c r="Q2911">
        <f>-347.103063809256 -31.5091084899403 -399.068794199834</f>
        <v>-777.68096649903032</v>
      </c>
      <c r="R2911" t="s">
        <v>57685</v>
      </c>
      <c r="S2911" t="s">
        <v>57686</v>
      </c>
      <c r="T2911" t="s">
        <v>57687</v>
      </c>
      <c r="U2911" t="s">
        <v>57688</v>
      </c>
      <c r="V2911" t="s">
        <v>57689</v>
      </c>
      <c r="W2911" t="s">
        <v>57690</v>
      </c>
      <c r="X2911" t="s">
        <v>57691</v>
      </c>
      <c r="Y2911" t="s">
        <v>57692</v>
      </c>
    </row>
    <row r="2912" spans="1:25" x14ac:dyDescent="0.3">
      <c r="A2912">
        <v>145550</v>
      </c>
      <c r="B2912" t="s">
        <v>57693</v>
      </c>
      <c r="C2912" t="s">
        <v>57694</v>
      </c>
      <c r="D2912" t="s">
        <v>57695</v>
      </c>
      <c r="E2912" t="s">
        <v>57696</v>
      </c>
      <c r="F2912" t="s">
        <v>57697</v>
      </c>
      <c r="G2912" t="s">
        <v>57698</v>
      </c>
      <c r="H2912" t="s">
        <v>57699</v>
      </c>
      <c r="I2912" t="s">
        <v>57700</v>
      </c>
      <c r="J2912" t="s">
        <v>57701</v>
      </c>
      <c r="K2912" t="s">
        <v>57702</v>
      </c>
      <c r="L2912" t="s">
        <v>57703</v>
      </c>
      <c r="M2912" t="s">
        <v>57704</v>
      </c>
      <c r="N2912" t="s">
        <v>57705</v>
      </c>
      <c r="O2912">
        <f>-588.392829653201 -94.2342867687591 -737.90782250932</f>
        <v>-1420.5349389312801</v>
      </c>
      <c r="P2912">
        <f>-601.08849984854 -77.4985159587548 -422.083582383999</f>
        <v>-1100.6705981912937</v>
      </c>
      <c r="Q2912">
        <f>-345.990900909003 -32.2123860061086 -399.358430653891</f>
        <v>-777.56171756900267</v>
      </c>
      <c r="R2912" t="s">
        <v>57706</v>
      </c>
      <c r="S2912" t="s">
        <v>57707</v>
      </c>
      <c r="T2912" t="s">
        <v>57708</v>
      </c>
      <c r="U2912" t="s">
        <v>57709</v>
      </c>
      <c r="V2912" t="s">
        <v>57710</v>
      </c>
      <c r="W2912" t="s">
        <v>57711</v>
      </c>
      <c r="X2912" t="s">
        <v>57712</v>
      </c>
      <c r="Y2912" t="s">
        <v>57713</v>
      </c>
    </row>
    <row r="2913" spans="1:25" x14ac:dyDescent="0.3">
      <c r="A2913">
        <v>145600</v>
      </c>
      <c r="B2913" t="s">
        <v>57714</v>
      </c>
      <c r="C2913" t="s">
        <v>57715</v>
      </c>
      <c r="D2913" t="s">
        <v>57716</v>
      </c>
      <c r="E2913" t="s">
        <v>57717</v>
      </c>
      <c r="F2913" t="s">
        <v>57718</v>
      </c>
      <c r="G2913" t="s">
        <v>57719</v>
      </c>
      <c r="H2913" t="s">
        <v>57720</v>
      </c>
      <c r="I2913" t="s">
        <v>57721</v>
      </c>
      <c r="J2913" t="s">
        <v>57722</v>
      </c>
      <c r="K2913" t="s">
        <v>57723</v>
      </c>
      <c r="L2913" t="s">
        <v>57724</v>
      </c>
      <c r="M2913" t="s">
        <v>57725</v>
      </c>
      <c r="N2913" t="s">
        <v>57726</v>
      </c>
      <c r="O2913">
        <f>-588.448853400669 -94.2179969766835 -737.517482122753</f>
        <v>-1420.1843325001055</v>
      </c>
      <c r="P2913">
        <f>-600.763666059981 -77.4994166408885 -421.67729569276</f>
        <v>-1099.9403783936295</v>
      </c>
      <c r="Q2913">
        <f>-345.710390498924 -31.8377183680662 -399.207791397823</f>
        <v>-776.75590026481314</v>
      </c>
      <c r="R2913" t="s">
        <v>57727</v>
      </c>
      <c r="S2913" t="s">
        <v>57728</v>
      </c>
      <c r="T2913" t="s">
        <v>57729</v>
      </c>
      <c r="U2913" t="s">
        <v>57730</v>
      </c>
      <c r="V2913" t="s">
        <v>57731</v>
      </c>
      <c r="W2913" t="s">
        <v>57732</v>
      </c>
      <c r="X2913" t="s">
        <v>57733</v>
      </c>
      <c r="Y2913" t="s">
        <v>57734</v>
      </c>
    </row>
    <row r="2914" spans="1:25" x14ac:dyDescent="0.3">
      <c r="A2914">
        <v>145650</v>
      </c>
      <c r="B2914" t="s">
        <v>57735</v>
      </c>
      <c r="C2914" t="s">
        <v>57736</v>
      </c>
      <c r="D2914" t="s">
        <v>57737</v>
      </c>
      <c r="E2914" t="s">
        <v>57738</v>
      </c>
      <c r="F2914" t="s">
        <v>57739</v>
      </c>
      <c r="G2914" t="s">
        <v>57740</v>
      </c>
      <c r="H2914" t="s">
        <v>57741</v>
      </c>
      <c r="I2914" t="s">
        <v>57742</v>
      </c>
      <c r="J2914" t="s">
        <v>57743</v>
      </c>
      <c r="K2914" t="s">
        <v>57744</v>
      </c>
      <c r="L2914" t="s">
        <v>57745</v>
      </c>
      <c r="M2914" t="s">
        <v>57746</v>
      </c>
      <c r="N2914" t="s">
        <v>57747</v>
      </c>
      <c r="O2914">
        <f>-588.256764394129 -93.9478817833299 -737.179150921057</f>
        <v>-1419.383797098516</v>
      </c>
      <c r="P2914">
        <f>-600.300858406157 -77.6613480602307 -421.305987578136</f>
        <v>-1099.2681940445236</v>
      </c>
      <c r="Q2914">
        <f>-345.428840440997 -31.0103344667681 -398.811904200882</f>
        <v>-775.2510791086471</v>
      </c>
      <c r="R2914" t="s">
        <v>57748</v>
      </c>
      <c r="S2914" t="s">
        <v>57749</v>
      </c>
      <c r="T2914" t="s">
        <v>57750</v>
      </c>
      <c r="U2914" t="s">
        <v>57751</v>
      </c>
      <c r="V2914" t="s">
        <v>57752</v>
      </c>
      <c r="W2914" t="s">
        <v>57753</v>
      </c>
      <c r="X2914" t="s">
        <v>57754</v>
      </c>
      <c r="Y2914" t="s">
        <v>57755</v>
      </c>
    </row>
    <row r="2915" spans="1:25" x14ac:dyDescent="0.3">
      <c r="A2915">
        <v>145700</v>
      </c>
      <c r="B2915" t="s">
        <v>57756</v>
      </c>
      <c r="C2915" t="s">
        <v>57757</v>
      </c>
      <c r="D2915" t="s">
        <v>57758</v>
      </c>
      <c r="E2915" t="s">
        <v>57759</v>
      </c>
      <c r="F2915" t="s">
        <v>57760</v>
      </c>
      <c r="G2915" t="s">
        <v>57761</v>
      </c>
      <c r="H2915" t="s">
        <v>57762</v>
      </c>
      <c r="I2915" t="s">
        <v>57763</v>
      </c>
      <c r="J2915" t="s">
        <v>57764</v>
      </c>
      <c r="K2915" t="s">
        <v>57765</v>
      </c>
      <c r="L2915" t="s">
        <v>57766</v>
      </c>
      <c r="M2915" t="s">
        <v>57767</v>
      </c>
      <c r="N2915" t="s">
        <v>57768</v>
      </c>
      <c r="O2915">
        <f>-587.850526562795 -93.8458158358375 -737.105667837361</f>
        <v>-1418.8020102359935</v>
      </c>
      <c r="P2915">
        <f>-599.65480800294 -78.1612378739945 -421.192955796744</f>
        <v>-1099.0090016736785</v>
      </c>
      <c r="Q2915">
        <f>-344.908482811072 -30.7380255284766 -398.89024979567</f>
        <v>-774.53675813521863</v>
      </c>
      <c r="R2915" t="s">
        <v>57769</v>
      </c>
      <c r="S2915" t="s">
        <v>57770</v>
      </c>
      <c r="T2915" t="s">
        <v>57771</v>
      </c>
      <c r="U2915" t="s">
        <v>57772</v>
      </c>
      <c r="V2915" t="s">
        <v>57773</v>
      </c>
      <c r="W2915" t="s">
        <v>57774</v>
      </c>
      <c r="X2915" t="s">
        <v>57775</v>
      </c>
      <c r="Y2915" t="s">
        <v>57776</v>
      </c>
    </row>
    <row r="2916" spans="1:25" x14ac:dyDescent="0.3">
      <c r="A2916">
        <v>145750</v>
      </c>
      <c r="B2916" t="s">
        <v>57777</v>
      </c>
      <c r="C2916" t="s">
        <v>57778</v>
      </c>
      <c r="D2916" t="s">
        <v>57779</v>
      </c>
      <c r="E2916" t="s">
        <v>57780</v>
      </c>
      <c r="F2916" t="s">
        <v>57781</v>
      </c>
      <c r="G2916" t="s">
        <v>57782</v>
      </c>
      <c r="H2916" t="s">
        <v>57783</v>
      </c>
      <c r="I2916" t="s">
        <v>57784</v>
      </c>
      <c r="J2916" t="s">
        <v>57785</v>
      </c>
      <c r="K2916" t="s">
        <v>57786</v>
      </c>
      <c r="L2916" t="s">
        <v>57787</v>
      </c>
      <c r="M2916" t="s">
        <v>57788</v>
      </c>
      <c r="N2916" t="s">
        <v>57789</v>
      </c>
      <c r="O2916">
        <f>-587.501692807607 -94.0157841529945 -737.0290361086</f>
        <v>-1418.5465130692014</v>
      </c>
      <c r="P2916">
        <f>-598.857068366508 -78.7348370467425 -421.0800039326</f>
        <v>-1098.6719093458505</v>
      </c>
      <c r="Q2916">
        <f>-344.133546621867 -31.2148699728671 -398.723515053931</f>
        <v>-774.07193164866521</v>
      </c>
      <c r="R2916" t="s">
        <v>57790</v>
      </c>
      <c r="S2916" t="s">
        <v>57791</v>
      </c>
      <c r="T2916" t="s">
        <v>57792</v>
      </c>
      <c r="U2916" t="s">
        <v>57793</v>
      </c>
      <c r="V2916" t="s">
        <v>57794</v>
      </c>
      <c r="W2916" t="s">
        <v>57795</v>
      </c>
      <c r="X2916" t="s">
        <v>57796</v>
      </c>
      <c r="Y2916" t="s">
        <v>57797</v>
      </c>
    </row>
    <row r="2917" spans="1:25" x14ac:dyDescent="0.3">
      <c r="A2917">
        <v>145800</v>
      </c>
      <c r="B2917" t="s">
        <v>57798</v>
      </c>
      <c r="C2917" t="s">
        <v>57799</v>
      </c>
      <c r="D2917" t="s">
        <v>57800</v>
      </c>
      <c r="E2917" t="s">
        <v>57801</v>
      </c>
      <c r="F2917" t="s">
        <v>57802</v>
      </c>
      <c r="G2917" t="s">
        <v>57803</v>
      </c>
      <c r="H2917" t="s">
        <v>57804</v>
      </c>
      <c r="I2917" t="s">
        <v>57805</v>
      </c>
      <c r="J2917" t="s">
        <v>57806</v>
      </c>
      <c r="K2917" t="s">
        <v>57807</v>
      </c>
      <c r="L2917" t="s">
        <v>57808</v>
      </c>
      <c r="M2917" t="s">
        <v>57809</v>
      </c>
      <c r="N2917" t="s">
        <v>57810</v>
      </c>
      <c r="O2917">
        <f>-587.000220653196 -94.2387995141522 -736.975625390395</f>
        <v>-1418.2146455577431</v>
      </c>
      <c r="P2917">
        <f>-598.360430329433 -79.0005499781618 -421.024771050676</f>
        <v>-1098.3857513582707</v>
      </c>
      <c r="Q2917">
        <f>-343.707797353694 -31.6754675252402 -397.478578323001</f>
        <v>-772.86184320193524</v>
      </c>
      <c r="R2917" t="s">
        <v>57811</v>
      </c>
      <c r="S2917" t="s">
        <v>57812</v>
      </c>
      <c r="T2917" t="s">
        <v>57813</v>
      </c>
      <c r="U2917" t="s">
        <v>57814</v>
      </c>
      <c r="V2917" t="s">
        <v>57815</v>
      </c>
      <c r="W2917" t="s">
        <v>57816</v>
      </c>
      <c r="X2917" t="s">
        <v>57817</v>
      </c>
      <c r="Y2917" t="s">
        <v>57818</v>
      </c>
    </row>
    <row r="2918" spans="1:25" x14ac:dyDescent="0.3">
      <c r="A2918">
        <v>145850</v>
      </c>
      <c r="B2918" t="s">
        <v>57819</v>
      </c>
      <c r="C2918" t="s">
        <v>57820</v>
      </c>
      <c r="D2918" t="s">
        <v>57821</v>
      </c>
      <c r="E2918" t="s">
        <v>57822</v>
      </c>
      <c r="F2918" t="s">
        <v>57823</v>
      </c>
      <c r="G2918" t="s">
        <v>57824</v>
      </c>
      <c r="H2918" t="s">
        <v>57825</v>
      </c>
      <c r="I2918" t="s">
        <v>57826</v>
      </c>
      <c r="J2918" t="s">
        <v>57827</v>
      </c>
      <c r="K2918" t="s">
        <v>57828</v>
      </c>
      <c r="L2918" t="s">
        <v>57829</v>
      </c>
      <c r="M2918" t="s">
        <v>57830</v>
      </c>
      <c r="N2918" t="s">
        <v>57831</v>
      </c>
      <c r="O2918">
        <f>-585.757932522191 -95.3186939762859 -736.702002433364</f>
        <v>-1417.778628931841</v>
      </c>
      <c r="P2918">
        <f>-598.137186096598 -78.2644424966216 -420.882298309132</f>
        <v>-1097.2839269023516</v>
      </c>
      <c r="Q2918">
        <f>-343.133611231239 -32.3171334753843 -398.430370034205</f>
        <v>-773.88111474082825</v>
      </c>
      <c r="R2918" t="s">
        <v>57832</v>
      </c>
      <c r="S2918" t="s">
        <v>57833</v>
      </c>
      <c r="T2918" t="s">
        <v>57834</v>
      </c>
      <c r="U2918" t="s">
        <v>57835</v>
      </c>
      <c r="V2918" t="s">
        <v>57836</v>
      </c>
      <c r="W2918" t="s">
        <v>57837</v>
      </c>
      <c r="X2918" t="s">
        <v>57838</v>
      </c>
      <c r="Y2918" t="s">
        <v>57839</v>
      </c>
    </row>
    <row r="2919" spans="1:25" x14ac:dyDescent="0.3">
      <c r="A2919">
        <v>145900</v>
      </c>
      <c r="B2919" t="s">
        <v>57840</v>
      </c>
      <c r="C2919" t="s">
        <v>57841</v>
      </c>
      <c r="D2919" t="s">
        <v>57842</v>
      </c>
      <c r="E2919" t="s">
        <v>57843</v>
      </c>
      <c r="F2919" t="s">
        <v>57844</v>
      </c>
      <c r="G2919" t="s">
        <v>57845</v>
      </c>
      <c r="H2919" t="s">
        <v>57846</v>
      </c>
      <c r="I2919" t="s">
        <v>57847</v>
      </c>
      <c r="J2919" t="s">
        <v>57848</v>
      </c>
      <c r="K2919" t="s">
        <v>57849</v>
      </c>
      <c r="L2919" t="s">
        <v>57850</v>
      </c>
      <c r="M2919" t="s">
        <v>57851</v>
      </c>
      <c r="N2919" t="s">
        <v>57852</v>
      </c>
      <c r="O2919">
        <f>-585.611980660253 -95.8891031079554 -736.386991423589</f>
        <v>-1417.8880751917975</v>
      </c>
      <c r="P2919">
        <f>-597.868519385785 -78.0092886086772 -420.60797916901</f>
        <v>-1096.4857871634722</v>
      </c>
      <c r="Q2919">
        <f>-342.289711213792 -33.9034579404642 -401.212238707417</f>
        <v>-777.40540786167321</v>
      </c>
      <c r="R2919" t="s">
        <v>57853</v>
      </c>
      <c r="S2919" t="s">
        <v>57854</v>
      </c>
      <c r="T2919" t="s">
        <v>57855</v>
      </c>
      <c r="U2919" t="s">
        <v>57856</v>
      </c>
      <c r="V2919" t="s">
        <v>57857</v>
      </c>
      <c r="W2919" t="s">
        <v>57858</v>
      </c>
      <c r="X2919" t="s">
        <v>57859</v>
      </c>
      <c r="Y2919" t="s">
        <v>57860</v>
      </c>
    </row>
    <row r="2920" spans="1:25" x14ac:dyDescent="0.3">
      <c r="A2920">
        <v>145950</v>
      </c>
      <c r="B2920" t="s">
        <v>57861</v>
      </c>
      <c r="C2920" t="s">
        <v>57862</v>
      </c>
      <c r="D2920" t="s">
        <v>57863</v>
      </c>
      <c r="E2920" t="s">
        <v>57864</v>
      </c>
      <c r="F2920" t="s">
        <v>57865</v>
      </c>
      <c r="G2920" t="s">
        <v>57866</v>
      </c>
      <c r="H2920" t="s">
        <v>57867</v>
      </c>
      <c r="I2920" t="s">
        <v>57868</v>
      </c>
      <c r="J2920" t="s">
        <v>57869</v>
      </c>
      <c r="K2920" t="s">
        <v>57870</v>
      </c>
      <c r="L2920" t="s">
        <v>57871</v>
      </c>
      <c r="M2920" t="s">
        <v>57872</v>
      </c>
      <c r="N2920" t="s">
        <v>57873</v>
      </c>
      <c r="O2920">
        <f>-587.097456578626 -97.0551707878823 -735.365946186207</f>
        <v>-1419.5185735527152</v>
      </c>
      <c r="P2920">
        <f>-596.613849456548 -78.9198881716186 -419.507234575769</f>
        <v>-1095.0409722039356</v>
      </c>
      <c r="Q2920">
        <f>-340.040404674945 -38.8030985059085 -405.267347370908</f>
        <v>-784.11085055176159</v>
      </c>
      <c r="R2920" t="s">
        <v>57874</v>
      </c>
      <c r="S2920" t="s">
        <v>57875</v>
      </c>
      <c r="T2920" t="s">
        <v>57876</v>
      </c>
      <c r="U2920" t="s">
        <v>57877</v>
      </c>
      <c r="V2920" t="s">
        <v>57878</v>
      </c>
      <c r="W2920" t="s">
        <v>57879</v>
      </c>
      <c r="X2920" t="s">
        <v>57880</v>
      </c>
      <c r="Y2920" t="s">
        <v>57881</v>
      </c>
    </row>
    <row r="2921" spans="1:25" x14ac:dyDescent="0.3">
      <c r="A2921">
        <v>146000</v>
      </c>
      <c r="B2921" t="s">
        <v>57882</v>
      </c>
      <c r="C2921" t="s">
        <v>57883</v>
      </c>
      <c r="D2921" t="s">
        <v>57884</v>
      </c>
      <c r="E2921" t="s">
        <v>57885</v>
      </c>
      <c r="F2921" t="s">
        <v>57886</v>
      </c>
      <c r="G2921" t="s">
        <v>57887</v>
      </c>
      <c r="H2921" t="s">
        <v>57888</v>
      </c>
      <c r="I2921" t="s">
        <v>57889</v>
      </c>
      <c r="J2921" t="s">
        <v>57890</v>
      </c>
      <c r="K2921" t="s">
        <v>57891</v>
      </c>
      <c r="L2921" t="s">
        <v>57892</v>
      </c>
      <c r="M2921" t="s">
        <v>57893</v>
      </c>
      <c r="N2921" t="s">
        <v>57894</v>
      </c>
      <c r="O2921">
        <f>-587.68365527428 -97.3250608854702 -734.724303108794</f>
        <v>-1419.733019268544</v>
      </c>
      <c r="P2921">
        <f>-595.875868657897 -79.5193485916157 -418.809614399607</f>
        <v>-1094.2048316491196</v>
      </c>
      <c r="Q2921">
        <f>-339.101168840101 -40.1416333218363 -406.232110260872</f>
        <v>-785.47491242280933</v>
      </c>
      <c r="R2921" t="s">
        <v>57895</v>
      </c>
      <c r="S2921" t="s">
        <v>57896</v>
      </c>
      <c r="T2921" t="s">
        <v>57897</v>
      </c>
      <c r="U2921" t="s">
        <v>57898</v>
      </c>
      <c r="V2921" t="s">
        <v>57899</v>
      </c>
      <c r="W2921" t="s">
        <v>57900</v>
      </c>
      <c r="X2921" t="s">
        <v>57901</v>
      </c>
      <c r="Y2921" t="s">
        <v>57902</v>
      </c>
    </row>
    <row r="2922" spans="1:25" x14ac:dyDescent="0.3">
      <c r="A2922">
        <v>146050</v>
      </c>
      <c r="B2922" t="s">
        <v>57903</v>
      </c>
      <c r="C2922" t="s">
        <v>57904</v>
      </c>
      <c r="D2922" t="s">
        <v>57905</v>
      </c>
      <c r="E2922" t="s">
        <v>57906</v>
      </c>
      <c r="F2922" t="s">
        <v>57907</v>
      </c>
      <c r="G2922" t="s">
        <v>57908</v>
      </c>
      <c r="H2922" t="s">
        <v>57909</v>
      </c>
      <c r="I2922" t="s">
        <v>57910</v>
      </c>
      <c r="J2922" t="s">
        <v>57911</v>
      </c>
      <c r="K2922" t="s">
        <v>57912</v>
      </c>
      <c r="L2922" t="s">
        <v>57913</v>
      </c>
      <c r="M2922" t="s">
        <v>57914</v>
      </c>
      <c r="N2922" t="s">
        <v>57915</v>
      </c>
      <c r="O2922">
        <f>-587.629595271468 -97.9157225560134 -734.097812421197</f>
        <v>-1419.6431302486785</v>
      </c>
      <c r="P2922">
        <f>-595.84609099978 -80.1657826704107 -418.180669336863</f>
        <v>-1094.1925430070537</v>
      </c>
      <c r="Q2922">
        <f>-339.123760975281 -39.7065208385437 -408.244003361638</f>
        <v>-787.07428517546282</v>
      </c>
      <c r="R2922" t="s">
        <v>57916</v>
      </c>
      <c r="S2922" t="s">
        <v>57917</v>
      </c>
      <c r="T2922" t="s">
        <v>57918</v>
      </c>
      <c r="U2922" t="s">
        <v>57919</v>
      </c>
      <c r="V2922" t="s">
        <v>57920</v>
      </c>
      <c r="W2922" t="s">
        <v>57921</v>
      </c>
      <c r="X2922" t="s">
        <v>57922</v>
      </c>
      <c r="Y2922" t="s">
        <v>57923</v>
      </c>
    </row>
    <row r="2923" spans="1:25" x14ac:dyDescent="0.3">
      <c r="A2923">
        <v>146100</v>
      </c>
      <c r="B2923" t="s">
        <v>57924</v>
      </c>
      <c r="C2923" t="s">
        <v>57925</v>
      </c>
      <c r="D2923" t="s">
        <v>57926</v>
      </c>
      <c r="E2923" t="s">
        <v>57927</v>
      </c>
      <c r="F2923" t="s">
        <v>57928</v>
      </c>
      <c r="G2923" t="s">
        <v>57929</v>
      </c>
      <c r="H2923" t="s">
        <v>57930</v>
      </c>
      <c r="I2923" t="s">
        <v>57931</v>
      </c>
      <c r="J2923" t="s">
        <v>57932</v>
      </c>
      <c r="K2923" t="s">
        <v>57933</v>
      </c>
      <c r="L2923" t="s">
        <v>57934</v>
      </c>
      <c r="M2923" t="s">
        <v>57935</v>
      </c>
      <c r="N2923" t="s">
        <v>57936</v>
      </c>
      <c r="O2923">
        <f>-586.818900255218 -97.6879880796347 -734.214904984516</f>
        <v>-1418.7217933193688</v>
      </c>
      <c r="P2923">
        <f>-595.565212967514 -79.9731259038426 -418.310037377533</f>
        <v>-1093.8483762488895</v>
      </c>
      <c r="Q2923">
        <f>-339.082206321735 -37.7087255306134 -409.810127613897</f>
        <v>-786.60105946624537</v>
      </c>
      <c r="R2923" t="s">
        <v>57937</v>
      </c>
      <c r="S2923" t="s">
        <v>57938</v>
      </c>
      <c r="T2923" t="s">
        <v>57939</v>
      </c>
      <c r="U2923" t="s">
        <v>57940</v>
      </c>
      <c r="V2923" t="s">
        <v>57941</v>
      </c>
      <c r="W2923" t="s">
        <v>57942</v>
      </c>
      <c r="X2923" t="s">
        <v>57943</v>
      </c>
      <c r="Y2923" t="s">
        <v>57944</v>
      </c>
    </row>
    <row r="2924" spans="1:25" x14ac:dyDescent="0.3">
      <c r="A2924">
        <v>146150</v>
      </c>
      <c r="B2924" t="s">
        <v>57945</v>
      </c>
      <c r="C2924" t="s">
        <v>57946</v>
      </c>
      <c r="D2924" t="s">
        <v>57947</v>
      </c>
      <c r="E2924" t="s">
        <v>57948</v>
      </c>
      <c r="F2924" t="s">
        <v>57949</v>
      </c>
      <c r="G2924" t="s">
        <v>57950</v>
      </c>
      <c r="H2924" t="s">
        <v>57951</v>
      </c>
      <c r="I2924" t="s">
        <v>57952</v>
      </c>
      <c r="J2924" t="s">
        <v>57953</v>
      </c>
      <c r="K2924" t="s">
        <v>57954</v>
      </c>
      <c r="L2924" t="s">
        <v>57955</v>
      </c>
      <c r="M2924" t="s">
        <v>57956</v>
      </c>
      <c r="N2924" t="s">
        <v>57957</v>
      </c>
      <c r="O2924">
        <f>-585.793716154906 -98.6658580898133 -733.984448074301</f>
        <v>-1418.4440223190204</v>
      </c>
      <c r="P2924">
        <f>-592.912122350549 -79.1234043865484 -418.146624009806</f>
        <v>-1090.1821507469033</v>
      </c>
      <c r="Q2924">
        <f>-336.983981441418 -33.8577392352766 -408.458621875744</f>
        <v>-779.30034255243856</v>
      </c>
      <c r="R2924" t="s">
        <v>57958</v>
      </c>
      <c r="S2924" t="s">
        <v>57959</v>
      </c>
      <c r="T2924" t="s">
        <v>57960</v>
      </c>
      <c r="U2924" t="s">
        <v>57961</v>
      </c>
      <c r="V2924" t="s">
        <v>57962</v>
      </c>
      <c r="W2924" t="s">
        <v>57963</v>
      </c>
      <c r="X2924" t="s">
        <v>57964</v>
      </c>
      <c r="Y2924" t="s">
        <v>57965</v>
      </c>
    </row>
    <row r="2925" spans="1:25" x14ac:dyDescent="0.3">
      <c r="A2925">
        <v>146200</v>
      </c>
      <c r="B2925" t="s">
        <v>57966</v>
      </c>
      <c r="C2925" t="s">
        <v>57967</v>
      </c>
      <c r="D2925" t="s">
        <v>57968</v>
      </c>
      <c r="E2925" t="s">
        <v>57969</v>
      </c>
      <c r="F2925" t="s">
        <v>57970</v>
      </c>
      <c r="G2925" t="s">
        <v>57971</v>
      </c>
      <c r="H2925" t="s">
        <v>57972</v>
      </c>
      <c r="I2925" t="s">
        <v>57973</v>
      </c>
      <c r="J2925" t="s">
        <v>57974</v>
      </c>
      <c r="K2925" t="s">
        <v>57975</v>
      </c>
      <c r="L2925" t="s">
        <v>57976</v>
      </c>
      <c r="M2925" t="s">
        <v>57977</v>
      </c>
      <c r="N2925" t="s">
        <v>57978</v>
      </c>
      <c r="O2925">
        <f>-585.108076819828 -99.5701123008528 -733.713134100457</f>
        <v>-1418.3913232211378</v>
      </c>
      <c r="P2925">
        <f>-592.624171189866 -79.2205064502991 -417.935366624621</f>
        <v>-1089.7800442647863</v>
      </c>
      <c r="Q2925">
        <f>-337.044743024453 -32.1596709748261 -407.616659608303</f>
        <v>-776.82107360758209</v>
      </c>
      <c r="R2925" t="s">
        <v>57979</v>
      </c>
      <c r="S2925" t="s">
        <v>57980</v>
      </c>
      <c r="T2925" t="s">
        <v>57981</v>
      </c>
      <c r="U2925" t="s">
        <v>57982</v>
      </c>
      <c r="V2925" t="s">
        <v>57983</v>
      </c>
      <c r="W2925" t="s">
        <v>57984</v>
      </c>
      <c r="X2925" t="s">
        <v>57985</v>
      </c>
      <c r="Y2925" t="s">
        <v>57986</v>
      </c>
    </row>
    <row r="2926" spans="1:25" x14ac:dyDescent="0.3">
      <c r="A2926">
        <v>146250</v>
      </c>
      <c r="B2926" t="s">
        <v>57987</v>
      </c>
      <c r="C2926" t="s">
        <v>57988</v>
      </c>
      <c r="D2926" t="s">
        <v>57989</v>
      </c>
      <c r="E2926" t="s">
        <v>57990</v>
      </c>
      <c r="F2926" t="s">
        <v>57991</v>
      </c>
      <c r="G2926" t="s">
        <v>57992</v>
      </c>
      <c r="H2926" t="s">
        <v>57993</v>
      </c>
      <c r="I2926" t="s">
        <v>57994</v>
      </c>
      <c r="J2926" t="s">
        <v>57995</v>
      </c>
      <c r="K2926" t="s">
        <v>57996</v>
      </c>
      <c r="L2926" t="s">
        <v>57997</v>
      </c>
      <c r="M2926" t="s">
        <v>57998</v>
      </c>
      <c r="N2926" t="s">
        <v>57999</v>
      </c>
      <c r="O2926">
        <f>-583.818053270896 -100.99630197387 -733.147187938752</f>
        <v>-1417.9615431835182</v>
      </c>
      <c r="P2926">
        <f>-591.690373845387 -80.0422132023817 -417.417669913839</f>
        <v>-1089.1502569616077</v>
      </c>
      <c r="Q2926">
        <f>-336.860096368745 -29.6155541678063 -404.740286649944</f>
        <v>-771.21593718649524</v>
      </c>
      <c r="R2926" t="s">
        <v>58000</v>
      </c>
      <c r="S2926" t="s">
        <v>58001</v>
      </c>
      <c r="T2926" t="s">
        <v>58002</v>
      </c>
      <c r="U2926" t="s">
        <v>58003</v>
      </c>
      <c r="V2926" t="s">
        <v>58004</v>
      </c>
      <c r="W2926" t="s">
        <v>58005</v>
      </c>
      <c r="X2926" t="s">
        <v>58006</v>
      </c>
      <c r="Y2926" t="s">
        <v>58007</v>
      </c>
    </row>
    <row r="2927" spans="1:25" x14ac:dyDescent="0.3">
      <c r="A2927">
        <v>146300</v>
      </c>
      <c r="B2927" t="s">
        <v>58008</v>
      </c>
      <c r="C2927" t="s">
        <v>58009</v>
      </c>
      <c r="D2927" t="s">
        <v>58010</v>
      </c>
      <c r="E2927" t="s">
        <v>58011</v>
      </c>
      <c r="F2927" t="s">
        <v>58012</v>
      </c>
      <c r="G2927" t="s">
        <v>58013</v>
      </c>
      <c r="H2927" t="s">
        <v>58014</v>
      </c>
      <c r="I2927" t="s">
        <v>58015</v>
      </c>
      <c r="J2927" t="s">
        <v>58016</v>
      </c>
      <c r="K2927" t="s">
        <v>58017</v>
      </c>
      <c r="L2927" t="s">
        <v>58018</v>
      </c>
      <c r="M2927" t="s">
        <v>58019</v>
      </c>
      <c r="N2927" t="s">
        <v>58020</v>
      </c>
      <c r="O2927">
        <f>-583.399338168854 -101.622839235888 -732.836794487518</f>
        <v>-1417.8589718922599</v>
      </c>
      <c r="P2927">
        <f>-591.777141037607 -80.3624961789509 -417.140708674907</f>
        <v>-1089.2803458914648</v>
      </c>
      <c r="Q2927">
        <f>-337.319040826978 -28.3247209727423 -403.531873409981</f>
        <v>-769.17563520970134</v>
      </c>
      <c r="R2927" t="s">
        <v>58021</v>
      </c>
      <c r="S2927" t="s">
        <v>58022</v>
      </c>
      <c r="T2927" t="s">
        <v>58023</v>
      </c>
      <c r="U2927" t="s">
        <v>58024</v>
      </c>
      <c r="V2927" t="s">
        <v>58025</v>
      </c>
      <c r="W2927" t="s">
        <v>58026</v>
      </c>
      <c r="X2927" t="s">
        <v>58027</v>
      </c>
      <c r="Y2927" t="s">
        <v>58028</v>
      </c>
    </row>
    <row r="2928" spans="1:25" x14ac:dyDescent="0.3">
      <c r="A2928">
        <v>146350</v>
      </c>
      <c r="B2928" t="s">
        <v>58029</v>
      </c>
      <c r="C2928" t="s">
        <v>58030</v>
      </c>
      <c r="D2928" t="s">
        <v>58031</v>
      </c>
      <c r="E2928" t="s">
        <v>58032</v>
      </c>
      <c r="F2928" t="s">
        <v>58033</v>
      </c>
      <c r="G2928" t="s">
        <v>58034</v>
      </c>
      <c r="H2928" t="s">
        <v>58035</v>
      </c>
      <c r="I2928" t="s">
        <v>58036</v>
      </c>
      <c r="J2928" t="s">
        <v>58037</v>
      </c>
      <c r="K2928" t="s">
        <v>58038</v>
      </c>
      <c r="L2928" t="s">
        <v>58039</v>
      </c>
      <c r="M2928" t="s">
        <v>58040</v>
      </c>
      <c r="N2928" t="s">
        <v>58041</v>
      </c>
      <c r="O2928">
        <f>-582.964296500172 -102.72602240868 -732.352712426247</f>
        <v>-1418.0430313350989</v>
      </c>
      <c r="P2928">
        <f>-590.635706775439 -81.0017805345345 -416.670275363028</f>
        <v>-1088.3077626730014</v>
      </c>
      <c r="Q2928">
        <f>-336.686602715766 -26.7697201713313 -402.152028406946</f>
        <v>-765.60835129404336</v>
      </c>
      <c r="R2928" t="s">
        <v>58042</v>
      </c>
      <c r="S2928" t="s">
        <v>58043</v>
      </c>
      <c r="T2928" t="s">
        <v>58044</v>
      </c>
      <c r="U2928" t="s">
        <v>58045</v>
      </c>
      <c r="V2928" t="s">
        <v>58046</v>
      </c>
      <c r="W2928" t="s">
        <v>58047</v>
      </c>
      <c r="X2928" t="s">
        <v>58048</v>
      </c>
      <c r="Y2928" t="s">
        <v>58049</v>
      </c>
    </row>
    <row r="2929" spans="1:25" x14ac:dyDescent="0.3">
      <c r="A2929">
        <v>146400</v>
      </c>
      <c r="B2929" t="s">
        <v>58050</v>
      </c>
      <c r="C2929" t="s">
        <v>58051</v>
      </c>
      <c r="D2929" t="s">
        <v>58052</v>
      </c>
      <c r="E2929" t="s">
        <v>58053</v>
      </c>
      <c r="F2929" t="s">
        <v>58054</v>
      </c>
      <c r="G2929" t="s">
        <v>58055</v>
      </c>
      <c r="H2929" t="s">
        <v>58056</v>
      </c>
      <c r="I2929" t="s">
        <v>58057</v>
      </c>
      <c r="J2929" t="s">
        <v>58058</v>
      </c>
      <c r="K2929" t="s">
        <v>58059</v>
      </c>
      <c r="L2929" t="s">
        <v>58060</v>
      </c>
      <c r="M2929" t="s">
        <v>58061</v>
      </c>
      <c r="N2929" t="s">
        <v>58062</v>
      </c>
      <c r="O2929">
        <f>-582.856251409051 -103.090618592155 -732.134136707687</f>
        <v>-1418.081006708893</v>
      </c>
      <c r="P2929">
        <f>-590.761463390663 -81.3258714009337 -416.460280227038</f>
        <v>-1088.5476150186348</v>
      </c>
      <c r="Q2929">
        <f>-336.924122720433 -26.4453273134709 -402.431565049725</f>
        <v>-765.80101508362895</v>
      </c>
      <c r="R2929" t="s">
        <v>58063</v>
      </c>
      <c r="S2929" t="s">
        <v>58064</v>
      </c>
      <c r="T2929" t="s">
        <v>58065</v>
      </c>
      <c r="U2929" t="s">
        <v>58066</v>
      </c>
      <c r="V2929" t="s">
        <v>58067</v>
      </c>
      <c r="W2929" t="s">
        <v>58068</v>
      </c>
      <c r="X2929" t="s">
        <v>58069</v>
      </c>
      <c r="Y2929" t="s">
        <v>58070</v>
      </c>
    </row>
    <row r="2930" spans="1:25" x14ac:dyDescent="0.3">
      <c r="A2930">
        <v>146450</v>
      </c>
      <c r="B2930" t="s">
        <v>58071</v>
      </c>
      <c r="C2930" t="s">
        <v>58072</v>
      </c>
      <c r="D2930" t="s">
        <v>58073</v>
      </c>
      <c r="E2930" t="s">
        <v>58074</v>
      </c>
      <c r="F2930" t="s">
        <v>58075</v>
      </c>
      <c r="G2930" t="s">
        <v>58076</v>
      </c>
      <c r="H2930" t="s">
        <v>58077</v>
      </c>
      <c r="I2930" t="s">
        <v>58078</v>
      </c>
      <c r="J2930" t="s">
        <v>58079</v>
      </c>
      <c r="K2930" t="s">
        <v>58080</v>
      </c>
      <c r="L2930" t="s">
        <v>58081</v>
      </c>
      <c r="M2930" t="s">
        <v>58082</v>
      </c>
      <c r="N2930" t="s">
        <v>58083</v>
      </c>
      <c r="O2930">
        <f>-582.321420010715 -103.393396869347 -731.856475115703</f>
        <v>-1417.571291995765</v>
      </c>
      <c r="P2930">
        <f>-590.230918817484 -80.9558013073897 -416.229806389045</f>
        <v>-1087.4165265139188</v>
      </c>
      <c r="Q2930">
        <f>-336.157534732102 -27.0938383389489 -402.530612564777</f>
        <v>-765.78198563582794</v>
      </c>
      <c r="R2930" t="s">
        <v>58084</v>
      </c>
      <c r="S2930" t="s">
        <v>58085</v>
      </c>
      <c r="T2930" t="s">
        <v>58086</v>
      </c>
      <c r="U2930" t="s">
        <v>58087</v>
      </c>
      <c r="V2930" t="s">
        <v>58088</v>
      </c>
      <c r="W2930" t="s">
        <v>58089</v>
      </c>
      <c r="X2930" t="s">
        <v>58090</v>
      </c>
      <c r="Y2930" t="s">
        <v>58091</v>
      </c>
    </row>
    <row r="2931" spans="1:25" x14ac:dyDescent="0.3">
      <c r="A2931">
        <v>146500</v>
      </c>
      <c r="B2931" t="s">
        <v>58092</v>
      </c>
      <c r="C2931" t="s">
        <v>58093</v>
      </c>
      <c r="D2931" t="s">
        <v>58094</v>
      </c>
      <c r="E2931" t="s">
        <v>58095</v>
      </c>
      <c r="F2931" t="s">
        <v>58096</v>
      </c>
      <c r="G2931" t="s">
        <v>58097</v>
      </c>
      <c r="H2931" t="s">
        <v>58098</v>
      </c>
      <c r="I2931" t="s">
        <v>58099</v>
      </c>
      <c r="J2931" t="s">
        <v>58100</v>
      </c>
      <c r="K2931" t="s">
        <v>58101</v>
      </c>
      <c r="L2931" t="s">
        <v>58102</v>
      </c>
      <c r="M2931" t="s">
        <v>58103</v>
      </c>
      <c r="N2931" t="s">
        <v>58104</v>
      </c>
      <c r="O2931">
        <f>-581.962484516123 -103.664160504145 -731.708092470094</f>
        <v>-1417.3347374903619</v>
      </c>
      <c r="P2931">
        <f>-590.053875522641 -80.2796980981348 -416.154875145429</f>
        <v>-1086.4884487662048</v>
      </c>
      <c r="Q2931">
        <f>-335.798483321305 -27.4149886275144 -401.956424392883</f>
        <v>-765.16989634170238</v>
      </c>
      <c r="R2931" t="s">
        <v>58105</v>
      </c>
      <c r="S2931" t="s">
        <v>58106</v>
      </c>
      <c r="T2931" t="s">
        <v>58107</v>
      </c>
      <c r="U2931" t="s">
        <v>58108</v>
      </c>
      <c r="V2931" t="s">
        <v>58109</v>
      </c>
      <c r="W2931" t="s">
        <v>58110</v>
      </c>
      <c r="X2931" t="s">
        <v>58111</v>
      </c>
      <c r="Y2931" t="s">
        <v>58112</v>
      </c>
    </row>
    <row r="2932" spans="1:25" x14ac:dyDescent="0.3">
      <c r="A2932">
        <v>146550</v>
      </c>
      <c r="B2932" t="s">
        <v>58113</v>
      </c>
      <c r="C2932" t="s">
        <v>58114</v>
      </c>
      <c r="D2932" t="s">
        <v>58115</v>
      </c>
      <c r="E2932" t="s">
        <v>58116</v>
      </c>
      <c r="F2932" t="s">
        <v>58117</v>
      </c>
      <c r="G2932" t="s">
        <v>58118</v>
      </c>
      <c r="H2932" t="s">
        <v>58119</v>
      </c>
      <c r="I2932" t="s">
        <v>58120</v>
      </c>
      <c r="J2932" t="s">
        <v>58121</v>
      </c>
      <c r="K2932" t="s">
        <v>58122</v>
      </c>
      <c r="L2932" t="s">
        <v>58123</v>
      </c>
      <c r="M2932" t="s">
        <v>58124</v>
      </c>
      <c r="N2932" t="s">
        <v>58125</v>
      </c>
      <c r="O2932">
        <f>-581.809233114286 -104.179210060044 -731.1492260254</f>
        <v>-1417.1376691997302</v>
      </c>
      <c r="P2932">
        <f>-591.062601308937 -79.6402721338413 -415.715545283852</f>
        <v>-1086.4184187266303</v>
      </c>
      <c r="Q2932">
        <f>-336.614306659585 -28.1854612424982 -399.888110017246</f>
        <v>-764.68787791932914</v>
      </c>
      <c r="R2932" t="s">
        <v>58126</v>
      </c>
      <c r="S2932" t="s">
        <v>58127</v>
      </c>
      <c r="T2932" t="s">
        <v>58128</v>
      </c>
      <c r="U2932" t="s">
        <v>58129</v>
      </c>
      <c r="V2932" t="s">
        <v>58130</v>
      </c>
      <c r="W2932" t="s">
        <v>58131</v>
      </c>
      <c r="X2932" t="s">
        <v>58132</v>
      </c>
      <c r="Y2932" t="s">
        <v>58133</v>
      </c>
    </row>
    <row r="2933" spans="1:25" x14ac:dyDescent="0.3">
      <c r="A2933">
        <v>146600</v>
      </c>
      <c r="B2933" t="s">
        <v>58134</v>
      </c>
      <c r="C2933" t="s">
        <v>58135</v>
      </c>
      <c r="D2933" t="s">
        <v>58136</v>
      </c>
      <c r="E2933" t="s">
        <v>58137</v>
      </c>
      <c r="F2933" t="s">
        <v>58138</v>
      </c>
      <c r="G2933" t="s">
        <v>58139</v>
      </c>
      <c r="H2933" t="s">
        <v>58140</v>
      </c>
      <c r="I2933" t="s">
        <v>58141</v>
      </c>
      <c r="J2933" t="s">
        <v>58142</v>
      </c>
      <c r="K2933" t="s">
        <v>58143</v>
      </c>
      <c r="L2933" t="s">
        <v>58144</v>
      </c>
      <c r="M2933" t="s">
        <v>58145</v>
      </c>
      <c r="N2933" t="s">
        <v>58146</v>
      </c>
      <c r="O2933">
        <f>-581.99956693554 -104.357955210113 -730.958971966358</f>
        <v>-1417.316494112011</v>
      </c>
      <c r="P2933">
        <f>-592.103731582239 -79.1876789479282 -415.601144344988</f>
        <v>-1086.8925548751552</v>
      </c>
      <c r="Q2933">
        <f>-337.636582045196 -28.1128162784034 -398.871215181813</f>
        <v>-764.62061350541239</v>
      </c>
      <c r="R2933" t="s">
        <v>58147</v>
      </c>
      <c r="S2933" t="s">
        <v>58148</v>
      </c>
      <c r="T2933" t="s">
        <v>58149</v>
      </c>
      <c r="U2933" t="s">
        <v>58150</v>
      </c>
      <c r="V2933" t="s">
        <v>58151</v>
      </c>
      <c r="W2933" t="s">
        <v>58152</v>
      </c>
      <c r="X2933" t="s">
        <v>58153</v>
      </c>
      <c r="Y2933" t="s">
        <v>58154</v>
      </c>
    </row>
    <row r="2934" spans="1:25" x14ac:dyDescent="0.3">
      <c r="A2934">
        <v>146650</v>
      </c>
      <c r="B2934" t="s">
        <v>58155</v>
      </c>
      <c r="C2934" t="s">
        <v>58156</v>
      </c>
      <c r="D2934" t="s">
        <v>58157</v>
      </c>
      <c r="E2934" t="s">
        <v>58158</v>
      </c>
      <c r="F2934" t="s">
        <v>58159</v>
      </c>
      <c r="G2934" t="s">
        <v>58160</v>
      </c>
      <c r="H2934" t="s">
        <v>58161</v>
      </c>
      <c r="I2934" t="s">
        <v>58162</v>
      </c>
      <c r="J2934" t="s">
        <v>58163</v>
      </c>
      <c r="K2934" t="s">
        <v>58164</v>
      </c>
      <c r="L2934" t="s">
        <v>58165</v>
      </c>
      <c r="M2934" t="s">
        <v>58166</v>
      </c>
      <c r="N2934" t="s">
        <v>58167</v>
      </c>
      <c r="O2934">
        <f>-582.464987648727 -103.631730303411 -730.886273801723</f>
        <v>-1416.9829917538609</v>
      </c>
      <c r="P2934">
        <f>-594.265406778567 -79.8596893957669 -415.478903871127</f>
        <v>-1089.6040000454609</v>
      </c>
      <c r="Q2934">
        <f>-340.369840900532 -26.545198955524 -397.13044315133</f>
        <v>-764.04548300738588</v>
      </c>
      <c r="R2934" t="s">
        <v>58168</v>
      </c>
      <c r="S2934" t="s">
        <v>58169</v>
      </c>
      <c r="T2934" t="s">
        <v>58170</v>
      </c>
      <c r="U2934" t="s">
        <v>58171</v>
      </c>
      <c r="V2934" t="s">
        <v>58172</v>
      </c>
      <c r="W2934" t="s">
        <v>58173</v>
      </c>
      <c r="X2934" t="s">
        <v>58174</v>
      </c>
      <c r="Y2934" t="s">
        <v>58175</v>
      </c>
    </row>
    <row r="2935" spans="1:25" x14ac:dyDescent="0.3">
      <c r="A2935">
        <v>146700</v>
      </c>
      <c r="B2935" t="s">
        <v>58176</v>
      </c>
      <c r="C2935" t="s">
        <v>58177</v>
      </c>
      <c r="D2935" t="s">
        <v>58178</v>
      </c>
      <c r="E2935" t="s">
        <v>58179</v>
      </c>
      <c r="F2935" t="s">
        <v>58180</v>
      </c>
      <c r="G2935" t="s">
        <v>58181</v>
      </c>
      <c r="H2935" t="s">
        <v>58182</v>
      </c>
      <c r="I2935" t="s">
        <v>58183</v>
      </c>
      <c r="J2935" t="s">
        <v>58184</v>
      </c>
      <c r="K2935" t="s">
        <v>58185</v>
      </c>
      <c r="L2935" t="s">
        <v>58186</v>
      </c>
      <c r="M2935" t="s">
        <v>58187</v>
      </c>
      <c r="N2935" t="s">
        <v>58188</v>
      </c>
      <c r="O2935">
        <f>-583.054038794883 -103.071229496978 -730.935210745575</f>
        <v>-1417.0604790374359</v>
      </c>
      <c r="P2935">
        <f>-596.134400039289 -78.9438026266623 -415.605420698417</f>
        <v>-1090.6836233643683</v>
      </c>
      <c r="Q2935">
        <f>-342.682568505997 -24.1399667048143 -395.585726139514</f>
        <v>-762.40826135032535</v>
      </c>
      <c r="R2935" t="s">
        <v>58189</v>
      </c>
      <c r="S2935" t="s">
        <v>58190</v>
      </c>
      <c r="T2935" t="s">
        <v>58191</v>
      </c>
      <c r="U2935" t="s">
        <v>58192</v>
      </c>
      <c r="V2935" t="s">
        <v>58193</v>
      </c>
      <c r="W2935" t="s">
        <v>58194</v>
      </c>
      <c r="X2935" t="s">
        <v>58195</v>
      </c>
      <c r="Y2935" t="s">
        <v>58196</v>
      </c>
    </row>
    <row r="2936" spans="1:25" x14ac:dyDescent="0.3">
      <c r="A2936">
        <v>146750</v>
      </c>
      <c r="B2936" t="s">
        <v>58197</v>
      </c>
      <c r="C2936" t="s">
        <v>58198</v>
      </c>
      <c r="D2936" t="s">
        <v>58199</v>
      </c>
      <c r="E2936" t="s">
        <v>58200</v>
      </c>
      <c r="F2936" t="s">
        <v>58201</v>
      </c>
      <c r="G2936" t="s">
        <v>58202</v>
      </c>
      <c r="H2936" t="s">
        <v>58203</v>
      </c>
      <c r="I2936" t="s">
        <v>58204</v>
      </c>
      <c r="J2936" t="s">
        <v>58205</v>
      </c>
      <c r="K2936" t="s">
        <v>58206</v>
      </c>
      <c r="L2936" t="s">
        <v>58207</v>
      </c>
      <c r="M2936" t="s">
        <v>58208</v>
      </c>
      <c r="N2936" t="s">
        <v>58209</v>
      </c>
      <c r="O2936">
        <f>-583.335174430638 -103.086264056861 -730.714257643746</f>
        <v>-1417.1356961312449</v>
      </c>
      <c r="P2936">
        <f>-599.848183992587 -78.1182539571543 -415.610899998699</f>
        <v>-1093.5773379484403</v>
      </c>
      <c r="Q2936">
        <f>-347.389224783126 -20.1866811588127 -392.148504686583</f>
        <v>-759.7244106285217</v>
      </c>
      <c r="R2936" t="s">
        <v>58210</v>
      </c>
      <c r="S2936" t="s">
        <v>58211</v>
      </c>
      <c r="T2936" t="s">
        <v>58212</v>
      </c>
      <c r="U2936" t="s">
        <v>58213</v>
      </c>
      <c r="V2936" t="s">
        <v>58214</v>
      </c>
      <c r="W2936" t="s">
        <v>58215</v>
      </c>
      <c r="X2936" t="s">
        <v>58216</v>
      </c>
      <c r="Y2936" t="s">
        <v>58217</v>
      </c>
    </row>
    <row r="2937" spans="1:25" x14ac:dyDescent="0.3">
      <c r="A2937">
        <v>146800</v>
      </c>
      <c r="B2937" t="s">
        <v>58218</v>
      </c>
      <c r="C2937" t="s">
        <v>58219</v>
      </c>
      <c r="D2937" t="s">
        <v>58220</v>
      </c>
      <c r="E2937" t="s">
        <v>58221</v>
      </c>
      <c r="F2937" t="s">
        <v>58222</v>
      </c>
      <c r="G2937" t="s">
        <v>58223</v>
      </c>
      <c r="H2937" t="s">
        <v>58224</v>
      </c>
      <c r="I2937" t="s">
        <v>58225</v>
      </c>
      <c r="J2937" t="s">
        <v>58226</v>
      </c>
      <c r="K2937" t="s">
        <v>58227</v>
      </c>
      <c r="L2937" t="s">
        <v>58228</v>
      </c>
      <c r="M2937" t="s">
        <v>58229</v>
      </c>
      <c r="N2937" t="s">
        <v>58230</v>
      </c>
      <c r="O2937">
        <f>-583.751852970462 -103.268660765628 -730.71100652632</f>
        <v>-1417.73152026241</v>
      </c>
      <c r="P2937">
        <f>-601.59751883682 -77.8054254964049 -415.720033859034</f>
        <v>-1095.1229781922589</v>
      </c>
      <c r="Q2937">
        <f>-349.456776308415 -18.9593657274307 -391.138912553915</f>
        <v>-759.55505458976063</v>
      </c>
      <c r="R2937" t="s">
        <v>58231</v>
      </c>
      <c r="S2937" t="s">
        <v>58232</v>
      </c>
      <c r="T2937" t="s">
        <v>58233</v>
      </c>
      <c r="U2937" t="s">
        <v>58234</v>
      </c>
      <c r="V2937" t="s">
        <v>58235</v>
      </c>
      <c r="W2937" t="s">
        <v>58236</v>
      </c>
      <c r="X2937" t="s">
        <v>58237</v>
      </c>
      <c r="Y2937" t="s">
        <v>58238</v>
      </c>
    </row>
    <row r="2938" spans="1:25" x14ac:dyDescent="0.3">
      <c r="A2938">
        <v>146850</v>
      </c>
      <c r="B2938" t="s">
        <v>58239</v>
      </c>
      <c r="C2938" t="s">
        <v>58240</v>
      </c>
      <c r="D2938" t="s">
        <v>58241</v>
      </c>
      <c r="E2938" t="s">
        <v>58242</v>
      </c>
      <c r="F2938" t="s">
        <v>58243</v>
      </c>
      <c r="G2938" t="s">
        <v>58244</v>
      </c>
      <c r="H2938" t="s">
        <v>58245</v>
      </c>
      <c r="I2938" t="s">
        <v>58246</v>
      </c>
      <c r="J2938" t="s">
        <v>58247</v>
      </c>
      <c r="K2938" t="s">
        <v>58248</v>
      </c>
      <c r="L2938" t="s">
        <v>58249</v>
      </c>
      <c r="M2938" t="s">
        <v>58250</v>
      </c>
      <c r="N2938" t="s">
        <v>58251</v>
      </c>
      <c r="O2938">
        <f>-584.132234535026 -102.841240222725 -731.016168031758</f>
        <v>-1417.9896427895089</v>
      </c>
      <c r="P2938">
        <f>-603.310920699735 -78.9740567930654 -415.9785067936</f>
        <v>-1098.2634842864004</v>
      </c>
      <c r="Q2938">
        <f>-351.757017069958 -18.3554919640776 -389.747490575836</f>
        <v>-759.85999960987169</v>
      </c>
      <c r="R2938" t="s">
        <v>58252</v>
      </c>
      <c r="S2938" t="s">
        <v>58253</v>
      </c>
      <c r="T2938" t="s">
        <v>58254</v>
      </c>
      <c r="U2938" t="s">
        <v>58255</v>
      </c>
      <c r="V2938" t="s">
        <v>58256</v>
      </c>
      <c r="W2938" t="s">
        <v>58257</v>
      </c>
      <c r="X2938" t="s">
        <v>58258</v>
      </c>
      <c r="Y2938" t="s">
        <v>58259</v>
      </c>
    </row>
    <row r="2939" spans="1:25" x14ac:dyDescent="0.3">
      <c r="A2939">
        <v>146900</v>
      </c>
      <c r="B2939" t="s">
        <v>58260</v>
      </c>
      <c r="C2939" t="s">
        <v>58261</v>
      </c>
      <c r="D2939" t="s">
        <v>58262</v>
      </c>
      <c r="E2939" t="s">
        <v>58263</v>
      </c>
      <c r="F2939" t="s">
        <v>58264</v>
      </c>
      <c r="G2939" t="s">
        <v>58265</v>
      </c>
      <c r="H2939" t="s">
        <v>58266</v>
      </c>
      <c r="I2939" t="s">
        <v>58267</v>
      </c>
      <c r="J2939" t="s">
        <v>58268</v>
      </c>
      <c r="K2939" t="s">
        <v>58269</v>
      </c>
      <c r="L2939" t="s">
        <v>58270</v>
      </c>
      <c r="M2939" t="s">
        <v>58271</v>
      </c>
      <c r="N2939" t="s">
        <v>58272</v>
      </c>
      <c r="O2939">
        <f>-584.027073377983 -102.556923326422 -731.49840269938</f>
        <v>-1418.0823994037851</v>
      </c>
      <c r="P2939">
        <f>-603.755079622369 -78.5258491072965 -416.507004914858</f>
        <v>-1098.7879336445235</v>
      </c>
      <c r="Q2939">
        <f>-352.453379779478 -17.1787406912237 -389.561771148131</f>
        <v>-759.19389161883271</v>
      </c>
      <c r="R2939" t="s">
        <v>58273</v>
      </c>
      <c r="S2939" t="s">
        <v>58274</v>
      </c>
      <c r="T2939" t="s">
        <v>58275</v>
      </c>
      <c r="U2939" t="s">
        <v>58276</v>
      </c>
      <c r="V2939" t="s">
        <v>58277</v>
      </c>
      <c r="W2939" t="s">
        <v>58278</v>
      </c>
      <c r="X2939" t="s">
        <v>58279</v>
      </c>
      <c r="Y2939" t="s">
        <v>58280</v>
      </c>
    </row>
    <row r="2940" spans="1:25" x14ac:dyDescent="0.3">
      <c r="A2940">
        <v>146950</v>
      </c>
      <c r="B2940" t="s">
        <v>58281</v>
      </c>
      <c r="C2940" t="s">
        <v>58282</v>
      </c>
      <c r="D2940" t="s">
        <v>58283</v>
      </c>
      <c r="E2940" t="s">
        <v>58284</v>
      </c>
      <c r="F2940" t="s">
        <v>58285</v>
      </c>
      <c r="G2940" t="s">
        <v>58286</v>
      </c>
      <c r="H2940" t="s">
        <v>58287</v>
      </c>
      <c r="I2940" t="s">
        <v>58288</v>
      </c>
      <c r="J2940" t="s">
        <v>58289</v>
      </c>
      <c r="K2940" t="s">
        <v>58290</v>
      </c>
      <c r="L2940" t="s">
        <v>58291</v>
      </c>
      <c r="M2940" t="s">
        <v>58292</v>
      </c>
      <c r="N2940" t="s">
        <v>58293</v>
      </c>
      <c r="O2940">
        <f>-583.680408542771 -102.225014765948 -732.213829442436</f>
        <v>-1418.119252751155</v>
      </c>
      <c r="P2940">
        <f>-604.698123804679 -78.2727255892323 -417.299945312659</f>
        <v>-1100.2707947065703</v>
      </c>
      <c r="Q2940">
        <f>-353.564351253871 -16.8575757765569 -388.979265643984</f>
        <v>-759.40119267441196</v>
      </c>
      <c r="R2940" t="s">
        <v>58294</v>
      </c>
      <c r="S2940" t="s">
        <v>58295</v>
      </c>
      <c r="T2940" t="s">
        <v>58296</v>
      </c>
      <c r="U2940" t="s">
        <v>58297</v>
      </c>
      <c r="V2940" t="s">
        <v>58298</v>
      </c>
      <c r="W2940" t="s">
        <v>58299</v>
      </c>
      <c r="X2940" t="s">
        <v>58300</v>
      </c>
      <c r="Y2940" t="s">
        <v>58301</v>
      </c>
    </row>
    <row r="2941" spans="1:25" x14ac:dyDescent="0.3">
      <c r="A2941">
        <v>147000</v>
      </c>
      <c r="B2941" t="s">
        <v>58302</v>
      </c>
      <c r="C2941" t="s">
        <v>58303</v>
      </c>
      <c r="D2941" t="s">
        <v>58304</v>
      </c>
      <c r="E2941" t="s">
        <v>58305</v>
      </c>
      <c r="F2941" t="s">
        <v>58306</v>
      </c>
      <c r="G2941" t="s">
        <v>58307</v>
      </c>
      <c r="H2941" t="s">
        <v>58308</v>
      </c>
      <c r="I2941" t="s">
        <v>58309</v>
      </c>
      <c r="J2941" t="s">
        <v>58310</v>
      </c>
      <c r="K2941" t="s">
        <v>58311</v>
      </c>
      <c r="L2941" t="s">
        <v>58312</v>
      </c>
      <c r="M2941" t="s">
        <v>58313</v>
      </c>
      <c r="N2941" t="s">
        <v>58314</v>
      </c>
      <c r="O2941">
        <f>-583.737928143431 -102.126708739452 -732.440376757201</f>
        <v>-1418.3050136400839</v>
      </c>
      <c r="P2941">
        <f>-604.874906935149 -78.0214682987652 -417.546219033105</f>
        <v>-1100.4425942670191</v>
      </c>
      <c r="Q2941">
        <f>-353.699857763785 -16.4932889373301 -389.843212571517</f>
        <v>-760.03635927263213</v>
      </c>
      <c r="R2941" t="s">
        <v>58315</v>
      </c>
      <c r="S2941" t="s">
        <v>58316</v>
      </c>
      <c r="T2941" t="s">
        <v>58317</v>
      </c>
      <c r="U2941" t="s">
        <v>58318</v>
      </c>
      <c r="V2941" t="s">
        <v>58319</v>
      </c>
      <c r="W2941" t="s">
        <v>58320</v>
      </c>
      <c r="X2941" t="s">
        <v>58321</v>
      </c>
      <c r="Y2941" t="s">
        <v>58322</v>
      </c>
    </row>
    <row r="2942" spans="1:25" x14ac:dyDescent="0.3">
      <c r="A2942">
        <v>147050</v>
      </c>
      <c r="B2942" t="s">
        <v>58323</v>
      </c>
      <c r="C2942" t="s">
        <v>58324</v>
      </c>
      <c r="D2942" t="s">
        <v>58325</v>
      </c>
      <c r="E2942" t="s">
        <v>58326</v>
      </c>
      <c r="F2942" t="s">
        <v>58327</v>
      </c>
      <c r="G2942" t="s">
        <v>58328</v>
      </c>
      <c r="H2942" t="s">
        <v>58329</v>
      </c>
      <c r="I2942" t="s">
        <v>58330</v>
      </c>
      <c r="J2942" t="s">
        <v>58331</v>
      </c>
      <c r="K2942" t="s">
        <v>58332</v>
      </c>
      <c r="L2942" t="s">
        <v>58333</v>
      </c>
      <c r="M2942" t="s">
        <v>58334</v>
      </c>
      <c r="N2942" t="s">
        <v>58335</v>
      </c>
      <c r="O2942">
        <f>-584.174187156314 -101.777674450326 -732.567441852081</f>
        <v>-1418.519303458721</v>
      </c>
      <c r="P2942">
        <f>-604.71915387225 -77.4876831015505 -417.648264218087</f>
        <v>-1099.8551011918876</v>
      </c>
      <c r="Q2942">
        <f>-353.108846276844 -17.2037274791922 -391.189047179983</f>
        <v>-761.50162093601921</v>
      </c>
      <c r="R2942" t="s">
        <v>58336</v>
      </c>
      <c r="S2942" t="s">
        <v>58337</v>
      </c>
      <c r="T2942" t="s">
        <v>58338</v>
      </c>
      <c r="U2942" t="s">
        <v>58339</v>
      </c>
      <c r="V2942" t="s">
        <v>58340</v>
      </c>
      <c r="W2942" t="s">
        <v>58341</v>
      </c>
      <c r="X2942" t="s">
        <v>58342</v>
      </c>
      <c r="Y2942" t="s">
        <v>58343</v>
      </c>
    </row>
    <row r="2943" spans="1:25" x14ac:dyDescent="0.3">
      <c r="A2943">
        <v>147100</v>
      </c>
      <c r="B2943" t="s">
        <v>58344</v>
      </c>
      <c r="C2943" t="s">
        <v>58345</v>
      </c>
      <c r="D2943" t="s">
        <v>58346</v>
      </c>
      <c r="E2943" t="s">
        <v>58347</v>
      </c>
      <c r="F2943" t="s">
        <v>58348</v>
      </c>
      <c r="G2943" t="s">
        <v>58349</v>
      </c>
      <c r="H2943" t="s">
        <v>58350</v>
      </c>
      <c r="I2943" t="s">
        <v>58351</v>
      </c>
      <c r="J2943" t="s">
        <v>58352</v>
      </c>
      <c r="K2943" t="s">
        <v>58353</v>
      </c>
      <c r="L2943" t="s">
        <v>58354</v>
      </c>
      <c r="M2943" t="s">
        <v>58355</v>
      </c>
      <c r="N2943" t="s">
        <v>58356</v>
      </c>
      <c r="O2943">
        <f>-584.82805256387 -102.136271773277 -732.404495276583</f>
        <v>-1419.36881961373</v>
      </c>
      <c r="P2943">
        <f>-605.43738644756 -77.92548265544 -417.483578616215</f>
        <v>-1100.8464477192151</v>
      </c>
      <c r="Q2943">
        <f>-353.579706852117 -18.2632841133107 -391.984524236439</f>
        <v>-763.82751520186662</v>
      </c>
      <c r="R2943" t="s">
        <v>58357</v>
      </c>
      <c r="S2943" t="s">
        <v>58358</v>
      </c>
      <c r="T2943" t="s">
        <v>58359</v>
      </c>
      <c r="U2943" t="s">
        <v>58360</v>
      </c>
      <c r="V2943" t="s">
        <v>58361</v>
      </c>
      <c r="W2943" t="s">
        <v>58362</v>
      </c>
      <c r="X2943" t="s">
        <v>58363</v>
      </c>
      <c r="Y2943" t="s">
        <v>58364</v>
      </c>
    </row>
    <row r="2944" spans="1:25" x14ac:dyDescent="0.3">
      <c r="A2944">
        <v>147150</v>
      </c>
      <c r="B2944" t="s">
        <v>58365</v>
      </c>
      <c r="C2944" t="s">
        <v>58366</v>
      </c>
      <c r="D2944" t="s">
        <v>58367</v>
      </c>
      <c r="E2944" t="s">
        <v>58368</v>
      </c>
      <c r="F2944" t="s">
        <v>58369</v>
      </c>
      <c r="G2944" t="s">
        <v>58370</v>
      </c>
      <c r="H2944" t="s">
        <v>58371</v>
      </c>
      <c r="I2944" t="s">
        <v>58372</v>
      </c>
      <c r="J2944" t="s">
        <v>58373</v>
      </c>
      <c r="K2944" t="s">
        <v>58374</v>
      </c>
      <c r="L2944" t="s">
        <v>58375</v>
      </c>
      <c r="M2944" t="s">
        <v>58376</v>
      </c>
      <c r="N2944" t="s">
        <v>58377</v>
      </c>
      <c r="O2944">
        <f>-587.222119900811 -103.153375780678 -731.299867888869</f>
        <v>-1421.6753635703581</v>
      </c>
      <c r="P2944">
        <f>-608.782041907822 -77.4658221386394 -416.559437808475</f>
        <v>-1102.8073018549364</v>
      </c>
      <c r="Q2944">
        <f>-355.903411915713 -20.4967579036174 -395.369698657095</f>
        <v>-771.76986847642536</v>
      </c>
      <c r="R2944" t="s">
        <v>58378</v>
      </c>
      <c r="S2944" t="s">
        <v>58379</v>
      </c>
      <c r="T2944" t="s">
        <v>58380</v>
      </c>
      <c r="U2944" t="s">
        <v>58381</v>
      </c>
      <c r="V2944" t="s">
        <v>58382</v>
      </c>
      <c r="W2944" t="s">
        <v>58383</v>
      </c>
      <c r="X2944" t="s">
        <v>58384</v>
      </c>
      <c r="Y2944" t="s">
        <v>58385</v>
      </c>
    </row>
    <row r="2945" spans="1:25" x14ac:dyDescent="0.3">
      <c r="A2945">
        <v>147200</v>
      </c>
      <c r="B2945" t="s">
        <v>58386</v>
      </c>
      <c r="C2945" t="s">
        <v>58387</v>
      </c>
      <c r="D2945" t="s">
        <v>58388</v>
      </c>
      <c r="E2945" t="s">
        <v>58389</v>
      </c>
      <c r="F2945" t="s">
        <v>58390</v>
      </c>
      <c r="G2945" t="s">
        <v>58391</v>
      </c>
      <c r="H2945" t="s">
        <v>58392</v>
      </c>
      <c r="I2945" t="s">
        <v>58393</v>
      </c>
      <c r="J2945" t="s">
        <v>58394</v>
      </c>
      <c r="K2945" t="s">
        <v>58395</v>
      </c>
      <c r="L2945" t="s">
        <v>58396</v>
      </c>
      <c r="M2945" t="s">
        <v>58397</v>
      </c>
      <c r="N2945" t="s">
        <v>58398</v>
      </c>
      <c r="O2945">
        <f>-588.591887782977 -103.911147976273 -730.068875106209</f>
        <v>-1422.5719108654589</v>
      </c>
      <c r="P2945">
        <f>-610.744803376547 -77.2035860026584 -415.454439629248</f>
        <v>-1103.4028290084534</v>
      </c>
      <c r="Q2945">
        <f>-357.07202395762 -22.5760949929638 -397.904631624222</f>
        <v>-777.55275057480583</v>
      </c>
      <c r="R2945" t="s">
        <v>58399</v>
      </c>
      <c r="S2945" t="s">
        <v>58400</v>
      </c>
      <c r="T2945" t="s">
        <v>58401</v>
      </c>
      <c r="U2945" t="s">
        <v>58402</v>
      </c>
      <c r="V2945" t="s">
        <v>58403</v>
      </c>
      <c r="W2945" t="s">
        <v>58404</v>
      </c>
      <c r="X2945" t="s">
        <v>58405</v>
      </c>
      <c r="Y2945" t="s">
        <v>58406</v>
      </c>
    </row>
    <row r="2946" spans="1:25" x14ac:dyDescent="0.3">
      <c r="A2946">
        <v>147250</v>
      </c>
      <c r="B2946" t="s">
        <v>58407</v>
      </c>
      <c r="C2946" t="s">
        <v>58408</v>
      </c>
      <c r="D2946" t="s">
        <v>58409</v>
      </c>
      <c r="E2946" t="s">
        <v>58410</v>
      </c>
      <c r="F2946" t="s">
        <v>58411</v>
      </c>
      <c r="G2946" t="s">
        <v>58412</v>
      </c>
      <c r="H2946" t="s">
        <v>58413</v>
      </c>
      <c r="I2946" t="s">
        <v>58414</v>
      </c>
      <c r="J2946" t="s">
        <v>58415</v>
      </c>
      <c r="K2946" t="s">
        <v>58416</v>
      </c>
      <c r="L2946" t="s">
        <v>58417</v>
      </c>
      <c r="M2946" t="s">
        <v>58418</v>
      </c>
      <c r="N2946" t="s">
        <v>58419</v>
      </c>
      <c r="O2946">
        <f>-593.81363145444 -105.790575115858 -726.493380628893</f>
        <v>-1426.0975871991909</v>
      </c>
      <c r="P2946">
        <f>-613.389571077031 -78.5542039445507 -411.753666073412</f>
        <v>-1103.6974410949936</v>
      </c>
      <c r="Q2946">
        <f>-358.368176575816 -28.0012382329408 -404.646020155288</f>
        <v>-791.01543496404474</v>
      </c>
      <c r="R2946" t="s">
        <v>58420</v>
      </c>
      <c r="S2946" t="s">
        <v>58421</v>
      </c>
      <c r="T2946" t="s">
        <v>58422</v>
      </c>
      <c r="U2946" t="s">
        <v>58423</v>
      </c>
      <c r="V2946" t="s">
        <v>58424</v>
      </c>
      <c r="W2946" t="s">
        <v>58425</v>
      </c>
      <c r="X2946" t="s">
        <v>58426</v>
      </c>
      <c r="Y2946" t="s">
        <v>58427</v>
      </c>
    </row>
    <row r="2947" spans="1:25" x14ac:dyDescent="0.3">
      <c r="A2947">
        <v>147300</v>
      </c>
      <c r="B2947" t="s">
        <v>58428</v>
      </c>
      <c r="C2947" t="s">
        <v>58429</v>
      </c>
      <c r="D2947" t="s">
        <v>58430</v>
      </c>
      <c r="E2947" t="s">
        <v>58431</v>
      </c>
      <c r="F2947" t="s">
        <v>58432</v>
      </c>
      <c r="G2947" t="s">
        <v>58433</v>
      </c>
      <c r="H2947" t="s">
        <v>58434</v>
      </c>
      <c r="I2947" t="s">
        <v>58435</v>
      </c>
      <c r="J2947" t="s">
        <v>58436</v>
      </c>
      <c r="K2947" t="s">
        <v>58437</v>
      </c>
      <c r="L2947" t="s">
        <v>58438</v>
      </c>
      <c r="M2947" t="s">
        <v>58439</v>
      </c>
      <c r="N2947" t="s">
        <v>58440</v>
      </c>
      <c r="O2947">
        <f>-597.285965586064 -106.881173455294 -724.390648395159</f>
        <v>-1428.5577874365172</v>
      </c>
      <c r="P2947">
        <f>-613.712584387279 -79.592315246337 -409.475378877734</f>
        <v>-1102.7802785113499</v>
      </c>
      <c r="Q2947">
        <f>-358.327454423994 -30.4283808581752 -407.629158047097</f>
        <v>-796.38499332926631</v>
      </c>
      <c r="R2947" t="s">
        <v>58441</v>
      </c>
      <c r="S2947" t="s">
        <v>58442</v>
      </c>
      <c r="T2947" t="s">
        <v>58443</v>
      </c>
      <c r="U2947" t="s">
        <v>58444</v>
      </c>
      <c r="V2947" t="s">
        <v>58445</v>
      </c>
      <c r="W2947" t="s">
        <v>58446</v>
      </c>
      <c r="X2947" t="s">
        <v>58447</v>
      </c>
      <c r="Y2947" t="s">
        <v>58448</v>
      </c>
    </row>
    <row r="2948" spans="1:25" x14ac:dyDescent="0.3">
      <c r="A2948">
        <v>147350</v>
      </c>
      <c r="B2948" t="s">
        <v>58449</v>
      </c>
      <c r="C2948" t="s">
        <v>58450</v>
      </c>
      <c r="D2948" t="s">
        <v>58451</v>
      </c>
      <c r="E2948" t="s">
        <v>58452</v>
      </c>
      <c r="F2948" t="s">
        <v>58453</v>
      </c>
      <c r="G2948" t="s">
        <v>58454</v>
      </c>
      <c r="H2948" t="s">
        <v>58455</v>
      </c>
      <c r="I2948" t="s">
        <v>58456</v>
      </c>
      <c r="J2948" t="s">
        <v>58457</v>
      </c>
      <c r="K2948" t="s">
        <v>58458</v>
      </c>
      <c r="L2948" t="s">
        <v>58459</v>
      </c>
      <c r="M2948" t="s">
        <v>58460</v>
      </c>
      <c r="N2948" t="s">
        <v>58461</v>
      </c>
      <c r="O2948">
        <f>-604.526301755203 -108.253060816194 -719.917869259114</f>
        <v>-1432.6972318305111</v>
      </c>
      <c r="P2948">
        <f>-613.189343788209 -80.1809507210852 -404.762122126293</f>
        <v>-1098.1324166355871</v>
      </c>
      <c r="Q2948">
        <f>-357.390994483515 -33.8864096488529 -412.889288051788</f>
        <v>-804.16669218415586</v>
      </c>
      <c r="R2948" t="s">
        <v>58462</v>
      </c>
      <c r="S2948" t="s">
        <v>58463</v>
      </c>
      <c r="T2948" t="s">
        <v>58464</v>
      </c>
      <c r="U2948" t="s">
        <v>58465</v>
      </c>
      <c r="V2948" t="s">
        <v>58466</v>
      </c>
      <c r="W2948" t="s">
        <v>58467</v>
      </c>
      <c r="X2948" t="s">
        <v>58468</v>
      </c>
      <c r="Y2948" t="s">
        <v>58469</v>
      </c>
    </row>
    <row r="2949" spans="1:25" x14ac:dyDescent="0.3">
      <c r="A2949">
        <v>147400</v>
      </c>
      <c r="B2949" t="s">
        <v>58470</v>
      </c>
      <c r="C2949" t="s">
        <v>58471</v>
      </c>
      <c r="D2949" t="s">
        <v>58472</v>
      </c>
      <c r="E2949" t="s">
        <v>58473</v>
      </c>
      <c r="F2949" t="s">
        <v>58474</v>
      </c>
      <c r="G2949" t="s">
        <v>58475</v>
      </c>
      <c r="H2949" t="s">
        <v>58476</v>
      </c>
      <c r="I2949" t="s">
        <v>58477</v>
      </c>
      <c r="J2949" t="s">
        <v>58478</v>
      </c>
      <c r="K2949" t="s">
        <v>58479</v>
      </c>
      <c r="L2949" t="s">
        <v>58480</v>
      </c>
      <c r="M2949" t="s">
        <v>58481</v>
      </c>
      <c r="N2949" t="s">
        <v>58482</v>
      </c>
      <c r="O2949">
        <f>-606.865599539778 -108.439842368775 -718.003616328118</f>
        <v>-1433.309058236671</v>
      </c>
      <c r="P2949">
        <f>-612.100659592664 -79.5788129386824 -402.843714324785</f>
        <v>-1094.5231868561314</v>
      </c>
      <c r="Q2949">
        <f>-356.089802493152 -35.4446412830263 -415.200074261395</f>
        <v>-806.73451803757325</v>
      </c>
      <c r="R2949" t="s">
        <v>58483</v>
      </c>
      <c r="S2949" t="s">
        <v>58484</v>
      </c>
      <c r="T2949" t="s">
        <v>58485</v>
      </c>
      <c r="U2949" t="s">
        <v>58486</v>
      </c>
      <c r="V2949" t="s">
        <v>58487</v>
      </c>
      <c r="W2949" t="s">
        <v>58488</v>
      </c>
      <c r="X2949" t="s">
        <v>58489</v>
      </c>
      <c r="Y2949" t="s">
        <v>58490</v>
      </c>
    </row>
    <row r="2950" spans="1:25" x14ac:dyDescent="0.3">
      <c r="A2950">
        <v>147450</v>
      </c>
      <c r="B2950" t="s">
        <v>58491</v>
      </c>
      <c r="C2950" t="s">
        <v>58492</v>
      </c>
      <c r="D2950" t="s">
        <v>58493</v>
      </c>
      <c r="E2950" t="s">
        <v>58494</v>
      </c>
      <c r="F2950" t="s">
        <v>58495</v>
      </c>
      <c r="G2950" t="s">
        <v>58496</v>
      </c>
      <c r="H2950" t="s">
        <v>58497</v>
      </c>
      <c r="I2950" t="s">
        <v>58498</v>
      </c>
      <c r="J2950" t="s">
        <v>58499</v>
      </c>
      <c r="K2950" t="s">
        <v>58500</v>
      </c>
      <c r="L2950" t="s">
        <v>58501</v>
      </c>
      <c r="M2950" t="s">
        <v>58502</v>
      </c>
      <c r="N2950" t="s">
        <v>58503</v>
      </c>
      <c r="O2950">
        <f>-611.048171529942 -108.309112020779 -715.514413517685</f>
        <v>-1434.8716970684059</v>
      </c>
      <c r="P2950">
        <f>-610.387761606617 -75.9217086579663 -400.654420008091</f>
        <v>-1086.9638902726742</v>
      </c>
      <c r="Q2950">
        <f>-353.800368421771 -37.1687637049096 -418.066843503098</f>
        <v>-809.0359756297787</v>
      </c>
      <c r="R2950" t="s">
        <v>58504</v>
      </c>
      <c r="S2950" t="s">
        <v>58505</v>
      </c>
      <c r="T2950" t="s">
        <v>58506</v>
      </c>
      <c r="U2950" t="s">
        <v>58507</v>
      </c>
      <c r="V2950" t="s">
        <v>58508</v>
      </c>
      <c r="W2950" t="s">
        <v>58509</v>
      </c>
      <c r="X2950" t="s">
        <v>58510</v>
      </c>
      <c r="Y2950" t="s">
        <v>58511</v>
      </c>
    </row>
    <row r="2951" spans="1:25" x14ac:dyDescent="0.3">
      <c r="A2951">
        <v>147500</v>
      </c>
      <c r="B2951" t="s">
        <v>58512</v>
      </c>
      <c r="C2951" t="s">
        <v>58513</v>
      </c>
      <c r="D2951" t="s">
        <v>58514</v>
      </c>
      <c r="E2951" t="s">
        <v>58515</v>
      </c>
      <c r="F2951" t="s">
        <v>58516</v>
      </c>
      <c r="G2951" t="s">
        <v>58517</v>
      </c>
      <c r="H2951" t="s">
        <v>58518</v>
      </c>
      <c r="I2951" t="s">
        <v>58519</v>
      </c>
      <c r="J2951" t="s">
        <v>58520</v>
      </c>
      <c r="K2951" t="s">
        <v>58521</v>
      </c>
      <c r="L2951" t="s">
        <v>58522</v>
      </c>
      <c r="M2951" t="s">
        <v>58523</v>
      </c>
      <c r="N2951" t="s">
        <v>58524</v>
      </c>
      <c r="O2951">
        <f>-612.382035921329 -108.428070803939 -714.712387185736</f>
        <v>-1435.5224939110039</v>
      </c>
      <c r="P2951">
        <f>-609.753911086221 -74.7933761163776 -399.993629963514</f>
        <v>-1084.5409171661126</v>
      </c>
      <c r="Q2951">
        <f>-352.899483669984 -38.6523282786149 -419.011086626494</f>
        <v>-810.56289857509296</v>
      </c>
      <c r="R2951" t="s">
        <v>58525</v>
      </c>
      <c r="S2951" t="s">
        <v>58526</v>
      </c>
      <c r="T2951" t="s">
        <v>58527</v>
      </c>
      <c r="U2951" t="s">
        <v>58528</v>
      </c>
      <c r="V2951" t="s">
        <v>58529</v>
      </c>
      <c r="W2951" t="s">
        <v>58530</v>
      </c>
      <c r="X2951" t="s">
        <v>58531</v>
      </c>
      <c r="Y2951" t="s">
        <v>58532</v>
      </c>
    </row>
    <row r="2952" spans="1:25" x14ac:dyDescent="0.3">
      <c r="A2952">
        <v>147550</v>
      </c>
      <c r="B2952" t="s">
        <v>58533</v>
      </c>
      <c r="C2952" t="s">
        <v>58534</v>
      </c>
      <c r="D2952" t="s">
        <v>58535</v>
      </c>
      <c r="E2952" t="s">
        <v>58536</v>
      </c>
      <c r="F2952" t="s">
        <v>58537</v>
      </c>
      <c r="G2952" t="s">
        <v>58538</v>
      </c>
      <c r="H2952" t="s">
        <v>58539</v>
      </c>
      <c r="I2952" t="s">
        <v>58540</v>
      </c>
      <c r="J2952" t="s">
        <v>58541</v>
      </c>
      <c r="K2952" t="s">
        <v>58542</v>
      </c>
      <c r="L2952" t="s">
        <v>58543</v>
      </c>
      <c r="M2952" t="s">
        <v>58544</v>
      </c>
      <c r="N2952" t="s">
        <v>58545</v>
      </c>
      <c r="O2952">
        <f>-614.827325803632 -109.024979608177 -713.839086281125</f>
        <v>-1437.6913916929338</v>
      </c>
      <c r="P2952">
        <f>-608.283645679701 -73.0018235677681 -399.441669013018</f>
        <v>-1080.7271382604872</v>
      </c>
      <c r="Q2952">
        <f>-350.828033869168 -41.4796259596861 -418.546738166466</f>
        <v>-810.85439799532014</v>
      </c>
      <c r="R2952" t="s">
        <v>58546</v>
      </c>
      <c r="S2952" t="s">
        <v>58547</v>
      </c>
      <c r="T2952" t="s">
        <v>58548</v>
      </c>
      <c r="U2952" t="s">
        <v>58549</v>
      </c>
      <c r="V2952" t="s">
        <v>58550</v>
      </c>
      <c r="W2952" t="s">
        <v>58551</v>
      </c>
      <c r="X2952" t="s">
        <v>58552</v>
      </c>
      <c r="Y2952" t="s">
        <v>58553</v>
      </c>
    </row>
    <row r="2953" spans="1:25" x14ac:dyDescent="0.3">
      <c r="A2953">
        <v>147600</v>
      </c>
      <c r="B2953" t="s">
        <v>58554</v>
      </c>
      <c r="C2953" t="s">
        <v>58555</v>
      </c>
      <c r="D2953" t="s">
        <v>58556</v>
      </c>
      <c r="E2953" t="s">
        <v>58557</v>
      </c>
      <c r="F2953" t="s">
        <v>58558</v>
      </c>
      <c r="G2953" t="s">
        <v>58559</v>
      </c>
      <c r="H2953" t="s">
        <v>58560</v>
      </c>
      <c r="I2953" t="s">
        <v>58561</v>
      </c>
      <c r="J2953" t="s">
        <v>58562</v>
      </c>
      <c r="K2953" t="s">
        <v>58563</v>
      </c>
      <c r="L2953" t="s">
        <v>58564</v>
      </c>
      <c r="M2953" t="s">
        <v>58565</v>
      </c>
      <c r="N2953" t="s">
        <v>58566</v>
      </c>
      <c r="O2953">
        <f>-614.756187367006 -109.165314089229 -714.155206267587</f>
        <v>-1438.076707723822</v>
      </c>
      <c r="P2953">
        <f>-607.945388979369 -73.5420531229793 -399.717895938357</f>
        <v>-1081.2053380407053</v>
      </c>
      <c r="Q2953">
        <f>-350.39937857212 -42.5268401633645 -418.43070929584</f>
        <v>-811.35692803132451</v>
      </c>
      <c r="R2953" t="s">
        <v>58567</v>
      </c>
      <c r="S2953" t="s">
        <v>58568</v>
      </c>
      <c r="T2953" t="s">
        <v>58569</v>
      </c>
      <c r="U2953" t="s">
        <v>58570</v>
      </c>
      <c r="V2953" t="s">
        <v>58571</v>
      </c>
      <c r="W2953" t="s">
        <v>58572</v>
      </c>
      <c r="X2953" t="s">
        <v>58573</v>
      </c>
      <c r="Y2953" t="s">
        <v>58574</v>
      </c>
    </row>
    <row r="2954" spans="1:25" x14ac:dyDescent="0.3">
      <c r="A2954">
        <v>147650</v>
      </c>
      <c r="B2954" t="s">
        <v>58575</v>
      </c>
      <c r="C2954" t="s">
        <v>58576</v>
      </c>
      <c r="D2954" t="s">
        <v>58577</v>
      </c>
      <c r="E2954" t="s">
        <v>58578</v>
      </c>
      <c r="F2954" t="s">
        <v>58579</v>
      </c>
      <c r="G2954" t="s">
        <v>58580</v>
      </c>
      <c r="H2954" t="s">
        <v>58581</v>
      </c>
      <c r="I2954" t="s">
        <v>58582</v>
      </c>
      <c r="J2954" t="s">
        <v>58583</v>
      </c>
      <c r="K2954" t="s">
        <v>58584</v>
      </c>
      <c r="L2954" t="s">
        <v>58585</v>
      </c>
      <c r="M2954" t="s">
        <v>58586</v>
      </c>
      <c r="N2954" t="s">
        <v>58587</v>
      </c>
      <c r="O2954">
        <f>-615.701253322637 -107.706662779769 -715.776814754249</f>
        <v>-1439.1847308566548</v>
      </c>
      <c r="P2954">
        <f>-607.356337170217 -72.2234174714306 -401.360613095</f>
        <v>-1080.9403677366477</v>
      </c>
      <c r="Q2954">
        <f>-349.659802152954 -40.435364471019 -416.329363762942</f>
        <v>-806.42453038691497</v>
      </c>
      <c r="R2954" t="s">
        <v>58588</v>
      </c>
      <c r="S2954" t="s">
        <v>58589</v>
      </c>
      <c r="T2954" t="s">
        <v>58590</v>
      </c>
      <c r="U2954" t="s">
        <v>58591</v>
      </c>
      <c r="V2954" t="s">
        <v>58592</v>
      </c>
      <c r="W2954" t="s">
        <v>58593</v>
      </c>
      <c r="X2954" t="s">
        <v>58594</v>
      </c>
      <c r="Y2954" t="s">
        <v>58595</v>
      </c>
    </row>
    <row r="2955" spans="1:25" x14ac:dyDescent="0.3">
      <c r="A2955">
        <v>147700</v>
      </c>
      <c r="B2955" t="s">
        <v>58596</v>
      </c>
      <c r="C2955" t="s">
        <v>58597</v>
      </c>
      <c r="D2955" t="s">
        <v>58598</v>
      </c>
      <c r="E2955" t="s">
        <v>58599</v>
      </c>
      <c r="F2955" t="s">
        <v>58600</v>
      </c>
      <c r="G2955" t="s">
        <v>58601</v>
      </c>
      <c r="H2955" t="s">
        <v>58602</v>
      </c>
      <c r="I2955" t="s">
        <v>58603</v>
      </c>
      <c r="J2955" t="s">
        <v>58604</v>
      </c>
      <c r="K2955" t="s">
        <v>58605</v>
      </c>
      <c r="L2955" t="s">
        <v>58606</v>
      </c>
      <c r="M2955" t="s">
        <v>58607</v>
      </c>
      <c r="N2955" t="s">
        <v>58608</v>
      </c>
      <c r="O2955">
        <f>-615.856700397039 -107.389033457303 -716.594940678906</f>
        <v>-1439.8406745332481</v>
      </c>
      <c r="P2955">
        <f>-607.79452186316 -71.332562191223 -402.236735067814</f>
        <v>-1081.3638191221969</v>
      </c>
      <c r="Q2955">
        <f>-350.064831512505 -38.733438163129 -414.677500960571</f>
        <v>-803.47577063620497</v>
      </c>
      <c r="R2955" t="s">
        <v>58609</v>
      </c>
      <c r="S2955" t="s">
        <v>58610</v>
      </c>
      <c r="T2955" t="s">
        <v>58611</v>
      </c>
      <c r="U2955" t="s">
        <v>58612</v>
      </c>
      <c r="V2955" t="s">
        <v>58613</v>
      </c>
      <c r="W2955" t="s">
        <v>58614</v>
      </c>
      <c r="X2955" t="s">
        <v>58615</v>
      </c>
      <c r="Y2955" t="s">
        <v>58616</v>
      </c>
    </row>
    <row r="2956" spans="1:25" x14ac:dyDescent="0.3">
      <c r="A2956">
        <v>147750</v>
      </c>
      <c r="B2956" t="s">
        <v>58617</v>
      </c>
      <c r="C2956" t="s">
        <v>58618</v>
      </c>
      <c r="D2956" t="s">
        <v>58619</v>
      </c>
      <c r="E2956" t="s">
        <v>58620</v>
      </c>
      <c r="F2956" t="s">
        <v>58621</v>
      </c>
      <c r="G2956" t="s">
        <v>58622</v>
      </c>
      <c r="H2956" t="s">
        <v>58623</v>
      </c>
      <c r="I2956" t="s">
        <v>58624</v>
      </c>
      <c r="J2956" t="s">
        <v>58625</v>
      </c>
      <c r="K2956" t="s">
        <v>58626</v>
      </c>
      <c r="L2956" t="s">
        <v>58627</v>
      </c>
      <c r="M2956" t="s">
        <v>58628</v>
      </c>
      <c r="N2956" t="s">
        <v>58629</v>
      </c>
      <c r="O2956">
        <f>-615.9079179489 -105.874619544692 -718.739823266589</f>
        <v>-1440.5223607601811</v>
      </c>
      <c r="P2956">
        <f>-609.513124328977 -70.7193563171874 -404.24111930641</f>
        <v>-1084.4735999525744</v>
      </c>
      <c r="Q2956">
        <f>-352.077939954657 -34.4873803610542 -411.754029553977</f>
        <v>-798.31934986968815</v>
      </c>
      <c r="R2956" t="s">
        <v>58630</v>
      </c>
      <c r="S2956" t="s">
        <v>58631</v>
      </c>
      <c r="T2956" t="s">
        <v>58632</v>
      </c>
      <c r="U2956" t="s">
        <v>58633</v>
      </c>
      <c r="V2956" t="s">
        <v>58634</v>
      </c>
      <c r="W2956" t="s">
        <v>58635</v>
      </c>
      <c r="X2956" t="s">
        <v>58636</v>
      </c>
      <c r="Y2956" t="s">
        <v>58637</v>
      </c>
    </row>
    <row r="2957" spans="1:25" x14ac:dyDescent="0.3">
      <c r="A2957">
        <v>147800</v>
      </c>
      <c r="B2957" t="s">
        <v>58638</v>
      </c>
      <c r="C2957" t="s">
        <v>58639</v>
      </c>
      <c r="D2957" t="s">
        <v>58640</v>
      </c>
      <c r="E2957" t="s">
        <v>58641</v>
      </c>
      <c r="F2957" t="s">
        <v>58642</v>
      </c>
      <c r="G2957" t="s">
        <v>58643</v>
      </c>
      <c r="H2957" t="s">
        <v>58644</v>
      </c>
      <c r="I2957" t="s">
        <v>58645</v>
      </c>
      <c r="J2957" t="s">
        <v>58646</v>
      </c>
      <c r="K2957" t="s">
        <v>58647</v>
      </c>
      <c r="L2957" t="s">
        <v>58648</v>
      </c>
      <c r="M2957" t="s">
        <v>58649</v>
      </c>
      <c r="N2957" t="s">
        <v>58650</v>
      </c>
      <c r="O2957">
        <f>-615.810660280246 -104.848213221149 -719.936452593859</f>
        <v>-1440.595326095254</v>
      </c>
      <c r="P2957">
        <f>-610.681401558895 -71.3458169599154 -405.234173130006</f>
        <v>-1087.2613916488165</v>
      </c>
      <c r="Q2957">
        <f>-353.557377515523 -32.6098887261511 -410.602475324232</f>
        <v>-796.76974156590609</v>
      </c>
      <c r="R2957" t="s">
        <v>58651</v>
      </c>
      <c r="S2957" t="s">
        <v>58652</v>
      </c>
      <c r="T2957" t="s">
        <v>58653</v>
      </c>
      <c r="U2957" t="s">
        <v>58654</v>
      </c>
      <c r="V2957" t="s">
        <v>58655</v>
      </c>
      <c r="W2957" t="s">
        <v>58656</v>
      </c>
      <c r="X2957" t="s">
        <v>58657</v>
      </c>
      <c r="Y2957" t="s">
        <v>58658</v>
      </c>
    </row>
    <row r="2958" spans="1:25" x14ac:dyDescent="0.3">
      <c r="A2958">
        <v>147850</v>
      </c>
      <c r="B2958" t="s">
        <v>58659</v>
      </c>
      <c r="C2958" t="s">
        <v>58660</v>
      </c>
      <c r="D2958" t="s">
        <v>58661</v>
      </c>
      <c r="E2958" t="s">
        <v>58662</v>
      </c>
      <c r="F2958" t="s">
        <v>58663</v>
      </c>
      <c r="G2958" t="s">
        <v>58664</v>
      </c>
      <c r="H2958" t="s">
        <v>58665</v>
      </c>
      <c r="I2958" t="s">
        <v>58666</v>
      </c>
      <c r="J2958" t="s">
        <v>58667</v>
      </c>
      <c r="K2958" t="s">
        <v>58668</v>
      </c>
      <c r="L2958" t="s">
        <v>58669</v>
      </c>
      <c r="M2958" t="s">
        <v>58670</v>
      </c>
      <c r="N2958" t="s">
        <v>58671</v>
      </c>
      <c r="O2958">
        <f>-616.377079190563 -102.796513204913 -722.222089049719</f>
        <v>-1441.3956814451949</v>
      </c>
      <c r="P2958">
        <f>-613.138218397571 -72.3629731819185 -407.183102629548</f>
        <v>-1092.6842942090375</v>
      </c>
      <c r="Q2958">
        <f>-356.714451281248 -28.9031602532301 -407.582246041537</f>
        <v>-793.19985757601512</v>
      </c>
      <c r="R2958" t="s">
        <v>58672</v>
      </c>
      <c r="S2958" t="s">
        <v>58673</v>
      </c>
      <c r="T2958" t="s">
        <v>58674</v>
      </c>
      <c r="U2958" t="s">
        <v>58675</v>
      </c>
      <c r="V2958" t="s">
        <v>58676</v>
      </c>
      <c r="W2958" t="s">
        <v>58677</v>
      </c>
      <c r="X2958" t="s">
        <v>58678</v>
      </c>
      <c r="Y2958" t="s">
        <v>58679</v>
      </c>
    </row>
    <row r="2959" spans="1:25" x14ac:dyDescent="0.3">
      <c r="A2959">
        <v>147900</v>
      </c>
      <c r="B2959" t="s">
        <v>58680</v>
      </c>
      <c r="C2959" t="s">
        <v>58681</v>
      </c>
      <c r="D2959" t="s">
        <v>58682</v>
      </c>
      <c r="E2959" t="s">
        <v>58683</v>
      </c>
      <c r="F2959" t="s">
        <v>58684</v>
      </c>
      <c r="G2959" t="s">
        <v>58685</v>
      </c>
      <c r="H2959" t="s">
        <v>58686</v>
      </c>
      <c r="I2959" t="s">
        <v>58687</v>
      </c>
      <c r="J2959" t="s">
        <v>58688</v>
      </c>
      <c r="K2959" t="s">
        <v>58689</v>
      </c>
      <c r="L2959" t="s">
        <v>58690</v>
      </c>
      <c r="M2959" t="s">
        <v>58691</v>
      </c>
      <c r="N2959" t="s">
        <v>58692</v>
      </c>
      <c r="O2959">
        <f>-616.488247203777 -101.929729066642 -723.056023543153</f>
        <v>-1441.4739998135719</v>
      </c>
      <c r="P2959">
        <f>-613.801892306436 -73.1319953511006 -407.85834209361</f>
        <v>-1094.7922297511466</v>
      </c>
      <c r="Q2959">
        <f>-357.580173062302 -28.5351457198155 -405.960039897937</f>
        <v>-792.07535868005448</v>
      </c>
      <c r="R2959" t="s">
        <v>58693</v>
      </c>
      <c r="S2959" t="s">
        <v>58694</v>
      </c>
      <c r="T2959" t="s">
        <v>58695</v>
      </c>
      <c r="U2959" t="s">
        <v>58696</v>
      </c>
      <c r="V2959" t="s">
        <v>58697</v>
      </c>
      <c r="W2959" t="s">
        <v>58698</v>
      </c>
      <c r="X2959" t="s">
        <v>58699</v>
      </c>
      <c r="Y2959" t="s">
        <v>58700</v>
      </c>
    </row>
    <row r="2960" spans="1:25" x14ac:dyDescent="0.3">
      <c r="A2960">
        <v>147950</v>
      </c>
      <c r="B2960" t="s">
        <v>58701</v>
      </c>
      <c r="C2960" t="s">
        <v>58702</v>
      </c>
      <c r="D2960" t="s">
        <v>58703</v>
      </c>
      <c r="E2960" t="s">
        <v>58704</v>
      </c>
      <c r="F2960" t="s">
        <v>58705</v>
      </c>
      <c r="G2960" t="s">
        <v>58706</v>
      </c>
      <c r="H2960" t="s">
        <v>58707</v>
      </c>
      <c r="I2960" t="s">
        <v>58708</v>
      </c>
      <c r="J2960" t="s">
        <v>58709</v>
      </c>
      <c r="K2960" t="s">
        <v>58710</v>
      </c>
      <c r="L2960" t="s">
        <v>58711</v>
      </c>
      <c r="M2960" t="s">
        <v>58712</v>
      </c>
      <c r="N2960" t="s">
        <v>58713</v>
      </c>
      <c r="O2960">
        <f>-616.137945459987 -100.67183892494 -724.464224097597</f>
        <v>-1441.2740084825241</v>
      </c>
      <c r="P2960">
        <f>-614.425723048221 -74.2831857519013 -409.048701748471</f>
        <v>-1097.7576105485932</v>
      </c>
      <c r="Q2960">
        <f>-358.381287830898 -29.0111053806424 -403.23830693609</f>
        <v>-790.63070014763036</v>
      </c>
      <c r="R2960" t="s">
        <v>58714</v>
      </c>
      <c r="S2960" t="s">
        <v>58715</v>
      </c>
      <c r="T2960" t="s">
        <v>58716</v>
      </c>
      <c r="U2960" t="s">
        <v>58717</v>
      </c>
      <c r="V2960" t="s">
        <v>58718</v>
      </c>
      <c r="W2960" t="s">
        <v>58719</v>
      </c>
      <c r="X2960" t="s">
        <v>58720</v>
      </c>
      <c r="Y2960" t="s">
        <v>58721</v>
      </c>
    </row>
    <row r="2961" spans="1:25" x14ac:dyDescent="0.3">
      <c r="A2961">
        <v>148000</v>
      </c>
      <c r="B2961" t="s">
        <v>58722</v>
      </c>
      <c r="C2961" t="s">
        <v>58723</v>
      </c>
      <c r="D2961" t="s">
        <v>58724</v>
      </c>
      <c r="E2961" t="s">
        <v>58725</v>
      </c>
      <c r="F2961" t="s">
        <v>58726</v>
      </c>
      <c r="G2961" t="s">
        <v>58727</v>
      </c>
      <c r="H2961" t="s">
        <v>58728</v>
      </c>
      <c r="I2961" t="s">
        <v>58729</v>
      </c>
      <c r="J2961" t="s">
        <v>58730</v>
      </c>
      <c r="K2961" t="s">
        <v>58731</v>
      </c>
      <c r="L2961" t="s">
        <v>58732</v>
      </c>
      <c r="M2961" t="s">
        <v>58733</v>
      </c>
      <c r="N2961" t="s">
        <v>58734</v>
      </c>
      <c r="O2961">
        <f>-615.564708501741 -100.368826649928 -725.159249468179</f>
        <v>-1441.0927846198481</v>
      </c>
      <c r="P2961">
        <f>-614.334987198142 -74.8221528263883 -409.672224217765</f>
        <v>-1098.8293642422955</v>
      </c>
      <c r="Q2961">
        <f>-358.304318335396 -29.6871192736328 -402.380099461148</f>
        <v>-790.37153707017683</v>
      </c>
      <c r="R2961" t="s">
        <v>58735</v>
      </c>
      <c r="S2961" t="s">
        <v>58736</v>
      </c>
      <c r="T2961" t="s">
        <v>58737</v>
      </c>
      <c r="U2961" t="s">
        <v>58738</v>
      </c>
      <c r="V2961" t="s">
        <v>58739</v>
      </c>
      <c r="W2961" t="s">
        <v>58740</v>
      </c>
      <c r="X2961" t="s">
        <v>58741</v>
      </c>
      <c r="Y2961" t="s">
        <v>58742</v>
      </c>
    </row>
    <row r="2962" spans="1:25" x14ac:dyDescent="0.3">
      <c r="A2962">
        <v>148050</v>
      </c>
      <c r="B2962" t="s">
        <v>58743</v>
      </c>
      <c r="C2962" t="s">
        <v>58744</v>
      </c>
      <c r="D2962" t="s">
        <v>58745</v>
      </c>
      <c r="E2962" t="s">
        <v>58746</v>
      </c>
      <c r="F2962" t="s">
        <v>58747</v>
      </c>
      <c r="G2962" t="s">
        <v>58748</v>
      </c>
      <c r="H2962" t="s">
        <v>58749</v>
      </c>
      <c r="I2962" t="s">
        <v>58750</v>
      </c>
      <c r="J2962" t="s">
        <v>58751</v>
      </c>
      <c r="K2962" t="s">
        <v>58752</v>
      </c>
      <c r="L2962" t="s">
        <v>58753</v>
      </c>
      <c r="M2962" t="s">
        <v>58754</v>
      </c>
      <c r="N2962" t="s">
        <v>58755</v>
      </c>
      <c r="O2962">
        <f>-614.125677630197 -100.264638303858 -726.382205199889</f>
        <v>-1440.7725211339439</v>
      </c>
      <c r="P2962">
        <f>-614.544913165628 -75.5713087703868 -410.825159794013</f>
        <v>-1100.9413817300278</v>
      </c>
      <c r="Q2962">
        <f>-358.637216749562 -30.4275760165844 -400.084541390396</f>
        <v>-789.14933415654241</v>
      </c>
      <c r="R2962" t="s">
        <v>58756</v>
      </c>
      <c r="S2962" t="s">
        <v>58757</v>
      </c>
      <c r="T2962" t="s">
        <v>58758</v>
      </c>
      <c r="U2962" t="s">
        <v>58759</v>
      </c>
      <c r="V2962" t="s">
        <v>58760</v>
      </c>
      <c r="W2962" t="s">
        <v>58761</v>
      </c>
      <c r="X2962" t="s">
        <v>58762</v>
      </c>
      <c r="Y2962" t="s">
        <v>58763</v>
      </c>
    </row>
    <row r="2963" spans="1:25" x14ac:dyDescent="0.3">
      <c r="A2963">
        <v>148100</v>
      </c>
      <c r="B2963" t="s">
        <v>58764</v>
      </c>
      <c r="C2963" t="s">
        <v>58765</v>
      </c>
      <c r="D2963" t="s">
        <v>58766</v>
      </c>
      <c r="E2963" t="s">
        <v>58767</v>
      </c>
      <c r="F2963" t="s">
        <v>58768</v>
      </c>
      <c r="G2963" t="s">
        <v>58769</v>
      </c>
      <c r="H2963" t="s">
        <v>58770</v>
      </c>
      <c r="I2963" t="s">
        <v>58771</v>
      </c>
      <c r="J2963" t="s">
        <v>58772</v>
      </c>
      <c r="K2963" t="s">
        <v>58773</v>
      </c>
      <c r="L2963" t="s">
        <v>58774</v>
      </c>
      <c r="M2963" t="s">
        <v>58775</v>
      </c>
      <c r="N2963" t="s">
        <v>58776</v>
      </c>
      <c r="O2963">
        <f>-613.709555479913 -100.163920122404 -726.702824472109</f>
        <v>-1440.5763000744259</v>
      </c>
      <c r="P2963">
        <f>-614.802006100118 -75.1951634400183 -411.169054467103</f>
        <v>-1101.1662240072392</v>
      </c>
      <c r="Q2963">
        <f>-358.943185571584 -30.1645100684518 -398.900490830861</f>
        <v>-788.00818647089682</v>
      </c>
      <c r="R2963" t="s">
        <v>58777</v>
      </c>
      <c r="S2963" t="s">
        <v>58778</v>
      </c>
      <c r="T2963" t="s">
        <v>58779</v>
      </c>
      <c r="U2963" t="s">
        <v>58780</v>
      </c>
      <c r="V2963" t="s">
        <v>58781</v>
      </c>
      <c r="W2963" t="s">
        <v>58782</v>
      </c>
      <c r="X2963" t="s">
        <v>58783</v>
      </c>
      <c r="Y2963" t="s">
        <v>58784</v>
      </c>
    </row>
    <row r="2964" spans="1:25" x14ac:dyDescent="0.3">
      <c r="A2964">
        <v>148150</v>
      </c>
      <c r="B2964" t="s">
        <v>58785</v>
      </c>
      <c r="C2964" t="s">
        <v>58786</v>
      </c>
      <c r="D2964" t="s">
        <v>58787</v>
      </c>
      <c r="E2964" t="s">
        <v>58788</v>
      </c>
      <c r="F2964" t="s">
        <v>58789</v>
      </c>
      <c r="G2964" t="s">
        <v>58790</v>
      </c>
      <c r="H2964" t="s">
        <v>58791</v>
      </c>
      <c r="I2964" t="s">
        <v>58792</v>
      </c>
      <c r="J2964" t="s">
        <v>58793</v>
      </c>
      <c r="K2964" t="s">
        <v>58794</v>
      </c>
      <c r="L2964" t="s">
        <v>58795</v>
      </c>
      <c r="M2964" t="s">
        <v>58796</v>
      </c>
      <c r="N2964" t="s">
        <v>58797</v>
      </c>
      <c r="O2964">
        <f>-611.793059159587 -100.441600813203 -727.523346157267</f>
        <v>-1439.7580061300569</v>
      </c>
      <c r="P2964">
        <f>-614.521640563758 -75.2332162424332 -412.018650735609</f>
        <v>-1101.7735075418002</v>
      </c>
      <c r="Q2964">
        <f>-358.776285799941 -30.3566572149481 -397.102758783751</f>
        <v>-786.23570179864009</v>
      </c>
      <c r="R2964" t="s">
        <v>58798</v>
      </c>
      <c r="S2964" t="s">
        <v>58799</v>
      </c>
      <c r="T2964" t="s">
        <v>58800</v>
      </c>
      <c r="U2964" t="s">
        <v>58801</v>
      </c>
      <c r="V2964" t="s">
        <v>58802</v>
      </c>
      <c r="W2964" t="s">
        <v>58803</v>
      </c>
      <c r="X2964" t="s">
        <v>58804</v>
      </c>
      <c r="Y2964" t="s">
        <v>58805</v>
      </c>
    </row>
    <row r="2965" spans="1:25" x14ac:dyDescent="0.3">
      <c r="A2965">
        <v>148200</v>
      </c>
      <c r="B2965" t="s">
        <v>58806</v>
      </c>
      <c r="C2965" t="s">
        <v>58807</v>
      </c>
      <c r="D2965" t="s">
        <v>58808</v>
      </c>
      <c r="E2965" t="s">
        <v>58809</v>
      </c>
      <c r="F2965" t="s">
        <v>58810</v>
      </c>
      <c r="G2965" t="s">
        <v>58811</v>
      </c>
      <c r="H2965" t="s">
        <v>58812</v>
      </c>
      <c r="I2965" t="s">
        <v>58813</v>
      </c>
      <c r="J2965" t="s">
        <v>58814</v>
      </c>
      <c r="K2965" t="s">
        <v>58815</v>
      </c>
      <c r="L2965" t="s">
        <v>58816</v>
      </c>
      <c r="M2965" t="s">
        <v>58817</v>
      </c>
      <c r="N2965" t="s">
        <v>58818</v>
      </c>
      <c r="O2965">
        <f>-611.105389779006 -100.843155575262 -727.768616763719</f>
        <v>-1439.7171621179871</v>
      </c>
      <c r="P2965">
        <f>-614.818371513315 -75.4693699058764 -412.287077108077</f>
        <v>-1102.5748185272685</v>
      </c>
      <c r="Q2965">
        <f>-359.183194792935 -30.2941776132887 -396.415747823773</f>
        <v>-785.89312022999673</v>
      </c>
      <c r="R2965" t="s">
        <v>58819</v>
      </c>
      <c r="S2965" t="s">
        <v>58820</v>
      </c>
      <c r="T2965" t="s">
        <v>58821</v>
      </c>
      <c r="U2965" t="s">
        <v>58822</v>
      </c>
      <c r="V2965" t="s">
        <v>58823</v>
      </c>
      <c r="W2965" t="s">
        <v>58824</v>
      </c>
      <c r="X2965" t="s">
        <v>58825</v>
      </c>
      <c r="Y2965" t="s">
        <v>58826</v>
      </c>
    </row>
    <row r="2966" spans="1:25" x14ac:dyDescent="0.3">
      <c r="A2966">
        <v>148250</v>
      </c>
      <c r="B2966" t="s">
        <v>58827</v>
      </c>
      <c r="C2966" t="s">
        <v>58828</v>
      </c>
      <c r="D2966" t="s">
        <v>58829</v>
      </c>
      <c r="E2966" t="s">
        <v>58830</v>
      </c>
      <c r="F2966" t="s">
        <v>58831</v>
      </c>
      <c r="G2966" t="s">
        <v>58832</v>
      </c>
      <c r="H2966" t="s">
        <v>58833</v>
      </c>
      <c r="I2966" t="s">
        <v>58834</v>
      </c>
      <c r="J2966" t="s">
        <v>58835</v>
      </c>
      <c r="K2966" t="s">
        <v>58836</v>
      </c>
      <c r="L2966" t="s">
        <v>58837</v>
      </c>
      <c r="M2966" t="s">
        <v>58838</v>
      </c>
      <c r="N2966" t="s">
        <v>58839</v>
      </c>
      <c r="O2966">
        <f>-609.503528815428 -101.417821029043 -728.155356134931</f>
        <v>-1439.076705979402</v>
      </c>
      <c r="P2966">
        <f>-614.882827501598 -75.9799780841777 -412.703048369287</f>
        <v>-1103.5658539550627</v>
      </c>
      <c r="Q2966">
        <f>-359.437067068533 -30.1224701293501 -395.772794281447</f>
        <v>-785.33233147933015</v>
      </c>
      <c r="R2966" t="s">
        <v>58840</v>
      </c>
      <c r="S2966" t="s">
        <v>58841</v>
      </c>
      <c r="T2966" t="s">
        <v>58842</v>
      </c>
      <c r="U2966" t="s">
        <v>58843</v>
      </c>
      <c r="V2966" t="s">
        <v>58844</v>
      </c>
      <c r="W2966" t="s">
        <v>58845</v>
      </c>
      <c r="X2966" t="s">
        <v>58846</v>
      </c>
      <c r="Y2966" t="s">
        <v>58847</v>
      </c>
    </row>
    <row r="2967" spans="1:25" x14ac:dyDescent="0.3">
      <c r="A2967">
        <v>148300</v>
      </c>
      <c r="B2967" t="s">
        <v>58848</v>
      </c>
      <c r="C2967" t="s">
        <v>58849</v>
      </c>
      <c r="D2967" t="s">
        <v>58850</v>
      </c>
      <c r="E2967" t="s">
        <v>58851</v>
      </c>
      <c r="F2967" t="s">
        <v>58852</v>
      </c>
      <c r="G2967" t="s">
        <v>58853</v>
      </c>
      <c r="H2967" t="s">
        <v>58854</v>
      </c>
      <c r="I2967" t="s">
        <v>58855</v>
      </c>
      <c r="J2967" t="s">
        <v>58856</v>
      </c>
      <c r="K2967" t="s">
        <v>58857</v>
      </c>
      <c r="L2967" t="s">
        <v>58858</v>
      </c>
      <c r="M2967" t="s">
        <v>58859</v>
      </c>
      <c r="N2967" t="s">
        <v>58860</v>
      </c>
      <c r="O2967">
        <f>-608.788323061929 -101.752345183725 -728.209445977423</f>
        <v>-1438.7501142230769</v>
      </c>
      <c r="P2967">
        <f>-615.034020665806 -75.9841677068771 -412.799806476348</f>
        <v>-1103.817994849031</v>
      </c>
      <c r="Q2967">
        <f>-359.802983362465 -29.3067172652261 -394.900340423061</f>
        <v>-784.01004105075208</v>
      </c>
      <c r="R2967" t="s">
        <v>58861</v>
      </c>
      <c r="S2967" t="s">
        <v>58862</v>
      </c>
      <c r="T2967" t="s">
        <v>58863</v>
      </c>
      <c r="U2967" t="s">
        <v>58864</v>
      </c>
      <c r="V2967" t="s">
        <v>58865</v>
      </c>
      <c r="W2967" t="s">
        <v>58866</v>
      </c>
      <c r="X2967" t="s">
        <v>58867</v>
      </c>
      <c r="Y2967" t="s">
        <v>58868</v>
      </c>
    </row>
    <row r="2968" spans="1:25" x14ac:dyDescent="0.3">
      <c r="A2968">
        <v>148350</v>
      </c>
      <c r="B2968" t="s">
        <v>58869</v>
      </c>
      <c r="C2968" t="s">
        <v>58870</v>
      </c>
      <c r="D2968" t="s">
        <v>58871</v>
      </c>
      <c r="E2968" t="s">
        <v>58872</v>
      </c>
      <c r="F2968" t="s">
        <v>58873</v>
      </c>
      <c r="G2968" t="s">
        <v>58874</v>
      </c>
      <c r="H2968" t="s">
        <v>58875</v>
      </c>
      <c r="I2968" t="s">
        <v>58876</v>
      </c>
      <c r="J2968" t="s">
        <v>58877</v>
      </c>
      <c r="K2968" t="s">
        <v>58878</v>
      </c>
      <c r="L2968" t="s">
        <v>58879</v>
      </c>
      <c r="M2968" t="s">
        <v>58880</v>
      </c>
      <c r="N2968" t="s">
        <v>58881</v>
      </c>
      <c r="O2968">
        <f>-607.695195157779 -102.25174572482 -728.419455932076</f>
        <v>-1438.366396814675</v>
      </c>
      <c r="P2968">
        <f>-615.617716095274 -76.7421830452279 -413.026649905447</f>
        <v>-1105.3865490459489</v>
      </c>
      <c r="Q2968">
        <f>-360.589317452413 -29.7218954039063 -393.236130777868</f>
        <v>-783.54734363418731</v>
      </c>
      <c r="R2968" t="s">
        <v>58882</v>
      </c>
      <c r="S2968" t="s">
        <v>58883</v>
      </c>
      <c r="T2968" t="s">
        <v>58884</v>
      </c>
      <c r="U2968" t="s">
        <v>58885</v>
      </c>
      <c r="V2968" t="s">
        <v>58886</v>
      </c>
      <c r="W2968" t="s">
        <v>58887</v>
      </c>
      <c r="X2968" t="s">
        <v>58888</v>
      </c>
      <c r="Y2968" t="s">
        <v>58889</v>
      </c>
    </row>
    <row r="2969" spans="1:25" x14ac:dyDescent="0.3">
      <c r="A2969">
        <v>148400</v>
      </c>
      <c r="B2969" t="s">
        <v>58890</v>
      </c>
      <c r="C2969" t="s">
        <v>58891</v>
      </c>
      <c r="D2969" t="s">
        <v>58892</v>
      </c>
      <c r="E2969" t="s">
        <v>58893</v>
      </c>
      <c r="F2969" t="s">
        <v>58894</v>
      </c>
      <c r="G2969" t="s">
        <v>58895</v>
      </c>
      <c r="H2969" t="s">
        <v>58896</v>
      </c>
      <c r="I2969" t="s">
        <v>58897</v>
      </c>
      <c r="J2969" t="s">
        <v>58898</v>
      </c>
      <c r="K2969" t="s">
        <v>58899</v>
      </c>
      <c r="L2969" t="s">
        <v>58900</v>
      </c>
      <c r="M2969" t="s">
        <v>58901</v>
      </c>
      <c r="N2969" t="s">
        <v>58902</v>
      </c>
      <c r="O2969">
        <f>-607.224254861244 -102.760062014562 -728.305231269366</f>
        <v>-1438.2895481451719</v>
      </c>
      <c r="P2969">
        <f>-615.971362491819 -76.9774571566578 -412.956255527749</f>
        <v>-1105.9050751762259</v>
      </c>
      <c r="Q2969">
        <f>-361.206921047168 -29.0425721506074 -391.994660628372</f>
        <v>-782.24415382614734</v>
      </c>
      <c r="R2969" t="s">
        <v>58903</v>
      </c>
      <c r="S2969" t="s">
        <v>58904</v>
      </c>
      <c r="T2969" t="s">
        <v>58905</v>
      </c>
      <c r="U2969" t="s">
        <v>58906</v>
      </c>
      <c r="V2969" t="s">
        <v>58907</v>
      </c>
      <c r="W2969" t="s">
        <v>58908</v>
      </c>
      <c r="X2969" t="s">
        <v>58909</v>
      </c>
      <c r="Y2969" t="s">
        <v>58910</v>
      </c>
    </row>
    <row r="2970" spans="1:25" x14ac:dyDescent="0.3">
      <c r="A2970">
        <v>148450</v>
      </c>
      <c r="B2970" t="s">
        <v>58911</v>
      </c>
      <c r="C2970" t="s">
        <v>58912</v>
      </c>
      <c r="D2970" t="s">
        <v>58913</v>
      </c>
      <c r="E2970" t="s">
        <v>58914</v>
      </c>
      <c r="F2970" t="s">
        <v>58915</v>
      </c>
      <c r="G2970" t="s">
        <v>58916</v>
      </c>
      <c r="H2970" t="s">
        <v>58917</v>
      </c>
      <c r="I2970" t="s">
        <v>58918</v>
      </c>
      <c r="J2970" t="s">
        <v>58919</v>
      </c>
      <c r="K2970" t="s">
        <v>58920</v>
      </c>
      <c r="L2970" t="s">
        <v>58921</v>
      </c>
      <c r="M2970" t="s">
        <v>58922</v>
      </c>
      <c r="N2970" t="s">
        <v>58923</v>
      </c>
      <c r="O2970">
        <f>-606.313379950003 -104.259259035538 -728.162273898938</f>
        <v>-1438.7349128844789</v>
      </c>
      <c r="P2970">
        <f>-616.928120609587 -77.5273030097655 -412.949720860039</f>
        <v>-1107.4051444793915</v>
      </c>
      <c r="Q2970">
        <f>-362.719652755385 -27.6489140262211 -389.879073434068</f>
        <v>-780.24764021567421</v>
      </c>
      <c r="R2970" t="s">
        <v>58924</v>
      </c>
      <c r="S2970" t="s">
        <v>58925</v>
      </c>
      <c r="T2970" t="s">
        <v>58926</v>
      </c>
      <c r="U2970" t="s">
        <v>58927</v>
      </c>
      <c r="V2970" t="s">
        <v>58928</v>
      </c>
      <c r="W2970" t="s">
        <v>58929</v>
      </c>
      <c r="X2970" t="s">
        <v>58930</v>
      </c>
      <c r="Y2970" t="s">
        <v>58931</v>
      </c>
    </row>
    <row r="2971" spans="1:25" x14ac:dyDescent="0.3">
      <c r="A2971">
        <v>148500</v>
      </c>
      <c r="B2971" t="s">
        <v>58932</v>
      </c>
      <c r="C2971" t="s">
        <v>58933</v>
      </c>
      <c r="D2971" t="s">
        <v>58934</v>
      </c>
      <c r="E2971" t="s">
        <v>58935</v>
      </c>
      <c r="F2971" t="s">
        <v>58936</v>
      </c>
      <c r="G2971" t="s">
        <v>58937</v>
      </c>
      <c r="H2971" t="s">
        <v>58938</v>
      </c>
      <c r="I2971" t="s">
        <v>58939</v>
      </c>
      <c r="J2971" t="s">
        <v>58940</v>
      </c>
      <c r="K2971" t="s">
        <v>58941</v>
      </c>
      <c r="L2971" t="s">
        <v>58942</v>
      </c>
      <c r="M2971" t="s">
        <v>58943</v>
      </c>
      <c r="N2971" t="s">
        <v>58944</v>
      </c>
      <c r="O2971">
        <f>-605.831550626606 -104.853812496653 -728.007837421151</f>
        <v>-1438.69320054441</v>
      </c>
      <c r="P2971">
        <f>-617.673909668228 -78.021742230263 -412.847567862526</f>
        <v>-1108.5432197610171</v>
      </c>
      <c r="Q2971">
        <f>-363.702274951418 -26.9916145807739 -389.687653606473</f>
        <v>-780.38154313866494</v>
      </c>
      <c r="R2971" t="s">
        <v>58945</v>
      </c>
      <c r="S2971" t="s">
        <v>58946</v>
      </c>
      <c r="T2971" t="s">
        <v>58947</v>
      </c>
      <c r="U2971" t="s">
        <v>58948</v>
      </c>
      <c r="V2971" t="s">
        <v>58949</v>
      </c>
      <c r="W2971" t="s">
        <v>58950</v>
      </c>
      <c r="X2971" t="s">
        <v>58951</v>
      </c>
      <c r="Y2971" t="s">
        <v>58952</v>
      </c>
    </row>
    <row r="2972" spans="1:25" x14ac:dyDescent="0.3">
      <c r="A2972">
        <v>148550</v>
      </c>
      <c r="B2972" t="s">
        <v>58953</v>
      </c>
      <c r="C2972" t="s">
        <v>58954</v>
      </c>
      <c r="D2972" t="s">
        <v>58955</v>
      </c>
      <c r="E2972" t="s">
        <v>58956</v>
      </c>
      <c r="F2972" t="s">
        <v>58957</v>
      </c>
      <c r="G2972" t="s">
        <v>58958</v>
      </c>
      <c r="H2972" t="s">
        <v>58959</v>
      </c>
      <c r="I2972" t="s">
        <v>58960</v>
      </c>
      <c r="J2972" t="s">
        <v>58961</v>
      </c>
      <c r="K2972" t="s">
        <v>58962</v>
      </c>
      <c r="L2972" t="s">
        <v>58963</v>
      </c>
      <c r="M2972" t="s">
        <v>58964</v>
      </c>
      <c r="N2972" t="s">
        <v>58965</v>
      </c>
      <c r="O2972">
        <f>-605.706346087493 -104.982991177517 -728.024942392144</f>
        <v>-1438.7142796571538</v>
      </c>
      <c r="P2972">
        <f>-618.816161659685 -78.1331009058908 -412.916243271812</f>
        <v>-1109.8655058373879</v>
      </c>
      <c r="Q2972">
        <f>-364.969970611613 -26.4400958118879 -389.851211191918</f>
        <v>-781.26127761541898</v>
      </c>
      <c r="R2972" t="s">
        <v>58966</v>
      </c>
      <c r="S2972" t="s">
        <v>58967</v>
      </c>
      <c r="T2972" t="s">
        <v>58968</v>
      </c>
      <c r="U2972" t="s">
        <v>58969</v>
      </c>
      <c r="V2972" t="s">
        <v>58970</v>
      </c>
      <c r="W2972" t="s">
        <v>58971</v>
      </c>
      <c r="X2972" t="s">
        <v>58972</v>
      </c>
      <c r="Y2972" t="s">
        <v>58973</v>
      </c>
    </row>
    <row r="2973" spans="1:25" x14ac:dyDescent="0.3">
      <c r="A2973">
        <v>148600</v>
      </c>
      <c r="B2973" t="s">
        <v>58974</v>
      </c>
      <c r="C2973" t="s">
        <v>58975</v>
      </c>
      <c r="D2973" t="s">
        <v>58976</v>
      </c>
      <c r="E2973" t="s">
        <v>58977</v>
      </c>
      <c r="F2973" t="s">
        <v>58978</v>
      </c>
      <c r="G2973" t="s">
        <v>58979</v>
      </c>
      <c r="H2973" t="s">
        <v>58980</v>
      </c>
      <c r="I2973" t="s">
        <v>58981</v>
      </c>
      <c r="J2973" t="s">
        <v>58982</v>
      </c>
      <c r="K2973" t="s">
        <v>58983</v>
      </c>
      <c r="L2973" t="s">
        <v>58984</v>
      </c>
      <c r="M2973" t="s">
        <v>58985</v>
      </c>
      <c r="N2973" t="s">
        <v>58986</v>
      </c>
      <c r="O2973">
        <f>-605.685655433888 -104.75654221832 -728.130648956891</f>
        <v>-1438.5728466090991</v>
      </c>
      <c r="P2973">
        <f>-618.633676255119 -78.4170120524802 -412.972380924457</f>
        <v>-1110.0230692320563</v>
      </c>
      <c r="Q2973">
        <f>-364.713187947749 -27.0516052391775 -389.992850360459</f>
        <v>-781.75764354738544</v>
      </c>
      <c r="R2973" t="s">
        <v>58987</v>
      </c>
      <c r="S2973" t="s">
        <v>58988</v>
      </c>
      <c r="T2973" t="s">
        <v>58989</v>
      </c>
      <c r="U2973" t="s">
        <v>58990</v>
      </c>
      <c r="V2973" t="s">
        <v>58991</v>
      </c>
      <c r="W2973" t="s">
        <v>58992</v>
      </c>
      <c r="X2973" t="s">
        <v>58993</v>
      </c>
      <c r="Y2973" t="s">
        <v>58994</v>
      </c>
    </row>
    <row r="2974" spans="1:25" x14ac:dyDescent="0.3">
      <c r="A2974">
        <v>148650</v>
      </c>
      <c r="B2974" t="s">
        <v>58995</v>
      </c>
      <c r="C2974" t="s">
        <v>58996</v>
      </c>
      <c r="D2974" t="s">
        <v>58997</v>
      </c>
      <c r="E2974" t="s">
        <v>58998</v>
      </c>
      <c r="F2974" t="s">
        <v>58999</v>
      </c>
      <c r="G2974" t="s">
        <v>59000</v>
      </c>
      <c r="H2974" t="s">
        <v>59001</v>
      </c>
      <c r="I2974" t="s">
        <v>59002</v>
      </c>
      <c r="J2974" t="s">
        <v>59003</v>
      </c>
      <c r="K2974" t="s">
        <v>59004</v>
      </c>
      <c r="L2974" t="s">
        <v>59005</v>
      </c>
      <c r="M2974" t="s">
        <v>59006</v>
      </c>
      <c r="N2974" t="s">
        <v>59007</v>
      </c>
      <c r="O2974">
        <f>-606.259332471013 -103.628283305925 -728.230148961139</f>
        <v>-1438.1177647380769</v>
      </c>
      <c r="P2974">
        <f>-618.213107132469 -76.968370920282 -413.059584250101</f>
        <v>-1108.241062302852</v>
      </c>
      <c r="Q2974">
        <f>-363.583206826137 -29.1778760128246 -390.217581370651</f>
        <v>-782.97866420961259</v>
      </c>
      <c r="R2974" t="s">
        <v>59008</v>
      </c>
      <c r="S2974" t="s">
        <v>59009</v>
      </c>
      <c r="T2974" t="s">
        <v>59010</v>
      </c>
      <c r="U2974" t="s">
        <v>59011</v>
      </c>
      <c r="V2974" t="s">
        <v>59012</v>
      </c>
      <c r="W2974" t="s">
        <v>59013</v>
      </c>
      <c r="X2974" t="s">
        <v>59014</v>
      </c>
      <c r="Y2974" t="s">
        <v>59015</v>
      </c>
    </row>
    <row r="2975" spans="1:25" x14ac:dyDescent="0.3">
      <c r="A2975">
        <v>148700</v>
      </c>
      <c r="B2975" t="s">
        <v>59016</v>
      </c>
      <c r="C2975" t="s">
        <v>59017</v>
      </c>
      <c r="D2975" t="s">
        <v>59018</v>
      </c>
      <c r="E2975" t="s">
        <v>59019</v>
      </c>
      <c r="F2975" t="s">
        <v>59020</v>
      </c>
      <c r="G2975" t="s">
        <v>59021</v>
      </c>
      <c r="H2975" t="s">
        <v>59022</v>
      </c>
      <c r="I2975" t="s">
        <v>59023</v>
      </c>
      <c r="J2975" t="s">
        <v>59024</v>
      </c>
      <c r="K2975" t="s">
        <v>59025</v>
      </c>
      <c r="L2975" t="s">
        <v>59026</v>
      </c>
      <c r="M2975" t="s">
        <v>59027</v>
      </c>
      <c r="N2975" t="s">
        <v>59028</v>
      </c>
      <c r="O2975">
        <f>-606.498695048191 -103.163350687215 -728.249873889118</f>
        <v>-1437.9119196245242</v>
      </c>
      <c r="P2975">
        <f>-618.454462353309 -76.0370742725113 -413.119092734982</f>
        <v>-1107.6106293608022</v>
      </c>
      <c r="Q2975">
        <f>-363.656830549134 -29.1674085793942 -390.240311446022</f>
        <v>-783.06455057455014</v>
      </c>
      <c r="R2975" t="s">
        <v>59029</v>
      </c>
      <c r="S2975" t="s">
        <v>59030</v>
      </c>
      <c r="T2975" t="s">
        <v>59031</v>
      </c>
      <c r="U2975" t="s">
        <v>59032</v>
      </c>
      <c r="V2975" t="s">
        <v>59033</v>
      </c>
      <c r="W2975" t="s">
        <v>59034</v>
      </c>
      <c r="X2975" t="s">
        <v>59035</v>
      </c>
      <c r="Y2975" t="s">
        <v>59036</v>
      </c>
    </row>
    <row r="2976" spans="1:25" x14ac:dyDescent="0.3">
      <c r="A2976">
        <v>148750</v>
      </c>
      <c r="B2976" t="s">
        <v>59037</v>
      </c>
      <c r="C2976" t="s">
        <v>59038</v>
      </c>
      <c r="D2976" t="s">
        <v>59039</v>
      </c>
      <c r="E2976" t="s">
        <v>59040</v>
      </c>
      <c r="F2976" t="s">
        <v>59041</v>
      </c>
      <c r="G2976" t="s">
        <v>59042</v>
      </c>
      <c r="H2976" t="s">
        <v>59043</v>
      </c>
      <c r="I2976" t="s">
        <v>59044</v>
      </c>
      <c r="J2976" t="s">
        <v>59045</v>
      </c>
      <c r="K2976" t="s">
        <v>59046</v>
      </c>
      <c r="L2976" t="s">
        <v>59047</v>
      </c>
      <c r="M2976" t="s">
        <v>59048</v>
      </c>
      <c r="N2976" t="s">
        <v>59049</v>
      </c>
      <c r="O2976">
        <f>-607.262151162554 -101.896268119219 -728.605644315325</f>
        <v>-1437.7640635970979</v>
      </c>
      <c r="P2976">
        <f>-618.209332348574 -75.3258022307872 -413.390728215158</f>
        <v>-1106.9258627945192</v>
      </c>
      <c r="Q2976">
        <f>-363.308043794717 -29.2198391807989 -390.117797147459</f>
        <v>-782.64568012297491</v>
      </c>
      <c r="R2976" t="s">
        <v>59050</v>
      </c>
      <c r="S2976" t="s">
        <v>59051</v>
      </c>
      <c r="T2976" t="s">
        <v>59052</v>
      </c>
      <c r="U2976" t="s">
        <v>59053</v>
      </c>
      <c r="V2976" t="s">
        <v>59054</v>
      </c>
      <c r="W2976" t="s">
        <v>59055</v>
      </c>
      <c r="X2976" t="s">
        <v>59056</v>
      </c>
      <c r="Y2976" t="s">
        <v>59057</v>
      </c>
    </row>
    <row r="2977" spans="1:25" x14ac:dyDescent="0.3">
      <c r="A2977">
        <v>148800</v>
      </c>
      <c r="B2977" t="s">
        <v>59058</v>
      </c>
      <c r="C2977" t="s">
        <v>59059</v>
      </c>
      <c r="D2977" t="s">
        <v>59060</v>
      </c>
      <c r="E2977" t="s">
        <v>59061</v>
      </c>
      <c r="F2977" t="s">
        <v>59062</v>
      </c>
      <c r="G2977" t="s">
        <v>59063</v>
      </c>
      <c r="H2977" t="s">
        <v>59064</v>
      </c>
      <c r="I2977" t="s">
        <v>59065</v>
      </c>
      <c r="J2977" t="s">
        <v>59066</v>
      </c>
      <c r="K2977" t="s">
        <v>59067</v>
      </c>
      <c r="L2977" t="s">
        <v>59068</v>
      </c>
      <c r="M2977" t="s">
        <v>59069</v>
      </c>
      <c r="N2977" t="s">
        <v>59070</v>
      </c>
      <c r="O2977">
        <f>-607.331113845844 -101.168122453851 -728.80269361362</f>
        <v>-1437.301929913315</v>
      </c>
      <c r="P2977">
        <f>-618.550836359153 -75.0822107741962 -413.557017257571</f>
        <v>-1107.1900643909203</v>
      </c>
      <c r="Q2977">
        <f>-363.579928896552 -29.3934773426077 -390.224039815644</f>
        <v>-783.19744605480378</v>
      </c>
      <c r="R2977" t="s">
        <v>59071</v>
      </c>
      <c r="S2977" t="s">
        <v>59072</v>
      </c>
      <c r="T2977" t="s">
        <v>59073</v>
      </c>
      <c r="U2977" t="s">
        <v>59074</v>
      </c>
      <c r="V2977" t="s">
        <v>59075</v>
      </c>
      <c r="W2977" t="s">
        <v>59076</v>
      </c>
      <c r="X2977" t="s">
        <v>59077</v>
      </c>
      <c r="Y2977" t="s">
        <v>59078</v>
      </c>
    </row>
    <row r="2978" spans="1:25" x14ac:dyDescent="0.3">
      <c r="A2978">
        <v>148850</v>
      </c>
      <c r="B2978" t="s">
        <v>59079</v>
      </c>
      <c r="C2978" t="s">
        <v>59080</v>
      </c>
      <c r="D2978" t="s">
        <v>59081</v>
      </c>
      <c r="E2978" t="s">
        <v>59082</v>
      </c>
      <c r="F2978" t="s">
        <v>59083</v>
      </c>
      <c r="G2978" t="s">
        <v>59084</v>
      </c>
      <c r="H2978" t="s">
        <v>59085</v>
      </c>
      <c r="I2978" t="s">
        <v>59086</v>
      </c>
      <c r="J2978" t="s">
        <v>59087</v>
      </c>
      <c r="K2978" t="s">
        <v>59088</v>
      </c>
      <c r="L2978" t="s">
        <v>59089</v>
      </c>
      <c r="M2978" t="s">
        <v>59090</v>
      </c>
      <c r="N2978" t="s">
        <v>59091</v>
      </c>
      <c r="O2978">
        <f>-608.377147118997 -99.8857888476195 -728.892626333588</f>
        <v>-1437.1555623002046</v>
      </c>
      <c r="P2978">
        <f>-619.44575464831 -74.0506142707041 -413.621062126206</f>
        <v>-1107.11743104522</v>
      </c>
      <c r="Q2978">
        <f>-364.270899136808 -30.0984118420915 -389.207192223705</f>
        <v>-783.5765032026045</v>
      </c>
      <c r="R2978" t="s">
        <v>59092</v>
      </c>
      <c r="S2978" t="s">
        <v>59093</v>
      </c>
      <c r="T2978" t="s">
        <v>59094</v>
      </c>
      <c r="U2978" t="s">
        <v>59095</v>
      </c>
      <c r="V2978" t="s">
        <v>59096</v>
      </c>
      <c r="W2978" t="s">
        <v>59097</v>
      </c>
      <c r="X2978" t="s">
        <v>59098</v>
      </c>
      <c r="Y2978" t="s">
        <v>59099</v>
      </c>
    </row>
    <row r="2979" spans="1:25" x14ac:dyDescent="0.3">
      <c r="A2979">
        <v>148900</v>
      </c>
      <c r="B2979" t="s">
        <v>59100</v>
      </c>
      <c r="C2979" t="s">
        <v>59101</v>
      </c>
      <c r="D2979" t="s">
        <v>59102</v>
      </c>
      <c r="E2979" t="s">
        <v>59103</v>
      </c>
      <c r="F2979" t="s">
        <v>59104</v>
      </c>
      <c r="G2979" t="s">
        <v>59105</v>
      </c>
      <c r="H2979" t="s">
        <v>59106</v>
      </c>
      <c r="I2979" t="s">
        <v>59107</v>
      </c>
      <c r="J2979" t="s">
        <v>59108</v>
      </c>
      <c r="K2979" t="s">
        <v>59109</v>
      </c>
      <c r="L2979" t="s">
        <v>59110</v>
      </c>
      <c r="M2979" t="s">
        <v>59111</v>
      </c>
      <c r="N2979" t="s">
        <v>59112</v>
      </c>
      <c r="O2979">
        <f>-608.66816712868 -99.4804080367129 -728.759420512143</f>
        <v>-1436.9079956775358</v>
      </c>
      <c r="P2979">
        <f>-621.002482589226 -75.2803069788276 -413.405057573751</f>
        <v>-1109.6878471418047</v>
      </c>
      <c r="Q2979">
        <f>-365.858373780267 -31.0276267381845 -389.21309837705</f>
        <v>-786.09909889550158</v>
      </c>
      <c r="R2979" t="s">
        <v>59113</v>
      </c>
      <c r="S2979" t="s">
        <v>59114</v>
      </c>
      <c r="T2979" t="s">
        <v>59115</v>
      </c>
      <c r="U2979" t="s">
        <v>59116</v>
      </c>
      <c r="V2979" t="s">
        <v>59117</v>
      </c>
      <c r="W2979" t="s">
        <v>59118</v>
      </c>
      <c r="X2979" t="s">
        <v>59119</v>
      </c>
      <c r="Y2979" t="s">
        <v>59120</v>
      </c>
    </row>
    <row r="2980" spans="1:25" x14ac:dyDescent="0.3">
      <c r="A2980">
        <v>148950</v>
      </c>
      <c r="B2980" t="s">
        <v>59121</v>
      </c>
      <c r="C2980" t="s">
        <v>59122</v>
      </c>
      <c r="D2980" t="s">
        <v>59123</v>
      </c>
      <c r="E2980" t="s">
        <v>59124</v>
      </c>
      <c r="F2980" t="s">
        <v>59125</v>
      </c>
      <c r="G2980" t="s">
        <v>59126</v>
      </c>
      <c r="H2980" t="s">
        <v>59127</v>
      </c>
      <c r="I2980" t="s">
        <v>59128</v>
      </c>
      <c r="J2980" t="s">
        <v>59129</v>
      </c>
      <c r="K2980" t="s">
        <v>59130</v>
      </c>
      <c r="L2980" t="s">
        <v>59131</v>
      </c>
      <c r="M2980" t="s">
        <v>59132</v>
      </c>
      <c r="N2980" t="s">
        <v>59133</v>
      </c>
      <c r="O2980">
        <f>-609.759643334995 -97.6106302208455 -728.956918731831</f>
        <v>-1436.3271922876716</v>
      </c>
      <c r="P2980">
        <f>-622.848472995291 -74.3722059473181 -413.560656320796</f>
        <v>-1110.781335263405</v>
      </c>
      <c r="Q2980">
        <f>-367.637119021679 -30.0383041880772 -390.242592941422</f>
        <v>-787.91801615117811</v>
      </c>
      <c r="R2980" t="s">
        <v>59134</v>
      </c>
      <c r="S2980" t="s">
        <v>59135</v>
      </c>
      <c r="T2980" t="s">
        <v>59136</v>
      </c>
      <c r="U2980" t="s">
        <v>59137</v>
      </c>
      <c r="V2980" t="s">
        <v>59138</v>
      </c>
      <c r="W2980" t="s">
        <v>59139</v>
      </c>
      <c r="X2980" t="s">
        <v>59140</v>
      </c>
      <c r="Y2980" t="s">
        <v>59141</v>
      </c>
    </row>
    <row r="2981" spans="1:25" x14ac:dyDescent="0.3">
      <c r="A2981">
        <v>149000</v>
      </c>
      <c r="B2981" t="s">
        <v>59142</v>
      </c>
      <c r="C2981" t="s">
        <v>59143</v>
      </c>
      <c r="D2981" t="s">
        <v>59144</v>
      </c>
      <c r="E2981" t="s">
        <v>59145</v>
      </c>
      <c r="F2981" t="s">
        <v>59146</v>
      </c>
      <c r="G2981" t="s">
        <v>59147</v>
      </c>
      <c r="H2981" t="s">
        <v>59148</v>
      </c>
      <c r="I2981" t="s">
        <v>59149</v>
      </c>
      <c r="J2981" t="s">
        <v>59150</v>
      </c>
      <c r="K2981" t="s">
        <v>59151</v>
      </c>
      <c r="L2981" t="s">
        <v>59152</v>
      </c>
      <c r="M2981" t="s">
        <v>59153</v>
      </c>
      <c r="N2981" t="s">
        <v>59154</v>
      </c>
      <c r="O2981">
        <f>-610.081951533963 -97.2934579952008 -728.820466257347</f>
        <v>-1436.1958757865109</v>
      </c>
      <c r="P2981">
        <f>-623.811624898415 -73.9912175221728 -413.456151333878</f>
        <v>-1111.2589937544658</v>
      </c>
      <c r="Q2981">
        <f>-368.594688059723 -29.2029300811687 -391.086505079596</f>
        <v>-788.88412322048771</v>
      </c>
      <c r="R2981" t="s">
        <v>59155</v>
      </c>
      <c r="S2981" t="s">
        <v>59156</v>
      </c>
      <c r="T2981" t="s">
        <v>59157</v>
      </c>
      <c r="U2981" t="s">
        <v>59158</v>
      </c>
      <c r="V2981" t="s">
        <v>59159</v>
      </c>
      <c r="W2981" t="s">
        <v>59160</v>
      </c>
      <c r="X2981" t="s">
        <v>59161</v>
      </c>
      <c r="Y2981" t="s">
        <v>59162</v>
      </c>
    </row>
    <row r="2982" spans="1:25" x14ac:dyDescent="0.3">
      <c r="A2982">
        <v>149050</v>
      </c>
      <c r="B2982" t="s">
        <v>59163</v>
      </c>
      <c r="C2982" t="s">
        <v>59164</v>
      </c>
      <c r="D2982" t="s">
        <v>59165</v>
      </c>
      <c r="E2982" t="s">
        <v>59166</v>
      </c>
      <c r="F2982" t="s">
        <v>59167</v>
      </c>
      <c r="G2982" t="s">
        <v>59168</v>
      </c>
      <c r="H2982" t="s">
        <v>59169</v>
      </c>
      <c r="I2982" t="s">
        <v>59170</v>
      </c>
      <c r="J2982" t="s">
        <v>59171</v>
      </c>
      <c r="K2982" t="s">
        <v>59172</v>
      </c>
      <c r="L2982" t="s">
        <v>59173</v>
      </c>
      <c r="M2982" t="s">
        <v>59174</v>
      </c>
      <c r="N2982" t="s">
        <v>59175</v>
      </c>
      <c r="O2982">
        <f>-611.563437934527 -97.1079856883601 -728.559165848468</f>
        <v>-1437.230589471355</v>
      </c>
      <c r="P2982">
        <f>-625.418379420957 -75.2773395734544 -413.095046657234</f>
        <v>-1113.7907656516454</v>
      </c>
      <c r="Q2982">
        <f>-370.724162091786 -27.4595091081092 -391.041338984894</f>
        <v>-789.2250101847892</v>
      </c>
      <c r="R2982" t="s">
        <v>59176</v>
      </c>
      <c r="S2982" t="s">
        <v>59177</v>
      </c>
      <c r="T2982" t="s">
        <v>59178</v>
      </c>
      <c r="U2982" t="s">
        <v>59179</v>
      </c>
      <c r="V2982" t="s">
        <v>59180</v>
      </c>
      <c r="W2982" t="s">
        <v>59181</v>
      </c>
      <c r="X2982" t="s">
        <v>59182</v>
      </c>
      <c r="Y2982" t="s">
        <v>59183</v>
      </c>
    </row>
    <row r="2983" spans="1:25" x14ac:dyDescent="0.3">
      <c r="A2983">
        <v>149100</v>
      </c>
      <c r="B2983" t="s">
        <v>59184</v>
      </c>
      <c r="C2983" t="s">
        <v>59185</v>
      </c>
      <c r="D2983" t="s">
        <v>59186</v>
      </c>
      <c r="E2983" t="s">
        <v>59187</v>
      </c>
      <c r="F2983" t="s">
        <v>59188</v>
      </c>
      <c r="G2983" t="s">
        <v>59189</v>
      </c>
      <c r="H2983" t="s">
        <v>59190</v>
      </c>
      <c r="I2983" t="s">
        <v>59191</v>
      </c>
      <c r="J2983" t="s">
        <v>59192</v>
      </c>
      <c r="K2983" t="s">
        <v>59193</v>
      </c>
      <c r="L2983" t="s">
        <v>59194</v>
      </c>
      <c r="M2983" t="s">
        <v>59195</v>
      </c>
      <c r="N2983" t="s">
        <v>59196</v>
      </c>
      <c r="O2983">
        <f>-612.161877888283 -97.2801887561737 -728.233851909007</f>
        <v>-1437.6759185534638</v>
      </c>
      <c r="P2983">
        <f>-624.537663615992 -74.4825613327619 -412.776602783921</f>
        <v>-1111.796827732675</v>
      </c>
      <c r="Q2983">
        <f>-369.539310236602 -28.4890114482375 -390.360320347954</f>
        <v>-788.38864203279343</v>
      </c>
      <c r="R2983" t="s">
        <v>59197</v>
      </c>
      <c r="S2983" t="s">
        <v>59198</v>
      </c>
      <c r="T2983" t="s">
        <v>59199</v>
      </c>
      <c r="U2983" t="s">
        <v>59200</v>
      </c>
      <c r="V2983" t="s">
        <v>59201</v>
      </c>
      <c r="W2983" t="s">
        <v>59202</v>
      </c>
      <c r="X2983" t="s">
        <v>59203</v>
      </c>
      <c r="Y2983" t="s">
        <v>59204</v>
      </c>
    </row>
    <row r="2984" spans="1:25" x14ac:dyDescent="0.3">
      <c r="A2984">
        <v>149150</v>
      </c>
      <c r="B2984" t="s">
        <v>59205</v>
      </c>
      <c r="C2984" t="s">
        <v>59206</v>
      </c>
      <c r="D2984" t="s">
        <v>59207</v>
      </c>
      <c r="E2984" t="s">
        <v>59208</v>
      </c>
      <c r="F2984" t="s">
        <v>59209</v>
      </c>
      <c r="G2984" t="s">
        <v>59210</v>
      </c>
      <c r="H2984" t="s">
        <v>59211</v>
      </c>
      <c r="I2984" t="s">
        <v>59212</v>
      </c>
      <c r="J2984" t="s">
        <v>59213</v>
      </c>
      <c r="K2984" t="s">
        <v>59214</v>
      </c>
      <c r="L2984" t="s">
        <v>59215</v>
      </c>
      <c r="M2984" t="s">
        <v>59216</v>
      </c>
      <c r="N2984" t="s">
        <v>59217</v>
      </c>
      <c r="O2984">
        <f>-614.508885655022 -97.1818301170457 -726.806340246709</f>
        <v>-1438.4970560187767</v>
      </c>
      <c r="P2984">
        <f>-621.957096696408 -73.5224842446673 -411.25762714182</f>
        <v>-1106.7372080828954</v>
      </c>
      <c r="Q2984">
        <f>-366.02409480294 -31.721497802909 -391.432759560368</f>
        <v>-789.178352166217</v>
      </c>
      <c r="R2984" t="s">
        <v>59218</v>
      </c>
      <c r="S2984" t="s">
        <v>59219</v>
      </c>
      <c r="T2984" t="s">
        <v>59220</v>
      </c>
      <c r="U2984" t="s">
        <v>59221</v>
      </c>
      <c r="V2984" t="s">
        <v>59222</v>
      </c>
      <c r="W2984" t="s">
        <v>59223</v>
      </c>
      <c r="X2984" t="s">
        <v>59224</v>
      </c>
      <c r="Y2984" t="s">
        <v>59225</v>
      </c>
    </row>
    <row r="2985" spans="1:25" x14ac:dyDescent="0.3">
      <c r="A2985">
        <v>149200</v>
      </c>
      <c r="B2985" t="s">
        <v>59226</v>
      </c>
      <c r="C2985" t="s">
        <v>59227</v>
      </c>
      <c r="D2985" t="s">
        <v>59228</v>
      </c>
      <c r="E2985" t="s">
        <v>59229</v>
      </c>
      <c r="F2985" t="s">
        <v>59230</v>
      </c>
      <c r="G2985" t="s">
        <v>59231</v>
      </c>
      <c r="H2985" t="s">
        <v>59232</v>
      </c>
      <c r="I2985" t="s">
        <v>59233</v>
      </c>
      <c r="J2985" t="s">
        <v>59234</v>
      </c>
      <c r="K2985" t="s">
        <v>59235</v>
      </c>
      <c r="L2985" t="s">
        <v>59236</v>
      </c>
      <c r="M2985" t="s">
        <v>59237</v>
      </c>
      <c r="N2985" t="s">
        <v>59238</v>
      </c>
      <c r="O2985">
        <f>-615.684954682411 -97.5374056081962 -725.828965739271</f>
        <v>-1439.0513260298781</v>
      </c>
      <c r="P2985">
        <f>-620.864739199494 -73.1070834448294 -410.293666768214</f>
        <v>-1104.2654894125374</v>
      </c>
      <c r="Q2985">
        <f>-364.244212708068 -35.114125649708 -391.732123977239</f>
        <v>-791.09046233501499</v>
      </c>
      <c r="R2985" t="s">
        <v>59239</v>
      </c>
      <c r="S2985" t="s">
        <v>59240</v>
      </c>
      <c r="T2985" t="s">
        <v>59241</v>
      </c>
      <c r="U2985" t="s">
        <v>59242</v>
      </c>
      <c r="V2985" t="s">
        <v>59243</v>
      </c>
      <c r="W2985" t="s">
        <v>59244</v>
      </c>
      <c r="X2985" t="s">
        <v>59245</v>
      </c>
      <c r="Y2985" t="s">
        <v>59246</v>
      </c>
    </row>
    <row r="2986" spans="1:25" x14ac:dyDescent="0.3">
      <c r="A2986">
        <v>149250</v>
      </c>
      <c r="B2986" t="s">
        <v>59247</v>
      </c>
      <c r="C2986" t="s">
        <v>59248</v>
      </c>
      <c r="D2986" t="s">
        <v>59249</v>
      </c>
      <c r="E2986" t="s">
        <v>59250</v>
      </c>
      <c r="F2986" t="s">
        <v>59251</v>
      </c>
      <c r="G2986" t="s">
        <v>59252</v>
      </c>
      <c r="H2986" t="s">
        <v>59253</v>
      </c>
      <c r="I2986" t="s">
        <v>59254</v>
      </c>
      <c r="J2986" t="s">
        <v>59255</v>
      </c>
      <c r="K2986" t="s">
        <v>59256</v>
      </c>
      <c r="L2986" t="s">
        <v>59257</v>
      </c>
      <c r="M2986" t="s">
        <v>59258</v>
      </c>
      <c r="N2986" t="s">
        <v>59259</v>
      </c>
      <c r="O2986">
        <f>-618.530356045007 -97.1354425999091 -723.886964616668</f>
        <v>-1439.552763261584</v>
      </c>
      <c r="P2986">
        <f>-618.803775458422 -70.8233674255899 -408.460547075531</f>
        <v>-1098.087689959543</v>
      </c>
      <c r="Q2986">
        <f>-360.873215431666 -40.7460321619607 -393.995382669302</f>
        <v>-795.6146302629287</v>
      </c>
      <c r="R2986" t="s">
        <v>59260</v>
      </c>
      <c r="S2986" t="s">
        <v>59261</v>
      </c>
      <c r="T2986" t="s">
        <v>59262</v>
      </c>
      <c r="U2986" t="s">
        <v>59263</v>
      </c>
      <c r="V2986" t="s">
        <v>59264</v>
      </c>
      <c r="W2986" t="s">
        <v>59265</v>
      </c>
      <c r="X2986" t="s">
        <v>59266</v>
      </c>
      <c r="Y2986" t="s">
        <v>59267</v>
      </c>
    </row>
    <row r="2987" spans="1:25" x14ac:dyDescent="0.3">
      <c r="A2987">
        <v>149300</v>
      </c>
      <c r="B2987" t="s">
        <v>59268</v>
      </c>
      <c r="C2987" t="s">
        <v>59269</v>
      </c>
      <c r="D2987" t="s">
        <v>59270</v>
      </c>
      <c r="E2987" t="s">
        <v>59271</v>
      </c>
      <c r="F2987" t="s">
        <v>59272</v>
      </c>
      <c r="G2987" t="s">
        <v>59273</v>
      </c>
      <c r="H2987" t="s">
        <v>59274</v>
      </c>
      <c r="I2987" t="s">
        <v>59275</v>
      </c>
      <c r="J2987" t="s">
        <v>59276</v>
      </c>
      <c r="K2987" t="s">
        <v>59277</v>
      </c>
      <c r="L2987" t="s">
        <v>59278</v>
      </c>
      <c r="M2987" t="s">
        <v>59279</v>
      </c>
      <c r="N2987" t="s">
        <v>59280</v>
      </c>
      <c r="O2987">
        <f>-619.332258749357 -96.9422500990214 -723.067161428744</f>
        <v>-1439.3416702771224</v>
      </c>
      <c r="P2987">
        <f>-618.032240080977 -70.4868830476221 -407.65535874861</f>
        <v>-1096.174481877209</v>
      </c>
      <c r="Q2987">
        <f>-359.775881729377 -42.4390066276613 -395.045232033575</f>
        <v>-797.26012039061334</v>
      </c>
      <c r="R2987" t="s">
        <v>59281</v>
      </c>
      <c r="S2987" t="s">
        <v>59282</v>
      </c>
      <c r="T2987" t="s">
        <v>59283</v>
      </c>
      <c r="U2987" t="s">
        <v>59284</v>
      </c>
      <c r="V2987" t="s">
        <v>59285</v>
      </c>
      <c r="W2987" t="s">
        <v>59286</v>
      </c>
      <c r="X2987" t="s">
        <v>59287</v>
      </c>
      <c r="Y2987" t="s">
        <v>59288</v>
      </c>
    </row>
    <row r="2988" spans="1:25" x14ac:dyDescent="0.3">
      <c r="A2988">
        <v>149350</v>
      </c>
      <c r="B2988" t="s">
        <v>59289</v>
      </c>
      <c r="C2988" t="s">
        <v>59290</v>
      </c>
      <c r="D2988" t="s">
        <v>59291</v>
      </c>
      <c r="E2988" t="s">
        <v>59292</v>
      </c>
      <c r="F2988" t="s">
        <v>59293</v>
      </c>
      <c r="G2988" t="s">
        <v>59294</v>
      </c>
      <c r="H2988" t="s">
        <v>59295</v>
      </c>
      <c r="I2988" t="s">
        <v>59296</v>
      </c>
      <c r="J2988" t="s">
        <v>59297</v>
      </c>
      <c r="K2988" t="s">
        <v>59298</v>
      </c>
      <c r="L2988" t="s">
        <v>59299</v>
      </c>
      <c r="M2988" t="s">
        <v>59300</v>
      </c>
      <c r="N2988" t="s">
        <v>59301</v>
      </c>
      <c r="O2988">
        <f>-621.437643725127 -96.2073619033782 -721.555257068329</f>
        <v>-1439.2002626968342</v>
      </c>
      <c r="P2988">
        <f>-618.48784806587 -67.9177681142465 -406.313811930566</f>
        <v>-1092.7194281106827</v>
      </c>
      <c r="Q2988">
        <f>-359.845620800859 -42.6141931184116 -396.019388832818</f>
        <v>-798.47920275208867</v>
      </c>
      <c r="R2988" t="s">
        <v>59302</v>
      </c>
      <c r="S2988" t="s">
        <v>59303</v>
      </c>
      <c r="T2988" t="s">
        <v>59304</v>
      </c>
      <c r="U2988" t="s">
        <v>59305</v>
      </c>
      <c r="V2988" t="s">
        <v>59306</v>
      </c>
      <c r="W2988" t="s">
        <v>59307</v>
      </c>
      <c r="X2988" t="s">
        <v>59308</v>
      </c>
      <c r="Y2988" t="s">
        <v>59309</v>
      </c>
    </row>
    <row r="2989" spans="1:25" x14ac:dyDescent="0.3">
      <c r="A2989">
        <v>149400</v>
      </c>
      <c r="B2989" t="s">
        <v>59310</v>
      </c>
      <c r="C2989" t="s">
        <v>59311</v>
      </c>
      <c r="D2989" t="s">
        <v>59312</v>
      </c>
      <c r="E2989" t="s">
        <v>59313</v>
      </c>
      <c r="F2989" t="s">
        <v>59314</v>
      </c>
      <c r="G2989" t="s">
        <v>59315</v>
      </c>
      <c r="H2989" t="s">
        <v>59316</v>
      </c>
      <c r="I2989" t="s">
        <v>59317</v>
      </c>
      <c r="J2989" t="s">
        <v>59318</v>
      </c>
      <c r="K2989" t="s">
        <v>59319</v>
      </c>
      <c r="L2989" t="s">
        <v>59320</v>
      </c>
      <c r="M2989" t="s">
        <v>59321</v>
      </c>
      <c r="N2989" t="s">
        <v>59322</v>
      </c>
      <c r="O2989">
        <f>-621.990252859164 -95.7159767683309 -721.057630339938</f>
        <v>-1438.7638599674328</v>
      </c>
      <c r="P2989">
        <f>-618.577159618996 -66.5233632179315 -405.90316895481</f>
        <v>-1091.0036917917375</v>
      </c>
      <c r="Q2989">
        <f>-359.793013431811 -42.3479557731229 -396.501545039972</f>
        <v>-798.6425142449059</v>
      </c>
      <c r="R2989" t="s">
        <v>59323</v>
      </c>
      <c r="S2989" t="s">
        <v>59324</v>
      </c>
      <c r="T2989" t="s">
        <v>59325</v>
      </c>
      <c r="U2989" t="s">
        <v>59326</v>
      </c>
      <c r="V2989" t="s">
        <v>59327</v>
      </c>
      <c r="W2989" t="s">
        <v>59328</v>
      </c>
      <c r="X2989" t="s">
        <v>59329</v>
      </c>
      <c r="Y2989" t="s">
        <v>59330</v>
      </c>
    </row>
    <row r="2990" spans="1:25" x14ac:dyDescent="0.3">
      <c r="A2990">
        <v>149450</v>
      </c>
      <c r="B2990" t="s">
        <v>59331</v>
      </c>
      <c r="C2990" t="s">
        <v>59332</v>
      </c>
      <c r="D2990" t="s">
        <v>59333</v>
      </c>
      <c r="E2990" t="s">
        <v>59334</v>
      </c>
      <c r="F2990" t="s">
        <v>59335</v>
      </c>
      <c r="G2990" t="s">
        <v>59336</v>
      </c>
      <c r="H2990" t="s">
        <v>59337</v>
      </c>
      <c r="I2990" t="s">
        <v>59338</v>
      </c>
      <c r="J2990" t="s">
        <v>59339</v>
      </c>
      <c r="K2990" t="s">
        <v>59340</v>
      </c>
      <c r="L2990" t="s">
        <v>59341</v>
      </c>
      <c r="M2990" t="s">
        <v>59342</v>
      </c>
      <c r="N2990" t="s">
        <v>59343</v>
      </c>
      <c r="O2990">
        <f>-623.689810857051 -94.4946876553452 -720.38367450051</f>
        <v>-1438.5681730129063</v>
      </c>
      <c r="P2990">
        <f>-619.302844347444 -65.0374897935402 -405.265914131894</f>
        <v>-1089.6062482728782</v>
      </c>
      <c r="Q2990">
        <f>-360.436617767793 -41.4807147737975 -396.582210732976</f>
        <v>-798.49954327456658</v>
      </c>
      <c r="R2990" t="s">
        <v>59344</v>
      </c>
      <c r="S2990" t="s">
        <v>59345</v>
      </c>
      <c r="T2990" t="s">
        <v>59346</v>
      </c>
      <c r="U2990" t="s">
        <v>59347</v>
      </c>
      <c r="V2990" t="s">
        <v>59348</v>
      </c>
      <c r="W2990" t="s">
        <v>59349</v>
      </c>
      <c r="X2990" t="s">
        <v>59350</v>
      </c>
      <c r="Y2990" t="s">
        <v>59351</v>
      </c>
    </row>
    <row r="2991" spans="1:25" x14ac:dyDescent="0.3">
      <c r="A2991">
        <v>149500</v>
      </c>
      <c r="B2991" t="s">
        <v>59352</v>
      </c>
      <c r="C2991" t="s">
        <v>59353</v>
      </c>
      <c r="D2991" t="s">
        <v>59354</v>
      </c>
      <c r="E2991" t="s">
        <v>59355</v>
      </c>
      <c r="F2991" t="s">
        <v>59356</v>
      </c>
      <c r="G2991" t="s">
        <v>59357</v>
      </c>
      <c r="H2991" t="s">
        <v>59358</v>
      </c>
      <c r="I2991" t="s">
        <v>59359</v>
      </c>
      <c r="J2991" t="s">
        <v>59360</v>
      </c>
      <c r="K2991" t="s">
        <v>59361</v>
      </c>
      <c r="L2991" t="s">
        <v>59362</v>
      </c>
      <c r="M2991" t="s">
        <v>59363</v>
      </c>
      <c r="N2991" t="s">
        <v>59364</v>
      </c>
      <c r="O2991">
        <f>-624.668115678454 -93.86783995586 -720.135703167593</f>
        <v>-1438.6716588019069</v>
      </c>
      <c r="P2991">
        <f>-619.7168102153 -65.189134495528 -404.954512375322</f>
        <v>-1089.8604570861501</v>
      </c>
      <c r="Q2991">
        <f>-360.877934102332 -41.3054141568561 -396.349799442423</f>
        <v>-798.53314770161114</v>
      </c>
      <c r="R2991" t="s">
        <v>59365</v>
      </c>
      <c r="S2991" t="s">
        <v>59366</v>
      </c>
      <c r="T2991" t="s">
        <v>59367</v>
      </c>
      <c r="U2991" t="s">
        <v>59368</v>
      </c>
      <c r="V2991" t="s">
        <v>59369</v>
      </c>
      <c r="W2991" t="s">
        <v>59370</v>
      </c>
      <c r="X2991" t="s">
        <v>59371</v>
      </c>
      <c r="Y2991" t="s">
        <v>59372</v>
      </c>
    </row>
    <row r="2992" spans="1:25" x14ac:dyDescent="0.3">
      <c r="A2992">
        <v>149550</v>
      </c>
      <c r="B2992" t="s">
        <v>59373</v>
      </c>
      <c r="C2992" t="s">
        <v>59374</v>
      </c>
      <c r="D2992" t="s">
        <v>59375</v>
      </c>
      <c r="E2992" t="s">
        <v>59376</v>
      </c>
      <c r="F2992" t="s">
        <v>59377</v>
      </c>
      <c r="G2992" t="s">
        <v>59378</v>
      </c>
      <c r="H2992" t="s">
        <v>59379</v>
      </c>
      <c r="I2992" t="s">
        <v>59380</v>
      </c>
      <c r="J2992" t="s">
        <v>59381</v>
      </c>
      <c r="K2992" t="s">
        <v>59382</v>
      </c>
      <c r="L2992" t="s">
        <v>59383</v>
      </c>
      <c r="M2992" t="s">
        <v>59384</v>
      </c>
      <c r="N2992" t="s">
        <v>59385</v>
      </c>
      <c r="O2992">
        <f>-625.790822820984 -93.4934576743066 -719.436181925067</f>
        <v>-1438.7204624203575</v>
      </c>
      <c r="P2992">
        <f>-620.932046492535 -66.6966122497482 -404.087912762152</f>
        <v>-1091.7165715044353</v>
      </c>
      <c r="Q2992">
        <f>-362.309118767123 -40.8867654714956 -394.596419687016</f>
        <v>-797.79230392563454</v>
      </c>
      <c r="R2992" t="s">
        <v>59386</v>
      </c>
      <c r="S2992" t="s">
        <v>59387</v>
      </c>
      <c r="T2992" t="s">
        <v>59388</v>
      </c>
      <c r="U2992" t="s">
        <v>59389</v>
      </c>
      <c r="V2992" t="s">
        <v>59390</v>
      </c>
      <c r="W2992" t="s">
        <v>59391</v>
      </c>
      <c r="X2992" t="s">
        <v>59392</v>
      </c>
      <c r="Y2992" t="s">
        <v>59393</v>
      </c>
    </row>
    <row r="2993" spans="1:25" x14ac:dyDescent="0.3">
      <c r="A2993">
        <v>149600</v>
      </c>
      <c r="B2993" t="s">
        <v>59394</v>
      </c>
      <c r="C2993" t="s">
        <v>59395</v>
      </c>
      <c r="D2993" t="s">
        <v>59396</v>
      </c>
      <c r="E2993" t="s">
        <v>59397</v>
      </c>
      <c r="F2993" t="s">
        <v>59398</v>
      </c>
      <c r="G2993" t="s">
        <v>59399</v>
      </c>
      <c r="H2993" t="s">
        <v>59400</v>
      </c>
      <c r="I2993" t="s">
        <v>59401</v>
      </c>
      <c r="J2993" t="s">
        <v>59402</v>
      </c>
      <c r="K2993" t="s">
        <v>59403</v>
      </c>
      <c r="L2993" t="s">
        <v>59404</v>
      </c>
      <c r="M2993" t="s">
        <v>59405</v>
      </c>
      <c r="N2993" t="s">
        <v>59406</v>
      </c>
      <c r="O2993">
        <f>-625.831020947454 -93.3675186345549 -718.913328037368</f>
        <v>-1438.1118676193769</v>
      </c>
      <c r="P2993">
        <f>-621.963789895422 -67.4072066400385 -403.481399807358</f>
        <v>-1092.8523963428183</v>
      </c>
      <c r="Q2993">
        <f>-363.49813812288 -40.1781898096015 -393.676460222722</f>
        <v>-797.3527881552036</v>
      </c>
      <c r="R2993" t="s">
        <v>59407</v>
      </c>
      <c r="S2993" t="s">
        <v>59408</v>
      </c>
      <c r="T2993" t="s">
        <v>59409</v>
      </c>
      <c r="U2993" t="s">
        <v>59410</v>
      </c>
      <c r="V2993" t="s">
        <v>59411</v>
      </c>
      <c r="W2993" t="s">
        <v>59412</v>
      </c>
      <c r="X2993" t="s">
        <v>59413</v>
      </c>
      <c r="Y2993" t="s">
        <v>59414</v>
      </c>
    </row>
    <row r="2994" spans="1:25" x14ac:dyDescent="0.3">
      <c r="A2994">
        <v>149650</v>
      </c>
      <c r="B2994" t="s">
        <v>59415</v>
      </c>
      <c r="C2994" t="s">
        <v>59416</v>
      </c>
      <c r="D2994" t="s">
        <v>59417</v>
      </c>
      <c r="E2994" t="s">
        <v>59418</v>
      </c>
      <c r="F2994" t="s">
        <v>59419</v>
      </c>
      <c r="G2994" t="s">
        <v>59420</v>
      </c>
      <c r="H2994" t="s">
        <v>59421</v>
      </c>
      <c r="I2994" t="s">
        <v>59422</v>
      </c>
      <c r="J2994" t="s">
        <v>59423</v>
      </c>
      <c r="K2994" t="s">
        <v>59424</v>
      </c>
      <c r="L2994" t="s">
        <v>59425</v>
      </c>
      <c r="M2994" t="s">
        <v>59426</v>
      </c>
      <c r="N2994" t="s">
        <v>59427</v>
      </c>
      <c r="O2994">
        <f>-625.480267841053 -92.6892106056454 -717.27021623669</f>
        <v>-1435.4396946833883</v>
      </c>
      <c r="P2994">
        <f>-623.551146500453 -67.7670869410127 -401.736790682488</f>
        <v>-1093.0550241239537</v>
      </c>
      <c r="Q2994">
        <f>-365.349638021635 -38.4478638945534 -391.040916854037</f>
        <v>-794.83841877022542</v>
      </c>
      <c r="R2994" t="s">
        <v>59428</v>
      </c>
      <c r="S2994" t="s">
        <v>59429</v>
      </c>
      <c r="T2994" t="s">
        <v>59430</v>
      </c>
      <c r="U2994" t="s">
        <v>59431</v>
      </c>
      <c r="V2994" t="s">
        <v>59432</v>
      </c>
      <c r="W2994" t="s">
        <v>59433</v>
      </c>
      <c r="X2994" t="s">
        <v>59434</v>
      </c>
      <c r="Y2994" t="s">
        <v>59435</v>
      </c>
    </row>
    <row r="2995" spans="1:25" x14ac:dyDescent="0.3">
      <c r="A2995">
        <v>149700</v>
      </c>
      <c r="B2995" t="s">
        <v>59436</v>
      </c>
      <c r="C2995" t="s">
        <v>59437</v>
      </c>
      <c r="D2995" t="s">
        <v>59438</v>
      </c>
      <c r="E2995" t="s">
        <v>59439</v>
      </c>
      <c r="F2995" t="s">
        <v>59440</v>
      </c>
      <c r="G2995" t="s">
        <v>59441</v>
      </c>
      <c r="H2995" t="s">
        <v>59442</v>
      </c>
      <c r="I2995" t="s">
        <v>59443</v>
      </c>
      <c r="J2995" t="s">
        <v>59444</v>
      </c>
      <c r="K2995" t="s">
        <v>59445</v>
      </c>
      <c r="L2995" t="s">
        <v>59446</v>
      </c>
      <c r="M2995" t="s">
        <v>59447</v>
      </c>
      <c r="N2995" t="s">
        <v>59448</v>
      </c>
      <c r="O2995">
        <f>-625.211903146535 -92.3081774557815 -716.356775362472</f>
        <v>-1433.8768559647885</v>
      </c>
      <c r="P2995">
        <f>-624.495363315772 -68.8387998647915 -400.707027403448</f>
        <v>-1094.0411905840115</v>
      </c>
      <c r="Q2995">
        <f>-366.54216119888 -37.6689531685689 -389.275714379014</f>
        <v>-793.48682874646295</v>
      </c>
      <c r="R2995" t="s">
        <v>59449</v>
      </c>
      <c r="S2995" t="s">
        <v>59450</v>
      </c>
      <c r="T2995" t="s">
        <v>59451</v>
      </c>
      <c r="U2995" t="s">
        <v>59452</v>
      </c>
      <c r="V2995" t="s">
        <v>59453</v>
      </c>
      <c r="W2995" t="s">
        <v>59454</v>
      </c>
      <c r="X2995" t="s">
        <v>59455</v>
      </c>
      <c r="Y2995" t="s">
        <v>59456</v>
      </c>
    </row>
    <row r="2996" spans="1:25" x14ac:dyDescent="0.3">
      <c r="A2996">
        <v>149750</v>
      </c>
      <c r="B2996" t="s">
        <v>59457</v>
      </c>
      <c r="C2996" t="s">
        <v>59458</v>
      </c>
      <c r="D2996" t="s">
        <v>59459</v>
      </c>
      <c r="E2996" t="s">
        <v>59460</v>
      </c>
      <c r="F2996" t="s">
        <v>59461</v>
      </c>
      <c r="G2996" t="s">
        <v>59462</v>
      </c>
      <c r="H2996" t="s">
        <v>59463</v>
      </c>
      <c r="I2996" t="s">
        <v>59464</v>
      </c>
      <c r="J2996" t="s">
        <v>59465</v>
      </c>
      <c r="K2996" t="s">
        <v>59466</v>
      </c>
      <c r="L2996" t="s">
        <v>59467</v>
      </c>
      <c r="M2996" t="s">
        <v>59468</v>
      </c>
      <c r="N2996" t="s">
        <v>59469</v>
      </c>
      <c r="O2996">
        <f>-624.183085644112 -91.8805801784177 -714.96875658277</f>
        <v>-1431.0324224052997</v>
      </c>
      <c r="P2996">
        <f>-625.299721567631 -68.5171138273141 -399.312113979206</f>
        <v>-1093.128949374151</v>
      </c>
      <c r="Q2996">
        <f>-367.728910100215 -34.7544216452834 -386.686199071098</f>
        <v>-789.16953081659631</v>
      </c>
      <c r="R2996" t="s">
        <v>59470</v>
      </c>
      <c r="S2996" t="s">
        <v>59471</v>
      </c>
      <c r="T2996" t="s">
        <v>59472</v>
      </c>
      <c r="U2996" t="s">
        <v>59473</v>
      </c>
      <c r="V2996" t="s">
        <v>59474</v>
      </c>
      <c r="W2996" t="s">
        <v>59475</v>
      </c>
      <c r="X2996" t="s">
        <v>59476</v>
      </c>
      <c r="Y2996" t="s">
        <v>59477</v>
      </c>
    </row>
    <row r="2997" spans="1:25" x14ac:dyDescent="0.3">
      <c r="A2997">
        <v>149800</v>
      </c>
      <c r="B2997" t="s">
        <v>59478</v>
      </c>
      <c r="C2997" t="s">
        <v>59479</v>
      </c>
      <c r="D2997" t="s">
        <v>59480</v>
      </c>
      <c r="E2997" t="s">
        <v>59481</v>
      </c>
      <c r="F2997" t="s">
        <v>59482</v>
      </c>
      <c r="G2997" t="s">
        <v>59483</v>
      </c>
      <c r="H2997" t="s">
        <v>59484</v>
      </c>
      <c r="I2997" t="s">
        <v>59485</v>
      </c>
      <c r="J2997" t="s">
        <v>59486</v>
      </c>
      <c r="K2997" t="s">
        <v>59487</v>
      </c>
      <c r="L2997" t="s">
        <v>59488</v>
      </c>
      <c r="M2997" t="s">
        <v>59489</v>
      </c>
      <c r="N2997" t="s">
        <v>59490</v>
      </c>
      <c r="O2997">
        <f>-623.219444679295 -91.7533309525943 -714.653408920658</f>
        <v>-1429.6261845525473</v>
      </c>
      <c r="P2997">
        <f>-625.028789419481 -69.4863239627283 -398.920869405921</f>
        <v>-1093.4359827881303</v>
      </c>
      <c r="Q2997">
        <f>-367.759369504649 -33.8394071490088 -385.363479518131</f>
        <v>-786.96225617178879</v>
      </c>
      <c r="R2997" t="s">
        <v>59491</v>
      </c>
      <c r="S2997" t="s">
        <v>59492</v>
      </c>
      <c r="T2997" t="s">
        <v>59493</v>
      </c>
      <c r="U2997" t="s">
        <v>59494</v>
      </c>
      <c r="V2997" t="s">
        <v>59495</v>
      </c>
      <c r="W2997" t="s">
        <v>59496</v>
      </c>
      <c r="X2997" t="s">
        <v>59497</v>
      </c>
      <c r="Y2997" t="s">
        <v>59498</v>
      </c>
    </row>
    <row r="2998" spans="1:25" x14ac:dyDescent="0.3">
      <c r="A2998">
        <v>149850</v>
      </c>
      <c r="B2998" t="s">
        <v>59499</v>
      </c>
      <c r="C2998" t="s">
        <v>59500</v>
      </c>
      <c r="D2998" t="s">
        <v>59501</v>
      </c>
      <c r="E2998" t="s">
        <v>59502</v>
      </c>
      <c r="F2998" t="s">
        <v>59503</v>
      </c>
      <c r="G2998" t="s">
        <v>59504</v>
      </c>
      <c r="H2998" t="s">
        <v>59505</v>
      </c>
      <c r="I2998" t="s">
        <v>59506</v>
      </c>
      <c r="J2998" t="s">
        <v>59507</v>
      </c>
      <c r="K2998" t="s">
        <v>59508</v>
      </c>
      <c r="L2998" t="s">
        <v>59509</v>
      </c>
      <c r="M2998" t="s">
        <v>59510</v>
      </c>
      <c r="N2998" t="s">
        <v>59511</v>
      </c>
      <c r="O2998">
        <f>-621.434859306037 -90.997247993618 -714.781997242706</f>
        <v>-1427.2141045423609</v>
      </c>
      <c r="P2998">
        <f>-623.875800914918 -68.3767092491063 -399.078782063682</f>
        <v>-1091.3312922277064</v>
      </c>
      <c r="Q2998">
        <f>-366.860038192671 -31.2445442601148 -384.720765235298</f>
        <v>-782.82534768808387</v>
      </c>
      <c r="R2998" t="s">
        <v>59512</v>
      </c>
      <c r="S2998" t="s">
        <v>59513</v>
      </c>
      <c r="T2998" t="s">
        <v>59514</v>
      </c>
      <c r="U2998" t="s">
        <v>59515</v>
      </c>
      <c r="V2998" t="s">
        <v>59516</v>
      </c>
      <c r="W2998" t="s">
        <v>59517</v>
      </c>
      <c r="X2998" t="s">
        <v>59518</v>
      </c>
      <c r="Y2998" t="s">
        <v>59519</v>
      </c>
    </row>
    <row r="2999" spans="1:25" x14ac:dyDescent="0.3">
      <c r="A2999">
        <v>149900</v>
      </c>
      <c r="B2999" t="s">
        <v>59520</v>
      </c>
      <c r="C2999" t="s">
        <v>59521</v>
      </c>
      <c r="D2999" t="s">
        <v>59522</v>
      </c>
      <c r="E2999" t="s">
        <v>59523</v>
      </c>
      <c r="F2999" t="s">
        <v>59524</v>
      </c>
      <c r="G2999" t="s">
        <v>59525</v>
      </c>
      <c r="H2999" t="s">
        <v>59526</v>
      </c>
      <c r="I2999" t="s">
        <v>59527</v>
      </c>
      <c r="J2999" t="s">
        <v>59528</v>
      </c>
      <c r="K2999" t="s">
        <v>59529</v>
      </c>
      <c r="L2999" t="s">
        <v>59530</v>
      </c>
      <c r="M2999" t="s">
        <v>59531</v>
      </c>
      <c r="N2999" t="s">
        <v>59532</v>
      </c>
      <c r="O2999">
        <f>-620.649708772715 -90.8807541962699 -714.801524276878</f>
        <v>-1426.3319872458628</v>
      </c>
      <c r="P2999">
        <f>-623.116616091857 -68.3453793102057 -399.092512587267</f>
        <v>-1090.5545079893297</v>
      </c>
      <c r="Q2999">
        <f>-366.202303886643 -30.6982350831337 -384.266771723482</f>
        <v>-781.16731069325874</v>
      </c>
      <c r="R2999" t="s">
        <v>59533</v>
      </c>
      <c r="S2999" t="s">
        <v>59534</v>
      </c>
      <c r="T2999" t="s">
        <v>59535</v>
      </c>
      <c r="U2999" t="s">
        <v>59536</v>
      </c>
      <c r="V2999" t="s">
        <v>59537</v>
      </c>
      <c r="W2999" t="s">
        <v>59538</v>
      </c>
      <c r="X2999" t="s">
        <v>59539</v>
      </c>
      <c r="Y2999" t="s">
        <v>59540</v>
      </c>
    </row>
    <row r="3000" spans="1:25" x14ac:dyDescent="0.3">
      <c r="A3000">
        <v>149950</v>
      </c>
      <c r="B3000" t="s">
        <v>59541</v>
      </c>
      <c r="C3000" t="s">
        <v>59542</v>
      </c>
      <c r="D3000" t="s">
        <v>59543</v>
      </c>
      <c r="E3000" t="s">
        <v>59544</v>
      </c>
      <c r="F3000" t="s">
        <v>59545</v>
      </c>
      <c r="G3000" t="s">
        <v>59546</v>
      </c>
      <c r="H3000" t="s">
        <v>59547</v>
      </c>
      <c r="I3000" t="s">
        <v>59548</v>
      </c>
      <c r="J3000" t="s">
        <v>59549</v>
      </c>
      <c r="K3000" t="s">
        <v>59550</v>
      </c>
      <c r="L3000" t="s">
        <v>59551</v>
      </c>
      <c r="M3000" t="s">
        <v>59552</v>
      </c>
      <c r="N3000" t="s">
        <v>59553</v>
      </c>
      <c r="O3000">
        <f>-618.815221397726 -91.8641748176625 -715.049204134585</f>
        <v>-1425.7286003499735</v>
      </c>
      <c r="P3000">
        <f>-622.771291100679 -68.4126190931953 -399.42207481403</f>
        <v>-1090.6059850079043</v>
      </c>
      <c r="Q3000">
        <f>-366.161547061802 -29.7573945612405 -382.123914463405</f>
        <v>-778.0428560864475</v>
      </c>
      <c r="R3000" t="s">
        <v>59554</v>
      </c>
      <c r="S3000" t="s">
        <v>59555</v>
      </c>
      <c r="T3000" t="s">
        <v>59556</v>
      </c>
      <c r="U3000" t="s">
        <v>59557</v>
      </c>
      <c r="V3000" t="s">
        <v>59558</v>
      </c>
      <c r="W3000" t="s">
        <v>59559</v>
      </c>
      <c r="X3000" t="s">
        <v>59560</v>
      </c>
      <c r="Y3000" t="s">
        <v>59561</v>
      </c>
    </row>
    <row r="3001" spans="1:25" x14ac:dyDescent="0.3">
      <c r="A3001">
        <v>150000</v>
      </c>
      <c r="B3001" t="s">
        <v>59562</v>
      </c>
      <c r="C3001" t="s">
        <v>59563</v>
      </c>
      <c r="D3001" t="s">
        <v>59564</v>
      </c>
      <c r="E3001" t="s">
        <v>59565</v>
      </c>
      <c r="F3001" t="s">
        <v>59566</v>
      </c>
      <c r="G3001" t="s">
        <v>59567</v>
      </c>
      <c r="H3001" t="s">
        <v>59568</v>
      </c>
      <c r="I3001" t="s">
        <v>59569</v>
      </c>
      <c r="J3001" t="s">
        <v>59570</v>
      </c>
      <c r="K3001" t="s">
        <v>59571</v>
      </c>
      <c r="L3001" t="s">
        <v>59572</v>
      </c>
      <c r="M3001" t="s">
        <v>59573</v>
      </c>
      <c r="N3001" t="s">
        <v>59574</v>
      </c>
      <c r="O3001">
        <f>-618.01030856866 -92.3602449983056 -715.204750499786</f>
        <v>-1425.5753040667514</v>
      </c>
      <c r="P3001">
        <f>-623.606315530516 -68.2371349653648 -399.652906111251</f>
        <v>-1091.4963566071319</v>
      </c>
      <c r="Q3001">
        <f>-367.085413304836 -28.9776149936659 -382.396694519699</f>
        <v>-778.45972281820082</v>
      </c>
      <c r="R3001" t="s">
        <v>59575</v>
      </c>
      <c r="S3001" t="s">
        <v>59576</v>
      </c>
      <c r="T3001" t="s">
        <v>59577</v>
      </c>
      <c r="U3001" t="s">
        <v>59578</v>
      </c>
      <c r="V3001" t="s">
        <v>59579</v>
      </c>
      <c r="W3001" t="s">
        <v>59580</v>
      </c>
      <c r="X3001" t="s">
        <v>59581</v>
      </c>
      <c r="Y3001" t="s">
        <v>59582</v>
      </c>
    </row>
    <row r="3002" spans="1:25" x14ac:dyDescent="0.3">
      <c r="A3002">
        <v>150050</v>
      </c>
      <c r="B3002" t="s">
        <v>59583</v>
      </c>
      <c r="C3002" t="s">
        <v>59584</v>
      </c>
      <c r="D3002" t="s">
        <v>59585</v>
      </c>
      <c r="E3002" t="s">
        <v>59586</v>
      </c>
      <c r="F3002" t="s">
        <v>59587</v>
      </c>
      <c r="G3002" t="s">
        <v>59588</v>
      </c>
      <c r="H3002" t="s">
        <v>59589</v>
      </c>
      <c r="I3002" t="s">
        <v>59590</v>
      </c>
      <c r="J3002" t="s">
        <v>59591</v>
      </c>
      <c r="K3002" t="s">
        <v>59592</v>
      </c>
      <c r="L3002" t="s">
        <v>59593</v>
      </c>
      <c r="M3002" t="s">
        <v>59594</v>
      </c>
      <c r="N3002" t="s">
        <v>59595</v>
      </c>
      <c r="O3002">
        <f>-616.642948588901 -92.8919410218905 -715.611102477822</f>
        <v>-1425.1459920886136</v>
      </c>
      <c r="P3002">
        <f>-623.502512427875 -67.2231637052798 -400.206176783067</f>
        <v>-1090.9318529162219</v>
      </c>
      <c r="Q3002">
        <f>-366.719761793478 -29.6697077425279 -383.048688602444</f>
        <v>-779.43815813844992</v>
      </c>
      <c r="R3002" t="s">
        <v>59596</v>
      </c>
      <c r="S3002" t="s">
        <v>59597</v>
      </c>
      <c r="T3002" t="s">
        <v>59598</v>
      </c>
      <c r="U3002" t="s">
        <v>59599</v>
      </c>
      <c r="V3002" t="s">
        <v>59600</v>
      </c>
      <c r="W3002" t="s">
        <v>59601</v>
      </c>
      <c r="X3002" t="s">
        <v>59602</v>
      </c>
      <c r="Y3002" t="s">
        <v>59603</v>
      </c>
    </row>
    <row r="3003" spans="1:25" x14ac:dyDescent="0.3">
      <c r="A3003">
        <v>150100</v>
      </c>
      <c r="B3003" t="s">
        <v>59604</v>
      </c>
      <c r="C3003" t="s">
        <v>59605</v>
      </c>
      <c r="D3003" t="s">
        <v>59606</v>
      </c>
      <c r="E3003" t="s">
        <v>59607</v>
      </c>
      <c r="F3003" t="s">
        <v>59608</v>
      </c>
      <c r="G3003" t="s">
        <v>59609</v>
      </c>
      <c r="H3003" t="s">
        <v>59610</v>
      </c>
      <c r="I3003" t="s">
        <v>59611</v>
      </c>
      <c r="J3003" t="s">
        <v>59612</v>
      </c>
      <c r="K3003" t="s">
        <v>59613</v>
      </c>
      <c r="L3003" t="s">
        <v>59614</v>
      </c>
      <c r="M3003" t="s">
        <v>59615</v>
      </c>
      <c r="N3003" t="s">
        <v>59616</v>
      </c>
      <c r="O3003">
        <f>-616.567419764177 -93.1150859422358 -715.744281812271</f>
        <v>-1425.4267875186838</v>
      </c>
      <c r="P3003">
        <f>-623.543821413036 -66.8404889770208 -400.391971046479</f>
        <v>-1090.7762814365358</v>
      </c>
      <c r="Q3003">
        <f>-366.652117490076 -30.2524158065229 -382.784400798357</f>
        <v>-779.68893409495593</v>
      </c>
      <c r="R3003" t="s">
        <v>59617</v>
      </c>
      <c r="S3003" t="s">
        <v>59618</v>
      </c>
      <c r="T3003" t="s">
        <v>59619</v>
      </c>
      <c r="U3003" t="s">
        <v>59620</v>
      </c>
      <c r="V3003" t="s">
        <v>59621</v>
      </c>
      <c r="W3003" t="s">
        <v>59622</v>
      </c>
      <c r="X3003" t="s">
        <v>59623</v>
      </c>
      <c r="Y3003" t="s">
        <v>59624</v>
      </c>
    </row>
    <row r="3004" spans="1:25" x14ac:dyDescent="0.3">
      <c r="A3004">
        <v>150150</v>
      </c>
      <c r="B3004" t="s">
        <v>59625</v>
      </c>
      <c r="C3004" t="s">
        <v>59626</v>
      </c>
      <c r="D3004" t="s">
        <v>59627</v>
      </c>
      <c r="E3004" t="s">
        <v>59628</v>
      </c>
      <c r="F3004" t="s">
        <v>59629</v>
      </c>
      <c r="G3004" t="s">
        <v>59630</v>
      </c>
      <c r="H3004" t="s">
        <v>59631</v>
      </c>
      <c r="I3004" t="s">
        <v>59632</v>
      </c>
      <c r="J3004" t="s">
        <v>59633</v>
      </c>
      <c r="K3004" t="s">
        <v>59634</v>
      </c>
      <c r="L3004" t="s">
        <v>59635</v>
      </c>
      <c r="M3004" t="s">
        <v>59636</v>
      </c>
      <c r="N3004" t="s">
        <v>59637</v>
      </c>
      <c r="O3004">
        <f>-616.372268252107 -94.4509805405234 -715.712624059931</f>
        <v>-1426.5358728525616</v>
      </c>
      <c r="P3004">
        <f>-624.088003420869 -66.0806376279067 -400.559015995026</f>
        <v>-1090.7276570438016</v>
      </c>
      <c r="Q3004">
        <f>-367.007299191011 -31.3062899641024 -382.057282921083</f>
        <v>-780.37087207619641</v>
      </c>
      <c r="R3004" t="s">
        <v>59638</v>
      </c>
      <c r="S3004" t="s">
        <v>59639</v>
      </c>
      <c r="T3004" t="s">
        <v>59640</v>
      </c>
      <c r="U3004" t="s">
        <v>59641</v>
      </c>
      <c r="V3004" t="s">
        <v>59642</v>
      </c>
      <c r="W3004" t="s">
        <v>59643</v>
      </c>
      <c r="X3004" t="s">
        <v>59644</v>
      </c>
      <c r="Y3004" t="s">
        <v>59645</v>
      </c>
    </row>
    <row r="3005" spans="1:25" x14ac:dyDescent="0.3">
      <c r="A3005">
        <v>150200</v>
      </c>
      <c r="B3005" t="s">
        <v>59646</v>
      </c>
      <c r="C3005" t="s">
        <v>59647</v>
      </c>
      <c r="D3005" t="s">
        <v>59648</v>
      </c>
      <c r="E3005" t="s">
        <v>59649</v>
      </c>
      <c r="F3005" t="s">
        <v>59650</v>
      </c>
      <c r="G3005" t="s">
        <v>59651</v>
      </c>
      <c r="H3005" t="s">
        <v>59652</v>
      </c>
      <c r="I3005" t="s">
        <v>59653</v>
      </c>
      <c r="J3005" t="s">
        <v>59654</v>
      </c>
      <c r="K3005" t="s">
        <v>59655</v>
      </c>
      <c r="L3005" t="s">
        <v>59656</v>
      </c>
      <c r="M3005" t="s">
        <v>59657</v>
      </c>
      <c r="N3005" t="s">
        <v>59658</v>
      </c>
      <c r="O3005">
        <f>-616.39827285179 -95.0729853383887 -715.682235689873</f>
        <v>-1427.1534938800517</v>
      </c>
      <c r="P3005">
        <f>-624.896381932456 -65.6096175141999 -400.64917640047</f>
        <v>-1091.155175847126</v>
      </c>
      <c r="Q3005">
        <f>-367.736985090706 -31.5692969808848 -381.877648284628</f>
        <v>-781.18393035621875</v>
      </c>
      <c r="R3005" t="s">
        <v>59659</v>
      </c>
      <c r="S3005" t="s">
        <v>59660</v>
      </c>
      <c r="T3005" t="s">
        <v>59661</v>
      </c>
      <c r="U3005" t="s">
        <v>59662</v>
      </c>
      <c r="V3005" t="s">
        <v>59663</v>
      </c>
      <c r="W3005" t="s">
        <v>59664</v>
      </c>
      <c r="X3005" t="s">
        <v>59665</v>
      </c>
      <c r="Y3005" t="s">
        <v>59666</v>
      </c>
    </row>
    <row r="3006" spans="1:25" x14ac:dyDescent="0.3">
      <c r="A3006">
        <v>150250</v>
      </c>
      <c r="B3006" t="s">
        <v>59667</v>
      </c>
      <c r="C3006" t="s">
        <v>59668</v>
      </c>
      <c r="D3006" t="s">
        <v>59669</v>
      </c>
      <c r="E3006" t="s">
        <v>59670</v>
      </c>
      <c r="F3006" t="s">
        <v>59671</v>
      </c>
      <c r="G3006" t="s">
        <v>59672</v>
      </c>
      <c r="H3006" t="s">
        <v>59673</v>
      </c>
      <c r="I3006" t="s">
        <v>59674</v>
      </c>
      <c r="J3006" t="s">
        <v>59675</v>
      </c>
      <c r="K3006" t="s">
        <v>59676</v>
      </c>
      <c r="L3006" t="s">
        <v>59677</v>
      </c>
      <c r="M3006" t="s">
        <v>59678</v>
      </c>
      <c r="N3006" t="s">
        <v>59679</v>
      </c>
      <c r="O3006">
        <f>-617.868036642162 -95.5199156189769 -715.471151294642</f>
        <v>-1428.8591035557811</v>
      </c>
      <c r="P3006">
        <f>-625.935716510302 -64.2865655570885 -400.597263077109</f>
        <v>-1090.8195451444994</v>
      </c>
      <c r="Q3006">
        <f>-368.608510820924 -30.9348242683397 -382.921872361035</f>
        <v>-782.46520745029875</v>
      </c>
      <c r="R3006" t="s">
        <v>59680</v>
      </c>
      <c r="S3006" t="s">
        <v>59681</v>
      </c>
      <c r="T3006" t="s">
        <v>59682</v>
      </c>
      <c r="U3006" t="s">
        <v>59683</v>
      </c>
      <c r="V3006" t="s">
        <v>59684</v>
      </c>
      <c r="W3006" t="s">
        <v>59685</v>
      </c>
      <c r="X3006" t="s">
        <v>59686</v>
      </c>
      <c r="Y3006" t="s">
        <v>59687</v>
      </c>
    </row>
    <row r="3007" spans="1:25" x14ac:dyDescent="0.3">
      <c r="A3007">
        <v>150300</v>
      </c>
      <c r="B3007" t="s">
        <v>59688</v>
      </c>
      <c r="C3007" t="s">
        <v>59689</v>
      </c>
      <c r="D3007" t="s">
        <v>59690</v>
      </c>
      <c r="E3007" t="s">
        <v>59691</v>
      </c>
      <c r="F3007" t="s">
        <v>59692</v>
      </c>
      <c r="G3007" t="s">
        <v>59693</v>
      </c>
      <c r="H3007" t="s">
        <v>59694</v>
      </c>
      <c r="I3007" t="s">
        <v>59695</v>
      </c>
      <c r="J3007" t="s">
        <v>59696</v>
      </c>
      <c r="K3007" t="s">
        <v>59697</v>
      </c>
      <c r="L3007" t="s">
        <v>59698</v>
      </c>
      <c r="M3007" t="s">
        <v>59699</v>
      </c>
      <c r="N3007" t="s">
        <v>59700</v>
      </c>
      <c r="O3007">
        <f>-618.883011394709 -96.1109715106221 -715.038463012072</f>
        <v>-1430.032445917403</v>
      </c>
      <c r="P3007">
        <f>-626.293526577357 -63.8483775557866 -400.252250566885</f>
        <v>-1090.3941547000286</v>
      </c>
      <c r="Q3007">
        <f>-368.762599172316 -31.2484755272812 -384.216780519407</f>
        <v>-784.22785521900414</v>
      </c>
      <c r="R3007" t="s">
        <v>59701</v>
      </c>
      <c r="S3007" t="s">
        <v>59702</v>
      </c>
      <c r="T3007" t="s">
        <v>59703</v>
      </c>
      <c r="U3007" t="s">
        <v>59704</v>
      </c>
      <c r="V3007" t="s">
        <v>59705</v>
      </c>
      <c r="W3007" t="s">
        <v>59706</v>
      </c>
      <c r="X3007" t="s">
        <v>59707</v>
      </c>
      <c r="Y3007" t="s">
        <v>59708</v>
      </c>
    </row>
    <row r="3008" spans="1:25" x14ac:dyDescent="0.3">
      <c r="A3008">
        <v>150350</v>
      </c>
      <c r="B3008" t="s">
        <v>59709</v>
      </c>
      <c r="C3008" t="s">
        <v>59710</v>
      </c>
      <c r="D3008" t="s">
        <v>59711</v>
      </c>
      <c r="E3008" t="s">
        <v>59712</v>
      </c>
      <c r="F3008" t="s">
        <v>59713</v>
      </c>
      <c r="G3008" t="s">
        <v>59714</v>
      </c>
      <c r="H3008" t="s">
        <v>59715</v>
      </c>
      <c r="I3008" t="s">
        <v>59716</v>
      </c>
      <c r="J3008" t="s">
        <v>59717</v>
      </c>
      <c r="K3008" t="s">
        <v>59718</v>
      </c>
      <c r="L3008" t="s">
        <v>59719</v>
      </c>
      <c r="M3008" t="s">
        <v>59720</v>
      </c>
      <c r="N3008" t="s">
        <v>59721</v>
      </c>
      <c r="O3008">
        <f>-621.200122453651 -97.4371740438682 -714.057513469738</f>
        <v>-1432.6948099672572</v>
      </c>
      <c r="P3008">
        <f>-627.394036019565 -64.3198880016228 -399.333699570386</f>
        <v>-1091.0476235915737</v>
      </c>
      <c r="Q3008">
        <f>-369.441946508003 -33.6908054539685 -386.502390268991</f>
        <v>-789.63514223096251</v>
      </c>
      <c r="R3008" t="s">
        <v>59722</v>
      </c>
      <c r="S3008" t="s">
        <v>59723</v>
      </c>
      <c r="T3008" t="s">
        <v>59724</v>
      </c>
      <c r="U3008" t="s">
        <v>59725</v>
      </c>
      <c r="V3008" t="s">
        <v>59726</v>
      </c>
      <c r="W3008" t="s">
        <v>59727</v>
      </c>
      <c r="X3008" t="s">
        <v>59728</v>
      </c>
      <c r="Y3008" t="s">
        <v>59729</v>
      </c>
    </row>
    <row r="3009" spans="1:25" x14ac:dyDescent="0.3">
      <c r="A3009">
        <v>150400</v>
      </c>
      <c r="B3009" t="s">
        <v>59730</v>
      </c>
      <c r="C3009" t="s">
        <v>59731</v>
      </c>
      <c r="D3009" t="s">
        <v>59732</v>
      </c>
      <c r="E3009" t="s">
        <v>59733</v>
      </c>
      <c r="F3009" t="s">
        <v>59734</v>
      </c>
      <c r="G3009" t="s">
        <v>59735</v>
      </c>
      <c r="H3009" t="s">
        <v>59736</v>
      </c>
      <c r="I3009" t="s">
        <v>59737</v>
      </c>
      <c r="J3009" t="s">
        <v>59738</v>
      </c>
      <c r="K3009" t="s">
        <v>59739</v>
      </c>
      <c r="L3009" t="s">
        <v>59740</v>
      </c>
      <c r="M3009" t="s">
        <v>59741</v>
      </c>
      <c r="N3009" t="s">
        <v>59742</v>
      </c>
      <c r="O3009">
        <f>-622.462902866681 -97.862398787778 -713.620092366213</f>
        <v>-1433.9453940206722</v>
      </c>
      <c r="P3009">
        <f>-628.013156146796 -64.3363076018247 -398.927527576331</f>
        <v>-1091.2769913249517</v>
      </c>
      <c r="Q3009">
        <f>-369.922144015522 -34.149083149053 -387.980672735805</f>
        <v>-792.05189990038002</v>
      </c>
      <c r="R3009" t="s">
        <v>59743</v>
      </c>
      <c r="S3009" t="s">
        <v>59744</v>
      </c>
      <c r="T3009" t="s">
        <v>59745</v>
      </c>
      <c r="U3009" t="s">
        <v>59746</v>
      </c>
      <c r="V3009" t="s">
        <v>59747</v>
      </c>
      <c r="W3009" t="s">
        <v>59748</v>
      </c>
      <c r="X3009" t="s">
        <v>59749</v>
      </c>
      <c r="Y3009" t="s">
        <v>59750</v>
      </c>
    </row>
    <row r="3010" spans="1:25" x14ac:dyDescent="0.3">
      <c r="A3010">
        <v>150450</v>
      </c>
      <c r="B3010" t="s">
        <v>59751</v>
      </c>
      <c r="C3010" t="s">
        <v>59752</v>
      </c>
      <c r="D3010" t="s">
        <v>59753</v>
      </c>
      <c r="E3010" t="s">
        <v>59754</v>
      </c>
      <c r="F3010" t="s">
        <v>59755</v>
      </c>
      <c r="G3010" t="s">
        <v>59756</v>
      </c>
      <c r="H3010" t="s">
        <v>59757</v>
      </c>
      <c r="I3010" t="s">
        <v>59758</v>
      </c>
      <c r="J3010" t="s">
        <v>59759</v>
      </c>
      <c r="K3010" t="s">
        <v>59760</v>
      </c>
      <c r="L3010" t="s">
        <v>59761</v>
      </c>
      <c r="M3010" t="s">
        <v>59762</v>
      </c>
      <c r="N3010" t="s">
        <v>59763</v>
      </c>
      <c r="O3010">
        <f>-625.001434192119 -98.4785755612224 -712.885037507538</f>
        <v>-1436.3650472608792</v>
      </c>
      <c r="P3010">
        <f>-630.131232011271 -66.06567634442 -398.068804147158</f>
        <v>-1094.2657125028491</v>
      </c>
      <c r="Q3010">
        <f>-372.007708967512 -35.2253374648026 -390.121227009822</f>
        <v>-797.35427344213656</v>
      </c>
      <c r="R3010" t="s">
        <v>59764</v>
      </c>
      <c r="S3010" t="s">
        <v>59765</v>
      </c>
      <c r="T3010" t="s">
        <v>59766</v>
      </c>
      <c r="U3010" t="s">
        <v>59767</v>
      </c>
      <c r="V3010" t="s">
        <v>59768</v>
      </c>
      <c r="W3010" t="s">
        <v>59769</v>
      </c>
      <c r="X3010" t="s">
        <v>59770</v>
      </c>
      <c r="Y3010" t="s">
        <v>59771</v>
      </c>
    </row>
    <row r="3011" spans="1:25" x14ac:dyDescent="0.3">
      <c r="A3011">
        <v>150500</v>
      </c>
      <c r="B3011" t="s">
        <v>59772</v>
      </c>
      <c r="C3011" t="s">
        <v>59773</v>
      </c>
      <c r="D3011" t="s">
        <v>59774</v>
      </c>
      <c r="E3011" t="s">
        <v>59775</v>
      </c>
      <c r="F3011" t="s">
        <v>59776</v>
      </c>
      <c r="G3011" t="s">
        <v>59777</v>
      </c>
      <c r="H3011" t="s">
        <v>59778</v>
      </c>
      <c r="I3011" t="s">
        <v>59779</v>
      </c>
      <c r="J3011" t="s">
        <v>59780</v>
      </c>
      <c r="K3011" t="s">
        <v>59781</v>
      </c>
      <c r="L3011" t="s">
        <v>59782</v>
      </c>
      <c r="M3011" t="s">
        <v>59783</v>
      </c>
      <c r="N3011" t="s">
        <v>59784</v>
      </c>
      <c r="O3011">
        <f>-626.130172246734 -98.3808690436166 -712.673140595615</f>
        <v>-1437.1841818859657</v>
      </c>
      <c r="P3011">
        <f>-630.289034056891 -65.7696066875113 -397.862932077021</f>
        <v>-1093.9215728214233</v>
      </c>
      <c r="Q3011">
        <f>-372.094010416574 -35.6106081238631 -389.628878524272</f>
        <v>-797.33349706470904</v>
      </c>
      <c r="R3011" t="s">
        <v>59785</v>
      </c>
      <c r="S3011" t="s">
        <v>59786</v>
      </c>
      <c r="T3011" t="s">
        <v>59787</v>
      </c>
      <c r="U3011" t="s">
        <v>59788</v>
      </c>
      <c r="V3011" t="s">
        <v>59789</v>
      </c>
      <c r="W3011" t="s">
        <v>59790</v>
      </c>
      <c r="X3011" t="s">
        <v>59791</v>
      </c>
      <c r="Y3011" t="s">
        <v>59792</v>
      </c>
    </row>
    <row r="3012" spans="1:25" x14ac:dyDescent="0.3">
      <c r="A3012">
        <v>150550</v>
      </c>
      <c r="B3012" t="s">
        <v>59793</v>
      </c>
      <c r="C3012" t="s">
        <v>59794</v>
      </c>
      <c r="D3012" t="s">
        <v>59795</v>
      </c>
      <c r="E3012" t="s">
        <v>59796</v>
      </c>
      <c r="F3012" t="s">
        <v>59797</v>
      </c>
      <c r="G3012" t="s">
        <v>59798</v>
      </c>
      <c r="H3012" t="s">
        <v>59799</v>
      </c>
      <c r="I3012" t="s">
        <v>59800</v>
      </c>
      <c r="J3012" t="s">
        <v>59801</v>
      </c>
      <c r="K3012" t="s">
        <v>59802</v>
      </c>
      <c r="L3012" t="s">
        <v>59803</v>
      </c>
      <c r="M3012" t="s">
        <v>59804</v>
      </c>
      <c r="N3012" t="s">
        <v>59805</v>
      </c>
      <c r="O3012">
        <f>-628.191521105393 -98.6631244595231 -711.991257460854</f>
        <v>-1438.84590302577</v>
      </c>
      <c r="P3012">
        <f>-631.097638213295 -65.3258046236659 -397.243158517598</f>
        <v>-1093.6666013545589</v>
      </c>
      <c r="Q3012">
        <f>-372.806669247852 -36.0546874283313 -388.815208063986</f>
        <v>-797.6765647401694</v>
      </c>
      <c r="R3012" t="s">
        <v>59806</v>
      </c>
      <c r="S3012" t="s">
        <v>59807</v>
      </c>
      <c r="T3012" t="s">
        <v>59808</v>
      </c>
      <c r="U3012" t="s">
        <v>59809</v>
      </c>
      <c r="V3012" t="s">
        <v>59810</v>
      </c>
      <c r="W3012" t="s">
        <v>59811</v>
      </c>
      <c r="X3012" t="s">
        <v>59812</v>
      </c>
      <c r="Y3012" t="s">
        <v>59813</v>
      </c>
    </row>
    <row r="3013" spans="1:25" x14ac:dyDescent="0.3">
      <c r="A3013">
        <v>150600</v>
      </c>
      <c r="B3013" t="s">
        <v>59814</v>
      </c>
      <c r="C3013" t="s">
        <v>59815</v>
      </c>
      <c r="D3013" t="s">
        <v>59816</v>
      </c>
      <c r="E3013" t="s">
        <v>59817</v>
      </c>
      <c r="F3013" t="s">
        <v>59818</v>
      </c>
      <c r="G3013" t="s">
        <v>59819</v>
      </c>
      <c r="H3013" t="s">
        <v>59820</v>
      </c>
      <c r="I3013" t="s">
        <v>59821</v>
      </c>
      <c r="J3013" t="s">
        <v>59822</v>
      </c>
      <c r="K3013" t="s">
        <v>59823</v>
      </c>
      <c r="L3013" t="s">
        <v>59824</v>
      </c>
      <c r="M3013" t="s">
        <v>59825</v>
      </c>
      <c r="N3013" t="s">
        <v>59826</v>
      </c>
      <c r="O3013">
        <f>-628.54660192181 -99.2354001346237 -711.886072697866</f>
        <v>-1439.6680747542996</v>
      </c>
      <c r="P3013">
        <f>-631.772069527097 -66.1289360908492 -397.116780635855</f>
        <v>-1095.0177862538012</v>
      </c>
      <c r="Q3013">
        <f>-373.482613676234 -36.8721787564944 -388.593247631571</f>
        <v>-798.94804006429945</v>
      </c>
      <c r="R3013" t="s">
        <v>59827</v>
      </c>
      <c r="S3013" t="s">
        <v>59828</v>
      </c>
      <c r="T3013" t="s">
        <v>59829</v>
      </c>
      <c r="U3013" t="s">
        <v>59830</v>
      </c>
      <c r="V3013" t="s">
        <v>59831</v>
      </c>
      <c r="W3013" t="s">
        <v>59832</v>
      </c>
      <c r="X3013" t="s">
        <v>59833</v>
      </c>
      <c r="Y3013" t="s">
        <v>59834</v>
      </c>
    </row>
    <row r="3014" spans="1:25" x14ac:dyDescent="0.3">
      <c r="A3014">
        <v>150650</v>
      </c>
      <c r="B3014" t="s">
        <v>59835</v>
      </c>
      <c r="C3014" t="s">
        <v>59836</v>
      </c>
      <c r="D3014" t="s">
        <v>59837</v>
      </c>
      <c r="E3014" t="s">
        <v>59838</v>
      </c>
      <c r="F3014" t="s">
        <v>59839</v>
      </c>
      <c r="G3014" t="s">
        <v>59840</v>
      </c>
      <c r="H3014" t="s">
        <v>59841</v>
      </c>
      <c r="I3014" t="s">
        <v>59842</v>
      </c>
      <c r="J3014" t="s">
        <v>59843</v>
      </c>
      <c r="K3014" t="s">
        <v>59844</v>
      </c>
      <c r="L3014" t="s">
        <v>59845</v>
      </c>
      <c r="M3014" t="s">
        <v>59846</v>
      </c>
      <c r="N3014" t="s">
        <v>59847</v>
      </c>
      <c r="O3014">
        <f>-629.799879231689 -99.4021771218771 -711.937297608221</f>
        <v>-1441.139353961787</v>
      </c>
      <c r="P3014">
        <f>-634.334185595629 -65.0050612564583 -397.322389133681</f>
        <v>-1096.6616359857685</v>
      </c>
      <c r="Q3014">
        <f>-376.026389333831 -36.0311449474144 -388.398435796683</f>
        <v>-800.45597007792844</v>
      </c>
      <c r="R3014" t="s">
        <v>59848</v>
      </c>
      <c r="S3014" t="s">
        <v>59849</v>
      </c>
      <c r="T3014" t="s">
        <v>59850</v>
      </c>
      <c r="U3014" t="s">
        <v>59851</v>
      </c>
      <c r="V3014" t="s">
        <v>59852</v>
      </c>
      <c r="W3014" t="s">
        <v>59853</v>
      </c>
      <c r="X3014" t="s">
        <v>59854</v>
      </c>
      <c r="Y3014" t="s">
        <v>59855</v>
      </c>
    </row>
    <row r="3015" spans="1:25" x14ac:dyDescent="0.3">
      <c r="A3015">
        <v>150700</v>
      </c>
      <c r="B3015" t="s">
        <v>59856</v>
      </c>
      <c r="C3015" t="s">
        <v>59857</v>
      </c>
      <c r="D3015" t="s">
        <v>59858</v>
      </c>
      <c r="E3015" t="s">
        <v>59859</v>
      </c>
      <c r="F3015" t="s">
        <v>59860</v>
      </c>
      <c r="G3015" t="s">
        <v>59861</v>
      </c>
      <c r="H3015" t="s">
        <v>59862</v>
      </c>
      <c r="I3015" t="s">
        <v>59863</v>
      </c>
      <c r="J3015" t="s">
        <v>59864</v>
      </c>
      <c r="K3015" t="s">
        <v>59865</v>
      </c>
      <c r="L3015" t="s">
        <v>59866</v>
      </c>
      <c r="M3015" t="s">
        <v>59867</v>
      </c>
      <c r="N3015" t="s">
        <v>59868</v>
      </c>
      <c r="O3015">
        <f>-630.171360284067 -99.4716944120793 -712.284765024241</f>
        <v>-1441.9278197203871</v>
      </c>
      <c r="P3015">
        <f>-635.408708625308 -65.1880197400668 -397.66842357648</f>
        <v>-1098.2651519418548</v>
      </c>
      <c r="Q3015">
        <f>-377.172638334987 -35.6777426867889 -388.431155452939</f>
        <v>-801.28153647471493</v>
      </c>
      <c r="R3015" t="s">
        <v>59869</v>
      </c>
      <c r="S3015" t="s">
        <v>59870</v>
      </c>
      <c r="T3015" t="s">
        <v>59871</v>
      </c>
      <c r="U3015" t="s">
        <v>59872</v>
      </c>
      <c r="V3015" t="s">
        <v>59873</v>
      </c>
      <c r="W3015" t="s">
        <v>59874</v>
      </c>
      <c r="X3015" t="s">
        <v>59875</v>
      </c>
      <c r="Y3015" t="s">
        <v>59876</v>
      </c>
    </row>
    <row r="3016" spans="1:25" x14ac:dyDescent="0.3">
      <c r="A3016">
        <v>150750</v>
      </c>
      <c r="B3016" t="s">
        <v>59877</v>
      </c>
      <c r="C3016" t="s">
        <v>59878</v>
      </c>
      <c r="D3016" t="s">
        <v>59879</v>
      </c>
      <c r="E3016" t="s">
        <v>59880</v>
      </c>
      <c r="F3016" t="s">
        <v>59881</v>
      </c>
      <c r="G3016" t="s">
        <v>59882</v>
      </c>
      <c r="H3016" t="s">
        <v>59883</v>
      </c>
      <c r="I3016" t="s">
        <v>59884</v>
      </c>
      <c r="J3016" t="s">
        <v>59885</v>
      </c>
      <c r="K3016" t="s">
        <v>59886</v>
      </c>
      <c r="L3016" t="s">
        <v>59887</v>
      </c>
      <c r="M3016" t="s">
        <v>59888</v>
      </c>
      <c r="N3016" t="s">
        <v>59889</v>
      </c>
      <c r="O3016">
        <f>-630.844067753165 -99.1136582643963 -714.354043438236</f>
        <v>-1444.3117694557973</v>
      </c>
      <c r="P3016">
        <f>-637.457928152155 -66.3508482956685 -399.601770404102</f>
        <v>-1103.4105468519256</v>
      </c>
      <c r="Q3016">
        <f>-379.419920981772 -34.7374151448933 -391.919083268774</f>
        <v>-806.0764193954393</v>
      </c>
      <c r="R3016" t="s">
        <v>59890</v>
      </c>
      <c r="S3016" t="s">
        <v>59891</v>
      </c>
      <c r="T3016" t="s">
        <v>59892</v>
      </c>
      <c r="U3016" t="s">
        <v>59893</v>
      </c>
      <c r="V3016" t="s">
        <v>59894</v>
      </c>
      <c r="W3016" t="s">
        <v>59895</v>
      </c>
      <c r="X3016" t="s">
        <v>59896</v>
      </c>
      <c r="Y3016" t="s">
        <v>59897</v>
      </c>
    </row>
    <row r="3017" spans="1:25" x14ac:dyDescent="0.3">
      <c r="A3017">
        <v>150800</v>
      </c>
      <c r="B3017" t="s">
        <v>59898</v>
      </c>
      <c r="C3017" t="s">
        <v>59899</v>
      </c>
      <c r="D3017" t="s">
        <v>59900</v>
      </c>
      <c r="E3017" t="s">
        <v>59901</v>
      </c>
      <c r="F3017" t="s">
        <v>59902</v>
      </c>
      <c r="G3017" t="s">
        <v>59903</v>
      </c>
      <c r="H3017" t="s">
        <v>59904</v>
      </c>
      <c r="I3017" t="s">
        <v>59905</v>
      </c>
      <c r="J3017" t="s">
        <v>59906</v>
      </c>
      <c r="K3017" t="s">
        <v>59907</v>
      </c>
      <c r="L3017" t="s">
        <v>59908</v>
      </c>
      <c r="M3017" t="s">
        <v>59909</v>
      </c>
      <c r="N3017" t="s">
        <v>59910</v>
      </c>
      <c r="O3017">
        <f>-630.787138216771 -98.824474550625 -715.920413361568</f>
        <v>-1445.5320261289639</v>
      </c>
      <c r="P3017">
        <f>-637.216297226255 -66.3817343178183 -401.130981563836</f>
        <v>-1104.7290131079094</v>
      </c>
      <c r="Q3017">
        <f>-379.145452296244 -34.7508060053744 -394.730083140061</f>
        <v>-808.62634144167941</v>
      </c>
      <c r="R3017" t="s">
        <v>59911</v>
      </c>
      <c r="S3017" t="s">
        <v>59912</v>
      </c>
      <c r="T3017" t="s">
        <v>59913</v>
      </c>
      <c r="U3017" t="s">
        <v>59914</v>
      </c>
      <c r="V3017" t="s">
        <v>59915</v>
      </c>
      <c r="W3017" t="s">
        <v>59916</v>
      </c>
      <c r="X3017" t="s">
        <v>59917</v>
      </c>
      <c r="Y3017" t="s">
        <v>59918</v>
      </c>
    </row>
    <row r="3018" spans="1:25" x14ac:dyDescent="0.3">
      <c r="A3018">
        <v>150850</v>
      </c>
      <c r="B3018" t="s">
        <v>59919</v>
      </c>
      <c r="C3018" t="s">
        <v>59920</v>
      </c>
      <c r="D3018" t="s">
        <v>59921</v>
      </c>
      <c r="E3018" t="s">
        <v>59922</v>
      </c>
      <c r="F3018" t="s">
        <v>59923</v>
      </c>
      <c r="G3018" t="s">
        <v>59924</v>
      </c>
      <c r="H3018" t="s">
        <v>59925</v>
      </c>
      <c r="I3018" t="s">
        <v>59926</v>
      </c>
      <c r="J3018" t="s">
        <v>59927</v>
      </c>
      <c r="K3018" t="s">
        <v>59928</v>
      </c>
      <c r="L3018" t="s">
        <v>59929</v>
      </c>
      <c r="M3018" t="s">
        <v>59930</v>
      </c>
      <c r="N3018" t="s">
        <v>59931</v>
      </c>
      <c r="O3018">
        <f>-631.757639851884 -99.1898022986176 -718.015753454271</f>
        <v>-1448.9631956047726</v>
      </c>
      <c r="P3018">
        <f>-637.586998020073 -68.0781113278732 -403.080387060799</f>
        <v>-1108.7454964087451</v>
      </c>
      <c r="Q3018">
        <f>-379.44672813342 -36.6021139267206 -399.219011693018</f>
        <v>-815.26785375315853</v>
      </c>
      <c r="R3018" t="s">
        <v>59932</v>
      </c>
      <c r="S3018" t="s">
        <v>59933</v>
      </c>
      <c r="T3018" t="s">
        <v>59934</v>
      </c>
      <c r="U3018" t="s">
        <v>59935</v>
      </c>
      <c r="V3018" t="s">
        <v>59936</v>
      </c>
      <c r="W3018" t="s">
        <v>59937</v>
      </c>
      <c r="X3018" t="s">
        <v>59938</v>
      </c>
      <c r="Y3018" t="s">
        <v>59939</v>
      </c>
    </row>
    <row r="3019" spans="1:25" x14ac:dyDescent="0.3">
      <c r="A3019">
        <v>150900</v>
      </c>
      <c r="B3019" t="s">
        <v>59940</v>
      </c>
      <c r="C3019" t="s">
        <v>59941</v>
      </c>
      <c r="D3019" t="s">
        <v>59942</v>
      </c>
      <c r="E3019" t="s">
        <v>59943</v>
      </c>
      <c r="F3019" t="s">
        <v>59944</v>
      </c>
      <c r="G3019" t="s">
        <v>59945</v>
      </c>
      <c r="H3019" t="s">
        <v>59946</v>
      </c>
      <c r="I3019" t="s">
        <v>59947</v>
      </c>
      <c r="J3019" t="s">
        <v>59948</v>
      </c>
      <c r="K3019" t="s">
        <v>59949</v>
      </c>
      <c r="L3019" t="s">
        <v>59950</v>
      </c>
      <c r="M3019" t="s">
        <v>59951</v>
      </c>
      <c r="N3019" t="s">
        <v>59952</v>
      </c>
      <c r="O3019">
        <f>-632.510516811718 -99.1581538395091 -718.784029665669</f>
        <v>-1450.452700316896</v>
      </c>
      <c r="P3019">
        <f>-637.398748397819 -68.0751521876993 -403.829776473488</f>
        <v>-1109.3036770590063</v>
      </c>
      <c r="Q3019">
        <f>-379.185645157396 -37.1661185110537 -400.270011196367</f>
        <v>-816.62177486481664</v>
      </c>
      <c r="R3019" t="s">
        <v>59953</v>
      </c>
      <c r="S3019" t="s">
        <v>59954</v>
      </c>
      <c r="T3019" t="s">
        <v>59955</v>
      </c>
      <c r="U3019" t="s">
        <v>59956</v>
      </c>
      <c r="V3019" t="s">
        <v>59957</v>
      </c>
      <c r="W3019" t="s">
        <v>59958</v>
      </c>
      <c r="X3019" t="s">
        <v>59959</v>
      </c>
      <c r="Y3019" t="s">
        <v>59960</v>
      </c>
    </row>
    <row r="3020" spans="1:25" x14ac:dyDescent="0.3">
      <c r="A3020">
        <v>150950</v>
      </c>
      <c r="B3020" t="s">
        <v>59961</v>
      </c>
      <c r="C3020" t="s">
        <v>59962</v>
      </c>
      <c r="D3020" t="s">
        <v>59963</v>
      </c>
      <c r="E3020" t="s">
        <v>59964</v>
      </c>
      <c r="F3020" t="s">
        <v>59965</v>
      </c>
      <c r="G3020" t="s">
        <v>59966</v>
      </c>
      <c r="H3020" t="s">
        <v>59967</v>
      </c>
      <c r="I3020" t="s">
        <v>59968</v>
      </c>
      <c r="J3020" t="s">
        <v>59969</v>
      </c>
      <c r="K3020" t="s">
        <v>59970</v>
      </c>
      <c r="L3020" t="s">
        <v>59971</v>
      </c>
      <c r="M3020" t="s">
        <v>59972</v>
      </c>
      <c r="N3020" t="s">
        <v>59973</v>
      </c>
      <c r="O3020">
        <f>-633.074844922035 -99.8394538732645 -719.383875900624</f>
        <v>-1452.2981746959235</v>
      </c>
      <c r="P3020">
        <f>-637.183848364914 -68.9342393486674 -404.40107242713</f>
        <v>-1110.5191601407114</v>
      </c>
      <c r="Q3020">
        <f>-379.001941714728 -37.7046498132028 -401.422904892312</f>
        <v>-818.12949642024273</v>
      </c>
      <c r="R3020" t="s">
        <v>59974</v>
      </c>
      <c r="S3020" t="s">
        <v>59975</v>
      </c>
      <c r="T3020" t="s">
        <v>59976</v>
      </c>
      <c r="U3020" t="s">
        <v>59977</v>
      </c>
      <c r="V3020" t="s">
        <v>59978</v>
      </c>
      <c r="W3020" t="s">
        <v>59979</v>
      </c>
      <c r="X3020" t="s">
        <v>59980</v>
      </c>
      <c r="Y3020" t="s">
        <v>59981</v>
      </c>
    </row>
    <row r="3021" spans="1:25" x14ac:dyDescent="0.3">
      <c r="A3021">
        <v>151000</v>
      </c>
      <c r="B3021" t="s">
        <v>59982</v>
      </c>
      <c r="C3021" t="s">
        <v>59983</v>
      </c>
      <c r="D3021" t="s">
        <v>59984</v>
      </c>
      <c r="E3021" t="s">
        <v>59985</v>
      </c>
      <c r="F3021" t="s">
        <v>59986</v>
      </c>
      <c r="G3021" t="s">
        <v>59987</v>
      </c>
      <c r="H3021" t="s">
        <v>59988</v>
      </c>
      <c r="I3021" t="s">
        <v>59989</v>
      </c>
      <c r="J3021" t="s">
        <v>59990</v>
      </c>
      <c r="K3021" t="s">
        <v>59991</v>
      </c>
      <c r="L3021" t="s">
        <v>59992</v>
      </c>
      <c r="M3021" t="s">
        <v>59993</v>
      </c>
      <c r="N3021" t="s">
        <v>59994</v>
      </c>
      <c r="O3021">
        <f>-633.056316533436 -99.8845048955098 -719.626319677573</f>
        <v>-1452.5671411065186</v>
      </c>
      <c r="P3021">
        <f>-636.825105774882 -69.0135702651877 -404.635995747472</f>
        <v>-1110.4746717875416</v>
      </c>
      <c r="Q3021">
        <f>-378.629039423838 -37.9397962945407 -401.285409904868</f>
        <v>-817.8542456232467</v>
      </c>
      <c r="R3021" t="s">
        <v>59995</v>
      </c>
      <c r="S3021" t="s">
        <v>59996</v>
      </c>
      <c r="T3021" t="s">
        <v>59997</v>
      </c>
      <c r="U3021" t="s">
        <v>59998</v>
      </c>
      <c r="V3021" t="s">
        <v>59999</v>
      </c>
      <c r="W3021" t="s">
        <v>60000</v>
      </c>
      <c r="X3021" t="s">
        <v>60001</v>
      </c>
      <c r="Y3021" t="s">
        <v>60002</v>
      </c>
    </row>
    <row r="3022" spans="1:25" x14ac:dyDescent="0.3">
      <c r="A3022">
        <v>151050</v>
      </c>
      <c r="B3022" t="s">
        <v>60003</v>
      </c>
      <c r="C3022" t="s">
        <v>60004</v>
      </c>
      <c r="D3022" t="s">
        <v>60005</v>
      </c>
      <c r="E3022" t="s">
        <v>60006</v>
      </c>
      <c r="F3022" t="s">
        <v>60007</v>
      </c>
      <c r="G3022" t="s">
        <v>60008</v>
      </c>
      <c r="H3022" t="s">
        <v>60009</v>
      </c>
      <c r="I3022" t="s">
        <v>60010</v>
      </c>
      <c r="J3022" t="s">
        <v>60011</v>
      </c>
      <c r="K3022" t="s">
        <v>60012</v>
      </c>
      <c r="L3022" t="s">
        <v>60013</v>
      </c>
      <c r="M3022" t="s">
        <v>60014</v>
      </c>
      <c r="N3022" t="s">
        <v>60015</v>
      </c>
      <c r="O3022">
        <f>-632.431384484932 -99.5358902386352 -720.110936353969</f>
        <v>-1452.0782110775363</v>
      </c>
      <c r="P3022">
        <f>-635.480091585068 -68.5938540817604 -405.119652319436</f>
        <v>-1109.1935979862642</v>
      </c>
      <c r="Q3022">
        <f>-377.104564396156 -39.0347181123474 -401.893531700142</f>
        <v>-818.03281420864528</v>
      </c>
      <c r="R3022" t="s">
        <v>60016</v>
      </c>
      <c r="S3022" t="s">
        <v>60017</v>
      </c>
      <c r="T3022" t="s">
        <v>60018</v>
      </c>
      <c r="U3022" t="s">
        <v>60019</v>
      </c>
      <c r="V3022" t="s">
        <v>60020</v>
      </c>
      <c r="W3022" t="s">
        <v>60021</v>
      </c>
      <c r="X3022" t="s">
        <v>60022</v>
      </c>
      <c r="Y3022" t="s">
        <v>60023</v>
      </c>
    </row>
    <row r="3023" spans="1:25" x14ac:dyDescent="0.3">
      <c r="A3023">
        <v>151100</v>
      </c>
      <c r="B3023" t="s">
        <v>60024</v>
      </c>
      <c r="C3023" t="s">
        <v>60025</v>
      </c>
      <c r="D3023" t="s">
        <v>60026</v>
      </c>
      <c r="E3023" t="s">
        <v>60027</v>
      </c>
      <c r="F3023" t="s">
        <v>60028</v>
      </c>
      <c r="G3023" t="s">
        <v>60029</v>
      </c>
      <c r="H3023" t="s">
        <v>60030</v>
      </c>
      <c r="I3023" t="s">
        <v>60031</v>
      </c>
      <c r="J3023" t="s">
        <v>60032</v>
      </c>
      <c r="K3023" t="s">
        <v>60033</v>
      </c>
      <c r="L3023" t="s">
        <v>60034</v>
      </c>
      <c r="M3023" t="s">
        <v>60035</v>
      </c>
      <c r="N3023" t="s">
        <v>60036</v>
      </c>
      <c r="O3023">
        <f>-632.099657931435 -99.0572557648121 -720.426225195174</f>
        <v>-1451.5831388914212</v>
      </c>
      <c r="P3023">
        <f>-634.827995329651 -68.3198942819267 -405.412059995895</f>
        <v>-1108.5599496074728</v>
      </c>
      <c r="Q3023">
        <f>-376.408425679516 -39.1437419429341 -402.229078397325</f>
        <v>-817.78124601977504</v>
      </c>
      <c r="R3023" t="s">
        <v>60037</v>
      </c>
      <c r="S3023" t="s">
        <v>60038</v>
      </c>
      <c r="T3023" t="s">
        <v>60039</v>
      </c>
      <c r="U3023" t="s">
        <v>60040</v>
      </c>
      <c r="V3023" t="s">
        <v>60041</v>
      </c>
      <c r="W3023" t="s">
        <v>60042</v>
      </c>
      <c r="X3023" t="s">
        <v>60043</v>
      </c>
      <c r="Y3023" t="s">
        <v>60044</v>
      </c>
    </row>
    <row r="3024" spans="1:25" x14ac:dyDescent="0.3">
      <c r="A3024">
        <v>151150</v>
      </c>
      <c r="B3024" t="s">
        <v>60045</v>
      </c>
      <c r="C3024" t="s">
        <v>60046</v>
      </c>
      <c r="D3024" t="s">
        <v>60047</v>
      </c>
      <c r="E3024" t="s">
        <v>60048</v>
      </c>
      <c r="F3024" t="s">
        <v>60049</v>
      </c>
      <c r="G3024" t="s">
        <v>60050</v>
      </c>
      <c r="H3024" t="s">
        <v>60051</v>
      </c>
      <c r="I3024" t="s">
        <v>60052</v>
      </c>
      <c r="J3024" t="s">
        <v>60053</v>
      </c>
      <c r="K3024" t="s">
        <v>60054</v>
      </c>
      <c r="L3024" t="s">
        <v>60055</v>
      </c>
      <c r="M3024" t="s">
        <v>60056</v>
      </c>
      <c r="N3024" t="s">
        <v>60057</v>
      </c>
      <c r="O3024">
        <f>-631.333109170295 -98.4063552989409 -721.166310280243</f>
        <v>-1450.905774749479</v>
      </c>
      <c r="P3024">
        <f>-634.113160364419 -67.0558150246163 -406.212957771762</f>
        <v>-1107.3819331607972</v>
      </c>
      <c r="Q3024">
        <f>-375.603284649649 -38.9584294109627 -401.189840600745</f>
        <v>-815.75155466135675</v>
      </c>
      <c r="R3024" t="s">
        <v>60058</v>
      </c>
      <c r="S3024" t="s">
        <v>60059</v>
      </c>
      <c r="T3024" t="s">
        <v>60060</v>
      </c>
      <c r="U3024" t="s">
        <v>60061</v>
      </c>
      <c r="V3024" t="s">
        <v>60062</v>
      </c>
      <c r="W3024" t="s">
        <v>60063</v>
      </c>
      <c r="X3024" t="s">
        <v>60064</v>
      </c>
      <c r="Y3024" t="s">
        <v>60065</v>
      </c>
    </row>
    <row r="3025" spans="1:25" x14ac:dyDescent="0.3">
      <c r="A3025">
        <v>151200</v>
      </c>
      <c r="B3025" t="s">
        <v>60066</v>
      </c>
      <c r="C3025" t="s">
        <v>60067</v>
      </c>
      <c r="D3025" t="s">
        <v>60068</v>
      </c>
      <c r="E3025" t="s">
        <v>60069</v>
      </c>
      <c r="F3025" t="s">
        <v>60070</v>
      </c>
      <c r="G3025" t="s">
        <v>60071</v>
      </c>
      <c r="H3025" t="s">
        <v>60072</v>
      </c>
      <c r="I3025" t="s">
        <v>60073</v>
      </c>
      <c r="J3025" t="s">
        <v>60074</v>
      </c>
      <c r="K3025" t="s">
        <v>60075</v>
      </c>
      <c r="L3025" t="s">
        <v>60076</v>
      </c>
      <c r="M3025" t="s">
        <v>60077</v>
      </c>
      <c r="N3025" t="s">
        <v>60078</v>
      </c>
      <c r="O3025">
        <f>-630.485335279577 -98.6528382041459 -721.58883789359</f>
        <v>-1450.7270113773129</v>
      </c>
      <c r="P3025">
        <f>-633.963623130463 -67.363441648674 -406.636352286536</f>
        <v>-1107.963417065673</v>
      </c>
      <c r="Q3025">
        <f>-375.56648381941 -38.5684789762806 -400.016832814377</f>
        <v>-814.15179561006767</v>
      </c>
      <c r="R3025" t="s">
        <v>60079</v>
      </c>
      <c r="S3025" t="s">
        <v>60080</v>
      </c>
      <c r="T3025" t="s">
        <v>60081</v>
      </c>
      <c r="U3025" t="s">
        <v>60082</v>
      </c>
      <c r="V3025" t="s">
        <v>60083</v>
      </c>
      <c r="W3025" t="s">
        <v>60084</v>
      </c>
      <c r="X3025" t="s">
        <v>60085</v>
      </c>
      <c r="Y3025" t="s">
        <v>60086</v>
      </c>
    </row>
    <row r="3026" spans="1:25" x14ac:dyDescent="0.3">
      <c r="A3026">
        <v>151250</v>
      </c>
      <c r="B3026" t="s">
        <v>60087</v>
      </c>
      <c r="C3026" t="s">
        <v>60088</v>
      </c>
      <c r="D3026" t="s">
        <v>60089</v>
      </c>
      <c r="E3026" t="s">
        <v>60090</v>
      </c>
      <c r="F3026" t="s">
        <v>60091</v>
      </c>
      <c r="G3026" t="s">
        <v>60092</v>
      </c>
      <c r="H3026" t="s">
        <v>60093</v>
      </c>
      <c r="I3026" t="s">
        <v>60094</v>
      </c>
      <c r="J3026" t="s">
        <v>60095</v>
      </c>
      <c r="K3026" t="s">
        <v>60096</v>
      </c>
      <c r="L3026" t="s">
        <v>60097</v>
      </c>
      <c r="M3026" t="s">
        <v>60098</v>
      </c>
      <c r="N3026" t="s">
        <v>60099</v>
      </c>
      <c r="O3026">
        <f>-629.789316259157 -98.3281489032636 -722.431268170235</f>
        <v>-1450.5487333326555</v>
      </c>
      <c r="P3026">
        <f>-634.171111247629 -66.642066770488 -407.529837906458</f>
        <v>-1108.343015924575</v>
      </c>
      <c r="Q3026">
        <f>-376.141107342028 -35.4813323277652 -397.959361504107</f>
        <v>-809.5818011739002</v>
      </c>
      <c r="R3026" t="s">
        <v>60100</v>
      </c>
      <c r="S3026" t="s">
        <v>60101</v>
      </c>
      <c r="T3026" t="s">
        <v>60102</v>
      </c>
      <c r="U3026" t="s">
        <v>60103</v>
      </c>
      <c r="V3026" t="s">
        <v>60104</v>
      </c>
      <c r="W3026" t="s">
        <v>60105</v>
      </c>
      <c r="X3026" t="s">
        <v>60106</v>
      </c>
      <c r="Y3026" t="s">
        <v>60107</v>
      </c>
    </row>
    <row r="3027" spans="1:25" x14ac:dyDescent="0.3">
      <c r="A3027">
        <v>151300</v>
      </c>
      <c r="B3027" t="s">
        <v>60108</v>
      </c>
      <c r="C3027" t="s">
        <v>60109</v>
      </c>
      <c r="D3027" t="s">
        <v>60110</v>
      </c>
      <c r="E3027" t="s">
        <v>60111</v>
      </c>
      <c r="F3027" t="s">
        <v>60112</v>
      </c>
      <c r="G3027" t="s">
        <v>60113</v>
      </c>
      <c r="H3027" t="s">
        <v>60114</v>
      </c>
      <c r="I3027" t="s">
        <v>60115</v>
      </c>
      <c r="J3027" t="s">
        <v>60116</v>
      </c>
      <c r="K3027" t="s">
        <v>60117</v>
      </c>
      <c r="L3027" t="s">
        <v>60118</v>
      </c>
      <c r="M3027" t="s">
        <v>60119</v>
      </c>
      <c r="N3027" t="s">
        <v>60120</v>
      </c>
      <c r="O3027">
        <f>-629.09687257503 -98.298441780522 -722.768484127378</f>
        <v>-1450.1637984829299</v>
      </c>
      <c r="P3027">
        <f>-634.002673624337 -66.6528152288943 -407.870481878703</f>
        <v>-1108.5259707319342</v>
      </c>
      <c r="Q3027">
        <f>-376.255870472208 -33.2366806497765 -398.278458120238</f>
        <v>-807.77100924222259</v>
      </c>
      <c r="R3027" t="s">
        <v>60121</v>
      </c>
      <c r="S3027" t="s">
        <v>60122</v>
      </c>
      <c r="T3027" t="s">
        <v>60123</v>
      </c>
      <c r="U3027" t="s">
        <v>60124</v>
      </c>
      <c r="V3027" t="s">
        <v>60125</v>
      </c>
      <c r="W3027" t="s">
        <v>60126</v>
      </c>
      <c r="X3027" t="s">
        <v>60127</v>
      </c>
      <c r="Y3027" t="s">
        <v>60128</v>
      </c>
    </row>
    <row r="3028" spans="1:25" x14ac:dyDescent="0.3">
      <c r="A3028">
        <v>151350</v>
      </c>
      <c r="B3028" t="s">
        <v>60129</v>
      </c>
      <c r="C3028" t="s">
        <v>60130</v>
      </c>
      <c r="D3028" t="s">
        <v>60131</v>
      </c>
      <c r="E3028" t="s">
        <v>60132</v>
      </c>
      <c r="F3028" t="s">
        <v>60133</v>
      </c>
      <c r="G3028" t="s">
        <v>60134</v>
      </c>
      <c r="H3028" t="s">
        <v>60135</v>
      </c>
      <c r="I3028" t="s">
        <v>60136</v>
      </c>
      <c r="J3028" t="s">
        <v>60137</v>
      </c>
      <c r="K3028" t="s">
        <v>60138</v>
      </c>
      <c r="L3028" t="s">
        <v>60139</v>
      </c>
      <c r="M3028" t="s">
        <v>60140</v>
      </c>
      <c r="N3028" t="s">
        <v>60141</v>
      </c>
      <c r="O3028">
        <f>-628.607131056192 -97.223149553635 -723.891928610268</f>
        <v>-1449.722209220095</v>
      </c>
      <c r="P3028">
        <f>-633.55324197695 -65.5168127489532 -409.000842050888</f>
        <v>-1108.0708967767912</v>
      </c>
      <c r="Q3028">
        <f>-376.092643980943 -30.4114513346779 -397.879313204242</f>
        <v>-804.383408519863</v>
      </c>
      <c r="R3028" t="s">
        <v>60142</v>
      </c>
      <c r="S3028" t="s">
        <v>60143</v>
      </c>
      <c r="T3028" t="s">
        <v>60144</v>
      </c>
      <c r="U3028" t="s">
        <v>60145</v>
      </c>
      <c r="V3028" t="s">
        <v>60146</v>
      </c>
      <c r="W3028" t="s">
        <v>60147</v>
      </c>
      <c r="X3028" t="s">
        <v>60148</v>
      </c>
      <c r="Y3028" t="s">
        <v>60149</v>
      </c>
    </row>
    <row r="3029" spans="1:25" x14ac:dyDescent="0.3">
      <c r="A3029">
        <v>151400</v>
      </c>
      <c r="B3029" t="s">
        <v>60150</v>
      </c>
      <c r="C3029" t="s">
        <v>60151</v>
      </c>
      <c r="D3029" t="s">
        <v>60152</v>
      </c>
      <c r="E3029" t="s">
        <v>60153</v>
      </c>
      <c r="F3029" t="s">
        <v>60154</v>
      </c>
      <c r="G3029" t="s">
        <v>60155</v>
      </c>
      <c r="H3029" t="s">
        <v>60156</v>
      </c>
      <c r="I3029" t="s">
        <v>60157</v>
      </c>
      <c r="J3029" t="s">
        <v>60158</v>
      </c>
      <c r="K3029" t="s">
        <v>60159</v>
      </c>
      <c r="L3029" t="s">
        <v>60160</v>
      </c>
      <c r="M3029" t="s">
        <v>60161</v>
      </c>
      <c r="N3029" t="s">
        <v>60162</v>
      </c>
      <c r="O3029">
        <f>-628.2441657593 -96.660293803832 -724.393758957301</f>
        <v>-1449.298218520433</v>
      </c>
      <c r="P3029">
        <f>-633.829106015516 -65.4812087074251 -409.460636595398</f>
        <v>-1108.770951318339</v>
      </c>
      <c r="Q3029">
        <f>-376.618743214863 -29.0803412895375 -396.817375859057</f>
        <v>-802.51646036345755</v>
      </c>
      <c r="R3029" t="s">
        <v>60163</v>
      </c>
      <c r="S3029" t="s">
        <v>60164</v>
      </c>
      <c r="T3029" t="s">
        <v>60165</v>
      </c>
      <c r="U3029" t="s">
        <v>60166</v>
      </c>
      <c r="V3029" t="s">
        <v>60167</v>
      </c>
      <c r="W3029" t="s">
        <v>60168</v>
      </c>
      <c r="X3029" t="s">
        <v>60169</v>
      </c>
      <c r="Y3029" t="s">
        <v>60170</v>
      </c>
    </row>
    <row r="3030" spans="1:25" x14ac:dyDescent="0.3">
      <c r="A3030">
        <v>151450</v>
      </c>
      <c r="B3030" t="s">
        <v>60171</v>
      </c>
      <c r="C3030" t="s">
        <v>60172</v>
      </c>
      <c r="D3030" t="s">
        <v>60173</v>
      </c>
      <c r="E3030" t="s">
        <v>60174</v>
      </c>
      <c r="F3030" t="s">
        <v>60175</v>
      </c>
      <c r="G3030" t="s">
        <v>60176</v>
      </c>
      <c r="H3030" t="s">
        <v>60177</v>
      </c>
      <c r="I3030" t="s">
        <v>60178</v>
      </c>
      <c r="J3030" t="s">
        <v>60179</v>
      </c>
      <c r="K3030" t="s">
        <v>60180</v>
      </c>
      <c r="L3030" t="s">
        <v>60181</v>
      </c>
      <c r="M3030" t="s">
        <v>60182</v>
      </c>
      <c r="N3030" t="s">
        <v>60183</v>
      </c>
      <c r="O3030">
        <f>-628.014079862306 -96.7280485034547 -725.00469706153</f>
        <v>-1449.7468254272908</v>
      </c>
      <c r="P3030">
        <f>-635.474549769824 -65.7704393940645 -410.088602762247</f>
        <v>-1111.3335919261353</v>
      </c>
      <c r="Q3030">
        <f>-378.52022667874 -28.3337193335129 -395.426022522975</f>
        <v>-802.27996853522791</v>
      </c>
      <c r="R3030" t="s">
        <v>60184</v>
      </c>
      <c r="S3030" t="s">
        <v>60185</v>
      </c>
      <c r="T3030" t="s">
        <v>60186</v>
      </c>
      <c r="U3030" t="s">
        <v>60187</v>
      </c>
      <c r="V3030" t="s">
        <v>60188</v>
      </c>
      <c r="W3030" t="s">
        <v>60189</v>
      </c>
      <c r="X3030" t="s">
        <v>60190</v>
      </c>
      <c r="Y3030" t="s">
        <v>60191</v>
      </c>
    </row>
    <row r="3031" spans="1:25" x14ac:dyDescent="0.3">
      <c r="A3031">
        <v>151500</v>
      </c>
      <c r="B3031" t="s">
        <v>60192</v>
      </c>
      <c r="C3031" t="s">
        <v>60193</v>
      </c>
      <c r="D3031" t="s">
        <v>60194</v>
      </c>
      <c r="E3031" t="s">
        <v>60195</v>
      </c>
      <c r="F3031" t="s">
        <v>60196</v>
      </c>
      <c r="G3031" t="s">
        <v>60197</v>
      </c>
      <c r="H3031" t="s">
        <v>60198</v>
      </c>
      <c r="I3031" t="s">
        <v>60199</v>
      </c>
      <c r="J3031" t="s">
        <v>60200</v>
      </c>
      <c r="K3031" t="s">
        <v>60201</v>
      </c>
      <c r="L3031" t="s">
        <v>60202</v>
      </c>
      <c r="M3031" t="s">
        <v>60203</v>
      </c>
      <c r="N3031" t="s">
        <v>60204</v>
      </c>
      <c r="O3031">
        <f>-627.882002245751 -96.6797661440324 -725.171403446026</f>
        <v>-1449.7331718358096</v>
      </c>
      <c r="P3031">
        <f>-635.759950985552 -65.820975087967 -410.2557809407</f>
        <v>-1111.836707014219</v>
      </c>
      <c r="Q3031">
        <f>-378.843497884027 -28.4038446872409 -394.894722235057</f>
        <v>-802.14206480632492</v>
      </c>
      <c r="R3031" t="s">
        <v>60205</v>
      </c>
      <c r="S3031" t="s">
        <v>60206</v>
      </c>
      <c r="T3031" t="s">
        <v>60207</v>
      </c>
      <c r="U3031" t="s">
        <v>60208</v>
      </c>
      <c r="V3031" t="s">
        <v>60209</v>
      </c>
      <c r="W3031" t="s">
        <v>60210</v>
      </c>
      <c r="X3031" t="s">
        <v>60211</v>
      </c>
      <c r="Y3031" t="s">
        <v>60212</v>
      </c>
    </row>
    <row r="3032" spans="1:25" x14ac:dyDescent="0.3">
      <c r="A3032">
        <v>151550</v>
      </c>
      <c r="B3032" t="s">
        <v>60213</v>
      </c>
      <c r="C3032" t="s">
        <v>60214</v>
      </c>
      <c r="D3032" t="s">
        <v>60215</v>
      </c>
      <c r="E3032" t="s">
        <v>60216</v>
      </c>
      <c r="F3032" t="s">
        <v>60217</v>
      </c>
      <c r="G3032" t="s">
        <v>60218</v>
      </c>
      <c r="H3032" t="s">
        <v>60219</v>
      </c>
      <c r="I3032" t="s">
        <v>60220</v>
      </c>
      <c r="J3032" t="s">
        <v>60221</v>
      </c>
      <c r="K3032" t="s">
        <v>60222</v>
      </c>
      <c r="L3032" t="s">
        <v>60223</v>
      </c>
      <c r="M3032" t="s">
        <v>60224</v>
      </c>
      <c r="N3032" t="s">
        <v>60225</v>
      </c>
      <c r="O3032">
        <f>-627.39006951831 -97.6014572741236 -725.445642772599</f>
        <v>-1450.4371695650325</v>
      </c>
      <c r="P3032">
        <f>-636.450795779973 -66.4242700379786 -410.592986957949</f>
        <v>-1113.4680527759006</v>
      </c>
      <c r="Q3032">
        <f>-379.500129577331 -29.3120618538955 -395.065866962976</f>
        <v>-803.87805839420253</v>
      </c>
      <c r="R3032" t="s">
        <v>60226</v>
      </c>
      <c r="S3032" t="s">
        <v>60227</v>
      </c>
      <c r="T3032" t="s">
        <v>60228</v>
      </c>
      <c r="U3032" t="s">
        <v>60229</v>
      </c>
      <c r="V3032" t="s">
        <v>60230</v>
      </c>
      <c r="W3032" t="s">
        <v>60231</v>
      </c>
      <c r="X3032" t="s">
        <v>60232</v>
      </c>
      <c r="Y3032" t="s">
        <v>60233</v>
      </c>
    </row>
    <row r="3033" spans="1:25" x14ac:dyDescent="0.3">
      <c r="A3033">
        <v>151600</v>
      </c>
      <c r="B3033" t="s">
        <v>60234</v>
      </c>
      <c r="C3033" t="s">
        <v>60235</v>
      </c>
      <c r="D3033" t="s">
        <v>60236</v>
      </c>
      <c r="E3033" t="s">
        <v>60237</v>
      </c>
      <c r="F3033" t="s">
        <v>60238</v>
      </c>
      <c r="G3033" t="s">
        <v>60239</v>
      </c>
      <c r="H3033" t="s">
        <v>60240</v>
      </c>
      <c r="I3033" t="s">
        <v>60241</v>
      </c>
      <c r="J3033" t="s">
        <v>60242</v>
      </c>
      <c r="K3033" t="s">
        <v>60243</v>
      </c>
      <c r="L3033" t="s">
        <v>60244</v>
      </c>
      <c r="M3033" t="s">
        <v>60245</v>
      </c>
      <c r="N3033" t="s">
        <v>60246</v>
      </c>
      <c r="O3033">
        <f>-627.028566700769 -97.5331952522615 -725.817198712281</f>
        <v>-1450.3789606653115</v>
      </c>
      <c r="P3033">
        <f>-636.419663663416 -66.3766537095263 -410.972288267365</f>
        <v>-1113.7686056403072</v>
      </c>
      <c r="Q3033">
        <f>-379.276761782698 -30.4310658764926 -395.888915902574</f>
        <v>-805.59674356176458</v>
      </c>
      <c r="R3033" t="s">
        <v>60247</v>
      </c>
      <c r="S3033" t="s">
        <v>60248</v>
      </c>
      <c r="T3033" t="s">
        <v>60249</v>
      </c>
      <c r="U3033" t="s">
        <v>60250</v>
      </c>
      <c r="V3033" t="s">
        <v>60251</v>
      </c>
      <c r="W3033" t="s">
        <v>60252</v>
      </c>
      <c r="X3033" t="s">
        <v>60253</v>
      </c>
      <c r="Y3033" t="s">
        <v>60254</v>
      </c>
    </row>
    <row r="3034" spans="1:25" x14ac:dyDescent="0.3">
      <c r="A3034">
        <v>151650</v>
      </c>
      <c r="B3034" t="s">
        <v>60255</v>
      </c>
      <c r="C3034" t="s">
        <v>60256</v>
      </c>
      <c r="D3034" t="s">
        <v>60257</v>
      </c>
      <c r="E3034" t="s">
        <v>60258</v>
      </c>
      <c r="F3034" t="s">
        <v>60259</v>
      </c>
      <c r="G3034" t="s">
        <v>60260</v>
      </c>
      <c r="H3034" t="s">
        <v>60261</v>
      </c>
      <c r="I3034" t="s">
        <v>60262</v>
      </c>
      <c r="J3034" t="s">
        <v>60263</v>
      </c>
      <c r="K3034" t="s">
        <v>60264</v>
      </c>
      <c r="L3034" t="s">
        <v>60265</v>
      </c>
      <c r="M3034" t="s">
        <v>60266</v>
      </c>
      <c r="N3034" t="s">
        <v>60267</v>
      </c>
      <c r="O3034">
        <f>-626.225687367306 -97.6651569426925 -726.686914544148</f>
        <v>-1450.5777588541464</v>
      </c>
      <c r="P3034">
        <f>-635.416093497711 -66.0686272511244 -411.879917706888</f>
        <v>-1113.3646384557235</v>
      </c>
      <c r="Q3034">
        <f>-377.758762648559 -34.6977415719382 -395.429836698596</f>
        <v>-807.88634091909319</v>
      </c>
      <c r="R3034" t="s">
        <v>60268</v>
      </c>
      <c r="S3034" t="s">
        <v>60269</v>
      </c>
      <c r="T3034" t="s">
        <v>60270</v>
      </c>
      <c r="U3034" t="s">
        <v>60271</v>
      </c>
      <c r="V3034" t="s">
        <v>60272</v>
      </c>
      <c r="W3034" t="s">
        <v>60273</v>
      </c>
      <c r="X3034" t="s">
        <v>60274</v>
      </c>
      <c r="Y3034" t="s">
        <v>60275</v>
      </c>
    </row>
    <row r="3035" spans="1:25" x14ac:dyDescent="0.3">
      <c r="A3035">
        <v>151700</v>
      </c>
      <c r="B3035" t="s">
        <v>60276</v>
      </c>
      <c r="C3035" t="s">
        <v>60277</v>
      </c>
      <c r="D3035" t="s">
        <v>60278</v>
      </c>
      <c r="E3035" t="s">
        <v>60279</v>
      </c>
      <c r="F3035" t="s">
        <v>60280</v>
      </c>
      <c r="G3035" t="s">
        <v>60281</v>
      </c>
      <c r="H3035" t="s">
        <v>60282</v>
      </c>
      <c r="I3035" t="s">
        <v>60283</v>
      </c>
      <c r="J3035" t="s">
        <v>60284</v>
      </c>
      <c r="K3035" t="s">
        <v>60285</v>
      </c>
      <c r="L3035" t="s">
        <v>60286</v>
      </c>
      <c r="M3035" t="s">
        <v>60287</v>
      </c>
      <c r="N3035" t="s">
        <v>60288</v>
      </c>
      <c r="O3035">
        <f>-625.634450563024 -97.5846213415942 -727.058122721567</f>
        <v>-1450.2771946261851</v>
      </c>
      <c r="P3035">
        <f>-635.212898655958 -65.7879015805051 -412.283017962399</f>
        <v>-1113.2838181988623</v>
      </c>
      <c r="Q3035">
        <f>-377.354521833524 -36.2516191939101 -395.588444764145</f>
        <v>-809.19458579157913</v>
      </c>
      <c r="R3035" t="s">
        <v>60289</v>
      </c>
      <c r="S3035" t="s">
        <v>60290</v>
      </c>
      <c r="T3035" t="s">
        <v>60291</v>
      </c>
      <c r="U3035" t="s">
        <v>60292</v>
      </c>
      <c r="V3035" t="s">
        <v>60293</v>
      </c>
      <c r="W3035" t="s">
        <v>60294</v>
      </c>
      <c r="X3035" t="s">
        <v>60295</v>
      </c>
      <c r="Y3035" t="s">
        <v>60296</v>
      </c>
    </row>
    <row r="3036" spans="1:25" x14ac:dyDescent="0.3">
      <c r="A3036">
        <v>151750</v>
      </c>
      <c r="B3036" t="s">
        <v>60297</v>
      </c>
      <c r="C3036" t="s">
        <v>60298</v>
      </c>
      <c r="D3036" t="s">
        <v>60299</v>
      </c>
      <c r="E3036" t="s">
        <v>60300</v>
      </c>
      <c r="F3036" t="s">
        <v>60301</v>
      </c>
      <c r="G3036" t="s">
        <v>60302</v>
      </c>
      <c r="H3036" t="s">
        <v>60303</v>
      </c>
      <c r="I3036" t="s">
        <v>60304</v>
      </c>
      <c r="J3036" t="s">
        <v>60305</v>
      </c>
      <c r="K3036" t="s">
        <v>60306</v>
      </c>
      <c r="L3036" t="s">
        <v>60307</v>
      </c>
      <c r="M3036" t="s">
        <v>60308</v>
      </c>
      <c r="N3036" t="s">
        <v>60309</v>
      </c>
      <c r="O3036">
        <f>-624.249135948174 -97.1634519833087 -727.435947907921</f>
        <v>-1448.8485358394037</v>
      </c>
      <c r="P3036">
        <f>-633.588302504208 -65.3283401016472 -412.657434634523</f>
        <v>-1111.5740772403781</v>
      </c>
      <c r="Q3036">
        <f>-375.449305233045 -38.7136423923811 -395.395514685067</f>
        <v>-809.55846231049304</v>
      </c>
      <c r="R3036" t="s">
        <v>60310</v>
      </c>
      <c r="S3036" t="s">
        <v>60311</v>
      </c>
      <c r="T3036" t="s">
        <v>60312</v>
      </c>
      <c r="U3036" t="s">
        <v>60313</v>
      </c>
      <c r="V3036" t="s">
        <v>60314</v>
      </c>
      <c r="W3036" t="s">
        <v>60315</v>
      </c>
      <c r="X3036" t="s">
        <v>60316</v>
      </c>
      <c r="Y3036" t="s">
        <v>60317</v>
      </c>
    </row>
    <row r="3037" spans="1:25" x14ac:dyDescent="0.3">
      <c r="A3037">
        <v>151800</v>
      </c>
      <c r="B3037" t="s">
        <v>60318</v>
      </c>
      <c r="C3037" t="s">
        <v>60319</v>
      </c>
      <c r="D3037" t="s">
        <v>60320</v>
      </c>
      <c r="E3037" t="s">
        <v>60321</v>
      </c>
      <c r="F3037" t="s">
        <v>60322</v>
      </c>
      <c r="G3037" t="s">
        <v>60323</v>
      </c>
      <c r="H3037" t="s">
        <v>60324</v>
      </c>
      <c r="I3037" t="s">
        <v>60325</v>
      </c>
      <c r="J3037" t="s">
        <v>60326</v>
      </c>
      <c r="K3037" t="s">
        <v>60327</v>
      </c>
      <c r="L3037" t="s">
        <v>60328</v>
      </c>
      <c r="M3037" t="s">
        <v>60329</v>
      </c>
      <c r="N3037" t="s">
        <v>60330</v>
      </c>
      <c r="O3037">
        <f>-623.543596446556 -97.340096550511 -727.47376082889</f>
        <v>-1448.357453825957</v>
      </c>
      <c r="P3037">
        <f>-632.351209503952 -64.8185543743766 -412.750249796537</f>
        <v>-1109.9200136748655</v>
      </c>
      <c r="Q3037">
        <f>-374.059894656183 -40.0496343618805 -395.026090247627</f>
        <v>-809.13561926569059</v>
      </c>
      <c r="R3037" t="s">
        <v>60331</v>
      </c>
      <c r="S3037" t="s">
        <v>60332</v>
      </c>
      <c r="T3037" t="s">
        <v>60333</v>
      </c>
      <c r="U3037" t="s">
        <v>60334</v>
      </c>
      <c r="V3037" t="s">
        <v>60335</v>
      </c>
      <c r="W3037" t="s">
        <v>60336</v>
      </c>
      <c r="X3037" t="s">
        <v>60337</v>
      </c>
      <c r="Y3037" t="s">
        <v>60338</v>
      </c>
    </row>
    <row r="3038" spans="1:25" x14ac:dyDescent="0.3">
      <c r="A3038">
        <v>151850</v>
      </c>
      <c r="B3038" t="s">
        <v>60339</v>
      </c>
      <c r="C3038" t="s">
        <v>60340</v>
      </c>
      <c r="D3038" t="s">
        <v>60341</v>
      </c>
      <c r="E3038" t="s">
        <v>60342</v>
      </c>
      <c r="F3038" t="s">
        <v>60343</v>
      </c>
      <c r="G3038" t="s">
        <v>60344</v>
      </c>
      <c r="H3038" t="s">
        <v>60345</v>
      </c>
      <c r="I3038" t="s">
        <v>60346</v>
      </c>
      <c r="J3038" t="s">
        <v>60347</v>
      </c>
      <c r="K3038" t="s">
        <v>60348</v>
      </c>
      <c r="L3038" t="s">
        <v>60349</v>
      </c>
      <c r="M3038" t="s">
        <v>60350</v>
      </c>
      <c r="N3038" t="s">
        <v>60351</v>
      </c>
      <c r="O3038">
        <f>-622.095336348351 -97.7372761871026 -727.726899268072</f>
        <v>-1447.5595118035255</v>
      </c>
      <c r="P3038">
        <f>-630.191798318863 -63.9125630361054 -413.12163019971</f>
        <v>-1107.2259915546783</v>
      </c>
      <c r="Q3038">
        <f>-371.742370506531 -41.3866113059961 -394.722549990829</f>
        <v>-807.85153180335612</v>
      </c>
      <c r="R3038" t="s">
        <v>60352</v>
      </c>
      <c r="S3038" t="s">
        <v>60353</v>
      </c>
      <c r="T3038" t="s">
        <v>60354</v>
      </c>
      <c r="U3038" t="s">
        <v>60355</v>
      </c>
      <c r="V3038" t="s">
        <v>60356</v>
      </c>
      <c r="W3038" t="s">
        <v>60357</v>
      </c>
      <c r="X3038" t="s">
        <v>60358</v>
      </c>
      <c r="Y3038" t="s">
        <v>60359</v>
      </c>
    </row>
    <row r="3039" spans="1:25" x14ac:dyDescent="0.3">
      <c r="A3039">
        <v>151900</v>
      </c>
      <c r="B3039" t="s">
        <v>60360</v>
      </c>
      <c r="C3039" t="s">
        <v>60361</v>
      </c>
      <c r="D3039" t="s">
        <v>60362</v>
      </c>
      <c r="E3039" t="s">
        <v>60363</v>
      </c>
      <c r="F3039" t="s">
        <v>60364</v>
      </c>
      <c r="G3039" t="s">
        <v>60365</v>
      </c>
      <c r="H3039" t="s">
        <v>60366</v>
      </c>
      <c r="I3039" t="s">
        <v>60367</v>
      </c>
      <c r="J3039" t="s">
        <v>60368</v>
      </c>
      <c r="K3039" t="s">
        <v>60369</v>
      </c>
      <c r="L3039" t="s">
        <v>60370</v>
      </c>
      <c r="M3039" t="s">
        <v>60371</v>
      </c>
      <c r="N3039" t="s">
        <v>60372</v>
      </c>
      <c r="O3039">
        <f>-621.544448447619 -98.1607822253671 -728.041995924283</f>
        <v>-1447.7472265972692</v>
      </c>
      <c r="P3039">
        <f>-631.135059218482 -64.7316844846266 -413.436439052885</f>
        <v>-1109.3031827559935</v>
      </c>
      <c r="Q3039">
        <f>-372.84211596371 -38.9975692918599 -397.170672297594</f>
        <v>-809.01035755316389</v>
      </c>
      <c r="R3039" t="s">
        <v>60373</v>
      </c>
      <c r="S3039" t="s">
        <v>60374</v>
      </c>
      <c r="T3039" t="s">
        <v>60375</v>
      </c>
      <c r="U3039" t="s">
        <v>60376</v>
      </c>
      <c r="V3039" t="s">
        <v>60377</v>
      </c>
      <c r="W3039" t="s">
        <v>60378</v>
      </c>
      <c r="X3039" t="s">
        <v>60379</v>
      </c>
      <c r="Y3039" t="s">
        <v>60380</v>
      </c>
    </row>
    <row r="3040" spans="1:25" x14ac:dyDescent="0.3">
      <c r="A3040">
        <v>151950</v>
      </c>
      <c r="B3040" t="s">
        <v>60381</v>
      </c>
      <c r="C3040" t="s">
        <v>60382</v>
      </c>
      <c r="D3040" t="s">
        <v>60383</v>
      </c>
      <c r="E3040" t="s">
        <v>60384</v>
      </c>
      <c r="F3040" t="s">
        <v>60385</v>
      </c>
      <c r="G3040" t="s">
        <v>60386</v>
      </c>
      <c r="H3040" t="s">
        <v>60387</v>
      </c>
      <c r="I3040" t="s">
        <v>60388</v>
      </c>
      <c r="J3040" t="s">
        <v>60389</v>
      </c>
      <c r="K3040" t="s">
        <v>60390</v>
      </c>
      <c r="L3040" t="s">
        <v>60391</v>
      </c>
      <c r="M3040" t="s">
        <v>60392</v>
      </c>
      <c r="N3040" t="s">
        <v>60393</v>
      </c>
      <c r="O3040">
        <f>-621.805281068487 -98.5014675650542 -728.199039600304</f>
        <v>-1448.5057882338451</v>
      </c>
      <c r="P3040">
        <f>-631.925662704634 -65.2291417437232 -413.593381044399</f>
        <v>-1110.7481854927562</v>
      </c>
      <c r="Q3040">
        <f>-373.864669218327 -36.6028785955515 -398.523709893807</f>
        <v>-808.99125770768546</v>
      </c>
      <c r="R3040" t="s">
        <v>60394</v>
      </c>
      <c r="S3040" t="s">
        <v>60395</v>
      </c>
      <c r="T3040" t="s">
        <v>60396</v>
      </c>
      <c r="U3040" t="s">
        <v>60397</v>
      </c>
      <c r="V3040" t="s">
        <v>60398</v>
      </c>
      <c r="W3040" t="s">
        <v>60399</v>
      </c>
      <c r="X3040" t="s">
        <v>60400</v>
      </c>
      <c r="Y3040" t="s">
        <v>60401</v>
      </c>
    </row>
    <row r="3041" spans="1:25" x14ac:dyDescent="0.3">
      <c r="A3041">
        <v>152000</v>
      </c>
      <c r="B3041" t="s">
        <v>60402</v>
      </c>
      <c r="C3041" t="s">
        <v>60403</v>
      </c>
      <c r="D3041" t="s">
        <v>60404</v>
      </c>
      <c r="E3041" t="s">
        <v>60405</v>
      </c>
      <c r="F3041" t="s">
        <v>60406</v>
      </c>
      <c r="G3041" t="s">
        <v>60407</v>
      </c>
      <c r="H3041" t="s">
        <v>60408</v>
      </c>
      <c r="I3041" t="s">
        <v>60409</v>
      </c>
      <c r="J3041" t="s">
        <v>60410</v>
      </c>
      <c r="K3041" t="s">
        <v>60411</v>
      </c>
      <c r="L3041" t="s">
        <v>60412</v>
      </c>
      <c r="M3041" t="s">
        <v>60413</v>
      </c>
      <c r="N3041" t="s">
        <v>60414</v>
      </c>
      <c r="O3041">
        <f>-622.153929794976 -99.1319108951619 -728.169022814035</f>
        <v>-1449.4548635041729</v>
      </c>
      <c r="P3041">
        <f>-632.848600219566 -66.0459427093366 -413.56281747184</f>
        <v>-1112.4573604007426</v>
      </c>
      <c r="Q3041">
        <f>-375.003272178309 -35.1407966485762 -399.32503512993</f>
        <v>-809.46910395681516</v>
      </c>
      <c r="R3041" t="s">
        <v>60415</v>
      </c>
      <c r="S3041" t="s">
        <v>60416</v>
      </c>
      <c r="T3041" t="s">
        <v>60417</v>
      </c>
      <c r="U3041" t="s">
        <v>60418</v>
      </c>
      <c r="V3041" t="s">
        <v>60419</v>
      </c>
      <c r="W3041" t="s">
        <v>60420</v>
      </c>
      <c r="X3041" t="s">
        <v>60421</v>
      </c>
      <c r="Y3041" t="s">
        <v>60422</v>
      </c>
    </row>
    <row r="3042" spans="1:25" x14ac:dyDescent="0.3">
      <c r="A3042">
        <v>152050</v>
      </c>
      <c r="B3042" t="s">
        <v>60402</v>
      </c>
      <c r="C3042" t="s">
        <v>60403</v>
      </c>
      <c r="D3042" t="s">
        <v>60404</v>
      </c>
      <c r="E3042" t="s">
        <v>60405</v>
      </c>
      <c r="F3042" t="s">
        <v>60406</v>
      </c>
      <c r="G3042" t="s">
        <v>60407</v>
      </c>
      <c r="H3042" t="s">
        <v>60408</v>
      </c>
      <c r="I3042" t="s">
        <v>60409</v>
      </c>
      <c r="J3042" t="s">
        <v>60410</v>
      </c>
      <c r="K3042" t="s">
        <v>60411</v>
      </c>
      <c r="L3042" t="s">
        <v>60412</v>
      </c>
      <c r="M3042" t="s">
        <v>60413</v>
      </c>
      <c r="N3042" t="s">
        <v>60414</v>
      </c>
      <c r="O3042">
        <f>-622.153929794976 -99.1319108951619 -728.169022814035</f>
        <v>-1449.4548635041729</v>
      </c>
      <c r="P3042">
        <f>-632.848600219566 -66.0459427093366 -413.56281747184</f>
        <v>-1112.4573604007426</v>
      </c>
      <c r="Q3042">
        <f>-375.003272178309 -35.1407966485762 -399.32503512993</f>
        <v>-809.46910395681516</v>
      </c>
      <c r="R3042" t="s">
        <v>60415</v>
      </c>
      <c r="S3042" t="s">
        <v>60416</v>
      </c>
      <c r="T3042" t="s">
        <v>60417</v>
      </c>
      <c r="U3042" t="s">
        <v>60418</v>
      </c>
      <c r="V3042" t="s">
        <v>60419</v>
      </c>
      <c r="W3042" t="s">
        <v>60420</v>
      </c>
      <c r="X3042" t="s">
        <v>60421</v>
      </c>
      <c r="Y3042" t="s">
        <v>60422</v>
      </c>
    </row>
    <row r="3043" spans="1:25" x14ac:dyDescent="0.3">
      <c r="A3043">
        <v>152100</v>
      </c>
      <c r="B3043" t="s">
        <v>60423</v>
      </c>
      <c r="C3043" t="s">
        <v>60424</v>
      </c>
      <c r="D3043" t="s">
        <v>60425</v>
      </c>
      <c r="E3043" t="s">
        <v>60426</v>
      </c>
      <c r="F3043" t="s">
        <v>60427</v>
      </c>
      <c r="G3043" t="s">
        <v>60428</v>
      </c>
      <c r="H3043" t="s">
        <v>60429</v>
      </c>
      <c r="I3043" t="s">
        <v>60430</v>
      </c>
      <c r="J3043" t="s">
        <v>60431</v>
      </c>
      <c r="K3043" t="s">
        <v>60432</v>
      </c>
      <c r="L3043" t="s">
        <v>60433</v>
      </c>
      <c r="M3043" t="s">
        <v>60434</v>
      </c>
      <c r="N3043" t="s">
        <v>60435</v>
      </c>
      <c r="O3043">
        <f>-622.38915980199 -99.5199228131251 -728.097082633124</f>
        <v>-1450.0061652482391</v>
      </c>
      <c r="P3043">
        <f>-632.607349733829 -66.4357781383596 -413.474737633745</f>
        <v>-1112.5178655059335</v>
      </c>
      <c r="Q3043">
        <f>-374.866102121548 -34.4151301496175 -399.830036708432</f>
        <v>-809.11126897959753</v>
      </c>
      <c r="R3043" t="s">
        <v>60436</v>
      </c>
      <c r="S3043" t="s">
        <v>60437</v>
      </c>
      <c r="T3043" t="s">
        <v>60438</v>
      </c>
      <c r="U3043" t="s">
        <v>60439</v>
      </c>
      <c r="V3043" t="s">
        <v>60440</v>
      </c>
      <c r="W3043" t="s">
        <v>60441</v>
      </c>
      <c r="X3043" t="s">
        <v>60442</v>
      </c>
      <c r="Y3043" t="s">
        <v>60443</v>
      </c>
    </row>
    <row r="3044" spans="1:25" x14ac:dyDescent="0.3">
      <c r="A3044">
        <v>152150</v>
      </c>
      <c r="B3044" t="s">
        <v>60423</v>
      </c>
      <c r="C3044" t="s">
        <v>60424</v>
      </c>
      <c r="D3044" t="s">
        <v>60425</v>
      </c>
      <c r="E3044" t="s">
        <v>60426</v>
      </c>
      <c r="F3044" t="s">
        <v>60427</v>
      </c>
      <c r="G3044" t="s">
        <v>60428</v>
      </c>
      <c r="H3044" t="s">
        <v>60429</v>
      </c>
      <c r="I3044" t="s">
        <v>60430</v>
      </c>
      <c r="J3044" t="s">
        <v>60431</v>
      </c>
      <c r="K3044" t="s">
        <v>60432</v>
      </c>
      <c r="L3044" t="s">
        <v>60433</v>
      </c>
      <c r="M3044" t="s">
        <v>60434</v>
      </c>
      <c r="N3044" t="s">
        <v>60435</v>
      </c>
      <c r="O3044">
        <f>-622.38915980199 -99.5199228131251 -728.097082633124</f>
        <v>-1450.0061652482391</v>
      </c>
      <c r="P3044">
        <f>-632.607349733829 -66.4357781383596 -413.474737633745</f>
        <v>-1112.5178655059335</v>
      </c>
      <c r="Q3044">
        <f>-374.866102121548 -34.4151301496175 -399.830036708432</f>
        <v>-809.11126897959753</v>
      </c>
      <c r="R3044" t="s">
        <v>60436</v>
      </c>
      <c r="S3044" t="s">
        <v>60437</v>
      </c>
      <c r="T3044" t="s">
        <v>60438</v>
      </c>
      <c r="U3044" t="s">
        <v>60439</v>
      </c>
      <c r="V3044" t="s">
        <v>60440</v>
      </c>
      <c r="W3044" t="s">
        <v>60441</v>
      </c>
      <c r="X3044" t="s">
        <v>60442</v>
      </c>
      <c r="Y3044" t="s">
        <v>60443</v>
      </c>
    </row>
    <row r="3045" spans="1:25" x14ac:dyDescent="0.3">
      <c r="A3045">
        <v>152200</v>
      </c>
      <c r="B3045" t="s">
        <v>60444</v>
      </c>
      <c r="C3045" t="s">
        <v>60445</v>
      </c>
      <c r="D3045" t="s">
        <v>60446</v>
      </c>
      <c r="E3045" t="s">
        <v>60447</v>
      </c>
      <c r="F3045" t="s">
        <v>60448</v>
      </c>
      <c r="G3045" t="s">
        <v>60449</v>
      </c>
      <c r="H3045" t="s">
        <v>60450</v>
      </c>
      <c r="I3045" t="s">
        <v>60451</v>
      </c>
      <c r="J3045" t="s">
        <v>60452</v>
      </c>
      <c r="K3045" t="s">
        <v>60453</v>
      </c>
      <c r="L3045" t="s">
        <v>60454</v>
      </c>
      <c r="M3045" t="s">
        <v>60455</v>
      </c>
      <c r="N3045" t="s">
        <v>60456</v>
      </c>
      <c r="O3045">
        <f>-626.012906411416 -100.40902228606 -725.764522487517</f>
        <v>-1452.1864511849931</v>
      </c>
      <c r="P3045">
        <f>-634.316830901393 -65.8593523738957 -411.243377197224</f>
        <v>-1111.4195604725128</v>
      </c>
      <c r="Q3045">
        <f>-376.274058296135 -35.7790231421569 -398.948845357414</f>
        <v>-811.00192679570591</v>
      </c>
      <c r="R3045" t="s">
        <v>60457</v>
      </c>
      <c r="S3045" t="s">
        <v>60458</v>
      </c>
      <c r="T3045" t="s">
        <v>60459</v>
      </c>
      <c r="U3045" t="s">
        <v>60460</v>
      </c>
      <c r="V3045" t="s">
        <v>60461</v>
      </c>
      <c r="W3045" t="s">
        <v>60462</v>
      </c>
      <c r="X3045" t="s">
        <v>60463</v>
      </c>
      <c r="Y3045" t="s">
        <v>60464</v>
      </c>
    </row>
    <row r="3046" spans="1:25" x14ac:dyDescent="0.3">
      <c r="A3046">
        <v>152250</v>
      </c>
      <c r="B3046" t="s">
        <v>60465</v>
      </c>
      <c r="C3046" t="s">
        <v>60466</v>
      </c>
      <c r="D3046" t="s">
        <v>60467</v>
      </c>
      <c r="E3046" t="s">
        <v>60468</v>
      </c>
      <c r="F3046" t="s">
        <v>60469</v>
      </c>
      <c r="G3046" t="s">
        <v>60470</v>
      </c>
      <c r="H3046" t="s">
        <v>60471</v>
      </c>
      <c r="I3046" t="s">
        <v>60472</v>
      </c>
      <c r="J3046" t="s">
        <v>60473</v>
      </c>
      <c r="K3046" t="s">
        <v>60474</v>
      </c>
      <c r="L3046" t="s">
        <v>60475</v>
      </c>
      <c r="M3046" t="s">
        <v>60476</v>
      </c>
      <c r="N3046" t="s">
        <v>60477</v>
      </c>
      <c r="O3046">
        <f>-628.127650105215 -100.421580682278 -724.696255614339</f>
        <v>-1453.2454864018318</v>
      </c>
      <c r="P3046">
        <f>-635.006318413835 -64.0348770021504 -410.347954296027</f>
        <v>-1109.3891497120123</v>
      </c>
      <c r="Q3046">
        <f>-376.494844060421 -37.6185045095322 -399.57481891416</f>
        <v>-813.68816748411314</v>
      </c>
      <c r="R3046" t="s">
        <v>60478</v>
      </c>
      <c r="S3046" t="s">
        <v>60479</v>
      </c>
      <c r="T3046" t="s">
        <v>60480</v>
      </c>
      <c r="U3046" t="s">
        <v>60481</v>
      </c>
      <c r="V3046" t="s">
        <v>60482</v>
      </c>
      <c r="W3046" t="s">
        <v>60483</v>
      </c>
      <c r="X3046" t="s">
        <v>60484</v>
      </c>
      <c r="Y3046" t="s">
        <v>60485</v>
      </c>
    </row>
    <row r="3047" spans="1:25" x14ac:dyDescent="0.3">
      <c r="A3047">
        <v>152300</v>
      </c>
      <c r="B3047" t="s">
        <v>60486</v>
      </c>
      <c r="C3047" t="s">
        <v>60487</v>
      </c>
      <c r="D3047" t="s">
        <v>60488</v>
      </c>
      <c r="E3047" t="s">
        <v>60489</v>
      </c>
      <c r="F3047" t="s">
        <v>60490</v>
      </c>
      <c r="G3047" t="s">
        <v>60491</v>
      </c>
      <c r="H3047" t="s">
        <v>60492</v>
      </c>
      <c r="I3047" t="s">
        <v>60493</v>
      </c>
      <c r="J3047" t="s">
        <v>60494</v>
      </c>
      <c r="K3047" t="s">
        <v>60495</v>
      </c>
      <c r="L3047" t="s">
        <v>60496</v>
      </c>
      <c r="M3047" t="s">
        <v>60497</v>
      </c>
      <c r="N3047" t="s">
        <v>60498</v>
      </c>
      <c r="O3047">
        <f>-629.23573331273 -100.032787935352 -724.200173521116</f>
        <v>-1453.468694769198</v>
      </c>
      <c r="P3047">
        <f>-635.604503977014 -63.2292129957028 -409.889640530045</f>
        <v>-1108.7233575027619</v>
      </c>
      <c r="Q3047">
        <f>-376.991953480373 -37.4498226790318 -400.03929490603</f>
        <v>-814.48107106543489</v>
      </c>
      <c r="R3047" t="s">
        <v>60499</v>
      </c>
      <c r="S3047" t="s">
        <v>60500</v>
      </c>
      <c r="T3047" t="s">
        <v>60501</v>
      </c>
      <c r="U3047" t="s">
        <v>60502</v>
      </c>
      <c r="V3047" t="s">
        <v>60503</v>
      </c>
      <c r="W3047" t="s">
        <v>60504</v>
      </c>
      <c r="X3047" t="s">
        <v>60505</v>
      </c>
      <c r="Y3047" t="s">
        <v>60506</v>
      </c>
    </row>
    <row r="3048" spans="1:25" x14ac:dyDescent="0.3">
      <c r="A3048">
        <v>152350</v>
      </c>
      <c r="B3048" t="s">
        <v>60507</v>
      </c>
      <c r="C3048" t="s">
        <v>60508</v>
      </c>
      <c r="D3048" t="s">
        <v>60509</v>
      </c>
      <c r="E3048" t="s">
        <v>60510</v>
      </c>
      <c r="F3048" t="s">
        <v>60511</v>
      </c>
      <c r="G3048" t="s">
        <v>60512</v>
      </c>
      <c r="H3048" t="s">
        <v>60513</v>
      </c>
      <c r="I3048" t="s">
        <v>60514</v>
      </c>
      <c r="J3048" t="s">
        <v>60515</v>
      </c>
      <c r="K3048" t="s">
        <v>60516</v>
      </c>
      <c r="L3048" t="s">
        <v>60517</v>
      </c>
      <c r="M3048" t="s">
        <v>60518</v>
      </c>
      <c r="N3048" t="s">
        <v>60519</v>
      </c>
      <c r="O3048">
        <f>-631.988159031885 -99.4189891107973 -723.266523182276</f>
        <v>-1454.6736713249584</v>
      </c>
      <c r="P3048">
        <f>-636.889304850538 -62.9537127980101 -408.89015061231</f>
        <v>-1108.7331682608581</v>
      </c>
      <c r="Q3048">
        <f>-378.196144252924 -37.5299355865938 -400.314032406799</f>
        <v>-816.04011224631677</v>
      </c>
      <c r="R3048" t="s">
        <v>60520</v>
      </c>
      <c r="S3048" t="s">
        <v>60521</v>
      </c>
      <c r="T3048" t="s">
        <v>60522</v>
      </c>
      <c r="U3048" t="s">
        <v>60523</v>
      </c>
      <c r="V3048" t="s">
        <v>60524</v>
      </c>
      <c r="W3048" t="s">
        <v>60525</v>
      </c>
      <c r="X3048" t="s">
        <v>60526</v>
      </c>
      <c r="Y3048" t="s">
        <v>60527</v>
      </c>
    </row>
    <row r="3049" spans="1:25" x14ac:dyDescent="0.3">
      <c r="A3049">
        <v>152400</v>
      </c>
      <c r="B3049" t="s">
        <v>60528</v>
      </c>
      <c r="C3049" t="s">
        <v>60529</v>
      </c>
      <c r="D3049" t="s">
        <v>60530</v>
      </c>
      <c r="E3049" t="s">
        <v>60531</v>
      </c>
      <c r="F3049" t="s">
        <v>60532</v>
      </c>
      <c r="G3049" t="s">
        <v>60533</v>
      </c>
      <c r="H3049" t="s">
        <v>60534</v>
      </c>
      <c r="I3049" t="s">
        <v>60535</v>
      </c>
      <c r="J3049" t="s">
        <v>60536</v>
      </c>
      <c r="K3049" t="s">
        <v>60537</v>
      </c>
      <c r="L3049" t="s">
        <v>60538</v>
      </c>
      <c r="M3049" t="s">
        <v>60539</v>
      </c>
      <c r="N3049" t="s">
        <v>60540</v>
      </c>
      <c r="O3049">
        <f>-633.143298030369 -99.1210334201433 -722.847341056214</f>
        <v>-1455.1116725067263</v>
      </c>
      <c r="P3049">
        <f>-636.781771273029 -62.6417157177208 -408.455563408913</f>
        <v>-1107.8790503996629</v>
      </c>
      <c r="Q3049">
        <f>-377.914779276051 -39.004854001528 -400.014416550459</f>
        <v>-816.93404982803804</v>
      </c>
      <c r="R3049" t="s">
        <v>60541</v>
      </c>
      <c r="S3049" t="s">
        <v>60542</v>
      </c>
      <c r="T3049" t="s">
        <v>60543</v>
      </c>
      <c r="U3049" t="s">
        <v>60544</v>
      </c>
      <c r="V3049" t="s">
        <v>60545</v>
      </c>
      <c r="W3049" t="s">
        <v>60546</v>
      </c>
      <c r="X3049" t="s">
        <v>60547</v>
      </c>
      <c r="Y3049" t="s">
        <v>60548</v>
      </c>
    </row>
    <row r="3050" spans="1:25" x14ac:dyDescent="0.3">
      <c r="A3050">
        <v>152450</v>
      </c>
      <c r="B3050" t="s">
        <v>60549</v>
      </c>
      <c r="C3050" t="s">
        <v>60550</v>
      </c>
      <c r="D3050" t="s">
        <v>60551</v>
      </c>
      <c r="E3050" t="s">
        <v>60552</v>
      </c>
      <c r="F3050" t="s">
        <v>60553</v>
      </c>
      <c r="G3050" t="s">
        <v>60554</v>
      </c>
      <c r="H3050" t="s">
        <v>60555</v>
      </c>
      <c r="I3050" t="s">
        <v>60556</v>
      </c>
      <c r="J3050" t="s">
        <v>60557</v>
      </c>
      <c r="K3050" t="s">
        <v>60558</v>
      </c>
      <c r="L3050" t="s">
        <v>60559</v>
      </c>
      <c r="M3050" t="s">
        <v>60560</v>
      </c>
      <c r="N3050" t="s">
        <v>60561</v>
      </c>
      <c r="O3050">
        <f>-634.581455461089 -98.6881470288625 -721.803693400007</f>
        <v>-1455.0732958899584</v>
      </c>
      <c r="P3050">
        <f>-636.205315873978 -58.5797064720619 -407.837261139486</f>
        <v>-1102.6222834855257</v>
      </c>
      <c r="Q3050">
        <f>-376.845733988904 -42.5961769173536 -396.91885632191</f>
        <v>-816.36076722816756</v>
      </c>
      <c r="R3050" t="s">
        <v>60562</v>
      </c>
      <c r="S3050" t="s">
        <v>60563</v>
      </c>
      <c r="T3050" t="s">
        <v>60564</v>
      </c>
      <c r="U3050" t="s">
        <v>60565</v>
      </c>
      <c r="V3050" t="s">
        <v>60566</v>
      </c>
      <c r="W3050" t="s">
        <v>60567</v>
      </c>
      <c r="X3050" t="s">
        <v>60568</v>
      </c>
      <c r="Y3050" t="s">
        <v>60569</v>
      </c>
    </row>
    <row r="3051" spans="1:25" x14ac:dyDescent="0.3">
      <c r="A3051">
        <v>152500</v>
      </c>
      <c r="B3051" t="s">
        <v>60570</v>
      </c>
      <c r="C3051" t="s">
        <v>60571</v>
      </c>
      <c r="D3051" t="s">
        <v>60572</v>
      </c>
      <c r="E3051" t="s">
        <v>60573</v>
      </c>
      <c r="F3051" t="s">
        <v>60574</v>
      </c>
      <c r="G3051" t="s">
        <v>60575</v>
      </c>
      <c r="H3051" t="s">
        <v>60576</v>
      </c>
      <c r="I3051" t="s">
        <v>60577</v>
      </c>
      <c r="J3051" t="s">
        <v>60578</v>
      </c>
      <c r="K3051" t="s">
        <v>60579</v>
      </c>
      <c r="L3051" t="s">
        <v>60580</v>
      </c>
      <c r="M3051" t="s">
        <v>60581</v>
      </c>
      <c r="N3051" t="s">
        <v>60582</v>
      </c>
      <c r="O3051">
        <f>-634.613743985937 -98.7005768439896 -721.325877381016</f>
        <v>-1454.6401982109426</v>
      </c>
      <c r="P3051">
        <f>-636.256734891566 -57.4194681633565 -407.511662308188</f>
        <v>-1101.1878653631106</v>
      </c>
      <c r="Q3051">
        <f>-376.868886626651 -43.9445469457208 -394.152671185892</f>
        <v>-814.96610475826378</v>
      </c>
      <c r="R3051" t="s">
        <v>60583</v>
      </c>
      <c r="S3051" t="s">
        <v>60584</v>
      </c>
      <c r="T3051" t="s">
        <v>60585</v>
      </c>
      <c r="U3051" t="s">
        <v>60586</v>
      </c>
      <c r="V3051" t="s">
        <v>60587</v>
      </c>
      <c r="W3051" t="s">
        <v>60588</v>
      </c>
      <c r="X3051" t="s">
        <v>60589</v>
      </c>
      <c r="Y3051" t="s">
        <v>60590</v>
      </c>
    </row>
    <row r="3052" spans="1:25" x14ac:dyDescent="0.3">
      <c r="A3052">
        <v>152550</v>
      </c>
      <c r="B3052" t="s">
        <v>60591</v>
      </c>
      <c r="C3052" t="s">
        <v>60592</v>
      </c>
      <c r="D3052" t="s">
        <v>60593</v>
      </c>
      <c r="E3052" t="s">
        <v>60594</v>
      </c>
      <c r="F3052" t="s">
        <v>60595</v>
      </c>
      <c r="G3052" t="s">
        <v>60596</v>
      </c>
      <c r="H3052" t="s">
        <v>60597</v>
      </c>
      <c r="I3052" t="s">
        <v>60598</v>
      </c>
      <c r="J3052" t="s">
        <v>60599</v>
      </c>
      <c r="K3052" t="s">
        <v>60600</v>
      </c>
      <c r="L3052" t="s">
        <v>60601</v>
      </c>
      <c r="M3052" t="s">
        <v>60602</v>
      </c>
      <c r="N3052" t="s">
        <v>60603</v>
      </c>
      <c r="O3052">
        <f>-634.906181966934 -97.7068756081539 -721.198675892775</f>
        <v>-1453.8117334678627</v>
      </c>
      <c r="P3052">
        <f>-640.061566595139 -55.7299567921825 -407.514891518699</f>
        <v>-1103.3064149060206</v>
      </c>
      <c r="Q3052">
        <f>-380.678599625122 -42.7479570841379 -393.586183902161</f>
        <v>-817.0127406114209</v>
      </c>
      <c r="R3052" t="s">
        <v>60604</v>
      </c>
      <c r="S3052" t="s">
        <v>60605</v>
      </c>
      <c r="T3052" t="s">
        <v>60606</v>
      </c>
      <c r="U3052" t="s">
        <v>60607</v>
      </c>
      <c r="V3052" t="s">
        <v>60608</v>
      </c>
      <c r="W3052" t="s">
        <v>60609</v>
      </c>
      <c r="X3052" t="s">
        <v>60610</v>
      </c>
      <c r="Y3052" t="s">
        <v>60611</v>
      </c>
    </row>
    <row r="3053" spans="1:25" x14ac:dyDescent="0.3">
      <c r="A3053">
        <v>152600</v>
      </c>
      <c r="B3053" t="s">
        <v>60612</v>
      </c>
      <c r="C3053" t="s">
        <v>60613</v>
      </c>
      <c r="D3053" t="s">
        <v>60614</v>
      </c>
      <c r="E3053" t="s">
        <v>60615</v>
      </c>
      <c r="F3053" t="s">
        <v>60616</v>
      </c>
      <c r="G3053" t="s">
        <v>60617</v>
      </c>
      <c r="H3053" t="s">
        <v>60618</v>
      </c>
      <c r="I3053" t="s">
        <v>60619</v>
      </c>
      <c r="J3053" t="s">
        <v>60620</v>
      </c>
      <c r="K3053" t="s">
        <v>60621</v>
      </c>
      <c r="L3053" t="s">
        <v>60622</v>
      </c>
      <c r="M3053" t="s">
        <v>60623</v>
      </c>
      <c r="N3053" t="s">
        <v>60624</v>
      </c>
      <c r="O3053">
        <f>-634.995239310538 -96.2494323837131 -721.746503541189</f>
        <v>-1452.9911752354401</v>
      </c>
      <c r="P3053">
        <f>-640.544486762684 -54.3629932135941 -408.057255395793</f>
        <v>-1102.9647353720711</v>
      </c>
      <c r="Q3053">
        <f>-381.231944410927 -41.0700149925683 -393.144866520805</f>
        <v>-815.44682592430036</v>
      </c>
      <c r="R3053" t="s">
        <v>60625</v>
      </c>
      <c r="S3053" t="s">
        <v>60626</v>
      </c>
      <c r="T3053" t="s">
        <v>60627</v>
      </c>
      <c r="U3053" t="s">
        <v>60628</v>
      </c>
      <c r="V3053" t="s">
        <v>60629</v>
      </c>
      <c r="W3053" t="s">
        <v>60630</v>
      </c>
      <c r="X3053" t="s">
        <v>60631</v>
      </c>
      <c r="Y3053" t="s">
        <v>60632</v>
      </c>
    </row>
    <row r="3054" spans="1:25" x14ac:dyDescent="0.3">
      <c r="A3054">
        <v>152650</v>
      </c>
      <c r="B3054" t="s">
        <v>60633</v>
      </c>
      <c r="C3054" t="s">
        <v>60634</v>
      </c>
      <c r="D3054" t="s">
        <v>60635</v>
      </c>
      <c r="E3054" t="s">
        <v>60636</v>
      </c>
      <c r="F3054" t="s">
        <v>60637</v>
      </c>
      <c r="G3054" t="s">
        <v>60638</v>
      </c>
      <c r="H3054" t="s">
        <v>60639</v>
      </c>
      <c r="I3054" t="s">
        <v>60640</v>
      </c>
      <c r="J3054" t="s">
        <v>60641</v>
      </c>
      <c r="K3054" t="s">
        <v>60642</v>
      </c>
      <c r="L3054" t="s">
        <v>60643</v>
      </c>
      <c r="M3054" t="s">
        <v>60644</v>
      </c>
      <c r="N3054" t="s">
        <v>60645</v>
      </c>
      <c r="O3054">
        <f>-635.172637215854 -93.5227018614094 -723.042610567598</f>
        <v>-1451.7379496448614</v>
      </c>
      <c r="P3054">
        <f>-642.392255969072 -53.0237809332624 -409.205286338174</f>
        <v>-1104.6213232405084</v>
      </c>
      <c r="Q3054">
        <f>-383.233060367118 -36.3891538539331 -394.997005143992</f>
        <v>-814.61921936504314</v>
      </c>
      <c r="R3054" t="s">
        <v>60646</v>
      </c>
      <c r="S3054" t="s">
        <v>60647</v>
      </c>
      <c r="T3054" t="s">
        <v>60648</v>
      </c>
      <c r="U3054" t="s">
        <v>60649</v>
      </c>
      <c r="V3054" t="s">
        <v>60650</v>
      </c>
      <c r="W3054" t="s">
        <v>60651</v>
      </c>
      <c r="X3054" t="s">
        <v>60652</v>
      </c>
      <c r="Y3054" t="s">
        <v>60653</v>
      </c>
    </row>
    <row r="3055" spans="1:25" x14ac:dyDescent="0.3">
      <c r="A3055">
        <v>152700</v>
      </c>
      <c r="B3055" t="s">
        <v>60654</v>
      </c>
      <c r="C3055" t="s">
        <v>60655</v>
      </c>
      <c r="D3055" t="s">
        <v>60656</v>
      </c>
      <c r="E3055" t="s">
        <v>60657</v>
      </c>
      <c r="F3055" t="s">
        <v>60658</v>
      </c>
      <c r="G3055" t="s">
        <v>60659</v>
      </c>
      <c r="H3055" t="s">
        <v>60660</v>
      </c>
      <c r="I3055" t="s">
        <v>60661</v>
      </c>
      <c r="J3055" t="s">
        <v>60662</v>
      </c>
      <c r="K3055" t="s">
        <v>60663</v>
      </c>
      <c r="L3055" t="s">
        <v>60664</v>
      </c>
      <c r="M3055" t="s">
        <v>60665</v>
      </c>
      <c r="N3055" t="s">
        <v>60666</v>
      </c>
      <c r="O3055">
        <f>-635.400596921305 -92.151171656162 -723.81612022352</f>
        <v>-1451.367888800987</v>
      </c>
      <c r="P3055">
        <f>-642.542842478097 -52.0126151320448 -409.930671996578</f>
        <v>-1104.4861296067197</v>
      </c>
      <c r="Q3055">
        <f>-383.463793828528 -34.2612338854295 -395.613430876535</f>
        <v>-813.33845859049256</v>
      </c>
      <c r="R3055" t="s">
        <v>60667</v>
      </c>
      <c r="S3055" t="s">
        <v>60668</v>
      </c>
      <c r="T3055" t="s">
        <v>60669</v>
      </c>
      <c r="U3055" t="s">
        <v>60670</v>
      </c>
      <c r="V3055" t="s">
        <v>60671</v>
      </c>
      <c r="W3055" t="s">
        <v>60672</v>
      </c>
      <c r="X3055" t="s">
        <v>60673</v>
      </c>
      <c r="Y3055" t="s">
        <v>60674</v>
      </c>
    </row>
    <row r="3056" spans="1:25" x14ac:dyDescent="0.3">
      <c r="A3056">
        <v>152750</v>
      </c>
      <c r="B3056" t="s">
        <v>60675</v>
      </c>
      <c r="C3056" t="s">
        <v>60676</v>
      </c>
      <c r="D3056" t="s">
        <v>60677</v>
      </c>
      <c r="E3056" t="s">
        <v>60678</v>
      </c>
      <c r="F3056" t="s">
        <v>60679</v>
      </c>
      <c r="G3056" t="s">
        <v>60680</v>
      </c>
      <c r="H3056" t="s">
        <v>60681</v>
      </c>
      <c r="I3056" t="s">
        <v>60682</v>
      </c>
      <c r="J3056" t="s">
        <v>60683</v>
      </c>
      <c r="K3056" t="s">
        <v>60684</v>
      </c>
      <c r="L3056" t="s">
        <v>60685</v>
      </c>
      <c r="M3056" t="s">
        <v>60686</v>
      </c>
      <c r="N3056" t="s">
        <v>60687</v>
      </c>
      <c r="O3056">
        <f>-634.965292467629 -90.6742577099128 -724.969215258899</f>
        <v>-1450.6087654364408</v>
      </c>
      <c r="P3056">
        <f>-642.543884118188 -53.9419460292743 -410.677103002967</f>
        <v>-1107.1629331504291</v>
      </c>
      <c r="Q3056">
        <f>-383.561478308747 -34.4756663670373 -396.8478538798</f>
        <v>-814.88499855558439</v>
      </c>
      <c r="R3056" t="s">
        <v>60688</v>
      </c>
      <c r="S3056" t="s">
        <v>60689</v>
      </c>
      <c r="T3056" t="s">
        <v>60690</v>
      </c>
      <c r="U3056" t="s">
        <v>60691</v>
      </c>
      <c r="V3056" t="s">
        <v>60692</v>
      </c>
      <c r="W3056" t="s">
        <v>60693</v>
      </c>
      <c r="X3056" t="s">
        <v>60694</v>
      </c>
      <c r="Y3056" t="s">
        <v>60695</v>
      </c>
    </row>
    <row r="3057" spans="1:25" x14ac:dyDescent="0.3">
      <c r="A3057">
        <v>152800</v>
      </c>
      <c r="B3057" t="s">
        <v>60696</v>
      </c>
      <c r="C3057" t="s">
        <v>60697</v>
      </c>
      <c r="D3057" t="s">
        <v>60698</v>
      </c>
      <c r="E3057" t="s">
        <v>60699</v>
      </c>
      <c r="F3057" t="s">
        <v>60700</v>
      </c>
      <c r="G3057" t="s">
        <v>60701</v>
      </c>
      <c r="H3057" t="s">
        <v>60702</v>
      </c>
      <c r="I3057" t="s">
        <v>60703</v>
      </c>
      <c r="J3057" t="s">
        <v>60704</v>
      </c>
      <c r="K3057" t="s">
        <v>60705</v>
      </c>
      <c r="L3057" t="s">
        <v>60706</v>
      </c>
      <c r="M3057" t="s">
        <v>60707</v>
      </c>
      <c r="N3057" t="s">
        <v>60708</v>
      </c>
      <c r="O3057">
        <f>-634.471941113962 -89.945907724343 -725.593514537424</f>
        <v>-1450.0113633757289</v>
      </c>
      <c r="P3057">
        <f>-641.711501040482 -53.9491317981708 -411.208299854627</f>
        <v>-1106.8689326932797</v>
      </c>
      <c r="Q3057">
        <f>-382.650626415088 -35.1769657329238 -397.900001258357</f>
        <v>-815.7275934063689</v>
      </c>
      <c r="R3057" t="s">
        <v>60709</v>
      </c>
      <c r="S3057" t="s">
        <v>60710</v>
      </c>
      <c r="T3057" t="s">
        <v>60711</v>
      </c>
      <c r="U3057" t="s">
        <v>60712</v>
      </c>
      <c r="V3057" t="s">
        <v>60713</v>
      </c>
      <c r="W3057" t="s">
        <v>60714</v>
      </c>
      <c r="X3057" t="s">
        <v>60715</v>
      </c>
      <c r="Y3057" t="s">
        <v>60716</v>
      </c>
    </row>
    <row r="3058" spans="1:25" x14ac:dyDescent="0.3">
      <c r="A3058">
        <v>152850</v>
      </c>
      <c r="B3058" t="s">
        <v>60717</v>
      </c>
      <c r="C3058" t="s">
        <v>60718</v>
      </c>
      <c r="D3058" t="s">
        <v>60719</v>
      </c>
      <c r="E3058" t="s">
        <v>60720</v>
      </c>
      <c r="F3058" t="s">
        <v>60721</v>
      </c>
      <c r="G3058" t="s">
        <v>60722</v>
      </c>
      <c r="H3058" t="s">
        <v>60723</v>
      </c>
      <c r="I3058" t="s">
        <v>60724</v>
      </c>
      <c r="J3058" t="s">
        <v>60725</v>
      </c>
      <c r="K3058" t="s">
        <v>60726</v>
      </c>
      <c r="L3058" t="s">
        <v>60727</v>
      </c>
      <c r="M3058" t="s">
        <v>60728</v>
      </c>
      <c r="N3058" t="s">
        <v>60729</v>
      </c>
      <c r="O3058">
        <f>-632.746705372493 -89.379699506104 -726.802683908336</f>
        <v>-1448.9290887869329</v>
      </c>
      <c r="P3058">
        <f>-641.100511201043 -55.9021529491672 -412.166996302486</f>
        <v>-1109.1696604526962</v>
      </c>
      <c r="Q3058">
        <f>-381.944270811895 -37.1647053483157 -400.808383598048</f>
        <v>-819.91735975825873</v>
      </c>
      <c r="R3058" t="s">
        <v>60730</v>
      </c>
      <c r="S3058" t="s">
        <v>60731</v>
      </c>
      <c r="T3058" t="s">
        <v>60732</v>
      </c>
      <c r="U3058" t="s">
        <v>60733</v>
      </c>
      <c r="V3058" t="s">
        <v>60734</v>
      </c>
      <c r="W3058" t="s">
        <v>60735</v>
      </c>
      <c r="X3058" t="s">
        <v>60736</v>
      </c>
      <c r="Y3058" t="s">
        <v>60737</v>
      </c>
    </row>
    <row r="3059" spans="1:25" x14ac:dyDescent="0.3">
      <c r="A3059">
        <v>152900</v>
      </c>
      <c r="B3059" t="s">
        <v>60738</v>
      </c>
      <c r="C3059" t="s">
        <v>60739</v>
      </c>
      <c r="D3059" t="s">
        <v>60740</v>
      </c>
      <c r="E3059" t="s">
        <v>60741</v>
      </c>
      <c r="F3059" t="s">
        <v>60742</v>
      </c>
      <c r="G3059" t="s">
        <v>60743</v>
      </c>
      <c r="H3059" t="s">
        <v>60744</v>
      </c>
      <c r="I3059" t="s">
        <v>60745</v>
      </c>
      <c r="J3059" t="s">
        <v>60746</v>
      </c>
      <c r="K3059" t="s">
        <v>60747</v>
      </c>
      <c r="L3059" t="s">
        <v>60748</v>
      </c>
      <c r="M3059" t="s">
        <v>60749</v>
      </c>
      <c r="N3059" t="s">
        <v>60750</v>
      </c>
      <c r="O3059">
        <f>-631.821860326508 -88.8539180424494 -727.409869102955</f>
        <v>-1448.0856474719126</v>
      </c>
      <c r="P3059">
        <f>-640.237733507671 -55.3370055011266 -412.780060227716</f>
        <v>-1108.3547992365136</v>
      </c>
      <c r="Q3059">
        <f>-381.193678179171 -35.9562806674201 -400.027537081998</f>
        <v>-817.17749592858911</v>
      </c>
      <c r="R3059" t="s">
        <v>60751</v>
      </c>
      <c r="S3059" t="s">
        <v>60752</v>
      </c>
      <c r="T3059" t="s">
        <v>60753</v>
      </c>
      <c r="U3059" t="s">
        <v>60754</v>
      </c>
      <c r="V3059" t="s">
        <v>60755</v>
      </c>
      <c r="W3059" t="s">
        <v>60756</v>
      </c>
      <c r="X3059" t="s">
        <v>60757</v>
      </c>
      <c r="Y3059" t="s">
        <v>60758</v>
      </c>
    </row>
    <row r="3060" spans="1:25" x14ac:dyDescent="0.3">
      <c r="A3060">
        <v>152950</v>
      </c>
      <c r="B3060" t="s">
        <v>60759</v>
      </c>
      <c r="C3060" t="s">
        <v>60760</v>
      </c>
      <c r="D3060" t="s">
        <v>60761</v>
      </c>
      <c r="E3060" t="s">
        <v>60762</v>
      </c>
      <c r="F3060" t="s">
        <v>60763</v>
      </c>
      <c r="G3060" t="s">
        <v>60764</v>
      </c>
      <c r="H3060" t="s">
        <v>60765</v>
      </c>
      <c r="I3060" t="s">
        <v>60766</v>
      </c>
      <c r="J3060" t="s">
        <v>60767</v>
      </c>
      <c r="K3060" t="s">
        <v>60768</v>
      </c>
      <c r="L3060" t="s">
        <v>60769</v>
      </c>
      <c r="M3060" t="s">
        <v>60770</v>
      </c>
      <c r="N3060" t="s">
        <v>60771</v>
      </c>
      <c r="O3060">
        <f>-629.818338092993 -88.7788970280838 -727.930724322938</f>
        <v>-1446.5279594440149</v>
      </c>
      <c r="P3060">
        <f>-639.551388715909 -55.5724286575721 -413.305958332577</f>
        <v>-1108.4297757060581</v>
      </c>
      <c r="Q3060">
        <f>-381.089162042446 -32.5304083205835 -395.744402181313</f>
        <v>-809.36397254434246</v>
      </c>
      <c r="R3060" t="s">
        <v>60772</v>
      </c>
      <c r="S3060" t="s">
        <v>60773</v>
      </c>
      <c r="T3060" t="s">
        <v>60774</v>
      </c>
      <c r="U3060" t="s">
        <v>60775</v>
      </c>
      <c r="V3060" t="s">
        <v>60776</v>
      </c>
      <c r="W3060" t="s">
        <v>60777</v>
      </c>
      <c r="X3060" t="s">
        <v>60778</v>
      </c>
      <c r="Y3060" t="s">
        <v>60779</v>
      </c>
    </row>
    <row r="3061" spans="1:25" x14ac:dyDescent="0.3">
      <c r="A3061">
        <v>153000</v>
      </c>
      <c r="B3061" t="s">
        <v>60780</v>
      </c>
      <c r="C3061" t="s">
        <v>60781</v>
      </c>
      <c r="D3061" t="s">
        <v>60782</v>
      </c>
      <c r="E3061" t="s">
        <v>60783</v>
      </c>
      <c r="F3061" t="s">
        <v>60784</v>
      </c>
      <c r="G3061" t="s">
        <v>60785</v>
      </c>
      <c r="H3061" t="s">
        <v>60786</v>
      </c>
      <c r="I3061" t="s">
        <v>60787</v>
      </c>
      <c r="J3061" t="s">
        <v>60788</v>
      </c>
      <c r="K3061" t="s">
        <v>60789</v>
      </c>
      <c r="L3061" t="s">
        <v>60790</v>
      </c>
      <c r="M3061" t="s">
        <v>60791</v>
      </c>
      <c r="N3061" t="s">
        <v>60792</v>
      </c>
      <c r="O3061">
        <f>-629.136379307064 -88.7675301393174 -728.056241505853</f>
        <v>-1445.9601509522345</v>
      </c>
      <c r="P3061">
        <f>-639.159931067964 -54.8780149275135 -413.51338514105</f>
        <v>-1107.5513311365276</v>
      </c>
      <c r="Q3061">
        <f>-380.82352169252 -30.7723548591258 -395.533424060528</f>
        <v>-807.12930061217378</v>
      </c>
      <c r="R3061" t="s">
        <v>60793</v>
      </c>
      <c r="S3061" t="s">
        <v>60794</v>
      </c>
      <c r="T3061" t="s">
        <v>60795</v>
      </c>
      <c r="U3061" t="s">
        <v>60796</v>
      </c>
      <c r="V3061" t="s">
        <v>60797</v>
      </c>
      <c r="W3061" t="s">
        <v>60798</v>
      </c>
      <c r="X3061" t="s">
        <v>60799</v>
      </c>
      <c r="Y3061" t="s">
        <v>60800</v>
      </c>
    </row>
    <row r="3062" spans="1:25" x14ac:dyDescent="0.3">
      <c r="A3062">
        <v>153050</v>
      </c>
      <c r="B3062" t="s">
        <v>60801</v>
      </c>
      <c r="C3062" t="s">
        <v>60802</v>
      </c>
      <c r="D3062" t="s">
        <v>60803</v>
      </c>
      <c r="E3062" t="s">
        <v>60804</v>
      </c>
      <c r="F3062" t="s">
        <v>60805</v>
      </c>
      <c r="G3062" t="s">
        <v>60806</v>
      </c>
      <c r="H3062" t="s">
        <v>60807</v>
      </c>
      <c r="I3062" t="s">
        <v>60808</v>
      </c>
      <c r="J3062" t="s">
        <v>60809</v>
      </c>
      <c r="K3062" t="s">
        <v>60810</v>
      </c>
      <c r="L3062" t="s">
        <v>60811</v>
      </c>
      <c r="M3062" t="s">
        <v>60812</v>
      </c>
      <c r="N3062" t="s">
        <v>60813</v>
      </c>
      <c r="O3062">
        <f>-627.833188896512 -88.2511432126161 -728.197467540802</f>
        <v>-1444.28179964993</v>
      </c>
      <c r="P3062">
        <f>-636.385969820073 -52.9331326663517 -413.768367037481</f>
        <v>-1103.0874695239058</v>
      </c>
      <c r="Q3062">
        <f>-378.122623159564 -27.6526148761766 -396.361294519666</f>
        <v>-802.13653255540657</v>
      </c>
      <c r="R3062" t="s">
        <v>60814</v>
      </c>
      <c r="S3062" t="s">
        <v>60815</v>
      </c>
      <c r="T3062" t="s">
        <v>60816</v>
      </c>
      <c r="U3062" t="s">
        <v>60817</v>
      </c>
      <c r="V3062" t="s">
        <v>60818</v>
      </c>
      <c r="W3062" t="s">
        <v>60819</v>
      </c>
      <c r="X3062" t="s">
        <v>60820</v>
      </c>
      <c r="Y3062" t="s">
        <v>60821</v>
      </c>
    </row>
    <row r="3063" spans="1:25" x14ac:dyDescent="0.3">
      <c r="A3063">
        <v>153100</v>
      </c>
      <c r="B3063" t="s">
        <v>60822</v>
      </c>
      <c r="C3063" t="s">
        <v>60823</v>
      </c>
      <c r="D3063" t="s">
        <v>60824</v>
      </c>
      <c r="E3063" t="s">
        <v>60825</v>
      </c>
      <c r="F3063" t="s">
        <v>60826</v>
      </c>
      <c r="G3063" t="s">
        <v>60827</v>
      </c>
      <c r="H3063" t="s">
        <v>60828</v>
      </c>
      <c r="I3063" t="s">
        <v>60829</v>
      </c>
      <c r="J3063" t="s">
        <v>60830</v>
      </c>
      <c r="K3063" t="s">
        <v>60831</v>
      </c>
      <c r="L3063" t="s">
        <v>60832</v>
      </c>
      <c r="M3063" t="s">
        <v>60833</v>
      </c>
      <c r="N3063" t="s">
        <v>60834</v>
      </c>
      <c r="O3063">
        <f>-627.560551680358 -87.7218349876829 -728.243618887138</f>
        <v>-1443.5260055551789</v>
      </c>
      <c r="P3063">
        <f>-635.270245852379 -51.9920879537839 -413.839245400195</f>
        <v>-1101.1015792063579</v>
      </c>
      <c r="Q3063">
        <f>-376.917125433449 -26.5516533889095 -398.075830345228</f>
        <v>-801.54460916758649</v>
      </c>
      <c r="R3063" t="s">
        <v>60835</v>
      </c>
      <c r="S3063" t="s">
        <v>60836</v>
      </c>
      <c r="T3063" t="s">
        <v>60837</v>
      </c>
      <c r="U3063" t="s">
        <v>60838</v>
      </c>
      <c r="V3063" t="s">
        <v>60839</v>
      </c>
      <c r="W3063" t="s">
        <v>60840</v>
      </c>
      <c r="X3063" t="s">
        <v>60841</v>
      </c>
      <c r="Y3063" t="s">
        <v>60842</v>
      </c>
    </row>
    <row r="3064" spans="1:25" x14ac:dyDescent="0.3">
      <c r="A3064">
        <v>153150</v>
      </c>
      <c r="B3064" t="s">
        <v>60843</v>
      </c>
      <c r="C3064" t="s">
        <v>60844</v>
      </c>
      <c r="D3064" t="s">
        <v>60845</v>
      </c>
      <c r="E3064" t="s">
        <v>60846</v>
      </c>
      <c r="F3064" t="s">
        <v>60847</v>
      </c>
      <c r="G3064" t="s">
        <v>60848</v>
      </c>
      <c r="H3064" t="s">
        <v>60849</v>
      </c>
      <c r="I3064" t="s">
        <v>60850</v>
      </c>
      <c r="J3064" t="s">
        <v>60851</v>
      </c>
      <c r="K3064" t="s">
        <v>60852</v>
      </c>
      <c r="L3064" t="s">
        <v>60853</v>
      </c>
      <c r="M3064" t="s">
        <v>60854</v>
      </c>
      <c r="N3064" t="s">
        <v>60855</v>
      </c>
      <c r="O3064">
        <f>-627.075957611193 -86.7262068430834 -728.231464117919</f>
        <v>-1442.0336285721955</v>
      </c>
      <c r="P3064">
        <f>-634.311079151644 -51.7114924509417 -413.735315068473</f>
        <v>-1099.7578866710587</v>
      </c>
      <c r="Q3064">
        <f>-375.648979821979 -29.4410397924786 -398.243996423491</f>
        <v>-803.33401603794869</v>
      </c>
      <c r="R3064" t="s">
        <v>60856</v>
      </c>
      <c r="S3064" t="s">
        <v>60857</v>
      </c>
      <c r="T3064" t="s">
        <v>60858</v>
      </c>
      <c r="U3064" t="s">
        <v>60859</v>
      </c>
      <c r="V3064" t="s">
        <v>60860</v>
      </c>
      <c r="W3064" t="s">
        <v>60861</v>
      </c>
      <c r="X3064" t="s">
        <v>60862</v>
      </c>
      <c r="Y3064" t="s">
        <v>60863</v>
      </c>
    </row>
    <row r="3065" spans="1:25" x14ac:dyDescent="0.3">
      <c r="A3065">
        <v>153200</v>
      </c>
      <c r="B3065" t="s">
        <v>60864</v>
      </c>
      <c r="C3065" t="s">
        <v>60865</v>
      </c>
      <c r="D3065" t="s">
        <v>60866</v>
      </c>
      <c r="E3065" t="s">
        <v>60867</v>
      </c>
      <c r="F3065" t="s">
        <v>60868</v>
      </c>
      <c r="G3065" t="s">
        <v>60869</v>
      </c>
      <c r="H3065" t="s">
        <v>60870</v>
      </c>
      <c r="I3065" t="s">
        <v>60871</v>
      </c>
      <c r="J3065" t="s">
        <v>60872</v>
      </c>
      <c r="K3065" t="s">
        <v>60873</v>
      </c>
      <c r="L3065" t="s">
        <v>60874</v>
      </c>
      <c r="M3065" t="s">
        <v>60875</v>
      </c>
      <c r="N3065" t="s">
        <v>60876</v>
      </c>
      <c r="O3065">
        <f>-626.768744077196 -86.5491075498994 -728.103448167525</f>
        <v>-1441.4212997946204</v>
      </c>
      <c r="P3065">
        <f>-633.829537282441 -51.877183978291 -413.56531342537</f>
        <v>-1099.272034686102</v>
      </c>
      <c r="Q3065">
        <f>-375.069610721243 -30.9732800688087 -397.805677195571</f>
        <v>-803.84856798562271</v>
      </c>
      <c r="R3065" t="s">
        <v>60877</v>
      </c>
      <c r="S3065" t="s">
        <v>60878</v>
      </c>
      <c r="T3065" t="s">
        <v>60879</v>
      </c>
      <c r="U3065" t="s">
        <v>60880</v>
      </c>
      <c r="V3065" t="s">
        <v>60881</v>
      </c>
      <c r="W3065" t="s">
        <v>60882</v>
      </c>
      <c r="X3065" t="s">
        <v>60883</v>
      </c>
      <c r="Y3065" t="s">
        <v>60884</v>
      </c>
    </row>
    <row r="3066" spans="1:25" x14ac:dyDescent="0.3">
      <c r="A3066">
        <v>153250</v>
      </c>
      <c r="B3066" t="s">
        <v>60885</v>
      </c>
      <c r="C3066" t="s">
        <v>60886</v>
      </c>
      <c r="D3066" t="s">
        <v>60887</v>
      </c>
      <c r="E3066" t="s">
        <v>60888</v>
      </c>
      <c r="F3066" t="s">
        <v>60889</v>
      </c>
      <c r="G3066" t="s">
        <v>60890</v>
      </c>
      <c r="H3066" t="s">
        <v>60891</v>
      </c>
      <c r="I3066" t="s">
        <v>60892</v>
      </c>
      <c r="J3066" t="s">
        <v>60893</v>
      </c>
      <c r="K3066" t="s">
        <v>60894</v>
      </c>
      <c r="L3066" t="s">
        <v>60895</v>
      </c>
      <c r="M3066" t="s">
        <v>60896</v>
      </c>
      <c r="N3066" t="s">
        <v>60897</v>
      </c>
      <c r="O3066">
        <f>-625.812813605022 -86.4705079871699 -727.671426603211</f>
        <v>-1439.9547481954028</v>
      </c>
      <c r="P3066">
        <f>-634.640037040194 -51.3487133398475 -413.227946335391</f>
        <v>-1099.2166967154324</v>
      </c>
      <c r="Q3066">
        <f>-375.813419167451 -31.3093171472487 -397.439883613224</f>
        <v>-804.56261992792372</v>
      </c>
      <c r="R3066" t="s">
        <v>60898</v>
      </c>
      <c r="S3066" t="s">
        <v>60899</v>
      </c>
      <c r="T3066" t="s">
        <v>60900</v>
      </c>
      <c r="U3066" t="s">
        <v>60901</v>
      </c>
      <c r="V3066" t="s">
        <v>60902</v>
      </c>
      <c r="W3066" t="s">
        <v>60903</v>
      </c>
      <c r="X3066" t="s">
        <v>60904</v>
      </c>
      <c r="Y3066" t="s">
        <v>60905</v>
      </c>
    </row>
    <row r="3067" spans="1:25" x14ac:dyDescent="0.3">
      <c r="A3067">
        <v>153300</v>
      </c>
      <c r="B3067" t="s">
        <v>60906</v>
      </c>
      <c r="C3067" t="s">
        <v>60907</v>
      </c>
      <c r="D3067" t="s">
        <v>60908</v>
      </c>
      <c r="E3067" t="s">
        <v>60909</v>
      </c>
      <c r="F3067" t="s">
        <v>60910</v>
      </c>
      <c r="G3067" t="s">
        <v>60911</v>
      </c>
      <c r="H3067" t="s">
        <v>60912</v>
      </c>
      <c r="I3067" t="s">
        <v>60913</v>
      </c>
      <c r="J3067" t="s">
        <v>60914</v>
      </c>
      <c r="K3067" t="s">
        <v>60915</v>
      </c>
      <c r="L3067" t="s">
        <v>60916</v>
      </c>
      <c r="M3067" t="s">
        <v>60917</v>
      </c>
      <c r="N3067" t="s">
        <v>60918</v>
      </c>
      <c r="O3067">
        <f>-625.531112987373 -86.6683101474535 -727.511007844668</f>
        <v>-1439.7104309794945</v>
      </c>
      <c r="P3067">
        <f>-635.932852733889 -50.9332615256379 -413.184728108552</f>
        <v>-1100.050842368079</v>
      </c>
      <c r="Q3067">
        <f>-377.093418776099 -30.0395013368198 -398.774669710937</f>
        <v>-805.9075898238558</v>
      </c>
      <c r="R3067" t="s">
        <v>60919</v>
      </c>
      <c r="S3067" t="s">
        <v>60920</v>
      </c>
      <c r="T3067" t="s">
        <v>60921</v>
      </c>
      <c r="U3067" t="s">
        <v>60922</v>
      </c>
      <c r="V3067" t="s">
        <v>60923</v>
      </c>
      <c r="W3067" t="s">
        <v>60924</v>
      </c>
      <c r="X3067" t="s">
        <v>60925</v>
      </c>
      <c r="Y3067" t="s">
        <v>60926</v>
      </c>
    </row>
    <row r="3068" spans="1:25" x14ac:dyDescent="0.3">
      <c r="A3068">
        <v>153350</v>
      </c>
      <c r="B3068" t="s">
        <v>60927</v>
      </c>
      <c r="C3068" t="s">
        <v>60928</v>
      </c>
      <c r="D3068" t="s">
        <v>60929</v>
      </c>
      <c r="E3068" t="s">
        <v>60930</v>
      </c>
      <c r="F3068" t="s">
        <v>60931</v>
      </c>
      <c r="G3068" t="s">
        <v>60932</v>
      </c>
      <c r="H3068" t="s">
        <v>60933</v>
      </c>
      <c r="I3068" t="s">
        <v>60934</v>
      </c>
      <c r="J3068" t="s">
        <v>60935</v>
      </c>
      <c r="K3068" t="s">
        <v>60936</v>
      </c>
      <c r="L3068" t="s">
        <v>60937</v>
      </c>
      <c r="M3068" t="s">
        <v>60938</v>
      </c>
      <c r="N3068" t="s">
        <v>60939</v>
      </c>
      <c r="O3068">
        <f>-625.386213926874 -86.6531542063862 -727.502023590166</f>
        <v>-1439.5413917234264</v>
      </c>
      <c r="P3068">
        <f>-637.823950033259 -49.7852632116465 -413.380650572732</f>
        <v>-1100.9898638176376</v>
      </c>
      <c r="Q3068">
        <f>-379.038100588665 -26.6967049268793 -401.598000674379</f>
        <v>-807.3328061899233</v>
      </c>
      <c r="R3068" t="s">
        <v>60940</v>
      </c>
      <c r="S3068" t="s">
        <v>60941</v>
      </c>
      <c r="T3068" t="s">
        <v>60942</v>
      </c>
      <c r="U3068" t="s">
        <v>60943</v>
      </c>
      <c r="V3068" t="s">
        <v>60944</v>
      </c>
      <c r="W3068" t="s">
        <v>60945</v>
      </c>
      <c r="X3068" t="s">
        <v>60946</v>
      </c>
      <c r="Y3068" t="s">
        <v>60947</v>
      </c>
    </row>
    <row r="3069" spans="1:25" x14ac:dyDescent="0.3">
      <c r="A3069">
        <v>153400</v>
      </c>
      <c r="B3069" t="s">
        <v>60948</v>
      </c>
      <c r="C3069" t="s">
        <v>60949</v>
      </c>
      <c r="D3069" t="s">
        <v>60950</v>
      </c>
      <c r="E3069" t="s">
        <v>60951</v>
      </c>
      <c r="F3069" t="s">
        <v>60952</v>
      </c>
      <c r="G3069" t="s">
        <v>60953</v>
      </c>
      <c r="H3069" t="s">
        <v>60954</v>
      </c>
      <c r="I3069" t="s">
        <v>60955</v>
      </c>
      <c r="J3069" t="s">
        <v>60956</v>
      </c>
      <c r="K3069" t="s">
        <v>60957</v>
      </c>
      <c r="L3069" t="s">
        <v>60958</v>
      </c>
      <c r="M3069" t="s">
        <v>60959</v>
      </c>
      <c r="N3069" t="s">
        <v>60960</v>
      </c>
      <c r="O3069">
        <f>-625.802679631601 -86.3997763843801 -727.435376345051</f>
        <v>-1439.637832361032</v>
      </c>
      <c r="P3069">
        <f>-639.996502789175 -49.1502776849345 -413.433499526786</f>
        <v>-1102.5802800008955</v>
      </c>
      <c r="Q3069">
        <f>-381.301974626353 -24.4735579096683 -402.932188258615</f>
        <v>-808.70772079463632</v>
      </c>
      <c r="R3069" t="s">
        <v>60961</v>
      </c>
      <c r="S3069" t="s">
        <v>60962</v>
      </c>
      <c r="T3069" t="s">
        <v>60963</v>
      </c>
      <c r="U3069" t="s">
        <v>60964</v>
      </c>
      <c r="V3069" t="s">
        <v>60965</v>
      </c>
      <c r="W3069" t="s">
        <v>60966</v>
      </c>
      <c r="X3069" t="s">
        <v>60967</v>
      </c>
      <c r="Y3069" t="s">
        <v>60968</v>
      </c>
    </row>
    <row r="3070" spans="1:25" x14ac:dyDescent="0.3">
      <c r="A3070">
        <v>153450</v>
      </c>
      <c r="B3070" t="s">
        <v>60969</v>
      </c>
      <c r="C3070" t="s">
        <v>60970</v>
      </c>
      <c r="D3070" t="s">
        <v>60971</v>
      </c>
      <c r="E3070" t="s">
        <v>60972</v>
      </c>
      <c r="F3070" t="s">
        <v>60973</v>
      </c>
      <c r="G3070" t="s">
        <v>60974</v>
      </c>
      <c r="H3070" t="s">
        <v>60975</v>
      </c>
      <c r="I3070" t="s">
        <v>60976</v>
      </c>
      <c r="J3070" t="s">
        <v>60977</v>
      </c>
      <c r="K3070" t="s">
        <v>60978</v>
      </c>
      <c r="L3070" t="s">
        <v>60979</v>
      </c>
      <c r="M3070" t="s">
        <v>60980</v>
      </c>
      <c r="N3070" t="s">
        <v>60981</v>
      </c>
      <c r="O3070">
        <f>-626.094219721665 -85.7697644729398 -727.715598981118</f>
        <v>-1439.5795831757227</v>
      </c>
      <c r="P3070">
        <f>-640.038474235139 -47.757990654588 -413.793955968914</f>
        <v>-1101.590420858641</v>
      </c>
      <c r="Q3070">
        <f>-381.528551725027 -21.4304057916529 -402.770448926082</f>
        <v>-805.72940644276196</v>
      </c>
      <c r="R3070" t="s">
        <v>60982</v>
      </c>
      <c r="S3070" t="s">
        <v>60983</v>
      </c>
      <c r="T3070" t="s">
        <v>60984</v>
      </c>
      <c r="U3070" t="s">
        <v>60985</v>
      </c>
      <c r="V3070" t="s">
        <v>60986</v>
      </c>
      <c r="W3070" t="s">
        <v>60987</v>
      </c>
      <c r="X3070" t="s">
        <v>60988</v>
      </c>
      <c r="Y3070" t="s">
        <v>60989</v>
      </c>
    </row>
    <row r="3071" spans="1:25" x14ac:dyDescent="0.3">
      <c r="A3071">
        <v>153500</v>
      </c>
      <c r="B3071" t="s">
        <v>60990</v>
      </c>
      <c r="C3071" t="s">
        <v>60991</v>
      </c>
      <c r="D3071" t="s">
        <v>60992</v>
      </c>
      <c r="E3071" t="s">
        <v>60993</v>
      </c>
      <c r="F3071" t="s">
        <v>60994</v>
      </c>
      <c r="G3071" t="s">
        <v>60995</v>
      </c>
      <c r="H3071" t="s">
        <v>60996</v>
      </c>
      <c r="I3071" t="s">
        <v>60997</v>
      </c>
      <c r="J3071" t="s">
        <v>60998</v>
      </c>
      <c r="K3071" t="s">
        <v>60999</v>
      </c>
      <c r="L3071" t="s">
        <v>61000</v>
      </c>
      <c r="M3071" t="s">
        <v>61001</v>
      </c>
      <c r="N3071" t="s">
        <v>61002</v>
      </c>
      <c r="O3071">
        <f>-626.276711132026 -85.55327473128 -727.721471597191</f>
        <v>-1439.551457460497</v>
      </c>
      <c r="P3071">
        <f>-641.250003368852 -48.1940759323597 -413.768711457712</f>
        <v>-1103.2127907589238</v>
      </c>
      <c r="Q3071">
        <f>-382.808202974453 -20.9607031963818 -403.364968011072</f>
        <v>-807.13387418190678</v>
      </c>
      <c r="R3071" t="s">
        <v>61003</v>
      </c>
      <c r="S3071" t="s">
        <v>61004</v>
      </c>
      <c r="T3071" t="s">
        <v>61005</v>
      </c>
      <c r="U3071" t="s">
        <v>61006</v>
      </c>
      <c r="V3071" t="s">
        <v>61007</v>
      </c>
      <c r="W3071" t="s">
        <v>61008</v>
      </c>
      <c r="X3071" t="s">
        <v>61009</v>
      </c>
      <c r="Y3071" t="s">
        <v>61010</v>
      </c>
    </row>
    <row r="3072" spans="1:25" x14ac:dyDescent="0.3">
      <c r="A3072">
        <v>153550</v>
      </c>
      <c r="B3072" t="s">
        <v>61011</v>
      </c>
      <c r="C3072" t="s">
        <v>61012</v>
      </c>
      <c r="D3072" t="s">
        <v>61013</v>
      </c>
      <c r="E3072" t="s">
        <v>61014</v>
      </c>
      <c r="F3072" t="s">
        <v>61015</v>
      </c>
      <c r="G3072" t="s">
        <v>61016</v>
      </c>
      <c r="H3072" t="s">
        <v>61017</v>
      </c>
      <c r="I3072" t="s">
        <v>61018</v>
      </c>
      <c r="J3072" t="s">
        <v>61019</v>
      </c>
      <c r="K3072" t="s">
        <v>61020</v>
      </c>
      <c r="L3072" t="s">
        <v>61021</v>
      </c>
      <c r="M3072" t="s">
        <v>61022</v>
      </c>
      <c r="N3072" t="s">
        <v>61023</v>
      </c>
      <c r="O3072">
        <f>-627.270351915967 -84.4084704039949 -728.275021319563</f>
        <v>-1439.9538436395251</v>
      </c>
      <c r="P3072">
        <f>-641.620883722349 -47.6008575976089 -414.228168730889</f>
        <v>-1103.4499100508469</v>
      </c>
      <c r="Q3072">
        <f>-383.255550746278 -20.3487043364445 -402.114607919866</f>
        <v>-805.71886300258848</v>
      </c>
      <c r="R3072" t="s">
        <v>61024</v>
      </c>
      <c r="S3072" t="s">
        <v>61025</v>
      </c>
      <c r="T3072" t="s">
        <v>61026</v>
      </c>
      <c r="U3072" t="s">
        <v>61027</v>
      </c>
      <c r="V3072" t="s">
        <v>61028</v>
      </c>
      <c r="W3072" t="s">
        <v>61029</v>
      </c>
      <c r="X3072" t="s">
        <v>61030</v>
      </c>
      <c r="Y3072" t="s">
        <v>61031</v>
      </c>
    </row>
    <row r="3073" spans="1:25" x14ac:dyDescent="0.3">
      <c r="A3073">
        <v>153600</v>
      </c>
      <c r="B3073" t="s">
        <v>61032</v>
      </c>
      <c r="C3073" t="s">
        <v>61033</v>
      </c>
      <c r="D3073" t="s">
        <v>61034</v>
      </c>
      <c r="E3073" t="s">
        <v>61035</v>
      </c>
      <c r="F3073" t="s">
        <v>61036</v>
      </c>
      <c r="G3073" t="s">
        <v>61037</v>
      </c>
      <c r="H3073" t="s">
        <v>61038</v>
      </c>
      <c r="I3073" t="s">
        <v>61039</v>
      </c>
      <c r="J3073" t="s">
        <v>61040</v>
      </c>
      <c r="K3073" t="s">
        <v>61041</v>
      </c>
      <c r="L3073" t="s">
        <v>61042</v>
      </c>
      <c r="M3073" t="s">
        <v>61043</v>
      </c>
      <c r="N3073" t="s">
        <v>61044</v>
      </c>
      <c r="O3073">
        <f>-627.647451504652 -84.2576180442947 -728.483742714074</f>
        <v>-1440.3888122630208</v>
      </c>
      <c r="P3073">
        <f>-642.117854304179 -47.3385753311265 -414.455337314561</f>
        <v>-1103.9117669498664</v>
      </c>
      <c r="Q3073">
        <f>-383.777767339751 -20.5539807070156 -400.852554358282</f>
        <v>-805.18430240504858</v>
      </c>
      <c r="R3073" t="s">
        <v>61045</v>
      </c>
      <c r="S3073" t="s">
        <v>61046</v>
      </c>
      <c r="T3073" t="s">
        <v>61047</v>
      </c>
      <c r="U3073" t="s">
        <v>61048</v>
      </c>
      <c r="V3073" t="s">
        <v>61049</v>
      </c>
      <c r="W3073" t="s">
        <v>61050</v>
      </c>
      <c r="X3073" t="s">
        <v>61051</v>
      </c>
      <c r="Y3073" t="s">
        <v>61052</v>
      </c>
    </row>
    <row r="3074" spans="1:25" x14ac:dyDescent="0.3">
      <c r="A3074">
        <v>153650</v>
      </c>
      <c r="B3074" t="s">
        <v>61053</v>
      </c>
      <c r="C3074" t="s">
        <v>61054</v>
      </c>
      <c r="D3074" t="s">
        <v>61055</v>
      </c>
      <c r="E3074" t="s">
        <v>61056</v>
      </c>
      <c r="F3074" t="s">
        <v>61057</v>
      </c>
      <c r="G3074" t="s">
        <v>61058</v>
      </c>
      <c r="H3074" t="s">
        <v>61059</v>
      </c>
      <c r="I3074" t="s">
        <v>61060</v>
      </c>
      <c r="J3074" t="s">
        <v>61061</v>
      </c>
      <c r="K3074" t="s">
        <v>61062</v>
      </c>
      <c r="L3074" t="s">
        <v>61063</v>
      </c>
      <c r="M3074" t="s">
        <v>61064</v>
      </c>
      <c r="N3074" t="s">
        <v>61065</v>
      </c>
      <c r="O3074">
        <f>-628.355626992369 -84.1680859693486 -728.728759720908</f>
        <v>-1441.2524726826255</v>
      </c>
      <c r="P3074">
        <f>-642.653938769693 -46.4748718137412 -414.784524703092</f>
        <v>-1103.9133352865263</v>
      </c>
      <c r="Q3074">
        <f>-384.408673435872 -20.943633093675 -397.475676529548</f>
        <v>-802.827983059095</v>
      </c>
      <c r="R3074" t="s">
        <v>61066</v>
      </c>
      <c r="S3074" t="s">
        <v>61067</v>
      </c>
      <c r="T3074" t="s">
        <v>61068</v>
      </c>
      <c r="U3074" t="s">
        <v>61069</v>
      </c>
      <c r="V3074" t="s">
        <v>61070</v>
      </c>
      <c r="W3074" t="s">
        <v>61071</v>
      </c>
      <c r="X3074" t="s">
        <v>61072</v>
      </c>
      <c r="Y3074" t="s">
        <v>61073</v>
      </c>
    </row>
    <row r="3075" spans="1:25" x14ac:dyDescent="0.3">
      <c r="A3075">
        <v>153700</v>
      </c>
      <c r="B3075" t="s">
        <v>61074</v>
      </c>
      <c r="C3075" t="s">
        <v>61075</v>
      </c>
      <c r="D3075" t="s">
        <v>61076</v>
      </c>
      <c r="E3075" t="s">
        <v>61077</v>
      </c>
      <c r="F3075" t="s">
        <v>61078</v>
      </c>
      <c r="G3075" t="s">
        <v>61079</v>
      </c>
      <c r="H3075" t="s">
        <v>61080</v>
      </c>
      <c r="I3075" t="s">
        <v>61081</v>
      </c>
      <c r="J3075" t="s">
        <v>61082</v>
      </c>
      <c r="K3075" t="s">
        <v>61083</v>
      </c>
      <c r="L3075" t="s">
        <v>61084</v>
      </c>
      <c r="M3075" t="s">
        <v>61085</v>
      </c>
      <c r="N3075" t="s">
        <v>61086</v>
      </c>
      <c r="O3075">
        <f>-628.581876220022 -84.3607126674907 -728.69696912755</f>
        <v>-1441.6395580150627</v>
      </c>
      <c r="P3075">
        <f>-642.409491760224 -46.0012130868411 -414.812571117223</f>
        <v>-1103.223275964288</v>
      </c>
      <c r="Q3075">
        <f>-384.138856404784 -20.7583252593 -397.459205269798</f>
        <v>-802.35638693388205</v>
      </c>
      <c r="R3075" t="s">
        <v>61087</v>
      </c>
      <c r="S3075" t="s">
        <v>61088</v>
      </c>
      <c r="T3075" t="s">
        <v>61089</v>
      </c>
      <c r="U3075" t="s">
        <v>61090</v>
      </c>
      <c r="V3075" t="s">
        <v>61091</v>
      </c>
      <c r="W3075" t="s">
        <v>61092</v>
      </c>
      <c r="X3075" t="s">
        <v>61093</v>
      </c>
      <c r="Y3075" t="s">
        <v>61094</v>
      </c>
    </row>
    <row r="3076" spans="1:25" x14ac:dyDescent="0.3">
      <c r="A3076">
        <v>153750</v>
      </c>
      <c r="B3076" t="s">
        <v>61095</v>
      </c>
      <c r="C3076" t="s">
        <v>61096</v>
      </c>
      <c r="D3076" t="s">
        <v>61097</v>
      </c>
      <c r="E3076" t="s">
        <v>61098</v>
      </c>
      <c r="F3076" t="s">
        <v>61099</v>
      </c>
      <c r="G3076" t="s">
        <v>61100</v>
      </c>
      <c r="H3076" t="s">
        <v>61101</v>
      </c>
      <c r="I3076" t="s">
        <v>61102</v>
      </c>
      <c r="J3076" t="s">
        <v>61103</v>
      </c>
      <c r="K3076" t="s">
        <v>61104</v>
      </c>
      <c r="L3076" t="s">
        <v>61105</v>
      </c>
      <c r="M3076" t="s">
        <v>61106</v>
      </c>
      <c r="N3076" t="s">
        <v>61107</v>
      </c>
      <c r="O3076">
        <f>-629.966780864783 -84.20692355027 -728.522452886545</f>
        <v>-1442.6961573015979</v>
      </c>
      <c r="P3076">
        <f>-641.399164841738 -45.5246955531285 -414.581056426783</f>
        <v>-1101.5049168216494</v>
      </c>
      <c r="Q3076">
        <f>-382.69787652347 -22.628941235409 -400.742622215645</f>
        <v>-806.0694399745239</v>
      </c>
      <c r="R3076" t="s">
        <v>61108</v>
      </c>
      <c r="S3076" t="s">
        <v>61109</v>
      </c>
      <c r="T3076" t="s">
        <v>61110</v>
      </c>
      <c r="U3076" t="s">
        <v>61111</v>
      </c>
      <c r="V3076" t="s">
        <v>61112</v>
      </c>
      <c r="W3076" t="s">
        <v>61113</v>
      </c>
      <c r="X3076" t="s">
        <v>61114</v>
      </c>
      <c r="Y3076" t="s">
        <v>61115</v>
      </c>
    </row>
    <row r="3077" spans="1:25" x14ac:dyDescent="0.3">
      <c r="A3077">
        <v>153800</v>
      </c>
      <c r="B3077" t="s">
        <v>61116</v>
      </c>
      <c r="C3077" t="s">
        <v>61117</v>
      </c>
      <c r="D3077" t="s">
        <v>61118</v>
      </c>
      <c r="E3077" t="s">
        <v>61119</v>
      </c>
      <c r="F3077" t="s">
        <v>61120</v>
      </c>
      <c r="G3077" t="s">
        <v>61121</v>
      </c>
      <c r="H3077" t="s">
        <v>61122</v>
      </c>
      <c r="I3077" t="s">
        <v>61123</v>
      </c>
      <c r="J3077" t="s">
        <v>61124</v>
      </c>
      <c r="K3077" t="s">
        <v>61125</v>
      </c>
      <c r="L3077" t="s">
        <v>61126</v>
      </c>
      <c r="M3077" t="s">
        <v>61127</v>
      </c>
      <c r="N3077" t="s">
        <v>61128</v>
      </c>
      <c r="O3077">
        <f>-630.616867013201 -83.9654521376529 -728.460425086404</f>
        <v>-1443.0427442372579</v>
      </c>
      <c r="P3077">
        <f>-640.723121098339 -45.4994250066107 -414.446949198508</f>
        <v>-1100.6694953034578</v>
      </c>
      <c r="Q3077">
        <f>-381.799887574591 -24.953112329029 -401.080262254662</f>
        <v>-807.83326215828197</v>
      </c>
      <c r="R3077" t="s">
        <v>61129</v>
      </c>
      <c r="S3077" t="s">
        <v>61130</v>
      </c>
      <c r="T3077" t="s">
        <v>61131</v>
      </c>
      <c r="U3077" t="s">
        <v>61132</v>
      </c>
      <c r="V3077" t="s">
        <v>61133</v>
      </c>
      <c r="W3077" t="s">
        <v>61134</v>
      </c>
      <c r="X3077" t="s">
        <v>61135</v>
      </c>
      <c r="Y3077" t="s">
        <v>61136</v>
      </c>
    </row>
    <row r="3078" spans="1:25" x14ac:dyDescent="0.3">
      <c r="A3078">
        <v>153850</v>
      </c>
      <c r="B3078" t="s">
        <v>61137</v>
      </c>
      <c r="C3078" t="s">
        <v>61138</v>
      </c>
      <c r="D3078" t="s">
        <v>61139</v>
      </c>
      <c r="E3078" t="s">
        <v>61140</v>
      </c>
      <c r="F3078" t="s">
        <v>61141</v>
      </c>
      <c r="G3078" t="s">
        <v>61142</v>
      </c>
      <c r="H3078" t="s">
        <v>61143</v>
      </c>
      <c r="I3078" t="s">
        <v>61144</v>
      </c>
      <c r="J3078" t="s">
        <v>61145</v>
      </c>
      <c r="K3078" t="s">
        <v>61146</v>
      </c>
      <c r="L3078" t="s">
        <v>61147</v>
      </c>
      <c r="M3078" t="s">
        <v>61148</v>
      </c>
      <c r="N3078" t="s">
        <v>61149</v>
      </c>
      <c r="O3078">
        <f>-631.523389378338 -83.8973836644803 -728.191302121767</f>
        <v>-1443.6120751645853</v>
      </c>
      <c r="P3078">
        <f>-641.008262426691 -46.3084497083971 -414.052280454315</f>
        <v>-1101.3689925894032</v>
      </c>
      <c r="Q3078">
        <f>-381.977254377132 -27.1814569441705 -400.66705098637</f>
        <v>-809.82576230767245</v>
      </c>
      <c r="R3078" t="s">
        <v>61150</v>
      </c>
      <c r="S3078" t="s">
        <v>61151</v>
      </c>
      <c r="T3078" t="s">
        <v>61152</v>
      </c>
      <c r="U3078" t="s">
        <v>61153</v>
      </c>
      <c r="V3078" t="s">
        <v>61154</v>
      </c>
      <c r="W3078" t="s">
        <v>61155</v>
      </c>
      <c r="X3078" t="s">
        <v>61156</v>
      </c>
      <c r="Y3078" t="s">
        <v>61157</v>
      </c>
    </row>
    <row r="3079" spans="1:25" x14ac:dyDescent="0.3">
      <c r="A3079">
        <v>153900</v>
      </c>
      <c r="B3079" t="s">
        <v>61158</v>
      </c>
      <c r="C3079" t="s">
        <v>61159</v>
      </c>
      <c r="D3079" t="s">
        <v>61160</v>
      </c>
      <c r="E3079" t="s">
        <v>61161</v>
      </c>
      <c r="F3079" t="s">
        <v>61162</v>
      </c>
      <c r="G3079" t="s">
        <v>61163</v>
      </c>
      <c r="H3079" t="s">
        <v>61164</v>
      </c>
      <c r="I3079" t="s">
        <v>61165</v>
      </c>
      <c r="J3079" t="s">
        <v>61166</v>
      </c>
      <c r="K3079" t="s">
        <v>61167</v>
      </c>
      <c r="L3079" t="s">
        <v>61168</v>
      </c>
      <c r="M3079" t="s">
        <v>61169</v>
      </c>
      <c r="N3079" t="s">
        <v>61170</v>
      </c>
      <c r="O3079">
        <f>-631.598482638079 -84.3214264385936 -727.986135394568</f>
        <v>-1443.9060444712404</v>
      </c>
      <c r="P3079">
        <f>-642.063954458778 -46.883428340114 -413.860236222844</f>
        <v>-1102.8076190217359</v>
      </c>
      <c r="Q3079">
        <f>-383.053301692082 -27.45595291024 -400.515108573168</f>
        <v>-811.02436317548995</v>
      </c>
      <c r="R3079" t="s">
        <v>61171</v>
      </c>
      <c r="S3079" t="s">
        <v>61172</v>
      </c>
      <c r="T3079" t="s">
        <v>61173</v>
      </c>
      <c r="U3079" t="s">
        <v>61174</v>
      </c>
      <c r="V3079" t="s">
        <v>61175</v>
      </c>
      <c r="W3079" t="s">
        <v>61176</v>
      </c>
      <c r="X3079" t="s">
        <v>61177</v>
      </c>
      <c r="Y3079" t="s">
        <v>61178</v>
      </c>
    </row>
    <row r="3080" spans="1:25" x14ac:dyDescent="0.3">
      <c r="A3080">
        <v>153950</v>
      </c>
      <c r="B3080" t="s">
        <v>61179</v>
      </c>
      <c r="C3080" t="s">
        <v>61180</v>
      </c>
      <c r="D3080" t="s">
        <v>61181</v>
      </c>
      <c r="E3080" t="s">
        <v>61182</v>
      </c>
      <c r="F3080" t="s">
        <v>61183</v>
      </c>
      <c r="G3080" t="s">
        <v>61184</v>
      </c>
      <c r="H3080" t="s">
        <v>61185</v>
      </c>
      <c r="I3080" t="s">
        <v>61186</v>
      </c>
      <c r="J3080" t="s">
        <v>61187</v>
      </c>
      <c r="K3080" t="s">
        <v>61188</v>
      </c>
      <c r="L3080" t="s">
        <v>61189</v>
      </c>
      <c r="M3080" t="s">
        <v>61190</v>
      </c>
      <c r="N3080" t="s">
        <v>61191</v>
      </c>
      <c r="O3080">
        <f>-631.160844350709 -84.3324427647421 -728.179543120209</f>
        <v>-1443.6728302356601</v>
      </c>
      <c r="P3080">
        <f>-643.040927606468 -46.6286620833057 -414.135815764868</f>
        <v>-1103.8054054546417</v>
      </c>
      <c r="Q3080">
        <f>-384.044236698655 -27.0215229109796 -400.781757219853</f>
        <v>-811.84751682948763</v>
      </c>
      <c r="R3080" t="s">
        <v>61192</v>
      </c>
      <c r="S3080" t="s">
        <v>61193</v>
      </c>
      <c r="T3080" t="s">
        <v>61194</v>
      </c>
      <c r="U3080" t="s">
        <v>61195</v>
      </c>
      <c r="V3080" t="s">
        <v>61196</v>
      </c>
      <c r="W3080" t="s">
        <v>61197</v>
      </c>
      <c r="X3080" t="s">
        <v>61198</v>
      </c>
      <c r="Y3080" t="s">
        <v>61199</v>
      </c>
    </row>
    <row r="3081" spans="1:25" x14ac:dyDescent="0.3">
      <c r="A3081">
        <v>154000</v>
      </c>
      <c r="B3081" t="s">
        <v>61200</v>
      </c>
      <c r="C3081" t="s">
        <v>61201</v>
      </c>
      <c r="D3081" t="s">
        <v>61202</v>
      </c>
      <c r="E3081" t="s">
        <v>61203</v>
      </c>
      <c r="F3081" t="s">
        <v>61204</v>
      </c>
      <c r="G3081" t="s">
        <v>61205</v>
      </c>
      <c r="H3081" t="s">
        <v>61206</v>
      </c>
      <c r="I3081" t="s">
        <v>61207</v>
      </c>
      <c r="J3081" t="s">
        <v>61208</v>
      </c>
      <c r="K3081" t="s">
        <v>61209</v>
      </c>
      <c r="L3081" t="s">
        <v>61210</v>
      </c>
      <c r="M3081" t="s">
        <v>61211</v>
      </c>
      <c r="N3081" t="s">
        <v>61212</v>
      </c>
      <c r="O3081">
        <f>-631.034221556098 -84.5371227192629 -728.193999227801</f>
        <v>-1443.7653435031621</v>
      </c>
      <c r="P3081">
        <f>-642.975595053813 -45.5666044190471 -414.307099953847</f>
        <v>-1102.8492994267071</v>
      </c>
      <c r="Q3081">
        <f>-383.979304296182 -26.1974463987715 -400.602789094624</f>
        <v>-810.77953978957748</v>
      </c>
      <c r="R3081" t="s">
        <v>61213</v>
      </c>
      <c r="S3081" t="s">
        <v>61214</v>
      </c>
      <c r="T3081" t="s">
        <v>61215</v>
      </c>
      <c r="U3081" t="s">
        <v>61216</v>
      </c>
      <c r="V3081" t="s">
        <v>61217</v>
      </c>
      <c r="W3081" t="s">
        <v>61218</v>
      </c>
      <c r="X3081" t="s">
        <v>61219</v>
      </c>
      <c r="Y3081" t="s">
        <v>61220</v>
      </c>
    </row>
    <row r="3082" spans="1:25" x14ac:dyDescent="0.3">
      <c r="A3082">
        <v>154050</v>
      </c>
      <c r="B3082" t="s">
        <v>61221</v>
      </c>
      <c r="C3082" t="s">
        <v>61222</v>
      </c>
      <c r="D3082" t="s">
        <v>61223</v>
      </c>
      <c r="E3082" t="s">
        <v>61224</v>
      </c>
      <c r="F3082" t="s">
        <v>61225</v>
      </c>
      <c r="G3082" t="s">
        <v>61226</v>
      </c>
      <c r="H3082" t="s">
        <v>61227</v>
      </c>
      <c r="I3082" t="s">
        <v>61228</v>
      </c>
      <c r="J3082" t="s">
        <v>61229</v>
      </c>
      <c r="K3082" t="s">
        <v>61230</v>
      </c>
      <c r="L3082" t="s">
        <v>61231</v>
      </c>
      <c r="M3082" t="s">
        <v>61232</v>
      </c>
      <c r="N3082" t="s">
        <v>61233</v>
      </c>
      <c r="O3082">
        <f>-630.78059424709 -85.2075395209936 -728.001635147989</f>
        <v>-1443.9897689160725</v>
      </c>
      <c r="P3082">
        <f>-643.557408207044 -44.4223929960214 -414.378481250296</f>
        <v>-1102.3582824533614</v>
      </c>
      <c r="Q3082">
        <f>-384.619123541171 -25.0211210623792 -399.660290040655</f>
        <v>-809.3005346442053</v>
      </c>
      <c r="R3082" t="s">
        <v>61234</v>
      </c>
      <c r="S3082" t="s">
        <v>61235</v>
      </c>
      <c r="T3082" t="s">
        <v>61236</v>
      </c>
      <c r="U3082" t="s">
        <v>61237</v>
      </c>
      <c r="V3082" t="s">
        <v>61238</v>
      </c>
      <c r="W3082" t="s">
        <v>61239</v>
      </c>
      <c r="X3082" t="s">
        <v>61240</v>
      </c>
      <c r="Y3082" t="s">
        <v>61241</v>
      </c>
    </row>
    <row r="3083" spans="1:25" x14ac:dyDescent="0.3">
      <c r="A3083">
        <v>154100</v>
      </c>
      <c r="B3083" t="s">
        <v>61242</v>
      </c>
      <c r="C3083" t="s">
        <v>61243</v>
      </c>
      <c r="D3083" t="s">
        <v>61244</v>
      </c>
      <c r="E3083" t="s">
        <v>61245</v>
      </c>
      <c r="F3083" t="s">
        <v>61246</v>
      </c>
      <c r="G3083" t="s">
        <v>61247</v>
      </c>
      <c r="H3083" t="s">
        <v>61248</v>
      </c>
      <c r="I3083" t="s">
        <v>61249</v>
      </c>
      <c r="J3083" t="s">
        <v>61250</v>
      </c>
      <c r="K3083" t="s">
        <v>61251</v>
      </c>
      <c r="L3083" t="s">
        <v>61252</v>
      </c>
      <c r="M3083" t="s">
        <v>61253</v>
      </c>
      <c r="N3083" t="s">
        <v>61254</v>
      </c>
      <c r="O3083">
        <f>-630.274665823824 -85.6655803887455 -728.008742658751</f>
        <v>-1443.9489888713206</v>
      </c>
      <c r="P3083">
        <f>-643.605244848218 -44.7168651927486 -414.429978496063</f>
        <v>-1102.7520885370295</v>
      </c>
      <c r="Q3083">
        <f>-384.719690561241 -25.1151655307942 -399.064467330271</f>
        <v>-808.89932342230622</v>
      </c>
      <c r="R3083" t="s">
        <v>61255</v>
      </c>
      <c r="S3083" t="s">
        <v>61256</v>
      </c>
      <c r="T3083" t="s">
        <v>61257</v>
      </c>
      <c r="U3083" t="s">
        <v>61258</v>
      </c>
      <c r="V3083" t="s">
        <v>61259</v>
      </c>
      <c r="W3083" t="s">
        <v>61260</v>
      </c>
      <c r="X3083" t="s">
        <v>61261</v>
      </c>
      <c r="Y3083" t="s">
        <v>61262</v>
      </c>
    </row>
    <row r="3084" spans="1:25" x14ac:dyDescent="0.3">
      <c r="A3084">
        <v>154150</v>
      </c>
      <c r="B3084" t="s">
        <v>61263</v>
      </c>
      <c r="C3084" t="s">
        <v>61264</v>
      </c>
      <c r="D3084" t="s">
        <v>61265</v>
      </c>
      <c r="E3084" t="s">
        <v>61266</v>
      </c>
      <c r="F3084" t="s">
        <v>61267</v>
      </c>
      <c r="G3084" t="s">
        <v>61268</v>
      </c>
      <c r="H3084" t="s">
        <v>61269</v>
      </c>
      <c r="I3084" t="s">
        <v>61270</v>
      </c>
      <c r="J3084" t="s">
        <v>61271</v>
      </c>
      <c r="K3084" t="s">
        <v>61272</v>
      </c>
      <c r="L3084" t="s">
        <v>61273</v>
      </c>
      <c r="M3084" t="s">
        <v>61274</v>
      </c>
      <c r="N3084" t="s">
        <v>61275</v>
      </c>
      <c r="O3084">
        <f>-629.400509047007 -86.3081814391589 -728.071495568112</f>
        <v>-1443.7801860542779</v>
      </c>
      <c r="P3084">
        <f>-644.60333615794 -44.8286029165738 -414.647733569845</f>
        <v>-1104.0796726443589</v>
      </c>
      <c r="Q3084">
        <f>-385.680093470852 -25.4606215958926 -399.625194784715</f>
        <v>-810.76590985145958</v>
      </c>
      <c r="R3084" t="s">
        <v>61276</v>
      </c>
      <c r="S3084" t="s">
        <v>61277</v>
      </c>
      <c r="T3084" t="s">
        <v>61278</v>
      </c>
      <c r="U3084" t="s">
        <v>61279</v>
      </c>
      <c r="V3084" t="s">
        <v>61280</v>
      </c>
      <c r="W3084" t="s">
        <v>61281</v>
      </c>
      <c r="X3084" t="s">
        <v>61282</v>
      </c>
      <c r="Y3084" t="s">
        <v>61283</v>
      </c>
    </row>
    <row r="3085" spans="1:25" x14ac:dyDescent="0.3">
      <c r="A3085">
        <v>154200</v>
      </c>
      <c r="B3085" t="s">
        <v>61284</v>
      </c>
      <c r="C3085" t="s">
        <v>61285</v>
      </c>
      <c r="D3085" t="s">
        <v>61286</v>
      </c>
      <c r="E3085" t="s">
        <v>61287</v>
      </c>
      <c r="F3085" t="s">
        <v>61288</v>
      </c>
      <c r="G3085" t="s">
        <v>61289</v>
      </c>
      <c r="H3085" t="s">
        <v>61290</v>
      </c>
      <c r="I3085" t="s">
        <v>61291</v>
      </c>
      <c r="J3085" t="s">
        <v>61292</v>
      </c>
      <c r="K3085" t="s">
        <v>61293</v>
      </c>
      <c r="L3085" t="s">
        <v>61294</v>
      </c>
      <c r="M3085" t="s">
        <v>61295</v>
      </c>
      <c r="N3085" t="s">
        <v>61296</v>
      </c>
      <c r="O3085">
        <f>-629.035080754935 -86.4838822197195 -728.081319287412</f>
        <v>-1443.6002822620667</v>
      </c>
      <c r="P3085">
        <f>-644.609472285294 -44.9581863512599 -414.681743175473</f>
        <v>-1104.2494018120269</v>
      </c>
      <c r="Q3085">
        <f>-385.60854234585 -26.3775910873756 -400.007041360765</f>
        <v>-811.99317479399065</v>
      </c>
      <c r="R3085" t="s">
        <v>61297</v>
      </c>
      <c r="S3085" t="s">
        <v>61298</v>
      </c>
      <c r="T3085" t="s">
        <v>61299</v>
      </c>
      <c r="U3085" t="s">
        <v>61300</v>
      </c>
      <c r="V3085" t="s">
        <v>61301</v>
      </c>
      <c r="W3085" t="s">
        <v>61302</v>
      </c>
      <c r="X3085" t="s">
        <v>61303</v>
      </c>
      <c r="Y3085" t="s">
        <v>61304</v>
      </c>
    </row>
    <row r="3086" spans="1:25" x14ac:dyDescent="0.3">
      <c r="A3086">
        <v>154250</v>
      </c>
      <c r="B3086" t="s">
        <v>61305</v>
      </c>
      <c r="C3086" t="s">
        <v>61306</v>
      </c>
      <c r="D3086" t="s">
        <v>61307</v>
      </c>
      <c r="E3086" t="s">
        <v>61308</v>
      </c>
      <c r="F3086" t="s">
        <v>61309</v>
      </c>
      <c r="G3086" t="s">
        <v>61310</v>
      </c>
      <c r="H3086" t="s">
        <v>61311</v>
      </c>
      <c r="I3086" t="s">
        <v>61312</v>
      </c>
      <c r="J3086" t="s">
        <v>61313</v>
      </c>
      <c r="K3086" t="s">
        <v>61314</v>
      </c>
      <c r="L3086" t="s">
        <v>61315</v>
      </c>
      <c r="M3086" t="s">
        <v>61316</v>
      </c>
      <c r="N3086" t="s">
        <v>61317</v>
      </c>
      <c r="O3086">
        <f>-629.069979275525 -87.0657717396641 -727.975724944446</f>
        <v>-1444.1114759596353</v>
      </c>
      <c r="P3086">
        <f>-643.881017252284 -45.9058697441258 -414.491015926358</f>
        <v>-1104.2779029227677</v>
      </c>
      <c r="Q3086">
        <f>-384.522338964723 -29.4743017157965 -404.236941980388</f>
        <v>-818.23358266090759</v>
      </c>
      <c r="R3086" t="s">
        <v>61318</v>
      </c>
      <c r="S3086" t="s">
        <v>61319</v>
      </c>
      <c r="T3086" t="s">
        <v>61320</v>
      </c>
      <c r="U3086" t="s">
        <v>61321</v>
      </c>
      <c r="V3086" t="s">
        <v>61322</v>
      </c>
      <c r="W3086" t="s">
        <v>61323</v>
      </c>
      <c r="X3086" t="s">
        <v>61324</v>
      </c>
      <c r="Y3086" t="s">
        <v>61325</v>
      </c>
    </row>
    <row r="3087" spans="1:25" x14ac:dyDescent="0.3">
      <c r="A3087">
        <v>154300</v>
      </c>
      <c r="B3087" t="s">
        <v>61326</v>
      </c>
      <c r="C3087" t="s">
        <v>61327</v>
      </c>
      <c r="D3087" t="s">
        <v>61328</v>
      </c>
      <c r="E3087" t="s">
        <v>61329</v>
      </c>
      <c r="F3087" t="s">
        <v>61330</v>
      </c>
      <c r="G3087" t="s">
        <v>61331</v>
      </c>
      <c r="H3087" t="s">
        <v>61332</v>
      </c>
      <c r="I3087" t="s">
        <v>61333</v>
      </c>
      <c r="J3087" t="s">
        <v>61334</v>
      </c>
      <c r="K3087" t="s">
        <v>61335</v>
      </c>
      <c r="L3087" t="s">
        <v>61336</v>
      </c>
      <c r="M3087" t="s">
        <v>61337</v>
      </c>
      <c r="N3087" t="s">
        <v>61338</v>
      </c>
      <c r="O3087">
        <f>-629.31873267105 -87.094076667231 -727.986623970948</f>
        <v>-1444.3994333092292</v>
      </c>
      <c r="P3087">
        <f>-643.313270779431 -47.3287274484055 -414.284539242548</f>
        <v>-1104.9265374703846</v>
      </c>
      <c r="Q3087">
        <f>-383.878296513037 -30.389639848354 -407.310445868682</f>
        <v>-821.57838223007298</v>
      </c>
      <c r="R3087" t="s">
        <v>61339</v>
      </c>
      <c r="S3087" t="s">
        <v>61340</v>
      </c>
      <c r="T3087" t="s">
        <v>61341</v>
      </c>
      <c r="U3087" t="s">
        <v>61342</v>
      </c>
      <c r="V3087" t="s">
        <v>61343</v>
      </c>
      <c r="W3087" t="s">
        <v>61344</v>
      </c>
      <c r="X3087" t="s">
        <v>61345</v>
      </c>
      <c r="Y3087" t="s">
        <v>61346</v>
      </c>
    </row>
    <row r="3088" spans="1:25" x14ac:dyDescent="0.3">
      <c r="A3088">
        <v>154350</v>
      </c>
      <c r="B3088" t="s">
        <v>61347</v>
      </c>
      <c r="C3088" t="s">
        <v>61348</v>
      </c>
      <c r="D3088" t="s">
        <v>61349</v>
      </c>
      <c r="E3088" t="s">
        <v>61350</v>
      </c>
      <c r="F3088" t="s">
        <v>61351</v>
      </c>
      <c r="G3088" t="s">
        <v>61352</v>
      </c>
      <c r="H3088" t="s">
        <v>61353</v>
      </c>
      <c r="I3088" t="s">
        <v>61354</v>
      </c>
      <c r="J3088" t="s">
        <v>61355</v>
      </c>
      <c r="K3088" t="s">
        <v>61356</v>
      </c>
      <c r="L3088" t="s">
        <v>61357</v>
      </c>
      <c r="M3088" t="s">
        <v>61358</v>
      </c>
      <c r="N3088" t="s">
        <v>61359</v>
      </c>
      <c r="O3088">
        <f>-629.508882280517 -86.3072949247688 -728.57734799444</f>
        <v>-1444.3935251997259</v>
      </c>
      <c r="P3088">
        <f>-641.416237223865 -47.8265982993685 -414.628852423311</f>
        <v>-1103.8716879465444</v>
      </c>
      <c r="Q3088">
        <f>-382.16988986077 -27.9718238153548 -408.368739166729</f>
        <v>-818.51045284285374</v>
      </c>
      <c r="R3088" t="s">
        <v>61360</v>
      </c>
      <c r="S3088" t="s">
        <v>61361</v>
      </c>
      <c r="T3088" t="s">
        <v>61362</v>
      </c>
      <c r="U3088" t="s">
        <v>61363</v>
      </c>
      <c r="V3088" t="s">
        <v>61364</v>
      </c>
      <c r="W3088" t="s">
        <v>61365</v>
      </c>
      <c r="X3088" t="s">
        <v>61366</v>
      </c>
      <c r="Y3088" t="s">
        <v>61367</v>
      </c>
    </row>
    <row r="3089" spans="1:25" x14ac:dyDescent="0.3">
      <c r="A3089">
        <v>154400</v>
      </c>
      <c r="B3089" t="s">
        <v>61368</v>
      </c>
      <c r="C3089" t="s">
        <v>61369</v>
      </c>
      <c r="D3089" t="s">
        <v>61370</v>
      </c>
      <c r="E3089" t="s">
        <v>61371</v>
      </c>
      <c r="F3089" t="s">
        <v>61372</v>
      </c>
      <c r="G3089" t="s">
        <v>61373</v>
      </c>
      <c r="H3089" t="s">
        <v>61374</v>
      </c>
      <c r="I3089" t="s">
        <v>61375</v>
      </c>
      <c r="J3089" t="s">
        <v>61376</v>
      </c>
      <c r="K3089" t="s">
        <v>61377</v>
      </c>
      <c r="L3089" t="s">
        <v>61378</v>
      </c>
      <c r="M3089" t="s">
        <v>61379</v>
      </c>
      <c r="N3089" t="s">
        <v>61380</v>
      </c>
      <c r="O3089">
        <f>-628.762668858351 -86.1230648275028 -728.914228169402</f>
        <v>-1443.7999618552558</v>
      </c>
      <c r="P3089">
        <f>-641.255357529246 -47.6998158882471 -414.981386778167</f>
        <v>-1103.9365601956601</v>
      </c>
      <c r="Q3089">
        <f>-382.174680853846 -26.9475946948871 -405.568502692935</f>
        <v>-814.69077824166811</v>
      </c>
      <c r="R3089" t="s">
        <v>61381</v>
      </c>
      <c r="S3089" t="s">
        <v>61382</v>
      </c>
      <c r="T3089" t="s">
        <v>61383</v>
      </c>
      <c r="U3089" t="s">
        <v>61384</v>
      </c>
      <c r="V3089" t="s">
        <v>61385</v>
      </c>
      <c r="W3089" t="s">
        <v>61386</v>
      </c>
      <c r="X3089" t="s">
        <v>61387</v>
      </c>
      <c r="Y3089" t="s">
        <v>61388</v>
      </c>
    </row>
    <row r="3090" spans="1:25" x14ac:dyDescent="0.3">
      <c r="A3090">
        <v>154450</v>
      </c>
      <c r="B3090" t="s">
        <v>61389</v>
      </c>
      <c r="C3090" t="s">
        <v>61390</v>
      </c>
      <c r="D3090" t="s">
        <v>61391</v>
      </c>
      <c r="E3090" t="s">
        <v>61392</v>
      </c>
      <c r="F3090" t="s">
        <v>61393</v>
      </c>
      <c r="G3090" t="s">
        <v>61394</v>
      </c>
      <c r="H3090" t="s">
        <v>61395</v>
      </c>
      <c r="I3090" t="s">
        <v>61396</v>
      </c>
      <c r="J3090" t="s">
        <v>61397</v>
      </c>
      <c r="K3090" t="s">
        <v>61398</v>
      </c>
      <c r="L3090" t="s">
        <v>61399</v>
      </c>
      <c r="M3090" t="s">
        <v>61400</v>
      </c>
      <c r="N3090" t="s">
        <v>61401</v>
      </c>
      <c r="O3090">
        <f>-626.055403225202 -87.1221083369835 -729.252992071713</f>
        <v>-1442.4305036338985</v>
      </c>
      <c r="P3090">
        <f>-640.096054396282 -46.8850227549546 -415.612983518786</f>
        <v>-1102.5940606700226</v>
      </c>
      <c r="Q3090">
        <f>-381.2418238883 -26.4406962109595 -400.829348078194</f>
        <v>-808.51186817745361</v>
      </c>
      <c r="R3090" t="s">
        <v>61402</v>
      </c>
      <c r="S3090" t="s">
        <v>61403</v>
      </c>
      <c r="T3090" t="s">
        <v>61404</v>
      </c>
      <c r="U3090" t="s">
        <v>61405</v>
      </c>
      <c r="V3090" t="s">
        <v>61406</v>
      </c>
      <c r="W3090" t="s">
        <v>61407</v>
      </c>
      <c r="X3090" t="s">
        <v>61408</v>
      </c>
      <c r="Y3090" t="s">
        <v>61409</v>
      </c>
    </row>
    <row r="3091" spans="1:25" x14ac:dyDescent="0.3">
      <c r="A3091">
        <v>154500</v>
      </c>
      <c r="B3091" t="s">
        <v>61410</v>
      </c>
      <c r="C3091" t="s">
        <v>61411</v>
      </c>
      <c r="D3091" t="s">
        <v>61412</v>
      </c>
      <c r="E3091" t="s">
        <v>61413</v>
      </c>
      <c r="F3091" t="s">
        <v>61414</v>
      </c>
      <c r="G3091" t="s">
        <v>61415</v>
      </c>
      <c r="H3091" t="s">
        <v>61416</v>
      </c>
      <c r="I3091" t="s">
        <v>61417</v>
      </c>
      <c r="J3091" t="s">
        <v>61418</v>
      </c>
      <c r="K3091" t="s">
        <v>61419</v>
      </c>
      <c r="L3091" t="s">
        <v>61420</v>
      </c>
      <c r="M3091" t="s">
        <v>61421</v>
      </c>
      <c r="N3091" t="s">
        <v>61422</v>
      </c>
      <c r="O3091">
        <f>-625.177704419939 -87.7925506444003 -729.176024741793</f>
        <v>-1442.1462798061323</v>
      </c>
      <c r="P3091">
        <f>-639.845745378323 -47.3610030960592 -415.589828133694</f>
        <v>-1102.7965766080763</v>
      </c>
      <c r="Q3091">
        <f>-381.170943748443 -24.9129322421609 -400.572953765508</f>
        <v>-806.65682975611185</v>
      </c>
      <c r="R3091" t="s">
        <v>61423</v>
      </c>
      <c r="S3091" t="s">
        <v>61424</v>
      </c>
      <c r="T3091" t="s">
        <v>61425</v>
      </c>
      <c r="U3091" t="s">
        <v>61426</v>
      </c>
      <c r="V3091" t="s">
        <v>61427</v>
      </c>
      <c r="W3091" t="s">
        <v>61428</v>
      </c>
      <c r="X3091" t="s">
        <v>61429</v>
      </c>
      <c r="Y3091" t="s">
        <v>61430</v>
      </c>
    </row>
    <row r="3092" spans="1:25" x14ac:dyDescent="0.3">
      <c r="A3092">
        <v>154550</v>
      </c>
      <c r="B3092" t="s">
        <v>61431</v>
      </c>
      <c r="C3092" t="s">
        <v>61432</v>
      </c>
      <c r="D3092" t="s">
        <v>61433</v>
      </c>
      <c r="E3092" t="s">
        <v>61434</v>
      </c>
      <c r="F3092" t="s">
        <v>61435</v>
      </c>
      <c r="G3092" t="s">
        <v>61436</v>
      </c>
      <c r="H3092" t="s">
        <v>61437</v>
      </c>
      <c r="I3092" t="s">
        <v>61438</v>
      </c>
      <c r="J3092" t="s">
        <v>61439</v>
      </c>
      <c r="K3092" t="s">
        <v>61440</v>
      </c>
      <c r="L3092" t="s">
        <v>61441</v>
      </c>
      <c r="M3092" t="s">
        <v>61442</v>
      </c>
      <c r="N3092" t="s">
        <v>61443</v>
      </c>
      <c r="O3092">
        <f>-624.592841458889 -88.2845537611274 -729.285860783642</f>
        <v>-1442.1632560036583</v>
      </c>
      <c r="P3092">
        <f>-638.045369658348 -48.263370113789 -415.592588432281</f>
        <v>-1101.901328204418</v>
      </c>
      <c r="Q3092">
        <f>-379.567741424391 -20.9970781076184 -406.215756092331</f>
        <v>-806.78057562434037</v>
      </c>
      <c r="R3092" t="s">
        <v>61444</v>
      </c>
      <c r="S3092" t="s">
        <v>61445</v>
      </c>
      <c r="T3092" t="s">
        <v>61446</v>
      </c>
      <c r="U3092" t="s">
        <v>61447</v>
      </c>
      <c r="V3092" t="s">
        <v>61448</v>
      </c>
      <c r="W3092" t="s">
        <v>61449</v>
      </c>
      <c r="X3092" t="s">
        <v>61450</v>
      </c>
      <c r="Y3092" t="s">
        <v>61451</v>
      </c>
    </row>
    <row r="3093" spans="1:25" x14ac:dyDescent="0.3">
      <c r="A3093">
        <v>154600</v>
      </c>
      <c r="B3093" t="s">
        <v>61452</v>
      </c>
      <c r="C3093" t="s">
        <v>61453</v>
      </c>
      <c r="D3093" t="s">
        <v>61454</v>
      </c>
      <c r="E3093" t="s">
        <v>61455</v>
      </c>
      <c r="F3093" t="s">
        <v>61456</v>
      </c>
      <c r="G3093" t="s">
        <v>61457</v>
      </c>
      <c r="H3093" t="s">
        <v>61458</v>
      </c>
      <c r="I3093" t="s">
        <v>61459</v>
      </c>
      <c r="J3093" t="s">
        <v>61460</v>
      </c>
      <c r="K3093" t="s">
        <v>61461</v>
      </c>
      <c r="L3093" t="s">
        <v>61462</v>
      </c>
      <c r="M3093" t="s">
        <v>61463</v>
      </c>
      <c r="N3093" t="s">
        <v>61464</v>
      </c>
      <c r="O3093">
        <f>-624.482459539925 -88.2929927212993 -729.313092751505</f>
        <v>-1442.0885450127294</v>
      </c>
      <c r="P3093">
        <f>-637.26575904427 -49.3708986045264 -415.45338404326</f>
        <v>-1102.0900416920563</v>
      </c>
      <c r="Q3093">
        <f>-379.000938968355 -19.4873375882734 -408.50503398886</f>
        <v>-806.99331054548838</v>
      </c>
      <c r="R3093" t="s">
        <v>61465</v>
      </c>
      <c r="S3093" t="s">
        <v>61466</v>
      </c>
      <c r="T3093" t="s">
        <v>61467</v>
      </c>
      <c r="U3093" t="s">
        <v>61468</v>
      </c>
      <c r="V3093" t="s">
        <v>61469</v>
      </c>
      <c r="W3093" t="s">
        <v>61470</v>
      </c>
      <c r="X3093" t="s">
        <v>61471</v>
      </c>
      <c r="Y3093" t="s">
        <v>61472</v>
      </c>
    </row>
    <row r="3094" spans="1:25" x14ac:dyDescent="0.3">
      <c r="A3094">
        <v>154650</v>
      </c>
      <c r="B3094" t="s">
        <v>61473</v>
      </c>
      <c r="C3094" t="s">
        <v>61474</v>
      </c>
      <c r="D3094" t="s">
        <v>61475</v>
      </c>
      <c r="E3094" t="s">
        <v>61476</v>
      </c>
      <c r="F3094" t="s">
        <v>61477</v>
      </c>
      <c r="G3094" t="s">
        <v>61478</v>
      </c>
      <c r="H3094" t="s">
        <v>61479</v>
      </c>
      <c r="I3094" t="s">
        <v>61480</v>
      </c>
      <c r="J3094" t="s">
        <v>61481</v>
      </c>
      <c r="K3094" t="s">
        <v>61482</v>
      </c>
      <c r="L3094" t="s">
        <v>61483</v>
      </c>
      <c r="M3094" t="s">
        <v>61484</v>
      </c>
      <c r="N3094" t="s">
        <v>61485</v>
      </c>
      <c r="O3094">
        <f>-624.577281754841 -87.9812533303642 -729.391798000349</f>
        <v>-1441.9503330855541</v>
      </c>
      <c r="P3094">
        <f>-636.748879910771 -51.6671198561188 -415.195463168783</f>
        <v>-1103.611462935673</v>
      </c>
      <c r="Q3094">
        <f>-378.809470343642 -18.7388113604973 -410.191661315223</f>
        <v>-807.73994301936227</v>
      </c>
      <c r="R3094" t="s">
        <v>61486</v>
      </c>
      <c r="S3094" t="s">
        <v>61487</v>
      </c>
      <c r="T3094" t="s">
        <v>61488</v>
      </c>
      <c r="U3094" t="s">
        <v>61489</v>
      </c>
      <c r="V3094" t="s">
        <v>61490</v>
      </c>
      <c r="W3094" t="s">
        <v>61491</v>
      </c>
      <c r="X3094" t="s">
        <v>61492</v>
      </c>
      <c r="Y3094" t="s">
        <v>61493</v>
      </c>
    </row>
    <row r="3095" spans="1:25" x14ac:dyDescent="0.3">
      <c r="A3095">
        <v>154700</v>
      </c>
      <c r="B3095" t="s">
        <v>61494</v>
      </c>
      <c r="C3095" t="s">
        <v>61495</v>
      </c>
      <c r="D3095" t="s">
        <v>61496</v>
      </c>
      <c r="E3095" t="s">
        <v>61497</v>
      </c>
      <c r="F3095" t="s">
        <v>61498</v>
      </c>
      <c r="G3095" t="s">
        <v>61499</v>
      </c>
      <c r="H3095" t="s">
        <v>61500</v>
      </c>
      <c r="I3095" t="s">
        <v>61501</v>
      </c>
      <c r="J3095" t="s">
        <v>61502</v>
      </c>
      <c r="K3095" t="s">
        <v>61503</v>
      </c>
      <c r="L3095" t="s">
        <v>61504</v>
      </c>
      <c r="M3095" t="s">
        <v>61505</v>
      </c>
      <c r="N3095" t="s">
        <v>61506</v>
      </c>
      <c r="O3095">
        <f>-624.147523392849 -86.9423229449108 -729.55374765844</f>
        <v>-1440.6435939961998</v>
      </c>
      <c r="P3095">
        <f>-634.235842265989 -53.9277142996061 -414.919947952253</f>
        <v>-1103.0835045178483</v>
      </c>
      <c r="Q3095">
        <f>-376.885430340942 -16.7546829773832 -409.353338503467</f>
        <v>-802.99345182179218</v>
      </c>
      <c r="R3095" t="s">
        <v>61507</v>
      </c>
      <c r="S3095" t="s">
        <v>61508</v>
      </c>
      <c r="T3095" t="s">
        <v>61509</v>
      </c>
      <c r="U3095" t="s">
        <v>61510</v>
      </c>
      <c r="V3095" t="s">
        <v>61511</v>
      </c>
      <c r="W3095" t="s">
        <v>61512</v>
      </c>
      <c r="X3095" t="s">
        <v>61513</v>
      </c>
      <c r="Y3095" t="s">
        <v>61514</v>
      </c>
    </row>
    <row r="3096" spans="1:25" x14ac:dyDescent="0.3">
      <c r="A3096">
        <v>154750</v>
      </c>
      <c r="B3096" t="s">
        <v>61515</v>
      </c>
      <c r="C3096" t="s">
        <v>61516</v>
      </c>
      <c r="D3096" t="s">
        <v>61517</v>
      </c>
      <c r="E3096" t="s">
        <v>61518</v>
      </c>
      <c r="F3096" t="s">
        <v>61519</v>
      </c>
      <c r="G3096" t="s">
        <v>61520</v>
      </c>
      <c r="H3096" t="s">
        <v>61521</v>
      </c>
      <c r="I3096" t="s">
        <v>61522</v>
      </c>
      <c r="J3096" t="s">
        <v>61523</v>
      </c>
      <c r="K3096" t="s">
        <v>61524</v>
      </c>
      <c r="L3096" t="s">
        <v>61525</v>
      </c>
      <c r="M3096" t="s">
        <v>61526</v>
      </c>
      <c r="N3096" t="s">
        <v>61527</v>
      </c>
      <c r="O3096">
        <f>-622.85413566232 -87.1374423797128 -728.899945190377</f>
        <v>-1438.8915232324098</v>
      </c>
      <c r="P3096">
        <f>-632.863395451285 -54.6369636619362 -414.210050299561</f>
        <v>-1101.7104094127822</v>
      </c>
      <c r="Q3096">
        <f>-375.845805946243 -15.2369175357786 -408.585866823356</f>
        <v>-799.66859030537762</v>
      </c>
      <c r="R3096" t="s">
        <v>61528</v>
      </c>
      <c r="S3096" t="s">
        <v>61529</v>
      </c>
      <c r="T3096" t="s">
        <v>61530</v>
      </c>
      <c r="U3096" t="s">
        <v>61531</v>
      </c>
      <c r="V3096" t="s">
        <v>61532</v>
      </c>
      <c r="W3096" t="s">
        <v>61533</v>
      </c>
      <c r="X3096" t="s">
        <v>61534</v>
      </c>
      <c r="Y3096" t="s">
        <v>61535</v>
      </c>
    </row>
    <row r="3097" spans="1:25" x14ac:dyDescent="0.3">
      <c r="A3097">
        <v>154800</v>
      </c>
      <c r="B3097" t="s">
        <v>61536</v>
      </c>
      <c r="C3097" t="s">
        <v>61537</v>
      </c>
      <c r="D3097" t="s">
        <v>61538</v>
      </c>
      <c r="E3097" t="s">
        <v>61539</v>
      </c>
      <c r="F3097" t="s">
        <v>61540</v>
      </c>
      <c r="G3097" t="s">
        <v>61541</v>
      </c>
      <c r="H3097" t="s">
        <v>61542</v>
      </c>
      <c r="I3097" t="s">
        <v>61543</v>
      </c>
      <c r="J3097" t="s">
        <v>61544</v>
      </c>
      <c r="K3097" t="s">
        <v>61545</v>
      </c>
      <c r="L3097" t="s">
        <v>61546</v>
      </c>
      <c r="M3097" t="s">
        <v>61547</v>
      </c>
      <c r="N3097" t="s">
        <v>61548</v>
      </c>
      <c r="O3097">
        <f>-622.508526997109 -87.3080103495561 -728.616944333847</f>
        <v>-1438.4334816805122</v>
      </c>
      <c r="P3097">
        <f>-631.834945073309 -54.1238048649165 -413.977375396287</f>
        <v>-1099.9361253345123</v>
      </c>
      <c r="Q3097">
        <f>-374.750721533345 -15.2663557834006 -407.662091775739</f>
        <v>-797.67916909248459</v>
      </c>
      <c r="R3097" t="s">
        <v>61549</v>
      </c>
      <c r="S3097" t="s">
        <v>61550</v>
      </c>
      <c r="T3097" t="s">
        <v>61551</v>
      </c>
      <c r="U3097" t="s">
        <v>61552</v>
      </c>
      <c r="V3097" t="s">
        <v>61553</v>
      </c>
      <c r="W3097" t="s">
        <v>61554</v>
      </c>
      <c r="X3097" t="s">
        <v>61555</v>
      </c>
      <c r="Y3097" t="s">
        <v>61556</v>
      </c>
    </row>
    <row r="3098" spans="1:25" x14ac:dyDescent="0.3">
      <c r="A3098">
        <v>154850</v>
      </c>
      <c r="B3098" t="s">
        <v>61557</v>
      </c>
      <c r="C3098" t="s">
        <v>61558</v>
      </c>
      <c r="D3098" t="s">
        <v>61559</v>
      </c>
      <c r="E3098" t="s">
        <v>61560</v>
      </c>
      <c r="F3098" t="s">
        <v>61561</v>
      </c>
      <c r="G3098" t="s">
        <v>61562</v>
      </c>
      <c r="H3098" t="s">
        <v>61563</v>
      </c>
      <c r="I3098" t="s">
        <v>61564</v>
      </c>
      <c r="J3098" t="s">
        <v>61565</v>
      </c>
      <c r="K3098" t="s">
        <v>61566</v>
      </c>
      <c r="L3098" t="s">
        <v>61567</v>
      </c>
      <c r="M3098" t="s">
        <v>61568</v>
      </c>
      <c r="N3098" t="s">
        <v>61569</v>
      </c>
      <c r="O3098">
        <f>-622.051103139749 -87.7826430614323 -727.838159796755</f>
        <v>-1437.6719059979364</v>
      </c>
      <c r="P3098">
        <f>-631.537811051499 -52.711279253505 -413.408280538066</f>
        <v>-1097.6573708430701</v>
      </c>
      <c r="Q3098">
        <f>-374.059238190516 -16.5833555141512 -406.958036986246</f>
        <v>-797.60063069091325</v>
      </c>
      <c r="R3098" t="s">
        <v>61570</v>
      </c>
      <c r="S3098" t="s">
        <v>61571</v>
      </c>
      <c r="T3098" t="s">
        <v>61572</v>
      </c>
      <c r="U3098" t="s">
        <v>61573</v>
      </c>
      <c r="V3098" t="s">
        <v>61574</v>
      </c>
      <c r="W3098" t="s">
        <v>61575</v>
      </c>
      <c r="X3098" t="s">
        <v>61576</v>
      </c>
      <c r="Y3098" t="s">
        <v>61577</v>
      </c>
    </row>
    <row r="3099" spans="1:25" x14ac:dyDescent="0.3">
      <c r="A3099">
        <v>154900</v>
      </c>
      <c r="B3099" t="s">
        <v>61578</v>
      </c>
      <c r="C3099" t="s">
        <v>61579</v>
      </c>
      <c r="D3099" t="s">
        <v>61580</v>
      </c>
      <c r="E3099" t="s">
        <v>61581</v>
      </c>
      <c r="F3099" t="s">
        <v>61582</v>
      </c>
      <c r="G3099" t="s">
        <v>61583</v>
      </c>
      <c r="H3099" t="s">
        <v>61584</v>
      </c>
      <c r="I3099" t="s">
        <v>61585</v>
      </c>
      <c r="J3099" t="s">
        <v>61586</v>
      </c>
      <c r="K3099" t="s">
        <v>61587</v>
      </c>
      <c r="L3099" t="s">
        <v>61588</v>
      </c>
      <c r="M3099" t="s">
        <v>61589</v>
      </c>
      <c r="N3099" t="s">
        <v>61590</v>
      </c>
      <c r="O3099">
        <f>-622.131626515458 -87.9613768015338 -727.551187971574</f>
        <v>-1437.6441912885657</v>
      </c>
      <c r="P3099">
        <f>-631.931812310337 -52.8977338342078 -413.130082064872</f>
        <v>-1097.9596282094167</v>
      </c>
      <c r="Q3099">
        <f>-374.300797313869 -17.9096799599795 -406.484207778835</f>
        <v>-798.69468505268355</v>
      </c>
      <c r="R3099" t="s">
        <v>61591</v>
      </c>
      <c r="S3099" t="s">
        <v>61592</v>
      </c>
      <c r="T3099" t="s">
        <v>61593</v>
      </c>
      <c r="U3099" t="s">
        <v>61594</v>
      </c>
      <c r="V3099" t="s">
        <v>61595</v>
      </c>
      <c r="W3099" t="s">
        <v>61596</v>
      </c>
      <c r="X3099" t="s">
        <v>61597</v>
      </c>
      <c r="Y3099" t="s">
        <v>61598</v>
      </c>
    </row>
    <row r="3100" spans="1:25" x14ac:dyDescent="0.3">
      <c r="A3100">
        <v>154950</v>
      </c>
      <c r="B3100" t="s">
        <v>61599</v>
      </c>
      <c r="C3100" t="s">
        <v>61600</v>
      </c>
      <c r="D3100" t="s">
        <v>61601</v>
      </c>
      <c r="E3100" t="s">
        <v>61602</v>
      </c>
      <c r="F3100" t="s">
        <v>61603</v>
      </c>
      <c r="G3100" t="s">
        <v>61604</v>
      </c>
      <c r="H3100" t="s">
        <v>61605</v>
      </c>
      <c r="I3100" t="s">
        <v>61606</v>
      </c>
      <c r="J3100" t="s">
        <v>61607</v>
      </c>
      <c r="K3100" t="s">
        <v>61608</v>
      </c>
      <c r="L3100" t="s">
        <v>61609</v>
      </c>
      <c r="M3100" t="s">
        <v>61610</v>
      </c>
      <c r="N3100" t="s">
        <v>61611</v>
      </c>
      <c r="O3100">
        <f>-622.700600376811 -87.8622826665452 -727.252709055584</f>
        <v>-1437.8155920989402</v>
      </c>
      <c r="P3100">
        <f>-633.324388901229 -53.8278500791622 -412.745198944116</f>
        <v>-1099.8974379245071</v>
      </c>
      <c r="Q3100">
        <f>-375.637260705664 -18.9636642114021 -407.859380725962</f>
        <v>-802.46030564302805</v>
      </c>
      <c r="R3100" t="s">
        <v>61612</v>
      </c>
      <c r="S3100" t="s">
        <v>61613</v>
      </c>
      <c r="T3100" t="s">
        <v>61614</v>
      </c>
      <c r="U3100" t="s">
        <v>61615</v>
      </c>
      <c r="V3100" t="s">
        <v>61616</v>
      </c>
      <c r="W3100" t="s">
        <v>61617</v>
      </c>
      <c r="X3100" t="s">
        <v>61618</v>
      </c>
      <c r="Y3100" t="s">
        <v>61619</v>
      </c>
    </row>
    <row r="3101" spans="1:25" x14ac:dyDescent="0.3">
      <c r="A3101">
        <v>155000</v>
      </c>
      <c r="B3101" t="s">
        <v>61620</v>
      </c>
      <c r="C3101" t="s">
        <v>61621</v>
      </c>
      <c r="D3101" t="s">
        <v>61622</v>
      </c>
      <c r="E3101" t="s">
        <v>61623</v>
      </c>
      <c r="F3101" t="s">
        <v>61624</v>
      </c>
      <c r="G3101" t="s">
        <v>61625</v>
      </c>
      <c r="H3101" t="s">
        <v>61626</v>
      </c>
      <c r="I3101" t="s">
        <v>61627</v>
      </c>
      <c r="J3101" t="s">
        <v>61628</v>
      </c>
      <c r="K3101" t="s">
        <v>61629</v>
      </c>
      <c r="L3101" t="s">
        <v>61630</v>
      </c>
      <c r="M3101" t="s">
        <v>61631</v>
      </c>
      <c r="N3101" t="s">
        <v>61632</v>
      </c>
      <c r="O3101">
        <f>-623.366124494774 -87.3250599499477 -727.261262502425</f>
        <v>-1437.9524469471467</v>
      </c>
      <c r="P3101">
        <f>-633.479601790126 -54.32638530638 -412.626439076797</f>
        <v>-1100.4324261733029</v>
      </c>
      <c r="Q3101">
        <f>-375.788935413657 -19.3228277164781 -409.116730002164</f>
        <v>-804.22849313229904</v>
      </c>
      <c r="R3101" t="s">
        <v>61633</v>
      </c>
      <c r="S3101" t="s">
        <v>61634</v>
      </c>
      <c r="T3101" t="s">
        <v>61635</v>
      </c>
      <c r="U3101" t="s">
        <v>61636</v>
      </c>
      <c r="V3101" t="s">
        <v>61637</v>
      </c>
      <c r="W3101" t="s">
        <v>61638</v>
      </c>
      <c r="X3101" t="s">
        <v>61639</v>
      </c>
      <c r="Y3101" t="s">
        <v>61640</v>
      </c>
    </row>
    <row r="3102" spans="1:25" x14ac:dyDescent="0.3">
      <c r="A3102">
        <v>155050</v>
      </c>
      <c r="B3102" t="s">
        <v>61641</v>
      </c>
      <c r="C3102" t="s">
        <v>61642</v>
      </c>
      <c r="D3102" t="s">
        <v>61643</v>
      </c>
      <c r="E3102" t="s">
        <v>61644</v>
      </c>
      <c r="F3102" t="s">
        <v>61645</v>
      </c>
      <c r="G3102" t="s">
        <v>61646</v>
      </c>
      <c r="H3102" t="s">
        <v>61647</v>
      </c>
      <c r="I3102" t="s">
        <v>61648</v>
      </c>
      <c r="J3102" t="s">
        <v>61649</v>
      </c>
      <c r="K3102" t="s">
        <v>61650</v>
      </c>
      <c r="L3102" t="s">
        <v>61651</v>
      </c>
      <c r="M3102" t="s">
        <v>61652</v>
      </c>
      <c r="N3102" t="s">
        <v>61653</v>
      </c>
      <c r="O3102">
        <f>-624.697730856046 -86.657863581721 -727.143538901298</f>
        <v>-1438.4991333390649</v>
      </c>
      <c r="P3102">
        <f>-633.460279871005 -54.1425836826478 -412.417906388669</f>
        <v>-1100.0207699423217</v>
      </c>
      <c r="Q3102">
        <f>-375.707254551866 -19.4600950222383 -410.816139600466</f>
        <v>-805.98348917457031</v>
      </c>
      <c r="R3102" t="s">
        <v>61654</v>
      </c>
      <c r="S3102" t="s">
        <v>61655</v>
      </c>
      <c r="T3102" t="s">
        <v>61656</v>
      </c>
      <c r="U3102" t="s">
        <v>61657</v>
      </c>
      <c r="V3102" t="s">
        <v>61658</v>
      </c>
      <c r="W3102" t="s">
        <v>61659</v>
      </c>
      <c r="X3102" t="s">
        <v>61660</v>
      </c>
      <c r="Y3102" t="s">
        <v>61661</v>
      </c>
    </row>
    <row r="3103" spans="1:25" x14ac:dyDescent="0.3">
      <c r="A3103">
        <v>155100</v>
      </c>
      <c r="B3103" t="s">
        <v>61662</v>
      </c>
      <c r="C3103" t="s">
        <v>61663</v>
      </c>
      <c r="D3103" t="s">
        <v>61664</v>
      </c>
      <c r="E3103" t="s">
        <v>61665</v>
      </c>
      <c r="F3103" t="s">
        <v>61666</v>
      </c>
      <c r="G3103" t="s">
        <v>61667</v>
      </c>
      <c r="H3103" t="s">
        <v>61668</v>
      </c>
      <c r="I3103" t="s">
        <v>61669</v>
      </c>
      <c r="J3103" t="s">
        <v>61670</v>
      </c>
      <c r="K3103" t="s">
        <v>61671</v>
      </c>
      <c r="L3103" t="s">
        <v>61672</v>
      </c>
      <c r="M3103" t="s">
        <v>61673</v>
      </c>
      <c r="N3103" t="s">
        <v>61674</v>
      </c>
      <c r="O3103">
        <f>-624.917283443782 -86.4390910641177 -727.095267793758</f>
        <v>-1438.4516423016578</v>
      </c>
      <c r="P3103">
        <f>-633.306148455899 -53.1375011522878 -412.44184152737</f>
        <v>-1098.8854911355568</v>
      </c>
      <c r="Q3103">
        <f>-375.483028677163 -19.0141772672599 -410.224687736641</f>
        <v>-804.72189368106388</v>
      </c>
      <c r="R3103" t="s">
        <v>61675</v>
      </c>
      <c r="S3103" t="s">
        <v>61676</v>
      </c>
      <c r="T3103" t="s">
        <v>61677</v>
      </c>
      <c r="U3103" t="s">
        <v>61678</v>
      </c>
      <c r="V3103" t="s">
        <v>61679</v>
      </c>
      <c r="W3103" t="s">
        <v>61680</v>
      </c>
      <c r="X3103" t="s">
        <v>61681</v>
      </c>
      <c r="Y3103" t="s">
        <v>61682</v>
      </c>
    </row>
    <row r="3104" spans="1:25" x14ac:dyDescent="0.3">
      <c r="A3104">
        <v>155150</v>
      </c>
      <c r="B3104" t="s">
        <v>61683</v>
      </c>
      <c r="C3104" t="s">
        <v>61684</v>
      </c>
      <c r="D3104" t="s">
        <v>61685</v>
      </c>
      <c r="E3104" t="s">
        <v>61686</v>
      </c>
      <c r="F3104" t="s">
        <v>61687</v>
      </c>
      <c r="G3104" t="s">
        <v>61688</v>
      </c>
      <c r="H3104" t="s">
        <v>61689</v>
      </c>
      <c r="I3104" t="s">
        <v>61690</v>
      </c>
      <c r="J3104" t="s">
        <v>61691</v>
      </c>
      <c r="K3104" t="s">
        <v>61692</v>
      </c>
      <c r="L3104" t="s">
        <v>61693</v>
      </c>
      <c r="M3104" t="s">
        <v>61694</v>
      </c>
      <c r="N3104" t="s">
        <v>61695</v>
      </c>
      <c r="O3104">
        <f>-624.929418021721 -86.5292160637252 -726.928309972696</f>
        <v>-1438.386944058142</v>
      </c>
      <c r="P3104">
        <f>-633.937954644573 -51.5019997527375 -412.479484198183</f>
        <v>-1097.9194385954934</v>
      </c>
      <c r="Q3104">
        <f>-376.028134394598 -18.252269795976 -408.115515611947</f>
        <v>-802.39591980252101</v>
      </c>
      <c r="R3104" t="s">
        <v>61696</v>
      </c>
      <c r="S3104" t="s">
        <v>61697</v>
      </c>
      <c r="T3104" t="s">
        <v>61698</v>
      </c>
      <c r="U3104" t="s">
        <v>61699</v>
      </c>
      <c r="V3104" t="s">
        <v>61700</v>
      </c>
      <c r="W3104" t="s">
        <v>61701</v>
      </c>
      <c r="X3104" t="s">
        <v>61702</v>
      </c>
      <c r="Y3104" t="s">
        <v>61703</v>
      </c>
    </row>
    <row r="3105" spans="1:25" x14ac:dyDescent="0.3">
      <c r="A3105">
        <v>155200</v>
      </c>
      <c r="B3105" t="s">
        <v>61704</v>
      </c>
      <c r="C3105" t="s">
        <v>61705</v>
      </c>
      <c r="D3105" t="s">
        <v>61706</v>
      </c>
      <c r="E3105" t="s">
        <v>61707</v>
      </c>
      <c r="F3105" t="s">
        <v>61708</v>
      </c>
      <c r="G3105" t="s">
        <v>61709</v>
      </c>
      <c r="H3105" t="s">
        <v>61710</v>
      </c>
      <c r="I3105" t="s">
        <v>61711</v>
      </c>
      <c r="J3105" t="s">
        <v>61712</v>
      </c>
      <c r="K3105" t="s">
        <v>61713</v>
      </c>
      <c r="L3105" t="s">
        <v>61714</v>
      </c>
      <c r="M3105" t="s">
        <v>61715</v>
      </c>
      <c r="N3105" t="s">
        <v>61716</v>
      </c>
      <c r="O3105">
        <f>-625.025349820126 -86.6306376513988 -726.883994888137</f>
        <v>-1438.5399823596617</v>
      </c>
      <c r="P3105">
        <f>-634.57920221908 -50.791515545668 -412.542598992199</f>
        <v>-1097.9133167569469</v>
      </c>
      <c r="Q3105">
        <f>-376.616861017709 -18.1654659526712 -406.795711594079</f>
        <v>-801.57803856445923</v>
      </c>
      <c r="R3105" t="s">
        <v>61717</v>
      </c>
      <c r="S3105" t="s">
        <v>61718</v>
      </c>
      <c r="T3105" t="s">
        <v>61719</v>
      </c>
      <c r="U3105" t="s">
        <v>61720</v>
      </c>
      <c r="V3105" t="s">
        <v>61721</v>
      </c>
      <c r="W3105" t="s">
        <v>61722</v>
      </c>
      <c r="X3105" t="s">
        <v>61723</v>
      </c>
      <c r="Y3105" t="s">
        <v>61724</v>
      </c>
    </row>
    <row r="3106" spans="1:25" x14ac:dyDescent="0.3">
      <c r="A3106">
        <v>155250</v>
      </c>
      <c r="B3106" t="s">
        <v>61725</v>
      </c>
      <c r="C3106" t="s">
        <v>61726</v>
      </c>
      <c r="D3106" t="s">
        <v>61727</v>
      </c>
      <c r="E3106" t="s">
        <v>61728</v>
      </c>
      <c r="F3106" t="s">
        <v>61729</v>
      </c>
      <c r="G3106" t="s">
        <v>61730</v>
      </c>
      <c r="H3106" t="s">
        <v>61731</v>
      </c>
      <c r="I3106" t="s">
        <v>61732</v>
      </c>
      <c r="J3106" t="s">
        <v>61733</v>
      </c>
      <c r="K3106" t="s">
        <v>61734</v>
      </c>
      <c r="L3106" t="s">
        <v>61735</v>
      </c>
      <c r="M3106" t="s">
        <v>61736</v>
      </c>
      <c r="N3106" t="s">
        <v>61737</v>
      </c>
      <c r="O3106">
        <f>-625.42865559057 -86.577409598009 -726.696604923039</f>
        <v>-1438.7026701116179</v>
      </c>
      <c r="P3106">
        <f>-635.327061932695 -50.5474453146941 -412.387781575911</f>
        <v>-1098.2622888233</v>
      </c>
      <c r="Q3106">
        <f>-377.451225416654 -17.3529786585199 -406.046095799311</f>
        <v>-800.85029987448479</v>
      </c>
      <c r="R3106" t="s">
        <v>61738</v>
      </c>
      <c r="S3106" t="s">
        <v>61739</v>
      </c>
      <c r="T3106" t="s">
        <v>61740</v>
      </c>
      <c r="U3106" t="s">
        <v>61741</v>
      </c>
      <c r="V3106" t="s">
        <v>61742</v>
      </c>
      <c r="W3106" t="s">
        <v>61743</v>
      </c>
      <c r="X3106" t="s">
        <v>61744</v>
      </c>
      <c r="Y3106" t="s">
        <v>61745</v>
      </c>
    </row>
    <row r="3107" spans="1:25" x14ac:dyDescent="0.3">
      <c r="A3107">
        <v>155300</v>
      </c>
      <c r="B3107" t="s">
        <v>61746</v>
      </c>
      <c r="C3107" t="s">
        <v>61747</v>
      </c>
      <c r="D3107" t="s">
        <v>61748</v>
      </c>
      <c r="E3107" t="s">
        <v>61749</v>
      </c>
      <c r="F3107" t="s">
        <v>61750</v>
      </c>
      <c r="G3107" t="s">
        <v>61751</v>
      </c>
      <c r="H3107" t="s">
        <v>61752</v>
      </c>
      <c r="I3107" t="s">
        <v>61753</v>
      </c>
      <c r="J3107" t="s">
        <v>61754</v>
      </c>
      <c r="K3107" t="s">
        <v>61755</v>
      </c>
      <c r="L3107" t="s">
        <v>61756</v>
      </c>
      <c r="M3107" t="s">
        <v>61757</v>
      </c>
      <c r="N3107" t="s">
        <v>61758</v>
      </c>
      <c r="O3107">
        <f>-625.850182937131 -86.5943415801929 -726.540831851849</f>
        <v>-1438.9853563691729</v>
      </c>
      <c r="P3107">
        <f>-635.536027502139 -50.3331301766229 -412.251923337284</f>
        <v>-1098.121081016046</v>
      </c>
      <c r="Q3107">
        <f>-377.521607339282 -18.1105888907859 -406.567992432554</f>
        <v>-802.20018866262194</v>
      </c>
      <c r="R3107" t="s">
        <v>61759</v>
      </c>
      <c r="S3107" t="s">
        <v>61760</v>
      </c>
      <c r="T3107" t="s">
        <v>61761</v>
      </c>
      <c r="U3107" t="s">
        <v>61762</v>
      </c>
      <c r="V3107" t="s">
        <v>61763</v>
      </c>
      <c r="W3107" t="s">
        <v>61764</v>
      </c>
      <c r="X3107" t="s">
        <v>61765</v>
      </c>
      <c r="Y3107" t="s">
        <v>61766</v>
      </c>
    </row>
    <row r="3108" spans="1:25" x14ac:dyDescent="0.3">
      <c r="A3108">
        <v>155350</v>
      </c>
      <c r="B3108" t="s">
        <v>61767</v>
      </c>
      <c r="C3108" t="s">
        <v>61768</v>
      </c>
      <c r="D3108" t="s">
        <v>61769</v>
      </c>
      <c r="E3108" t="s">
        <v>61770</v>
      </c>
      <c r="F3108" t="s">
        <v>61771</v>
      </c>
      <c r="G3108" t="s">
        <v>61772</v>
      </c>
      <c r="H3108" t="s">
        <v>61773</v>
      </c>
      <c r="I3108" t="s">
        <v>61774</v>
      </c>
      <c r="J3108" t="s">
        <v>61775</v>
      </c>
      <c r="K3108" t="s">
        <v>61776</v>
      </c>
      <c r="L3108" t="s">
        <v>61777</v>
      </c>
      <c r="M3108" t="s">
        <v>61778</v>
      </c>
      <c r="N3108" t="s">
        <v>61779</v>
      </c>
      <c r="O3108">
        <f>-626.996178558679 -86.5782181742122 -725.943302360763</f>
        <v>-1439.5176990936543</v>
      </c>
      <c r="P3108">
        <f>-634.815860756373 -50.0361591270537 -411.634944606964</f>
        <v>-1096.4869644903906</v>
      </c>
      <c r="Q3108">
        <f>-376.415132652263 -20.9692360698434 -406.510967110744</f>
        <v>-803.89533583285038</v>
      </c>
      <c r="R3108" t="s">
        <v>61780</v>
      </c>
      <c r="S3108" t="s">
        <v>61781</v>
      </c>
      <c r="T3108" t="s">
        <v>61782</v>
      </c>
      <c r="U3108" t="s">
        <v>61783</v>
      </c>
      <c r="V3108" t="s">
        <v>61784</v>
      </c>
      <c r="W3108" t="s">
        <v>61785</v>
      </c>
      <c r="X3108" t="s">
        <v>61786</v>
      </c>
      <c r="Y3108" t="s">
        <v>61787</v>
      </c>
    </row>
    <row r="3109" spans="1:25" x14ac:dyDescent="0.3">
      <c r="A3109">
        <v>155400</v>
      </c>
      <c r="B3109" t="s">
        <v>61788</v>
      </c>
      <c r="C3109" t="s">
        <v>61789</v>
      </c>
      <c r="D3109" t="s">
        <v>61790</v>
      </c>
      <c r="E3109" t="s">
        <v>61791</v>
      </c>
      <c r="F3109" t="s">
        <v>61792</v>
      </c>
      <c r="G3109" t="s">
        <v>61793</v>
      </c>
      <c r="H3109" t="s">
        <v>61794</v>
      </c>
      <c r="I3109" t="s">
        <v>61795</v>
      </c>
      <c r="J3109" t="s">
        <v>61796</v>
      </c>
      <c r="K3109" t="s">
        <v>61797</v>
      </c>
      <c r="L3109" t="s">
        <v>61798</v>
      </c>
      <c r="M3109" t="s">
        <v>61799</v>
      </c>
      <c r="N3109" t="s">
        <v>61800</v>
      </c>
      <c r="O3109">
        <f>-626.928536927466 -86.5040522251215 -725.15171059327</f>
        <v>-1438.5842997458576</v>
      </c>
      <c r="P3109">
        <f>-634.77616248388 -49.4289346606644 -410.906583469226</f>
        <v>-1095.1116806137702</v>
      </c>
      <c r="Q3109">
        <f>-376.062371672233 -23.2344040340832 -406.104384577568</f>
        <v>-805.40116028388411</v>
      </c>
      <c r="R3109" t="s">
        <v>61801</v>
      </c>
      <c r="S3109" t="s">
        <v>61802</v>
      </c>
      <c r="T3109" t="s">
        <v>61803</v>
      </c>
      <c r="U3109" t="s">
        <v>61804</v>
      </c>
      <c r="V3109" t="s">
        <v>61805</v>
      </c>
      <c r="W3109" t="s">
        <v>61806</v>
      </c>
      <c r="X3109" t="s">
        <v>61807</v>
      </c>
      <c r="Y3109" t="s">
        <v>61808</v>
      </c>
    </row>
    <row r="3110" spans="1:25" x14ac:dyDescent="0.3">
      <c r="A3110">
        <v>155450</v>
      </c>
      <c r="B3110" t="s">
        <v>61809</v>
      </c>
      <c r="C3110" t="s">
        <v>61810</v>
      </c>
      <c r="D3110" t="s">
        <v>61811</v>
      </c>
      <c r="E3110" t="s">
        <v>61812</v>
      </c>
      <c r="F3110" t="s">
        <v>61813</v>
      </c>
      <c r="G3110" t="s">
        <v>61814</v>
      </c>
      <c r="H3110" t="s">
        <v>61815</v>
      </c>
      <c r="I3110" t="s">
        <v>61816</v>
      </c>
      <c r="J3110" t="s">
        <v>61817</v>
      </c>
      <c r="K3110" t="s">
        <v>61818</v>
      </c>
      <c r="L3110" t="s">
        <v>61819</v>
      </c>
      <c r="M3110" t="s">
        <v>61820</v>
      </c>
      <c r="N3110" t="s">
        <v>61821</v>
      </c>
      <c r="O3110">
        <f>-626.980659571425 -86.2316199691575 -724.902647523006</f>
        <v>-1438.1149270635883</v>
      </c>
      <c r="P3110">
        <f>-634.933585554727 -49.2494694093103 -410.649127788214</f>
        <v>-1094.8321827522514</v>
      </c>
      <c r="Q3110">
        <f>-376.123236701764 -24.046812152909 -405.741661875904</f>
        <v>-805.91171073057694</v>
      </c>
      <c r="R3110" t="s">
        <v>61822</v>
      </c>
      <c r="S3110" t="s">
        <v>61823</v>
      </c>
      <c r="T3110" t="s">
        <v>61824</v>
      </c>
      <c r="U3110" t="s">
        <v>61825</v>
      </c>
      <c r="V3110" t="s">
        <v>61826</v>
      </c>
      <c r="W3110" t="s">
        <v>61827</v>
      </c>
      <c r="X3110" t="s">
        <v>61828</v>
      </c>
      <c r="Y3110" t="s">
        <v>61829</v>
      </c>
    </row>
    <row r="3111" spans="1:25" x14ac:dyDescent="0.3">
      <c r="A3111">
        <v>155500</v>
      </c>
      <c r="B3111" t="s">
        <v>61830</v>
      </c>
      <c r="C3111" t="s">
        <v>61831</v>
      </c>
      <c r="D3111" t="s">
        <v>61832</v>
      </c>
      <c r="E3111" t="s">
        <v>61833</v>
      </c>
      <c r="F3111" t="s">
        <v>61834</v>
      </c>
      <c r="G3111" t="s">
        <v>61835</v>
      </c>
      <c r="H3111" t="s">
        <v>61836</v>
      </c>
      <c r="I3111" t="s">
        <v>61837</v>
      </c>
      <c r="J3111" t="s">
        <v>61838</v>
      </c>
      <c r="K3111" t="s">
        <v>61839</v>
      </c>
      <c r="L3111" t="s">
        <v>61840</v>
      </c>
      <c r="M3111" t="s">
        <v>61841</v>
      </c>
      <c r="N3111" t="s">
        <v>61842</v>
      </c>
      <c r="O3111">
        <f>-626.885240168637 -86.2051998061939 -724.641127029519</f>
        <v>-1437.7315670043499</v>
      </c>
      <c r="P3111">
        <f>-635.065954227657 -49.159233005546 -410.400876876615</f>
        <v>-1094.6260641098179</v>
      </c>
      <c r="Q3111">
        <f>-376.192075233064 -24.5990671798208 -405.587710013893</f>
        <v>-806.37885242677771</v>
      </c>
      <c r="R3111" t="s">
        <v>61843</v>
      </c>
      <c r="S3111" t="s">
        <v>61844</v>
      </c>
      <c r="T3111" t="s">
        <v>61845</v>
      </c>
      <c r="U3111" t="s">
        <v>61846</v>
      </c>
      <c r="V3111" t="s">
        <v>61847</v>
      </c>
      <c r="W3111" t="s">
        <v>61848</v>
      </c>
      <c r="X3111" t="s">
        <v>61849</v>
      </c>
      <c r="Y3111" t="s">
        <v>61850</v>
      </c>
    </row>
    <row r="3112" spans="1:25" x14ac:dyDescent="0.3">
      <c r="A3112">
        <v>155550</v>
      </c>
      <c r="B3112" t="s">
        <v>61851</v>
      </c>
      <c r="C3112" t="s">
        <v>61852</v>
      </c>
      <c r="D3112" t="s">
        <v>61853</v>
      </c>
      <c r="E3112" t="s">
        <v>61854</v>
      </c>
      <c r="F3112" t="s">
        <v>61855</v>
      </c>
      <c r="G3112" t="s">
        <v>61856</v>
      </c>
      <c r="H3112" t="s">
        <v>61857</v>
      </c>
      <c r="I3112" t="s">
        <v>61858</v>
      </c>
      <c r="J3112" t="s">
        <v>61859</v>
      </c>
      <c r="K3112" t="s">
        <v>61860</v>
      </c>
      <c r="L3112" t="s">
        <v>61861</v>
      </c>
      <c r="M3112" t="s">
        <v>61862</v>
      </c>
      <c r="N3112" t="s">
        <v>61863</v>
      </c>
      <c r="O3112">
        <f>-626.252503753585 -86.7989290571061 -723.918954104897</f>
        <v>-1436.9703869155881</v>
      </c>
      <c r="P3112">
        <f>-634.708831173137 -49.2548575717108 -409.745256099576</f>
        <v>-1093.7089448444237</v>
      </c>
      <c r="Q3112">
        <f>-375.757677003057 -25.3778646524771 -405.716565538897</f>
        <v>-806.85210719443103</v>
      </c>
      <c r="R3112" t="s">
        <v>61864</v>
      </c>
      <c r="S3112" t="s">
        <v>61865</v>
      </c>
      <c r="T3112" t="s">
        <v>61866</v>
      </c>
      <c r="U3112" t="s">
        <v>61867</v>
      </c>
      <c r="V3112" t="s">
        <v>61868</v>
      </c>
      <c r="W3112" t="s">
        <v>61869</v>
      </c>
      <c r="X3112" t="s">
        <v>61870</v>
      </c>
      <c r="Y3112" t="s">
        <v>61871</v>
      </c>
    </row>
    <row r="3113" spans="1:25" x14ac:dyDescent="0.3">
      <c r="A3113">
        <v>155600</v>
      </c>
      <c r="B3113" t="s">
        <v>61872</v>
      </c>
      <c r="C3113" t="s">
        <v>61873</v>
      </c>
      <c r="D3113" t="s">
        <v>61874</v>
      </c>
      <c r="E3113" t="s">
        <v>61875</v>
      </c>
      <c r="F3113" t="s">
        <v>61876</v>
      </c>
      <c r="G3113" t="s">
        <v>61877</v>
      </c>
      <c r="H3113" t="s">
        <v>61878</v>
      </c>
      <c r="I3113" t="s">
        <v>61879</v>
      </c>
      <c r="J3113" t="s">
        <v>61880</v>
      </c>
      <c r="K3113" t="s">
        <v>61881</v>
      </c>
      <c r="L3113" t="s">
        <v>61882</v>
      </c>
      <c r="M3113" t="s">
        <v>61883</v>
      </c>
      <c r="N3113" t="s">
        <v>61884</v>
      </c>
      <c r="O3113">
        <f>-626.138494328184 -86.8728250266129 -723.438396154185</f>
        <v>-1436.4497155089821</v>
      </c>
      <c r="P3113">
        <f>-634.633672994339 -48.9816654836306 -409.307490673612</f>
        <v>-1092.9228291515817</v>
      </c>
      <c r="Q3113">
        <f>-375.642648946909 -25.5289391156683 -405.344366489739</f>
        <v>-806.51595455231632</v>
      </c>
      <c r="R3113" t="s">
        <v>61885</v>
      </c>
      <c r="S3113" t="s">
        <v>61886</v>
      </c>
      <c r="T3113" t="s">
        <v>61887</v>
      </c>
      <c r="U3113" t="s">
        <v>61888</v>
      </c>
      <c r="V3113" t="s">
        <v>61889</v>
      </c>
      <c r="W3113" t="s">
        <v>61890</v>
      </c>
      <c r="X3113" t="s">
        <v>61891</v>
      </c>
      <c r="Y3113" t="s">
        <v>61892</v>
      </c>
    </row>
    <row r="3114" spans="1:25" x14ac:dyDescent="0.3">
      <c r="A3114">
        <v>155650</v>
      </c>
      <c r="B3114" t="s">
        <v>61893</v>
      </c>
      <c r="C3114" t="s">
        <v>61894</v>
      </c>
      <c r="D3114" t="s">
        <v>61895</v>
      </c>
      <c r="E3114" t="s">
        <v>61896</v>
      </c>
      <c r="F3114" t="s">
        <v>61897</v>
      </c>
      <c r="G3114" t="s">
        <v>61898</v>
      </c>
      <c r="H3114" t="s">
        <v>61899</v>
      </c>
      <c r="I3114" t="s">
        <v>61900</v>
      </c>
      <c r="J3114" t="s">
        <v>61901</v>
      </c>
      <c r="K3114" t="s">
        <v>61902</v>
      </c>
      <c r="L3114" t="s">
        <v>61903</v>
      </c>
      <c r="M3114" t="s">
        <v>61904</v>
      </c>
      <c r="N3114" t="s">
        <v>61905</v>
      </c>
      <c r="O3114">
        <f>-625.391387975388 -87.260047943401 -722.416386904031</f>
        <v>-1435.0678228228201</v>
      </c>
      <c r="P3114">
        <f>-633.947480052325 -49.9269608467872 -408.220245808987</f>
        <v>-1092.0946867080993</v>
      </c>
      <c r="Q3114">
        <f>-375.011399366007 -25.8060079868889 -404.70770138813</f>
        <v>-805.52510874102586</v>
      </c>
      <c r="R3114" t="s">
        <v>61906</v>
      </c>
      <c r="S3114" t="s">
        <v>61907</v>
      </c>
      <c r="T3114" t="s">
        <v>61908</v>
      </c>
      <c r="U3114" t="s">
        <v>61909</v>
      </c>
      <c r="V3114" t="s">
        <v>61910</v>
      </c>
      <c r="W3114" t="s">
        <v>61911</v>
      </c>
      <c r="X3114" t="s">
        <v>61912</v>
      </c>
      <c r="Y3114" t="s">
        <v>61913</v>
      </c>
    </row>
    <row r="3115" spans="1:25" x14ac:dyDescent="0.3">
      <c r="A3115">
        <v>155700</v>
      </c>
      <c r="B3115" t="s">
        <v>61914</v>
      </c>
      <c r="C3115" t="s">
        <v>61915</v>
      </c>
      <c r="D3115" t="s">
        <v>61916</v>
      </c>
      <c r="E3115" t="s">
        <v>61917</v>
      </c>
      <c r="F3115" t="s">
        <v>61918</v>
      </c>
      <c r="G3115" t="s">
        <v>61919</v>
      </c>
      <c r="H3115" t="s">
        <v>61920</v>
      </c>
      <c r="I3115" t="s">
        <v>61921</v>
      </c>
      <c r="J3115" t="s">
        <v>61922</v>
      </c>
      <c r="K3115" t="s">
        <v>61923</v>
      </c>
      <c r="L3115" t="s">
        <v>61924</v>
      </c>
      <c r="M3115" t="s">
        <v>61925</v>
      </c>
      <c r="N3115" t="s">
        <v>61926</v>
      </c>
      <c r="O3115">
        <f>-624.855296181606 -87.50156067061 -722.011608220257</f>
        <v>-1434.3684650724731</v>
      </c>
      <c r="P3115">
        <f>-633.491705517118 -50.1926974499922 -407.814757268382</f>
        <v>-1091.4991602354921</v>
      </c>
      <c r="Q3115">
        <f>-374.614818717495 -25.4067453013166 -404.577968427372</f>
        <v>-804.59953244618362</v>
      </c>
      <c r="R3115" t="s">
        <v>61927</v>
      </c>
      <c r="S3115" t="s">
        <v>61928</v>
      </c>
      <c r="T3115" t="s">
        <v>61929</v>
      </c>
      <c r="U3115" t="s">
        <v>61930</v>
      </c>
      <c r="V3115" t="s">
        <v>61931</v>
      </c>
      <c r="W3115" t="s">
        <v>61932</v>
      </c>
      <c r="X3115" t="s">
        <v>61933</v>
      </c>
      <c r="Y3115" t="s">
        <v>61934</v>
      </c>
    </row>
    <row r="3116" spans="1:25" x14ac:dyDescent="0.3">
      <c r="A3116">
        <v>155750</v>
      </c>
      <c r="B3116" t="s">
        <v>61935</v>
      </c>
      <c r="C3116" t="s">
        <v>61936</v>
      </c>
      <c r="D3116" t="s">
        <v>61937</v>
      </c>
      <c r="E3116" t="s">
        <v>61938</v>
      </c>
      <c r="F3116" t="s">
        <v>61939</v>
      </c>
      <c r="G3116" t="s">
        <v>61940</v>
      </c>
      <c r="H3116" t="s">
        <v>61941</v>
      </c>
      <c r="I3116" t="s">
        <v>61942</v>
      </c>
      <c r="J3116" t="s">
        <v>61943</v>
      </c>
      <c r="K3116" t="s">
        <v>61944</v>
      </c>
      <c r="L3116" t="s">
        <v>61945</v>
      </c>
      <c r="M3116" t="s">
        <v>61946</v>
      </c>
      <c r="N3116" t="s">
        <v>61947</v>
      </c>
      <c r="O3116">
        <f>-623.377870338556 -87.9208120466755 -721.37440413318</f>
        <v>-1432.6730865184113</v>
      </c>
      <c r="P3116">
        <f>-631.881603965342 -50.7264492009397 -407.160333731854</f>
        <v>-1089.7683868981358</v>
      </c>
      <c r="Q3116">
        <f>-372.93153904893 -26.6537057908468 -404.433581175717</f>
        <v>-804.0188260154938</v>
      </c>
      <c r="R3116" t="s">
        <v>61948</v>
      </c>
      <c r="S3116" t="s">
        <v>61949</v>
      </c>
      <c r="T3116" t="s">
        <v>61950</v>
      </c>
      <c r="U3116" t="s">
        <v>61951</v>
      </c>
      <c r="V3116" t="s">
        <v>61952</v>
      </c>
      <c r="W3116" t="s">
        <v>61953</v>
      </c>
      <c r="X3116" t="s">
        <v>61954</v>
      </c>
      <c r="Y3116" t="s">
        <v>61955</v>
      </c>
    </row>
    <row r="3117" spans="1:25" x14ac:dyDescent="0.3">
      <c r="A3117">
        <v>155800</v>
      </c>
      <c r="B3117" t="s">
        <v>61956</v>
      </c>
      <c r="C3117" t="s">
        <v>61957</v>
      </c>
      <c r="D3117" t="s">
        <v>61958</v>
      </c>
      <c r="E3117" t="s">
        <v>61959</v>
      </c>
      <c r="F3117" t="s">
        <v>61960</v>
      </c>
      <c r="G3117" t="s">
        <v>61961</v>
      </c>
      <c r="H3117" t="s">
        <v>61962</v>
      </c>
      <c r="I3117" t="s">
        <v>61963</v>
      </c>
      <c r="J3117" t="s">
        <v>61964</v>
      </c>
      <c r="K3117" t="s">
        <v>61965</v>
      </c>
      <c r="L3117" t="s">
        <v>61966</v>
      </c>
      <c r="M3117" t="s">
        <v>61967</v>
      </c>
      <c r="N3117" t="s">
        <v>61968</v>
      </c>
      <c r="O3117">
        <f>-622.840743139741 -87.8218484016808 -721.184215204669</f>
        <v>-1431.8468067460908</v>
      </c>
      <c r="P3117">
        <f>-631.203935072494 -51.1089847098798 -406.909785874275</f>
        <v>-1089.2227056566487</v>
      </c>
      <c r="Q3117">
        <f>-372.279402109641 -26.7124761581127 -404.680235799416</f>
        <v>-803.67211406716967</v>
      </c>
      <c r="R3117" t="s">
        <v>61969</v>
      </c>
      <c r="S3117" t="s">
        <v>61970</v>
      </c>
      <c r="T3117" t="s">
        <v>61971</v>
      </c>
      <c r="U3117" t="s">
        <v>61972</v>
      </c>
      <c r="V3117" t="s">
        <v>61973</v>
      </c>
      <c r="W3117" t="s">
        <v>61974</v>
      </c>
      <c r="X3117" t="s">
        <v>61975</v>
      </c>
      <c r="Y3117" t="s">
        <v>61976</v>
      </c>
    </row>
    <row r="3118" spans="1:25" x14ac:dyDescent="0.3">
      <c r="A3118">
        <v>155850</v>
      </c>
      <c r="B3118" t="s">
        <v>61977</v>
      </c>
      <c r="C3118" t="s">
        <v>61978</v>
      </c>
      <c r="D3118" t="s">
        <v>61979</v>
      </c>
      <c r="E3118" t="s">
        <v>61980</v>
      </c>
      <c r="F3118" t="s">
        <v>61981</v>
      </c>
      <c r="G3118" t="s">
        <v>61982</v>
      </c>
      <c r="H3118" t="s">
        <v>61983</v>
      </c>
      <c r="I3118" t="s">
        <v>61984</v>
      </c>
      <c r="J3118" t="s">
        <v>61985</v>
      </c>
      <c r="K3118" t="s">
        <v>61986</v>
      </c>
      <c r="L3118" t="s">
        <v>61987</v>
      </c>
      <c r="M3118" t="s">
        <v>61988</v>
      </c>
      <c r="N3118" t="s">
        <v>61989</v>
      </c>
      <c r="O3118">
        <f>-621.901421183471 -88.200481452677 -721.236628927309</f>
        <v>-1431.3385315634569</v>
      </c>
      <c r="P3118">
        <f>-629.520001137543 -52.0287307721103 -406.880440205566</f>
        <v>-1088.4291721152192</v>
      </c>
      <c r="Q3118">
        <f>-370.59237362535 -27.669367448559 -404.605984066588</f>
        <v>-802.86772514049699</v>
      </c>
      <c r="R3118" t="s">
        <v>61990</v>
      </c>
      <c r="S3118" t="s">
        <v>61991</v>
      </c>
      <c r="T3118" t="s">
        <v>61992</v>
      </c>
      <c r="U3118" t="s">
        <v>61993</v>
      </c>
      <c r="V3118" t="s">
        <v>61994</v>
      </c>
      <c r="W3118" t="s">
        <v>61995</v>
      </c>
      <c r="X3118" t="s">
        <v>61996</v>
      </c>
      <c r="Y3118" t="s">
        <v>61997</v>
      </c>
    </row>
    <row r="3119" spans="1:25" x14ac:dyDescent="0.3">
      <c r="A3119">
        <v>155900</v>
      </c>
      <c r="B3119" t="s">
        <v>61998</v>
      </c>
      <c r="C3119" t="s">
        <v>61999</v>
      </c>
      <c r="D3119" t="s">
        <v>62000</v>
      </c>
      <c r="E3119" t="s">
        <v>62001</v>
      </c>
      <c r="F3119" t="s">
        <v>62002</v>
      </c>
      <c r="G3119" t="s">
        <v>62003</v>
      </c>
      <c r="H3119" t="s">
        <v>62004</v>
      </c>
      <c r="I3119" t="s">
        <v>62005</v>
      </c>
      <c r="J3119" t="s">
        <v>62006</v>
      </c>
      <c r="K3119" t="s">
        <v>62007</v>
      </c>
      <c r="L3119" t="s">
        <v>62008</v>
      </c>
      <c r="M3119" t="s">
        <v>62009</v>
      </c>
      <c r="N3119" t="s">
        <v>62010</v>
      </c>
      <c r="O3119">
        <f>-621.834199161586 -87.4850370198636 -721.724030703535</f>
        <v>-1431.0432668849846</v>
      </c>
      <c r="P3119">
        <f>-628.375058722583 -52.0161411775937 -407.263595002957</f>
        <v>-1087.6547949031337</v>
      </c>
      <c r="Q3119">
        <f>-369.474188228376 -27.4601741099561 -404.197481912723</f>
        <v>-801.1318442510551</v>
      </c>
      <c r="R3119" t="s">
        <v>62011</v>
      </c>
      <c r="S3119" t="s">
        <v>62012</v>
      </c>
      <c r="T3119" t="s">
        <v>62013</v>
      </c>
      <c r="U3119" t="s">
        <v>62014</v>
      </c>
      <c r="V3119" t="s">
        <v>62015</v>
      </c>
      <c r="W3119" t="s">
        <v>62016</v>
      </c>
      <c r="X3119" t="s">
        <v>62017</v>
      </c>
      <c r="Y3119" t="s">
        <v>62018</v>
      </c>
    </row>
    <row r="3120" spans="1:25" x14ac:dyDescent="0.3">
      <c r="A3120">
        <v>155950</v>
      </c>
      <c r="B3120" t="s">
        <v>62019</v>
      </c>
      <c r="C3120" t="s">
        <v>62020</v>
      </c>
      <c r="D3120" t="s">
        <v>62021</v>
      </c>
      <c r="E3120" t="s">
        <v>62022</v>
      </c>
      <c r="F3120" t="s">
        <v>62023</v>
      </c>
      <c r="G3120" t="s">
        <v>62024</v>
      </c>
      <c r="H3120" t="s">
        <v>62025</v>
      </c>
      <c r="I3120" t="s">
        <v>62026</v>
      </c>
      <c r="J3120" t="s">
        <v>62027</v>
      </c>
      <c r="K3120" t="s">
        <v>62028</v>
      </c>
      <c r="L3120" t="s">
        <v>62029</v>
      </c>
      <c r="M3120" t="s">
        <v>62030</v>
      </c>
      <c r="N3120" t="s">
        <v>62031</v>
      </c>
      <c r="O3120">
        <f>-620.947871551605 -86.7342781570259 -722.507515451049</f>
        <v>-1430.1896651596799</v>
      </c>
      <c r="P3120">
        <f>-626.742053920885 -53.2425118136265 -407.815730265293</f>
        <v>-1087.8002959998046</v>
      </c>
      <c r="Q3120">
        <f>-367.975596296273 -27.5710885059356 -403.02667116726</f>
        <v>-798.57335596946859</v>
      </c>
      <c r="R3120" t="s">
        <v>62032</v>
      </c>
      <c r="S3120" t="s">
        <v>62033</v>
      </c>
      <c r="T3120" t="s">
        <v>62034</v>
      </c>
      <c r="U3120" t="s">
        <v>62035</v>
      </c>
      <c r="V3120" t="s">
        <v>62036</v>
      </c>
      <c r="W3120" t="s">
        <v>62037</v>
      </c>
      <c r="X3120" t="s">
        <v>62038</v>
      </c>
      <c r="Y3120" t="s">
        <v>62039</v>
      </c>
    </row>
    <row r="3121" spans="1:25" x14ac:dyDescent="0.3">
      <c r="A3121">
        <v>156000</v>
      </c>
      <c r="B3121" t="s">
        <v>62040</v>
      </c>
      <c r="C3121" t="s">
        <v>62041</v>
      </c>
      <c r="D3121" t="s">
        <v>62042</v>
      </c>
      <c r="E3121" t="s">
        <v>62043</v>
      </c>
      <c r="F3121" t="s">
        <v>62044</v>
      </c>
      <c r="G3121" t="s">
        <v>62045</v>
      </c>
      <c r="H3121" t="s">
        <v>62046</v>
      </c>
      <c r="I3121" t="s">
        <v>62047</v>
      </c>
      <c r="J3121" t="s">
        <v>62048</v>
      </c>
      <c r="K3121" t="s">
        <v>62049</v>
      </c>
      <c r="L3121" t="s">
        <v>62050</v>
      </c>
      <c r="M3121" t="s">
        <v>62051</v>
      </c>
      <c r="N3121" t="s">
        <v>62052</v>
      </c>
      <c r="O3121">
        <f>-620.418528071026 -86.4392811704926 -722.700723920327</f>
        <v>-1429.5585331618456</v>
      </c>
      <c r="P3121">
        <f>-626.043397948065 -54.0145350077061 -407.894238399139</f>
        <v>-1087.9521713549102</v>
      </c>
      <c r="Q3121">
        <f>-367.393947955825 -27.3648596412615 -402.211179167578</f>
        <v>-796.96998676466455</v>
      </c>
      <c r="R3121" t="s">
        <v>62053</v>
      </c>
      <c r="S3121" t="s">
        <v>62054</v>
      </c>
      <c r="T3121" t="s">
        <v>62055</v>
      </c>
      <c r="U3121" t="s">
        <v>62056</v>
      </c>
      <c r="V3121" t="s">
        <v>62057</v>
      </c>
      <c r="W3121" t="s">
        <v>62058</v>
      </c>
      <c r="X3121" t="s">
        <v>62059</v>
      </c>
      <c r="Y3121" t="s">
        <v>62060</v>
      </c>
    </row>
    <row r="3122" spans="1:25" x14ac:dyDescent="0.3">
      <c r="A3122">
        <v>156050</v>
      </c>
      <c r="B3122" t="s">
        <v>62061</v>
      </c>
      <c r="C3122" t="s">
        <v>62062</v>
      </c>
      <c r="D3122" t="s">
        <v>62063</v>
      </c>
      <c r="E3122" t="s">
        <v>62064</v>
      </c>
      <c r="F3122" t="s">
        <v>62065</v>
      </c>
      <c r="G3122" t="s">
        <v>62066</v>
      </c>
      <c r="H3122" t="s">
        <v>62067</v>
      </c>
      <c r="I3122" t="s">
        <v>62068</v>
      </c>
      <c r="J3122" t="s">
        <v>62069</v>
      </c>
      <c r="K3122" t="s">
        <v>62070</v>
      </c>
      <c r="L3122" t="s">
        <v>62071</v>
      </c>
      <c r="M3122" t="s">
        <v>62072</v>
      </c>
      <c r="N3122" t="s">
        <v>62073</v>
      </c>
      <c r="O3122">
        <f>-619.943037492865 -86.0147830966983 -722.568866167429</f>
        <v>-1428.5266867569921</v>
      </c>
      <c r="P3122">
        <f>-626.014693013431 -54.8359517554533 -407.644755160031</f>
        <v>-1088.4953999289153</v>
      </c>
      <c r="Q3122">
        <f>-367.649496013631 -25.5107445046104 -402.214890356425</f>
        <v>-795.37513087466641</v>
      </c>
      <c r="R3122" t="s">
        <v>62074</v>
      </c>
      <c r="S3122" t="s">
        <v>62075</v>
      </c>
      <c r="T3122" t="s">
        <v>62076</v>
      </c>
      <c r="U3122" t="s">
        <v>62077</v>
      </c>
      <c r="V3122" t="s">
        <v>62078</v>
      </c>
      <c r="W3122" t="s">
        <v>62079</v>
      </c>
      <c r="X3122" t="s">
        <v>62080</v>
      </c>
      <c r="Y3122" t="s">
        <v>62081</v>
      </c>
    </row>
    <row r="3123" spans="1:25" x14ac:dyDescent="0.3">
      <c r="A3123">
        <v>156100</v>
      </c>
      <c r="B3123" t="s">
        <v>62082</v>
      </c>
      <c r="C3123" t="s">
        <v>62083</v>
      </c>
      <c r="D3123" t="s">
        <v>62084</v>
      </c>
      <c r="E3123" t="s">
        <v>62085</v>
      </c>
      <c r="F3123" t="s">
        <v>62086</v>
      </c>
      <c r="G3123" t="s">
        <v>62087</v>
      </c>
      <c r="H3123" t="s">
        <v>62088</v>
      </c>
      <c r="I3123" t="s">
        <v>62089</v>
      </c>
      <c r="J3123" t="s">
        <v>62090</v>
      </c>
      <c r="K3123" t="s">
        <v>62091</v>
      </c>
      <c r="L3123" t="s">
        <v>62092</v>
      </c>
      <c r="M3123" t="s">
        <v>62093</v>
      </c>
      <c r="N3123" t="s">
        <v>62094</v>
      </c>
      <c r="O3123">
        <f>-619.753179389961 -85.8335462524506 -722.448824287741</f>
        <v>-1428.0355499301527</v>
      </c>
      <c r="P3123">
        <f>-625.598810267485 -54.9764242809033 -407.488714064245</f>
        <v>-1088.0639486126333</v>
      </c>
      <c r="Q3123">
        <f>-367.33614794017 -24.7078925850179 -402.363954625392</f>
        <v>-794.40799515057984</v>
      </c>
      <c r="R3123" t="s">
        <v>62095</v>
      </c>
      <c r="S3123" t="s">
        <v>62096</v>
      </c>
      <c r="T3123" t="s">
        <v>62097</v>
      </c>
      <c r="U3123" t="s">
        <v>62098</v>
      </c>
      <c r="V3123" t="s">
        <v>62099</v>
      </c>
      <c r="W3123" t="s">
        <v>62100</v>
      </c>
      <c r="X3123" t="s">
        <v>62101</v>
      </c>
      <c r="Y3123" t="s">
        <v>62102</v>
      </c>
    </row>
    <row r="3124" spans="1:25" x14ac:dyDescent="0.3">
      <c r="A3124">
        <v>156150</v>
      </c>
      <c r="B3124" t="s">
        <v>62103</v>
      </c>
      <c r="C3124" t="s">
        <v>62104</v>
      </c>
      <c r="D3124" t="s">
        <v>62105</v>
      </c>
      <c r="E3124" t="s">
        <v>62106</v>
      </c>
      <c r="F3124" t="s">
        <v>62107</v>
      </c>
      <c r="G3124" t="s">
        <v>62108</v>
      </c>
      <c r="H3124" t="s">
        <v>62109</v>
      </c>
      <c r="I3124" t="s">
        <v>62110</v>
      </c>
      <c r="J3124" t="s">
        <v>62111</v>
      </c>
      <c r="K3124" t="s">
        <v>62112</v>
      </c>
      <c r="L3124" t="s">
        <v>62113</v>
      </c>
      <c r="M3124" t="s">
        <v>62114</v>
      </c>
      <c r="N3124" t="s">
        <v>62115</v>
      </c>
      <c r="O3124">
        <f>-620.160814527149 -85.9420648099909 -721.770320352715</f>
        <v>-1427.873199689855</v>
      </c>
      <c r="P3124">
        <f>-625.486407366674 -55.2438539583104 -406.785526386438</f>
        <v>-1087.5157877114225</v>
      </c>
      <c r="Q3124">
        <f>-367.385191503675 -23.4716936264744 -402.741857380006</f>
        <v>-793.59874251015549</v>
      </c>
      <c r="R3124" t="s">
        <v>62116</v>
      </c>
      <c r="S3124" t="s">
        <v>62117</v>
      </c>
      <c r="T3124" t="s">
        <v>62118</v>
      </c>
      <c r="U3124" t="s">
        <v>62119</v>
      </c>
      <c r="V3124" t="s">
        <v>62120</v>
      </c>
      <c r="W3124" t="s">
        <v>62121</v>
      </c>
      <c r="X3124" t="s">
        <v>62122</v>
      </c>
      <c r="Y3124" t="s">
        <v>62123</v>
      </c>
    </row>
    <row r="3125" spans="1:25" x14ac:dyDescent="0.3">
      <c r="A3125">
        <v>156200</v>
      </c>
      <c r="B3125" t="s">
        <v>62124</v>
      </c>
      <c r="C3125" t="s">
        <v>62125</v>
      </c>
      <c r="D3125" t="s">
        <v>62126</v>
      </c>
      <c r="E3125" t="s">
        <v>62127</v>
      </c>
      <c r="F3125" t="s">
        <v>62128</v>
      </c>
      <c r="G3125" t="s">
        <v>62129</v>
      </c>
      <c r="H3125" t="s">
        <v>62130</v>
      </c>
      <c r="I3125" t="s">
        <v>62131</v>
      </c>
      <c r="J3125" t="s">
        <v>62132</v>
      </c>
      <c r="K3125" t="s">
        <v>62133</v>
      </c>
      <c r="L3125" t="s">
        <v>62134</v>
      </c>
      <c r="M3125" t="s">
        <v>62135</v>
      </c>
      <c r="N3125" t="s">
        <v>62136</v>
      </c>
      <c r="O3125">
        <f>-620.147941880507 -85.9482806484354 -721.482515239788</f>
        <v>-1427.5787377687304</v>
      </c>
      <c r="P3125">
        <f>-624.88258435467 -55.9657987783727 -406.419281006349</f>
        <v>-1087.2676641393919</v>
      </c>
      <c r="Q3125">
        <f>-366.882253523651 -23.3409714590934 -402.746494583031</f>
        <v>-792.96971956577545</v>
      </c>
      <c r="R3125" t="s">
        <v>62137</v>
      </c>
      <c r="S3125" t="s">
        <v>62138</v>
      </c>
      <c r="T3125" t="s">
        <v>62139</v>
      </c>
      <c r="U3125" t="s">
        <v>62140</v>
      </c>
      <c r="V3125" t="s">
        <v>62141</v>
      </c>
      <c r="W3125" t="s">
        <v>62142</v>
      </c>
      <c r="X3125" t="s">
        <v>62143</v>
      </c>
      <c r="Y3125" t="s">
        <v>62144</v>
      </c>
    </row>
    <row r="3126" spans="1:25" x14ac:dyDescent="0.3">
      <c r="A3126">
        <v>156250</v>
      </c>
      <c r="B3126" t="s">
        <v>62145</v>
      </c>
      <c r="C3126" t="s">
        <v>62146</v>
      </c>
      <c r="D3126" t="s">
        <v>62147</v>
      </c>
      <c r="E3126" t="s">
        <v>62148</v>
      </c>
      <c r="F3126" t="s">
        <v>62149</v>
      </c>
      <c r="G3126" t="s">
        <v>62150</v>
      </c>
      <c r="H3126" t="s">
        <v>62151</v>
      </c>
      <c r="I3126" t="s">
        <v>62152</v>
      </c>
      <c r="J3126" t="s">
        <v>62153</v>
      </c>
      <c r="K3126" t="s">
        <v>62154</v>
      </c>
      <c r="L3126" t="s">
        <v>62155</v>
      </c>
      <c r="M3126" t="s">
        <v>62156</v>
      </c>
      <c r="N3126" t="s">
        <v>62157</v>
      </c>
      <c r="O3126">
        <f>-620.729479687423 -86.303535188794 -720.771018366643</f>
        <v>-1427.80403324286</v>
      </c>
      <c r="P3126">
        <f>-625.000278027865 -57.1928297261637 -405.619382461145</f>
        <v>-1087.8124902151737</v>
      </c>
      <c r="Q3126">
        <f>-367.204464065181 -22.8905792137737 -403.026270032722</f>
        <v>-793.12131331167666</v>
      </c>
      <c r="R3126" t="s">
        <v>62158</v>
      </c>
      <c r="S3126" t="s">
        <v>62159</v>
      </c>
      <c r="T3126" t="s">
        <v>62160</v>
      </c>
      <c r="U3126" t="s">
        <v>62161</v>
      </c>
      <c r="V3126" t="s">
        <v>62162</v>
      </c>
      <c r="W3126" t="s">
        <v>62163</v>
      </c>
      <c r="X3126" t="s">
        <v>62164</v>
      </c>
      <c r="Y3126" t="s">
        <v>62165</v>
      </c>
    </row>
    <row r="3127" spans="1:25" x14ac:dyDescent="0.3">
      <c r="A3127">
        <v>156300</v>
      </c>
      <c r="B3127" t="s">
        <v>62166</v>
      </c>
      <c r="C3127" t="s">
        <v>62167</v>
      </c>
      <c r="D3127" t="s">
        <v>62168</v>
      </c>
      <c r="E3127" t="s">
        <v>62169</v>
      </c>
      <c r="F3127" t="s">
        <v>62170</v>
      </c>
      <c r="G3127" t="s">
        <v>62171</v>
      </c>
      <c r="H3127" t="s">
        <v>62172</v>
      </c>
      <c r="I3127" t="s">
        <v>62173</v>
      </c>
      <c r="J3127" t="s">
        <v>62174</v>
      </c>
      <c r="K3127" t="s">
        <v>62175</v>
      </c>
      <c r="L3127" t="s">
        <v>62176</v>
      </c>
      <c r="M3127" t="s">
        <v>62177</v>
      </c>
      <c r="N3127" t="s">
        <v>62178</v>
      </c>
      <c r="O3127">
        <f>-620.57351335037 -86.5073569780161 -720.496951413358</f>
        <v>-1427.5778217417442</v>
      </c>
      <c r="P3127">
        <f>-624.485838848386 -57.6339458437592 -405.318815284151</f>
        <v>-1087.4385999762962</v>
      </c>
      <c r="Q3127">
        <f>-366.744092959339 -22.905936234929 -403.036727851557</f>
        <v>-792.68675704582506</v>
      </c>
      <c r="R3127" t="s">
        <v>62179</v>
      </c>
      <c r="S3127" t="s">
        <v>62180</v>
      </c>
      <c r="T3127" t="s">
        <v>62181</v>
      </c>
      <c r="U3127" t="s">
        <v>62182</v>
      </c>
      <c r="V3127" t="s">
        <v>62183</v>
      </c>
      <c r="W3127" t="s">
        <v>62184</v>
      </c>
      <c r="X3127" t="s">
        <v>62185</v>
      </c>
      <c r="Y3127" t="s">
        <v>62186</v>
      </c>
    </row>
    <row r="3128" spans="1:25" x14ac:dyDescent="0.3">
      <c r="A3128">
        <v>156350</v>
      </c>
      <c r="B3128" t="s">
        <v>62187</v>
      </c>
      <c r="C3128" t="s">
        <v>62188</v>
      </c>
      <c r="D3128" t="s">
        <v>62189</v>
      </c>
      <c r="E3128" t="s">
        <v>62190</v>
      </c>
      <c r="F3128" t="s">
        <v>62191</v>
      </c>
      <c r="G3128" t="s">
        <v>62192</v>
      </c>
      <c r="H3128" t="s">
        <v>62193</v>
      </c>
      <c r="I3128" t="s">
        <v>62194</v>
      </c>
      <c r="J3128" t="s">
        <v>62195</v>
      </c>
      <c r="K3128" t="s">
        <v>62196</v>
      </c>
      <c r="L3128" t="s">
        <v>62197</v>
      </c>
      <c r="M3128" t="s">
        <v>62198</v>
      </c>
      <c r="N3128" t="s">
        <v>62199</v>
      </c>
      <c r="O3128">
        <f>-620.47053932467 -86.9021098318089 -720.032366903524</f>
        <v>-1427.4050160600029</v>
      </c>
      <c r="P3128">
        <f>-624.032041462602 -58.081148088793 -404.845415658914</f>
        <v>-1086.9586052103091</v>
      </c>
      <c r="Q3128">
        <f>-366.331911194809 -23.0052308345614 -403.30479821288</f>
        <v>-792.64194024225037</v>
      </c>
      <c r="R3128" t="s">
        <v>62200</v>
      </c>
      <c r="S3128" t="s">
        <v>62201</v>
      </c>
      <c r="T3128" t="s">
        <v>62202</v>
      </c>
      <c r="U3128" t="s">
        <v>62203</v>
      </c>
      <c r="V3128" t="s">
        <v>62204</v>
      </c>
      <c r="W3128" t="s">
        <v>62205</v>
      </c>
      <c r="X3128" t="s">
        <v>62206</v>
      </c>
      <c r="Y3128" t="s">
        <v>62207</v>
      </c>
    </row>
    <row r="3129" spans="1:25" x14ac:dyDescent="0.3">
      <c r="A3129">
        <v>156400</v>
      </c>
      <c r="B3129" t="s">
        <v>62208</v>
      </c>
      <c r="C3129" t="s">
        <v>62209</v>
      </c>
      <c r="D3129" t="s">
        <v>62210</v>
      </c>
      <c r="E3129" t="s">
        <v>62211</v>
      </c>
      <c r="F3129" t="s">
        <v>62212</v>
      </c>
      <c r="G3129" t="s">
        <v>62213</v>
      </c>
      <c r="H3129" t="s">
        <v>62214</v>
      </c>
      <c r="I3129" t="s">
        <v>62215</v>
      </c>
      <c r="J3129" t="s">
        <v>62216</v>
      </c>
      <c r="K3129" t="s">
        <v>62217</v>
      </c>
      <c r="L3129" t="s">
        <v>62218</v>
      </c>
      <c r="M3129" t="s">
        <v>62219</v>
      </c>
      <c r="N3129" t="s">
        <v>62220</v>
      </c>
      <c r="O3129">
        <f>-620.444062527456 -87.0884766393182 -719.883713407872</f>
        <v>-1427.4162525746463</v>
      </c>
      <c r="P3129">
        <f>-624.019373171117 -58.4086229441887 -404.684037857662</f>
        <v>-1087.1120339729678</v>
      </c>
      <c r="Q3129">
        <f>-366.339932255909 -23.1870058134348 -403.009900156406</f>
        <v>-792.53683822574976</v>
      </c>
      <c r="R3129" t="s">
        <v>62221</v>
      </c>
      <c r="S3129" t="s">
        <v>62222</v>
      </c>
      <c r="T3129" t="s">
        <v>62223</v>
      </c>
      <c r="U3129" t="s">
        <v>62224</v>
      </c>
      <c r="V3129" t="s">
        <v>62225</v>
      </c>
      <c r="W3129" t="s">
        <v>62226</v>
      </c>
      <c r="X3129" t="s">
        <v>62227</v>
      </c>
      <c r="Y3129" t="s">
        <v>62228</v>
      </c>
    </row>
    <row r="3130" spans="1:25" x14ac:dyDescent="0.3">
      <c r="A3130">
        <v>156450</v>
      </c>
      <c r="B3130" t="s">
        <v>62229</v>
      </c>
      <c r="C3130" t="s">
        <v>62230</v>
      </c>
      <c r="D3130" t="s">
        <v>62231</v>
      </c>
      <c r="E3130" t="s">
        <v>62232</v>
      </c>
      <c r="F3130" t="s">
        <v>62233</v>
      </c>
      <c r="G3130" t="s">
        <v>62234</v>
      </c>
      <c r="H3130" t="s">
        <v>62235</v>
      </c>
      <c r="I3130" t="s">
        <v>62236</v>
      </c>
      <c r="J3130" t="s">
        <v>62237</v>
      </c>
      <c r="K3130" t="s">
        <v>62238</v>
      </c>
      <c r="L3130" t="s">
        <v>62239</v>
      </c>
      <c r="M3130" t="s">
        <v>62240</v>
      </c>
      <c r="N3130" t="s">
        <v>62241</v>
      </c>
      <c r="O3130">
        <f>-620.842963087379 -86.7811908969443 -719.65124121249</f>
        <v>-1427.2753951968134</v>
      </c>
      <c r="P3130">
        <f>-624.453290726428 -58.2347930192444 -404.439875442382</f>
        <v>-1087.1279591880543</v>
      </c>
      <c r="Q3130">
        <f>-366.802645541414 -22.7848996219368 -403.207957185519</f>
        <v>-792.79550234886983</v>
      </c>
      <c r="R3130" t="s">
        <v>62242</v>
      </c>
      <c r="S3130" t="s">
        <v>62243</v>
      </c>
      <c r="T3130" t="s">
        <v>62244</v>
      </c>
      <c r="U3130" t="s">
        <v>62245</v>
      </c>
      <c r="V3130" t="s">
        <v>62246</v>
      </c>
      <c r="W3130" t="s">
        <v>62247</v>
      </c>
      <c r="X3130" t="s">
        <v>62248</v>
      </c>
      <c r="Y3130" t="s">
        <v>62249</v>
      </c>
    </row>
    <row r="3131" spans="1:25" x14ac:dyDescent="0.3">
      <c r="A3131">
        <v>156500</v>
      </c>
      <c r="B3131" t="s">
        <v>62250</v>
      </c>
      <c r="C3131" t="s">
        <v>62251</v>
      </c>
      <c r="D3131" t="s">
        <v>62252</v>
      </c>
      <c r="E3131" t="s">
        <v>62253</v>
      </c>
      <c r="F3131" t="s">
        <v>62254</v>
      </c>
      <c r="G3131" t="s">
        <v>62255</v>
      </c>
      <c r="H3131" t="s">
        <v>62256</v>
      </c>
      <c r="I3131" t="s">
        <v>62257</v>
      </c>
      <c r="J3131" t="s">
        <v>62258</v>
      </c>
      <c r="K3131" t="s">
        <v>62259</v>
      </c>
      <c r="L3131" t="s">
        <v>62260</v>
      </c>
      <c r="M3131" t="s">
        <v>62261</v>
      </c>
      <c r="N3131" t="s">
        <v>62262</v>
      </c>
      <c r="O3131">
        <f>-620.507602952869 -86.7732047057276 -719.657778516308</f>
        <v>-1426.9385861749047</v>
      </c>
      <c r="P3131">
        <f>-624.123987659833 -58.3616076475687 -404.434113268407</f>
        <v>-1086.9197085758087</v>
      </c>
      <c r="Q3131">
        <f>-366.460121140498 -23.0013442564876 -403.408665626382</f>
        <v>-792.87013102336755</v>
      </c>
      <c r="R3131" t="s">
        <v>62263</v>
      </c>
      <c r="S3131" t="s">
        <v>62264</v>
      </c>
      <c r="T3131" t="s">
        <v>62265</v>
      </c>
      <c r="U3131" t="s">
        <v>62266</v>
      </c>
      <c r="V3131" t="s">
        <v>62267</v>
      </c>
      <c r="W3131" t="s">
        <v>62268</v>
      </c>
      <c r="X3131" t="s">
        <v>62269</v>
      </c>
      <c r="Y3131" t="s">
        <v>62270</v>
      </c>
    </row>
    <row r="3132" spans="1:25" x14ac:dyDescent="0.3">
      <c r="A3132">
        <v>156550</v>
      </c>
      <c r="B3132" t="s">
        <v>62271</v>
      </c>
      <c r="C3132" t="s">
        <v>62272</v>
      </c>
      <c r="D3132" t="s">
        <v>62273</v>
      </c>
      <c r="E3132" t="s">
        <v>62274</v>
      </c>
      <c r="F3132" t="s">
        <v>62275</v>
      </c>
      <c r="G3132" t="s">
        <v>62276</v>
      </c>
      <c r="H3132" t="s">
        <v>62277</v>
      </c>
      <c r="I3132" t="s">
        <v>62278</v>
      </c>
      <c r="J3132" t="s">
        <v>62279</v>
      </c>
      <c r="K3132" t="s">
        <v>62280</v>
      </c>
      <c r="L3132" t="s">
        <v>62281</v>
      </c>
      <c r="M3132" t="s">
        <v>62282</v>
      </c>
      <c r="N3132" t="s">
        <v>62283</v>
      </c>
      <c r="O3132">
        <f>-620.023007268466 -86.1956536118082 -719.850089916672</f>
        <v>-1426.0687507969462</v>
      </c>
      <c r="P3132">
        <f>-623.749168837781 -58.1505287620848 -404.59494868074</f>
        <v>-1086.4946462806058</v>
      </c>
      <c r="Q3132">
        <f>-366.065144517776 -22.9318816547212 -403.798648075995</f>
        <v>-792.79567424849222</v>
      </c>
      <c r="R3132" t="s">
        <v>62284</v>
      </c>
      <c r="S3132" t="s">
        <v>62285</v>
      </c>
      <c r="T3132" t="s">
        <v>62286</v>
      </c>
      <c r="U3132" t="s">
        <v>62287</v>
      </c>
      <c r="V3132" t="s">
        <v>62288</v>
      </c>
      <c r="W3132" t="s">
        <v>62289</v>
      </c>
      <c r="X3132" t="s">
        <v>62290</v>
      </c>
      <c r="Y3132" t="s">
        <v>62291</v>
      </c>
    </row>
    <row r="3133" spans="1:25" x14ac:dyDescent="0.3">
      <c r="A3133">
        <v>156600</v>
      </c>
      <c r="B3133" t="s">
        <v>62292</v>
      </c>
      <c r="C3133" t="s">
        <v>62293</v>
      </c>
      <c r="D3133" t="s">
        <v>62294</v>
      </c>
      <c r="E3133" t="s">
        <v>62295</v>
      </c>
      <c r="F3133" t="s">
        <v>62296</v>
      </c>
      <c r="G3133" t="s">
        <v>62297</v>
      </c>
      <c r="H3133" t="s">
        <v>62298</v>
      </c>
      <c r="I3133" t="s">
        <v>62299</v>
      </c>
      <c r="J3133" t="s">
        <v>62300</v>
      </c>
      <c r="K3133" t="s">
        <v>62301</v>
      </c>
      <c r="L3133" t="s">
        <v>62302</v>
      </c>
      <c r="M3133" t="s">
        <v>62303</v>
      </c>
      <c r="N3133" t="s">
        <v>62304</v>
      </c>
      <c r="O3133">
        <f>-619.775329992469 -86.0167308972005 -720.096722648613</f>
        <v>-1425.8887835382825</v>
      </c>
      <c r="P3133">
        <f>-623.548943821549 -58.3202853601504 -404.81149575298</f>
        <v>-1086.6807249346793</v>
      </c>
      <c r="Q3133">
        <f>-365.848768533846 -23.2226531584194 -403.899787690245</f>
        <v>-792.97120938251032</v>
      </c>
      <c r="R3133" t="s">
        <v>62305</v>
      </c>
      <c r="S3133" t="s">
        <v>62306</v>
      </c>
      <c r="T3133" t="s">
        <v>62307</v>
      </c>
      <c r="U3133" t="s">
        <v>62308</v>
      </c>
      <c r="V3133" t="s">
        <v>62309</v>
      </c>
      <c r="W3133" t="s">
        <v>62310</v>
      </c>
      <c r="X3133" t="s">
        <v>62311</v>
      </c>
      <c r="Y3133" t="s">
        <v>62312</v>
      </c>
    </row>
    <row r="3134" spans="1:25" x14ac:dyDescent="0.3">
      <c r="A3134">
        <v>156650</v>
      </c>
      <c r="B3134" t="s">
        <v>62313</v>
      </c>
      <c r="C3134" t="s">
        <v>62314</v>
      </c>
      <c r="D3134" t="s">
        <v>62315</v>
      </c>
      <c r="E3134" t="s">
        <v>62316</v>
      </c>
      <c r="F3134" t="s">
        <v>62317</v>
      </c>
      <c r="G3134" t="s">
        <v>62318</v>
      </c>
      <c r="H3134" t="s">
        <v>62319</v>
      </c>
      <c r="I3134" t="s">
        <v>62320</v>
      </c>
      <c r="J3134" t="s">
        <v>62321</v>
      </c>
      <c r="K3134" t="s">
        <v>62322</v>
      </c>
      <c r="L3134" t="s">
        <v>62323</v>
      </c>
      <c r="M3134" t="s">
        <v>62324</v>
      </c>
      <c r="N3134" t="s">
        <v>62325</v>
      </c>
      <c r="O3134">
        <f>-619.23085239372 -85.9756113703508 -720.385550413388</f>
        <v>-1425.5920141774589</v>
      </c>
      <c r="P3134">
        <f>-623.422792526665 -58.6249771147694 -405.075309245101</f>
        <v>-1087.1230788865355</v>
      </c>
      <c r="Q3134">
        <f>-365.696870390639 -23.7102824458623 -404.443983945682</f>
        <v>-793.85113678218329</v>
      </c>
      <c r="R3134" t="s">
        <v>62326</v>
      </c>
      <c r="S3134" t="s">
        <v>62327</v>
      </c>
      <c r="T3134" t="s">
        <v>62328</v>
      </c>
      <c r="U3134" t="s">
        <v>62329</v>
      </c>
      <c r="V3134" t="s">
        <v>62330</v>
      </c>
      <c r="W3134" t="s">
        <v>62331</v>
      </c>
      <c r="X3134" t="s">
        <v>62332</v>
      </c>
      <c r="Y3134" t="s">
        <v>62333</v>
      </c>
    </row>
    <row r="3135" spans="1:25" x14ac:dyDescent="0.3">
      <c r="A3135">
        <v>156700</v>
      </c>
      <c r="B3135" t="s">
        <v>62334</v>
      </c>
      <c r="C3135" t="s">
        <v>62335</v>
      </c>
      <c r="D3135" t="s">
        <v>62336</v>
      </c>
      <c r="E3135" t="s">
        <v>62337</v>
      </c>
      <c r="F3135" t="s">
        <v>62338</v>
      </c>
      <c r="G3135" t="s">
        <v>62339</v>
      </c>
      <c r="H3135" t="s">
        <v>62340</v>
      </c>
      <c r="I3135" t="s">
        <v>62341</v>
      </c>
      <c r="J3135" t="s">
        <v>62342</v>
      </c>
      <c r="K3135" t="s">
        <v>62343</v>
      </c>
      <c r="L3135" t="s">
        <v>62344</v>
      </c>
      <c r="M3135" t="s">
        <v>62345</v>
      </c>
      <c r="N3135" t="s">
        <v>62346</v>
      </c>
      <c r="O3135">
        <f>-618.687040625104 -86.3621616697906 -720.499703070869</f>
        <v>-1425.5489053657636</v>
      </c>
      <c r="P3135">
        <f>-622.981582638854 -58.9799868966925 -405.193488857089</f>
        <v>-1087.1550583926355</v>
      </c>
      <c r="Q3135">
        <f>-365.218438830321 -24.3407813463594 -404.625771232828</f>
        <v>-794.18499140950848</v>
      </c>
      <c r="R3135" t="s">
        <v>62347</v>
      </c>
      <c r="S3135" t="s">
        <v>62348</v>
      </c>
      <c r="T3135" t="s">
        <v>62349</v>
      </c>
      <c r="U3135" t="s">
        <v>62350</v>
      </c>
      <c r="V3135" t="s">
        <v>62351</v>
      </c>
      <c r="W3135" t="s">
        <v>62352</v>
      </c>
      <c r="X3135" t="s">
        <v>62353</v>
      </c>
      <c r="Y3135" t="s">
        <v>62354</v>
      </c>
    </row>
    <row r="3136" spans="1:25" x14ac:dyDescent="0.3">
      <c r="A3136">
        <v>156750</v>
      </c>
      <c r="B3136" t="s">
        <v>62355</v>
      </c>
      <c r="C3136" t="s">
        <v>62356</v>
      </c>
      <c r="D3136" t="s">
        <v>62357</v>
      </c>
      <c r="E3136" t="s">
        <v>62358</v>
      </c>
      <c r="F3136" t="s">
        <v>62359</v>
      </c>
      <c r="G3136" t="s">
        <v>62360</v>
      </c>
      <c r="H3136" t="s">
        <v>62361</v>
      </c>
      <c r="I3136" t="s">
        <v>62362</v>
      </c>
      <c r="J3136" t="s">
        <v>62363</v>
      </c>
      <c r="K3136" t="s">
        <v>62364</v>
      </c>
      <c r="L3136" t="s">
        <v>62365</v>
      </c>
      <c r="M3136" t="s">
        <v>62366</v>
      </c>
      <c r="N3136" t="s">
        <v>62367</v>
      </c>
      <c r="O3136">
        <f>-617.665136288079 -86.4275952947028 -720.887405835953</f>
        <v>-1424.9801374187348</v>
      </c>
      <c r="P3136">
        <f>-622.41774200236 -58.8048299089233 -405.608813066924</f>
        <v>-1086.8313849782073</v>
      </c>
      <c r="Q3136">
        <f>-364.698565559987 -23.8385673466825 -405.101913912816</f>
        <v>-793.63904681948543</v>
      </c>
      <c r="R3136" t="s">
        <v>62368</v>
      </c>
      <c r="S3136" t="s">
        <v>62369</v>
      </c>
      <c r="T3136" t="s">
        <v>62370</v>
      </c>
      <c r="U3136" t="s">
        <v>62371</v>
      </c>
      <c r="V3136" t="s">
        <v>62372</v>
      </c>
      <c r="W3136" t="s">
        <v>62373</v>
      </c>
      <c r="X3136" t="s">
        <v>62374</v>
      </c>
      <c r="Y3136" t="s">
        <v>62375</v>
      </c>
    </row>
    <row r="3137" spans="1:25" x14ac:dyDescent="0.3">
      <c r="A3137">
        <v>156800</v>
      </c>
      <c r="B3137" t="s">
        <v>62376</v>
      </c>
      <c r="C3137" t="s">
        <v>62377</v>
      </c>
      <c r="D3137" t="s">
        <v>62378</v>
      </c>
      <c r="E3137" t="s">
        <v>62379</v>
      </c>
      <c r="F3137" t="s">
        <v>62380</v>
      </c>
      <c r="G3137" t="s">
        <v>62381</v>
      </c>
      <c r="H3137" t="s">
        <v>62382</v>
      </c>
      <c r="I3137" t="s">
        <v>62383</v>
      </c>
      <c r="J3137" t="s">
        <v>62384</v>
      </c>
      <c r="K3137" t="s">
        <v>62385</v>
      </c>
      <c r="L3137" t="s">
        <v>62386</v>
      </c>
      <c r="M3137" t="s">
        <v>62387</v>
      </c>
      <c r="N3137" t="s">
        <v>62388</v>
      </c>
      <c r="O3137">
        <f>-617.160191792891 -86.4010226762416 -721.223858282195</f>
        <v>-1424.7850727513278</v>
      </c>
      <c r="P3137">
        <f>-622.390838167023 -58.891626714899 -405.942899352223</f>
        <v>-1087.225364234145</v>
      </c>
      <c r="Q3137">
        <f>-364.737315751286 -23.445160512571 -405.415861073456</f>
        <v>-793.59833733731307</v>
      </c>
      <c r="R3137" t="s">
        <v>62389</v>
      </c>
      <c r="S3137" t="s">
        <v>62390</v>
      </c>
      <c r="T3137" t="s">
        <v>62391</v>
      </c>
      <c r="U3137" t="s">
        <v>62392</v>
      </c>
      <c r="V3137" t="s">
        <v>62393</v>
      </c>
      <c r="W3137" t="s">
        <v>62394</v>
      </c>
      <c r="X3137" t="s">
        <v>62395</v>
      </c>
      <c r="Y3137" t="s">
        <v>62396</v>
      </c>
    </row>
    <row r="3138" spans="1:25" x14ac:dyDescent="0.3">
      <c r="A3138">
        <v>156850</v>
      </c>
      <c r="B3138" t="s">
        <v>62397</v>
      </c>
      <c r="C3138" t="s">
        <v>62398</v>
      </c>
      <c r="D3138" t="s">
        <v>62399</v>
      </c>
      <c r="E3138" t="s">
        <v>62400</v>
      </c>
      <c r="F3138" t="s">
        <v>62401</v>
      </c>
      <c r="G3138" t="s">
        <v>62402</v>
      </c>
      <c r="H3138" t="s">
        <v>62403</v>
      </c>
      <c r="I3138" t="s">
        <v>62404</v>
      </c>
      <c r="J3138" t="s">
        <v>62405</v>
      </c>
      <c r="K3138" t="s">
        <v>62406</v>
      </c>
      <c r="L3138" t="s">
        <v>62407</v>
      </c>
      <c r="M3138" t="s">
        <v>62408</v>
      </c>
      <c r="N3138" t="s">
        <v>62409</v>
      </c>
      <c r="O3138">
        <f>-615.463410765822 -86.4199810846008 -722.032510972462</f>
        <v>-1423.9159028228848</v>
      </c>
      <c r="P3138">
        <f>-621.576856730817 -59.7278790980362 -406.697209634294</f>
        <v>-1088.0019454631472</v>
      </c>
      <c r="Q3138">
        <f>-364.106815135872 -22.9797066624945 -405.802358632241</f>
        <v>-792.88888043060751</v>
      </c>
      <c r="R3138" t="s">
        <v>62410</v>
      </c>
      <c r="S3138" t="s">
        <v>62411</v>
      </c>
      <c r="T3138" t="s">
        <v>62412</v>
      </c>
      <c r="U3138" t="s">
        <v>62413</v>
      </c>
      <c r="V3138" t="s">
        <v>62414</v>
      </c>
      <c r="W3138" t="s">
        <v>62415</v>
      </c>
      <c r="X3138" t="s">
        <v>62416</v>
      </c>
      <c r="Y3138" t="s">
        <v>62417</v>
      </c>
    </row>
    <row r="3139" spans="1:25" x14ac:dyDescent="0.3">
      <c r="A3139">
        <v>156900</v>
      </c>
      <c r="B3139" t="s">
        <v>62418</v>
      </c>
      <c r="C3139" t="s">
        <v>62419</v>
      </c>
      <c r="D3139" t="s">
        <v>62420</v>
      </c>
      <c r="E3139" t="s">
        <v>62421</v>
      </c>
      <c r="F3139" t="s">
        <v>62422</v>
      </c>
      <c r="G3139" t="s">
        <v>62423</v>
      </c>
      <c r="H3139" t="s">
        <v>62424</v>
      </c>
      <c r="I3139" t="s">
        <v>62425</v>
      </c>
      <c r="J3139" t="s">
        <v>62426</v>
      </c>
      <c r="K3139" t="s">
        <v>62427</v>
      </c>
      <c r="L3139" t="s">
        <v>62428</v>
      </c>
      <c r="M3139" t="s">
        <v>62429</v>
      </c>
      <c r="N3139" t="s">
        <v>62430</v>
      </c>
      <c r="O3139">
        <f>-614.554686181062 -86.6434123874689 -722.417655674456</f>
        <v>-1423.6157542429869</v>
      </c>
      <c r="P3139">
        <f>-621.31965303757 -59.8097140618202 -407.10776356477</f>
        <v>-1088.2371306641601</v>
      </c>
      <c r="Q3139">
        <f>-363.890595154885 -22.7863604332977 -405.829784365959</f>
        <v>-792.50673995414172</v>
      </c>
      <c r="R3139" t="s">
        <v>62431</v>
      </c>
      <c r="S3139" t="s">
        <v>62432</v>
      </c>
      <c r="T3139" t="s">
        <v>62433</v>
      </c>
      <c r="U3139" t="s">
        <v>62434</v>
      </c>
      <c r="V3139" t="s">
        <v>62435</v>
      </c>
      <c r="W3139" t="s">
        <v>62436</v>
      </c>
      <c r="X3139" t="s">
        <v>62437</v>
      </c>
      <c r="Y3139" t="s">
        <v>62438</v>
      </c>
    </row>
    <row r="3140" spans="1:25" x14ac:dyDescent="0.3">
      <c r="A3140">
        <v>156950</v>
      </c>
      <c r="B3140" t="s">
        <v>62439</v>
      </c>
      <c r="C3140" t="s">
        <v>62440</v>
      </c>
      <c r="D3140" t="s">
        <v>62441</v>
      </c>
      <c r="E3140" t="s">
        <v>62442</v>
      </c>
      <c r="F3140" t="s">
        <v>62443</v>
      </c>
      <c r="G3140" t="s">
        <v>62444</v>
      </c>
      <c r="H3140" t="s">
        <v>62445</v>
      </c>
      <c r="I3140" t="s">
        <v>62446</v>
      </c>
      <c r="J3140" t="s">
        <v>62447</v>
      </c>
      <c r="K3140" t="s">
        <v>62448</v>
      </c>
      <c r="L3140" t="s">
        <v>62449</v>
      </c>
      <c r="M3140" t="s">
        <v>62450</v>
      </c>
      <c r="N3140" t="s">
        <v>62451</v>
      </c>
      <c r="O3140">
        <f>-612.550373849375 -87.2094602322951 -722.904927966973</f>
        <v>-1422.6647620486431</v>
      </c>
      <c r="P3140">
        <f>-620.450418788632 -60.4120898151965 -407.618142955284</f>
        <v>-1088.4806515591124</v>
      </c>
      <c r="Q3140">
        <f>-363.061189618907 -23.1264647464531 -405.992804204595</f>
        <v>-792.18045856995514</v>
      </c>
      <c r="R3140" t="s">
        <v>62452</v>
      </c>
      <c r="S3140" t="s">
        <v>62453</v>
      </c>
      <c r="T3140" t="s">
        <v>62454</v>
      </c>
      <c r="U3140" t="s">
        <v>62455</v>
      </c>
      <c r="V3140" t="s">
        <v>62456</v>
      </c>
      <c r="W3140" t="s">
        <v>62457</v>
      </c>
      <c r="X3140" t="s">
        <v>62458</v>
      </c>
      <c r="Y3140" t="s">
        <v>62459</v>
      </c>
    </row>
    <row r="3141" spans="1:25" x14ac:dyDescent="0.3">
      <c r="A3141">
        <v>157000</v>
      </c>
      <c r="B3141" t="s">
        <v>62460</v>
      </c>
      <c r="C3141" t="s">
        <v>62461</v>
      </c>
      <c r="D3141" t="s">
        <v>62462</v>
      </c>
      <c r="E3141" t="s">
        <v>62463</v>
      </c>
      <c r="F3141" t="s">
        <v>62464</v>
      </c>
      <c r="G3141" t="s">
        <v>62465</v>
      </c>
      <c r="H3141" t="s">
        <v>62466</v>
      </c>
      <c r="I3141" t="s">
        <v>62467</v>
      </c>
      <c r="J3141" t="s">
        <v>62468</v>
      </c>
      <c r="K3141" t="s">
        <v>62469</v>
      </c>
      <c r="L3141" t="s">
        <v>62470</v>
      </c>
      <c r="M3141" t="s">
        <v>62471</v>
      </c>
      <c r="N3141" t="s">
        <v>62472</v>
      </c>
      <c r="O3141">
        <f>-612.030281957192 -87.2116965854727 -723.118780889</f>
        <v>-1422.3607594316647</v>
      </c>
      <c r="P3141">
        <f>-620.363810050882 -60.4878247910353 -407.837047246626</f>
        <v>-1088.6886820885434</v>
      </c>
      <c r="Q3141">
        <f>-362.98802420155 -23.1223724383427 -405.950131477916</f>
        <v>-792.06052811780864</v>
      </c>
      <c r="R3141" t="s">
        <v>62473</v>
      </c>
      <c r="S3141" t="s">
        <v>62474</v>
      </c>
      <c r="T3141" t="s">
        <v>62475</v>
      </c>
      <c r="U3141" t="s">
        <v>62476</v>
      </c>
      <c r="V3141" t="s">
        <v>62477</v>
      </c>
      <c r="W3141" t="s">
        <v>62478</v>
      </c>
      <c r="X3141" t="s">
        <v>62479</v>
      </c>
      <c r="Y3141" t="s">
        <v>62480</v>
      </c>
    </row>
    <row r="3142" spans="1:25" x14ac:dyDescent="0.3">
      <c r="A3142">
        <v>157050</v>
      </c>
      <c r="B3142" t="s">
        <v>62481</v>
      </c>
      <c r="C3142" t="s">
        <v>62482</v>
      </c>
      <c r="D3142" t="s">
        <v>62483</v>
      </c>
      <c r="E3142" t="s">
        <v>62484</v>
      </c>
      <c r="F3142" t="s">
        <v>62485</v>
      </c>
      <c r="G3142" t="s">
        <v>62486</v>
      </c>
      <c r="H3142" t="s">
        <v>62487</v>
      </c>
      <c r="I3142" t="s">
        <v>62488</v>
      </c>
      <c r="J3142" t="s">
        <v>62489</v>
      </c>
      <c r="K3142" t="s">
        <v>62490</v>
      </c>
      <c r="L3142" t="s">
        <v>62491</v>
      </c>
      <c r="M3142" t="s">
        <v>62492</v>
      </c>
      <c r="N3142" t="s">
        <v>62493</v>
      </c>
      <c r="O3142">
        <f>-611.195243712839 -87.706878449739 -723.477733595839</f>
        <v>-1422.3798557584169</v>
      </c>
      <c r="P3142">
        <f>-620.168713359525 -60.8541526878589 -408.224435071145</f>
        <v>-1089.2473011185289</v>
      </c>
      <c r="Q3142">
        <f>-362.795935391292 -23.4780091894863 -406.147072586123</f>
        <v>-792.42101716690127</v>
      </c>
      <c r="R3142" t="s">
        <v>62494</v>
      </c>
      <c r="S3142" t="s">
        <v>62495</v>
      </c>
      <c r="T3142" t="s">
        <v>62496</v>
      </c>
      <c r="U3142" t="s">
        <v>62497</v>
      </c>
      <c r="V3142" t="s">
        <v>62498</v>
      </c>
      <c r="W3142" t="s">
        <v>62499</v>
      </c>
      <c r="X3142" t="s">
        <v>62500</v>
      </c>
      <c r="Y3142" t="s">
        <v>62501</v>
      </c>
    </row>
    <row r="3143" spans="1:25" x14ac:dyDescent="0.3">
      <c r="A3143">
        <v>157100</v>
      </c>
      <c r="B3143" t="s">
        <v>62502</v>
      </c>
      <c r="C3143" t="s">
        <v>62503</v>
      </c>
      <c r="D3143" t="s">
        <v>62504</v>
      </c>
      <c r="E3143" t="s">
        <v>62505</v>
      </c>
      <c r="F3143" t="s">
        <v>62506</v>
      </c>
      <c r="G3143" t="s">
        <v>62507</v>
      </c>
      <c r="H3143" t="s">
        <v>62508</v>
      </c>
      <c r="I3143" t="s">
        <v>62509</v>
      </c>
      <c r="J3143" t="s">
        <v>62510</v>
      </c>
      <c r="K3143" t="s">
        <v>62511</v>
      </c>
      <c r="L3143" t="s">
        <v>62512</v>
      </c>
      <c r="M3143" t="s">
        <v>62513</v>
      </c>
      <c r="N3143" t="s">
        <v>62514</v>
      </c>
      <c r="O3143">
        <f>-611.314531559724 -87.7587021889525 -723.617207105523</f>
        <v>-1422.6904408541996</v>
      </c>
      <c r="P3143">
        <f>-620.383677535037 -60.9414031315737 -408.363732547014</f>
        <v>-1089.6888132136246</v>
      </c>
      <c r="Q3143">
        <f>-363.0055891739 -23.6040863607151 -406.235757861362</f>
        <v>-792.84543339597712</v>
      </c>
      <c r="R3143" t="s">
        <v>62515</v>
      </c>
      <c r="S3143" t="s">
        <v>62516</v>
      </c>
      <c r="T3143" t="s">
        <v>62517</v>
      </c>
      <c r="U3143" t="s">
        <v>62518</v>
      </c>
      <c r="V3143" t="s">
        <v>62519</v>
      </c>
      <c r="W3143" t="s">
        <v>62520</v>
      </c>
      <c r="X3143" t="s">
        <v>62521</v>
      </c>
      <c r="Y3143" t="s">
        <v>62522</v>
      </c>
    </row>
    <row r="3144" spans="1:25" x14ac:dyDescent="0.3">
      <c r="A3144">
        <v>157150</v>
      </c>
      <c r="B3144" t="s">
        <v>62523</v>
      </c>
      <c r="C3144" t="s">
        <v>62524</v>
      </c>
      <c r="D3144" t="s">
        <v>62525</v>
      </c>
      <c r="E3144" t="s">
        <v>62526</v>
      </c>
      <c r="F3144" t="s">
        <v>62527</v>
      </c>
      <c r="G3144" t="s">
        <v>62528</v>
      </c>
      <c r="H3144" t="s">
        <v>62529</v>
      </c>
      <c r="I3144" t="s">
        <v>62530</v>
      </c>
      <c r="J3144" t="s">
        <v>62531</v>
      </c>
      <c r="K3144" t="s">
        <v>62532</v>
      </c>
      <c r="L3144" t="s">
        <v>62533</v>
      </c>
      <c r="M3144" t="s">
        <v>62534</v>
      </c>
      <c r="N3144" t="s">
        <v>62535</v>
      </c>
      <c r="O3144">
        <f>-611.194347452228 -87.7425316443263 -723.77293948838</f>
        <v>-1422.7098185849343</v>
      </c>
      <c r="P3144">
        <f>-620.486296695719 -60.9255959134302 -408.525843776315</f>
        <v>-1089.9377363854642</v>
      </c>
      <c r="Q3144">
        <f>-363.080725491123 -23.7822610480926 -406.339234542715</f>
        <v>-793.2022210819307</v>
      </c>
      <c r="R3144" t="s">
        <v>62536</v>
      </c>
      <c r="S3144" t="s">
        <v>62537</v>
      </c>
      <c r="T3144" t="s">
        <v>62538</v>
      </c>
      <c r="U3144" t="s">
        <v>62539</v>
      </c>
      <c r="V3144" t="s">
        <v>62540</v>
      </c>
      <c r="W3144" t="s">
        <v>62541</v>
      </c>
      <c r="X3144" t="s">
        <v>62542</v>
      </c>
      <c r="Y3144" t="s">
        <v>62543</v>
      </c>
    </row>
    <row r="3145" spans="1:25" x14ac:dyDescent="0.3">
      <c r="A3145">
        <v>157200</v>
      </c>
      <c r="B3145" t="s">
        <v>62544</v>
      </c>
      <c r="C3145" t="s">
        <v>62545</v>
      </c>
      <c r="D3145" t="s">
        <v>62546</v>
      </c>
      <c r="E3145" t="s">
        <v>62547</v>
      </c>
      <c r="F3145" t="s">
        <v>62548</v>
      </c>
      <c r="G3145" t="s">
        <v>62549</v>
      </c>
      <c r="H3145" t="s">
        <v>62550</v>
      </c>
      <c r="I3145" t="s">
        <v>62551</v>
      </c>
      <c r="J3145" t="s">
        <v>62552</v>
      </c>
      <c r="K3145" t="s">
        <v>62553</v>
      </c>
      <c r="L3145" t="s">
        <v>62554</v>
      </c>
      <c r="M3145" t="s">
        <v>62555</v>
      </c>
      <c r="N3145" t="s">
        <v>62556</v>
      </c>
      <c r="O3145">
        <f>-611.236320860215 -87.9326230433199 -723.761822855558</f>
        <v>-1422.9307667590929</v>
      </c>
      <c r="P3145">
        <f>-620.662924114103 -61.0007821944326 -408.528466274401</f>
        <v>-1090.1921725829366</v>
      </c>
      <c r="Q3145">
        <f>-363.229624760241 -24.044838709213 -406.422922837217</f>
        <v>-793.69738630667098</v>
      </c>
      <c r="R3145" t="s">
        <v>62557</v>
      </c>
      <c r="S3145" t="s">
        <v>62558</v>
      </c>
      <c r="T3145" t="s">
        <v>62559</v>
      </c>
      <c r="U3145" t="s">
        <v>62560</v>
      </c>
      <c r="V3145" t="s">
        <v>62561</v>
      </c>
      <c r="W3145" t="s">
        <v>62562</v>
      </c>
      <c r="X3145" t="s">
        <v>62563</v>
      </c>
      <c r="Y3145" t="s">
        <v>62564</v>
      </c>
    </row>
    <row r="3146" spans="1:25" x14ac:dyDescent="0.3">
      <c r="A3146">
        <v>157250</v>
      </c>
      <c r="B3146" t="s">
        <v>62565</v>
      </c>
      <c r="C3146" t="s">
        <v>62566</v>
      </c>
      <c r="D3146" t="s">
        <v>62567</v>
      </c>
      <c r="E3146" t="s">
        <v>62568</v>
      </c>
      <c r="F3146" t="s">
        <v>62569</v>
      </c>
      <c r="G3146" t="s">
        <v>62570</v>
      </c>
      <c r="H3146" t="s">
        <v>62571</v>
      </c>
      <c r="I3146" t="s">
        <v>62572</v>
      </c>
      <c r="J3146" t="s">
        <v>62573</v>
      </c>
      <c r="K3146" t="s">
        <v>62574</v>
      </c>
      <c r="L3146" t="s">
        <v>62575</v>
      </c>
      <c r="M3146" t="s">
        <v>62576</v>
      </c>
      <c r="N3146" t="s">
        <v>62577</v>
      </c>
      <c r="O3146">
        <f>-611.356107116514 -88.1574749478775 -723.633021465889</f>
        <v>-1423.1466035302806</v>
      </c>
      <c r="P3146">
        <f>-621.162758268628 -60.9741915964664 -408.43296529904</f>
        <v>-1090.5699151641343</v>
      </c>
      <c r="Q3146">
        <f>-363.617967063329 -24.7940922048451 -406.496260241785</f>
        <v>-794.90831950995903</v>
      </c>
      <c r="R3146" t="s">
        <v>62578</v>
      </c>
      <c r="S3146" t="s">
        <v>62579</v>
      </c>
      <c r="T3146" t="s">
        <v>62580</v>
      </c>
      <c r="U3146" t="s">
        <v>62581</v>
      </c>
      <c r="V3146" t="s">
        <v>62582</v>
      </c>
      <c r="W3146" t="s">
        <v>62583</v>
      </c>
      <c r="X3146" t="s">
        <v>62584</v>
      </c>
      <c r="Y3146" t="s">
        <v>62585</v>
      </c>
    </row>
    <row r="3147" spans="1:25" x14ac:dyDescent="0.3">
      <c r="A3147">
        <v>157300</v>
      </c>
      <c r="B3147" t="s">
        <v>62586</v>
      </c>
      <c r="C3147" t="s">
        <v>62587</v>
      </c>
      <c r="D3147" t="s">
        <v>62588</v>
      </c>
      <c r="E3147" t="s">
        <v>62589</v>
      </c>
      <c r="F3147" t="s">
        <v>62590</v>
      </c>
      <c r="G3147" t="s">
        <v>62591</v>
      </c>
      <c r="H3147" t="s">
        <v>62592</v>
      </c>
      <c r="I3147" t="s">
        <v>62593</v>
      </c>
      <c r="J3147" t="s">
        <v>62594</v>
      </c>
      <c r="K3147" t="s">
        <v>62595</v>
      </c>
      <c r="L3147" t="s">
        <v>62596</v>
      </c>
      <c r="M3147" t="s">
        <v>62597</v>
      </c>
      <c r="N3147" t="s">
        <v>62598</v>
      </c>
      <c r="O3147">
        <f>-611.430601566022 -88.4248815857517 -723.573918365242</f>
        <v>-1423.4294015170158</v>
      </c>
      <c r="P3147">
        <f>-621.496537891718 -61.0493600447613 -408.398696387092</f>
        <v>-1090.9445943235714</v>
      </c>
      <c r="Q3147">
        <f>-363.873434276947 -25.429567743758 -406.500166253254</f>
        <v>-795.80316827395905</v>
      </c>
      <c r="R3147" t="s">
        <v>62599</v>
      </c>
      <c r="S3147" t="s">
        <v>62600</v>
      </c>
      <c r="T3147" t="s">
        <v>62601</v>
      </c>
      <c r="U3147" t="s">
        <v>62602</v>
      </c>
      <c r="V3147" t="s">
        <v>62603</v>
      </c>
      <c r="W3147" t="s">
        <v>62604</v>
      </c>
      <c r="X3147" t="s">
        <v>62605</v>
      </c>
      <c r="Y3147" t="s">
        <v>62606</v>
      </c>
    </row>
    <row r="3148" spans="1:25" x14ac:dyDescent="0.3">
      <c r="A3148">
        <v>157350</v>
      </c>
      <c r="B3148" t="s">
        <v>62607</v>
      </c>
      <c r="C3148" t="s">
        <v>62608</v>
      </c>
      <c r="D3148" t="s">
        <v>62609</v>
      </c>
      <c r="E3148" t="s">
        <v>62610</v>
      </c>
      <c r="F3148" t="s">
        <v>62611</v>
      </c>
      <c r="G3148" t="s">
        <v>62612</v>
      </c>
      <c r="H3148" t="s">
        <v>62613</v>
      </c>
      <c r="I3148" t="s">
        <v>62614</v>
      </c>
      <c r="J3148" t="s">
        <v>62615</v>
      </c>
      <c r="K3148" t="s">
        <v>62616</v>
      </c>
      <c r="L3148" t="s">
        <v>62617</v>
      </c>
      <c r="M3148" t="s">
        <v>62618</v>
      </c>
      <c r="N3148" t="s">
        <v>62619</v>
      </c>
      <c r="O3148">
        <f>-611.204621419336 -88.9201949053752 -723.447297459562</f>
        <v>-1423.5721137842734</v>
      </c>
      <c r="P3148">
        <f>-621.89472179444 -60.9962683972901 -408.340749728933</f>
        <v>-1091.2317399206631</v>
      </c>
      <c r="Q3148">
        <f>-364.082323573466 -26.7710090823436 -406.478446774978</f>
        <v>-797.33177943078761</v>
      </c>
      <c r="R3148" t="s">
        <v>62620</v>
      </c>
      <c r="S3148" t="s">
        <v>62621</v>
      </c>
      <c r="T3148" t="s">
        <v>62622</v>
      </c>
      <c r="U3148" t="s">
        <v>62623</v>
      </c>
      <c r="V3148" t="s">
        <v>62624</v>
      </c>
      <c r="W3148" t="s">
        <v>62625</v>
      </c>
      <c r="X3148" t="s">
        <v>62626</v>
      </c>
      <c r="Y3148" t="s">
        <v>62627</v>
      </c>
    </row>
    <row r="3149" spans="1:25" x14ac:dyDescent="0.3">
      <c r="A3149">
        <v>157400</v>
      </c>
      <c r="B3149" t="s">
        <v>62628</v>
      </c>
      <c r="C3149" t="s">
        <v>62629</v>
      </c>
      <c r="D3149" t="s">
        <v>62630</v>
      </c>
      <c r="E3149" t="s">
        <v>62631</v>
      </c>
      <c r="F3149" t="s">
        <v>62632</v>
      </c>
      <c r="G3149" t="s">
        <v>62633</v>
      </c>
      <c r="H3149" t="s">
        <v>62634</v>
      </c>
      <c r="I3149" t="s">
        <v>62635</v>
      </c>
      <c r="J3149" t="s">
        <v>62636</v>
      </c>
      <c r="K3149" t="s">
        <v>62637</v>
      </c>
      <c r="L3149" t="s">
        <v>62638</v>
      </c>
      <c r="M3149" t="s">
        <v>62639</v>
      </c>
      <c r="N3149" t="s">
        <v>62640</v>
      </c>
      <c r="O3149">
        <f>-610.989232039862 -88.9905514173528 -723.485606328917</f>
        <v>-1423.4653897861317</v>
      </c>
      <c r="P3149">
        <f>-621.87167363866 -60.87124022775 -408.402887714871</f>
        <v>-1091.1458015812809</v>
      </c>
      <c r="Q3149">
        <f>-363.955383230595 -27.4531246260082 -406.293099737744</f>
        <v>-797.70160759434725</v>
      </c>
      <c r="R3149" t="s">
        <v>62641</v>
      </c>
      <c r="S3149" t="s">
        <v>62642</v>
      </c>
      <c r="T3149" t="s">
        <v>62643</v>
      </c>
      <c r="U3149" t="s">
        <v>62644</v>
      </c>
      <c r="V3149" t="s">
        <v>62645</v>
      </c>
      <c r="W3149" t="s">
        <v>62646</v>
      </c>
      <c r="X3149" t="s">
        <v>62647</v>
      </c>
      <c r="Y3149" t="s">
        <v>62648</v>
      </c>
    </row>
    <row r="3150" spans="1:25" x14ac:dyDescent="0.3">
      <c r="A3150">
        <v>157450</v>
      </c>
      <c r="B3150" t="s">
        <v>62649</v>
      </c>
      <c r="C3150" t="s">
        <v>62650</v>
      </c>
      <c r="D3150" t="s">
        <v>62651</v>
      </c>
      <c r="E3150" t="s">
        <v>62652</v>
      </c>
      <c r="F3150" t="s">
        <v>62653</v>
      </c>
      <c r="G3150" t="s">
        <v>62654</v>
      </c>
      <c r="H3150" t="s">
        <v>62655</v>
      </c>
      <c r="I3150" t="s">
        <v>62656</v>
      </c>
      <c r="J3150" t="s">
        <v>62657</v>
      </c>
      <c r="K3150" t="s">
        <v>62658</v>
      </c>
      <c r="L3150" t="s">
        <v>62659</v>
      </c>
      <c r="M3150" t="s">
        <v>62660</v>
      </c>
      <c r="N3150" t="s">
        <v>62661</v>
      </c>
      <c r="O3150">
        <f>-610.622495805905 -89.2879762660543 -723.462814176292</f>
        <v>-1423.3732862482514</v>
      </c>
      <c r="P3150">
        <f>-621.510449283201 -60.8034041933974 -408.413133838124</f>
        <v>-1090.7269873147222</v>
      </c>
      <c r="Q3150">
        <f>-363.372903401214 -29.1546974971097 -406.088153416013</f>
        <v>-798.61575431433664</v>
      </c>
      <c r="R3150" t="s">
        <v>62662</v>
      </c>
      <c r="S3150" t="s">
        <v>62663</v>
      </c>
      <c r="T3150" t="s">
        <v>62664</v>
      </c>
      <c r="U3150" t="s">
        <v>62665</v>
      </c>
      <c r="V3150" t="s">
        <v>62666</v>
      </c>
      <c r="W3150" t="s">
        <v>62667</v>
      </c>
      <c r="X3150" t="s">
        <v>62668</v>
      </c>
      <c r="Y3150" t="s">
        <v>62669</v>
      </c>
    </row>
    <row r="3151" spans="1:25" x14ac:dyDescent="0.3">
      <c r="A3151">
        <v>157500</v>
      </c>
      <c r="B3151" t="s">
        <v>62670</v>
      </c>
      <c r="C3151" t="s">
        <v>62671</v>
      </c>
      <c r="D3151" t="s">
        <v>62672</v>
      </c>
      <c r="E3151" t="s">
        <v>62673</v>
      </c>
      <c r="F3151" t="s">
        <v>62674</v>
      </c>
      <c r="G3151" t="s">
        <v>62675</v>
      </c>
      <c r="H3151" t="s">
        <v>62676</v>
      </c>
      <c r="I3151" t="s">
        <v>62677</v>
      </c>
      <c r="J3151" t="s">
        <v>62678</v>
      </c>
      <c r="K3151" t="s">
        <v>62679</v>
      </c>
      <c r="L3151" t="s">
        <v>62680</v>
      </c>
      <c r="M3151" t="s">
        <v>62681</v>
      </c>
      <c r="N3151" t="s">
        <v>62682</v>
      </c>
      <c r="O3151">
        <f>-610.453425170184 -89.4940407301196 -723.348474602296</f>
        <v>-1423.2959405025995</v>
      </c>
      <c r="P3151">
        <f>-621.142910132492 -60.9030812374946 -408.301606433808</f>
        <v>-1090.3475978037945</v>
      </c>
      <c r="Q3151">
        <f>-362.895171935467 -30.1564008756381 -406.111915487164</f>
        <v>-799.16348829826916</v>
      </c>
      <c r="R3151" t="s">
        <v>62683</v>
      </c>
      <c r="S3151" t="s">
        <v>62684</v>
      </c>
      <c r="T3151" t="s">
        <v>62685</v>
      </c>
      <c r="U3151" t="s">
        <v>62686</v>
      </c>
      <c r="V3151" t="s">
        <v>62687</v>
      </c>
      <c r="W3151" t="s">
        <v>62688</v>
      </c>
      <c r="X3151" t="s">
        <v>62689</v>
      </c>
      <c r="Y3151" t="s">
        <v>62690</v>
      </c>
    </row>
    <row r="3152" spans="1:25" x14ac:dyDescent="0.3">
      <c r="A3152">
        <v>157550</v>
      </c>
      <c r="B3152" t="s">
        <v>62691</v>
      </c>
      <c r="C3152" t="s">
        <v>62692</v>
      </c>
      <c r="D3152" t="s">
        <v>62693</v>
      </c>
      <c r="E3152" t="s">
        <v>62694</v>
      </c>
      <c r="F3152" t="s">
        <v>62695</v>
      </c>
      <c r="G3152" t="s">
        <v>62696</v>
      </c>
      <c r="H3152" t="s">
        <v>62697</v>
      </c>
      <c r="I3152" t="s">
        <v>62698</v>
      </c>
      <c r="J3152" t="s">
        <v>62699</v>
      </c>
      <c r="K3152" t="s">
        <v>62700</v>
      </c>
      <c r="L3152" t="s">
        <v>62701</v>
      </c>
      <c r="M3152" t="s">
        <v>62702</v>
      </c>
      <c r="N3152" t="s">
        <v>62703</v>
      </c>
      <c r="O3152">
        <f>-610.383949366453 -89.4861908719754 -723.051505689707</f>
        <v>-1422.9216459281354</v>
      </c>
      <c r="P3152">
        <f>-620.638902979769 -60.8492205638958 -407.994431037527</f>
        <v>-1089.4825545811918</v>
      </c>
      <c r="Q3152">
        <f>-362.196308349607 -31.75612465884 -406.242067399639</f>
        <v>-800.19450040808601</v>
      </c>
      <c r="R3152" t="s">
        <v>62704</v>
      </c>
      <c r="S3152" t="s">
        <v>62705</v>
      </c>
      <c r="T3152" t="s">
        <v>62706</v>
      </c>
      <c r="U3152" t="s">
        <v>62707</v>
      </c>
      <c r="V3152" t="s">
        <v>62708</v>
      </c>
      <c r="W3152" t="s">
        <v>62709</v>
      </c>
      <c r="X3152" t="s">
        <v>62710</v>
      </c>
      <c r="Y3152" t="s">
        <v>62711</v>
      </c>
    </row>
    <row r="3153" spans="1:25" x14ac:dyDescent="0.3">
      <c r="A3153">
        <v>157600</v>
      </c>
      <c r="B3153" t="s">
        <v>62712</v>
      </c>
      <c r="C3153" t="s">
        <v>62713</v>
      </c>
      <c r="D3153" t="s">
        <v>62714</v>
      </c>
      <c r="E3153" t="s">
        <v>62715</v>
      </c>
      <c r="F3153" t="s">
        <v>62716</v>
      </c>
      <c r="G3153" t="s">
        <v>62717</v>
      </c>
      <c r="H3153" t="s">
        <v>62718</v>
      </c>
      <c r="I3153" t="s">
        <v>62719</v>
      </c>
      <c r="J3153" t="s">
        <v>62720</v>
      </c>
      <c r="K3153" t="s">
        <v>62721</v>
      </c>
      <c r="L3153" t="s">
        <v>62722</v>
      </c>
      <c r="M3153" t="s">
        <v>62723</v>
      </c>
      <c r="N3153" t="s">
        <v>62724</v>
      </c>
      <c r="O3153">
        <f>-610.333065728333 -89.5293211463446 -722.926017647806</f>
        <v>-1422.7884045224837</v>
      </c>
      <c r="P3153">
        <f>-620.593663039149 -60.8771877806207 -407.870704309601</f>
        <v>-1089.3415551293706</v>
      </c>
      <c r="Q3153">
        <f>-362.096949402035 -32.2557020770856 -406.350637373223</f>
        <v>-800.70328885234358</v>
      </c>
      <c r="R3153" t="s">
        <v>62725</v>
      </c>
      <c r="S3153" t="s">
        <v>62726</v>
      </c>
      <c r="T3153" t="s">
        <v>62727</v>
      </c>
      <c r="U3153" t="s">
        <v>62728</v>
      </c>
      <c r="V3153" t="s">
        <v>62729</v>
      </c>
      <c r="W3153" t="s">
        <v>62730</v>
      </c>
      <c r="X3153" t="s">
        <v>62731</v>
      </c>
      <c r="Y3153" t="s">
        <v>62732</v>
      </c>
    </row>
    <row r="3154" spans="1:25" x14ac:dyDescent="0.3">
      <c r="A3154">
        <v>157650</v>
      </c>
      <c r="B3154" t="s">
        <v>62733</v>
      </c>
      <c r="C3154" t="s">
        <v>62734</v>
      </c>
      <c r="D3154" t="s">
        <v>62735</v>
      </c>
      <c r="E3154" t="s">
        <v>62736</v>
      </c>
      <c r="F3154" t="s">
        <v>62737</v>
      </c>
      <c r="G3154" t="s">
        <v>62738</v>
      </c>
      <c r="H3154" t="s">
        <v>62739</v>
      </c>
      <c r="I3154" t="s">
        <v>62740</v>
      </c>
      <c r="J3154" t="s">
        <v>62741</v>
      </c>
      <c r="K3154" t="s">
        <v>62742</v>
      </c>
      <c r="L3154" t="s">
        <v>62743</v>
      </c>
      <c r="M3154" t="s">
        <v>62744</v>
      </c>
      <c r="N3154" t="s">
        <v>62745</v>
      </c>
      <c r="O3154">
        <f>-610.165954130819 -89.4912525489725 -722.942805134674</f>
        <v>-1422.6000118144657</v>
      </c>
      <c r="P3154">
        <f>-620.670942199291 -60.9742625870982 -407.883228260923</f>
        <v>-1089.5284330473121</v>
      </c>
      <c r="Q3154">
        <f>-362.119671437912 -32.8530605928407 -406.302882562676</f>
        <v>-801.27561459342871</v>
      </c>
      <c r="R3154" t="s">
        <v>62746</v>
      </c>
      <c r="S3154" t="s">
        <v>62747</v>
      </c>
      <c r="T3154" t="s">
        <v>62748</v>
      </c>
      <c r="U3154" t="s">
        <v>62749</v>
      </c>
      <c r="V3154" t="s">
        <v>62750</v>
      </c>
      <c r="W3154" t="s">
        <v>62751</v>
      </c>
      <c r="X3154" t="s">
        <v>62752</v>
      </c>
      <c r="Y3154" t="s">
        <v>62753</v>
      </c>
    </row>
    <row r="3155" spans="1:25" x14ac:dyDescent="0.3">
      <c r="A3155">
        <v>157700</v>
      </c>
      <c r="B3155" t="s">
        <v>62754</v>
      </c>
      <c r="C3155" t="s">
        <v>62755</v>
      </c>
      <c r="D3155" t="s">
        <v>62756</v>
      </c>
      <c r="E3155" t="s">
        <v>62757</v>
      </c>
      <c r="F3155" t="s">
        <v>62758</v>
      </c>
      <c r="G3155" t="s">
        <v>62759</v>
      </c>
      <c r="H3155" t="s">
        <v>62760</v>
      </c>
      <c r="I3155" t="s">
        <v>62761</v>
      </c>
      <c r="J3155" t="s">
        <v>62762</v>
      </c>
      <c r="K3155" t="s">
        <v>62763</v>
      </c>
      <c r="L3155" t="s">
        <v>62764</v>
      </c>
      <c r="M3155" t="s">
        <v>62765</v>
      </c>
      <c r="N3155" t="s">
        <v>62766</v>
      </c>
      <c r="O3155">
        <f>-610.006238125322 -89.4975667783265 -723.073223189076</f>
        <v>-1422.5770280927245</v>
      </c>
      <c r="P3155">
        <f>-620.735032290313 -60.7527062366017 -408.041811907752</f>
        <v>-1089.5295504346668</v>
      </c>
      <c r="Q3155">
        <f>-362.157159912934 -32.8777585565465 -406.44331074083</f>
        <v>-801.47822921031047</v>
      </c>
      <c r="R3155" t="s">
        <v>62767</v>
      </c>
      <c r="S3155" t="s">
        <v>62768</v>
      </c>
      <c r="T3155" t="s">
        <v>62769</v>
      </c>
      <c r="U3155" t="s">
        <v>62770</v>
      </c>
      <c r="V3155" t="s">
        <v>62771</v>
      </c>
      <c r="W3155" t="s">
        <v>62772</v>
      </c>
      <c r="X3155" t="s">
        <v>62773</v>
      </c>
      <c r="Y3155" t="s">
        <v>62774</v>
      </c>
    </row>
    <row r="3156" spans="1:25" x14ac:dyDescent="0.3">
      <c r="A3156">
        <v>157750</v>
      </c>
      <c r="B3156" t="s">
        <v>62775</v>
      </c>
      <c r="C3156" t="s">
        <v>62776</v>
      </c>
      <c r="D3156" t="s">
        <v>62777</v>
      </c>
      <c r="E3156" t="s">
        <v>62778</v>
      </c>
      <c r="F3156" t="s">
        <v>62779</v>
      </c>
      <c r="G3156" t="s">
        <v>62780</v>
      </c>
      <c r="H3156" t="s">
        <v>62781</v>
      </c>
      <c r="I3156" t="s">
        <v>62782</v>
      </c>
      <c r="J3156" t="s">
        <v>62783</v>
      </c>
      <c r="K3156" t="s">
        <v>62784</v>
      </c>
      <c r="L3156" t="s">
        <v>62785</v>
      </c>
      <c r="M3156" t="s">
        <v>62786</v>
      </c>
      <c r="N3156" t="s">
        <v>62787</v>
      </c>
      <c r="O3156">
        <f>-609.845432385779 -89.4696480296646 -723.295173443932</f>
        <v>-1422.6102538593755</v>
      </c>
      <c r="P3156">
        <f>-620.721335575392 -60.9393250902084 -408.24923031313</f>
        <v>-1089.9098909787303</v>
      </c>
      <c r="Q3156">
        <f>-362.087001762345 -33.6116775366156 -406.369931789781</f>
        <v>-802.06861108874159</v>
      </c>
      <c r="R3156" t="s">
        <v>62788</v>
      </c>
      <c r="S3156" t="s">
        <v>62789</v>
      </c>
      <c r="T3156" t="s">
        <v>62790</v>
      </c>
      <c r="U3156" t="s">
        <v>62791</v>
      </c>
      <c r="V3156" t="s">
        <v>62792</v>
      </c>
      <c r="W3156" t="s">
        <v>62793</v>
      </c>
      <c r="X3156" t="s">
        <v>62794</v>
      </c>
      <c r="Y3156" t="s">
        <v>62795</v>
      </c>
    </row>
    <row r="3157" spans="1:25" x14ac:dyDescent="0.3">
      <c r="A3157">
        <v>157800</v>
      </c>
      <c r="B3157" t="s">
        <v>62796</v>
      </c>
      <c r="C3157" t="s">
        <v>62797</v>
      </c>
      <c r="D3157" t="s">
        <v>62798</v>
      </c>
      <c r="E3157" t="s">
        <v>62799</v>
      </c>
      <c r="F3157" t="s">
        <v>62800</v>
      </c>
      <c r="G3157" t="s">
        <v>62801</v>
      </c>
      <c r="H3157" t="s">
        <v>62802</v>
      </c>
      <c r="I3157" t="s">
        <v>62803</v>
      </c>
      <c r="J3157" t="s">
        <v>62804</v>
      </c>
      <c r="K3157" t="s">
        <v>62805</v>
      </c>
      <c r="L3157" t="s">
        <v>62806</v>
      </c>
      <c r="M3157" t="s">
        <v>62807</v>
      </c>
      <c r="N3157" t="s">
        <v>62808</v>
      </c>
      <c r="O3157">
        <f>-609.828763542164 -89.3421825534977 -723.406875752612</f>
        <v>-1422.5778218482737</v>
      </c>
      <c r="P3157">
        <f>-620.893131367028 -60.8122729708448 -408.367532674572</f>
        <v>-1090.0729370124448</v>
      </c>
      <c r="Q3157">
        <f>-362.229491635485 -33.7760791496932 -406.310478615766</f>
        <v>-802.31604940094417</v>
      </c>
      <c r="R3157" t="s">
        <v>62809</v>
      </c>
      <c r="S3157" t="s">
        <v>62810</v>
      </c>
      <c r="T3157" t="s">
        <v>62811</v>
      </c>
      <c r="U3157" t="s">
        <v>62812</v>
      </c>
      <c r="V3157" t="s">
        <v>62813</v>
      </c>
      <c r="W3157" t="s">
        <v>62814</v>
      </c>
      <c r="X3157" t="s">
        <v>62815</v>
      </c>
      <c r="Y3157" t="s">
        <v>62816</v>
      </c>
    </row>
    <row r="3158" spans="1:25" x14ac:dyDescent="0.3">
      <c r="A3158">
        <v>157850</v>
      </c>
      <c r="B3158" t="s">
        <v>62817</v>
      </c>
      <c r="C3158" t="s">
        <v>62818</v>
      </c>
      <c r="D3158" t="s">
        <v>62819</v>
      </c>
      <c r="E3158" t="s">
        <v>62820</v>
      </c>
      <c r="F3158" t="s">
        <v>62821</v>
      </c>
      <c r="G3158" t="s">
        <v>62822</v>
      </c>
      <c r="H3158" t="s">
        <v>62823</v>
      </c>
      <c r="I3158" t="s">
        <v>62824</v>
      </c>
      <c r="J3158" t="s">
        <v>62825</v>
      </c>
      <c r="K3158" t="s">
        <v>62826</v>
      </c>
      <c r="L3158" t="s">
        <v>62827</v>
      </c>
      <c r="M3158" t="s">
        <v>62828</v>
      </c>
      <c r="N3158" t="s">
        <v>62829</v>
      </c>
      <c r="O3158">
        <f>-609.700626578458 -89.4794282735434 -723.683887761786</f>
        <v>-1422.8639426137875</v>
      </c>
      <c r="P3158">
        <f>-621.136134888754 -61.1316784639565 -408.641180026701</f>
        <v>-1090.9089933794116</v>
      </c>
      <c r="Q3158">
        <f>-362.456298693034 -34.2787663965829 -406.251672464169</f>
        <v>-802.98673755378593</v>
      </c>
      <c r="R3158" t="s">
        <v>62830</v>
      </c>
      <c r="S3158" t="s">
        <v>62831</v>
      </c>
      <c r="T3158" t="s">
        <v>62832</v>
      </c>
      <c r="U3158" t="s">
        <v>62833</v>
      </c>
      <c r="V3158" t="s">
        <v>62834</v>
      </c>
      <c r="W3158" t="s">
        <v>62835</v>
      </c>
      <c r="X3158" t="s">
        <v>62836</v>
      </c>
      <c r="Y3158" t="s">
        <v>62837</v>
      </c>
    </row>
    <row r="3159" spans="1:25" x14ac:dyDescent="0.3">
      <c r="A3159">
        <v>157900</v>
      </c>
      <c r="B3159" t="s">
        <v>62838</v>
      </c>
      <c r="C3159" t="s">
        <v>62839</v>
      </c>
      <c r="D3159" t="s">
        <v>62840</v>
      </c>
      <c r="E3159" t="s">
        <v>62841</v>
      </c>
      <c r="F3159" t="s">
        <v>62842</v>
      </c>
      <c r="G3159" t="s">
        <v>62843</v>
      </c>
      <c r="H3159" t="s">
        <v>62844</v>
      </c>
      <c r="I3159" t="s">
        <v>62845</v>
      </c>
      <c r="J3159" t="s">
        <v>62846</v>
      </c>
      <c r="K3159" t="s">
        <v>62847</v>
      </c>
      <c r="L3159" t="s">
        <v>62848</v>
      </c>
      <c r="M3159" t="s">
        <v>62849</v>
      </c>
      <c r="N3159" t="s">
        <v>62850</v>
      </c>
      <c r="O3159">
        <f>-609.814785226834 -89.4129532879986 -723.848543220991</f>
        <v>-1423.0762817358236</v>
      </c>
      <c r="P3159">
        <f>-621.410195897982 -60.9488481779446 -408.822271032636</f>
        <v>-1091.1813151085626</v>
      </c>
      <c r="Q3159">
        <f>-362.696181342728 -34.4461881340623 -406.229306562028</f>
        <v>-803.37167603881835</v>
      </c>
      <c r="R3159" t="s">
        <v>62851</v>
      </c>
      <c r="S3159" t="s">
        <v>62852</v>
      </c>
      <c r="T3159" t="s">
        <v>62853</v>
      </c>
      <c r="U3159" t="s">
        <v>62854</v>
      </c>
      <c r="V3159" t="s">
        <v>62855</v>
      </c>
      <c r="W3159" t="s">
        <v>62856</v>
      </c>
      <c r="X3159" t="s">
        <v>62857</v>
      </c>
      <c r="Y3159" t="s">
        <v>62858</v>
      </c>
    </row>
    <row r="3160" spans="1:25" x14ac:dyDescent="0.3">
      <c r="A3160">
        <v>157950</v>
      </c>
      <c r="B3160" t="s">
        <v>62859</v>
      </c>
      <c r="C3160" t="s">
        <v>62860</v>
      </c>
      <c r="D3160" t="s">
        <v>62861</v>
      </c>
      <c r="E3160" t="s">
        <v>62862</v>
      </c>
      <c r="F3160" t="s">
        <v>62863</v>
      </c>
      <c r="G3160" t="s">
        <v>62864</v>
      </c>
      <c r="H3160" t="s">
        <v>62865</v>
      </c>
      <c r="I3160" t="s">
        <v>62866</v>
      </c>
      <c r="J3160" t="s">
        <v>62867</v>
      </c>
      <c r="K3160" t="s">
        <v>62868</v>
      </c>
      <c r="L3160" t="s">
        <v>62869</v>
      </c>
      <c r="M3160" t="s">
        <v>62870</v>
      </c>
      <c r="N3160" t="s">
        <v>62871</v>
      </c>
      <c r="O3160">
        <f>-609.415527122216 -89.3838713580513 -724.253328683254</f>
        <v>-1423.0527271635212</v>
      </c>
      <c r="P3160">
        <f>-621.613511788604 -61.1757424897964 -409.226754157433</f>
        <v>-1092.0160084358336</v>
      </c>
      <c r="Q3160">
        <f>-362.834656655965 -35.3645507118683 -406.174191330655</f>
        <v>-804.37339869848824</v>
      </c>
      <c r="R3160" t="s">
        <v>62872</v>
      </c>
      <c r="S3160" t="s">
        <v>62873</v>
      </c>
      <c r="T3160" t="s">
        <v>62874</v>
      </c>
      <c r="U3160" t="s">
        <v>62875</v>
      </c>
      <c r="V3160" t="s">
        <v>62876</v>
      </c>
      <c r="W3160" t="s">
        <v>62877</v>
      </c>
      <c r="X3160" t="s">
        <v>62878</v>
      </c>
      <c r="Y3160" t="s">
        <v>62879</v>
      </c>
    </row>
    <row r="3161" spans="1:25" x14ac:dyDescent="0.3">
      <c r="A3161">
        <v>158000</v>
      </c>
      <c r="B3161" t="s">
        <v>62880</v>
      </c>
      <c r="C3161" t="s">
        <v>62881</v>
      </c>
      <c r="D3161" t="s">
        <v>62882</v>
      </c>
      <c r="E3161" t="s">
        <v>62883</v>
      </c>
      <c r="F3161" t="s">
        <v>62884</v>
      </c>
      <c r="G3161" t="s">
        <v>62885</v>
      </c>
      <c r="H3161" t="s">
        <v>62886</v>
      </c>
      <c r="I3161" t="s">
        <v>62887</v>
      </c>
      <c r="J3161" t="s">
        <v>62888</v>
      </c>
      <c r="K3161" t="s">
        <v>62889</v>
      </c>
      <c r="L3161" t="s">
        <v>62890</v>
      </c>
      <c r="M3161" t="s">
        <v>62891</v>
      </c>
      <c r="N3161" t="s">
        <v>62892</v>
      </c>
      <c r="O3161">
        <f>-609.032792965756 -89.4668790848707 -724.499874692484</f>
        <v>-1422.9995467431108</v>
      </c>
      <c r="P3161">
        <f>-621.614544059034 -61.2126979604715 -409.492537392743</f>
        <v>-1092.3197794122484</v>
      </c>
      <c r="Q3161">
        <f>-362.810543500041 -35.6872499101451 -406.17754150327</f>
        <v>-804.67533491345603</v>
      </c>
      <c r="R3161" t="s">
        <v>62893</v>
      </c>
      <c r="S3161" t="s">
        <v>62894</v>
      </c>
      <c r="T3161" t="s">
        <v>62895</v>
      </c>
      <c r="U3161" t="s">
        <v>62896</v>
      </c>
      <c r="V3161" t="s">
        <v>62897</v>
      </c>
      <c r="W3161" t="s">
        <v>62898</v>
      </c>
      <c r="X3161" t="s">
        <v>62899</v>
      </c>
      <c r="Y3161" t="s">
        <v>62900</v>
      </c>
    </row>
    <row r="3162" spans="1:25" x14ac:dyDescent="0.3">
      <c r="A3162">
        <v>158050</v>
      </c>
      <c r="B3162" t="s">
        <v>62901</v>
      </c>
      <c r="C3162" t="s">
        <v>62902</v>
      </c>
      <c r="D3162" t="s">
        <v>62903</v>
      </c>
      <c r="E3162" t="s">
        <v>62904</v>
      </c>
      <c r="F3162" t="s">
        <v>62905</v>
      </c>
      <c r="G3162" t="s">
        <v>62906</v>
      </c>
      <c r="H3162" t="s">
        <v>62907</v>
      </c>
      <c r="I3162" t="s">
        <v>62908</v>
      </c>
      <c r="J3162" t="s">
        <v>62909</v>
      </c>
      <c r="K3162" t="s">
        <v>62910</v>
      </c>
      <c r="L3162" t="s">
        <v>62911</v>
      </c>
      <c r="M3162" t="s">
        <v>62912</v>
      </c>
      <c r="N3162" t="s">
        <v>62913</v>
      </c>
      <c r="O3162">
        <f>-608.754212276415 -89.6080404832084 -724.880037277418</f>
        <v>-1423.2422900370414</v>
      </c>
      <c r="P3162">
        <f>-621.922089137441 -61.5165704451092 -409.882091335139</f>
        <v>-1093.3207509176893</v>
      </c>
      <c r="Q3162">
        <f>-363.063189752069 -36.6009697738706 -406.232423035354</f>
        <v>-805.8965825612936</v>
      </c>
      <c r="R3162" t="s">
        <v>62914</v>
      </c>
      <c r="S3162" t="s">
        <v>62915</v>
      </c>
      <c r="T3162" t="s">
        <v>62916</v>
      </c>
      <c r="U3162" t="s">
        <v>62917</v>
      </c>
      <c r="V3162" t="s">
        <v>62918</v>
      </c>
      <c r="W3162" t="s">
        <v>62919</v>
      </c>
      <c r="X3162" t="s">
        <v>62920</v>
      </c>
      <c r="Y3162" t="s">
        <v>62921</v>
      </c>
    </row>
    <row r="3163" spans="1:25" x14ac:dyDescent="0.3">
      <c r="A3163">
        <v>158100</v>
      </c>
      <c r="B3163" t="s">
        <v>62922</v>
      </c>
      <c r="C3163" t="s">
        <v>62923</v>
      </c>
      <c r="D3163" t="s">
        <v>62924</v>
      </c>
      <c r="E3163" t="s">
        <v>62925</v>
      </c>
      <c r="F3163" t="s">
        <v>62926</v>
      </c>
      <c r="G3163" t="s">
        <v>62927</v>
      </c>
      <c r="H3163" t="s">
        <v>62928</v>
      </c>
      <c r="I3163" t="s">
        <v>62929</v>
      </c>
      <c r="J3163" t="s">
        <v>62930</v>
      </c>
      <c r="K3163" t="s">
        <v>62931</v>
      </c>
      <c r="L3163" t="s">
        <v>62932</v>
      </c>
      <c r="M3163" t="s">
        <v>62933</v>
      </c>
      <c r="N3163" t="s">
        <v>62934</v>
      </c>
      <c r="O3163">
        <f>-608.498836678779 -89.575497912895 -725.080602139922</f>
        <v>-1423.1549367315961</v>
      </c>
      <c r="P3163">
        <f>-621.873343779788 -61.4061320985154 -410.098352792021</f>
        <v>-1093.3778286703243</v>
      </c>
      <c r="Q3163">
        <f>-362.979361367371 -36.8831508008644 -406.276480740963</f>
        <v>-806.13899290919835</v>
      </c>
      <c r="R3163" t="s">
        <v>62935</v>
      </c>
      <c r="S3163" t="s">
        <v>62936</v>
      </c>
      <c r="T3163" t="s">
        <v>62937</v>
      </c>
      <c r="U3163" t="s">
        <v>62938</v>
      </c>
      <c r="V3163" t="s">
        <v>62939</v>
      </c>
      <c r="W3163" t="s">
        <v>62940</v>
      </c>
      <c r="X3163" t="s">
        <v>62941</v>
      </c>
      <c r="Y3163" t="s">
        <v>62942</v>
      </c>
    </row>
    <row r="3164" spans="1:25" x14ac:dyDescent="0.3">
      <c r="A3164">
        <v>158150</v>
      </c>
      <c r="B3164" t="s">
        <v>62943</v>
      </c>
      <c r="C3164" t="s">
        <v>62944</v>
      </c>
      <c r="D3164" t="s">
        <v>62945</v>
      </c>
      <c r="E3164" t="s">
        <v>62946</v>
      </c>
      <c r="F3164" t="s">
        <v>62947</v>
      </c>
      <c r="G3164" t="s">
        <v>62948</v>
      </c>
      <c r="H3164" t="s">
        <v>62949</v>
      </c>
      <c r="I3164" t="s">
        <v>62950</v>
      </c>
      <c r="J3164" t="s">
        <v>62951</v>
      </c>
      <c r="K3164" t="s">
        <v>62952</v>
      </c>
      <c r="L3164" t="s">
        <v>62953</v>
      </c>
      <c r="M3164" t="s">
        <v>62954</v>
      </c>
      <c r="N3164" t="s">
        <v>62955</v>
      </c>
      <c r="O3164">
        <f>-608.238027535069 -89.690103014673 -725.434767453937</f>
        <v>-1423.362898003679</v>
      </c>
      <c r="P3164">
        <f>-621.73680447583 -61.5106234064601 -410.458808108369</f>
        <v>-1093.706235990659</v>
      </c>
      <c r="Q3164">
        <f>-362.767496730474 -37.8081213788472 -406.566145235665</f>
        <v>-807.1417633449862</v>
      </c>
      <c r="R3164" t="s">
        <v>62956</v>
      </c>
      <c r="S3164" t="s">
        <v>62957</v>
      </c>
      <c r="T3164" t="s">
        <v>62958</v>
      </c>
      <c r="U3164" t="s">
        <v>62959</v>
      </c>
      <c r="V3164" t="s">
        <v>62960</v>
      </c>
      <c r="W3164" t="s">
        <v>62961</v>
      </c>
      <c r="X3164" t="s">
        <v>62962</v>
      </c>
      <c r="Y3164" t="s">
        <v>62963</v>
      </c>
    </row>
    <row r="3165" spans="1:25" x14ac:dyDescent="0.3">
      <c r="A3165">
        <v>158200</v>
      </c>
      <c r="B3165" t="s">
        <v>62964</v>
      </c>
      <c r="C3165" t="s">
        <v>62965</v>
      </c>
      <c r="D3165" t="s">
        <v>62966</v>
      </c>
      <c r="E3165" t="s">
        <v>62967</v>
      </c>
      <c r="F3165" t="s">
        <v>62968</v>
      </c>
      <c r="G3165" t="s">
        <v>62969</v>
      </c>
      <c r="H3165" t="s">
        <v>62970</v>
      </c>
      <c r="I3165" t="s">
        <v>62971</v>
      </c>
      <c r="J3165" t="s">
        <v>62972</v>
      </c>
      <c r="K3165" t="s">
        <v>62973</v>
      </c>
      <c r="L3165" t="s">
        <v>62974</v>
      </c>
      <c r="M3165" t="s">
        <v>62975</v>
      </c>
      <c r="N3165" t="s">
        <v>62976</v>
      </c>
      <c r="O3165">
        <f>-608.138958250046 -89.7080861728431 -725.573899982786</f>
        <v>-1423.4209444056751</v>
      </c>
      <c r="P3165">
        <f>-621.761930732076 -61.5342089496763 -410.602627757538</f>
        <v>-1093.8987674392904</v>
      </c>
      <c r="Q3165">
        <f>-362.771778126999 -38.0724684729173 -406.63969317759</f>
        <v>-807.48393977750629</v>
      </c>
      <c r="R3165" t="s">
        <v>62977</v>
      </c>
      <c r="S3165" t="s">
        <v>62978</v>
      </c>
      <c r="T3165" t="s">
        <v>62979</v>
      </c>
      <c r="U3165" t="s">
        <v>62980</v>
      </c>
      <c r="V3165" t="s">
        <v>62981</v>
      </c>
      <c r="W3165" t="s">
        <v>62982</v>
      </c>
      <c r="X3165" t="s">
        <v>62983</v>
      </c>
      <c r="Y3165" t="s">
        <v>62984</v>
      </c>
    </row>
    <row r="3166" spans="1:25" x14ac:dyDescent="0.3">
      <c r="A3166">
        <v>158250</v>
      </c>
      <c r="B3166" t="s">
        <v>62985</v>
      </c>
      <c r="C3166" t="s">
        <v>62986</v>
      </c>
      <c r="D3166" t="s">
        <v>62987</v>
      </c>
      <c r="E3166" t="s">
        <v>62988</v>
      </c>
      <c r="F3166" t="s">
        <v>62989</v>
      </c>
      <c r="G3166" t="s">
        <v>62990</v>
      </c>
      <c r="H3166" t="s">
        <v>62991</v>
      </c>
      <c r="I3166" t="s">
        <v>62992</v>
      </c>
      <c r="J3166" t="s">
        <v>62993</v>
      </c>
      <c r="K3166" t="s">
        <v>62994</v>
      </c>
      <c r="L3166" t="s">
        <v>62995</v>
      </c>
      <c r="M3166" t="s">
        <v>62996</v>
      </c>
      <c r="N3166" t="s">
        <v>62997</v>
      </c>
      <c r="O3166">
        <f>-607.988397257326 -89.7319234968836 -725.806813440256</f>
        <v>-1423.5271341944656</v>
      </c>
      <c r="P3166">
        <f>-621.982616877687 -61.5593000653951 -410.851739609051</f>
        <v>-1094.3936565521331</v>
      </c>
      <c r="Q3166">
        <f>-362.960553469386 -38.436908567436 -406.980602553199</f>
        <v>-808.37806459002104</v>
      </c>
      <c r="R3166" t="s">
        <v>62998</v>
      </c>
      <c r="S3166" t="s">
        <v>62999</v>
      </c>
      <c r="T3166" t="s">
        <v>63000</v>
      </c>
      <c r="U3166" t="s">
        <v>63001</v>
      </c>
      <c r="V3166" t="s">
        <v>63002</v>
      </c>
      <c r="W3166" t="s">
        <v>63003</v>
      </c>
      <c r="X3166" t="s">
        <v>63004</v>
      </c>
      <c r="Y3166" t="s">
        <v>63005</v>
      </c>
    </row>
    <row r="3167" spans="1:25" x14ac:dyDescent="0.3">
      <c r="A3167">
        <v>158300</v>
      </c>
      <c r="B3167" t="s">
        <v>63006</v>
      </c>
      <c r="C3167" t="s">
        <v>63007</v>
      </c>
      <c r="D3167" t="s">
        <v>63008</v>
      </c>
      <c r="E3167" t="s">
        <v>63009</v>
      </c>
      <c r="F3167" t="s">
        <v>63010</v>
      </c>
      <c r="G3167" t="s">
        <v>63011</v>
      </c>
      <c r="H3167" t="s">
        <v>63012</v>
      </c>
      <c r="I3167" t="s">
        <v>63013</v>
      </c>
      <c r="J3167" t="s">
        <v>63014</v>
      </c>
      <c r="K3167" t="s">
        <v>63015</v>
      </c>
      <c r="L3167" t="s">
        <v>63016</v>
      </c>
      <c r="M3167" t="s">
        <v>63017</v>
      </c>
      <c r="N3167" t="s">
        <v>63018</v>
      </c>
      <c r="O3167">
        <f>-608.141834321173 -89.6273681427364 -725.913723076539</f>
        <v>-1423.6829255404482</v>
      </c>
      <c r="P3167">
        <f>-622.209230789674 -61.4072645695612 -410.966292765661</f>
        <v>-1094.5827881248963</v>
      </c>
      <c r="Q3167">
        <f>-363.182319514439 -38.3564523502177 -406.995588408727</f>
        <v>-808.53436027338364</v>
      </c>
      <c r="R3167" t="s">
        <v>63019</v>
      </c>
      <c r="S3167" t="s">
        <v>63020</v>
      </c>
      <c r="T3167" t="s">
        <v>63021</v>
      </c>
      <c r="U3167" t="s">
        <v>63022</v>
      </c>
      <c r="V3167" t="s">
        <v>63023</v>
      </c>
      <c r="W3167" t="s">
        <v>63024</v>
      </c>
      <c r="X3167" t="s">
        <v>63025</v>
      </c>
      <c r="Y3167" t="s">
        <v>63026</v>
      </c>
    </row>
    <row r="3168" spans="1:25" x14ac:dyDescent="0.3">
      <c r="A3168">
        <v>158350</v>
      </c>
      <c r="B3168" t="s">
        <v>63027</v>
      </c>
      <c r="C3168" t="s">
        <v>63028</v>
      </c>
      <c r="D3168" t="s">
        <v>63029</v>
      </c>
      <c r="E3168" t="s">
        <v>63030</v>
      </c>
      <c r="F3168" t="s">
        <v>63031</v>
      </c>
      <c r="G3168" t="s">
        <v>63032</v>
      </c>
      <c r="H3168" t="s">
        <v>63033</v>
      </c>
      <c r="I3168" t="s">
        <v>63034</v>
      </c>
      <c r="J3168" t="s">
        <v>63035</v>
      </c>
      <c r="K3168" t="s">
        <v>63036</v>
      </c>
      <c r="L3168" t="s">
        <v>63037</v>
      </c>
      <c r="M3168" t="s">
        <v>63038</v>
      </c>
      <c r="N3168" t="s">
        <v>63039</v>
      </c>
      <c r="O3168">
        <f>-607.874062636346 -89.9701244606916 -725.90273849142</f>
        <v>-1423.7469255884575</v>
      </c>
      <c r="P3168">
        <f>-622.46033046277 -61.5272550444905 -410.998819068087</f>
        <v>-1094.9864045753475</v>
      </c>
      <c r="Q3168">
        <f>-363.428598345114 -38.5265943663221 -407.052472534636</f>
        <v>-809.00766524607207</v>
      </c>
      <c r="R3168" t="s">
        <v>63040</v>
      </c>
      <c r="S3168" t="s">
        <v>63041</v>
      </c>
      <c r="T3168" t="s">
        <v>63042</v>
      </c>
      <c r="U3168" t="s">
        <v>63043</v>
      </c>
      <c r="V3168" t="s">
        <v>63044</v>
      </c>
      <c r="W3168" t="s">
        <v>63045</v>
      </c>
      <c r="X3168" t="s">
        <v>63046</v>
      </c>
      <c r="Y3168" t="s">
        <v>63047</v>
      </c>
    </row>
    <row r="3169" spans="1:25" x14ac:dyDescent="0.3">
      <c r="A3169">
        <v>158400</v>
      </c>
      <c r="B3169" t="s">
        <v>63048</v>
      </c>
      <c r="C3169" t="s">
        <v>63049</v>
      </c>
      <c r="D3169" t="s">
        <v>63050</v>
      </c>
      <c r="E3169" t="s">
        <v>63051</v>
      </c>
      <c r="F3169" t="s">
        <v>63052</v>
      </c>
      <c r="G3169" t="s">
        <v>63053</v>
      </c>
      <c r="H3169" t="s">
        <v>63054</v>
      </c>
      <c r="I3169" t="s">
        <v>63055</v>
      </c>
      <c r="J3169" t="s">
        <v>63056</v>
      </c>
      <c r="K3169" t="s">
        <v>63057</v>
      </c>
      <c r="L3169" t="s">
        <v>63058</v>
      </c>
      <c r="M3169" t="s">
        <v>63059</v>
      </c>
      <c r="N3169" t="s">
        <v>63060</v>
      </c>
      <c r="O3169">
        <f>-608.192910792888 -90.0119203046035 -725.941037636476</f>
        <v>-1424.1458687339675</v>
      </c>
      <c r="P3169">
        <f>-622.866920777292 -61.4936371814773 -411.047989234368</f>
        <v>-1095.4085471931373</v>
      </c>
      <c r="Q3169">
        <f>-363.84299998465 -38.4372460208099 -406.919091976001</f>
        <v>-809.19933798146099</v>
      </c>
      <c r="R3169" t="s">
        <v>63061</v>
      </c>
      <c r="S3169" t="s">
        <v>63062</v>
      </c>
      <c r="T3169" t="s">
        <v>63063</v>
      </c>
      <c r="U3169" t="s">
        <v>63064</v>
      </c>
      <c r="V3169" t="s">
        <v>63065</v>
      </c>
      <c r="W3169" t="s">
        <v>63066</v>
      </c>
      <c r="X3169" t="s">
        <v>63067</v>
      </c>
      <c r="Y3169" t="s">
        <v>63068</v>
      </c>
    </row>
    <row r="3170" spans="1:25" x14ac:dyDescent="0.3">
      <c r="A3170">
        <v>158450</v>
      </c>
      <c r="B3170" t="s">
        <v>63069</v>
      </c>
      <c r="C3170" t="s">
        <v>63070</v>
      </c>
      <c r="D3170" t="s">
        <v>63071</v>
      </c>
      <c r="E3170" t="s">
        <v>63072</v>
      </c>
      <c r="F3170" t="s">
        <v>63073</v>
      </c>
      <c r="G3170" t="s">
        <v>63074</v>
      </c>
      <c r="H3170" t="s">
        <v>63075</v>
      </c>
      <c r="I3170" t="s">
        <v>63076</v>
      </c>
      <c r="J3170" t="s">
        <v>63077</v>
      </c>
      <c r="K3170" t="s">
        <v>63078</v>
      </c>
      <c r="L3170" t="s">
        <v>63079</v>
      </c>
      <c r="M3170" t="s">
        <v>63080</v>
      </c>
      <c r="N3170" t="s">
        <v>63081</v>
      </c>
      <c r="O3170">
        <f>-608.435173825079 -89.7423561063008 -726.136231231823</f>
        <v>-1424.3137611632028</v>
      </c>
      <c r="P3170">
        <f>-623.171533731652 -61.464955658707 -411.224371749406</f>
        <v>-1095.8608611397649</v>
      </c>
      <c r="Q3170">
        <f>-364.186692092153 -37.9690185941997 -407.120600623255</f>
        <v>-809.27631130960776</v>
      </c>
      <c r="R3170" t="s">
        <v>63082</v>
      </c>
      <c r="S3170" t="s">
        <v>63083</v>
      </c>
      <c r="T3170" t="s">
        <v>63084</v>
      </c>
      <c r="U3170" t="s">
        <v>63085</v>
      </c>
      <c r="V3170" t="s">
        <v>63086</v>
      </c>
      <c r="W3170" t="s">
        <v>63087</v>
      </c>
      <c r="X3170" t="s">
        <v>63088</v>
      </c>
      <c r="Y3170" t="s">
        <v>63089</v>
      </c>
    </row>
    <row r="3171" spans="1:25" x14ac:dyDescent="0.3">
      <c r="A3171">
        <v>158500</v>
      </c>
      <c r="B3171" t="s">
        <v>63090</v>
      </c>
      <c r="C3171" t="s">
        <v>63091</v>
      </c>
      <c r="D3171" t="s">
        <v>63092</v>
      </c>
      <c r="E3171" t="s">
        <v>63093</v>
      </c>
      <c r="F3171" t="s">
        <v>63094</v>
      </c>
      <c r="G3171" t="s">
        <v>63095</v>
      </c>
      <c r="H3171" t="s">
        <v>63096</v>
      </c>
      <c r="I3171" t="s">
        <v>63097</v>
      </c>
      <c r="J3171" t="s">
        <v>63098</v>
      </c>
      <c r="K3171" t="s">
        <v>63099</v>
      </c>
      <c r="L3171" t="s">
        <v>63100</v>
      </c>
      <c r="M3171" t="s">
        <v>63101</v>
      </c>
      <c r="N3171" t="s">
        <v>63102</v>
      </c>
      <c r="O3171">
        <f>-608.312449434833 -89.7003800285738 -726.269956652885</f>
        <v>-1424.2827861162918</v>
      </c>
      <c r="P3171">
        <f>-623.006356235681 -61.5528708782621 -411.344435900508</f>
        <v>-1095.903663014451</v>
      </c>
      <c r="Q3171">
        <f>-364.022021899128 -38.0549929739173 -407.222000710799</f>
        <v>-809.29901558384427</v>
      </c>
      <c r="R3171" t="s">
        <v>63103</v>
      </c>
      <c r="S3171" t="s">
        <v>63104</v>
      </c>
      <c r="T3171" t="s">
        <v>63105</v>
      </c>
      <c r="U3171" t="s">
        <v>63106</v>
      </c>
      <c r="V3171" t="s">
        <v>63107</v>
      </c>
      <c r="W3171" t="s">
        <v>63108</v>
      </c>
      <c r="X3171" t="s">
        <v>63109</v>
      </c>
      <c r="Y3171" t="s">
        <v>63110</v>
      </c>
    </row>
    <row r="3172" spans="1:25" x14ac:dyDescent="0.3">
      <c r="A3172">
        <v>158550</v>
      </c>
      <c r="B3172" t="s">
        <v>63111</v>
      </c>
      <c r="C3172" t="s">
        <v>63112</v>
      </c>
      <c r="D3172" t="s">
        <v>63113</v>
      </c>
      <c r="E3172" t="s">
        <v>63114</v>
      </c>
      <c r="F3172" t="s">
        <v>63115</v>
      </c>
      <c r="G3172" t="s">
        <v>63116</v>
      </c>
      <c r="H3172" t="s">
        <v>63117</v>
      </c>
      <c r="I3172" t="s">
        <v>63118</v>
      </c>
      <c r="J3172" t="s">
        <v>63119</v>
      </c>
      <c r="K3172" t="s">
        <v>63120</v>
      </c>
      <c r="L3172" t="s">
        <v>63121</v>
      </c>
      <c r="M3172" t="s">
        <v>63122</v>
      </c>
      <c r="N3172" t="s">
        <v>63123</v>
      </c>
      <c r="O3172">
        <f>-607.842094828773 -89.8454510963427 -726.52562446657</f>
        <v>-1424.2131703916857</v>
      </c>
      <c r="P3172">
        <f>-622.824911482711 -61.4519384881636 -411.635967213963</f>
        <v>-1095.9128171848374</v>
      </c>
      <c r="Q3172">
        <f>-363.812073972901 -38.2681377686032 -407.524332584544</f>
        <v>-809.6045443260482</v>
      </c>
      <c r="R3172" t="s">
        <v>63124</v>
      </c>
      <c r="S3172" t="s">
        <v>63125</v>
      </c>
      <c r="T3172" t="s">
        <v>63126</v>
      </c>
      <c r="U3172" t="s">
        <v>63127</v>
      </c>
      <c r="V3172" t="s">
        <v>63128</v>
      </c>
      <c r="W3172" t="s">
        <v>63129</v>
      </c>
      <c r="X3172" t="s">
        <v>63130</v>
      </c>
      <c r="Y3172" t="s">
        <v>63131</v>
      </c>
    </row>
    <row r="3173" spans="1:25" x14ac:dyDescent="0.3">
      <c r="A3173">
        <v>158600</v>
      </c>
      <c r="B3173" t="s">
        <v>63132</v>
      </c>
      <c r="C3173" t="s">
        <v>63133</v>
      </c>
      <c r="D3173" t="s">
        <v>63134</v>
      </c>
      <c r="E3173" t="s">
        <v>63135</v>
      </c>
      <c r="F3173" t="s">
        <v>63136</v>
      </c>
      <c r="G3173" t="s">
        <v>63137</v>
      </c>
      <c r="H3173" t="s">
        <v>63138</v>
      </c>
      <c r="I3173" t="s">
        <v>63139</v>
      </c>
      <c r="J3173" t="s">
        <v>63140</v>
      </c>
      <c r="K3173" t="s">
        <v>63141</v>
      </c>
      <c r="L3173" t="s">
        <v>63142</v>
      </c>
      <c r="M3173" t="s">
        <v>63143</v>
      </c>
      <c r="N3173" t="s">
        <v>63144</v>
      </c>
      <c r="O3173">
        <f>-607.304926493933 -90.1036678738312 -726.642311346916</f>
        <v>-1424.0509057146801</v>
      </c>
      <c r="P3173">
        <f>-622.202889190935 -61.6181795988449 -411.756886981527</f>
        <v>-1095.577955771307</v>
      </c>
      <c r="Q3173">
        <f>-363.179002510458 -38.5853604499857 -407.491425456489</f>
        <v>-809.25578841693277</v>
      </c>
      <c r="R3173" t="s">
        <v>63145</v>
      </c>
      <c r="S3173" t="s">
        <v>63146</v>
      </c>
      <c r="T3173" t="s">
        <v>63147</v>
      </c>
      <c r="U3173" t="s">
        <v>63148</v>
      </c>
      <c r="V3173" t="s">
        <v>63149</v>
      </c>
      <c r="W3173" t="s">
        <v>63150</v>
      </c>
      <c r="X3173" t="s">
        <v>63151</v>
      </c>
      <c r="Y3173" t="s">
        <v>63152</v>
      </c>
    </row>
    <row r="3174" spans="1:25" x14ac:dyDescent="0.3">
      <c r="A3174">
        <v>158650</v>
      </c>
      <c r="B3174" t="s">
        <v>63153</v>
      </c>
      <c r="C3174" t="s">
        <v>63154</v>
      </c>
      <c r="D3174" t="s">
        <v>63155</v>
      </c>
      <c r="E3174" t="s">
        <v>63156</v>
      </c>
      <c r="F3174" t="s">
        <v>63157</v>
      </c>
      <c r="G3174" t="s">
        <v>63158</v>
      </c>
      <c r="H3174" t="s">
        <v>63159</v>
      </c>
      <c r="I3174" t="s">
        <v>63160</v>
      </c>
      <c r="J3174" t="s">
        <v>63161</v>
      </c>
      <c r="K3174" t="s">
        <v>63162</v>
      </c>
      <c r="L3174" t="s">
        <v>63163</v>
      </c>
      <c r="M3174" t="s">
        <v>63164</v>
      </c>
      <c r="N3174" t="s">
        <v>63165</v>
      </c>
      <c r="O3174">
        <f>-607.157094726165 -90.4136702913483 -726.74180819893</f>
        <v>-1424.3125732164435</v>
      </c>
      <c r="P3174">
        <f>-622.097048947568 -62.0095240686612 -411.851098089279</f>
        <v>-1095.9576711055083</v>
      </c>
      <c r="Q3174">
        <f>-363.079313093851 -38.8927368126009 -407.671654304353</f>
        <v>-809.64370421080491</v>
      </c>
      <c r="R3174" t="s">
        <v>63166</v>
      </c>
      <c r="S3174" t="s">
        <v>63167</v>
      </c>
      <c r="T3174" t="s">
        <v>63168</v>
      </c>
      <c r="U3174" t="s">
        <v>63169</v>
      </c>
      <c r="V3174" t="s">
        <v>63170</v>
      </c>
      <c r="W3174" t="s">
        <v>63171</v>
      </c>
      <c r="X3174" t="s">
        <v>63172</v>
      </c>
      <c r="Y3174" t="s">
        <v>63173</v>
      </c>
    </row>
    <row r="3175" spans="1:25" x14ac:dyDescent="0.3">
      <c r="A3175">
        <v>158700</v>
      </c>
      <c r="B3175" t="s">
        <v>63174</v>
      </c>
      <c r="C3175" t="s">
        <v>63175</v>
      </c>
      <c r="D3175" t="s">
        <v>63176</v>
      </c>
      <c r="E3175" t="s">
        <v>63177</v>
      </c>
      <c r="F3175" t="s">
        <v>63178</v>
      </c>
      <c r="G3175" t="s">
        <v>63179</v>
      </c>
      <c r="H3175" t="s">
        <v>63180</v>
      </c>
      <c r="I3175" t="s">
        <v>63181</v>
      </c>
      <c r="J3175" t="s">
        <v>63182</v>
      </c>
      <c r="K3175" t="s">
        <v>63183</v>
      </c>
      <c r="L3175" t="s">
        <v>63184</v>
      </c>
      <c r="M3175" t="s">
        <v>63185</v>
      </c>
      <c r="N3175" t="s">
        <v>63186</v>
      </c>
      <c r="O3175">
        <f>-606.949395069807 -90.3115293715354 -726.847715796958</f>
        <v>-1424.1086402383003</v>
      </c>
      <c r="P3175">
        <f>-621.676385841054 -62.0461641372214 -411.934301534177</f>
        <v>-1095.6568515124522</v>
      </c>
      <c r="Q3175">
        <f>-362.65383492266 -38.975205776783 -407.798747700431</f>
        <v>-809.42778839987409</v>
      </c>
      <c r="R3175" t="s">
        <v>63187</v>
      </c>
      <c r="S3175" t="s">
        <v>63188</v>
      </c>
      <c r="T3175" t="s">
        <v>63189</v>
      </c>
      <c r="U3175" t="s">
        <v>63190</v>
      </c>
      <c r="V3175" t="s">
        <v>63191</v>
      </c>
      <c r="W3175" t="s">
        <v>63192</v>
      </c>
      <c r="X3175" t="s">
        <v>63193</v>
      </c>
      <c r="Y3175" t="s">
        <v>63194</v>
      </c>
    </row>
    <row r="3176" spans="1:25" x14ac:dyDescent="0.3">
      <c r="A3176">
        <v>158750</v>
      </c>
      <c r="B3176" t="s">
        <v>63195</v>
      </c>
      <c r="C3176" t="s">
        <v>63196</v>
      </c>
      <c r="D3176" t="s">
        <v>63197</v>
      </c>
      <c r="E3176" t="s">
        <v>63198</v>
      </c>
      <c r="F3176" t="s">
        <v>63199</v>
      </c>
      <c r="G3176" t="s">
        <v>63200</v>
      </c>
      <c r="H3176" t="s">
        <v>63201</v>
      </c>
      <c r="I3176" t="s">
        <v>63202</v>
      </c>
      <c r="J3176" t="s">
        <v>63203</v>
      </c>
      <c r="K3176" t="s">
        <v>63204</v>
      </c>
      <c r="L3176" t="s">
        <v>63205</v>
      </c>
      <c r="M3176" t="s">
        <v>63206</v>
      </c>
      <c r="N3176" t="s">
        <v>63207</v>
      </c>
      <c r="O3176">
        <f>-606.307444346247 -90.7911069490187 -726.843411317073</f>
        <v>-1423.9419626123388</v>
      </c>
      <c r="P3176">
        <f>-620.77756442819 -62.598084591361 -411.911670841382</f>
        <v>-1095.2873198609329</v>
      </c>
      <c r="Q3176">
        <f>-361.744484997891 -39.5600914236396 -408.281387963704</f>
        <v>-809.58596438523455</v>
      </c>
      <c r="R3176" t="s">
        <v>63208</v>
      </c>
      <c r="S3176" t="s">
        <v>63209</v>
      </c>
      <c r="T3176" t="s">
        <v>63210</v>
      </c>
      <c r="U3176" t="s">
        <v>63211</v>
      </c>
      <c r="V3176" t="s">
        <v>63212</v>
      </c>
      <c r="W3176" t="s">
        <v>63213</v>
      </c>
      <c r="X3176" t="s">
        <v>63214</v>
      </c>
      <c r="Y3176" t="s">
        <v>63215</v>
      </c>
    </row>
    <row r="3177" spans="1:25" x14ac:dyDescent="0.3">
      <c r="A3177">
        <v>158800</v>
      </c>
      <c r="B3177" t="s">
        <v>63216</v>
      </c>
      <c r="C3177" t="s">
        <v>63217</v>
      </c>
      <c r="D3177" t="s">
        <v>63218</v>
      </c>
      <c r="E3177" t="s">
        <v>63219</v>
      </c>
      <c r="F3177" t="s">
        <v>63220</v>
      </c>
      <c r="G3177" t="s">
        <v>63221</v>
      </c>
      <c r="H3177" t="s">
        <v>63222</v>
      </c>
      <c r="I3177" t="s">
        <v>63223</v>
      </c>
      <c r="J3177" t="s">
        <v>63224</v>
      </c>
      <c r="K3177" t="s">
        <v>63225</v>
      </c>
      <c r="L3177" t="s">
        <v>63226</v>
      </c>
      <c r="M3177" t="s">
        <v>63227</v>
      </c>
      <c r="N3177" t="s">
        <v>63228</v>
      </c>
      <c r="O3177">
        <f>-606.046728647761 -90.8479550439814 -726.891575545943</f>
        <v>-1423.7862592376855</v>
      </c>
      <c r="P3177">
        <f>-620.406176698721 -62.6119926336841 -411.958641428774</f>
        <v>-1094.976810761179</v>
      </c>
      <c r="Q3177">
        <f>-361.364412396835 -39.6564774047405 -408.429525089423</f>
        <v>-809.45041489099845</v>
      </c>
      <c r="R3177" t="s">
        <v>63229</v>
      </c>
      <c r="S3177" t="s">
        <v>63230</v>
      </c>
      <c r="T3177" t="s">
        <v>63231</v>
      </c>
      <c r="U3177" t="s">
        <v>63232</v>
      </c>
      <c r="V3177" t="s">
        <v>63233</v>
      </c>
      <c r="W3177" t="s">
        <v>63234</v>
      </c>
      <c r="X3177" t="s">
        <v>63235</v>
      </c>
      <c r="Y3177" t="s">
        <v>63236</v>
      </c>
    </row>
    <row r="3178" spans="1:25" x14ac:dyDescent="0.3">
      <c r="A3178">
        <v>158850</v>
      </c>
      <c r="B3178" t="s">
        <v>63237</v>
      </c>
      <c r="C3178" t="s">
        <v>63238</v>
      </c>
      <c r="D3178" t="s">
        <v>63239</v>
      </c>
      <c r="E3178" t="s">
        <v>63240</v>
      </c>
      <c r="F3178" t="s">
        <v>63241</v>
      </c>
      <c r="G3178" t="s">
        <v>63242</v>
      </c>
      <c r="H3178" t="s">
        <v>63243</v>
      </c>
      <c r="I3178" t="s">
        <v>63244</v>
      </c>
      <c r="J3178" t="s">
        <v>63245</v>
      </c>
      <c r="K3178" t="s">
        <v>63246</v>
      </c>
      <c r="L3178" t="s">
        <v>63247</v>
      </c>
      <c r="M3178" t="s">
        <v>63248</v>
      </c>
      <c r="N3178" t="s">
        <v>63249</v>
      </c>
      <c r="O3178">
        <f>-605.370119270069 -91.2714072862122 -727.11112234742</f>
        <v>-1423.7526489037011</v>
      </c>
      <c r="P3178">
        <f>-619.673948008328 -63.2627666066173 -412.155399839998</f>
        <v>-1095.0921144549434</v>
      </c>
      <c r="Q3178">
        <f>-360.656054589885 -40.0324110856303 -408.674433531654</f>
        <v>-809.36289920716933</v>
      </c>
      <c r="R3178" t="s">
        <v>63250</v>
      </c>
      <c r="S3178" t="s">
        <v>63251</v>
      </c>
      <c r="T3178" t="s">
        <v>63252</v>
      </c>
      <c r="U3178" t="s">
        <v>63253</v>
      </c>
      <c r="V3178" t="s">
        <v>63254</v>
      </c>
      <c r="W3178" t="s">
        <v>63255</v>
      </c>
      <c r="X3178" t="s">
        <v>63256</v>
      </c>
      <c r="Y3178" t="s">
        <v>63257</v>
      </c>
    </row>
    <row r="3179" spans="1:25" x14ac:dyDescent="0.3">
      <c r="A3179">
        <v>158900</v>
      </c>
      <c r="B3179" t="s">
        <v>63258</v>
      </c>
      <c r="C3179" t="s">
        <v>63259</v>
      </c>
      <c r="D3179" t="s">
        <v>63260</v>
      </c>
      <c r="E3179" t="s">
        <v>63261</v>
      </c>
      <c r="F3179" t="s">
        <v>63262</v>
      </c>
      <c r="G3179" t="s">
        <v>63263</v>
      </c>
      <c r="H3179" t="s">
        <v>63264</v>
      </c>
      <c r="I3179" t="s">
        <v>63265</v>
      </c>
      <c r="J3179" t="s">
        <v>63266</v>
      </c>
      <c r="K3179" t="s">
        <v>63267</v>
      </c>
      <c r="L3179" t="s">
        <v>63268</v>
      </c>
      <c r="M3179" t="s">
        <v>63269</v>
      </c>
      <c r="N3179" t="s">
        <v>63270</v>
      </c>
      <c r="O3179">
        <f>-605.011932275716 -91.3544282370122 -727.255888657857</f>
        <v>-1423.6222491705853</v>
      </c>
      <c r="P3179">
        <f>-619.417106416699 -63.4878960262518 -412.292178260392</f>
        <v>-1095.1971807033428</v>
      </c>
      <c r="Q3179">
        <f>-360.416487653726 -40.0754898419109 -408.744554062371</f>
        <v>-809.23653155800787</v>
      </c>
      <c r="R3179" t="s">
        <v>63271</v>
      </c>
      <c r="S3179" t="s">
        <v>63272</v>
      </c>
      <c r="T3179" t="s">
        <v>63273</v>
      </c>
      <c r="U3179" t="s">
        <v>63274</v>
      </c>
      <c r="V3179" t="s">
        <v>63275</v>
      </c>
      <c r="W3179" t="s">
        <v>63276</v>
      </c>
      <c r="X3179" t="s">
        <v>63277</v>
      </c>
      <c r="Y3179" t="s">
        <v>63278</v>
      </c>
    </row>
    <row r="3180" spans="1:25" x14ac:dyDescent="0.3">
      <c r="A3180">
        <v>158950</v>
      </c>
      <c r="B3180" t="s">
        <v>63279</v>
      </c>
      <c r="C3180" t="s">
        <v>63280</v>
      </c>
      <c r="D3180" t="s">
        <v>63281</v>
      </c>
      <c r="E3180" t="s">
        <v>63282</v>
      </c>
      <c r="F3180" t="s">
        <v>63283</v>
      </c>
      <c r="G3180" t="s">
        <v>63284</v>
      </c>
      <c r="H3180" t="s">
        <v>63285</v>
      </c>
      <c r="I3180" t="s">
        <v>63286</v>
      </c>
      <c r="J3180" t="s">
        <v>63287</v>
      </c>
      <c r="K3180" t="s">
        <v>63288</v>
      </c>
      <c r="L3180" t="s">
        <v>63289</v>
      </c>
      <c r="M3180" t="s">
        <v>63290</v>
      </c>
      <c r="N3180" t="s">
        <v>63291</v>
      </c>
      <c r="O3180">
        <f>-604.141600662811 -91.9307651151484 -727.495822067692</f>
        <v>-1423.5681878456514</v>
      </c>
      <c r="P3180">
        <f>-618.924910926181 -64.0818812662829 -412.548035661943</f>
        <v>-1095.554827854407</v>
      </c>
      <c r="Q3180">
        <f>-359.969749558364 -40.2209072909298 -408.684160810651</f>
        <v>-808.87481765994482</v>
      </c>
      <c r="R3180" t="s">
        <v>63292</v>
      </c>
      <c r="S3180" t="s">
        <v>63293</v>
      </c>
      <c r="T3180" t="s">
        <v>63294</v>
      </c>
      <c r="U3180" t="s">
        <v>63295</v>
      </c>
      <c r="V3180" t="s">
        <v>63296</v>
      </c>
      <c r="W3180" t="s">
        <v>63297</v>
      </c>
      <c r="X3180" t="s">
        <v>63298</v>
      </c>
      <c r="Y3180" t="s">
        <v>63299</v>
      </c>
    </row>
    <row r="3181" spans="1:25" x14ac:dyDescent="0.3">
      <c r="A3181">
        <v>159000</v>
      </c>
      <c r="B3181" t="s">
        <v>63300</v>
      </c>
      <c r="C3181" t="s">
        <v>63301</v>
      </c>
      <c r="D3181" t="s">
        <v>63302</v>
      </c>
      <c r="E3181" t="s">
        <v>63303</v>
      </c>
      <c r="F3181" t="s">
        <v>63304</v>
      </c>
      <c r="G3181" t="s">
        <v>63305</v>
      </c>
      <c r="H3181" t="s">
        <v>63306</v>
      </c>
      <c r="I3181" t="s">
        <v>63307</v>
      </c>
      <c r="J3181" t="s">
        <v>63308</v>
      </c>
      <c r="K3181" t="s">
        <v>63309</v>
      </c>
      <c r="L3181" t="s">
        <v>63310</v>
      </c>
      <c r="M3181" t="s">
        <v>63311</v>
      </c>
      <c r="N3181" t="s">
        <v>63312</v>
      </c>
      <c r="O3181">
        <f>-603.79857992253 -92.2277032151272 -727.550531242431</f>
        <v>-1423.5768143800883</v>
      </c>
      <c r="P3181">
        <f>-618.746279075089 -64.396649886379 -412.609027877348</f>
        <v>-1095.7519568388161</v>
      </c>
      <c r="Q3181">
        <f>-359.806582192002 -40.3795864382512 -408.674259183529</f>
        <v>-808.86042781378217</v>
      </c>
      <c r="R3181" t="s">
        <v>63313</v>
      </c>
      <c r="S3181" t="s">
        <v>63314</v>
      </c>
      <c r="T3181" t="s">
        <v>63315</v>
      </c>
      <c r="U3181" t="s">
        <v>63316</v>
      </c>
      <c r="V3181" t="s">
        <v>63317</v>
      </c>
      <c r="W3181" t="s">
        <v>63318</v>
      </c>
      <c r="X3181" t="s">
        <v>63319</v>
      </c>
      <c r="Y3181" t="s">
        <v>63320</v>
      </c>
    </row>
    <row r="3182" spans="1:25" x14ac:dyDescent="0.3">
      <c r="A3182">
        <v>159050</v>
      </c>
      <c r="B3182" t="s">
        <v>63321</v>
      </c>
      <c r="C3182" t="s">
        <v>63322</v>
      </c>
      <c r="D3182" t="s">
        <v>63323</v>
      </c>
      <c r="E3182" t="s">
        <v>63324</v>
      </c>
      <c r="F3182" t="s">
        <v>63325</v>
      </c>
      <c r="G3182" t="s">
        <v>63326</v>
      </c>
      <c r="H3182" t="s">
        <v>63327</v>
      </c>
      <c r="I3182" t="s">
        <v>63328</v>
      </c>
      <c r="J3182" t="s">
        <v>63329</v>
      </c>
      <c r="K3182" t="s">
        <v>63330</v>
      </c>
      <c r="L3182" t="s">
        <v>63331</v>
      </c>
      <c r="M3182" t="s">
        <v>63332</v>
      </c>
      <c r="N3182" t="s">
        <v>63333</v>
      </c>
      <c r="O3182">
        <f>-603.28969721415 -92.8216819481146 -727.610015867375</f>
        <v>-1423.7213950296396</v>
      </c>
      <c r="P3182">
        <f>-618.527581022486 -64.8476220491225 -412.694974931151</f>
        <v>-1096.0701780027593</v>
      </c>
      <c r="Q3182">
        <f>-359.621158888336 -40.4916668401806 -408.657597949907</f>
        <v>-808.77042367842364</v>
      </c>
      <c r="R3182" t="s">
        <v>63334</v>
      </c>
      <c r="S3182" t="s">
        <v>63335</v>
      </c>
      <c r="T3182" t="s">
        <v>63336</v>
      </c>
      <c r="U3182" t="s">
        <v>63337</v>
      </c>
      <c r="V3182" t="s">
        <v>63338</v>
      </c>
      <c r="W3182" t="s">
        <v>63339</v>
      </c>
      <c r="X3182" t="s">
        <v>63340</v>
      </c>
      <c r="Y3182" t="s">
        <v>63341</v>
      </c>
    </row>
    <row r="3183" spans="1:25" x14ac:dyDescent="0.3">
      <c r="A3183">
        <v>159100</v>
      </c>
      <c r="B3183" t="s">
        <v>63342</v>
      </c>
      <c r="C3183" t="s">
        <v>63343</v>
      </c>
      <c r="D3183" t="s">
        <v>63344</v>
      </c>
      <c r="E3183" t="s">
        <v>63345</v>
      </c>
      <c r="F3183" t="s">
        <v>63346</v>
      </c>
      <c r="G3183" t="s">
        <v>63347</v>
      </c>
      <c r="H3183" t="s">
        <v>63348</v>
      </c>
      <c r="I3183" t="s">
        <v>63349</v>
      </c>
      <c r="J3183" t="s">
        <v>63350</v>
      </c>
      <c r="K3183" t="s">
        <v>63351</v>
      </c>
      <c r="L3183" t="s">
        <v>63352</v>
      </c>
      <c r="M3183" t="s">
        <v>63353</v>
      </c>
      <c r="N3183" t="s">
        <v>63354</v>
      </c>
      <c r="O3183">
        <f>-602.92847053363 -93.1781173922017 -727.667818538449</f>
        <v>-1423.7744064642807</v>
      </c>
      <c r="P3183">
        <f>-618.447619845495 -65.1065832660341 -412.775385614454</f>
        <v>-1096.3295887259831</v>
      </c>
      <c r="Q3183">
        <f>-359.561650527641 -40.5516209539067 -408.631700395849</f>
        <v>-808.74497187739667</v>
      </c>
      <c r="R3183" t="s">
        <v>63355</v>
      </c>
      <c r="S3183" t="s">
        <v>63356</v>
      </c>
      <c r="T3183" t="s">
        <v>63357</v>
      </c>
      <c r="U3183" t="s">
        <v>63358</v>
      </c>
      <c r="V3183" t="s">
        <v>63359</v>
      </c>
      <c r="W3183" t="s">
        <v>63360</v>
      </c>
      <c r="X3183" t="s">
        <v>63361</v>
      </c>
      <c r="Y3183" t="s">
        <v>63362</v>
      </c>
    </row>
    <row r="3184" spans="1:25" x14ac:dyDescent="0.3">
      <c r="A3184">
        <v>159150</v>
      </c>
      <c r="B3184" t="s">
        <v>63363</v>
      </c>
      <c r="C3184" t="s">
        <v>63364</v>
      </c>
      <c r="D3184" t="s">
        <v>63365</v>
      </c>
      <c r="E3184" t="s">
        <v>63366</v>
      </c>
      <c r="F3184" t="s">
        <v>63367</v>
      </c>
      <c r="G3184" t="s">
        <v>63368</v>
      </c>
      <c r="H3184" t="s">
        <v>63369</v>
      </c>
      <c r="I3184" t="s">
        <v>63370</v>
      </c>
      <c r="J3184" t="s">
        <v>63371</v>
      </c>
      <c r="K3184" t="s">
        <v>63372</v>
      </c>
      <c r="L3184" t="s">
        <v>63373</v>
      </c>
      <c r="M3184" t="s">
        <v>63374</v>
      </c>
      <c r="N3184" t="s">
        <v>63375</v>
      </c>
      <c r="O3184">
        <f>-602.644413915405 -93.9142544225136 -727.681399516961</f>
        <v>-1424.2400678548797</v>
      </c>
      <c r="P3184">
        <f>-618.520834780959 -65.5242007170838 -412.83520794829</f>
        <v>-1096.8802434463328</v>
      </c>
      <c r="Q3184">
        <f>-359.673964517372 -40.5955318695613 -408.485095941155</f>
        <v>-808.75459232808828</v>
      </c>
      <c r="R3184" t="s">
        <v>63376</v>
      </c>
      <c r="S3184" t="s">
        <v>63377</v>
      </c>
      <c r="T3184" t="s">
        <v>63378</v>
      </c>
      <c r="U3184" t="s">
        <v>63379</v>
      </c>
      <c r="V3184" t="s">
        <v>63380</v>
      </c>
      <c r="W3184" t="s">
        <v>63381</v>
      </c>
      <c r="X3184" t="s">
        <v>63382</v>
      </c>
      <c r="Y3184" t="s">
        <v>63383</v>
      </c>
    </row>
    <row r="3185" spans="1:25" x14ac:dyDescent="0.3">
      <c r="A3185">
        <v>159200</v>
      </c>
      <c r="B3185" t="s">
        <v>63384</v>
      </c>
      <c r="C3185" t="s">
        <v>63385</v>
      </c>
      <c r="D3185" t="s">
        <v>63386</v>
      </c>
      <c r="E3185" t="s">
        <v>63387</v>
      </c>
      <c r="F3185" t="s">
        <v>63388</v>
      </c>
      <c r="G3185" t="s">
        <v>63389</v>
      </c>
      <c r="H3185" t="s">
        <v>63390</v>
      </c>
      <c r="I3185" t="s">
        <v>63391</v>
      </c>
      <c r="J3185" t="s">
        <v>63392</v>
      </c>
      <c r="K3185" t="s">
        <v>63393</v>
      </c>
      <c r="L3185" t="s">
        <v>63394</v>
      </c>
      <c r="M3185" t="s">
        <v>63395</v>
      </c>
      <c r="N3185" t="s">
        <v>63396</v>
      </c>
      <c r="O3185">
        <f>-602.369844833196 -94.1840716765134 -727.716173908113</f>
        <v>-1424.2700904178223</v>
      </c>
      <c r="P3185">
        <f>-618.481561232575 -65.699701235318 -412.890454140246</f>
        <v>-1097.071716608139</v>
      </c>
      <c r="Q3185">
        <f>-359.643123568529 -40.6975207157331 -408.461569037848</f>
        <v>-808.80221332211011</v>
      </c>
      <c r="R3185" t="s">
        <v>63397</v>
      </c>
      <c r="S3185" t="s">
        <v>63398</v>
      </c>
      <c r="T3185" t="s">
        <v>63399</v>
      </c>
      <c r="U3185" t="s">
        <v>63400</v>
      </c>
      <c r="V3185" t="s">
        <v>63401</v>
      </c>
      <c r="W3185" t="s">
        <v>63402</v>
      </c>
      <c r="X3185" t="s">
        <v>63403</v>
      </c>
      <c r="Y3185" t="s">
        <v>63404</v>
      </c>
    </row>
    <row r="3186" spans="1:25" x14ac:dyDescent="0.3">
      <c r="A3186">
        <v>159250</v>
      </c>
      <c r="B3186" t="s">
        <v>63405</v>
      </c>
      <c r="C3186" t="s">
        <v>63406</v>
      </c>
      <c r="D3186" t="s">
        <v>63407</v>
      </c>
      <c r="E3186" t="s">
        <v>63408</v>
      </c>
      <c r="F3186" t="s">
        <v>63409</v>
      </c>
      <c r="G3186" t="s">
        <v>63410</v>
      </c>
      <c r="H3186" t="s">
        <v>63411</v>
      </c>
      <c r="I3186" t="s">
        <v>63412</v>
      </c>
      <c r="J3186" t="s">
        <v>63413</v>
      </c>
      <c r="K3186" t="s">
        <v>63414</v>
      </c>
      <c r="L3186" t="s">
        <v>63415</v>
      </c>
      <c r="M3186" t="s">
        <v>63416</v>
      </c>
      <c r="N3186" t="s">
        <v>63417</v>
      </c>
      <c r="O3186">
        <f>-601.862395724266 -94.773401041111 -727.731736723661</f>
        <v>-1424.3675334890381</v>
      </c>
      <c r="P3186">
        <f>-618.429374370746 -66.1907664168218 -412.938570106952</f>
        <v>-1097.5587108945199</v>
      </c>
      <c r="Q3186">
        <f>-359.605333480906 -41.0468092101252 -408.473911599899</f>
        <v>-809.12605429093014</v>
      </c>
      <c r="R3186" t="s">
        <v>63418</v>
      </c>
      <c r="S3186" t="s">
        <v>63419</v>
      </c>
      <c r="T3186" t="s">
        <v>63420</v>
      </c>
      <c r="U3186" t="s">
        <v>63421</v>
      </c>
      <c r="V3186" t="s">
        <v>63422</v>
      </c>
      <c r="W3186" t="s">
        <v>63423</v>
      </c>
      <c r="X3186" t="s">
        <v>63424</v>
      </c>
      <c r="Y3186" t="s">
        <v>63425</v>
      </c>
    </row>
    <row r="3187" spans="1:25" x14ac:dyDescent="0.3">
      <c r="A3187">
        <v>159300</v>
      </c>
      <c r="B3187" t="s">
        <v>63426</v>
      </c>
      <c r="C3187" t="s">
        <v>63427</v>
      </c>
      <c r="D3187" t="s">
        <v>63428</v>
      </c>
      <c r="E3187" t="s">
        <v>63429</v>
      </c>
      <c r="F3187" t="s">
        <v>63430</v>
      </c>
      <c r="G3187" t="s">
        <v>63431</v>
      </c>
      <c r="H3187" t="s">
        <v>63432</v>
      </c>
      <c r="I3187" t="s">
        <v>63433</v>
      </c>
      <c r="J3187" t="s">
        <v>63434</v>
      </c>
      <c r="K3187" t="s">
        <v>63435</v>
      </c>
      <c r="L3187" t="s">
        <v>63436</v>
      </c>
      <c r="M3187" t="s">
        <v>63437</v>
      </c>
      <c r="N3187" t="s">
        <v>63438</v>
      </c>
      <c r="O3187">
        <f>-601.735234894768 -95.1424923307507 -727.741831444656</f>
        <v>-1424.6195586701747</v>
      </c>
      <c r="P3187">
        <f>-618.534716153064 -66.548997598351 -412.961943070143</f>
        <v>-1098.0456568215579</v>
      </c>
      <c r="Q3187">
        <f>-359.699568027462 -41.4975646482178 -408.621749274561</f>
        <v>-809.81888195024089</v>
      </c>
      <c r="R3187" t="s">
        <v>63439</v>
      </c>
      <c r="S3187" t="s">
        <v>63440</v>
      </c>
      <c r="T3187" t="s">
        <v>63441</v>
      </c>
      <c r="U3187" t="s">
        <v>63442</v>
      </c>
      <c r="V3187" t="s">
        <v>63443</v>
      </c>
      <c r="W3187" t="s">
        <v>63444</v>
      </c>
      <c r="X3187" t="s">
        <v>63445</v>
      </c>
      <c r="Y3187" t="s">
        <v>63446</v>
      </c>
    </row>
    <row r="3188" spans="1:25" x14ac:dyDescent="0.3">
      <c r="A3188">
        <v>159350</v>
      </c>
      <c r="B3188" t="s">
        <v>63447</v>
      </c>
      <c r="C3188" t="s">
        <v>63448</v>
      </c>
      <c r="D3188" t="s">
        <v>63449</v>
      </c>
      <c r="E3188" t="s">
        <v>63450</v>
      </c>
      <c r="F3188" t="s">
        <v>63451</v>
      </c>
      <c r="G3188" t="s">
        <v>63452</v>
      </c>
      <c r="H3188" t="s">
        <v>63453</v>
      </c>
      <c r="I3188" t="s">
        <v>63454</v>
      </c>
      <c r="J3188" t="s">
        <v>63455</v>
      </c>
      <c r="K3188" t="s">
        <v>63456</v>
      </c>
      <c r="L3188" t="s">
        <v>63457</v>
      </c>
      <c r="M3188" t="s">
        <v>63458</v>
      </c>
      <c r="N3188" t="s">
        <v>63459</v>
      </c>
      <c r="O3188">
        <f>-601.868540405497 -95.4805243347698 -727.751647008348</f>
        <v>-1425.1007117486147</v>
      </c>
      <c r="P3188">
        <f>-618.926823137237 -66.8339572586627 -412.990524393411</f>
        <v>-1098.7513047893108</v>
      </c>
      <c r="Q3188">
        <f>-360.045320292217 -42.2251111599556 -408.888929215522</f>
        <v>-811.15936066769461</v>
      </c>
      <c r="R3188" t="s">
        <v>63460</v>
      </c>
      <c r="S3188" t="s">
        <v>63461</v>
      </c>
      <c r="T3188" t="s">
        <v>63462</v>
      </c>
      <c r="U3188" t="s">
        <v>63463</v>
      </c>
      <c r="V3188" t="s">
        <v>63464</v>
      </c>
      <c r="W3188" t="s">
        <v>63465</v>
      </c>
      <c r="X3188" t="s">
        <v>63466</v>
      </c>
      <c r="Y3188" t="s">
        <v>63467</v>
      </c>
    </row>
    <row r="3189" spans="1:25" x14ac:dyDescent="0.3">
      <c r="A3189">
        <v>159400</v>
      </c>
      <c r="B3189" t="s">
        <v>63468</v>
      </c>
      <c r="C3189" t="s">
        <v>63469</v>
      </c>
      <c r="D3189" t="s">
        <v>63470</v>
      </c>
      <c r="E3189" t="s">
        <v>63471</v>
      </c>
      <c r="F3189" t="s">
        <v>63472</v>
      </c>
      <c r="G3189" t="s">
        <v>63473</v>
      </c>
      <c r="H3189" t="s">
        <v>63474</v>
      </c>
      <c r="I3189" t="s">
        <v>63475</v>
      </c>
      <c r="J3189" t="s">
        <v>63476</v>
      </c>
      <c r="K3189" t="s">
        <v>63477</v>
      </c>
      <c r="L3189" t="s">
        <v>63478</v>
      </c>
      <c r="M3189" t="s">
        <v>63479</v>
      </c>
      <c r="N3189" t="s">
        <v>63480</v>
      </c>
      <c r="O3189">
        <f>-602.009449276341 -95.4735137147221 -727.72844509287</f>
        <v>-1425.2114080839331</v>
      </c>
      <c r="P3189">
        <f>-619.087385359927 -66.806411485065 -412.970191578484</f>
        <v>-1098.863988423476</v>
      </c>
      <c r="Q3189">
        <f>-360.174745149757 -42.5009304727662 -409.02820062014</f>
        <v>-811.70387624266323</v>
      </c>
      <c r="R3189" t="s">
        <v>63481</v>
      </c>
      <c r="S3189" t="s">
        <v>63482</v>
      </c>
      <c r="T3189" t="s">
        <v>63483</v>
      </c>
      <c r="U3189" t="s">
        <v>63484</v>
      </c>
      <c r="V3189" t="s">
        <v>63485</v>
      </c>
      <c r="W3189" t="s">
        <v>63486</v>
      </c>
      <c r="X3189" t="s">
        <v>63487</v>
      </c>
      <c r="Y3189" t="s">
        <v>63488</v>
      </c>
    </row>
    <row r="3190" spans="1:25" x14ac:dyDescent="0.3">
      <c r="A3190">
        <v>159450</v>
      </c>
      <c r="B3190" t="s">
        <v>63489</v>
      </c>
      <c r="C3190" t="s">
        <v>63490</v>
      </c>
      <c r="D3190" t="s">
        <v>63491</v>
      </c>
      <c r="E3190" t="s">
        <v>63492</v>
      </c>
      <c r="F3190" t="s">
        <v>63493</v>
      </c>
      <c r="G3190" t="s">
        <v>63494</v>
      </c>
      <c r="H3190" t="s">
        <v>63495</v>
      </c>
      <c r="I3190" t="s">
        <v>63496</v>
      </c>
      <c r="J3190" t="s">
        <v>63497</v>
      </c>
      <c r="K3190" t="s">
        <v>63498</v>
      </c>
      <c r="L3190" t="s">
        <v>63499</v>
      </c>
      <c r="M3190" t="s">
        <v>63500</v>
      </c>
      <c r="N3190" t="s">
        <v>63501</v>
      </c>
      <c r="O3190">
        <f>-602.309093865463 -95.7669206557937 -727.705191724261</f>
        <v>-1425.7812062455178</v>
      </c>
      <c r="P3190">
        <f>-619.158200827335 -66.975051625907 -412.946006145786</f>
        <v>-1099.079258599028</v>
      </c>
      <c r="Q3190">
        <f>-360.201314448707 -43.101340993892 -409.284101412781</f>
        <v>-812.58675685538003</v>
      </c>
      <c r="R3190" t="s">
        <v>63502</v>
      </c>
      <c r="S3190" t="s">
        <v>63503</v>
      </c>
      <c r="T3190" t="s">
        <v>63504</v>
      </c>
      <c r="U3190" t="s">
        <v>63505</v>
      </c>
      <c r="V3190" t="s">
        <v>63506</v>
      </c>
      <c r="W3190" t="s">
        <v>63507</v>
      </c>
      <c r="X3190" t="s">
        <v>63508</v>
      </c>
      <c r="Y3190" t="s">
        <v>63509</v>
      </c>
    </row>
    <row r="3191" spans="1:25" x14ac:dyDescent="0.3">
      <c r="A3191">
        <v>159500</v>
      </c>
      <c r="B3191" t="s">
        <v>63510</v>
      </c>
      <c r="C3191" t="s">
        <v>63511</v>
      </c>
      <c r="D3191" t="s">
        <v>63512</v>
      </c>
      <c r="E3191" t="s">
        <v>63513</v>
      </c>
      <c r="F3191" t="s">
        <v>63514</v>
      </c>
      <c r="G3191" t="s">
        <v>63515</v>
      </c>
      <c r="H3191" t="s">
        <v>63516</v>
      </c>
      <c r="I3191" t="s">
        <v>63517</v>
      </c>
      <c r="J3191" t="s">
        <v>63518</v>
      </c>
      <c r="K3191" t="s">
        <v>63519</v>
      </c>
      <c r="L3191" t="s">
        <v>63520</v>
      </c>
      <c r="M3191" t="s">
        <v>63521</v>
      </c>
      <c r="N3191" t="s">
        <v>63522</v>
      </c>
      <c r="O3191">
        <f>-602.657265927443 -95.7127625058656 -727.631791096036</f>
        <v>-1426.0018195293446</v>
      </c>
      <c r="P3191">
        <f>-619.392271102751 -67.0140994808916 -412.858067058439</f>
        <v>-1099.2644376420817</v>
      </c>
      <c r="Q3191">
        <f>-360.420606446184 -43.2817362099137 -409.322617961504</f>
        <v>-813.02496061760166</v>
      </c>
      <c r="R3191" t="s">
        <v>63523</v>
      </c>
      <c r="S3191" t="s">
        <v>63524</v>
      </c>
      <c r="T3191" t="s">
        <v>63525</v>
      </c>
      <c r="U3191" t="s">
        <v>63526</v>
      </c>
      <c r="V3191" t="s">
        <v>63527</v>
      </c>
      <c r="W3191" t="s">
        <v>63528</v>
      </c>
      <c r="X3191" t="s">
        <v>63529</v>
      </c>
      <c r="Y3191" t="s">
        <v>63530</v>
      </c>
    </row>
    <row r="3192" spans="1:25" x14ac:dyDescent="0.3">
      <c r="A3192">
        <v>159550</v>
      </c>
      <c r="B3192" t="s">
        <v>63531</v>
      </c>
      <c r="C3192" t="s">
        <v>63532</v>
      </c>
      <c r="D3192" t="s">
        <v>63533</v>
      </c>
      <c r="E3192" t="s">
        <v>63534</v>
      </c>
      <c r="F3192" t="s">
        <v>63535</v>
      </c>
      <c r="G3192" t="s">
        <v>63536</v>
      </c>
      <c r="H3192" t="s">
        <v>63537</v>
      </c>
      <c r="I3192" t="s">
        <v>63538</v>
      </c>
      <c r="J3192" t="s">
        <v>63539</v>
      </c>
      <c r="K3192" t="s">
        <v>63540</v>
      </c>
      <c r="L3192" t="s">
        <v>63541</v>
      </c>
      <c r="M3192" t="s">
        <v>63542</v>
      </c>
      <c r="N3192" t="s">
        <v>63543</v>
      </c>
      <c r="O3192">
        <f>-603.612541500603 -95.6683429399146 -727.579702431778</f>
        <v>-1426.8605868722957</v>
      </c>
      <c r="P3192">
        <f>-620.200750042498 -66.9931537708487 -412.795995225856</f>
        <v>-1099.9898990392028</v>
      </c>
      <c r="Q3192">
        <f>-361.207699413039 -43.4768212610548 -409.385776011151</f>
        <v>-814.07029668524478</v>
      </c>
      <c r="R3192" t="s">
        <v>63544</v>
      </c>
      <c r="S3192" t="s">
        <v>63545</v>
      </c>
      <c r="T3192" t="s">
        <v>63546</v>
      </c>
      <c r="U3192" t="s">
        <v>63547</v>
      </c>
      <c r="V3192" t="s">
        <v>63548</v>
      </c>
      <c r="W3192" t="s">
        <v>63549</v>
      </c>
      <c r="X3192" t="s">
        <v>63550</v>
      </c>
      <c r="Y3192" t="s">
        <v>63551</v>
      </c>
    </row>
    <row r="3193" spans="1:25" x14ac:dyDescent="0.3">
      <c r="A3193">
        <v>159600</v>
      </c>
      <c r="B3193" t="s">
        <v>63552</v>
      </c>
      <c r="C3193" t="s">
        <v>63553</v>
      </c>
      <c r="D3193" t="s">
        <v>63554</v>
      </c>
      <c r="E3193" t="s">
        <v>63555</v>
      </c>
      <c r="F3193" t="s">
        <v>63556</v>
      </c>
      <c r="G3193" t="s">
        <v>63557</v>
      </c>
      <c r="H3193" t="s">
        <v>63558</v>
      </c>
      <c r="I3193" t="s">
        <v>63559</v>
      </c>
      <c r="J3193" t="s">
        <v>63560</v>
      </c>
      <c r="K3193" t="s">
        <v>63561</v>
      </c>
      <c r="L3193" t="s">
        <v>63562</v>
      </c>
      <c r="M3193" t="s">
        <v>63563</v>
      </c>
      <c r="N3193" t="s">
        <v>63564</v>
      </c>
      <c r="O3193">
        <f>-604.036318707663 -95.5513862276865 -727.577768632254</f>
        <v>-1427.1654735676034</v>
      </c>
      <c r="P3193">
        <f>-620.65038706037 -66.8176886867857 -412.800695196827</f>
        <v>-1100.2687709439826</v>
      </c>
      <c r="Q3193">
        <f>-361.64732244494 -43.4031990963351 -409.451629525608</f>
        <v>-814.50215106688302</v>
      </c>
      <c r="R3193" t="s">
        <v>63565</v>
      </c>
      <c r="S3193" t="s">
        <v>63566</v>
      </c>
      <c r="T3193" t="s">
        <v>63567</v>
      </c>
      <c r="U3193" t="s">
        <v>63568</v>
      </c>
      <c r="V3193" t="s">
        <v>63569</v>
      </c>
      <c r="W3193" t="s">
        <v>63570</v>
      </c>
      <c r="X3193" t="s">
        <v>63571</v>
      </c>
      <c r="Y3193" t="s">
        <v>63572</v>
      </c>
    </row>
    <row r="3194" spans="1:25" x14ac:dyDescent="0.3">
      <c r="A3194">
        <v>159650</v>
      </c>
      <c r="B3194" t="s">
        <v>63573</v>
      </c>
      <c r="C3194" t="s">
        <v>63574</v>
      </c>
      <c r="D3194" t="s">
        <v>63575</v>
      </c>
      <c r="E3194" t="s">
        <v>63576</v>
      </c>
      <c r="F3194" t="s">
        <v>63577</v>
      </c>
      <c r="G3194" t="s">
        <v>63578</v>
      </c>
      <c r="H3194" t="s">
        <v>63579</v>
      </c>
      <c r="I3194" t="s">
        <v>63580</v>
      </c>
      <c r="J3194" t="s">
        <v>63581</v>
      </c>
      <c r="K3194" t="s">
        <v>63582</v>
      </c>
      <c r="L3194" t="s">
        <v>63583</v>
      </c>
      <c r="M3194" t="s">
        <v>63584</v>
      </c>
      <c r="N3194" t="s">
        <v>63585</v>
      </c>
      <c r="O3194">
        <f>-604.97815564797 -95.5525173245128 -727.586005953278</f>
        <v>-1428.1166789257609</v>
      </c>
      <c r="P3194">
        <f>-621.462309411427 -66.6024226280309 -412.822053678829</f>
        <v>-1100.8867857182868</v>
      </c>
      <c r="Q3194">
        <f>-362.426628808528 -43.5396854548142 -409.552655804878</f>
        <v>-815.51897006822014</v>
      </c>
      <c r="R3194" t="s">
        <v>63586</v>
      </c>
      <c r="S3194" t="s">
        <v>63587</v>
      </c>
      <c r="T3194" t="s">
        <v>63588</v>
      </c>
      <c r="U3194" t="s">
        <v>63589</v>
      </c>
      <c r="V3194" t="s">
        <v>63590</v>
      </c>
      <c r="W3194" t="s">
        <v>63591</v>
      </c>
      <c r="X3194" t="s">
        <v>63592</v>
      </c>
      <c r="Y3194" t="s">
        <v>63593</v>
      </c>
    </row>
    <row r="3195" spans="1:25" x14ac:dyDescent="0.3">
      <c r="A3195">
        <v>159700</v>
      </c>
      <c r="B3195" t="s">
        <v>63594</v>
      </c>
      <c r="C3195" t="s">
        <v>63595</v>
      </c>
      <c r="D3195" t="s">
        <v>63596</v>
      </c>
      <c r="E3195" t="s">
        <v>63597</v>
      </c>
      <c r="F3195" t="s">
        <v>63598</v>
      </c>
      <c r="G3195" t="s">
        <v>63599</v>
      </c>
      <c r="H3195" t="s">
        <v>63600</v>
      </c>
      <c r="I3195" t="s">
        <v>63601</v>
      </c>
      <c r="J3195" t="s">
        <v>63602</v>
      </c>
      <c r="K3195" t="s">
        <v>63603</v>
      </c>
      <c r="L3195" t="s">
        <v>63604</v>
      </c>
      <c r="M3195" t="s">
        <v>63605</v>
      </c>
      <c r="N3195" t="s">
        <v>63606</v>
      </c>
      <c r="O3195">
        <f>-605.511978164017 -95.2685969223063 -727.607883813599</f>
        <v>-1428.3884588999222</v>
      </c>
      <c r="P3195">
        <f>-622.005568269722 -66.2185837164538 -412.853738454218</f>
        <v>-1101.0778904403937</v>
      </c>
      <c r="Q3195">
        <f>-362.956040454311 -43.312059627816 -409.58687562581</f>
        <v>-815.854975707937</v>
      </c>
      <c r="R3195" t="s">
        <v>63607</v>
      </c>
      <c r="S3195" t="s">
        <v>63608</v>
      </c>
      <c r="T3195" t="s">
        <v>63609</v>
      </c>
      <c r="U3195" t="s">
        <v>63610</v>
      </c>
      <c r="V3195" t="s">
        <v>63611</v>
      </c>
      <c r="W3195" t="s">
        <v>63612</v>
      </c>
      <c r="X3195" t="s">
        <v>63613</v>
      </c>
      <c r="Y3195" t="s">
        <v>63614</v>
      </c>
    </row>
    <row r="3196" spans="1:25" x14ac:dyDescent="0.3">
      <c r="A3196">
        <v>159750</v>
      </c>
      <c r="B3196" t="s">
        <v>63615</v>
      </c>
      <c r="C3196" t="s">
        <v>63616</v>
      </c>
      <c r="D3196" t="s">
        <v>63617</v>
      </c>
      <c r="E3196" t="s">
        <v>63618</v>
      </c>
      <c r="F3196" t="s">
        <v>63619</v>
      </c>
      <c r="G3196" t="s">
        <v>63620</v>
      </c>
      <c r="H3196" t="s">
        <v>63621</v>
      </c>
      <c r="I3196" t="s">
        <v>63622</v>
      </c>
      <c r="J3196" t="s">
        <v>63623</v>
      </c>
      <c r="K3196" t="s">
        <v>63624</v>
      </c>
      <c r="L3196" t="s">
        <v>63625</v>
      </c>
      <c r="M3196" t="s">
        <v>63626</v>
      </c>
      <c r="N3196" t="s">
        <v>63627</v>
      </c>
      <c r="O3196">
        <f>-606.507407732504 -95.1892492760101 -727.669972848963</f>
        <v>-1429.3666298574772</v>
      </c>
      <c r="P3196">
        <f>-623.11660107176 -66.2020107467351 -412.915998072217</f>
        <v>-1102.2346098907121</v>
      </c>
      <c r="Q3196">
        <f>-364.055507823717 -43.4464782228877 -409.508766071168</f>
        <v>-817.01075211777265</v>
      </c>
      <c r="R3196" t="s">
        <v>63628</v>
      </c>
      <c r="S3196" t="s">
        <v>63629</v>
      </c>
      <c r="T3196" t="s">
        <v>63630</v>
      </c>
      <c r="U3196" t="s">
        <v>63631</v>
      </c>
      <c r="V3196" t="s">
        <v>63632</v>
      </c>
      <c r="W3196" t="s">
        <v>63633</v>
      </c>
      <c r="X3196" t="s">
        <v>63634</v>
      </c>
      <c r="Y3196" t="s">
        <v>63635</v>
      </c>
    </row>
    <row r="3197" spans="1:25" x14ac:dyDescent="0.3">
      <c r="A3197">
        <v>159800</v>
      </c>
      <c r="B3197" t="s">
        <v>63636</v>
      </c>
      <c r="C3197" t="s">
        <v>63637</v>
      </c>
      <c r="D3197" t="s">
        <v>63638</v>
      </c>
      <c r="E3197" t="s">
        <v>63639</v>
      </c>
      <c r="F3197" t="s">
        <v>63640</v>
      </c>
      <c r="G3197" t="s">
        <v>63641</v>
      </c>
      <c r="H3197" t="s">
        <v>63642</v>
      </c>
      <c r="I3197" t="s">
        <v>63643</v>
      </c>
      <c r="J3197" t="s">
        <v>63644</v>
      </c>
      <c r="K3197" t="s">
        <v>63645</v>
      </c>
      <c r="L3197" t="s">
        <v>63646</v>
      </c>
      <c r="M3197" t="s">
        <v>63647</v>
      </c>
      <c r="N3197" t="s">
        <v>63648</v>
      </c>
      <c r="O3197">
        <f>-606.887468804665 -95.1422498259211 -727.744466375095</f>
        <v>-1429.7741850056811</v>
      </c>
      <c r="P3197">
        <f>-623.497066836261 -66.3041383701938 -412.976818081514</f>
        <v>-1102.7780232879686</v>
      </c>
      <c r="Q3197">
        <f>-364.432926659436 -43.5956053246115 -409.488149984178</f>
        <v>-817.5166819682255</v>
      </c>
      <c r="R3197" t="s">
        <v>63649</v>
      </c>
      <c r="S3197" t="s">
        <v>63650</v>
      </c>
      <c r="T3197" t="s">
        <v>63651</v>
      </c>
      <c r="U3197" t="s">
        <v>63652</v>
      </c>
      <c r="V3197" t="s">
        <v>63653</v>
      </c>
      <c r="W3197" t="s">
        <v>63654</v>
      </c>
      <c r="X3197" t="s">
        <v>63655</v>
      </c>
      <c r="Y3197" t="s">
        <v>63656</v>
      </c>
    </row>
    <row r="3198" spans="1:25" x14ac:dyDescent="0.3">
      <c r="A3198">
        <v>159850</v>
      </c>
      <c r="B3198" t="s">
        <v>63657</v>
      </c>
      <c r="C3198" t="s">
        <v>63658</v>
      </c>
      <c r="D3198" t="s">
        <v>63659</v>
      </c>
      <c r="E3198" t="s">
        <v>63660</v>
      </c>
      <c r="F3198" t="s">
        <v>63661</v>
      </c>
      <c r="G3198" t="s">
        <v>63662</v>
      </c>
      <c r="H3198" t="s">
        <v>63663</v>
      </c>
      <c r="I3198" t="s">
        <v>63664</v>
      </c>
      <c r="J3198" t="s">
        <v>63665</v>
      </c>
      <c r="K3198" t="s">
        <v>63666</v>
      </c>
      <c r="L3198" t="s">
        <v>63667</v>
      </c>
      <c r="M3198" t="s">
        <v>63668</v>
      </c>
      <c r="N3198" t="s">
        <v>63669</v>
      </c>
      <c r="O3198">
        <f>-607.883730189066 -94.9899598583732 -727.93561979534</f>
        <v>-1430.8093098427792</v>
      </c>
      <c r="P3198">
        <f>-624.58918812814 -66.1638955037438 -413.172025235708</f>
        <v>-1103.9251088675919</v>
      </c>
      <c r="Q3198">
        <f>-365.50522944325 -43.6915397242558 -409.629045031024</f>
        <v>-818.82581419852977</v>
      </c>
      <c r="R3198" t="s">
        <v>63670</v>
      </c>
      <c r="S3198" t="s">
        <v>63671</v>
      </c>
      <c r="T3198" t="s">
        <v>63672</v>
      </c>
      <c r="U3198" t="s">
        <v>63673</v>
      </c>
      <c r="V3198" t="s">
        <v>63674</v>
      </c>
      <c r="W3198" t="s">
        <v>63675</v>
      </c>
      <c r="X3198" t="s">
        <v>63676</v>
      </c>
      <c r="Y3198" t="s">
        <v>63677</v>
      </c>
    </row>
    <row r="3199" spans="1:25" x14ac:dyDescent="0.3">
      <c r="A3199">
        <v>159900</v>
      </c>
      <c r="B3199" t="s">
        <v>63678</v>
      </c>
      <c r="C3199" t="s">
        <v>63679</v>
      </c>
      <c r="D3199" t="s">
        <v>63680</v>
      </c>
      <c r="E3199" t="s">
        <v>63681</v>
      </c>
      <c r="F3199" t="s">
        <v>63682</v>
      </c>
      <c r="G3199" t="s">
        <v>63683</v>
      </c>
      <c r="H3199" t="s">
        <v>63684</v>
      </c>
      <c r="I3199" t="s">
        <v>63685</v>
      </c>
      <c r="J3199" t="s">
        <v>63686</v>
      </c>
      <c r="K3199" t="s">
        <v>63687</v>
      </c>
      <c r="L3199" t="s">
        <v>63688</v>
      </c>
      <c r="M3199" t="s">
        <v>63689</v>
      </c>
      <c r="N3199" t="s">
        <v>63690</v>
      </c>
      <c r="O3199">
        <f>-608.271885173774 -94.8540087727951 -728.036682599868</f>
        <v>-1431.1625765464369</v>
      </c>
      <c r="P3199">
        <f>-624.961457431929 -66.2264867946058 -413.25413452882</f>
        <v>-1104.4420787553547</v>
      </c>
      <c r="Q3199">
        <f>-365.866814893997 -43.8888126010406 -409.640307045442</f>
        <v>-819.39593454047963</v>
      </c>
      <c r="R3199" t="s">
        <v>63691</v>
      </c>
      <c r="S3199" t="s">
        <v>63692</v>
      </c>
      <c r="T3199" t="s">
        <v>63693</v>
      </c>
      <c r="U3199" t="s">
        <v>63694</v>
      </c>
      <c r="V3199" t="s">
        <v>63695</v>
      </c>
      <c r="W3199" t="s">
        <v>63696</v>
      </c>
      <c r="X3199" t="s">
        <v>63697</v>
      </c>
      <c r="Y3199" t="s">
        <v>63698</v>
      </c>
    </row>
    <row r="3200" spans="1:25" x14ac:dyDescent="0.3">
      <c r="A3200">
        <v>159950</v>
      </c>
      <c r="B3200" t="s">
        <v>63699</v>
      </c>
      <c r="C3200" t="s">
        <v>63700</v>
      </c>
      <c r="D3200" t="s">
        <v>63701</v>
      </c>
      <c r="E3200" t="s">
        <v>63702</v>
      </c>
      <c r="F3200" t="s">
        <v>63703</v>
      </c>
      <c r="G3200" t="s">
        <v>63704</v>
      </c>
      <c r="H3200" t="s">
        <v>63705</v>
      </c>
      <c r="I3200" t="s">
        <v>63706</v>
      </c>
      <c r="J3200" t="s">
        <v>63707</v>
      </c>
      <c r="K3200" t="s">
        <v>63708</v>
      </c>
      <c r="L3200" t="s">
        <v>63709</v>
      </c>
      <c r="M3200" t="s">
        <v>63710</v>
      </c>
      <c r="N3200" t="s">
        <v>63711</v>
      </c>
      <c r="O3200">
        <f>-609.165531920661 -94.7549725107809 -728.283636937052</f>
        <v>-1432.204141368494</v>
      </c>
      <c r="P3200">
        <f>-626.088319322119 -66.1695753479464 -413.509627659264</f>
        <v>-1105.7675223293295</v>
      </c>
      <c r="Q3200">
        <f>-366.967113595235 -44.1272309264285 -409.987263635442</f>
        <v>-821.08160815710551</v>
      </c>
      <c r="R3200" t="s">
        <v>63712</v>
      </c>
      <c r="S3200" t="s">
        <v>63713</v>
      </c>
      <c r="T3200" t="s">
        <v>63714</v>
      </c>
      <c r="U3200" t="s">
        <v>63715</v>
      </c>
      <c r="V3200" t="s">
        <v>63716</v>
      </c>
      <c r="W3200" t="s">
        <v>63717</v>
      </c>
      <c r="X3200" t="s">
        <v>63718</v>
      </c>
      <c r="Y3200" t="s">
        <v>63719</v>
      </c>
    </row>
    <row r="3201" spans="1:25" x14ac:dyDescent="0.3">
      <c r="A3201">
        <v>160000</v>
      </c>
      <c r="B3201" t="s">
        <v>63720</v>
      </c>
      <c r="C3201" t="s">
        <v>63721</v>
      </c>
      <c r="D3201" t="s">
        <v>63722</v>
      </c>
      <c r="E3201" t="s">
        <v>63723</v>
      </c>
      <c r="F3201" t="s">
        <v>63724</v>
      </c>
      <c r="G3201" t="s">
        <v>63725</v>
      </c>
      <c r="H3201" t="s">
        <v>63726</v>
      </c>
      <c r="I3201" t="s">
        <v>63727</v>
      </c>
      <c r="J3201" t="s">
        <v>63728</v>
      </c>
      <c r="K3201" t="s">
        <v>63729</v>
      </c>
      <c r="L3201" t="s">
        <v>63730</v>
      </c>
      <c r="M3201" t="s">
        <v>63731</v>
      </c>
      <c r="N3201" t="s">
        <v>63732</v>
      </c>
      <c r="O3201">
        <f>-609.56978464807 -94.7257140634376 -728.428694571234</f>
        <v>-1432.7241932827417</v>
      </c>
      <c r="P3201">
        <f>-626.520931498211 -66.2531579168338 -413.646052399523</f>
        <v>-1106.4201418145676</v>
      </c>
      <c r="Q3201">
        <f>-367.400241005304 -44.2089734071645 -410.096957618953</f>
        <v>-821.70617203142149</v>
      </c>
      <c r="R3201" t="s">
        <v>63733</v>
      </c>
      <c r="S3201" t="s">
        <v>63734</v>
      </c>
      <c r="T3201" t="s">
        <v>63735</v>
      </c>
      <c r="U3201" t="s">
        <v>63736</v>
      </c>
      <c r="V3201" t="s">
        <v>63737</v>
      </c>
      <c r="W3201" t="s">
        <v>63738</v>
      </c>
      <c r="X3201" t="s">
        <v>63739</v>
      </c>
      <c r="Y3201" t="s">
        <v>63740</v>
      </c>
    </row>
    <row r="3202" spans="1:25" x14ac:dyDescent="0.3">
      <c r="A3202">
        <v>160050</v>
      </c>
      <c r="B3202" t="s">
        <v>63741</v>
      </c>
      <c r="C3202" t="s">
        <v>63742</v>
      </c>
      <c r="D3202" t="s">
        <v>63743</v>
      </c>
      <c r="E3202" t="s">
        <v>63744</v>
      </c>
      <c r="F3202" t="s">
        <v>63745</v>
      </c>
      <c r="G3202" t="s">
        <v>63746</v>
      </c>
      <c r="H3202" t="s">
        <v>63747</v>
      </c>
      <c r="I3202" t="s">
        <v>63748</v>
      </c>
      <c r="J3202" t="s">
        <v>63749</v>
      </c>
      <c r="K3202" t="s">
        <v>63750</v>
      </c>
      <c r="L3202" t="s">
        <v>63751</v>
      </c>
      <c r="M3202" t="s">
        <v>63752</v>
      </c>
      <c r="N3202" t="s">
        <v>63753</v>
      </c>
      <c r="O3202">
        <f>-610.413171236194 -94.7710155354038 -728.772848259166</f>
        <v>-1433.9570350307638</v>
      </c>
      <c r="P3202">
        <f>-627.437070361566 -66.6623099955009 -413.961431822092</f>
        <v>-1108.0608121791588</v>
      </c>
      <c r="Q3202">
        <f>-368.336837132476 -44.3705558757752 -410.471059100813</f>
        <v>-823.17845210906421</v>
      </c>
      <c r="R3202" t="s">
        <v>63754</v>
      </c>
      <c r="S3202" t="s">
        <v>63755</v>
      </c>
      <c r="T3202" t="s">
        <v>63756</v>
      </c>
      <c r="U3202" t="s">
        <v>63757</v>
      </c>
      <c r="V3202" t="s">
        <v>63758</v>
      </c>
      <c r="W3202" t="s">
        <v>63759</v>
      </c>
      <c r="X3202" t="s">
        <v>63760</v>
      </c>
      <c r="Y3202" t="s">
        <v>63761</v>
      </c>
    </row>
    <row r="3203" spans="1:25" x14ac:dyDescent="0.3">
      <c r="A3203">
        <v>160100</v>
      </c>
      <c r="B3203" t="s">
        <v>63762</v>
      </c>
      <c r="C3203" t="s">
        <v>63763</v>
      </c>
      <c r="D3203" t="s">
        <v>63764</v>
      </c>
      <c r="E3203" t="s">
        <v>63765</v>
      </c>
      <c r="F3203" t="s">
        <v>63766</v>
      </c>
      <c r="G3203" t="s">
        <v>63767</v>
      </c>
      <c r="H3203" t="s">
        <v>63768</v>
      </c>
      <c r="I3203" t="s">
        <v>63769</v>
      </c>
      <c r="J3203" t="s">
        <v>63770</v>
      </c>
      <c r="K3203" t="s">
        <v>63771</v>
      </c>
      <c r="L3203" t="s">
        <v>63772</v>
      </c>
      <c r="M3203" t="s">
        <v>63773</v>
      </c>
      <c r="N3203" t="s">
        <v>63774</v>
      </c>
      <c r="O3203">
        <f>-610.982464570524 -94.8262459894005 -728.907021876058</f>
        <v>-1434.7157324359825</v>
      </c>
      <c r="P3203">
        <f>-627.932144415762 -66.9665450026357 -414.069272217395</f>
        <v>-1108.9679616357926</v>
      </c>
      <c r="Q3203">
        <f>-368.849236515855 -44.4678850247611 -410.614623511308</f>
        <v>-823.93174505192405</v>
      </c>
      <c r="R3203" t="s">
        <v>63775</v>
      </c>
      <c r="S3203" t="s">
        <v>63776</v>
      </c>
      <c r="T3203" t="s">
        <v>63777</v>
      </c>
      <c r="U3203" t="s">
        <v>63778</v>
      </c>
      <c r="V3203" t="s">
        <v>63779</v>
      </c>
      <c r="W3203" t="s">
        <v>63780</v>
      </c>
      <c r="X3203" t="s">
        <v>63781</v>
      </c>
      <c r="Y3203" t="s">
        <v>63782</v>
      </c>
    </row>
    <row r="3204" spans="1:25" x14ac:dyDescent="0.3">
      <c r="A3204">
        <v>160150</v>
      </c>
      <c r="B3204" t="s">
        <v>63783</v>
      </c>
      <c r="C3204" t="s">
        <v>63784</v>
      </c>
      <c r="D3204" t="s">
        <v>63785</v>
      </c>
      <c r="E3204" t="s">
        <v>63786</v>
      </c>
      <c r="F3204" t="s">
        <v>63787</v>
      </c>
      <c r="G3204" t="s">
        <v>63788</v>
      </c>
      <c r="H3204" t="s">
        <v>63789</v>
      </c>
      <c r="I3204" t="s">
        <v>63790</v>
      </c>
      <c r="J3204" t="s">
        <v>63791</v>
      </c>
      <c r="K3204" t="s">
        <v>63792</v>
      </c>
      <c r="L3204" t="s">
        <v>63793</v>
      </c>
      <c r="M3204" t="s">
        <v>63794</v>
      </c>
      <c r="N3204" t="s">
        <v>63795</v>
      </c>
      <c r="O3204">
        <f>-611.799645211625 -94.6773229264331 -729.184990192643</f>
        <v>-1435.6619583307011</v>
      </c>
      <c r="P3204">
        <f>-628.826918188873 -67.1150021757471 -414.325417957619</f>
        <v>-1110.2673383222391</v>
      </c>
      <c r="Q3204">
        <f>-369.791571889147 -44.0583533478024 -410.989881946521</f>
        <v>-824.83980718347038</v>
      </c>
      <c r="R3204" t="s">
        <v>63796</v>
      </c>
      <c r="S3204" t="s">
        <v>63797</v>
      </c>
      <c r="T3204" t="s">
        <v>63798</v>
      </c>
      <c r="U3204" t="s">
        <v>63799</v>
      </c>
      <c r="V3204" t="s">
        <v>63800</v>
      </c>
      <c r="W3204" t="s">
        <v>63801</v>
      </c>
      <c r="X3204" t="s">
        <v>63802</v>
      </c>
      <c r="Y3204" t="s">
        <v>63803</v>
      </c>
    </row>
    <row r="3205" spans="1:25" x14ac:dyDescent="0.3">
      <c r="A3205">
        <v>160200</v>
      </c>
      <c r="B3205" t="s">
        <v>63804</v>
      </c>
      <c r="C3205" t="s">
        <v>63805</v>
      </c>
      <c r="D3205" t="s">
        <v>63806</v>
      </c>
      <c r="E3205" t="s">
        <v>63807</v>
      </c>
      <c r="F3205" t="s">
        <v>63808</v>
      </c>
      <c r="G3205" t="s">
        <v>63809</v>
      </c>
      <c r="H3205" t="s">
        <v>63810</v>
      </c>
      <c r="I3205" t="s">
        <v>63811</v>
      </c>
      <c r="J3205" t="s">
        <v>63812</v>
      </c>
      <c r="K3205" t="s">
        <v>63813</v>
      </c>
      <c r="L3205" t="s">
        <v>63814</v>
      </c>
      <c r="M3205" t="s">
        <v>63815</v>
      </c>
      <c r="N3205" t="s">
        <v>63816</v>
      </c>
      <c r="O3205">
        <f>-612.340153439297 -94.5273513826913 -729.349126573108</f>
        <v>-1436.2166313950963</v>
      </c>
      <c r="P3205">
        <f>-629.427509875322 -67.2184920796902 -414.470637559205</f>
        <v>-1111.1166395142172</v>
      </c>
      <c r="Q3205">
        <f>-370.432170224252 -43.7074149140352 -411.199167830598</f>
        <v>-825.33875296888527</v>
      </c>
      <c r="R3205" t="s">
        <v>63817</v>
      </c>
      <c r="S3205" t="s">
        <v>63818</v>
      </c>
      <c r="T3205" t="s">
        <v>63819</v>
      </c>
      <c r="U3205" t="s">
        <v>63820</v>
      </c>
      <c r="V3205" t="s">
        <v>63821</v>
      </c>
      <c r="W3205" t="s">
        <v>63822</v>
      </c>
      <c r="X3205" t="s">
        <v>63823</v>
      </c>
      <c r="Y3205" t="s">
        <v>63824</v>
      </c>
    </row>
    <row r="3206" spans="1:25" x14ac:dyDescent="0.3">
      <c r="A3206">
        <v>160250</v>
      </c>
      <c r="B3206" t="s">
        <v>63825</v>
      </c>
      <c r="C3206" t="s">
        <v>63826</v>
      </c>
      <c r="D3206" t="s">
        <v>63827</v>
      </c>
      <c r="E3206" t="s">
        <v>63828</v>
      </c>
      <c r="F3206" t="s">
        <v>63829</v>
      </c>
      <c r="G3206" t="s">
        <v>63830</v>
      </c>
      <c r="H3206" t="s">
        <v>63831</v>
      </c>
      <c r="I3206" t="s">
        <v>63832</v>
      </c>
      <c r="J3206" t="s">
        <v>63833</v>
      </c>
      <c r="K3206" t="s">
        <v>63834</v>
      </c>
      <c r="L3206" t="s">
        <v>63835</v>
      </c>
      <c r="M3206" t="s">
        <v>63836</v>
      </c>
      <c r="N3206" t="s">
        <v>63837</v>
      </c>
      <c r="O3206">
        <f>-613.488100250777 -94.2990828691501 -729.711187046315</f>
        <v>-1437.4983701662422</v>
      </c>
      <c r="P3206">
        <f>-630.78738384212 -67.5680244308196 -414.79469292213</f>
        <v>-1113.1501011950695</v>
      </c>
      <c r="Q3206">
        <f>-371.884815648383 -43.0632319166693 -411.474230508661</f>
        <v>-826.42227807371319</v>
      </c>
      <c r="R3206" t="s">
        <v>63838</v>
      </c>
      <c r="S3206" t="s">
        <v>63839</v>
      </c>
      <c r="T3206" t="s">
        <v>63840</v>
      </c>
      <c r="U3206" t="s">
        <v>63841</v>
      </c>
      <c r="V3206" t="s">
        <v>63842</v>
      </c>
      <c r="W3206" t="s">
        <v>63843</v>
      </c>
      <c r="X3206" t="s">
        <v>63844</v>
      </c>
      <c r="Y3206" t="s">
        <v>63845</v>
      </c>
    </row>
    <row r="3207" spans="1:25" x14ac:dyDescent="0.3">
      <c r="A3207">
        <v>160300</v>
      </c>
      <c r="B3207" t="s">
        <v>63846</v>
      </c>
      <c r="C3207" t="s">
        <v>63847</v>
      </c>
      <c r="D3207" t="s">
        <v>63848</v>
      </c>
      <c r="E3207" t="s">
        <v>63849</v>
      </c>
      <c r="F3207" t="s">
        <v>63850</v>
      </c>
      <c r="G3207" t="s">
        <v>63851</v>
      </c>
      <c r="H3207" t="s">
        <v>63852</v>
      </c>
      <c r="I3207" t="s">
        <v>63853</v>
      </c>
      <c r="J3207" t="s">
        <v>63854</v>
      </c>
      <c r="K3207" t="s">
        <v>63855</v>
      </c>
      <c r="L3207" t="s">
        <v>63856</v>
      </c>
      <c r="M3207" t="s">
        <v>63857</v>
      </c>
      <c r="N3207" t="s">
        <v>63858</v>
      </c>
      <c r="O3207">
        <f>-614.066112727111 -94.1989820058276 -729.915192344204</f>
        <v>-1438.1802870771426</v>
      </c>
      <c r="P3207">
        <f>-631.415326487312 -67.766772140437 -414.976218055744</f>
        <v>-1114.158316683493</v>
      </c>
      <c r="Q3207">
        <f>-372.552030633496 -42.8457571172273 -411.685559438381</f>
        <v>-827.0833471891043</v>
      </c>
      <c r="R3207" t="s">
        <v>63859</v>
      </c>
      <c r="S3207" t="s">
        <v>63860</v>
      </c>
      <c r="T3207" t="s">
        <v>63861</v>
      </c>
      <c r="U3207" t="s">
        <v>63862</v>
      </c>
      <c r="V3207" t="s">
        <v>63863</v>
      </c>
      <c r="W3207" t="s">
        <v>63864</v>
      </c>
      <c r="X3207" t="s">
        <v>63865</v>
      </c>
      <c r="Y3207" t="s">
        <v>63866</v>
      </c>
    </row>
    <row r="3208" spans="1:25" x14ac:dyDescent="0.3">
      <c r="A3208">
        <v>160350</v>
      </c>
      <c r="B3208" t="s">
        <v>63867</v>
      </c>
      <c r="C3208" t="s">
        <v>63868</v>
      </c>
      <c r="D3208" t="s">
        <v>63869</v>
      </c>
      <c r="E3208" t="s">
        <v>63870</v>
      </c>
      <c r="F3208" t="s">
        <v>63871</v>
      </c>
      <c r="G3208" t="s">
        <v>63872</v>
      </c>
      <c r="H3208" t="s">
        <v>63873</v>
      </c>
      <c r="I3208" t="s">
        <v>63874</v>
      </c>
      <c r="J3208" t="s">
        <v>63875</v>
      </c>
      <c r="K3208" t="s">
        <v>63876</v>
      </c>
      <c r="L3208" t="s">
        <v>63877</v>
      </c>
      <c r="M3208" t="s">
        <v>63878</v>
      </c>
      <c r="N3208" t="s">
        <v>63879</v>
      </c>
      <c r="O3208">
        <f>-615.264284117809 -94.2628147530776 -730.296713038839</f>
        <v>-1439.8238119097255</v>
      </c>
      <c r="P3208">
        <f>-632.675641425485 -68.2876299992129 -415.323150787958</f>
        <v>-1116.2864222126559</v>
      </c>
      <c r="Q3208">
        <f>-373.867279516475 -42.7895689375339 -412.138983463913</f>
        <v>-828.79583191792187</v>
      </c>
      <c r="R3208" t="s">
        <v>63880</v>
      </c>
      <c r="S3208" t="s">
        <v>63881</v>
      </c>
      <c r="T3208" t="s">
        <v>63882</v>
      </c>
      <c r="U3208" t="s">
        <v>63883</v>
      </c>
      <c r="V3208" t="s">
        <v>63884</v>
      </c>
      <c r="W3208" t="s">
        <v>63885</v>
      </c>
      <c r="X3208" t="s">
        <v>63886</v>
      </c>
      <c r="Y3208" t="s">
        <v>63887</v>
      </c>
    </row>
    <row r="3209" spans="1:25" x14ac:dyDescent="0.3">
      <c r="A3209">
        <v>160400</v>
      </c>
      <c r="B3209" t="s">
        <v>63888</v>
      </c>
      <c r="C3209" t="s">
        <v>63889</v>
      </c>
      <c r="D3209" t="s">
        <v>63890</v>
      </c>
      <c r="E3209" t="s">
        <v>63891</v>
      </c>
      <c r="F3209" t="s">
        <v>63892</v>
      </c>
      <c r="G3209" t="s">
        <v>63893</v>
      </c>
      <c r="H3209" t="s">
        <v>63894</v>
      </c>
      <c r="I3209" t="s">
        <v>63895</v>
      </c>
      <c r="J3209" t="s">
        <v>63896</v>
      </c>
      <c r="K3209" t="s">
        <v>63897</v>
      </c>
      <c r="L3209" t="s">
        <v>63898</v>
      </c>
      <c r="M3209" t="s">
        <v>63899</v>
      </c>
      <c r="N3209" t="s">
        <v>63900</v>
      </c>
      <c r="O3209">
        <f>-615.979633261098 -94.3354265736248 -730.477285778824</f>
        <v>-1440.7923456135468</v>
      </c>
      <c r="P3209">
        <f>-633.464220701641 -68.6025453988469 -415.487918651166</f>
        <v>-1117.5546847516539</v>
      </c>
      <c r="Q3209">
        <f>-374.682822928839 -42.8259528507541 -412.353960462109</f>
        <v>-829.86273624170212</v>
      </c>
      <c r="R3209" t="s">
        <v>63901</v>
      </c>
      <c r="S3209" t="s">
        <v>63902</v>
      </c>
      <c r="T3209" t="s">
        <v>63903</v>
      </c>
      <c r="U3209" t="s">
        <v>63904</v>
      </c>
      <c r="V3209" t="s">
        <v>63905</v>
      </c>
      <c r="W3209" t="s">
        <v>63906</v>
      </c>
      <c r="X3209" t="s">
        <v>63907</v>
      </c>
      <c r="Y3209" t="s">
        <v>63908</v>
      </c>
    </row>
    <row r="3210" spans="1:25" x14ac:dyDescent="0.3">
      <c r="A3210">
        <v>160450</v>
      </c>
      <c r="B3210" t="s">
        <v>63909</v>
      </c>
      <c r="C3210" t="s">
        <v>63910</v>
      </c>
      <c r="D3210" t="s">
        <v>63911</v>
      </c>
      <c r="E3210" t="s">
        <v>63912</v>
      </c>
      <c r="F3210" t="s">
        <v>63913</v>
      </c>
      <c r="G3210" t="s">
        <v>63914</v>
      </c>
      <c r="H3210" t="s">
        <v>63915</v>
      </c>
      <c r="I3210" t="s">
        <v>63916</v>
      </c>
      <c r="J3210" t="s">
        <v>63917</v>
      </c>
      <c r="K3210" t="s">
        <v>63918</v>
      </c>
      <c r="L3210" t="s">
        <v>63919</v>
      </c>
      <c r="M3210" t="s">
        <v>63920</v>
      </c>
      <c r="N3210" t="s">
        <v>63921</v>
      </c>
      <c r="O3210">
        <f>-617.422193740756 -94.7792658913707 -730.934703063191</f>
        <v>-1443.1361626953176</v>
      </c>
      <c r="P3210">
        <f>-635.163046233499 -69.4284449789351 -415.928765001847</f>
        <v>-1120.5202562142811</v>
      </c>
      <c r="Q3210">
        <f>-376.434215691459 -43.1366282607141 -412.731628140915</f>
        <v>-832.302472093088</v>
      </c>
      <c r="R3210" t="s">
        <v>63922</v>
      </c>
      <c r="S3210" t="s">
        <v>63923</v>
      </c>
      <c r="T3210" t="s">
        <v>63924</v>
      </c>
      <c r="U3210" t="s">
        <v>63925</v>
      </c>
      <c r="V3210" t="s">
        <v>63926</v>
      </c>
      <c r="W3210" t="s">
        <v>63927</v>
      </c>
      <c r="X3210" t="s">
        <v>63928</v>
      </c>
      <c r="Y3210" t="s">
        <v>63929</v>
      </c>
    </row>
    <row r="3211" spans="1:25" x14ac:dyDescent="0.3">
      <c r="A3211">
        <v>160500</v>
      </c>
      <c r="B3211" t="s">
        <v>63930</v>
      </c>
      <c r="C3211" t="s">
        <v>63931</v>
      </c>
      <c r="D3211" t="s">
        <v>63932</v>
      </c>
      <c r="E3211" t="s">
        <v>63933</v>
      </c>
      <c r="F3211" t="s">
        <v>63934</v>
      </c>
      <c r="G3211" t="s">
        <v>63935</v>
      </c>
      <c r="H3211" t="s">
        <v>63936</v>
      </c>
      <c r="I3211" t="s">
        <v>63937</v>
      </c>
      <c r="J3211" t="s">
        <v>63938</v>
      </c>
      <c r="K3211" t="s">
        <v>63939</v>
      </c>
      <c r="L3211" t="s">
        <v>63940</v>
      </c>
      <c r="M3211" t="s">
        <v>63941</v>
      </c>
      <c r="N3211" t="s">
        <v>63942</v>
      </c>
      <c r="O3211">
        <f>-617.937912936643 -94.9988230884879 -731.246587780901</f>
        <v>-1444.1833238060319</v>
      </c>
      <c r="P3211">
        <f>-635.925067589478 -69.7935529658359 -416.242785291364</f>
        <v>-1121.961405846678</v>
      </c>
      <c r="Q3211">
        <f>-377.222034439539 -43.2577902257357 -412.981303367893</f>
        <v>-833.46112803316771</v>
      </c>
      <c r="R3211" t="s">
        <v>63943</v>
      </c>
      <c r="S3211" t="s">
        <v>63944</v>
      </c>
      <c r="T3211" t="s">
        <v>63945</v>
      </c>
      <c r="U3211" t="s">
        <v>63946</v>
      </c>
      <c r="V3211" t="s">
        <v>63947</v>
      </c>
      <c r="W3211" t="s">
        <v>63948</v>
      </c>
      <c r="X3211" t="s">
        <v>63949</v>
      </c>
      <c r="Y3211" t="s">
        <v>63950</v>
      </c>
    </row>
    <row r="3212" spans="1:25" x14ac:dyDescent="0.3">
      <c r="A3212">
        <v>160550</v>
      </c>
      <c r="B3212" t="s">
        <v>63951</v>
      </c>
      <c r="C3212" t="s">
        <v>63952</v>
      </c>
      <c r="D3212" t="s">
        <v>63953</v>
      </c>
      <c r="E3212" t="s">
        <v>63954</v>
      </c>
      <c r="F3212" t="s">
        <v>63955</v>
      </c>
      <c r="G3212" t="s">
        <v>63956</v>
      </c>
      <c r="H3212" t="s">
        <v>63957</v>
      </c>
      <c r="I3212" t="s">
        <v>63958</v>
      </c>
      <c r="J3212" t="s">
        <v>63959</v>
      </c>
      <c r="K3212" t="s">
        <v>63960</v>
      </c>
      <c r="L3212" t="s">
        <v>63961</v>
      </c>
      <c r="M3212" t="s">
        <v>63962</v>
      </c>
      <c r="N3212" t="s">
        <v>63963</v>
      </c>
      <c r="O3212">
        <f>-619.24489503306 -94.9735726701858 -731.829423981389</f>
        <v>-1446.0478916846348</v>
      </c>
      <c r="P3212">
        <f>-637.566789299678 -69.9645195250045 -416.829416843215</f>
        <v>-1124.3607256678974</v>
      </c>
      <c r="Q3212">
        <f>-378.913513549259 -42.9776392442026 -413.333457635166</f>
        <v>-835.22461042862756</v>
      </c>
      <c r="R3212" t="s">
        <v>63964</v>
      </c>
      <c r="S3212" t="s">
        <v>63965</v>
      </c>
      <c r="T3212" t="s">
        <v>63966</v>
      </c>
      <c r="U3212" t="s">
        <v>63967</v>
      </c>
      <c r="V3212" t="s">
        <v>63968</v>
      </c>
      <c r="W3212" t="s">
        <v>63969</v>
      </c>
      <c r="X3212" t="s">
        <v>63970</v>
      </c>
      <c r="Y3212" t="s">
        <v>63971</v>
      </c>
    </row>
    <row r="3213" spans="1:25" x14ac:dyDescent="0.3">
      <c r="A3213">
        <v>160600</v>
      </c>
      <c r="B3213" t="s">
        <v>63972</v>
      </c>
      <c r="C3213" t="s">
        <v>63973</v>
      </c>
      <c r="D3213" t="s">
        <v>63974</v>
      </c>
      <c r="E3213" t="s">
        <v>63975</v>
      </c>
      <c r="F3213" t="s">
        <v>63976</v>
      </c>
      <c r="G3213" t="s">
        <v>63977</v>
      </c>
      <c r="H3213" t="s">
        <v>63978</v>
      </c>
      <c r="I3213" t="s">
        <v>63979</v>
      </c>
      <c r="J3213" t="s">
        <v>63980</v>
      </c>
      <c r="K3213" t="s">
        <v>63981</v>
      </c>
      <c r="L3213" t="s">
        <v>63982</v>
      </c>
      <c r="M3213" t="s">
        <v>63983</v>
      </c>
      <c r="N3213" t="s">
        <v>63984</v>
      </c>
      <c r="O3213">
        <f>-619.775582412472 -95.1367147131371 -732.051871015583</f>
        <v>-1446.964168141192</v>
      </c>
      <c r="P3213">
        <f>-638.201090293314 -70.2762446521336 -417.045960112809</f>
        <v>-1125.5232950582567</v>
      </c>
      <c r="Q3213">
        <f>-379.57733850333 -43.0189404806251 -413.458681249116</f>
        <v>-836.05496023307114</v>
      </c>
      <c r="R3213" t="s">
        <v>63985</v>
      </c>
      <c r="S3213" t="s">
        <v>63986</v>
      </c>
      <c r="T3213" t="s">
        <v>63987</v>
      </c>
      <c r="U3213" t="s">
        <v>63988</v>
      </c>
      <c r="V3213" t="s">
        <v>63989</v>
      </c>
      <c r="W3213" t="s">
        <v>63990</v>
      </c>
      <c r="X3213" t="s">
        <v>63991</v>
      </c>
      <c r="Y3213" t="s">
        <v>63992</v>
      </c>
    </row>
    <row r="3214" spans="1:25" x14ac:dyDescent="0.3">
      <c r="A3214">
        <v>160650</v>
      </c>
      <c r="B3214" t="s">
        <v>63993</v>
      </c>
      <c r="C3214" t="s">
        <v>63994</v>
      </c>
      <c r="D3214" t="s">
        <v>63995</v>
      </c>
      <c r="E3214" t="s">
        <v>63996</v>
      </c>
      <c r="F3214" t="s">
        <v>63997</v>
      </c>
      <c r="G3214" t="s">
        <v>63998</v>
      </c>
      <c r="H3214" t="s">
        <v>63999</v>
      </c>
      <c r="I3214" t="s">
        <v>64000</v>
      </c>
      <c r="J3214" t="s">
        <v>64001</v>
      </c>
      <c r="K3214" t="s">
        <v>64002</v>
      </c>
      <c r="L3214" t="s">
        <v>64003</v>
      </c>
      <c r="M3214" t="s">
        <v>64004</v>
      </c>
      <c r="N3214" t="s">
        <v>64005</v>
      </c>
      <c r="O3214">
        <f>-621.146282045096 -95.7955109315971 -732.396710862007</f>
        <v>-1449.3385038387</v>
      </c>
      <c r="P3214">
        <f>-639.755546526304 -71.2206646800886 -417.379361239438</f>
        <v>-1128.3555724458306</v>
      </c>
      <c r="Q3214">
        <f>-381.198546389936 -43.3493498594033 -413.7012518204</f>
        <v>-838.24914806973925</v>
      </c>
      <c r="R3214" t="s">
        <v>64006</v>
      </c>
      <c r="S3214" t="s">
        <v>64007</v>
      </c>
      <c r="T3214" t="s">
        <v>64008</v>
      </c>
      <c r="U3214" t="s">
        <v>64009</v>
      </c>
      <c r="V3214" t="s">
        <v>64010</v>
      </c>
      <c r="W3214" t="s">
        <v>64011</v>
      </c>
      <c r="X3214" t="s">
        <v>64012</v>
      </c>
      <c r="Y3214" t="s">
        <v>64013</v>
      </c>
    </row>
    <row r="3215" spans="1:25" x14ac:dyDescent="0.3">
      <c r="A3215">
        <v>160700</v>
      </c>
      <c r="B3215" t="s">
        <v>64014</v>
      </c>
      <c r="C3215" t="s">
        <v>64015</v>
      </c>
      <c r="D3215" t="s">
        <v>64016</v>
      </c>
      <c r="E3215" t="s">
        <v>64017</v>
      </c>
      <c r="F3215" t="s">
        <v>64018</v>
      </c>
      <c r="G3215" t="s">
        <v>64019</v>
      </c>
      <c r="H3215" t="s">
        <v>64020</v>
      </c>
      <c r="I3215" t="s">
        <v>64021</v>
      </c>
      <c r="J3215" t="s">
        <v>64022</v>
      </c>
      <c r="K3215" t="s">
        <v>64023</v>
      </c>
      <c r="L3215" t="s">
        <v>64024</v>
      </c>
      <c r="M3215" t="s">
        <v>64025</v>
      </c>
      <c r="N3215" t="s">
        <v>64026</v>
      </c>
      <c r="O3215">
        <f>-621.800888933665 -95.7790100797659 -732.624589291784</f>
        <v>-1450.2044883052149</v>
      </c>
      <c r="P3215">
        <f>-640.473140206142 -71.3162814415594 -417.602179535181</f>
        <v>-1129.3916011828824</v>
      </c>
      <c r="Q3215">
        <f>-381.949709086133 -43.1332733609072 -413.940891650114</f>
        <v>-839.02387409715425</v>
      </c>
      <c r="R3215" t="s">
        <v>64027</v>
      </c>
      <c r="S3215" t="s">
        <v>64028</v>
      </c>
      <c r="T3215" t="s">
        <v>64029</v>
      </c>
      <c r="U3215" t="s">
        <v>64030</v>
      </c>
      <c r="V3215" t="s">
        <v>64031</v>
      </c>
      <c r="W3215" t="s">
        <v>64032</v>
      </c>
      <c r="X3215" t="s">
        <v>64033</v>
      </c>
      <c r="Y3215" t="s">
        <v>64034</v>
      </c>
    </row>
    <row r="3216" spans="1:25" x14ac:dyDescent="0.3">
      <c r="A3216">
        <v>160750</v>
      </c>
      <c r="B3216" t="s">
        <v>64035</v>
      </c>
      <c r="C3216" t="s">
        <v>64036</v>
      </c>
      <c r="D3216" t="s">
        <v>64037</v>
      </c>
      <c r="E3216" t="s">
        <v>64038</v>
      </c>
      <c r="F3216" t="s">
        <v>64039</v>
      </c>
      <c r="G3216" t="s">
        <v>64040</v>
      </c>
      <c r="H3216" t="s">
        <v>64041</v>
      </c>
      <c r="I3216" t="s">
        <v>64042</v>
      </c>
      <c r="J3216" t="s">
        <v>64043</v>
      </c>
      <c r="K3216" t="s">
        <v>64044</v>
      </c>
      <c r="L3216" t="s">
        <v>64045</v>
      </c>
      <c r="M3216" t="s">
        <v>64046</v>
      </c>
      <c r="N3216" t="s">
        <v>64047</v>
      </c>
      <c r="O3216">
        <f>-623.385288759433 -95.9766060465548 -732.977008455326</f>
        <v>-1452.3389032613138</v>
      </c>
      <c r="P3216">
        <f>-642.044418473158 -71.7073673722505 -417.938848652697</f>
        <v>-1131.6906344981055</v>
      </c>
      <c r="Q3216">
        <f>-383.59615271877 -42.8221324948617 -414.446269831308</f>
        <v>-840.86455504493961</v>
      </c>
      <c r="R3216" t="s">
        <v>64048</v>
      </c>
      <c r="S3216" t="s">
        <v>64049</v>
      </c>
      <c r="T3216" t="s">
        <v>64050</v>
      </c>
      <c r="U3216" t="s">
        <v>64051</v>
      </c>
      <c r="V3216" t="s">
        <v>64052</v>
      </c>
      <c r="W3216" t="s">
        <v>64053</v>
      </c>
      <c r="X3216" t="s">
        <v>64054</v>
      </c>
      <c r="Y3216" t="s">
        <v>64055</v>
      </c>
    </row>
    <row r="3217" spans="1:25" x14ac:dyDescent="0.3">
      <c r="A3217">
        <v>160800</v>
      </c>
      <c r="B3217" t="s">
        <v>64056</v>
      </c>
      <c r="C3217" t="s">
        <v>64057</v>
      </c>
      <c r="D3217" t="s">
        <v>64058</v>
      </c>
      <c r="E3217" t="s">
        <v>64059</v>
      </c>
      <c r="F3217" t="s">
        <v>64060</v>
      </c>
      <c r="G3217" t="s">
        <v>64061</v>
      </c>
      <c r="H3217" t="s">
        <v>64062</v>
      </c>
      <c r="I3217" t="s">
        <v>64063</v>
      </c>
      <c r="J3217" t="s">
        <v>64064</v>
      </c>
      <c r="K3217" t="s">
        <v>64065</v>
      </c>
      <c r="L3217" t="s">
        <v>64066</v>
      </c>
      <c r="M3217" t="s">
        <v>64067</v>
      </c>
      <c r="N3217" t="s">
        <v>64068</v>
      </c>
      <c r="O3217">
        <f>-624.20344939993 -96.1581920965754 -733.054683108722</f>
        <v>-1453.4163246052274</v>
      </c>
      <c r="P3217">
        <f>-642.813803705842 -71.9824020521797 -418.006416222121</f>
        <v>-1132.8026219801427</v>
      </c>
      <c r="Q3217">
        <f>-384.391258228371 -42.8454017353701 -414.707365986221</f>
        <v>-841.94402594996211</v>
      </c>
      <c r="R3217" t="s">
        <v>64069</v>
      </c>
      <c r="S3217" t="s">
        <v>64070</v>
      </c>
      <c r="T3217" t="s">
        <v>64071</v>
      </c>
      <c r="U3217" t="s">
        <v>64072</v>
      </c>
      <c r="V3217" t="s">
        <v>64073</v>
      </c>
      <c r="W3217" t="s">
        <v>64074</v>
      </c>
      <c r="X3217" t="s">
        <v>64075</v>
      </c>
      <c r="Y3217" t="s">
        <v>64076</v>
      </c>
    </row>
    <row r="3218" spans="1:25" x14ac:dyDescent="0.3">
      <c r="A3218">
        <v>160850</v>
      </c>
      <c r="B3218" t="s">
        <v>64077</v>
      </c>
      <c r="C3218" t="s">
        <v>64078</v>
      </c>
      <c r="D3218" t="s">
        <v>64079</v>
      </c>
      <c r="E3218" t="s">
        <v>64080</v>
      </c>
      <c r="F3218" t="s">
        <v>64081</v>
      </c>
      <c r="G3218" t="s">
        <v>64082</v>
      </c>
      <c r="H3218" t="s">
        <v>64083</v>
      </c>
      <c r="I3218" t="s">
        <v>64084</v>
      </c>
      <c r="J3218" t="s">
        <v>64085</v>
      </c>
      <c r="K3218" t="s">
        <v>64086</v>
      </c>
      <c r="L3218" t="s">
        <v>64087</v>
      </c>
      <c r="M3218" t="s">
        <v>64088</v>
      </c>
      <c r="N3218" t="s">
        <v>64089</v>
      </c>
      <c r="O3218">
        <f>-625.842247610608 -96.3027317559007 -733.246317180016</f>
        <v>-1455.3912965465247</v>
      </c>
      <c r="P3218">
        <f>-644.262646084856 -72.324946485461 -418.171752421067</f>
        <v>-1134.7593449913838</v>
      </c>
      <c r="Q3218">
        <f>-385.889396022979 -42.715053133123 -415.246868259353</f>
        <v>-843.85131741545501</v>
      </c>
      <c r="R3218" t="s">
        <v>64090</v>
      </c>
      <c r="S3218" t="s">
        <v>64091</v>
      </c>
      <c r="T3218" t="s">
        <v>64092</v>
      </c>
      <c r="U3218" t="s">
        <v>64093</v>
      </c>
      <c r="V3218" t="s">
        <v>64094</v>
      </c>
      <c r="W3218" t="s">
        <v>64095</v>
      </c>
      <c r="X3218" t="s">
        <v>64096</v>
      </c>
      <c r="Y3218" t="s">
        <v>64097</v>
      </c>
    </row>
    <row r="3219" spans="1:25" x14ac:dyDescent="0.3">
      <c r="A3219">
        <v>160900</v>
      </c>
      <c r="B3219" t="s">
        <v>64098</v>
      </c>
      <c r="C3219" t="s">
        <v>64099</v>
      </c>
      <c r="D3219" t="s">
        <v>64100</v>
      </c>
      <c r="E3219" t="s">
        <v>64101</v>
      </c>
      <c r="F3219" t="s">
        <v>64102</v>
      </c>
      <c r="G3219" t="s">
        <v>64103</v>
      </c>
      <c r="H3219" t="s">
        <v>64104</v>
      </c>
      <c r="I3219" t="s">
        <v>64105</v>
      </c>
      <c r="J3219" t="s">
        <v>64106</v>
      </c>
      <c r="K3219" t="s">
        <v>64107</v>
      </c>
      <c r="L3219" t="s">
        <v>64108</v>
      </c>
      <c r="M3219" t="s">
        <v>64109</v>
      </c>
      <c r="N3219" t="s">
        <v>64110</v>
      </c>
      <c r="O3219">
        <f>-626.623791501629 -96.5032271823975 -733.440026526674</f>
        <v>-1456.5670452107006</v>
      </c>
      <c r="P3219">
        <f>-645.030471369256 -72.6994869388685 -418.351551270587</f>
        <v>-1136.0815095787116</v>
      </c>
      <c r="Q3219">
        <f>-386.691545552423 -42.7782477236668 -415.567101105398</f>
        <v>-845.03689438148785</v>
      </c>
      <c r="R3219" t="s">
        <v>64111</v>
      </c>
      <c r="S3219" t="s">
        <v>64112</v>
      </c>
      <c r="T3219" t="s">
        <v>64113</v>
      </c>
      <c r="U3219" t="s">
        <v>64114</v>
      </c>
      <c r="V3219" t="s">
        <v>64115</v>
      </c>
      <c r="W3219" t="s">
        <v>64116</v>
      </c>
      <c r="X3219" t="s">
        <v>64117</v>
      </c>
      <c r="Y3219" t="s">
        <v>64118</v>
      </c>
    </row>
    <row r="3220" spans="1:25" x14ac:dyDescent="0.3">
      <c r="A3220">
        <v>160950</v>
      </c>
      <c r="B3220" t="s">
        <v>64119</v>
      </c>
      <c r="C3220" t="s">
        <v>64120</v>
      </c>
      <c r="D3220" t="s">
        <v>64121</v>
      </c>
      <c r="E3220" t="s">
        <v>64122</v>
      </c>
      <c r="F3220" t="s">
        <v>64123</v>
      </c>
      <c r="G3220" t="s">
        <v>64124</v>
      </c>
      <c r="H3220" t="s">
        <v>64125</v>
      </c>
      <c r="I3220" t="s">
        <v>64126</v>
      </c>
      <c r="J3220" t="s">
        <v>64127</v>
      </c>
      <c r="K3220" t="s">
        <v>64128</v>
      </c>
      <c r="L3220" t="s">
        <v>64129</v>
      </c>
      <c r="M3220" t="s">
        <v>64130</v>
      </c>
      <c r="N3220" t="s">
        <v>64131</v>
      </c>
      <c r="O3220">
        <f>-627.853503213141 -96.9383188727332 -734.144203351455</f>
        <v>-1458.9360254373291</v>
      </c>
      <c r="P3220">
        <f>-646.226762169545 -73.4704279604552 -419.028659371692</f>
        <v>-1138.7258495016922</v>
      </c>
      <c r="Q3220">
        <f>-387.945033644822 -43.0679984905867 -416.147904261051</f>
        <v>-847.16093639645965</v>
      </c>
      <c r="R3220" t="s">
        <v>64132</v>
      </c>
      <c r="S3220" t="s">
        <v>64133</v>
      </c>
      <c r="T3220" t="s">
        <v>64134</v>
      </c>
      <c r="U3220" t="s">
        <v>64135</v>
      </c>
      <c r="V3220" t="s">
        <v>64136</v>
      </c>
      <c r="W3220" t="s">
        <v>64137</v>
      </c>
      <c r="X3220" t="s">
        <v>64138</v>
      </c>
      <c r="Y3220" t="s">
        <v>64139</v>
      </c>
    </row>
    <row r="3221" spans="1:25" x14ac:dyDescent="0.3">
      <c r="A3221">
        <v>161000</v>
      </c>
      <c r="B3221" t="s">
        <v>64140</v>
      </c>
      <c r="C3221" t="s">
        <v>64141</v>
      </c>
      <c r="D3221" t="s">
        <v>64142</v>
      </c>
      <c r="E3221" t="s">
        <v>64143</v>
      </c>
      <c r="F3221" t="s">
        <v>64144</v>
      </c>
      <c r="G3221" t="s">
        <v>64145</v>
      </c>
      <c r="H3221" t="s">
        <v>64146</v>
      </c>
      <c r="I3221" t="s">
        <v>64147</v>
      </c>
      <c r="J3221" t="s">
        <v>64148</v>
      </c>
      <c r="K3221" t="s">
        <v>64149</v>
      </c>
      <c r="L3221" t="s">
        <v>64150</v>
      </c>
      <c r="M3221" t="s">
        <v>64151</v>
      </c>
      <c r="N3221" t="s">
        <v>64152</v>
      </c>
      <c r="O3221">
        <f>-628.594692177816 -97.138894438348 -734.500477791522</f>
        <v>-1460.234064407686</v>
      </c>
      <c r="P3221">
        <f>-647.032370101129 -73.7706052720443 -419.381106623163</f>
        <v>-1140.1840819963363</v>
      </c>
      <c r="Q3221">
        <f>-388.762087821132 -43.2859361344742 -416.342512791663</f>
        <v>-848.39053674726915</v>
      </c>
      <c r="R3221" t="s">
        <v>64153</v>
      </c>
      <c r="S3221" t="s">
        <v>64154</v>
      </c>
      <c r="T3221" t="s">
        <v>64155</v>
      </c>
      <c r="U3221" t="s">
        <v>64156</v>
      </c>
      <c r="V3221" t="s">
        <v>64157</v>
      </c>
      <c r="W3221" t="s">
        <v>64158</v>
      </c>
      <c r="X3221" t="s">
        <v>64159</v>
      </c>
      <c r="Y3221" t="s">
        <v>64160</v>
      </c>
    </row>
    <row r="3222" spans="1:25" x14ac:dyDescent="0.3">
      <c r="A3222">
        <v>161050</v>
      </c>
      <c r="B3222" t="s">
        <v>64161</v>
      </c>
      <c r="C3222" t="s">
        <v>64162</v>
      </c>
      <c r="D3222" t="s">
        <v>64163</v>
      </c>
      <c r="E3222" t="s">
        <v>64164</v>
      </c>
      <c r="F3222" t="s">
        <v>64165</v>
      </c>
      <c r="G3222" t="s">
        <v>64166</v>
      </c>
      <c r="H3222" t="s">
        <v>64167</v>
      </c>
      <c r="I3222" t="s">
        <v>64168</v>
      </c>
      <c r="J3222" t="s">
        <v>64169</v>
      </c>
      <c r="K3222" t="s">
        <v>64170</v>
      </c>
      <c r="L3222" t="s">
        <v>64171</v>
      </c>
      <c r="M3222" t="s">
        <v>64172</v>
      </c>
      <c r="N3222" t="s">
        <v>64173</v>
      </c>
      <c r="O3222">
        <f>-630.260546741553 -97.2525467630089 -735.154620523661</f>
        <v>-1462.6677140282229</v>
      </c>
      <c r="P3222">
        <f>-648.642828372367 -73.8597546461206 -420.033995594209</f>
        <v>-1142.5365786126965</v>
      </c>
      <c r="Q3222">
        <f>-390.366881831966 -43.5189894829218 -416.15453482801</f>
        <v>-850.04040614289784</v>
      </c>
      <c r="R3222" t="s">
        <v>64174</v>
      </c>
      <c r="S3222" t="s">
        <v>64175</v>
      </c>
      <c r="T3222" t="s">
        <v>64176</v>
      </c>
      <c r="U3222" t="s">
        <v>64177</v>
      </c>
      <c r="V3222" t="s">
        <v>64178</v>
      </c>
      <c r="W3222" t="s">
        <v>64179</v>
      </c>
      <c r="X3222" t="s">
        <v>64180</v>
      </c>
      <c r="Y3222" t="s">
        <v>64181</v>
      </c>
    </row>
    <row r="3223" spans="1:25" x14ac:dyDescent="0.3">
      <c r="A3223">
        <v>161100</v>
      </c>
      <c r="B3223" t="s">
        <v>64182</v>
      </c>
      <c r="C3223" t="s">
        <v>64183</v>
      </c>
      <c r="D3223" t="s">
        <v>64184</v>
      </c>
      <c r="E3223" t="s">
        <v>64185</v>
      </c>
      <c r="F3223" t="s">
        <v>64186</v>
      </c>
      <c r="G3223" t="s">
        <v>64187</v>
      </c>
      <c r="H3223" t="s">
        <v>64188</v>
      </c>
      <c r="I3223" t="s">
        <v>64189</v>
      </c>
      <c r="J3223" t="s">
        <v>64190</v>
      </c>
      <c r="K3223" t="s">
        <v>64191</v>
      </c>
      <c r="L3223" t="s">
        <v>64192</v>
      </c>
      <c r="M3223" t="s">
        <v>64193</v>
      </c>
      <c r="N3223" t="s">
        <v>64194</v>
      </c>
      <c r="O3223">
        <f>-630.897926464147 -97.2526306088821 -735.373165913858</f>
        <v>-1463.5237229868872</v>
      </c>
      <c r="P3223">
        <f>-649.293087093943 -73.5409069068523 -420.27698214609</f>
        <v>-1143.1109761468854</v>
      </c>
      <c r="Q3223">
        <f>-390.984971252119 -43.501334767456 -416.202889321767</f>
        <v>-850.68919534134193</v>
      </c>
      <c r="R3223" t="s">
        <v>64195</v>
      </c>
      <c r="S3223" t="s">
        <v>64196</v>
      </c>
      <c r="T3223" t="s">
        <v>64197</v>
      </c>
      <c r="U3223" t="s">
        <v>64198</v>
      </c>
      <c r="V3223" t="s">
        <v>64199</v>
      </c>
      <c r="W3223" t="s">
        <v>64200</v>
      </c>
      <c r="X3223" t="s">
        <v>64201</v>
      </c>
      <c r="Y3223" t="s">
        <v>64202</v>
      </c>
    </row>
    <row r="3224" spans="1:25" x14ac:dyDescent="0.3">
      <c r="A3224">
        <v>161150</v>
      </c>
      <c r="B3224" t="s">
        <v>64203</v>
      </c>
      <c r="C3224" t="s">
        <v>64204</v>
      </c>
      <c r="D3224" t="s">
        <v>64205</v>
      </c>
      <c r="E3224" t="s">
        <v>64206</v>
      </c>
      <c r="F3224" t="s">
        <v>64207</v>
      </c>
      <c r="G3224" t="s">
        <v>64208</v>
      </c>
      <c r="H3224" t="s">
        <v>64209</v>
      </c>
      <c r="I3224" t="s">
        <v>64210</v>
      </c>
      <c r="J3224" t="s">
        <v>64211</v>
      </c>
      <c r="K3224" t="s">
        <v>64212</v>
      </c>
      <c r="L3224" t="s">
        <v>64213</v>
      </c>
      <c r="M3224" t="s">
        <v>64214</v>
      </c>
      <c r="N3224" t="s">
        <v>64215</v>
      </c>
      <c r="O3224">
        <f>-631.834762348402 -97.6164868233515 -735.747208316004</f>
        <v>-1465.1984574877574</v>
      </c>
      <c r="P3224">
        <f>-650.012713518639 -73.2918014494585 -420.685185341833</f>
        <v>-1143.9897003099304</v>
      </c>
      <c r="Q3224">
        <f>-391.508584122749 -45.0553090245367 -416.173659086675</f>
        <v>-852.73755223396074</v>
      </c>
      <c r="R3224" t="s">
        <v>64216</v>
      </c>
      <c r="S3224" t="s">
        <v>64217</v>
      </c>
      <c r="T3224" t="s">
        <v>64218</v>
      </c>
      <c r="U3224" t="s">
        <v>64219</v>
      </c>
      <c r="V3224" t="s">
        <v>64220</v>
      </c>
      <c r="W3224" t="s">
        <v>64221</v>
      </c>
      <c r="X3224" t="s">
        <v>64222</v>
      </c>
      <c r="Y3224" t="s">
        <v>64223</v>
      </c>
    </row>
    <row r="3225" spans="1:25" x14ac:dyDescent="0.3">
      <c r="A3225">
        <v>161200</v>
      </c>
      <c r="B3225" t="s">
        <v>64224</v>
      </c>
      <c r="C3225" t="s">
        <v>64225</v>
      </c>
      <c r="D3225" t="s">
        <v>64226</v>
      </c>
      <c r="E3225" t="s">
        <v>64227</v>
      </c>
      <c r="F3225" t="s">
        <v>64228</v>
      </c>
      <c r="G3225" t="s">
        <v>64229</v>
      </c>
      <c r="H3225" t="s">
        <v>64230</v>
      </c>
      <c r="I3225" t="s">
        <v>64231</v>
      </c>
      <c r="J3225" t="s">
        <v>64232</v>
      </c>
      <c r="K3225" t="s">
        <v>64233</v>
      </c>
      <c r="L3225" t="s">
        <v>64234</v>
      </c>
      <c r="M3225" t="s">
        <v>64235</v>
      </c>
      <c r="N3225" t="s">
        <v>64236</v>
      </c>
      <c r="O3225">
        <f>-632.12226880033 -97.9367942639493 -735.898441440737</f>
        <v>-1465.9575045050162</v>
      </c>
      <c r="P3225">
        <f>-650.434075404812 -73.3978919928944 -420.86079605897</f>
        <v>-1144.6927634566764</v>
      </c>
      <c r="Q3225">
        <f>-391.878283641333 -45.6549756066157 -416.24409097452</f>
        <v>-853.77735022246873</v>
      </c>
      <c r="R3225" t="s">
        <v>64237</v>
      </c>
      <c r="S3225" t="s">
        <v>64238</v>
      </c>
      <c r="T3225" t="s">
        <v>64239</v>
      </c>
      <c r="U3225" t="s">
        <v>64240</v>
      </c>
      <c r="V3225" t="s">
        <v>64241</v>
      </c>
      <c r="W3225" t="s">
        <v>64242</v>
      </c>
      <c r="X3225" t="s">
        <v>64243</v>
      </c>
      <c r="Y3225" t="s">
        <v>64244</v>
      </c>
    </row>
    <row r="3226" spans="1:25" x14ac:dyDescent="0.3">
      <c r="A3226">
        <v>161250</v>
      </c>
      <c r="B3226" t="s">
        <v>64245</v>
      </c>
      <c r="C3226" t="s">
        <v>64246</v>
      </c>
      <c r="D3226" t="s">
        <v>64247</v>
      </c>
      <c r="E3226" t="s">
        <v>64248</v>
      </c>
      <c r="F3226" t="s">
        <v>64249</v>
      </c>
      <c r="G3226" t="s">
        <v>64250</v>
      </c>
      <c r="H3226" t="s">
        <v>64251</v>
      </c>
      <c r="I3226" t="s">
        <v>64252</v>
      </c>
      <c r="J3226" t="s">
        <v>64253</v>
      </c>
      <c r="K3226" t="s">
        <v>64254</v>
      </c>
      <c r="L3226" t="s">
        <v>64255</v>
      </c>
      <c r="M3226" t="s">
        <v>64256</v>
      </c>
      <c r="N3226" t="s">
        <v>64257</v>
      </c>
      <c r="O3226">
        <f>-632.842889972468 -98.1357293557163 -736.179600118336</f>
        <v>-1467.1582194465204</v>
      </c>
      <c r="P3226">
        <f>-651.272501275829 -73.8481913008735 -421.129380551357</f>
        <v>-1146.2500731280595</v>
      </c>
      <c r="Q3226">
        <f>-392.683559382603 -46.4160194388482 -416.511746007394</f>
        <v>-855.61132482884523</v>
      </c>
      <c r="R3226" t="s">
        <v>64258</v>
      </c>
      <c r="S3226" t="s">
        <v>64259</v>
      </c>
      <c r="T3226" t="s">
        <v>64260</v>
      </c>
      <c r="U3226" t="s">
        <v>64261</v>
      </c>
      <c r="V3226" t="s">
        <v>64262</v>
      </c>
      <c r="W3226" t="s">
        <v>64263</v>
      </c>
      <c r="X3226" t="s">
        <v>64264</v>
      </c>
      <c r="Y3226" t="s">
        <v>64265</v>
      </c>
    </row>
    <row r="3227" spans="1:25" x14ac:dyDescent="0.3">
      <c r="A3227">
        <v>161300</v>
      </c>
      <c r="B3227" t="s">
        <v>64266</v>
      </c>
      <c r="C3227" t="s">
        <v>64267</v>
      </c>
      <c r="D3227" t="s">
        <v>64268</v>
      </c>
      <c r="E3227" t="s">
        <v>64269</v>
      </c>
      <c r="F3227" t="s">
        <v>64270</v>
      </c>
      <c r="G3227" t="s">
        <v>64271</v>
      </c>
      <c r="H3227" t="s">
        <v>64272</v>
      </c>
      <c r="I3227" t="s">
        <v>64273</v>
      </c>
      <c r="J3227" t="s">
        <v>64274</v>
      </c>
      <c r="K3227" t="s">
        <v>64275</v>
      </c>
      <c r="L3227" t="s">
        <v>64276</v>
      </c>
      <c r="M3227" t="s">
        <v>64277</v>
      </c>
      <c r="N3227" t="s">
        <v>64278</v>
      </c>
      <c r="O3227">
        <f>-633.011708830412 -98.376642710096 -736.282425869668</f>
        <v>-1467.670777410176</v>
      </c>
      <c r="P3227">
        <f>-651.446126325213 -74.2927890880349 -421.216924939912</f>
        <v>-1146.9558403531598</v>
      </c>
      <c r="Q3227">
        <f>-392.873290661883 -46.6654897855767 -416.871190014875</f>
        <v>-856.40997046233474</v>
      </c>
      <c r="R3227" t="s">
        <v>64279</v>
      </c>
      <c r="S3227" t="s">
        <v>64280</v>
      </c>
      <c r="T3227" t="s">
        <v>64281</v>
      </c>
      <c r="U3227" t="s">
        <v>64282</v>
      </c>
      <c r="V3227" t="s">
        <v>64283</v>
      </c>
      <c r="W3227" t="s">
        <v>64284</v>
      </c>
      <c r="X3227" t="s">
        <v>64285</v>
      </c>
      <c r="Y3227" t="s">
        <v>64286</v>
      </c>
    </row>
    <row r="3228" spans="1:25" x14ac:dyDescent="0.3">
      <c r="A3228">
        <v>161350</v>
      </c>
      <c r="B3228" t="s">
        <v>64287</v>
      </c>
      <c r="C3228" t="s">
        <v>64288</v>
      </c>
      <c r="D3228" t="s">
        <v>64289</v>
      </c>
      <c r="E3228" t="s">
        <v>64290</v>
      </c>
      <c r="F3228" t="s">
        <v>64291</v>
      </c>
      <c r="G3228" t="s">
        <v>64292</v>
      </c>
      <c r="H3228" t="s">
        <v>64293</v>
      </c>
      <c r="I3228" t="s">
        <v>64294</v>
      </c>
      <c r="J3228" t="s">
        <v>64295</v>
      </c>
      <c r="K3228" t="s">
        <v>64296</v>
      </c>
      <c r="L3228" t="s">
        <v>64297</v>
      </c>
      <c r="M3228" t="s">
        <v>64298</v>
      </c>
      <c r="N3228" t="s">
        <v>64299</v>
      </c>
      <c r="O3228">
        <f>-633.457392714717 -98.9558381994568 -736.483146796275</f>
        <v>-1468.8963777104489</v>
      </c>
      <c r="P3228">
        <f>-651.479791749915 -74.9859573610787 -421.385030906039</f>
        <v>-1147.8507800170328</v>
      </c>
      <c r="Q3228">
        <f>-392.944485425279 -46.9018256811713 -417.803361193154</f>
        <v>-857.64967229960439</v>
      </c>
      <c r="R3228" t="s">
        <v>64300</v>
      </c>
      <c r="S3228" t="s">
        <v>64301</v>
      </c>
      <c r="T3228" t="s">
        <v>64302</v>
      </c>
      <c r="U3228" t="s">
        <v>64303</v>
      </c>
      <c r="V3228" t="s">
        <v>64304</v>
      </c>
      <c r="W3228" t="s">
        <v>64305</v>
      </c>
      <c r="X3228" t="s">
        <v>64306</v>
      </c>
      <c r="Y3228" t="s">
        <v>64307</v>
      </c>
    </row>
    <row r="3229" spans="1:25" x14ac:dyDescent="0.3">
      <c r="A3229">
        <v>161400</v>
      </c>
      <c r="B3229" t="s">
        <v>64308</v>
      </c>
      <c r="C3229" t="s">
        <v>64309</v>
      </c>
      <c r="D3229" t="s">
        <v>64310</v>
      </c>
      <c r="E3229" t="s">
        <v>64311</v>
      </c>
      <c r="F3229" t="s">
        <v>64312</v>
      </c>
      <c r="G3229" t="s">
        <v>64313</v>
      </c>
      <c r="H3229" t="s">
        <v>64314</v>
      </c>
      <c r="I3229" t="s">
        <v>64315</v>
      </c>
      <c r="J3229" t="s">
        <v>64316</v>
      </c>
      <c r="K3229" t="s">
        <v>64317</v>
      </c>
      <c r="L3229" t="s">
        <v>64318</v>
      </c>
      <c r="M3229" t="s">
        <v>64319</v>
      </c>
      <c r="N3229" t="s">
        <v>64320</v>
      </c>
      <c r="O3229">
        <f>-633.603560988476 -99.1701590223187 -736.615148320594</f>
        <v>-1469.3888683313887</v>
      </c>
      <c r="P3229">
        <f>-651.296193589333 -75.1653854982143 -421.500938884277</f>
        <v>-1147.9625179718244</v>
      </c>
      <c r="Q3229">
        <f>-392.787099218975 -46.7945261463501 -418.306802493962</f>
        <v>-857.88842785928705</v>
      </c>
      <c r="R3229" t="s">
        <v>64321</v>
      </c>
      <c r="S3229" t="s">
        <v>64322</v>
      </c>
      <c r="T3229" t="s">
        <v>64323</v>
      </c>
      <c r="U3229" t="s">
        <v>64324</v>
      </c>
      <c r="V3229" t="s">
        <v>64325</v>
      </c>
      <c r="W3229" t="s">
        <v>64326</v>
      </c>
      <c r="X3229" t="s">
        <v>64327</v>
      </c>
      <c r="Y3229" t="s">
        <v>64328</v>
      </c>
    </row>
    <row r="3230" spans="1:25" x14ac:dyDescent="0.3">
      <c r="A3230">
        <v>161450</v>
      </c>
      <c r="B3230" t="s">
        <v>64329</v>
      </c>
      <c r="C3230" t="s">
        <v>64330</v>
      </c>
      <c r="D3230" t="s">
        <v>64331</v>
      </c>
      <c r="E3230" t="s">
        <v>64332</v>
      </c>
      <c r="F3230" t="s">
        <v>64333</v>
      </c>
      <c r="G3230" t="s">
        <v>64334</v>
      </c>
      <c r="H3230" t="s">
        <v>64335</v>
      </c>
      <c r="I3230" t="s">
        <v>64336</v>
      </c>
      <c r="J3230" t="s">
        <v>64337</v>
      </c>
      <c r="K3230" t="s">
        <v>64338</v>
      </c>
      <c r="L3230" t="s">
        <v>64339</v>
      </c>
      <c r="M3230" t="s">
        <v>64340</v>
      </c>
      <c r="N3230" t="s">
        <v>64341</v>
      </c>
      <c r="O3230">
        <f>-633.225086771494 -99.9194204399694 -736.924209783263</f>
        <v>-1470.0687169947264</v>
      </c>
      <c r="P3230">
        <f>-650.4291352369 -76.0640541160401 -421.771620516812</f>
        <v>-1148.2648098697521</v>
      </c>
      <c r="Q3230">
        <f>-392.015679188699 -46.760240067752 -419.356640215062</f>
        <v>-858.13255947151299</v>
      </c>
      <c r="R3230" t="s">
        <v>64342</v>
      </c>
      <c r="S3230" t="s">
        <v>64343</v>
      </c>
      <c r="T3230" t="s">
        <v>64344</v>
      </c>
      <c r="U3230" t="s">
        <v>64345</v>
      </c>
      <c r="V3230" t="s">
        <v>64346</v>
      </c>
      <c r="W3230" t="s">
        <v>64347</v>
      </c>
      <c r="X3230" t="s">
        <v>64348</v>
      </c>
      <c r="Y3230" t="s">
        <v>64349</v>
      </c>
    </row>
    <row r="3231" spans="1:25" x14ac:dyDescent="0.3">
      <c r="A3231">
        <v>161500</v>
      </c>
      <c r="B3231" t="s">
        <v>64350</v>
      </c>
      <c r="C3231" t="s">
        <v>64351</v>
      </c>
      <c r="D3231" t="s">
        <v>64352</v>
      </c>
      <c r="E3231" t="s">
        <v>64353</v>
      </c>
      <c r="F3231" t="s">
        <v>64354</v>
      </c>
      <c r="G3231" t="s">
        <v>64355</v>
      </c>
      <c r="H3231" t="s">
        <v>64356</v>
      </c>
      <c r="I3231" t="s">
        <v>64357</v>
      </c>
      <c r="J3231" t="s">
        <v>64358</v>
      </c>
      <c r="K3231" t="s">
        <v>64359</v>
      </c>
      <c r="L3231" t="s">
        <v>64360</v>
      </c>
      <c r="M3231" t="s">
        <v>64361</v>
      </c>
      <c r="N3231" t="s">
        <v>64362</v>
      </c>
      <c r="O3231">
        <f>-633.088429946572 -100.367367123941 -737.017871551518</f>
        <v>-1470.473668622031</v>
      </c>
      <c r="P3231">
        <f>-650.067205550615 -76.7557169345514 -421.834704040391</f>
        <v>-1148.6576265255574</v>
      </c>
      <c r="Q3231">
        <f>-391.710634128232 -46.9414917010382 -419.585855108347</f>
        <v>-858.23798093761729</v>
      </c>
      <c r="R3231" t="s">
        <v>64363</v>
      </c>
      <c r="S3231" t="s">
        <v>64364</v>
      </c>
      <c r="T3231" t="s">
        <v>64365</v>
      </c>
      <c r="U3231" t="s">
        <v>64366</v>
      </c>
      <c r="V3231" t="s">
        <v>64367</v>
      </c>
      <c r="W3231" t="s">
        <v>64368</v>
      </c>
      <c r="X3231" t="s">
        <v>64369</v>
      </c>
      <c r="Y3231" t="s">
        <v>64370</v>
      </c>
    </row>
    <row r="3232" spans="1:25" x14ac:dyDescent="0.3">
      <c r="A3232">
        <v>161550</v>
      </c>
      <c r="B3232" t="s">
        <v>64371</v>
      </c>
      <c r="C3232" t="s">
        <v>64372</v>
      </c>
      <c r="D3232" t="s">
        <v>64373</v>
      </c>
      <c r="E3232" t="s">
        <v>64374</v>
      </c>
      <c r="F3232" t="s">
        <v>64375</v>
      </c>
      <c r="G3232" t="s">
        <v>64376</v>
      </c>
      <c r="H3232" t="s">
        <v>64377</v>
      </c>
      <c r="I3232" t="s">
        <v>64378</v>
      </c>
      <c r="J3232" t="s">
        <v>64379</v>
      </c>
      <c r="K3232" t="s">
        <v>64380</v>
      </c>
      <c r="L3232" t="s">
        <v>64381</v>
      </c>
      <c r="M3232" t="s">
        <v>64382</v>
      </c>
      <c r="N3232" t="s">
        <v>64383</v>
      </c>
      <c r="O3232">
        <f>-632.506627223747 -101.160826446801 -737.335524652084</f>
        <v>-1471.0029783226321</v>
      </c>
      <c r="P3232">
        <f>-649.364597427401 -77.9653930736094 -422.115017052523</f>
        <v>-1149.4450075535335</v>
      </c>
      <c r="Q3232">
        <f>-391.124499952364 -47.143105550071 -420.091605059975</f>
        <v>-858.35921056241</v>
      </c>
      <c r="R3232" t="s">
        <v>64384</v>
      </c>
      <c r="S3232" t="s">
        <v>64385</v>
      </c>
      <c r="T3232" t="s">
        <v>64386</v>
      </c>
      <c r="U3232" t="s">
        <v>64387</v>
      </c>
      <c r="V3232" t="s">
        <v>64388</v>
      </c>
      <c r="W3232" t="s">
        <v>64389</v>
      </c>
      <c r="X3232" t="s">
        <v>64390</v>
      </c>
      <c r="Y3232" t="s">
        <v>64391</v>
      </c>
    </row>
    <row r="3233" spans="1:25" x14ac:dyDescent="0.3">
      <c r="A3233">
        <v>161600</v>
      </c>
      <c r="B3233" t="s">
        <v>64392</v>
      </c>
      <c r="C3233" t="s">
        <v>64393</v>
      </c>
      <c r="D3233" t="s">
        <v>64394</v>
      </c>
      <c r="E3233" t="s">
        <v>64395</v>
      </c>
      <c r="F3233" t="s">
        <v>64396</v>
      </c>
      <c r="G3233" t="s">
        <v>64397</v>
      </c>
      <c r="H3233" t="s">
        <v>64398</v>
      </c>
      <c r="I3233" t="s">
        <v>64399</v>
      </c>
      <c r="J3233" t="s">
        <v>64400</v>
      </c>
      <c r="K3233" t="s">
        <v>64401</v>
      </c>
      <c r="L3233" t="s">
        <v>64402</v>
      </c>
      <c r="M3233" t="s">
        <v>64403</v>
      </c>
      <c r="N3233" t="s">
        <v>64404</v>
      </c>
      <c r="O3233">
        <f>-632.269543970341 -101.531221772893 -737.455481746558</f>
        <v>-1471.256247489792</v>
      </c>
      <c r="P3233">
        <f>-649.103594623842 -78.5753935952819 -422.216154192993</f>
        <v>-1149.8951424121169</v>
      </c>
      <c r="Q3233">
        <f>-390.898211964585 -47.4634942280837 -420.196399981888</f>
        <v>-858.55810617455677</v>
      </c>
      <c r="R3233" t="s">
        <v>64405</v>
      </c>
      <c r="S3233" t="s">
        <v>64406</v>
      </c>
      <c r="T3233" t="s">
        <v>64407</v>
      </c>
      <c r="U3233" t="s">
        <v>64408</v>
      </c>
      <c r="V3233" t="s">
        <v>64409</v>
      </c>
      <c r="W3233" t="s">
        <v>64410</v>
      </c>
      <c r="X3233" t="s">
        <v>64411</v>
      </c>
      <c r="Y3233" t="s">
        <v>64412</v>
      </c>
    </row>
    <row r="3234" spans="1:25" x14ac:dyDescent="0.3">
      <c r="A3234">
        <v>161650</v>
      </c>
      <c r="B3234" t="s">
        <v>64413</v>
      </c>
      <c r="C3234" t="s">
        <v>64414</v>
      </c>
      <c r="D3234" t="s">
        <v>64415</v>
      </c>
      <c r="E3234" t="s">
        <v>64416</v>
      </c>
      <c r="F3234" t="s">
        <v>64417</v>
      </c>
      <c r="G3234" t="s">
        <v>64418</v>
      </c>
      <c r="H3234" t="s">
        <v>64419</v>
      </c>
      <c r="I3234" t="s">
        <v>64420</v>
      </c>
      <c r="J3234" t="s">
        <v>64421</v>
      </c>
      <c r="K3234" t="s">
        <v>64422</v>
      </c>
      <c r="L3234" t="s">
        <v>64423</v>
      </c>
      <c r="M3234" t="s">
        <v>64424</v>
      </c>
      <c r="N3234" t="s">
        <v>64425</v>
      </c>
      <c r="O3234">
        <f>-631.649600075762 -102.393888553874 -737.745165145547</f>
        <v>-1471.7886537751831</v>
      </c>
      <c r="P3234">
        <f>-648.950323117496 -79.921804940804 -422.496170985132</f>
        <v>-1151.368299043432</v>
      </c>
      <c r="Q3234">
        <f>-390.836541710979 -48.0672052566636 -420.348517177611</f>
        <v>-859.25226414525355</v>
      </c>
      <c r="R3234" t="s">
        <v>64426</v>
      </c>
      <c r="S3234" t="s">
        <v>64427</v>
      </c>
      <c r="T3234" t="s">
        <v>64428</v>
      </c>
      <c r="U3234" t="s">
        <v>64429</v>
      </c>
      <c r="V3234" t="s">
        <v>64430</v>
      </c>
      <c r="W3234" t="s">
        <v>64431</v>
      </c>
      <c r="X3234" t="s">
        <v>64432</v>
      </c>
      <c r="Y3234" t="s">
        <v>64433</v>
      </c>
    </row>
    <row r="3235" spans="1:25" x14ac:dyDescent="0.3">
      <c r="A3235">
        <v>161700</v>
      </c>
      <c r="B3235" t="s">
        <v>64434</v>
      </c>
      <c r="C3235" t="s">
        <v>64435</v>
      </c>
      <c r="D3235" t="s">
        <v>64436</v>
      </c>
      <c r="E3235" t="s">
        <v>64437</v>
      </c>
      <c r="F3235" t="s">
        <v>64438</v>
      </c>
      <c r="G3235" t="s">
        <v>64439</v>
      </c>
      <c r="H3235" t="s">
        <v>64440</v>
      </c>
      <c r="I3235" t="s">
        <v>64441</v>
      </c>
      <c r="J3235" t="s">
        <v>64442</v>
      </c>
      <c r="K3235" t="s">
        <v>64443</v>
      </c>
      <c r="L3235" t="s">
        <v>64444</v>
      </c>
      <c r="M3235" t="s">
        <v>64445</v>
      </c>
      <c r="N3235" t="s">
        <v>64446</v>
      </c>
      <c r="O3235">
        <f>-631.220251284208 -102.631867719881 -737.986990986613</f>
        <v>-1471.8391099907021</v>
      </c>
      <c r="P3235">
        <f>-648.604203682898 -80.3541275943081 -422.728755877857</f>
        <v>-1151.6870871550632</v>
      </c>
      <c r="Q3235">
        <f>-390.517442081445 -48.296677764338 -420.366039132965</f>
        <v>-859.18015897874807</v>
      </c>
      <c r="R3235" t="s">
        <v>64447</v>
      </c>
      <c r="S3235" t="s">
        <v>64448</v>
      </c>
      <c r="T3235" t="s">
        <v>64449</v>
      </c>
      <c r="U3235" t="s">
        <v>64450</v>
      </c>
      <c r="V3235" t="s">
        <v>64451</v>
      </c>
      <c r="W3235" t="s">
        <v>64452</v>
      </c>
      <c r="X3235" t="s">
        <v>64453</v>
      </c>
      <c r="Y3235" t="s">
        <v>64454</v>
      </c>
    </row>
    <row r="3236" spans="1:25" x14ac:dyDescent="0.3">
      <c r="A3236">
        <v>161750</v>
      </c>
      <c r="B3236" t="s">
        <v>64455</v>
      </c>
      <c r="C3236" t="s">
        <v>64456</v>
      </c>
      <c r="D3236" t="s">
        <v>64457</v>
      </c>
      <c r="E3236" t="s">
        <v>64458</v>
      </c>
      <c r="F3236" t="s">
        <v>64459</v>
      </c>
      <c r="G3236" t="s">
        <v>64460</v>
      </c>
      <c r="H3236" t="s">
        <v>64461</v>
      </c>
      <c r="I3236" t="s">
        <v>64462</v>
      </c>
      <c r="J3236" t="s">
        <v>64463</v>
      </c>
      <c r="K3236" t="s">
        <v>64464</v>
      </c>
      <c r="L3236" t="s">
        <v>64465</v>
      </c>
      <c r="M3236" t="s">
        <v>64466</v>
      </c>
      <c r="N3236" t="s">
        <v>64467</v>
      </c>
      <c r="O3236">
        <f>-630.079361241105 -103.311000955564 -738.489716239511</f>
        <v>-1471.8800784361802</v>
      </c>
      <c r="P3236">
        <f>-647.857792755412 -81.3841624051024 -423.228924118957</f>
        <v>-1152.4708792794713</v>
      </c>
      <c r="Q3236">
        <f>-389.851349644423 -48.72022614686 -420.434444549343</f>
        <v>-859.00602034062604</v>
      </c>
      <c r="R3236" t="s">
        <v>64468</v>
      </c>
      <c r="S3236" t="s">
        <v>64469</v>
      </c>
      <c r="T3236" t="s">
        <v>64470</v>
      </c>
      <c r="U3236" t="s">
        <v>64471</v>
      </c>
      <c r="V3236" t="s">
        <v>64472</v>
      </c>
      <c r="W3236" t="s">
        <v>64473</v>
      </c>
      <c r="X3236" t="s">
        <v>64474</v>
      </c>
      <c r="Y3236" t="s">
        <v>64475</v>
      </c>
    </row>
    <row r="3237" spans="1:25" x14ac:dyDescent="0.3">
      <c r="A3237">
        <v>161800</v>
      </c>
      <c r="B3237" t="s">
        <v>64476</v>
      </c>
      <c r="C3237" t="s">
        <v>64477</v>
      </c>
      <c r="D3237" t="s">
        <v>64478</v>
      </c>
      <c r="E3237" t="s">
        <v>64479</v>
      </c>
      <c r="F3237" t="s">
        <v>64480</v>
      </c>
      <c r="G3237" t="s">
        <v>64481</v>
      </c>
      <c r="H3237" t="s">
        <v>64482</v>
      </c>
      <c r="I3237" t="s">
        <v>64483</v>
      </c>
      <c r="J3237" t="s">
        <v>64484</v>
      </c>
      <c r="K3237" t="s">
        <v>64485</v>
      </c>
      <c r="L3237" t="s">
        <v>64486</v>
      </c>
      <c r="M3237" t="s">
        <v>64487</v>
      </c>
      <c r="N3237" t="s">
        <v>64488</v>
      </c>
      <c r="O3237">
        <f>-629.519798868343 -103.688767732885 -738.805866056061</f>
        <v>-1472.014432657289</v>
      </c>
      <c r="P3237">
        <f>-647.369027027887 -81.9704764353375 -423.53469886009</f>
        <v>-1152.8742023233144</v>
      </c>
      <c r="Q3237">
        <f>-389.39956759196 -49.0340601884205 -420.529929081314</f>
        <v>-858.96355686169454</v>
      </c>
      <c r="R3237" t="s">
        <v>64489</v>
      </c>
      <c r="S3237" t="s">
        <v>64490</v>
      </c>
      <c r="T3237" t="s">
        <v>64491</v>
      </c>
      <c r="U3237" t="s">
        <v>64492</v>
      </c>
      <c r="V3237" t="s">
        <v>64493</v>
      </c>
      <c r="W3237" t="s">
        <v>64494</v>
      </c>
      <c r="X3237" t="s">
        <v>64495</v>
      </c>
      <c r="Y3237" t="s">
        <v>64496</v>
      </c>
    </row>
    <row r="3238" spans="1:25" x14ac:dyDescent="0.3">
      <c r="A3238">
        <v>161850</v>
      </c>
      <c r="B3238" t="s">
        <v>64497</v>
      </c>
      <c r="C3238" t="s">
        <v>64498</v>
      </c>
      <c r="D3238" t="s">
        <v>64499</v>
      </c>
      <c r="E3238" t="s">
        <v>64500</v>
      </c>
      <c r="F3238" t="s">
        <v>64501</v>
      </c>
      <c r="G3238" t="s">
        <v>64502</v>
      </c>
      <c r="H3238" t="s">
        <v>64503</v>
      </c>
      <c r="I3238" t="s">
        <v>64504</v>
      </c>
      <c r="J3238" t="s">
        <v>64505</v>
      </c>
      <c r="K3238" t="s">
        <v>64506</v>
      </c>
      <c r="L3238" t="s">
        <v>64507</v>
      </c>
      <c r="M3238" t="s">
        <v>64508</v>
      </c>
      <c r="N3238" t="s">
        <v>64509</v>
      </c>
      <c r="O3238">
        <f>-628.341827035332 -104.793139999359 -739.341658515591</f>
        <v>-1472.4766255502821</v>
      </c>
      <c r="P3238">
        <f>-646.36385978395 -83.5134585572235 -424.050324592372</f>
        <v>-1153.9276429335455</v>
      </c>
      <c r="Q3238">
        <f>-388.49796026096 -49.7967748632681 -420.822975325662</f>
        <v>-859.11771044989007</v>
      </c>
      <c r="R3238" t="s">
        <v>64510</v>
      </c>
      <c r="S3238" t="s">
        <v>64511</v>
      </c>
      <c r="T3238" t="s">
        <v>64512</v>
      </c>
      <c r="U3238" t="s">
        <v>64513</v>
      </c>
      <c r="V3238" t="s">
        <v>64514</v>
      </c>
      <c r="W3238" t="s">
        <v>64515</v>
      </c>
      <c r="X3238" t="s">
        <v>64516</v>
      </c>
      <c r="Y3238" t="s">
        <v>64517</v>
      </c>
    </row>
    <row r="3239" spans="1:25" x14ac:dyDescent="0.3">
      <c r="A3239">
        <v>161900</v>
      </c>
      <c r="B3239" t="s">
        <v>64518</v>
      </c>
      <c r="C3239" t="s">
        <v>64519</v>
      </c>
      <c r="D3239" t="s">
        <v>64520</v>
      </c>
      <c r="E3239" t="s">
        <v>64521</v>
      </c>
      <c r="F3239" t="s">
        <v>64522</v>
      </c>
      <c r="G3239" t="s">
        <v>64523</v>
      </c>
      <c r="H3239" t="s">
        <v>64524</v>
      </c>
      <c r="I3239" t="s">
        <v>64525</v>
      </c>
      <c r="J3239" t="s">
        <v>64526</v>
      </c>
      <c r="K3239" t="s">
        <v>64527</v>
      </c>
      <c r="L3239" t="s">
        <v>64528</v>
      </c>
      <c r="M3239" t="s">
        <v>64529</v>
      </c>
      <c r="N3239" t="s">
        <v>64530</v>
      </c>
      <c r="O3239">
        <f>-627.601513889722 -105.296978891556 -739.636732463046</f>
        <v>-1472.535225244324</v>
      </c>
      <c r="P3239">
        <f>-645.714732945569 -84.2888849651701 -424.332405503723</f>
        <v>-1154.3360234144623</v>
      </c>
      <c r="Q3239">
        <f>-387.904291896833 -50.1491095278755 -421.120411309354</f>
        <v>-859.17381273406249</v>
      </c>
      <c r="R3239" t="s">
        <v>64531</v>
      </c>
      <c r="S3239" t="s">
        <v>64532</v>
      </c>
      <c r="T3239" t="s">
        <v>64533</v>
      </c>
      <c r="U3239" t="s">
        <v>64534</v>
      </c>
      <c r="V3239" t="s">
        <v>64535</v>
      </c>
      <c r="W3239" t="s">
        <v>64536</v>
      </c>
      <c r="X3239" t="s">
        <v>64537</v>
      </c>
      <c r="Y3239" t="s">
        <v>64538</v>
      </c>
    </row>
    <row r="3240" spans="1:25" x14ac:dyDescent="0.3">
      <c r="A3240">
        <v>161950</v>
      </c>
      <c r="B3240" t="s">
        <v>64539</v>
      </c>
      <c r="C3240" t="s">
        <v>64540</v>
      </c>
      <c r="D3240" t="s">
        <v>64541</v>
      </c>
      <c r="E3240" t="s">
        <v>64542</v>
      </c>
      <c r="F3240" t="s">
        <v>64543</v>
      </c>
      <c r="G3240" t="s">
        <v>64544</v>
      </c>
      <c r="H3240" t="s">
        <v>64545</v>
      </c>
      <c r="I3240" t="s">
        <v>64546</v>
      </c>
      <c r="J3240" t="s">
        <v>64547</v>
      </c>
      <c r="K3240" t="s">
        <v>64548</v>
      </c>
      <c r="L3240" t="s">
        <v>64549</v>
      </c>
      <c r="M3240" t="s">
        <v>64550</v>
      </c>
      <c r="N3240" t="s">
        <v>64551</v>
      </c>
      <c r="O3240">
        <f>-626.762365083252 -106.284538459073 -740.132503247588</f>
        <v>-1473.1794067899132</v>
      </c>
      <c r="P3240">
        <f>-644.811151646199 -85.9528361504725 -424.780315688997</f>
        <v>-1155.5443034856685</v>
      </c>
      <c r="Q3240">
        <f>-387.135323980781 -50.8366685231118 -421.303626824515</f>
        <v>-859.27561932840786</v>
      </c>
      <c r="R3240" t="s">
        <v>64552</v>
      </c>
      <c r="S3240" t="s">
        <v>64553</v>
      </c>
      <c r="T3240" t="s">
        <v>64554</v>
      </c>
      <c r="U3240" t="s">
        <v>64555</v>
      </c>
      <c r="V3240" t="s">
        <v>64556</v>
      </c>
      <c r="W3240" t="s">
        <v>64557</v>
      </c>
      <c r="X3240" t="s">
        <v>64558</v>
      </c>
      <c r="Y3240" t="s">
        <v>64559</v>
      </c>
    </row>
    <row r="3241" spans="1:25" x14ac:dyDescent="0.3">
      <c r="A3241">
        <v>162000</v>
      </c>
      <c r="B3241" t="s">
        <v>64560</v>
      </c>
      <c r="C3241" t="s">
        <v>64561</v>
      </c>
      <c r="D3241" t="s">
        <v>64562</v>
      </c>
      <c r="E3241" t="s">
        <v>64563</v>
      </c>
      <c r="F3241" t="s">
        <v>64564</v>
      </c>
      <c r="G3241" t="s">
        <v>64565</v>
      </c>
      <c r="H3241" t="s">
        <v>64566</v>
      </c>
      <c r="I3241" t="s">
        <v>64567</v>
      </c>
      <c r="J3241" t="s">
        <v>64568</v>
      </c>
      <c r="K3241" t="s">
        <v>64569</v>
      </c>
      <c r="L3241" t="s">
        <v>64570</v>
      </c>
      <c r="M3241" t="s">
        <v>64571</v>
      </c>
      <c r="N3241" t="s">
        <v>64572</v>
      </c>
      <c r="O3241">
        <f>-626.050497231143 -106.79122481369 -740.523525573346</f>
        <v>-1473.365247618179</v>
      </c>
      <c r="P3241">
        <f>-644.099889524016 -86.6166519069351 -425.161127553449</f>
        <v>-1155.8776689844001</v>
      </c>
      <c r="Q3241">
        <f>-386.487677066115 -51.0723597705617 -421.340418998467</f>
        <v>-858.9004558351437</v>
      </c>
      <c r="R3241" t="s">
        <v>64573</v>
      </c>
      <c r="S3241" t="s">
        <v>64574</v>
      </c>
      <c r="T3241" t="s">
        <v>64575</v>
      </c>
      <c r="U3241" t="s">
        <v>64576</v>
      </c>
      <c r="V3241" t="s">
        <v>64577</v>
      </c>
      <c r="W3241" t="s">
        <v>64578</v>
      </c>
      <c r="X3241" t="s">
        <v>64579</v>
      </c>
      <c r="Y3241" t="s">
        <v>64580</v>
      </c>
    </row>
    <row r="3242" spans="1:25" x14ac:dyDescent="0.3">
      <c r="A3242">
        <v>162050</v>
      </c>
      <c r="B3242" t="s">
        <v>64581</v>
      </c>
      <c r="C3242" t="s">
        <v>64582</v>
      </c>
      <c r="D3242" t="s">
        <v>64583</v>
      </c>
      <c r="E3242" t="s">
        <v>64584</v>
      </c>
      <c r="F3242" t="s">
        <v>64585</v>
      </c>
      <c r="G3242" t="s">
        <v>64586</v>
      </c>
      <c r="H3242" t="s">
        <v>64587</v>
      </c>
      <c r="I3242" t="s">
        <v>64588</v>
      </c>
      <c r="J3242" t="s">
        <v>64589</v>
      </c>
      <c r="K3242" t="s">
        <v>64590</v>
      </c>
      <c r="L3242" t="s">
        <v>64591</v>
      </c>
      <c r="M3242" t="s">
        <v>64592</v>
      </c>
      <c r="N3242" t="s">
        <v>64593</v>
      </c>
      <c r="O3242">
        <f>-624.899227687279 -107.401588153518 -741.29110400947</f>
        <v>-1473.591919850267</v>
      </c>
      <c r="P3242">
        <f>-642.820406134817 -88.2819120374977 -425.855873292196</f>
        <v>-1156.9581914645107</v>
      </c>
      <c r="Q3242">
        <f>-385.410699834016 -51.3866371029689 -421.26530325248</f>
        <v>-858.0626401894649</v>
      </c>
      <c r="R3242" t="s">
        <v>64594</v>
      </c>
      <c r="S3242" t="s">
        <v>64595</v>
      </c>
      <c r="T3242" t="s">
        <v>64596</v>
      </c>
      <c r="U3242" t="s">
        <v>64597</v>
      </c>
      <c r="V3242" t="s">
        <v>64598</v>
      </c>
      <c r="W3242" t="s">
        <v>64599</v>
      </c>
      <c r="X3242" t="s">
        <v>64600</v>
      </c>
      <c r="Y3242" t="s">
        <v>64601</v>
      </c>
    </row>
    <row r="3243" spans="1:25" x14ac:dyDescent="0.3">
      <c r="A3243">
        <v>162100</v>
      </c>
      <c r="B3243" t="s">
        <v>64602</v>
      </c>
      <c r="C3243" t="s">
        <v>64603</v>
      </c>
      <c r="D3243" t="s">
        <v>64604</v>
      </c>
      <c r="E3243" t="s">
        <v>64605</v>
      </c>
      <c r="F3243" t="s">
        <v>64606</v>
      </c>
      <c r="G3243" t="s">
        <v>64607</v>
      </c>
      <c r="H3243" t="s">
        <v>64608</v>
      </c>
      <c r="I3243" t="s">
        <v>64609</v>
      </c>
      <c r="J3243" t="s">
        <v>64610</v>
      </c>
      <c r="K3243" t="s">
        <v>64611</v>
      </c>
      <c r="L3243" t="s">
        <v>64612</v>
      </c>
      <c r="M3243" t="s">
        <v>64613</v>
      </c>
      <c r="N3243" t="s">
        <v>64614</v>
      </c>
      <c r="O3243">
        <f>-624.239631623765 -107.419127137979 -741.893717726867</f>
        <v>-1473.5524764886109</v>
      </c>
      <c r="P3243">
        <f>-642.330047539458 -88.7805763060534 -426.439239748368</f>
        <v>-1157.5498635938793</v>
      </c>
      <c r="Q3243">
        <f>-385.063871685159 -50.9041322201445 -421.797108373921</f>
        <v>-857.76511227922447</v>
      </c>
      <c r="R3243" t="s">
        <v>64615</v>
      </c>
      <c r="S3243" t="s">
        <v>64616</v>
      </c>
      <c r="T3243" t="s">
        <v>64617</v>
      </c>
      <c r="U3243" t="s">
        <v>64618</v>
      </c>
      <c r="V3243" t="s">
        <v>64619</v>
      </c>
      <c r="W3243" t="s">
        <v>64620</v>
      </c>
      <c r="X3243" t="s">
        <v>64621</v>
      </c>
      <c r="Y3243" t="s">
        <v>64622</v>
      </c>
    </row>
    <row r="3244" spans="1:25" x14ac:dyDescent="0.3">
      <c r="A3244">
        <v>162150</v>
      </c>
      <c r="B3244" t="s">
        <v>64623</v>
      </c>
      <c r="C3244" t="s">
        <v>64624</v>
      </c>
      <c r="D3244" t="s">
        <v>64625</v>
      </c>
      <c r="E3244" t="s">
        <v>64626</v>
      </c>
      <c r="F3244" t="s">
        <v>64627</v>
      </c>
      <c r="G3244" t="s">
        <v>64628</v>
      </c>
      <c r="H3244" t="s">
        <v>64629</v>
      </c>
      <c r="I3244" t="s">
        <v>64630</v>
      </c>
      <c r="J3244" t="s">
        <v>64631</v>
      </c>
      <c r="K3244" t="s">
        <v>64632</v>
      </c>
      <c r="L3244" t="s">
        <v>64633</v>
      </c>
      <c r="M3244" t="s">
        <v>64634</v>
      </c>
      <c r="N3244" t="s">
        <v>64635</v>
      </c>
      <c r="O3244">
        <f>-622.697722095745 -107.179864458428 -742.846581068961</f>
        <v>-1472.724167623134</v>
      </c>
      <c r="P3244">
        <f>-640.500785471414 -89.8989191845566 -427.29850322505</f>
        <v>-1157.6982078810206</v>
      </c>
      <c r="Q3244">
        <f>-383.589252085081 -49.578070739746 -423.729119533696</f>
        <v>-856.89644235852302</v>
      </c>
      <c r="R3244" t="s">
        <v>64636</v>
      </c>
      <c r="S3244" t="s">
        <v>64637</v>
      </c>
      <c r="T3244" t="s">
        <v>64638</v>
      </c>
      <c r="U3244" t="s">
        <v>64639</v>
      </c>
      <c r="V3244" t="s">
        <v>64640</v>
      </c>
      <c r="W3244" t="s">
        <v>64641</v>
      </c>
      <c r="X3244" t="s">
        <v>64642</v>
      </c>
      <c r="Y3244" t="s">
        <v>64643</v>
      </c>
    </row>
    <row r="3245" spans="1:25" x14ac:dyDescent="0.3">
      <c r="A3245">
        <v>162200</v>
      </c>
      <c r="B3245" t="s">
        <v>64644</v>
      </c>
      <c r="C3245" t="s">
        <v>64645</v>
      </c>
      <c r="D3245" t="s">
        <v>64646</v>
      </c>
      <c r="E3245" t="s">
        <v>64647</v>
      </c>
      <c r="F3245" t="s">
        <v>64648</v>
      </c>
      <c r="G3245" t="s">
        <v>64649</v>
      </c>
      <c r="H3245" t="s">
        <v>64650</v>
      </c>
      <c r="I3245" t="s">
        <v>64651</v>
      </c>
      <c r="J3245" t="s">
        <v>64652</v>
      </c>
      <c r="K3245" t="s">
        <v>64653</v>
      </c>
      <c r="L3245" t="s">
        <v>64654</v>
      </c>
      <c r="M3245" t="s">
        <v>64655</v>
      </c>
      <c r="N3245" t="s">
        <v>64656</v>
      </c>
      <c r="O3245">
        <f>-622.270479406696 -107.252281207057 -742.852533446439</f>
        <v>-1472.3752940601921</v>
      </c>
      <c r="P3245">
        <f>-639.950734192552 -90.4455246926235 -427.272001526579</f>
        <v>-1157.6682604117545</v>
      </c>
      <c r="Q3245">
        <f>-383.149719331125 -49.3657424628158 -424.486413687515</f>
        <v>-857.00187548145584</v>
      </c>
      <c r="R3245" t="s">
        <v>64657</v>
      </c>
      <c r="S3245" t="s">
        <v>64658</v>
      </c>
      <c r="T3245" t="s">
        <v>64659</v>
      </c>
      <c r="U3245" t="s">
        <v>64660</v>
      </c>
      <c r="V3245" t="s">
        <v>64661</v>
      </c>
      <c r="W3245" t="s">
        <v>64662</v>
      </c>
      <c r="X3245" t="s">
        <v>64663</v>
      </c>
      <c r="Y3245" t="s">
        <v>64664</v>
      </c>
    </row>
    <row r="3246" spans="1:25" x14ac:dyDescent="0.3">
      <c r="A3246">
        <v>162250</v>
      </c>
      <c r="B3246" t="s">
        <v>64665</v>
      </c>
      <c r="C3246" t="s">
        <v>64666</v>
      </c>
      <c r="D3246" t="s">
        <v>64667</v>
      </c>
      <c r="E3246" t="s">
        <v>64668</v>
      </c>
      <c r="F3246" t="s">
        <v>64669</v>
      </c>
      <c r="G3246" t="s">
        <v>64670</v>
      </c>
      <c r="H3246" t="s">
        <v>64671</v>
      </c>
      <c r="I3246" t="s">
        <v>64672</v>
      </c>
      <c r="J3246" t="s">
        <v>64673</v>
      </c>
      <c r="K3246" t="s">
        <v>64674</v>
      </c>
      <c r="L3246" t="s">
        <v>64675</v>
      </c>
      <c r="M3246" t="s">
        <v>64676</v>
      </c>
      <c r="N3246" t="s">
        <v>64677</v>
      </c>
      <c r="O3246">
        <f>-621.199167662343 -107.5668048023 -742.394297970338</f>
        <v>-1471.1602704349812</v>
      </c>
      <c r="P3246">
        <f>-638.076189665561 -91.8288404408961 -426.714697601938</f>
        <v>-1156.619727708395</v>
      </c>
      <c r="Q3246">
        <f>-381.402564943642 -49.8746695289824 -425.962970764108</f>
        <v>-857.24020523673244</v>
      </c>
      <c r="R3246" t="s">
        <v>64678</v>
      </c>
      <c r="S3246" t="s">
        <v>64679</v>
      </c>
      <c r="T3246" t="s">
        <v>64680</v>
      </c>
      <c r="U3246" t="s">
        <v>64681</v>
      </c>
      <c r="V3246" t="s">
        <v>64682</v>
      </c>
      <c r="W3246" t="s">
        <v>64683</v>
      </c>
      <c r="X3246" t="s">
        <v>64684</v>
      </c>
      <c r="Y3246" t="s">
        <v>64685</v>
      </c>
    </row>
    <row r="3247" spans="1:25" x14ac:dyDescent="0.3">
      <c r="A3247">
        <v>162300</v>
      </c>
      <c r="B3247" t="s">
        <v>64686</v>
      </c>
      <c r="C3247" t="s">
        <v>64687</v>
      </c>
      <c r="D3247" t="s">
        <v>64688</v>
      </c>
      <c r="E3247" t="s">
        <v>64689</v>
      </c>
      <c r="F3247" t="s">
        <v>64690</v>
      </c>
      <c r="G3247" t="s">
        <v>64691</v>
      </c>
      <c r="H3247" t="s">
        <v>64692</v>
      </c>
      <c r="I3247" t="s">
        <v>64693</v>
      </c>
      <c r="J3247" t="s">
        <v>64694</v>
      </c>
      <c r="K3247" t="s">
        <v>64695</v>
      </c>
      <c r="L3247" t="s">
        <v>64696</v>
      </c>
      <c r="M3247" t="s">
        <v>64697</v>
      </c>
      <c r="N3247" t="s">
        <v>64698</v>
      </c>
      <c r="O3247">
        <f>-620.665395047814 -107.784390158896 -742.073960824786</f>
        <v>-1470.5237460314961</v>
      </c>
      <c r="P3247">
        <f>-637.226272973837 -92.5851555724055 -426.351080681143</f>
        <v>-1156.1625092273855</v>
      </c>
      <c r="Q3247">
        <f>-380.618095056576 -50.2262294194461 -426.506567811364</f>
        <v>-857.35089228738616</v>
      </c>
      <c r="R3247" t="s">
        <v>64699</v>
      </c>
      <c r="S3247" t="s">
        <v>64700</v>
      </c>
      <c r="T3247" t="s">
        <v>64701</v>
      </c>
      <c r="U3247" t="s">
        <v>64702</v>
      </c>
      <c r="V3247" t="s">
        <v>64703</v>
      </c>
      <c r="W3247" t="s">
        <v>64704</v>
      </c>
      <c r="X3247" t="s">
        <v>64705</v>
      </c>
      <c r="Y3247" t="s">
        <v>64706</v>
      </c>
    </row>
    <row r="3248" spans="1:25" x14ac:dyDescent="0.3">
      <c r="A3248">
        <v>162350</v>
      </c>
      <c r="B3248" t="s">
        <v>64707</v>
      </c>
      <c r="C3248" t="s">
        <v>64708</v>
      </c>
      <c r="D3248" t="s">
        <v>64709</v>
      </c>
      <c r="E3248" t="s">
        <v>64710</v>
      </c>
      <c r="F3248" t="s">
        <v>64711</v>
      </c>
      <c r="G3248" t="s">
        <v>64712</v>
      </c>
      <c r="H3248" t="s">
        <v>64713</v>
      </c>
      <c r="I3248" t="s">
        <v>64714</v>
      </c>
      <c r="J3248" t="s">
        <v>64715</v>
      </c>
      <c r="K3248" t="s">
        <v>64716</v>
      </c>
      <c r="L3248" t="s">
        <v>64717</v>
      </c>
      <c r="M3248" t="s">
        <v>64718</v>
      </c>
      <c r="N3248" t="s">
        <v>64719</v>
      </c>
      <c r="O3248">
        <f>-619.435205494278 -107.680681739785 -741.598375805149</f>
        <v>-1468.7142630392118</v>
      </c>
      <c r="P3248">
        <f>-635.867470282273 -93.9425498326668 -425.801924121468</f>
        <v>-1155.6119442364079</v>
      </c>
      <c r="Q3248">
        <f>-379.518323296628 -50.0773085220708 -427.532679104083</f>
        <v>-857.12831092278179</v>
      </c>
      <c r="R3248" t="s">
        <v>64720</v>
      </c>
      <c r="S3248" t="s">
        <v>64721</v>
      </c>
      <c r="T3248" t="s">
        <v>64722</v>
      </c>
      <c r="U3248" t="s">
        <v>64723</v>
      </c>
      <c r="V3248" t="s">
        <v>64724</v>
      </c>
      <c r="W3248" t="s">
        <v>64725</v>
      </c>
      <c r="X3248" t="s">
        <v>64726</v>
      </c>
      <c r="Y3248" t="s">
        <v>64727</v>
      </c>
    </row>
    <row r="3249" spans="1:25" x14ac:dyDescent="0.3">
      <c r="A3249">
        <v>162400</v>
      </c>
      <c r="B3249" t="s">
        <v>64728</v>
      </c>
      <c r="C3249" t="s">
        <v>64729</v>
      </c>
      <c r="D3249" t="s">
        <v>64730</v>
      </c>
      <c r="E3249" t="s">
        <v>64731</v>
      </c>
      <c r="F3249" t="s">
        <v>64732</v>
      </c>
      <c r="G3249" t="s">
        <v>64733</v>
      </c>
      <c r="H3249" t="s">
        <v>64734</v>
      </c>
      <c r="I3249" t="s">
        <v>64735</v>
      </c>
      <c r="J3249" t="s">
        <v>64736</v>
      </c>
      <c r="K3249" t="s">
        <v>64737</v>
      </c>
      <c r="L3249" t="s">
        <v>64738</v>
      </c>
      <c r="M3249" t="s">
        <v>64739</v>
      </c>
      <c r="N3249" t="s">
        <v>64740</v>
      </c>
      <c r="O3249">
        <f>-618.480967681101 -107.679549380864 -741.456294738495</f>
        <v>-1467.61681180046</v>
      </c>
      <c r="P3249">
        <f>-635.179127550722 -94.6713541212455 -425.642751512841</f>
        <v>-1155.4932331848086</v>
      </c>
      <c r="Q3249">
        <f>-379.030568266028 -49.7043386210301 -428.462723705621</f>
        <v>-857.19763059267916</v>
      </c>
      <c r="R3249" t="s">
        <v>64741</v>
      </c>
      <c r="S3249" t="s">
        <v>64742</v>
      </c>
      <c r="T3249" t="s">
        <v>64743</v>
      </c>
      <c r="U3249" t="s">
        <v>64744</v>
      </c>
      <c r="V3249" t="s">
        <v>64745</v>
      </c>
      <c r="W3249" t="s">
        <v>64746</v>
      </c>
      <c r="X3249" t="s">
        <v>64747</v>
      </c>
      <c r="Y3249" t="s">
        <v>64748</v>
      </c>
    </row>
    <row r="3250" spans="1:25" x14ac:dyDescent="0.3">
      <c r="A3250">
        <v>162450</v>
      </c>
      <c r="B3250" t="s">
        <v>64749</v>
      </c>
      <c r="C3250" t="s">
        <v>64750</v>
      </c>
      <c r="D3250" t="s">
        <v>64751</v>
      </c>
      <c r="E3250" t="s">
        <v>64752</v>
      </c>
      <c r="F3250" t="s">
        <v>64753</v>
      </c>
      <c r="G3250" t="s">
        <v>64754</v>
      </c>
      <c r="H3250" t="s">
        <v>64755</v>
      </c>
      <c r="I3250" t="s">
        <v>64756</v>
      </c>
      <c r="J3250" t="s">
        <v>64757</v>
      </c>
      <c r="K3250" t="s">
        <v>64758</v>
      </c>
      <c r="L3250" t="s">
        <v>64759</v>
      </c>
      <c r="M3250" t="s">
        <v>64760</v>
      </c>
      <c r="N3250" t="s">
        <v>64761</v>
      </c>
      <c r="O3250">
        <f>-616.415504499226 -107.65348049137 -741.243932715312</f>
        <v>-1465.3129177059081</v>
      </c>
      <c r="P3250">
        <f>-633.814248981655 -95.0489434478764 -425.451891929021</f>
        <v>-1154.3150843585524</v>
      </c>
      <c r="Q3250">
        <f>-378.07113068491 -48.0994077922248 -431.216572086449</f>
        <v>-857.38711056358375</v>
      </c>
      <c r="R3250" t="s">
        <v>64762</v>
      </c>
      <c r="S3250" t="s">
        <v>64763</v>
      </c>
      <c r="T3250" t="s">
        <v>64764</v>
      </c>
      <c r="U3250" t="s">
        <v>64765</v>
      </c>
      <c r="V3250" t="s">
        <v>64766</v>
      </c>
      <c r="W3250" t="s">
        <v>64767</v>
      </c>
      <c r="X3250" t="s">
        <v>64768</v>
      </c>
      <c r="Y3250" t="s">
        <v>64769</v>
      </c>
    </row>
    <row r="3251" spans="1:25" x14ac:dyDescent="0.3">
      <c r="A3251">
        <v>162500</v>
      </c>
      <c r="B3251" t="s">
        <v>64770</v>
      </c>
      <c r="C3251" t="s">
        <v>64771</v>
      </c>
      <c r="D3251" t="s">
        <v>64772</v>
      </c>
      <c r="E3251" t="s">
        <v>64773</v>
      </c>
      <c r="F3251" t="s">
        <v>64774</v>
      </c>
      <c r="G3251" t="s">
        <v>64775</v>
      </c>
      <c r="H3251" t="s">
        <v>64776</v>
      </c>
      <c r="I3251" t="s">
        <v>64777</v>
      </c>
      <c r="J3251" t="s">
        <v>64778</v>
      </c>
      <c r="K3251" t="s">
        <v>64779</v>
      </c>
      <c r="L3251" t="s">
        <v>64780</v>
      </c>
      <c r="M3251" t="s">
        <v>64781</v>
      </c>
      <c r="N3251" t="s">
        <v>64782</v>
      </c>
      <c r="O3251">
        <f>-614.487258206802 -107.510080757416 -740.743980749084</f>
        <v>-1462.7413197133019</v>
      </c>
      <c r="P3251">
        <f>-632.241781228668 -94.7078997303443 -424.979765640601</f>
        <v>-1151.9294465996131</v>
      </c>
      <c r="Q3251">
        <f>-376.971269986654 -45.8595647631157 -434.617371789519</f>
        <v>-857.44820653928878</v>
      </c>
      <c r="R3251" t="s">
        <v>64783</v>
      </c>
      <c r="S3251" t="s">
        <v>64784</v>
      </c>
      <c r="T3251" t="s">
        <v>64785</v>
      </c>
      <c r="U3251" t="s">
        <v>64786</v>
      </c>
      <c r="V3251" t="s">
        <v>64787</v>
      </c>
      <c r="W3251" t="s">
        <v>64788</v>
      </c>
      <c r="X3251" t="s">
        <v>64789</v>
      </c>
      <c r="Y3251" t="s">
        <v>64790</v>
      </c>
    </row>
    <row r="3252" spans="1:25" x14ac:dyDescent="0.3">
      <c r="A3252">
        <v>162550</v>
      </c>
      <c r="B3252" t="s">
        <v>64791</v>
      </c>
      <c r="C3252" t="s">
        <v>64792</v>
      </c>
      <c r="D3252" t="s">
        <v>64793</v>
      </c>
      <c r="E3252" t="s">
        <v>64794</v>
      </c>
      <c r="F3252" t="s">
        <v>64795</v>
      </c>
      <c r="G3252" t="s">
        <v>64796</v>
      </c>
      <c r="H3252" t="s">
        <v>64797</v>
      </c>
      <c r="I3252" t="s">
        <v>64798</v>
      </c>
      <c r="J3252" t="s">
        <v>64799</v>
      </c>
      <c r="K3252" t="s">
        <v>64800</v>
      </c>
      <c r="L3252" t="s">
        <v>64801</v>
      </c>
      <c r="M3252" t="s">
        <v>64802</v>
      </c>
      <c r="N3252" t="s">
        <v>64803</v>
      </c>
      <c r="O3252">
        <f>-613.597819146499 -107.361370601732 -740.413368632001</f>
        <v>-1461.372558380232</v>
      </c>
      <c r="P3252">
        <f>-631.487285908439 -94.7535217459891 -424.6488577647</f>
        <v>-1150.8896654191281</v>
      </c>
      <c r="Q3252">
        <f>-376.544228404207 -44.8428400657108 -437.099882084273</f>
        <v>-858.4869505541908</v>
      </c>
      <c r="R3252" t="s">
        <v>64804</v>
      </c>
      <c r="S3252" t="s">
        <v>64805</v>
      </c>
      <c r="T3252" t="s">
        <v>64806</v>
      </c>
      <c r="U3252" t="s">
        <v>64807</v>
      </c>
      <c r="V3252" t="s">
        <v>64808</v>
      </c>
      <c r="W3252" t="s">
        <v>64809</v>
      </c>
      <c r="X3252" t="s">
        <v>64810</v>
      </c>
      <c r="Y3252" t="s">
        <v>64811</v>
      </c>
    </row>
    <row r="3253" spans="1:25" x14ac:dyDescent="0.3">
      <c r="A3253">
        <v>162600</v>
      </c>
      <c r="B3253" t="s">
        <v>64812</v>
      </c>
      <c r="C3253" t="s">
        <v>64813</v>
      </c>
      <c r="D3253" t="s">
        <v>64814</v>
      </c>
      <c r="E3253" t="s">
        <v>64815</v>
      </c>
      <c r="F3253" t="s">
        <v>64816</v>
      </c>
      <c r="G3253" t="s">
        <v>64817</v>
      </c>
      <c r="H3253" t="s">
        <v>64818</v>
      </c>
      <c r="I3253" t="s">
        <v>64819</v>
      </c>
      <c r="J3253" t="s">
        <v>64820</v>
      </c>
      <c r="K3253" t="s">
        <v>64821</v>
      </c>
      <c r="L3253" t="s">
        <v>64822</v>
      </c>
      <c r="M3253" t="s">
        <v>64823</v>
      </c>
      <c r="N3253" t="s">
        <v>64824</v>
      </c>
      <c r="O3253">
        <f>-612.765431533546 -107.103140834362 -740.052280415749</f>
        <v>-1459.920852783657</v>
      </c>
      <c r="P3253">
        <f>-630.651335453431 -94.8537637498925 -424.273522622921</f>
        <v>-1149.7786218262445</v>
      </c>
      <c r="Q3253">
        <f>-376.157774846068 -43.4642905288477 -439.577588959509</f>
        <v>-859.19965433442462</v>
      </c>
      <c r="R3253" t="s">
        <v>64825</v>
      </c>
      <c r="S3253" t="s">
        <v>64826</v>
      </c>
      <c r="T3253" t="s">
        <v>64827</v>
      </c>
      <c r="U3253" t="s">
        <v>64828</v>
      </c>
      <c r="V3253" t="s">
        <v>64829</v>
      </c>
      <c r="W3253" t="s">
        <v>64830</v>
      </c>
      <c r="X3253" t="s">
        <v>64831</v>
      </c>
      <c r="Y3253" t="s">
        <v>64832</v>
      </c>
    </row>
    <row r="3254" spans="1:25" x14ac:dyDescent="0.3">
      <c r="A3254">
        <v>162650</v>
      </c>
      <c r="B3254" t="s">
        <v>64833</v>
      </c>
      <c r="C3254" t="s">
        <v>64834</v>
      </c>
      <c r="D3254" t="s">
        <v>64835</v>
      </c>
      <c r="E3254" t="s">
        <v>64836</v>
      </c>
      <c r="F3254" t="s">
        <v>64837</v>
      </c>
      <c r="G3254" t="s">
        <v>64838</v>
      </c>
      <c r="H3254" t="s">
        <v>64839</v>
      </c>
      <c r="I3254" t="s">
        <v>64840</v>
      </c>
      <c r="J3254" t="s">
        <v>64841</v>
      </c>
      <c r="K3254" t="s">
        <v>64842</v>
      </c>
      <c r="L3254" t="s">
        <v>64843</v>
      </c>
      <c r="M3254" t="s">
        <v>64844</v>
      </c>
      <c r="N3254" t="s">
        <v>64845</v>
      </c>
      <c r="O3254">
        <f>-611.382817200011 -106.279413506633 -739.235743254349</f>
        <v>-1456.8979739609931</v>
      </c>
      <c r="P3254">
        <f>-628.666499099908 -94.9941058552763 -423.387538254704</f>
        <v>-1147.0481432098884</v>
      </c>
      <c r="Q3254">
        <f>-375.196764985837 -40.5354381899923 -444.109292160971</f>
        <v>-859.84149533680034</v>
      </c>
      <c r="R3254" t="s">
        <v>64846</v>
      </c>
      <c r="S3254" t="s">
        <v>64847</v>
      </c>
      <c r="T3254" t="s">
        <v>64848</v>
      </c>
      <c r="U3254" t="s">
        <v>64849</v>
      </c>
      <c r="V3254" t="s">
        <v>64850</v>
      </c>
      <c r="W3254" t="s">
        <v>64851</v>
      </c>
      <c r="X3254" t="s">
        <v>64852</v>
      </c>
      <c r="Y3254" t="s">
        <v>64853</v>
      </c>
    </row>
    <row r="3255" spans="1:25" x14ac:dyDescent="0.3">
      <c r="A3255">
        <v>162700</v>
      </c>
      <c r="B3255" t="s">
        <v>64854</v>
      </c>
      <c r="C3255" t="s">
        <v>64855</v>
      </c>
      <c r="D3255" t="s">
        <v>64856</v>
      </c>
      <c r="E3255" t="s">
        <v>64857</v>
      </c>
      <c r="F3255" t="s">
        <v>64858</v>
      </c>
      <c r="G3255" t="s">
        <v>64859</v>
      </c>
      <c r="H3255" t="s">
        <v>64860</v>
      </c>
      <c r="I3255" t="s">
        <v>64861</v>
      </c>
      <c r="J3255" t="s">
        <v>64862</v>
      </c>
      <c r="K3255" t="s">
        <v>64863</v>
      </c>
      <c r="L3255" t="s">
        <v>64864</v>
      </c>
      <c r="M3255" t="s">
        <v>64865</v>
      </c>
      <c r="N3255" t="s">
        <v>64866</v>
      </c>
      <c r="O3255">
        <f>-610.713359017926 -105.817037523309 -738.698859938706</f>
        <v>-1455.2292564799409</v>
      </c>
      <c r="P3255">
        <f>-627.536328200394 -94.9557013757266 -422.810951912411</f>
        <v>-1145.3029814885315</v>
      </c>
      <c r="Q3255">
        <f>-374.661799705845 -38.8851920990873 -446.319148443298</f>
        <v>-859.86614024823029</v>
      </c>
      <c r="R3255" t="s">
        <v>64867</v>
      </c>
      <c r="S3255" t="s">
        <v>64868</v>
      </c>
      <c r="T3255" t="s">
        <v>64869</v>
      </c>
      <c r="U3255" t="s">
        <v>64870</v>
      </c>
      <c r="V3255" t="s">
        <v>64871</v>
      </c>
      <c r="W3255" t="s">
        <v>64872</v>
      </c>
      <c r="X3255" t="s">
        <v>64873</v>
      </c>
      <c r="Y3255" t="s">
        <v>64874</v>
      </c>
    </row>
    <row r="3256" spans="1:25" x14ac:dyDescent="0.3">
      <c r="A3256">
        <v>162750</v>
      </c>
      <c r="B3256" t="s">
        <v>64875</v>
      </c>
      <c r="C3256" t="s">
        <v>64876</v>
      </c>
      <c r="D3256" t="s">
        <v>64877</v>
      </c>
      <c r="E3256" t="s">
        <v>64878</v>
      </c>
      <c r="F3256" t="s">
        <v>64879</v>
      </c>
      <c r="G3256" t="s">
        <v>64880</v>
      </c>
      <c r="H3256" t="s">
        <v>64881</v>
      </c>
      <c r="I3256" t="s">
        <v>64882</v>
      </c>
      <c r="J3256" t="s">
        <v>64883</v>
      </c>
      <c r="K3256" t="s">
        <v>64884</v>
      </c>
      <c r="L3256" t="s">
        <v>64885</v>
      </c>
      <c r="M3256" t="s">
        <v>64886</v>
      </c>
      <c r="N3256" t="s">
        <v>64887</v>
      </c>
      <c r="O3256">
        <f>-608.88461146948 -105.373312657013 -737.610428580248</f>
        <v>-1451.868352706741</v>
      </c>
      <c r="P3256">
        <f>-624.310602204091 -95.692841252921 -421.612750538989</f>
        <v>-1141.6161939960009</v>
      </c>
      <c r="Q3256">
        <f>-372.721957195401 -36.2055088562976 -450.011607668905</f>
        <v>-858.93907372060357</v>
      </c>
      <c r="R3256" t="s">
        <v>64888</v>
      </c>
      <c r="S3256" t="s">
        <v>64889</v>
      </c>
      <c r="T3256" t="s">
        <v>64890</v>
      </c>
      <c r="U3256" t="s">
        <v>64891</v>
      </c>
      <c r="V3256" t="s">
        <v>64892</v>
      </c>
      <c r="W3256" t="s">
        <v>64893</v>
      </c>
      <c r="X3256" t="s">
        <v>64894</v>
      </c>
      <c r="Y3256" t="s">
        <v>64895</v>
      </c>
    </row>
    <row r="3257" spans="1:25" x14ac:dyDescent="0.3">
      <c r="A3257">
        <v>162800</v>
      </c>
      <c r="B3257" t="s">
        <v>64896</v>
      </c>
      <c r="C3257" t="s">
        <v>64897</v>
      </c>
      <c r="D3257" t="s">
        <v>64898</v>
      </c>
      <c r="E3257" t="s">
        <v>64899</v>
      </c>
      <c r="F3257" t="s">
        <v>64900</v>
      </c>
      <c r="G3257" t="s">
        <v>64901</v>
      </c>
      <c r="H3257" t="s">
        <v>64902</v>
      </c>
      <c r="I3257" t="s">
        <v>64903</v>
      </c>
      <c r="J3257" t="s">
        <v>64904</v>
      </c>
      <c r="K3257" t="s">
        <v>64905</v>
      </c>
      <c r="L3257" t="s">
        <v>64906</v>
      </c>
      <c r="M3257" t="s">
        <v>64907</v>
      </c>
      <c r="N3257" t="s">
        <v>64908</v>
      </c>
      <c r="O3257">
        <f>-608.026500299925 -105.38454670523 -737.054891112066</f>
        <v>-1450.465938117221</v>
      </c>
      <c r="P3257">
        <f>-622.974582394322 -95.8232042237156 -421.030684400901</f>
        <v>-1139.8284710189387</v>
      </c>
      <c r="Q3257">
        <f>-372.040323757174 -34.5828466170571 -451.422818759817</f>
        <v>-858.04598913404811</v>
      </c>
      <c r="R3257" t="s">
        <v>64909</v>
      </c>
      <c r="S3257" t="s">
        <v>64910</v>
      </c>
      <c r="T3257" t="s">
        <v>64911</v>
      </c>
      <c r="U3257" t="s">
        <v>64912</v>
      </c>
      <c r="V3257" t="s">
        <v>64913</v>
      </c>
      <c r="W3257" t="s">
        <v>64914</v>
      </c>
      <c r="X3257" t="s">
        <v>64915</v>
      </c>
      <c r="Y3257" t="s">
        <v>64916</v>
      </c>
    </row>
    <row r="3258" spans="1:25" x14ac:dyDescent="0.3">
      <c r="A3258">
        <v>162850</v>
      </c>
      <c r="B3258" t="s">
        <v>64917</v>
      </c>
      <c r="C3258" t="s">
        <v>64918</v>
      </c>
      <c r="D3258" t="s">
        <v>64919</v>
      </c>
      <c r="E3258" t="s">
        <v>64920</v>
      </c>
      <c r="F3258" t="s">
        <v>64921</v>
      </c>
      <c r="G3258" t="s">
        <v>64922</v>
      </c>
      <c r="H3258" t="s">
        <v>64923</v>
      </c>
      <c r="I3258" t="s">
        <v>64924</v>
      </c>
      <c r="J3258" t="s">
        <v>64925</v>
      </c>
      <c r="K3258" t="s">
        <v>64926</v>
      </c>
      <c r="L3258" t="s">
        <v>64927</v>
      </c>
      <c r="M3258" t="s">
        <v>64928</v>
      </c>
      <c r="N3258" t="s">
        <v>64929</v>
      </c>
      <c r="O3258">
        <f>-605.556832072558 -105.256524450106 -736.202540373402</f>
        <v>-1447.0158968960659</v>
      </c>
      <c r="P3258">
        <f>-619.167985453844 -96.6315550274074 -420.091005478258</f>
        <v>-1135.8905459595094</v>
      </c>
      <c r="Q3258">
        <f>-369.685981952298 -31.6945461238971 -454.499756761222</f>
        <v>-855.88028483741709</v>
      </c>
      <c r="R3258" t="s">
        <v>64930</v>
      </c>
      <c r="S3258" t="s">
        <v>64931</v>
      </c>
      <c r="T3258" t="s">
        <v>64932</v>
      </c>
      <c r="U3258" t="s">
        <v>64933</v>
      </c>
      <c r="V3258" t="s">
        <v>64934</v>
      </c>
      <c r="W3258" t="s">
        <v>64935</v>
      </c>
      <c r="X3258" t="s">
        <v>64936</v>
      </c>
      <c r="Y3258" t="s">
        <v>64937</v>
      </c>
    </row>
    <row r="3259" spans="1:25" x14ac:dyDescent="0.3">
      <c r="A3259">
        <v>162900</v>
      </c>
      <c r="B3259" t="s">
        <v>64938</v>
      </c>
      <c r="C3259" t="s">
        <v>64939</v>
      </c>
      <c r="D3259" t="s">
        <v>64940</v>
      </c>
      <c r="E3259" t="s">
        <v>64941</v>
      </c>
      <c r="F3259" t="s">
        <v>64942</v>
      </c>
      <c r="G3259" t="s">
        <v>64943</v>
      </c>
      <c r="H3259" t="s">
        <v>64944</v>
      </c>
      <c r="I3259" t="s">
        <v>64945</v>
      </c>
      <c r="J3259" t="s">
        <v>64946</v>
      </c>
      <c r="K3259" t="s">
        <v>64947</v>
      </c>
      <c r="L3259" t="s">
        <v>64948</v>
      </c>
      <c r="M3259" t="s">
        <v>64949</v>
      </c>
      <c r="N3259" t="s">
        <v>64950</v>
      </c>
      <c r="O3259">
        <f>-604.691160963062 -105.259911603303 -735.810448294299</f>
        <v>-1445.7615208606639</v>
      </c>
      <c r="P3259">
        <f>-617.762362784943 -96.5033170032706 -419.679696674103</f>
        <v>-1133.9453764623165</v>
      </c>
      <c r="Q3259">
        <f>-368.977420133822 -29.9461537469451 -455.987431573761</f>
        <v>-854.91100545452809</v>
      </c>
      <c r="R3259" t="s">
        <v>64951</v>
      </c>
      <c r="S3259" t="s">
        <v>64952</v>
      </c>
      <c r="T3259" t="s">
        <v>64953</v>
      </c>
      <c r="U3259" t="s">
        <v>64954</v>
      </c>
      <c r="V3259" t="s">
        <v>64955</v>
      </c>
      <c r="W3259" t="s">
        <v>64956</v>
      </c>
      <c r="X3259" t="s">
        <v>64957</v>
      </c>
      <c r="Y3259" t="s">
        <v>64958</v>
      </c>
    </row>
    <row r="3260" spans="1:25" x14ac:dyDescent="0.3">
      <c r="A3260">
        <v>162950</v>
      </c>
      <c r="B3260" t="s">
        <v>64959</v>
      </c>
      <c r="C3260" t="s">
        <v>64960</v>
      </c>
      <c r="D3260" t="s">
        <v>64961</v>
      </c>
      <c r="E3260" t="s">
        <v>64962</v>
      </c>
      <c r="F3260" t="s">
        <v>64963</v>
      </c>
      <c r="G3260" t="s">
        <v>64964</v>
      </c>
      <c r="H3260" t="s">
        <v>64965</v>
      </c>
      <c r="I3260" t="s">
        <v>64966</v>
      </c>
      <c r="J3260" t="s">
        <v>64967</v>
      </c>
      <c r="K3260" t="s">
        <v>64968</v>
      </c>
      <c r="L3260" t="s">
        <v>64969</v>
      </c>
      <c r="M3260" t="s">
        <v>64970</v>
      </c>
      <c r="N3260" t="s">
        <v>64971</v>
      </c>
      <c r="O3260">
        <f>-603.080531149905 -105.284969877449 -734.845781105757</f>
        <v>-1443.2112821331111</v>
      </c>
      <c r="P3260">
        <f>-614.776961028102 -96.8068637711677 -418.653636732542</f>
        <v>-1130.2374615318117</v>
      </c>
      <c r="Q3260">
        <f>-367.157346091181 -27.4831513345803 -457.651005940254</f>
        <v>-852.29150336601526</v>
      </c>
      <c r="R3260" t="s">
        <v>64972</v>
      </c>
      <c r="S3260" t="s">
        <v>64973</v>
      </c>
      <c r="T3260" t="s">
        <v>64974</v>
      </c>
      <c r="U3260" t="s">
        <v>64975</v>
      </c>
      <c r="V3260" t="s">
        <v>64976</v>
      </c>
      <c r="W3260" t="s">
        <v>64977</v>
      </c>
      <c r="X3260" t="s">
        <v>64978</v>
      </c>
      <c r="Y3260" t="s">
        <v>64979</v>
      </c>
    </row>
    <row r="3261" spans="1:25" x14ac:dyDescent="0.3">
      <c r="A3261">
        <v>163000</v>
      </c>
      <c r="B3261" t="s">
        <v>64980</v>
      </c>
      <c r="C3261" t="s">
        <v>64981</v>
      </c>
      <c r="D3261" t="s">
        <v>64982</v>
      </c>
      <c r="E3261" t="s">
        <v>64983</v>
      </c>
      <c r="F3261" t="s">
        <v>64984</v>
      </c>
      <c r="G3261" t="s">
        <v>64985</v>
      </c>
      <c r="H3261" t="s">
        <v>64986</v>
      </c>
      <c r="I3261" t="s">
        <v>64987</v>
      </c>
      <c r="J3261" t="s">
        <v>64988</v>
      </c>
      <c r="K3261" t="s">
        <v>64989</v>
      </c>
      <c r="L3261" t="s">
        <v>64990</v>
      </c>
      <c r="M3261" t="s">
        <v>64991</v>
      </c>
      <c r="N3261" t="s">
        <v>64992</v>
      </c>
      <c r="O3261">
        <f>-602.225615055424 -105.332883518298 -734.264189426377</f>
        <v>-1441.8226880000989</v>
      </c>
      <c r="P3261">
        <f>-613.413255045315 -96.7509957485103 -418.056435711486</f>
        <v>-1128.2206865053113</v>
      </c>
      <c r="Q3261">
        <f>-366.313581058447 -26.2538619759481 -458.230501859283</f>
        <v>-850.79794489367805</v>
      </c>
      <c r="R3261" t="s">
        <v>64993</v>
      </c>
      <c r="S3261" t="s">
        <v>64994</v>
      </c>
      <c r="T3261" t="s">
        <v>64995</v>
      </c>
      <c r="U3261" t="s">
        <v>64996</v>
      </c>
      <c r="V3261" t="s">
        <v>64997</v>
      </c>
      <c r="W3261" t="s">
        <v>64998</v>
      </c>
      <c r="X3261" t="s">
        <v>64999</v>
      </c>
      <c r="Y3261" t="s">
        <v>65000</v>
      </c>
    </row>
    <row r="3262" spans="1:25" x14ac:dyDescent="0.3">
      <c r="A3262">
        <v>163050</v>
      </c>
      <c r="B3262" t="s">
        <v>65001</v>
      </c>
      <c r="C3262" t="s">
        <v>65002</v>
      </c>
      <c r="D3262" t="s">
        <v>65003</v>
      </c>
      <c r="E3262" t="s">
        <v>65004</v>
      </c>
      <c r="F3262" t="s">
        <v>65005</v>
      </c>
      <c r="G3262" t="s">
        <v>65006</v>
      </c>
      <c r="H3262" t="s">
        <v>65007</v>
      </c>
      <c r="I3262" t="s">
        <v>65008</v>
      </c>
      <c r="J3262" t="s">
        <v>65009</v>
      </c>
      <c r="K3262" t="s">
        <v>65010</v>
      </c>
      <c r="L3262" t="s">
        <v>65011</v>
      </c>
      <c r="M3262" t="s">
        <v>65012</v>
      </c>
      <c r="N3262" t="s">
        <v>65013</v>
      </c>
      <c r="O3262">
        <f>-600.350448871388 -105.424456711912 -733.207197830335</f>
        <v>-1438.9821034136351</v>
      </c>
      <c r="P3262">
        <f>-610.500312409607 -96.6490723548303 -416.969687384256</f>
        <v>-1124.1190721486932</v>
      </c>
      <c r="Q3262">
        <f>-364.161978252796 -24.4032483102178 -458.683316689527</f>
        <v>-847.2485432525408</v>
      </c>
      <c r="R3262" t="s">
        <v>65014</v>
      </c>
      <c r="S3262" t="s">
        <v>65015</v>
      </c>
      <c r="T3262" t="s">
        <v>65016</v>
      </c>
      <c r="U3262" t="s">
        <v>65017</v>
      </c>
      <c r="V3262" t="s">
        <v>65018</v>
      </c>
      <c r="W3262" t="s">
        <v>65019</v>
      </c>
      <c r="X3262" t="s">
        <v>65020</v>
      </c>
      <c r="Y3262" t="s">
        <v>65021</v>
      </c>
    </row>
    <row r="3263" spans="1:25" x14ac:dyDescent="0.3">
      <c r="A3263">
        <v>163100</v>
      </c>
      <c r="B3263" t="s">
        <v>65022</v>
      </c>
      <c r="C3263" t="s">
        <v>65023</v>
      </c>
      <c r="D3263" t="s">
        <v>65024</v>
      </c>
      <c r="E3263" t="s">
        <v>65025</v>
      </c>
      <c r="F3263" t="s">
        <v>65026</v>
      </c>
      <c r="G3263" t="s">
        <v>65027</v>
      </c>
      <c r="H3263" t="s">
        <v>65028</v>
      </c>
      <c r="I3263" t="s">
        <v>65029</v>
      </c>
      <c r="J3263" t="s">
        <v>65030</v>
      </c>
      <c r="K3263" t="s">
        <v>65031</v>
      </c>
      <c r="L3263" t="s">
        <v>65032</v>
      </c>
      <c r="M3263" t="s">
        <v>65033</v>
      </c>
      <c r="N3263" t="s">
        <v>65034</v>
      </c>
      <c r="O3263">
        <f>-599.68065385962 -105.397797212751 -732.701353258958</f>
        <v>-1437.7798043313289</v>
      </c>
      <c r="P3263">
        <f>-609.682047763213 -96.3535370423889 -416.466797518199</f>
        <v>-1122.5023823238007</v>
      </c>
      <c r="Q3263">
        <f>-363.615152282445 -23.5024781423763 -458.726246648536</f>
        <v>-845.84387707335736</v>
      </c>
      <c r="R3263" t="s">
        <v>65035</v>
      </c>
      <c r="S3263" t="s">
        <v>65036</v>
      </c>
      <c r="T3263" t="s">
        <v>65037</v>
      </c>
      <c r="U3263" t="s">
        <v>65038</v>
      </c>
      <c r="V3263" t="s">
        <v>65039</v>
      </c>
      <c r="W3263" t="s">
        <v>65040</v>
      </c>
      <c r="X3263" t="s">
        <v>65041</v>
      </c>
      <c r="Y3263" t="s">
        <v>65042</v>
      </c>
    </row>
    <row r="3264" spans="1:25" x14ac:dyDescent="0.3">
      <c r="A3264">
        <v>163150</v>
      </c>
      <c r="B3264" t="s">
        <v>65043</v>
      </c>
      <c r="C3264" t="s">
        <v>65044</v>
      </c>
      <c r="D3264" t="s">
        <v>65045</v>
      </c>
      <c r="E3264" t="s">
        <v>65046</v>
      </c>
      <c r="F3264" t="s">
        <v>65047</v>
      </c>
      <c r="G3264" t="s">
        <v>65048</v>
      </c>
      <c r="H3264" t="s">
        <v>65049</v>
      </c>
      <c r="I3264" t="s">
        <v>65050</v>
      </c>
      <c r="J3264" t="s">
        <v>65051</v>
      </c>
      <c r="K3264" t="s">
        <v>65052</v>
      </c>
      <c r="L3264" t="s">
        <v>65053</v>
      </c>
      <c r="M3264" t="s">
        <v>65054</v>
      </c>
      <c r="N3264" t="s">
        <v>65055</v>
      </c>
      <c r="O3264">
        <f>-598.109572267911 -105.112983969632 -732.04575589788</f>
        <v>-1435.268312135423</v>
      </c>
      <c r="P3264">
        <f>-608.241135475285 -95.4118999023373 -415.834659992928</f>
        <v>-1119.4876953705502</v>
      </c>
      <c r="Q3264">
        <f>-362.387502752139 -22.0264363972156 -458.409554608365</f>
        <v>-842.82349375771969</v>
      </c>
      <c r="R3264" t="s">
        <v>65056</v>
      </c>
      <c r="S3264" t="s">
        <v>65057</v>
      </c>
      <c r="T3264" t="s">
        <v>65058</v>
      </c>
      <c r="U3264" t="s">
        <v>65059</v>
      </c>
      <c r="V3264" t="s">
        <v>65060</v>
      </c>
      <c r="W3264" t="s">
        <v>65061</v>
      </c>
      <c r="X3264" t="s">
        <v>65062</v>
      </c>
      <c r="Y3264" t="s">
        <v>65063</v>
      </c>
    </row>
    <row r="3265" spans="1:25" x14ac:dyDescent="0.3">
      <c r="A3265">
        <v>163200</v>
      </c>
      <c r="B3265" t="s">
        <v>65064</v>
      </c>
      <c r="C3265" t="s">
        <v>65065</v>
      </c>
      <c r="D3265" t="s">
        <v>65066</v>
      </c>
      <c r="E3265" t="s">
        <v>65067</v>
      </c>
      <c r="F3265" t="s">
        <v>65068</v>
      </c>
      <c r="G3265" t="s">
        <v>65069</v>
      </c>
      <c r="H3265" t="s">
        <v>65070</v>
      </c>
      <c r="I3265" t="s">
        <v>65071</v>
      </c>
      <c r="J3265" t="s">
        <v>65072</v>
      </c>
      <c r="K3265" t="s">
        <v>65073</v>
      </c>
      <c r="L3265" t="s">
        <v>65074</v>
      </c>
      <c r="M3265" t="s">
        <v>65075</v>
      </c>
      <c r="N3265" t="s">
        <v>65076</v>
      </c>
      <c r="O3265">
        <f>-597.14316029488 -104.931102034403 -731.934903852778</f>
        <v>-1434.0091661820611</v>
      </c>
      <c r="P3265">
        <f>-607.60440032972 -94.6991029831179 -415.751395796397</f>
        <v>-1118.0548991092348</v>
      </c>
      <c r="Q3265">
        <f>-361.716289774889 -21.4451229621567 -458.353486647802</f>
        <v>-841.51489938484769</v>
      </c>
      <c r="R3265" t="s">
        <v>65077</v>
      </c>
      <c r="S3265" t="s">
        <v>65078</v>
      </c>
      <c r="T3265" t="s">
        <v>65079</v>
      </c>
      <c r="U3265" t="s">
        <v>65080</v>
      </c>
      <c r="V3265" t="s">
        <v>65081</v>
      </c>
      <c r="W3265" t="s">
        <v>65082</v>
      </c>
      <c r="X3265" t="s">
        <v>65083</v>
      </c>
      <c r="Y3265" t="s">
        <v>65084</v>
      </c>
    </row>
    <row r="3266" spans="1:25" x14ac:dyDescent="0.3">
      <c r="A3266">
        <v>163250</v>
      </c>
      <c r="B3266" t="s">
        <v>65085</v>
      </c>
      <c r="C3266" t="s">
        <v>65086</v>
      </c>
      <c r="D3266" t="s">
        <v>65087</v>
      </c>
      <c r="E3266" t="s">
        <v>65088</v>
      </c>
      <c r="F3266" t="s">
        <v>65089</v>
      </c>
      <c r="G3266" t="s">
        <v>65090</v>
      </c>
      <c r="H3266" t="s">
        <v>65091</v>
      </c>
      <c r="I3266" t="s">
        <v>65092</v>
      </c>
      <c r="J3266" t="s">
        <v>65093</v>
      </c>
      <c r="K3266" t="s">
        <v>65094</v>
      </c>
      <c r="L3266" t="s">
        <v>65095</v>
      </c>
      <c r="M3266" t="s">
        <v>65096</v>
      </c>
      <c r="N3266" t="s">
        <v>65097</v>
      </c>
      <c r="O3266">
        <f>-594.972205561222 -104.229424156806 -732.22973517123</f>
        <v>-1431.431364889258</v>
      </c>
      <c r="P3266">
        <f>-606.005069374613 -93.5053478501007 -416.081884528398</f>
        <v>-1115.5923017531118</v>
      </c>
      <c r="Q3266">
        <f>-359.887666475838 -21.0823900170253 -458.780930293781</f>
        <v>-839.75098678664426</v>
      </c>
      <c r="R3266" t="s">
        <v>65098</v>
      </c>
      <c r="S3266" t="s">
        <v>65099</v>
      </c>
      <c r="T3266" t="s">
        <v>65100</v>
      </c>
      <c r="U3266" t="s">
        <v>65101</v>
      </c>
      <c r="V3266" t="s">
        <v>65102</v>
      </c>
      <c r="W3266" t="s">
        <v>65103</v>
      </c>
      <c r="X3266" t="s">
        <v>65104</v>
      </c>
      <c r="Y3266" t="s">
        <v>65105</v>
      </c>
    </row>
    <row r="3267" spans="1:25" x14ac:dyDescent="0.3">
      <c r="A3267">
        <v>163300</v>
      </c>
      <c r="B3267" t="s">
        <v>65106</v>
      </c>
      <c r="C3267" t="s">
        <v>65107</v>
      </c>
      <c r="D3267" t="s">
        <v>65108</v>
      </c>
      <c r="E3267" t="s">
        <v>65109</v>
      </c>
      <c r="F3267" t="s">
        <v>65110</v>
      </c>
      <c r="G3267" t="s">
        <v>65111</v>
      </c>
      <c r="H3267" t="s">
        <v>65112</v>
      </c>
      <c r="I3267" t="s">
        <v>65113</v>
      </c>
      <c r="J3267" t="s">
        <v>65114</v>
      </c>
      <c r="K3267" t="s">
        <v>65115</v>
      </c>
      <c r="L3267" t="s">
        <v>65116</v>
      </c>
      <c r="M3267" t="s">
        <v>65117</v>
      </c>
      <c r="N3267" t="s">
        <v>65118</v>
      </c>
      <c r="O3267">
        <f>-594.018372572679 -103.980186793685 -732.540024523089</f>
        <v>-1430.5385838894531</v>
      </c>
      <c r="P3267">
        <f>-605.206527717142 -93.3450871400508 -416.394594354914</f>
        <v>-1114.9462092121069</v>
      </c>
      <c r="Q3267">
        <f>-359.13635995752 -21.3383217328682 -460.058667797913</f>
        <v>-840.53334948830127</v>
      </c>
      <c r="R3267" t="s">
        <v>65119</v>
      </c>
      <c r="S3267" t="s">
        <v>65120</v>
      </c>
      <c r="T3267" t="s">
        <v>65121</v>
      </c>
      <c r="U3267" t="s">
        <v>65122</v>
      </c>
      <c r="V3267" t="s">
        <v>65123</v>
      </c>
      <c r="W3267" t="s">
        <v>65124</v>
      </c>
      <c r="X3267" t="s">
        <v>65125</v>
      </c>
      <c r="Y3267" t="s">
        <v>65126</v>
      </c>
    </row>
    <row r="3268" spans="1:25" x14ac:dyDescent="0.3">
      <c r="A3268">
        <v>163350</v>
      </c>
      <c r="B3268" t="s">
        <v>65127</v>
      </c>
      <c r="C3268" t="s">
        <v>65128</v>
      </c>
      <c r="D3268" t="s">
        <v>65129</v>
      </c>
      <c r="E3268" t="s">
        <v>65130</v>
      </c>
      <c r="F3268" t="s">
        <v>65131</v>
      </c>
      <c r="G3268" t="s">
        <v>65132</v>
      </c>
      <c r="H3268" t="s">
        <v>65133</v>
      </c>
      <c r="I3268" t="s">
        <v>65134</v>
      </c>
      <c r="J3268" t="s">
        <v>65135</v>
      </c>
      <c r="K3268" t="s">
        <v>65136</v>
      </c>
      <c r="L3268" t="s">
        <v>65137</v>
      </c>
      <c r="M3268" t="s">
        <v>65138</v>
      </c>
      <c r="N3268" t="s">
        <v>65139</v>
      </c>
      <c r="O3268">
        <f>-592.381490025865 -103.384759150943 -733.468613426113</f>
        <v>-1429.2348626029211</v>
      </c>
      <c r="P3268">
        <f>-603.357838510273 -94.2964604521012 -417.267654165199</f>
        <v>-1114.9219531275733</v>
      </c>
      <c r="Q3268">
        <f>-357.729746929795 -22.2536771333646 -463.29700426132</f>
        <v>-843.28042832447954</v>
      </c>
      <c r="R3268" t="s">
        <v>65140</v>
      </c>
      <c r="S3268" t="s">
        <v>65141</v>
      </c>
      <c r="T3268" t="s">
        <v>65142</v>
      </c>
      <c r="U3268" t="s">
        <v>65143</v>
      </c>
      <c r="V3268" t="s">
        <v>65144</v>
      </c>
      <c r="W3268" t="s">
        <v>65145</v>
      </c>
      <c r="X3268" t="s">
        <v>65146</v>
      </c>
      <c r="Y3268" t="s">
        <v>65147</v>
      </c>
    </row>
    <row r="3269" spans="1:25" x14ac:dyDescent="0.3">
      <c r="A3269">
        <v>163400</v>
      </c>
      <c r="B3269" t="s">
        <v>65148</v>
      </c>
      <c r="C3269" t="s">
        <v>65149</v>
      </c>
      <c r="D3269" t="s">
        <v>65150</v>
      </c>
      <c r="E3269" t="s">
        <v>65151</v>
      </c>
      <c r="F3269" t="s">
        <v>65152</v>
      </c>
      <c r="G3269" t="s">
        <v>65153</v>
      </c>
      <c r="H3269" t="s">
        <v>65154</v>
      </c>
      <c r="I3269" t="s">
        <v>65155</v>
      </c>
      <c r="J3269" t="s">
        <v>65156</v>
      </c>
      <c r="K3269" t="s">
        <v>65157</v>
      </c>
      <c r="L3269" t="s">
        <v>65158</v>
      </c>
      <c r="M3269" t="s">
        <v>65159</v>
      </c>
      <c r="N3269" t="s">
        <v>65160</v>
      </c>
      <c r="O3269">
        <f>-591.598096183654 -102.567217603489 -734.097649638971</f>
        <v>-1428.2629634261139</v>
      </c>
      <c r="P3269">
        <f>-602.744668980661 -93.7850057778535 -417.893899823692</f>
        <v>-1114.4235745822066</v>
      </c>
      <c r="Q3269">
        <f>-357.117898570208 -21.6718140410726 -463.820457688776</f>
        <v>-842.61017030005655</v>
      </c>
      <c r="R3269" t="s">
        <v>65161</v>
      </c>
      <c r="S3269" t="s">
        <v>65162</v>
      </c>
      <c r="T3269" t="s">
        <v>65163</v>
      </c>
      <c r="U3269" t="s">
        <v>65164</v>
      </c>
      <c r="V3269" t="s">
        <v>65165</v>
      </c>
      <c r="W3269" t="s">
        <v>65166</v>
      </c>
      <c r="X3269" t="s">
        <v>65167</v>
      </c>
      <c r="Y3269" t="s">
        <v>65168</v>
      </c>
    </row>
    <row r="3270" spans="1:25" x14ac:dyDescent="0.3">
      <c r="A3270">
        <v>163450</v>
      </c>
      <c r="B3270" t="s">
        <v>65169</v>
      </c>
      <c r="C3270" t="s">
        <v>65170</v>
      </c>
      <c r="D3270" t="s">
        <v>65171</v>
      </c>
      <c r="E3270" t="s">
        <v>65172</v>
      </c>
      <c r="F3270" t="s">
        <v>65173</v>
      </c>
      <c r="G3270" t="s">
        <v>65174</v>
      </c>
      <c r="H3270" t="s">
        <v>65175</v>
      </c>
      <c r="I3270" t="s">
        <v>65176</v>
      </c>
      <c r="J3270" t="s">
        <v>65177</v>
      </c>
      <c r="K3270" t="s">
        <v>65178</v>
      </c>
      <c r="L3270" t="s">
        <v>65179</v>
      </c>
      <c r="M3270" t="s">
        <v>65180</v>
      </c>
      <c r="N3270" t="s">
        <v>65181</v>
      </c>
      <c r="O3270">
        <f>-589.752426306447 -101.583455171922 -735.171182233395</f>
        <v>-1426.507063711764</v>
      </c>
      <c r="P3270">
        <f>-601.73616991545 -93.0535930562433 -418.991032681726</f>
        <v>-1113.7807956534193</v>
      </c>
      <c r="Q3270">
        <f>-355.658408953702 -21.4525313370444 -463.274944658844</f>
        <v>-840.38588494959038</v>
      </c>
      <c r="R3270" t="s">
        <v>65182</v>
      </c>
      <c r="S3270" t="s">
        <v>65183</v>
      </c>
      <c r="T3270" t="s">
        <v>65184</v>
      </c>
      <c r="U3270" t="s">
        <v>65185</v>
      </c>
      <c r="V3270" t="s">
        <v>65186</v>
      </c>
      <c r="W3270" t="s">
        <v>65187</v>
      </c>
      <c r="X3270" t="s">
        <v>65188</v>
      </c>
      <c r="Y3270" t="s">
        <v>65189</v>
      </c>
    </row>
    <row r="3271" spans="1:25" x14ac:dyDescent="0.3">
      <c r="A3271">
        <v>163500</v>
      </c>
      <c r="B3271" t="s">
        <v>65190</v>
      </c>
      <c r="C3271" t="s">
        <v>65191</v>
      </c>
      <c r="D3271" t="s">
        <v>65192</v>
      </c>
      <c r="E3271" t="s">
        <v>65193</v>
      </c>
      <c r="F3271" t="s">
        <v>65194</v>
      </c>
      <c r="G3271" t="s">
        <v>65195</v>
      </c>
      <c r="H3271" t="s">
        <v>65196</v>
      </c>
      <c r="I3271" t="s">
        <v>65197</v>
      </c>
      <c r="J3271" t="s">
        <v>65198</v>
      </c>
      <c r="K3271" t="s">
        <v>65199</v>
      </c>
      <c r="L3271" t="s">
        <v>65200</v>
      </c>
      <c r="M3271" t="s">
        <v>65201</v>
      </c>
      <c r="N3271" t="s">
        <v>65202</v>
      </c>
      <c r="O3271">
        <f>-588.922436655781 -101.20695396444 -735.622958576924</f>
        <v>-1425.7523491971451</v>
      </c>
      <c r="P3271">
        <f>-601.397270840264 -92.7673049006134 -419.45961242685</f>
        <v>-1113.6241881677274</v>
      </c>
      <c r="Q3271">
        <f>-355.190690610858 -21.1133277083819 -462.934857846399</f>
        <v>-839.23887616563889</v>
      </c>
      <c r="R3271" t="s">
        <v>65203</v>
      </c>
      <c r="S3271" t="s">
        <v>65204</v>
      </c>
      <c r="T3271" t="s">
        <v>65205</v>
      </c>
      <c r="U3271" t="s">
        <v>65206</v>
      </c>
      <c r="V3271" t="s">
        <v>65207</v>
      </c>
      <c r="W3271" t="s">
        <v>65208</v>
      </c>
      <c r="X3271" t="s">
        <v>65209</v>
      </c>
      <c r="Y3271" t="s">
        <v>65210</v>
      </c>
    </row>
    <row r="3272" spans="1:25" x14ac:dyDescent="0.3">
      <c r="A3272">
        <v>163550</v>
      </c>
      <c r="B3272" t="s">
        <v>65211</v>
      </c>
      <c r="C3272" t="s">
        <v>65212</v>
      </c>
      <c r="D3272" t="s">
        <v>65213</v>
      </c>
      <c r="E3272" t="s">
        <v>65214</v>
      </c>
      <c r="F3272" t="s">
        <v>65215</v>
      </c>
      <c r="G3272" t="s">
        <v>65216</v>
      </c>
      <c r="H3272" t="s">
        <v>65217</v>
      </c>
      <c r="I3272" t="s">
        <v>65218</v>
      </c>
      <c r="J3272" t="s">
        <v>65219</v>
      </c>
      <c r="K3272" t="s">
        <v>65220</v>
      </c>
      <c r="L3272" t="s">
        <v>65221</v>
      </c>
      <c r="M3272" t="s">
        <v>65222</v>
      </c>
      <c r="N3272" t="s">
        <v>65223</v>
      </c>
      <c r="O3272">
        <f>-587.338439668626 -100.29986926717 -736.462250822003</f>
        <v>-1424.1005597577991</v>
      </c>
      <c r="P3272">
        <f>-601.206377104908 -92.3188588966304 -420.344838692956</f>
        <v>-1113.8700746944944</v>
      </c>
      <c r="Q3272">
        <f>-354.975859690298 -20.2725027251624 -463.028380065151</f>
        <v>-838.27674248061135</v>
      </c>
      <c r="R3272" t="s">
        <v>65224</v>
      </c>
      <c r="S3272" t="s">
        <v>65225</v>
      </c>
      <c r="T3272" t="s">
        <v>65226</v>
      </c>
      <c r="U3272" t="s">
        <v>65227</v>
      </c>
      <c r="V3272" t="s">
        <v>65228</v>
      </c>
      <c r="W3272" t="s">
        <v>65229</v>
      </c>
      <c r="X3272" t="s">
        <v>65230</v>
      </c>
      <c r="Y3272" t="s">
        <v>65231</v>
      </c>
    </row>
    <row r="3273" spans="1:25" x14ac:dyDescent="0.3">
      <c r="A3273">
        <v>163600</v>
      </c>
      <c r="B3273" t="s">
        <v>65232</v>
      </c>
      <c r="C3273" t="s">
        <v>65233</v>
      </c>
      <c r="D3273" t="s">
        <v>65234</v>
      </c>
      <c r="E3273" t="s">
        <v>65235</v>
      </c>
      <c r="F3273" t="s">
        <v>65236</v>
      </c>
      <c r="G3273" t="s">
        <v>65237</v>
      </c>
      <c r="H3273" t="s">
        <v>65238</v>
      </c>
      <c r="I3273" t="s">
        <v>65239</v>
      </c>
      <c r="J3273" t="s">
        <v>65240</v>
      </c>
      <c r="K3273" t="s">
        <v>65241</v>
      </c>
      <c r="L3273" t="s">
        <v>65242</v>
      </c>
      <c r="M3273" t="s">
        <v>65243</v>
      </c>
      <c r="N3273" t="s">
        <v>65244</v>
      </c>
      <c r="O3273">
        <f>-586.974094737168 -100.116239687679 -736.848085296561</f>
        <v>-1423.9384197214081</v>
      </c>
      <c r="P3273">
        <f>-601.394368008748 -92.471519288207 -420.74727100281</f>
        <v>-1114.613158299765</v>
      </c>
      <c r="Q3273">
        <f>-355.18307161447 -20.2241699598642 -463.201803598866</f>
        <v>-838.60904517320023</v>
      </c>
      <c r="R3273" t="s">
        <v>65245</v>
      </c>
      <c r="S3273" t="s">
        <v>65246</v>
      </c>
      <c r="T3273" t="s">
        <v>65247</v>
      </c>
      <c r="U3273" t="s">
        <v>65248</v>
      </c>
      <c r="V3273" t="s">
        <v>65249</v>
      </c>
      <c r="W3273" t="s">
        <v>65250</v>
      </c>
      <c r="X3273" t="s">
        <v>65251</v>
      </c>
      <c r="Y3273" t="s">
        <v>65252</v>
      </c>
    </row>
    <row r="3274" spans="1:25" x14ac:dyDescent="0.3">
      <c r="A3274">
        <v>163650</v>
      </c>
      <c r="B3274" t="s">
        <v>65253</v>
      </c>
      <c r="C3274" t="s">
        <v>65254</v>
      </c>
      <c r="D3274" t="s">
        <v>65255</v>
      </c>
      <c r="E3274" t="s">
        <v>65256</v>
      </c>
      <c r="F3274" t="s">
        <v>65257</v>
      </c>
      <c r="G3274" t="s">
        <v>65258</v>
      </c>
      <c r="H3274" t="s">
        <v>65259</v>
      </c>
      <c r="I3274" t="s">
        <v>65260</v>
      </c>
      <c r="J3274" t="s">
        <v>65261</v>
      </c>
      <c r="K3274" t="s">
        <v>65262</v>
      </c>
      <c r="L3274" t="s">
        <v>65263</v>
      </c>
      <c r="M3274" t="s">
        <v>65264</v>
      </c>
      <c r="N3274" t="s">
        <v>65265</v>
      </c>
      <c r="O3274">
        <f>-586.416651796636 -99.9174365769962 -737.526330519626</f>
        <v>-1423.8604188932582</v>
      </c>
      <c r="P3274">
        <f>-601.704806442408 -92.51877807297 -421.460292820485</f>
        <v>-1115.6838773358629</v>
      </c>
      <c r="Q3274">
        <f>-355.401716900717 -20.2979460808482 -463.424751117101</f>
        <v>-839.12441409866619</v>
      </c>
      <c r="R3274" t="s">
        <v>65266</v>
      </c>
      <c r="S3274" t="s">
        <v>65267</v>
      </c>
      <c r="T3274" t="s">
        <v>65268</v>
      </c>
      <c r="U3274" t="s">
        <v>65269</v>
      </c>
      <c r="V3274" t="s">
        <v>65270</v>
      </c>
      <c r="W3274" t="s">
        <v>65271</v>
      </c>
      <c r="X3274" t="s">
        <v>65272</v>
      </c>
      <c r="Y3274" t="s">
        <v>65273</v>
      </c>
    </row>
    <row r="3275" spans="1:25" x14ac:dyDescent="0.3">
      <c r="A3275">
        <v>163700</v>
      </c>
      <c r="B3275" t="s">
        <v>65274</v>
      </c>
      <c r="C3275" t="s">
        <v>65275</v>
      </c>
      <c r="D3275" t="s">
        <v>65276</v>
      </c>
      <c r="E3275" t="s">
        <v>65277</v>
      </c>
      <c r="F3275" t="s">
        <v>65278</v>
      </c>
      <c r="G3275" t="s">
        <v>65279</v>
      </c>
      <c r="H3275" t="s">
        <v>65280</v>
      </c>
      <c r="I3275" t="s">
        <v>65281</v>
      </c>
      <c r="J3275" t="s">
        <v>65282</v>
      </c>
      <c r="K3275" t="s">
        <v>65283</v>
      </c>
      <c r="L3275" t="s">
        <v>65284</v>
      </c>
      <c r="M3275" t="s">
        <v>65285</v>
      </c>
      <c r="N3275" t="s">
        <v>65286</v>
      </c>
      <c r="O3275">
        <f>-586.283702797326 -99.892976721423 -737.822364364473</f>
        <v>-1423.9990438832219</v>
      </c>
      <c r="P3275">
        <f>-601.890321885437 -92.6360669084025 -421.768618185138</f>
        <v>-1116.2950069789774</v>
      </c>
      <c r="Q3275">
        <f>-355.530720131686 -20.4573131858282 -463.472434073831</f>
        <v>-839.46046739134522</v>
      </c>
      <c r="R3275" t="s">
        <v>65287</v>
      </c>
      <c r="S3275" t="s">
        <v>65288</v>
      </c>
      <c r="T3275" t="s">
        <v>65289</v>
      </c>
      <c r="U3275" t="s">
        <v>65290</v>
      </c>
      <c r="V3275" t="s">
        <v>65291</v>
      </c>
      <c r="W3275" t="s">
        <v>65292</v>
      </c>
      <c r="X3275" t="s">
        <v>65293</v>
      </c>
      <c r="Y3275" t="s">
        <v>65294</v>
      </c>
    </row>
    <row r="3276" spans="1:25" x14ac:dyDescent="0.3">
      <c r="A3276">
        <v>163750</v>
      </c>
      <c r="B3276" t="s">
        <v>65295</v>
      </c>
      <c r="C3276" t="s">
        <v>65296</v>
      </c>
      <c r="D3276" t="s">
        <v>65297</v>
      </c>
      <c r="E3276" t="s">
        <v>65298</v>
      </c>
      <c r="F3276" t="s">
        <v>65299</v>
      </c>
      <c r="G3276" t="s">
        <v>65300</v>
      </c>
      <c r="H3276" t="s">
        <v>65301</v>
      </c>
      <c r="I3276" t="s">
        <v>65302</v>
      </c>
      <c r="J3276" t="s">
        <v>65303</v>
      </c>
      <c r="K3276" t="s">
        <v>65304</v>
      </c>
      <c r="L3276" t="s">
        <v>65305</v>
      </c>
      <c r="M3276" t="s">
        <v>65306</v>
      </c>
      <c r="N3276" t="s">
        <v>65307</v>
      </c>
      <c r="O3276">
        <f>-586.406120188438 -99.9673633068835 -738.157645014846</f>
        <v>-1424.5311285101675</v>
      </c>
      <c r="P3276">
        <f>-602.201336570247 -92.9467707398933 -422.107789847477</f>
        <v>-1117.2558971576173</v>
      </c>
      <c r="Q3276">
        <f>-355.766818518495 -20.8241341123746 -463.464759433394</f>
        <v>-840.05571206426362</v>
      </c>
      <c r="R3276" t="s">
        <v>65308</v>
      </c>
      <c r="S3276" t="s">
        <v>65309</v>
      </c>
      <c r="T3276" t="s">
        <v>65310</v>
      </c>
      <c r="U3276" t="s">
        <v>65311</v>
      </c>
      <c r="V3276" t="s">
        <v>65312</v>
      </c>
      <c r="W3276" t="s">
        <v>65313</v>
      </c>
      <c r="X3276" t="s">
        <v>65314</v>
      </c>
      <c r="Y3276" t="s">
        <v>65315</v>
      </c>
    </row>
    <row r="3277" spans="1:25" x14ac:dyDescent="0.3">
      <c r="A3277">
        <v>163800</v>
      </c>
      <c r="B3277" t="s">
        <v>65316</v>
      </c>
      <c r="C3277" t="s">
        <v>65317</v>
      </c>
      <c r="D3277" t="s">
        <v>65318</v>
      </c>
      <c r="E3277" t="s">
        <v>65319</v>
      </c>
      <c r="F3277" t="s">
        <v>65320</v>
      </c>
      <c r="G3277" t="s">
        <v>65321</v>
      </c>
      <c r="H3277" t="s">
        <v>65322</v>
      </c>
      <c r="I3277" t="s">
        <v>65323</v>
      </c>
      <c r="J3277" t="s">
        <v>65324</v>
      </c>
      <c r="K3277" t="s">
        <v>65325</v>
      </c>
      <c r="L3277" t="s">
        <v>65326</v>
      </c>
      <c r="M3277" t="s">
        <v>65327</v>
      </c>
      <c r="N3277" t="s">
        <v>65328</v>
      </c>
      <c r="O3277">
        <f>-586.465404117096 -99.9172100308694 -738.258452563793</f>
        <v>-1424.6410667117584</v>
      </c>
      <c r="P3277">
        <f>-602.245106617592 -92.8785424455139 -422.20835892937</f>
        <v>-1117.3320079924758</v>
      </c>
      <c r="Q3277">
        <f>-355.793170737744 -20.7300658256468 -463.416040760776</f>
        <v>-839.93927732416682</v>
      </c>
      <c r="R3277" t="s">
        <v>65329</v>
      </c>
      <c r="S3277" t="s">
        <v>65330</v>
      </c>
      <c r="T3277" t="s">
        <v>65331</v>
      </c>
      <c r="U3277" t="s">
        <v>65332</v>
      </c>
      <c r="V3277" t="s">
        <v>65333</v>
      </c>
      <c r="W3277" t="s">
        <v>65334</v>
      </c>
      <c r="X3277" t="s">
        <v>65335</v>
      </c>
      <c r="Y3277" t="s">
        <v>65336</v>
      </c>
    </row>
    <row r="3278" spans="1:25" x14ac:dyDescent="0.3">
      <c r="A3278">
        <v>163850</v>
      </c>
      <c r="B3278" t="s">
        <v>65337</v>
      </c>
      <c r="C3278" t="s">
        <v>65338</v>
      </c>
      <c r="D3278" t="s">
        <v>65339</v>
      </c>
      <c r="E3278" t="s">
        <v>65340</v>
      </c>
      <c r="F3278" t="s">
        <v>65341</v>
      </c>
      <c r="G3278" t="s">
        <v>65342</v>
      </c>
      <c r="H3278" t="s">
        <v>65343</v>
      </c>
      <c r="I3278" t="s">
        <v>65344</v>
      </c>
      <c r="J3278" t="s">
        <v>65345</v>
      </c>
      <c r="K3278" t="s">
        <v>65346</v>
      </c>
      <c r="L3278" t="s">
        <v>65347</v>
      </c>
      <c r="M3278" t="s">
        <v>65348</v>
      </c>
      <c r="N3278" t="s">
        <v>65349</v>
      </c>
      <c r="O3278">
        <f>-586.435955507475 -100.162961669797 -738.375663390487</f>
        <v>-1424.9745805677589</v>
      </c>
      <c r="P3278">
        <f>-602.042943659716 -92.9966529490142 -422.319936904922</f>
        <v>-1117.3595335136522</v>
      </c>
      <c r="Q3278">
        <f>-355.55419981874 -20.8421486826484 -463.296663481563</f>
        <v>-839.69301198295136</v>
      </c>
      <c r="R3278" t="s">
        <v>65350</v>
      </c>
      <c r="S3278" t="s">
        <v>65351</v>
      </c>
      <c r="T3278" t="s">
        <v>65352</v>
      </c>
      <c r="U3278" t="s">
        <v>65353</v>
      </c>
      <c r="V3278" t="s">
        <v>65354</v>
      </c>
      <c r="W3278" t="s">
        <v>65355</v>
      </c>
      <c r="X3278" t="s">
        <v>65356</v>
      </c>
      <c r="Y3278" t="s">
        <v>65357</v>
      </c>
    </row>
    <row r="3279" spans="1:25" x14ac:dyDescent="0.3">
      <c r="A3279">
        <v>163900</v>
      </c>
      <c r="B3279" t="s">
        <v>65358</v>
      </c>
      <c r="C3279" t="s">
        <v>65359</v>
      </c>
      <c r="D3279" t="s">
        <v>65360</v>
      </c>
      <c r="E3279" t="s">
        <v>65361</v>
      </c>
      <c r="F3279" t="s">
        <v>65362</v>
      </c>
      <c r="G3279" t="s">
        <v>65363</v>
      </c>
      <c r="H3279" t="s">
        <v>65364</v>
      </c>
      <c r="I3279" t="s">
        <v>65365</v>
      </c>
      <c r="J3279" t="s">
        <v>65366</v>
      </c>
      <c r="K3279" t="s">
        <v>65367</v>
      </c>
      <c r="L3279" t="s">
        <v>65368</v>
      </c>
      <c r="M3279" t="s">
        <v>65369</v>
      </c>
      <c r="N3279" t="s">
        <v>65370</v>
      </c>
      <c r="O3279">
        <f>-586.491968744096 -100.297826716956 -738.402303078336</f>
        <v>-1425.1920985393881</v>
      </c>
      <c r="P3279">
        <f>-602.1481286981 -93.0179237395041 -422.351541291635</f>
        <v>-1117.517593729239</v>
      </c>
      <c r="Q3279">
        <f>-355.668510548382 -20.712386308562 -463.116108482376</f>
        <v>-839.49700533931991</v>
      </c>
      <c r="R3279" t="s">
        <v>65371</v>
      </c>
      <c r="S3279" t="s">
        <v>65372</v>
      </c>
      <c r="T3279" t="s">
        <v>65373</v>
      </c>
      <c r="U3279" t="s">
        <v>65374</v>
      </c>
      <c r="V3279" t="s">
        <v>65375</v>
      </c>
      <c r="W3279" t="s">
        <v>65376</v>
      </c>
      <c r="X3279" t="s">
        <v>65377</v>
      </c>
      <c r="Y3279" t="s">
        <v>65378</v>
      </c>
    </row>
    <row r="3280" spans="1:25" x14ac:dyDescent="0.3">
      <c r="A3280">
        <v>163950</v>
      </c>
      <c r="B3280" t="s">
        <v>65379</v>
      </c>
      <c r="C3280" t="s">
        <v>65380</v>
      </c>
      <c r="D3280" t="s">
        <v>65381</v>
      </c>
      <c r="E3280" t="s">
        <v>65382</v>
      </c>
      <c r="F3280" t="s">
        <v>65383</v>
      </c>
      <c r="G3280" t="s">
        <v>65384</v>
      </c>
      <c r="H3280" t="s">
        <v>65385</v>
      </c>
      <c r="I3280" t="s">
        <v>65386</v>
      </c>
      <c r="J3280" t="s">
        <v>65387</v>
      </c>
      <c r="K3280" t="s">
        <v>65388</v>
      </c>
      <c r="L3280" t="s">
        <v>65389</v>
      </c>
      <c r="M3280" t="s">
        <v>65390</v>
      </c>
      <c r="N3280" t="s">
        <v>65391</v>
      </c>
      <c r="O3280">
        <f>-586.472240668297 -100.639426998511 -738.490321057183</f>
        <v>-1425.6019887239909</v>
      </c>
      <c r="P3280">
        <f>-602.167453440556 -93.3944406684 -422.440641167124</f>
        <v>-1118.0025352760799</v>
      </c>
      <c r="Q3280">
        <f>-355.81034495697 -20.5423732419981 -462.972228693512</f>
        <v>-839.32494689248017</v>
      </c>
      <c r="R3280" t="s">
        <v>65392</v>
      </c>
      <c r="S3280" t="s">
        <v>65393</v>
      </c>
      <c r="T3280" t="s">
        <v>65394</v>
      </c>
      <c r="U3280" t="s">
        <v>65395</v>
      </c>
      <c r="V3280" t="s">
        <v>65396</v>
      </c>
      <c r="W3280" t="s">
        <v>65397</v>
      </c>
      <c r="X3280" t="s">
        <v>65398</v>
      </c>
      <c r="Y3280" t="s">
        <v>65399</v>
      </c>
    </row>
    <row r="3281" spans="1:25" x14ac:dyDescent="0.3">
      <c r="A3281">
        <v>164000</v>
      </c>
      <c r="B3281" t="s">
        <v>65400</v>
      </c>
      <c r="C3281" t="s">
        <v>65401</v>
      </c>
      <c r="D3281" t="s">
        <v>65402</v>
      </c>
      <c r="E3281" t="s">
        <v>65403</v>
      </c>
      <c r="F3281" t="s">
        <v>65404</v>
      </c>
      <c r="G3281" t="s">
        <v>65405</v>
      </c>
      <c r="H3281" t="s">
        <v>65406</v>
      </c>
      <c r="I3281" t="s">
        <v>65407</v>
      </c>
      <c r="J3281" t="s">
        <v>65408</v>
      </c>
      <c r="K3281" t="s">
        <v>65409</v>
      </c>
      <c r="L3281" t="s">
        <v>65410</v>
      </c>
      <c r="M3281" t="s">
        <v>65411</v>
      </c>
      <c r="N3281" t="s">
        <v>65412</v>
      </c>
      <c r="O3281">
        <f>-586.52876454961 -100.746523895484 -738.498438341691</f>
        <v>-1425.7737267867849</v>
      </c>
      <c r="P3281">
        <f>-602.279592781633 -93.2933376243096 -422.456418432374</f>
        <v>-1118.0293488383168</v>
      </c>
      <c r="Q3281">
        <f>-355.986840504787 -20.232523302362 -463.003315643837</f>
        <v>-839.22267945098599</v>
      </c>
      <c r="R3281" t="s">
        <v>65413</v>
      </c>
      <c r="S3281" t="s">
        <v>65414</v>
      </c>
      <c r="T3281" t="s">
        <v>65415</v>
      </c>
      <c r="U3281" t="s">
        <v>65416</v>
      </c>
      <c r="V3281" t="s">
        <v>65417</v>
      </c>
      <c r="W3281" t="s">
        <v>65418</v>
      </c>
      <c r="X3281" t="s">
        <v>65419</v>
      </c>
      <c r="Y3281" t="s">
        <v>65420</v>
      </c>
    </row>
    <row r="3282" spans="1:25" x14ac:dyDescent="0.3">
      <c r="A3282">
        <v>164050</v>
      </c>
      <c r="B3282" t="s">
        <v>65421</v>
      </c>
      <c r="C3282" t="s">
        <v>65422</v>
      </c>
      <c r="D3282" t="s">
        <v>65423</v>
      </c>
      <c r="E3282" t="s">
        <v>65424</v>
      </c>
      <c r="F3282" t="s">
        <v>65425</v>
      </c>
      <c r="G3282" t="s">
        <v>65426</v>
      </c>
      <c r="H3282" t="s">
        <v>65427</v>
      </c>
      <c r="I3282" t="s">
        <v>65428</v>
      </c>
      <c r="J3282" t="s">
        <v>65429</v>
      </c>
      <c r="K3282" t="s">
        <v>65430</v>
      </c>
      <c r="L3282" t="s">
        <v>65431</v>
      </c>
      <c r="M3282" t="s">
        <v>65432</v>
      </c>
      <c r="N3282" t="s">
        <v>65433</v>
      </c>
      <c r="O3282">
        <f>-586.562465902391 -101.400217084302 -738.50903776315</f>
        <v>-1426.4717207498429</v>
      </c>
      <c r="P3282">
        <f>-602.589395548374 -93.8409588685918 -422.483418418815</f>
        <v>-1118.9137728357807</v>
      </c>
      <c r="Q3282">
        <f>-356.424959740258 -20.2972071131678 -462.936333322219</f>
        <v>-839.6585001756448</v>
      </c>
      <c r="R3282" t="s">
        <v>65434</v>
      </c>
      <c r="S3282" t="s">
        <v>65435</v>
      </c>
      <c r="T3282" t="s">
        <v>65436</v>
      </c>
      <c r="U3282" t="s">
        <v>65437</v>
      </c>
      <c r="V3282" t="s">
        <v>65438</v>
      </c>
      <c r="W3282" t="s">
        <v>65439</v>
      </c>
      <c r="X3282" t="s">
        <v>65440</v>
      </c>
      <c r="Y3282" t="s">
        <v>65441</v>
      </c>
    </row>
    <row r="3283" spans="1:25" x14ac:dyDescent="0.3">
      <c r="A3283">
        <v>164100</v>
      </c>
      <c r="B3283" t="s">
        <v>65442</v>
      </c>
      <c r="C3283" t="s">
        <v>65443</v>
      </c>
      <c r="D3283" t="s">
        <v>65444</v>
      </c>
      <c r="E3283" t="s">
        <v>65445</v>
      </c>
      <c r="F3283" t="s">
        <v>65446</v>
      </c>
      <c r="G3283" t="s">
        <v>65447</v>
      </c>
      <c r="H3283" t="s">
        <v>65448</v>
      </c>
      <c r="I3283" t="s">
        <v>65449</v>
      </c>
      <c r="J3283" t="s">
        <v>65450</v>
      </c>
      <c r="K3283" t="s">
        <v>65451</v>
      </c>
      <c r="L3283" t="s">
        <v>65452</v>
      </c>
      <c r="M3283" t="s">
        <v>65453</v>
      </c>
      <c r="N3283" t="s">
        <v>65454</v>
      </c>
      <c r="O3283">
        <f>-586.560024534676 -101.339799232314 -738.551528691886</f>
        <v>-1426.451352458876</v>
      </c>
      <c r="P3283">
        <f>-602.751706520671 -93.8110691264226 -422.533458067234</f>
        <v>-1119.0962337143276</v>
      </c>
      <c r="Q3283">
        <f>-356.642898869992 -20.0396533032623 -462.910324851454</f>
        <v>-839.59287702470829</v>
      </c>
      <c r="R3283" t="s">
        <v>65455</v>
      </c>
      <c r="S3283" t="s">
        <v>65456</v>
      </c>
      <c r="T3283" t="s">
        <v>65457</v>
      </c>
      <c r="U3283" t="s">
        <v>65458</v>
      </c>
      <c r="V3283" t="s">
        <v>65459</v>
      </c>
      <c r="W3283" t="s">
        <v>65460</v>
      </c>
      <c r="X3283" t="s">
        <v>65461</v>
      </c>
      <c r="Y3283" t="s">
        <v>65462</v>
      </c>
    </row>
    <row r="3284" spans="1:25" x14ac:dyDescent="0.3">
      <c r="A3284">
        <v>164150</v>
      </c>
      <c r="B3284" t="s">
        <v>65463</v>
      </c>
      <c r="C3284" t="s">
        <v>65464</v>
      </c>
      <c r="D3284" t="s">
        <v>65465</v>
      </c>
      <c r="E3284" t="s">
        <v>65466</v>
      </c>
      <c r="F3284" t="s">
        <v>65467</v>
      </c>
      <c r="G3284" t="s">
        <v>65468</v>
      </c>
      <c r="H3284" t="s">
        <v>65469</v>
      </c>
      <c r="I3284" t="s">
        <v>65470</v>
      </c>
      <c r="J3284" t="s">
        <v>65471</v>
      </c>
      <c r="K3284" t="s">
        <v>65472</v>
      </c>
      <c r="L3284" t="s">
        <v>65473</v>
      </c>
      <c r="M3284" t="s">
        <v>65474</v>
      </c>
      <c r="N3284" t="s">
        <v>65475</v>
      </c>
      <c r="O3284">
        <f>-586.234816200968 -101.373441550942 -738.741310754018</f>
        <v>-1426.3495685059279</v>
      </c>
      <c r="P3284">
        <f>-602.775918481355 -94.1007749490871 -422.735569095294</f>
        <v>-1119.612262525736</v>
      </c>
      <c r="Q3284">
        <f>-356.742713729764 -19.9495920687568 -462.876657659166</f>
        <v>-839.56896345768678</v>
      </c>
      <c r="R3284" t="s">
        <v>65476</v>
      </c>
      <c r="S3284" t="s">
        <v>65477</v>
      </c>
      <c r="T3284" t="s">
        <v>65478</v>
      </c>
      <c r="U3284" t="s">
        <v>65479</v>
      </c>
      <c r="V3284" t="s">
        <v>65480</v>
      </c>
      <c r="W3284" t="s">
        <v>65481</v>
      </c>
      <c r="X3284" t="s">
        <v>65482</v>
      </c>
      <c r="Y3284" t="s">
        <v>65483</v>
      </c>
    </row>
    <row r="3285" spans="1:25" x14ac:dyDescent="0.3">
      <c r="A3285">
        <v>164200</v>
      </c>
      <c r="B3285" t="s">
        <v>65484</v>
      </c>
      <c r="C3285" t="s">
        <v>65485</v>
      </c>
      <c r="D3285" t="s">
        <v>65486</v>
      </c>
      <c r="E3285" t="s">
        <v>65487</v>
      </c>
      <c r="F3285" t="s">
        <v>65488</v>
      </c>
      <c r="G3285" t="s">
        <v>65489</v>
      </c>
      <c r="H3285" t="s">
        <v>65490</v>
      </c>
      <c r="I3285" t="s">
        <v>65491</v>
      </c>
      <c r="J3285" t="s">
        <v>65492</v>
      </c>
      <c r="K3285" t="s">
        <v>65493</v>
      </c>
      <c r="L3285" t="s">
        <v>65494</v>
      </c>
      <c r="M3285" t="s">
        <v>65495</v>
      </c>
      <c r="N3285" t="s">
        <v>65496</v>
      </c>
      <c r="O3285">
        <f>-585.806889763774 -101.493364805742 -738.820779972844</f>
        <v>-1426.1210345423601</v>
      </c>
      <c r="P3285">
        <f>-602.563614835391 -94.3028726724721 -422.824435938964</f>
        <v>-1119.6909234468271</v>
      </c>
      <c r="Q3285">
        <f>-356.520110121085 -20.0831658321531 -462.775610629401</f>
        <v>-839.3788865826391</v>
      </c>
      <c r="R3285" t="s">
        <v>65497</v>
      </c>
      <c r="S3285" t="s">
        <v>65498</v>
      </c>
      <c r="T3285" t="s">
        <v>65499</v>
      </c>
      <c r="U3285" t="s">
        <v>65500</v>
      </c>
      <c r="V3285" t="s">
        <v>65501</v>
      </c>
      <c r="W3285" t="s">
        <v>65502</v>
      </c>
      <c r="X3285" t="s">
        <v>65503</v>
      </c>
      <c r="Y3285" t="s">
        <v>65504</v>
      </c>
    </row>
    <row r="3286" spans="1:25" x14ac:dyDescent="0.3">
      <c r="A3286">
        <v>164250</v>
      </c>
      <c r="B3286" t="s">
        <v>65505</v>
      </c>
      <c r="C3286" t="s">
        <v>65506</v>
      </c>
      <c r="D3286" t="s">
        <v>65507</v>
      </c>
      <c r="E3286" t="s">
        <v>65508</v>
      </c>
      <c r="F3286" t="s">
        <v>65509</v>
      </c>
      <c r="G3286" t="s">
        <v>65510</v>
      </c>
      <c r="H3286" t="s">
        <v>65511</v>
      </c>
      <c r="I3286" t="s">
        <v>65512</v>
      </c>
      <c r="J3286" t="s">
        <v>65513</v>
      </c>
      <c r="K3286" t="s">
        <v>65514</v>
      </c>
      <c r="L3286" t="s">
        <v>65515</v>
      </c>
      <c r="M3286" t="s">
        <v>65516</v>
      </c>
      <c r="N3286" t="s">
        <v>65517</v>
      </c>
      <c r="O3286">
        <f>-585.210101305291 -102.021534389397 -738.893617651364</f>
        <v>-1426.125253346052</v>
      </c>
      <c r="P3286">
        <f>-602.392425038924 -94.9069234362992 -422.918425877682</f>
        <v>-1120.2177743529051</v>
      </c>
      <c r="Q3286">
        <f>-356.337666062657 -20.5358814080378 -462.517285805095</f>
        <v>-839.39083327578987</v>
      </c>
      <c r="R3286" t="s">
        <v>65518</v>
      </c>
      <c r="S3286" t="s">
        <v>65519</v>
      </c>
      <c r="T3286" t="s">
        <v>65520</v>
      </c>
      <c r="U3286" t="s">
        <v>65521</v>
      </c>
      <c r="V3286" t="s">
        <v>65522</v>
      </c>
      <c r="W3286" t="s">
        <v>65523</v>
      </c>
      <c r="X3286" t="s">
        <v>65524</v>
      </c>
      <c r="Y3286" t="s">
        <v>65525</v>
      </c>
    </row>
    <row r="3287" spans="1:25" x14ac:dyDescent="0.3">
      <c r="A3287">
        <v>164300</v>
      </c>
      <c r="B3287" t="s">
        <v>65526</v>
      </c>
      <c r="C3287" t="s">
        <v>65527</v>
      </c>
      <c r="D3287" t="s">
        <v>65528</v>
      </c>
      <c r="E3287" t="s">
        <v>65529</v>
      </c>
      <c r="F3287" t="s">
        <v>65530</v>
      </c>
      <c r="G3287" t="s">
        <v>65531</v>
      </c>
      <c r="H3287" t="s">
        <v>65532</v>
      </c>
      <c r="I3287" t="s">
        <v>65533</v>
      </c>
      <c r="J3287" t="s">
        <v>65534</v>
      </c>
      <c r="K3287" t="s">
        <v>65535</v>
      </c>
      <c r="L3287" t="s">
        <v>65536</v>
      </c>
      <c r="M3287" t="s">
        <v>65537</v>
      </c>
      <c r="N3287" t="s">
        <v>65538</v>
      </c>
      <c r="O3287">
        <f>-584.743319661241 -102.197137501415 -738.941073835629</f>
        <v>-1425.8815309982851</v>
      </c>
      <c r="P3287">
        <f>-602.107140683459 -95.0958539709028 -422.975342658048</f>
        <v>-1120.1783373124099</v>
      </c>
      <c r="Q3287">
        <f>-356.028233167813 -20.7588326676626 -462.487833794959</f>
        <v>-839.27489963043467</v>
      </c>
      <c r="R3287" t="s">
        <v>65539</v>
      </c>
      <c r="S3287" t="s">
        <v>65540</v>
      </c>
      <c r="T3287" t="s">
        <v>65541</v>
      </c>
      <c r="U3287" t="s">
        <v>65542</v>
      </c>
      <c r="V3287" t="s">
        <v>65543</v>
      </c>
      <c r="W3287" t="s">
        <v>65544</v>
      </c>
      <c r="X3287" t="s">
        <v>65545</v>
      </c>
      <c r="Y3287" t="s">
        <v>65546</v>
      </c>
    </row>
    <row r="3288" spans="1:25" x14ac:dyDescent="0.3">
      <c r="A3288">
        <v>164350</v>
      </c>
      <c r="B3288" t="s">
        <v>65547</v>
      </c>
      <c r="C3288" t="s">
        <v>65548</v>
      </c>
      <c r="D3288" t="s">
        <v>65549</v>
      </c>
      <c r="E3288" t="s">
        <v>65550</v>
      </c>
      <c r="F3288" t="s">
        <v>65551</v>
      </c>
      <c r="G3288" t="s">
        <v>65552</v>
      </c>
      <c r="H3288" t="s">
        <v>65553</v>
      </c>
      <c r="I3288" t="s">
        <v>65554</v>
      </c>
      <c r="J3288" t="s">
        <v>65555</v>
      </c>
      <c r="K3288" t="s">
        <v>65556</v>
      </c>
      <c r="L3288" t="s">
        <v>65557</v>
      </c>
      <c r="M3288" t="s">
        <v>65558</v>
      </c>
      <c r="N3288" t="s">
        <v>65559</v>
      </c>
      <c r="O3288">
        <f>-583.109231495635 -102.174580494341 -739.022060193766</f>
        <v>-1424.3058721837419</v>
      </c>
      <c r="P3288">
        <f>-601.126320678733 -95.0652177233631 -423.093201664053</f>
        <v>-1119.284740066149</v>
      </c>
      <c r="Q3288">
        <f>-354.96192169771 -20.8518889678863 -462.304361738743</f>
        <v>-838.11817240433925</v>
      </c>
      <c r="R3288" t="s">
        <v>65560</v>
      </c>
      <c r="S3288" t="s">
        <v>65561</v>
      </c>
      <c r="T3288" t="s">
        <v>65562</v>
      </c>
      <c r="U3288" t="s">
        <v>65563</v>
      </c>
      <c r="V3288" t="s">
        <v>65564</v>
      </c>
      <c r="W3288" t="s">
        <v>65565</v>
      </c>
      <c r="X3288" t="s">
        <v>65566</v>
      </c>
      <c r="Y3288" t="s">
        <v>65567</v>
      </c>
    </row>
    <row r="3289" spans="1:25" x14ac:dyDescent="0.3">
      <c r="A3289">
        <v>164400</v>
      </c>
      <c r="B3289" t="s">
        <v>65568</v>
      </c>
      <c r="C3289" t="s">
        <v>65569</v>
      </c>
      <c r="D3289" t="s">
        <v>65570</v>
      </c>
      <c r="E3289" t="s">
        <v>65571</v>
      </c>
      <c r="F3289" t="s">
        <v>65572</v>
      </c>
      <c r="G3289" t="s">
        <v>65573</v>
      </c>
      <c r="H3289" t="s">
        <v>65574</v>
      </c>
      <c r="I3289" t="s">
        <v>65575</v>
      </c>
      <c r="J3289" t="s">
        <v>65576</v>
      </c>
      <c r="K3289" t="s">
        <v>65577</v>
      </c>
      <c r="L3289" t="s">
        <v>65578</v>
      </c>
      <c r="M3289" t="s">
        <v>65579</v>
      </c>
      <c r="N3289" t="s">
        <v>65580</v>
      </c>
      <c r="O3289">
        <f>-582.63859295137 -102.23124055226 -739.07133299844</f>
        <v>-1423.94116650207</v>
      </c>
      <c r="P3289">
        <f>-601.144722866302 -95.1459201865818 -423.170250636477</f>
        <v>-1119.4608936893608</v>
      </c>
      <c r="Q3289">
        <f>-354.941170103495 -20.9566780382462 -462.180347559559</f>
        <v>-838.07819570130016</v>
      </c>
      <c r="R3289" t="s">
        <v>65581</v>
      </c>
      <c r="S3289" t="s">
        <v>65582</v>
      </c>
      <c r="T3289" t="s">
        <v>65583</v>
      </c>
      <c r="U3289" t="s">
        <v>65584</v>
      </c>
      <c r="V3289" t="s">
        <v>65585</v>
      </c>
      <c r="W3289" t="s">
        <v>65586</v>
      </c>
      <c r="X3289" t="s">
        <v>65587</v>
      </c>
      <c r="Y3289" t="s">
        <v>65588</v>
      </c>
    </row>
    <row r="3290" spans="1:25" x14ac:dyDescent="0.3">
      <c r="A3290">
        <v>164450</v>
      </c>
      <c r="B3290" t="s">
        <v>65589</v>
      </c>
      <c r="C3290" t="s">
        <v>65590</v>
      </c>
      <c r="D3290" t="s">
        <v>65591</v>
      </c>
      <c r="E3290" t="s">
        <v>65592</v>
      </c>
      <c r="F3290" t="s">
        <v>65593</v>
      </c>
      <c r="G3290" t="s">
        <v>65594</v>
      </c>
      <c r="H3290" t="s">
        <v>65595</v>
      </c>
      <c r="I3290" t="s">
        <v>65596</v>
      </c>
      <c r="J3290" t="s">
        <v>65597</v>
      </c>
      <c r="K3290" t="s">
        <v>65598</v>
      </c>
      <c r="L3290" t="s">
        <v>65599</v>
      </c>
      <c r="M3290" t="s">
        <v>65600</v>
      </c>
      <c r="N3290" t="s">
        <v>65601</v>
      </c>
      <c r="O3290">
        <f>-581.207252138571 -102.256698535593 -739.350060143705</f>
        <v>-1422.8140108178691</v>
      </c>
      <c r="P3290">
        <f>-600.443126101258 -95.3454144616515 -423.488629004557</f>
        <v>-1119.2771695674664</v>
      </c>
      <c r="Q3290">
        <f>-354.089922211656 -21.3527215812578 -461.923072743285</f>
        <v>-837.36571653619876</v>
      </c>
      <c r="R3290" t="s">
        <v>65602</v>
      </c>
      <c r="S3290" t="s">
        <v>65603</v>
      </c>
      <c r="T3290" t="s">
        <v>65604</v>
      </c>
      <c r="U3290" t="s">
        <v>65605</v>
      </c>
      <c r="V3290" t="s">
        <v>65606</v>
      </c>
      <c r="W3290" t="s">
        <v>65607</v>
      </c>
      <c r="X3290" t="s">
        <v>65608</v>
      </c>
      <c r="Y3290" t="s">
        <v>65609</v>
      </c>
    </row>
    <row r="3291" spans="1:25" x14ac:dyDescent="0.3">
      <c r="A3291">
        <v>164500</v>
      </c>
      <c r="B3291" t="s">
        <v>65610</v>
      </c>
      <c r="C3291" t="s">
        <v>65611</v>
      </c>
      <c r="D3291" t="s">
        <v>65612</v>
      </c>
      <c r="E3291" t="s">
        <v>65613</v>
      </c>
      <c r="F3291" t="s">
        <v>65614</v>
      </c>
      <c r="G3291" t="s">
        <v>65615</v>
      </c>
      <c r="H3291" t="s">
        <v>65616</v>
      </c>
      <c r="I3291" t="s">
        <v>65617</v>
      </c>
      <c r="J3291" t="s">
        <v>65618</v>
      </c>
      <c r="K3291" t="s">
        <v>65619</v>
      </c>
      <c r="L3291" t="s">
        <v>65620</v>
      </c>
      <c r="M3291" t="s">
        <v>65621</v>
      </c>
      <c r="N3291" t="s">
        <v>65622</v>
      </c>
      <c r="O3291">
        <f>-580.452876001519 -102.406359860586 -739.454383366666</f>
        <v>-1422.3136192287711</v>
      </c>
      <c r="P3291">
        <f>-600.062792256181 -95.4981381036451 -423.61597312793</f>
        <v>-1119.1769034877561</v>
      </c>
      <c r="Q3291">
        <f>-353.652956733489 -21.5875580195725 -461.845126814756</f>
        <v>-837.08564156781745</v>
      </c>
      <c r="R3291" t="s">
        <v>65623</v>
      </c>
      <c r="S3291" t="s">
        <v>65624</v>
      </c>
      <c r="T3291" t="s">
        <v>65625</v>
      </c>
      <c r="U3291" t="s">
        <v>65626</v>
      </c>
      <c r="V3291" t="s">
        <v>65627</v>
      </c>
      <c r="W3291" t="s">
        <v>65628</v>
      </c>
      <c r="X3291" t="s">
        <v>65629</v>
      </c>
      <c r="Y3291" t="s">
        <v>65630</v>
      </c>
    </row>
    <row r="3292" spans="1:25" x14ac:dyDescent="0.3">
      <c r="A3292">
        <v>164550</v>
      </c>
      <c r="B3292" t="s">
        <v>65631</v>
      </c>
      <c r="C3292" t="s">
        <v>65632</v>
      </c>
      <c r="D3292" t="s">
        <v>65633</v>
      </c>
      <c r="E3292" t="s">
        <v>65634</v>
      </c>
      <c r="F3292" t="s">
        <v>65635</v>
      </c>
      <c r="G3292" t="s">
        <v>65636</v>
      </c>
      <c r="H3292" t="s">
        <v>65637</v>
      </c>
      <c r="I3292" t="s">
        <v>65638</v>
      </c>
      <c r="J3292" t="s">
        <v>65639</v>
      </c>
      <c r="K3292" t="s">
        <v>65640</v>
      </c>
      <c r="L3292" t="s">
        <v>65641</v>
      </c>
      <c r="M3292" t="s">
        <v>65642</v>
      </c>
      <c r="N3292" t="s">
        <v>65643</v>
      </c>
      <c r="O3292">
        <f>-579.065080050252 -102.560224387155 -739.590023006477</f>
        <v>-1421.2153274438842</v>
      </c>
      <c r="P3292">
        <f>-599.17226997329 -95.7874968283601 -423.77992372576</f>
        <v>-1118.7396905274099</v>
      </c>
      <c r="Q3292">
        <f>-352.672404595575 -22.0007986339187 -461.666236535497</f>
        <v>-836.33943976499063</v>
      </c>
      <c r="R3292" t="s">
        <v>65644</v>
      </c>
      <c r="S3292" t="s">
        <v>65645</v>
      </c>
      <c r="T3292" t="s">
        <v>65646</v>
      </c>
      <c r="U3292" t="s">
        <v>65647</v>
      </c>
      <c r="V3292" t="s">
        <v>65648</v>
      </c>
      <c r="W3292" t="s">
        <v>65649</v>
      </c>
      <c r="X3292" t="s">
        <v>65650</v>
      </c>
      <c r="Y3292" t="s">
        <v>65651</v>
      </c>
    </row>
    <row r="3293" spans="1:25" x14ac:dyDescent="0.3">
      <c r="A3293">
        <v>164600</v>
      </c>
      <c r="B3293" t="s">
        <v>65652</v>
      </c>
      <c r="C3293" t="s">
        <v>65653</v>
      </c>
      <c r="D3293" t="s">
        <v>65654</v>
      </c>
      <c r="E3293" t="s">
        <v>65655</v>
      </c>
      <c r="F3293" t="s">
        <v>65656</v>
      </c>
      <c r="G3293" t="s">
        <v>65657</v>
      </c>
      <c r="H3293" t="s">
        <v>65658</v>
      </c>
      <c r="I3293" t="s">
        <v>65659</v>
      </c>
      <c r="J3293" t="s">
        <v>65660</v>
      </c>
      <c r="K3293" t="s">
        <v>65661</v>
      </c>
      <c r="L3293" t="s">
        <v>65662</v>
      </c>
      <c r="M3293" t="s">
        <v>65663</v>
      </c>
      <c r="N3293" t="s">
        <v>65664</v>
      </c>
      <c r="O3293">
        <f>-578.275113567397 -102.492350536412 -739.66913325654</f>
        <v>-1420.436597360349</v>
      </c>
      <c r="P3293">
        <f>-598.460120202273 -95.772355056835 -423.862969335996</f>
        <v>-1118.0954445951038</v>
      </c>
      <c r="Q3293">
        <f>-351.947017953413 -22.0086019427665 -461.708253846542</f>
        <v>-835.66387374272153</v>
      </c>
      <c r="R3293" t="s">
        <v>65665</v>
      </c>
      <c r="S3293" t="s">
        <v>65666</v>
      </c>
      <c r="T3293" t="s">
        <v>65667</v>
      </c>
      <c r="U3293" t="s">
        <v>65668</v>
      </c>
      <c r="V3293" t="s">
        <v>65669</v>
      </c>
      <c r="W3293" t="s">
        <v>65670</v>
      </c>
      <c r="X3293" t="s">
        <v>65671</v>
      </c>
      <c r="Y3293" t="s">
        <v>65672</v>
      </c>
    </row>
    <row r="3294" spans="1:25" x14ac:dyDescent="0.3">
      <c r="A3294">
        <v>164650</v>
      </c>
      <c r="B3294" t="s">
        <v>65673</v>
      </c>
      <c r="C3294" t="s">
        <v>65674</v>
      </c>
      <c r="D3294" t="s">
        <v>65675</v>
      </c>
      <c r="E3294" t="s">
        <v>65676</v>
      </c>
      <c r="F3294" t="s">
        <v>65677</v>
      </c>
      <c r="G3294" t="s">
        <v>65678</v>
      </c>
      <c r="H3294" t="s">
        <v>65679</v>
      </c>
      <c r="I3294" t="s">
        <v>65680</v>
      </c>
      <c r="J3294" t="s">
        <v>65681</v>
      </c>
      <c r="K3294" t="s">
        <v>65682</v>
      </c>
      <c r="L3294" t="s">
        <v>65683</v>
      </c>
      <c r="M3294" t="s">
        <v>65684</v>
      </c>
      <c r="N3294" t="s">
        <v>65685</v>
      </c>
      <c r="O3294">
        <f>-576.610930549632 -102.546351161477 -739.818090255191</f>
        <v>-1418.9753719662999</v>
      </c>
      <c r="P3294">
        <f>-597.0483989877 -95.7402038298676 -424.030010625563</f>
        <v>-1116.8186134431307</v>
      </c>
      <c r="Q3294">
        <f>-350.521266981857 -21.960722252502 -461.753010728868</f>
        <v>-834.23499996322698</v>
      </c>
      <c r="R3294" t="s">
        <v>65686</v>
      </c>
      <c r="S3294" t="s">
        <v>65687</v>
      </c>
      <c r="T3294" t="s">
        <v>65688</v>
      </c>
      <c r="U3294" t="s">
        <v>65689</v>
      </c>
      <c r="V3294" t="s">
        <v>65690</v>
      </c>
      <c r="W3294" t="s">
        <v>65691</v>
      </c>
      <c r="X3294" t="s">
        <v>65692</v>
      </c>
      <c r="Y3294" t="s">
        <v>65693</v>
      </c>
    </row>
    <row r="3295" spans="1:25" x14ac:dyDescent="0.3">
      <c r="A3295">
        <v>164700</v>
      </c>
      <c r="B3295" t="s">
        <v>65694</v>
      </c>
      <c r="C3295" t="s">
        <v>65695</v>
      </c>
      <c r="D3295" t="s">
        <v>65696</v>
      </c>
      <c r="E3295" t="s">
        <v>65697</v>
      </c>
      <c r="F3295" t="s">
        <v>65698</v>
      </c>
      <c r="G3295" t="s">
        <v>65699</v>
      </c>
      <c r="H3295" t="s">
        <v>65700</v>
      </c>
      <c r="I3295" t="s">
        <v>65701</v>
      </c>
      <c r="J3295" t="s">
        <v>65702</v>
      </c>
      <c r="K3295" t="s">
        <v>65703</v>
      </c>
      <c r="L3295" t="s">
        <v>65704</v>
      </c>
      <c r="M3295" t="s">
        <v>65705</v>
      </c>
      <c r="N3295" t="s">
        <v>65706</v>
      </c>
      <c r="O3295">
        <f>-576.135041348805 -102.480821715016 -739.911826677899</f>
        <v>-1418.5276897417198</v>
      </c>
      <c r="P3295">
        <f>-596.791199164834 -95.773157484229 -424.135693918258</f>
        <v>-1116.7000505673211</v>
      </c>
      <c r="Q3295">
        <f>-350.295586998908 -21.8716617487835 -461.825749644708</f>
        <v>-833.9929983923995</v>
      </c>
      <c r="R3295" t="s">
        <v>65707</v>
      </c>
      <c r="S3295" t="s">
        <v>65708</v>
      </c>
      <c r="T3295" t="s">
        <v>65709</v>
      </c>
      <c r="U3295" t="s">
        <v>65710</v>
      </c>
      <c r="V3295" t="s">
        <v>65711</v>
      </c>
      <c r="W3295" t="s">
        <v>65712</v>
      </c>
      <c r="X3295" t="s">
        <v>65713</v>
      </c>
      <c r="Y3295" t="s">
        <v>65714</v>
      </c>
    </row>
    <row r="3296" spans="1:25" x14ac:dyDescent="0.3">
      <c r="A3296">
        <v>164750</v>
      </c>
      <c r="B3296" t="s">
        <v>65715</v>
      </c>
      <c r="C3296" t="s">
        <v>65716</v>
      </c>
      <c r="D3296" t="s">
        <v>65717</v>
      </c>
      <c r="E3296" t="s">
        <v>65718</v>
      </c>
      <c r="F3296" t="s">
        <v>65719</v>
      </c>
      <c r="G3296" t="s">
        <v>65720</v>
      </c>
      <c r="H3296" t="s">
        <v>65721</v>
      </c>
      <c r="I3296" t="s">
        <v>65722</v>
      </c>
      <c r="J3296" t="s">
        <v>65723</v>
      </c>
      <c r="K3296" t="s">
        <v>65724</v>
      </c>
      <c r="L3296" t="s">
        <v>65725</v>
      </c>
      <c r="M3296" t="s">
        <v>65726</v>
      </c>
      <c r="N3296" t="s">
        <v>65727</v>
      </c>
      <c r="O3296">
        <f>-575.180306975891 -102.710216117602 -740.036232736423</f>
        <v>-1417.9267558299161</v>
      </c>
      <c r="P3296">
        <f>-596.209221602919 -96.2556529182205 -424.279505421646</f>
        <v>-1116.7443799427856</v>
      </c>
      <c r="Q3296">
        <f>-349.790827399396 -22.0037800164074 -461.785546919706</f>
        <v>-833.58015433550941</v>
      </c>
      <c r="R3296" t="s">
        <v>65728</v>
      </c>
      <c r="S3296" t="s">
        <v>65729</v>
      </c>
      <c r="T3296" t="s">
        <v>65730</v>
      </c>
      <c r="U3296" t="s">
        <v>65731</v>
      </c>
      <c r="V3296" t="s">
        <v>65732</v>
      </c>
      <c r="W3296" t="s">
        <v>65733</v>
      </c>
      <c r="X3296" t="s">
        <v>65734</v>
      </c>
      <c r="Y3296" t="s">
        <v>65735</v>
      </c>
    </row>
    <row r="3297" spans="1:25" x14ac:dyDescent="0.3">
      <c r="A3297">
        <v>164800</v>
      </c>
      <c r="B3297" t="s">
        <v>65736</v>
      </c>
      <c r="C3297" t="s">
        <v>65737</v>
      </c>
      <c r="D3297" t="s">
        <v>65738</v>
      </c>
      <c r="E3297" t="s">
        <v>65739</v>
      </c>
      <c r="F3297" t="s">
        <v>65740</v>
      </c>
      <c r="G3297" t="s">
        <v>65741</v>
      </c>
      <c r="H3297" t="s">
        <v>65742</v>
      </c>
      <c r="I3297" t="s">
        <v>65743</v>
      </c>
      <c r="J3297" t="s">
        <v>65744</v>
      </c>
      <c r="K3297" t="s">
        <v>65745</v>
      </c>
      <c r="L3297" t="s">
        <v>65746</v>
      </c>
      <c r="M3297" t="s">
        <v>65747</v>
      </c>
      <c r="N3297" t="s">
        <v>65748</v>
      </c>
      <c r="O3297">
        <f>-574.740242283716 -102.61500236327 -740.117834811352</f>
        <v>-1417.4730794583381</v>
      </c>
      <c r="P3297">
        <f>-595.980203078723 -96.1501021464078 -424.375367072617</f>
        <v>-1116.5056722977479</v>
      </c>
      <c r="Q3297">
        <f>-349.562524570226 -21.851797109682 -461.793935733135</f>
        <v>-833.20825741304304</v>
      </c>
      <c r="R3297" t="s">
        <v>65749</v>
      </c>
      <c r="S3297" t="s">
        <v>65750</v>
      </c>
      <c r="T3297" t="s">
        <v>65751</v>
      </c>
      <c r="U3297" t="s">
        <v>65752</v>
      </c>
      <c r="V3297" t="s">
        <v>65753</v>
      </c>
      <c r="W3297" t="s">
        <v>65754</v>
      </c>
      <c r="X3297" t="s">
        <v>65755</v>
      </c>
      <c r="Y3297" t="s">
        <v>65756</v>
      </c>
    </row>
    <row r="3298" spans="1:25" x14ac:dyDescent="0.3">
      <c r="A3298">
        <v>164850</v>
      </c>
      <c r="B3298" t="s">
        <v>65757</v>
      </c>
      <c r="C3298" t="s">
        <v>65758</v>
      </c>
      <c r="D3298" t="s">
        <v>65759</v>
      </c>
      <c r="E3298" t="s">
        <v>65760</v>
      </c>
      <c r="F3298" t="s">
        <v>65761</v>
      </c>
      <c r="G3298" t="s">
        <v>65762</v>
      </c>
      <c r="H3298" t="s">
        <v>65763</v>
      </c>
      <c r="I3298" t="s">
        <v>65764</v>
      </c>
      <c r="J3298" t="s">
        <v>65765</v>
      </c>
      <c r="K3298" t="s">
        <v>65766</v>
      </c>
      <c r="L3298" t="s">
        <v>65767</v>
      </c>
      <c r="M3298" t="s">
        <v>65768</v>
      </c>
      <c r="N3298" t="s">
        <v>65769</v>
      </c>
      <c r="O3298">
        <f>-573.987025203167 -102.378606947688 -740.227510052463</f>
        <v>-1416.5931422033182</v>
      </c>
      <c r="P3298">
        <f>-595.576513949024 -95.8982088121621 -424.509128539958</f>
        <v>-1115.9838513011441</v>
      </c>
      <c r="Q3298">
        <f>-349.136092414777 -21.513950398896 -461.605832689245</f>
        <v>-832.255875502918</v>
      </c>
      <c r="R3298" t="s">
        <v>65770</v>
      </c>
      <c r="S3298" t="s">
        <v>65771</v>
      </c>
      <c r="T3298" t="s">
        <v>65772</v>
      </c>
      <c r="U3298" t="s">
        <v>65773</v>
      </c>
      <c r="V3298" t="s">
        <v>65774</v>
      </c>
      <c r="W3298" t="s">
        <v>65775</v>
      </c>
      <c r="X3298" t="s">
        <v>65776</v>
      </c>
      <c r="Y3298" t="s">
        <v>65777</v>
      </c>
    </row>
    <row r="3299" spans="1:25" x14ac:dyDescent="0.3">
      <c r="A3299">
        <v>164900</v>
      </c>
      <c r="B3299" t="s">
        <v>65778</v>
      </c>
      <c r="C3299" t="s">
        <v>65779</v>
      </c>
      <c r="D3299" t="s">
        <v>65780</v>
      </c>
      <c r="E3299" t="s">
        <v>65781</v>
      </c>
      <c r="F3299" t="s">
        <v>65782</v>
      </c>
      <c r="G3299" t="s">
        <v>65783</v>
      </c>
      <c r="H3299" t="s">
        <v>65784</v>
      </c>
      <c r="I3299" t="s">
        <v>65785</v>
      </c>
      <c r="J3299" t="s">
        <v>65786</v>
      </c>
      <c r="K3299" t="s">
        <v>65787</v>
      </c>
      <c r="L3299" t="s">
        <v>65788</v>
      </c>
      <c r="M3299" t="s">
        <v>65789</v>
      </c>
      <c r="N3299" t="s">
        <v>65790</v>
      </c>
      <c r="O3299">
        <f>-573.738966809672 -102.273426196594 -740.242899681101</f>
        <v>-1416.2552926873668</v>
      </c>
      <c r="P3299">
        <f>-595.490096720197 -95.7912349835109 -424.535652617439</f>
        <v>-1115.8169843211469</v>
      </c>
      <c r="Q3299">
        <f>-349.047449569647 -21.3439362937305 -461.490532806903</f>
        <v>-831.88191867028047</v>
      </c>
      <c r="R3299" t="s">
        <v>65791</v>
      </c>
      <c r="S3299" t="s">
        <v>65792</v>
      </c>
      <c r="T3299" t="s">
        <v>65793</v>
      </c>
      <c r="U3299" t="s">
        <v>65794</v>
      </c>
      <c r="V3299" t="s">
        <v>65795</v>
      </c>
      <c r="W3299" t="s">
        <v>65796</v>
      </c>
      <c r="X3299" t="s">
        <v>65797</v>
      </c>
      <c r="Y3299" t="s">
        <v>65798</v>
      </c>
    </row>
    <row r="3300" spans="1:25" x14ac:dyDescent="0.3">
      <c r="A3300">
        <v>164950</v>
      </c>
      <c r="B3300" t="s">
        <v>65799</v>
      </c>
      <c r="C3300" t="s">
        <v>65800</v>
      </c>
      <c r="D3300" t="s">
        <v>65801</v>
      </c>
      <c r="E3300" t="s">
        <v>65802</v>
      </c>
      <c r="F3300" t="s">
        <v>65803</v>
      </c>
      <c r="G3300" t="s">
        <v>65804</v>
      </c>
      <c r="H3300" t="s">
        <v>65805</v>
      </c>
      <c r="I3300" t="s">
        <v>65806</v>
      </c>
      <c r="J3300" t="s">
        <v>65807</v>
      </c>
      <c r="K3300" t="s">
        <v>65808</v>
      </c>
      <c r="L3300" t="s">
        <v>65809</v>
      </c>
      <c r="M3300" t="s">
        <v>65810</v>
      </c>
      <c r="N3300" t="s">
        <v>65811</v>
      </c>
      <c r="O3300">
        <f>-573.079283224844 -102.196704282943 -740.344186836034</f>
        <v>-1415.620174343821</v>
      </c>
      <c r="P3300">
        <f>-595.127967861617 -95.5992850098501 -424.65990073365</f>
        <v>-1115.387153605117</v>
      </c>
      <c r="Q3300">
        <f>-348.630820846844 -21.2292841196682 -461.406601578801</f>
        <v>-831.26670654531313</v>
      </c>
      <c r="R3300" t="s">
        <v>65812</v>
      </c>
      <c r="S3300" t="s">
        <v>65813</v>
      </c>
      <c r="T3300" t="s">
        <v>65814</v>
      </c>
      <c r="U3300" t="s">
        <v>65815</v>
      </c>
      <c r="V3300" t="s">
        <v>65816</v>
      </c>
      <c r="W3300" t="s">
        <v>65817</v>
      </c>
      <c r="X3300" t="s">
        <v>65818</v>
      </c>
      <c r="Y3300" t="s">
        <v>65819</v>
      </c>
    </row>
    <row r="3301" spans="1:25" x14ac:dyDescent="0.3">
      <c r="A3301">
        <v>165000</v>
      </c>
      <c r="B3301" t="s">
        <v>65820</v>
      </c>
      <c r="C3301" t="s">
        <v>65821</v>
      </c>
      <c r="D3301" t="s">
        <v>65822</v>
      </c>
      <c r="E3301" t="s">
        <v>65823</v>
      </c>
      <c r="F3301" t="s">
        <v>65824</v>
      </c>
      <c r="G3301" t="s">
        <v>65825</v>
      </c>
      <c r="H3301" t="s">
        <v>65826</v>
      </c>
      <c r="I3301" t="s">
        <v>65827</v>
      </c>
      <c r="J3301" t="s">
        <v>65828</v>
      </c>
      <c r="K3301" t="s">
        <v>65829</v>
      </c>
      <c r="L3301" t="s">
        <v>65830</v>
      </c>
      <c r="M3301" t="s">
        <v>65831</v>
      </c>
      <c r="N3301" t="s">
        <v>65832</v>
      </c>
      <c r="O3301">
        <f>-572.892769749278 -101.820975607279 -740.398852234686</f>
        <v>-1415.1125975912432</v>
      </c>
      <c r="P3301">
        <f>-594.973530236591 -95.2942493203845 -424.715507166767</f>
        <v>-1114.9832867237424</v>
      </c>
      <c r="Q3301">
        <f>-348.449343713331 -20.9628906198576 -461.358477694325</f>
        <v>-830.77071202751358</v>
      </c>
      <c r="R3301" t="s">
        <v>65833</v>
      </c>
      <c r="S3301" t="s">
        <v>65834</v>
      </c>
      <c r="T3301" t="s">
        <v>65835</v>
      </c>
      <c r="U3301" t="s">
        <v>65836</v>
      </c>
      <c r="V3301" t="s">
        <v>65837</v>
      </c>
      <c r="W3301" t="s">
        <v>65838</v>
      </c>
      <c r="X3301" t="s">
        <v>65839</v>
      </c>
      <c r="Y3301" t="s">
        <v>65840</v>
      </c>
    </row>
    <row r="3302" spans="1:25" x14ac:dyDescent="0.3">
      <c r="A3302">
        <v>165050</v>
      </c>
      <c r="B3302" t="s">
        <v>65841</v>
      </c>
      <c r="C3302" t="s">
        <v>65842</v>
      </c>
      <c r="D3302" t="s">
        <v>65843</v>
      </c>
      <c r="E3302" t="s">
        <v>65844</v>
      </c>
      <c r="F3302" t="s">
        <v>65845</v>
      </c>
      <c r="G3302" t="s">
        <v>65846</v>
      </c>
      <c r="H3302" t="s">
        <v>65847</v>
      </c>
      <c r="I3302" t="s">
        <v>65848</v>
      </c>
      <c r="J3302" t="s">
        <v>65849</v>
      </c>
      <c r="K3302" t="s">
        <v>65850</v>
      </c>
      <c r="L3302" t="s">
        <v>65851</v>
      </c>
      <c r="M3302" t="s">
        <v>65852</v>
      </c>
      <c r="N3302" t="s">
        <v>65853</v>
      </c>
      <c r="O3302">
        <f>-572.497365123917 -101.759850607253 -740.524123891419</f>
        <v>-1414.781339622589</v>
      </c>
      <c r="P3302">
        <f>-594.865934048877 -95.3565867011433 -424.858497746347</f>
        <v>-1115.0810184963673</v>
      </c>
      <c r="Q3302">
        <f>-348.315044704938 -21.0552783347989 -461.382785474044</f>
        <v>-830.75310851378094</v>
      </c>
      <c r="R3302" t="s">
        <v>65854</v>
      </c>
      <c r="S3302" t="s">
        <v>65855</v>
      </c>
      <c r="T3302" t="s">
        <v>65856</v>
      </c>
      <c r="U3302" t="s">
        <v>65857</v>
      </c>
      <c r="V3302" t="s">
        <v>65858</v>
      </c>
      <c r="W3302" t="s">
        <v>65859</v>
      </c>
      <c r="X3302" t="s">
        <v>65860</v>
      </c>
      <c r="Y3302" t="s">
        <v>65861</v>
      </c>
    </row>
    <row r="3303" spans="1:25" x14ac:dyDescent="0.3">
      <c r="A3303">
        <v>165100</v>
      </c>
      <c r="B3303" t="s">
        <v>65862</v>
      </c>
      <c r="C3303" t="s">
        <v>65863</v>
      </c>
      <c r="D3303" t="s">
        <v>65864</v>
      </c>
      <c r="E3303" t="s">
        <v>65865</v>
      </c>
      <c r="F3303" t="s">
        <v>65866</v>
      </c>
      <c r="G3303" t="s">
        <v>65867</v>
      </c>
      <c r="H3303" t="s">
        <v>65868</v>
      </c>
      <c r="I3303" t="s">
        <v>65869</v>
      </c>
      <c r="J3303" t="s">
        <v>65870</v>
      </c>
      <c r="K3303" t="s">
        <v>65871</v>
      </c>
      <c r="L3303" t="s">
        <v>65872</v>
      </c>
      <c r="M3303" t="s">
        <v>65873</v>
      </c>
      <c r="N3303" t="s">
        <v>65874</v>
      </c>
      <c r="O3303">
        <f>-572.287584296493 -101.491762833738 -740.607764209179</f>
        <v>-1414.38711133941</v>
      </c>
      <c r="P3303">
        <f>-594.672055445179 -95.2609425987718 -424.939694112584</f>
        <v>-1114.8726921565349</v>
      </c>
      <c r="Q3303">
        <f>-348.108144130748 -20.9886158648938 -461.435261144587</f>
        <v>-830.53202114022884</v>
      </c>
      <c r="R3303" t="s">
        <v>65875</v>
      </c>
      <c r="S3303" t="s">
        <v>65876</v>
      </c>
      <c r="T3303" t="s">
        <v>65877</v>
      </c>
      <c r="U3303" t="s">
        <v>65878</v>
      </c>
      <c r="V3303" t="s">
        <v>65879</v>
      </c>
      <c r="W3303" t="s">
        <v>65880</v>
      </c>
      <c r="X3303" t="s">
        <v>65881</v>
      </c>
      <c r="Y3303" t="s">
        <v>65882</v>
      </c>
    </row>
    <row r="3304" spans="1:25" x14ac:dyDescent="0.3">
      <c r="A3304">
        <v>165150</v>
      </c>
      <c r="B3304" t="s">
        <v>65883</v>
      </c>
      <c r="C3304" t="s">
        <v>65884</v>
      </c>
      <c r="D3304" t="s">
        <v>65885</v>
      </c>
      <c r="E3304" t="s">
        <v>65886</v>
      </c>
      <c r="F3304" t="s">
        <v>65887</v>
      </c>
      <c r="G3304" t="s">
        <v>65888</v>
      </c>
      <c r="H3304" t="s">
        <v>65889</v>
      </c>
      <c r="I3304" t="s">
        <v>65890</v>
      </c>
      <c r="J3304" t="s">
        <v>65891</v>
      </c>
      <c r="K3304" t="s">
        <v>65892</v>
      </c>
      <c r="L3304" t="s">
        <v>65893</v>
      </c>
      <c r="M3304" t="s">
        <v>65894</v>
      </c>
      <c r="N3304" t="s">
        <v>65895</v>
      </c>
      <c r="O3304">
        <f>-571.815847788293 -101.345646602487 -740.676198610427</f>
        <v>-1413.8376930012071</v>
      </c>
      <c r="P3304">
        <f>-594.261914783201 -95.2742700227276 -425.009414700473</f>
        <v>-1114.5455995064015</v>
      </c>
      <c r="Q3304">
        <f>-347.656803789707 -21.1116201364106 -461.449495463002</f>
        <v>-830.21791938911952</v>
      </c>
      <c r="R3304" t="s">
        <v>65896</v>
      </c>
      <c r="S3304" t="s">
        <v>65897</v>
      </c>
      <c r="T3304" t="s">
        <v>65898</v>
      </c>
      <c r="U3304" t="s">
        <v>65899</v>
      </c>
      <c r="V3304" t="s">
        <v>65900</v>
      </c>
      <c r="W3304" t="s">
        <v>65901</v>
      </c>
      <c r="X3304" t="s">
        <v>65902</v>
      </c>
      <c r="Y3304" t="s">
        <v>65903</v>
      </c>
    </row>
    <row r="3305" spans="1:25" x14ac:dyDescent="0.3">
      <c r="A3305">
        <v>165200</v>
      </c>
      <c r="B3305" t="s">
        <v>65904</v>
      </c>
      <c r="C3305" t="s">
        <v>65905</v>
      </c>
      <c r="D3305" t="s">
        <v>65906</v>
      </c>
      <c r="E3305" t="s">
        <v>65907</v>
      </c>
      <c r="F3305" t="s">
        <v>65908</v>
      </c>
      <c r="G3305" t="s">
        <v>65909</v>
      </c>
      <c r="H3305" t="s">
        <v>65910</v>
      </c>
      <c r="I3305" t="s">
        <v>65911</v>
      </c>
      <c r="J3305" t="s">
        <v>65912</v>
      </c>
      <c r="K3305" t="s">
        <v>65913</v>
      </c>
      <c r="L3305" t="s">
        <v>65914</v>
      </c>
      <c r="M3305" t="s">
        <v>65915</v>
      </c>
      <c r="N3305" t="s">
        <v>65916</v>
      </c>
      <c r="O3305">
        <f>-571.687372828094 -101.328059858108 -740.696512001206</f>
        <v>-1413.711944687408</v>
      </c>
      <c r="P3305">
        <f>-594.181532074848 -95.3370290695011 -425.031706544081</f>
        <v>-1114.55026768843</v>
      </c>
      <c r="Q3305">
        <f>-347.575264182139 -21.2018720909271 -461.519784670264</f>
        <v>-830.29692094333018</v>
      </c>
      <c r="R3305" t="s">
        <v>65917</v>
      </c>
      <c r="S3305" t="s">
        <v>65918</v>
      </c>
      <c r="T3305" t="s">
        <v>65919</v>
      </c>
      <c r="U3305" t="s">
        <v>65920</v>
      </c>
      <c r="V3305" t="s">
        <v>65921</v>
      </c>
      <c r="W3305" t="s">
        <v>65922</v>
      </c>
      <c r="X3305" t="s">
        <v>65923</v>
      </c>
      <c r="Y3305" t="s">
        <v>65924</v>
      </c>
    </row>
    <row r="3306" spans="1:25" x14ac:dyDescent="0.3">
      <c r="A3306">
        <v>165250</v>
      </c>
      <c r="B3306" t="s">
        <v>65925</v>
      </c>
      <c r="C3306" t="s">
        <v>65926</v>
      </c>
      <c r="D3306" t="s">
        <v>65927</v>
      </c>
      <c r="E3306" t="s">
        <v>65928</v>
      </c>
      <c r="F3306" t="s">
        <v>65929</v>
      </c>
      <c r="G3306" t="s">
        <v>65930</v>
      </c>
      <c r="H3306" t="s">
        <v>65931</v>
      </c>
      <c r="I3306" t="s">
        <v>65932</v>
      </c>
      <c r="J3306" t="s">
        <v>65933</v>
      </c>
      <c r="K3306" t="s">
        <v>65934</v>
      </c>
      <c r="L3306" t="s">
        <v>65935</v>
      </c>
      <c r="M3306" t="s">
        <v>65936</v>
      </c>
      <c r="N3306" t="s">
        <v>65937</v>
      </c>
      <c r="O3306">
        <f>-571.276264791363 -101.233876560582 -740.733458429361</f>
        <v>-1413.2435997813059</v>
      </c>
      <c r="P3306">
        <f>-593.715050001804 -95.2870620204823 -425.063765947666</f>
        <v>-1114.0658779699522</v>
      </c>
      <c r="Q3306">
        <f>-347.088034927623 -21.2013748060866 -461.511774670217</f>
        <v>-829.80118440392664</v>
      </c>
      <c r="R3306" t="s">
        <v>65938</v>
      </c>
      <c r="S3306" t="s">
        <v>65939</v>
      </c>
      <c r="T3306" t="s">
        <v>65940</v>
      </c>
      <c r="U3306" t="s">
        <v>65941</v>
      </c>
      <c r="V3306" t="s">
        <v>65942</v>
      </c>
      <c r="W3306" t="s">
        <v>65943</v>
      </c>
      <c r="X3306" t="s">
        <v>65944</v>
      </c>
      <c r="Y3306" t="s">
        <v>65945</v>
      </c>
    </row>
    <row r="3307" spans="1:25" x14ac:dyDescent="0.3">
      <c r="A3307">
        <v>165300</v>
      </c>
      <c r="B3307" t="s">
        <v>65946</v>
      </c>
      <c r="C3307" t="s">
        <v>65947</v>
      </c>
      <c r="D3307" t="s">
        <v>65948</v>
      </c>
      <c r="E3307" t="s">
        <v>65949</v>
      </c>
      <c r="F3307" t="s">
        <v>65950</v>
      </c>
      <c r="G3307" t="s">
        <v>65951</v>
      </c>
      <c r="H3307" t="s">
        <v>65952</v>
      </c>
      <c r="I3307" t="s">
        <v>65953</v>
      </c>
      <c r="J3307" t="s">
        <v>65954</v>
      </c>
      <c r="K3307" t="s">
        <v>65955</v>
      </c>
      <c r="L3307" t="s">
        <v>65956</v>
      </c>
      <c r="M3307" t="s">
        <v>65957</v>
      </c>
      <c r="N3307" t="s">
        <v>65958</v>
      </c>
      <c r="O3307">
        <f>-570.766204212609 -101.241495626373 -740.76685658143</f>
        <v>-1412.774556420412</v>
      </c>
      <c r="P3307">
        <f>-593.334057255151 -95.5214759968179 -425.102268049414</f>
        <v>-1113.9578013013829</v>
      </c>
      <c r="Q3307">
        <f>-346.768034409502 -21.1798418430312 -461.442231477855</f>
        <v>-829.39010773038819</v>
      </c>
      <c r="R3307" t="s">
        <v>65959</v>
      </c>
      <c r="S3307" t="s">
        <v>65960</v>
      </c>
      <c r="T3307" t="s">
        <v>65961</v>
      </c>
      <c r="U3307" t="s">
        <v>65962</v>
      </c>
      <c r="V3307" t="s">
        <v>65963</v>
      </c>
      <c r="W3307" t="s">
        <v>65964</v>
      </c>
      <c r="X3307" t="s">
        <v>65965</v>
      </c>
      <c r="Y3307" t="s">
        <v>65966</v>
      </c>
    </row>
    <row r="3308" spans="1:25" x14ac:dyDescent="0.3">
      <c r="A3308">
        <v>165350</v>
      </c>
      <c r="B3308" t="s">
        <v>65967</v>
      </c>
      <c r="C3308" t="s">
        <v>65968</v>
      </c>
      <c r="D3308" t="s">
        <v>65969</v>
      </c>
      <c r="E3308" t="s">
        <v>65970</v>
      </c>
      <c r="F3308" t="s">
        <v>65971</v>
      </c>
      <c r="G3308" t="s">
        <v>65972</v>
      </c>
      <c r="H3308" t="s">
        <v>65973</v>
      </c>
      <c r="I3308" t="s">
        <v>65974</v>
      </c>
      <c r="J3308" t="s">
        <v>65975</v>
      </c>
      <c r="K3308" t="s">
        <v>65976</v>
      </c>
      <c r="L3308" t="s">
        <v>65977</v>
      </c>
      <c r="M3308" t="s">
        <v>65978</v>
      </c>
      <c r="N3308" t="s">
        <v>65979</v>
      </c>
      <c r="O3308">
        <f>-569.907515785229 -101.370922531402 -740.848683208527</f>
        <v>-1412.1271215251579</v>
      </c>
      <c r="P3308">
        <f>-593.288694940707 -95.4844989122419 -425.246241595367</f>
        <v>-1114.019435448316</v>
      </c>
      <c r="Q3308">
        <f>-346.970897872331 -20.0419706136003 -460.995700120829</f>
        <v>-828.00856860676026</v>
      </c>
      <c r="R3308" t="s">
        <v>65980</v>
      </c>
      <c r="S3308" t="s">
        <v>65981</v>
      </c>
      <c r="T3308" t="s">
        <v>65982</v>
      </c>
      <c r="U3308" t="s">
        <v>65983</v>
      </c>
      <c r="V3308" t="s">
        <v>65984</v>
      </c>
      <c r="W3308" t="s">
        <v>65985</v>
      </c>
      <c r="X3308" t="s">
        <v>65986</v>
      </c>
      <c r="Y3308" t="s">
        <v>65987</v>
      </c>
    </row>
    <row r="3309" spans="1:25" x14ac:dyDescent="0.3">
      <c r="A3309">
        <v>165400</v>
      </c>
      <c r="B3309" t="s">
        <v>65988</v>
      </c>
      <c r="C3309" t="s">
        <v>65989</v>
      </c>
      <c r="D3309" t="s">
        <v>65990</v>
      </c>
      <c r="E3309" t="s">
        <v>65991</v>
      </c>
      <c r="F3309" t="s">
        <v>65992</v>
      </c>
      <c r="G3309" t="s">
        <v>65993</v>
      </c>
      <c r="H3309" t="s">
        <v>65994</v>
      </c>
      <c r="I3309" t="s">
        <v>65995</v>
      </c>
      <c r="J3309" t="s">
        <v>65996</v>
      </c>
      <c r="K3309" t="s">
        <v>65997</v>
      </c>
      <c r="L3309" t="s">
        <v>65998</v>
      </c>
      <c r="M3309" t="s">
        <v>65999</v>
      </c>
      <c r="N3309" t="s">
        <v>66000</v>
      </c>
      <c r="O3309">
        <f>-570.077008645769 -101.21115957903 -740.838108192892</f>
        <v>-1412.1262764176909</v>
      </c>
      <c r="P3309">
        <f>-593.740077100422 -95.2801592243339 -425.257694537483</f>
        <v>-1114.2779308622389</v>
      </c>
      <c r="Q3309">
        <f>-347.67192207996 -18.7933746220787 -460.503552995221</f>
        <v>-826.96884969725966</v>
      </c>
      <c r="R3309" t="s">
        <v>66001</v>
      </c>
      <c r="S3309" t="s">
        <v>66002</v>
      </c>
      <c r="T3309" t="s">
        <v>66003</v>
      </c>
      <c r="U3309" t="s">
        <v>66004</v>
      </c>
      <c r="V3309" t="s">
        <v>66005</v>
      </c>
      <c r="W3309" t="s">
        <v>66006</v>
      </c>
      <c r="X3309" t="s">
        <v>66007</v>
      </c>
      <c r="Y3309" t="s">
        <v>66008</v>
      </c>
    </row>
    <row r="3310" spans="1:25" x14ac:dyDescent="0.3">
      <c r="A3310">
        <v>165450</v>
      </c>
      <c r="B3310" t="s">
        <v>66009</v>
      </c>
      <c r="C3310" t="s">
        <v>66010</v>
      </c>
      <c r="D3310" t="s">
        <v>66011</v>
      </c>
      <c r="E3310" t="s">
        <v>66012</v>
      </c>
      <c r="F3310" t="s">
        <v>66013</v>
      </c>
      <c r="G3310" t="s">
        <v>66014</v>
      </c>
      <c r="H3310" t="s">
        <v>66015</v>
      </c>
      <c r="I3310" t="s">
        <v>66016</v>
      </c>
      <c r="J3310" t="s">
        <v>66017</v>
      </c>
      <c r="K3310" t="s">
        <v>66018</v>
      </c>
      <c r="L3310" t="s">
        <v>66019</v>
      </c>
      <c r="M3310" t="s">
        <v>66020</v>
      </c>
      <c r="N3310" t="s">
        <v>66021</v>
      </c>
      <c r="O3310">
        <f>-569.160946914422 -101.505610640019 -740.897018003546</f>
        <v>-1411.563575557987</v>
      </c>
      <c r="P3310">
        <f>-593.52856183428 -95.2148135006885 -425.377132406058</f>
        <v>-1114.1205077410266</v>
      </c>
      <c r="Q3310">
        <f>-348.002608018715 -16.3420260631832 -459.113035507437</f>
        <v>-823.45766958933518</v>
      </c>
      <c r="R3310" t="s">
        <v>66022</v>
      </c>
      <c r="S3310" t="s">
        <v>66023</v>
      </c>
      <c r="T3310" t="s">
        <v>66024</v>
      </c>
      <c r="U3310" t="s">
        <v>66025</v>
      </c>
      <c r="V3310" t="s">
        <v>66026</v>
      </c>
      <c r="W3310" t="s">
        <v>66027</v>
      </c>
      <c r="X3310" t="s">
        <v>66028</v>
      </c>
      <c r="Y3310" t="s">
        <v>66029</v>
      </c>
    </row>
    <row r="3311" spans="1:25" x14ac:dyDescent="0.3">
      <c r="A3311">
        <v>165500</v>
      </c>
      <c r="B3311" t="s">
        <v>66030</v>
      </c>
      <c r="C3311" t="s">
        <v>66031</v>
      </c>
      <c r="D3311" t="s">
        <v>66032</v>
      </c>
      <c r="E3311" t="s">
        <v>66033</v>
      </c>
      <c r="F3311" t="s">
        <v>66034</v>
      </c>
      <c r="G3311" t="s">
        <v>66035</v>
      </c>
      <c r="H3311" t="s">
        <v>66036</v>
      </c>
      <c r="I3311" t="s">
        <v>66037</v>
      </c>
      <c r="J3311" t="s">
        <v>66038</v>
      </c>
      <c r="K3311" t="s">
        <v>66039</v>
      </c>
      <c r="L3311" t="s">
        <v>66040</v>
      </c>
      <c r="M3311" t="s">
        <v>66041</v>
      </c>
      <c r="N3311" t="s">
        <v>66042</v>
      </c>
      <c r="O3311">
        <f>-569.413005815567 -101.076055885628 -740.87914783458</f>
        <v>-1411.3682095357749</v>
      </c>
      <c r="P3311">
        <f>-594.248125967819 -94.5773694369907 -425.3999284748</f>
        <v>-1114.2254238796097</v>
      </c>
      <c r="Q3311">
        <f>-349.061192661463 -14.3121374066748 -458.307230593995</f>
        <v>-821.68056066213285</v>
      </c>
      <c r="R3311" t="s">
        <v>66043</v>
      </c>
      <c r="S3311" t="s">
        <v>66044</v>
      </c>
      <c r="T3311" t="s">
        <v>66045</v>
      </c>
      <c r="U3311" t="s">
        <v>66046</v>
      </c>
      <c r="V3311" t="s">
        <v>66047</v>
      </c>
      <c r="W3311" t="s">
        <v>66048</v>
      </c>
      <c r="X3311" t="s">
        <v>66049</v>
      </c>
      <c r="Y3311" t="s">
        <v>66050</v>
      </c>
    </row>
    <row r="3312" spans="1:25" x14ac:dyDescent="0.3">
      <c r="A3312">
        <v>165550</v>
      </c>
      <c r="B3312" t="s">
        <v>66051</v>
      </c>
      <c r="C3312" t="s">
        <v>66052</v>
      </c>
      <c r="D3312" t="s">
        <v>66053</v>
      </c>
      <c r="E3312" t="s">
        <v>66054</v>
      </c>
      <c r="F3312" t="s">
        <v>66055</v>
      </c>
      <c r="G3312" t="s">
        <v>66056</v>
      </c>
      <c r="H3312" t="s">
        <v>66057</v>
      </c>
      <c r="I3312" t="s">
        <v>66058</v>
      </c>
      <c r="J3312" t="s">
        <v>66059</v>
      </c>
      <c r="K3312" t="s">
        <v>66060</v>
      </c>
      <c r="L3312" t="s">
        <v>66061</v>
      </c>
      <c r="M3312" t="s">
        <v>66062</v>
      </c>
      <c r="N3312" t="s">
        <v>66063</v>
      </c>
      <c r="O3312">
        <f>-569.714840028446 -100.551910829854 -741.162291020615</f>
        <v>-1411.4290418789151</v>
      </c>
      <c r="P3312">
        <f>-595.658186866117 -93.709041994923 -425.779573768102</f>
        <v>-1115.146802629142</v>
      </c>
      <c r="Q3312">
        <f>-351.220860273279 -10.5827257921146 -457.123235001433</f>
        <v>-818.92682106682662</v>
      </c>
      <c r="R3312" t="s">
        <v>66064</v>
      </c>
      <c r="S3312" t="s">
        <v>66065</v>
      </c>
      <c r="T3312" t="s">
        <v>66066</v>
      </c>
      <c r="U3312" t="s">
        <v>66067</v>
      </c>
      <c r="V3312" t="s">
        <v>66068</v>
      </c>
      <c r="W3312" t="s">
        <v>66069</v>
      </c>
      <c r="X3312" t="s">
        <v>66070</v>
      </c>
      <c r="Y3312" t="s">
        <v>66071</v>
      </c>
    </row>
    <row r="3313" spans="1:25" x14ac:dyDescent="0.3">
      <c r="A3313">
        <v>165600</v>
      </c>
      <c r="B3313" t="s">
        <v>66072</v>
      </c>
      <c r="C3313" t="s">
        <v>66073</v>
      </c>
      <c r="D3313" t="s">
        <v>66074</v>
      </c>
      <c r="E3313" t="s">
        <v>66075</v>
      </c>
      <c r="F3313" t="s">
        <v>66076</v>
      </c>
      <c r="G3313" t="s">
        <v>66077</v>
      </c>
      <c r="H3313" t="s">
        <v>66078</v>
      </c>
      <c r="I3313" t="s">
        <v>66079</v>
      </c>
      <c r="J3313" t="s">
        <v>66080</v>
      </c>
      <c r="K3313" t="s">
        <v>66081</v>
      </c>
      <c r="L3313" t="s">
        <v>66082</v>
      </c>
      <c r="M3313" t="s">
        <v>66083</v>
      </c>
      <c r="N3313" t="s">
        <v>66084</v>
      </c>
      <c r="O3313">
        <f>-570.453570625036 -100.289057553451 -741.298920110991</f>
        <v>-1412.0415482894782</v>
      </c>
      <c r="P3313">
        <f>-596.851883377188 -93.4369094953116 -425.95404709575</f>
        <v>-1116.2428399682497</v>
      </c>
      <c r="Q3313">
        <f>-352.804163956038 -8.887921090079 -456.518905008287</f>
        <v>-818.21099005440396</v>
      </c>
      <c r="R3313" t="s">
        <v>66085</v>
      </c>
      <c r="S3313" t="s">
        <v>66086</v>
      </c>
      <c r="T3313" t="s">
        <v>66087</v>
      </c>
      <c r="U3313" t="s">
        <v>66088</v>
      </c>
      <c r="V3313" t="s">
        <v>66089</v>
      </c>
      <c r="W3313" t="s">
        <v>66090</v>
      </c>
      <c r="X3313" t="s">
        <v>66091</v>
      </c>
      <c r="Y3313" t="s">
        <v>66092</v>
      </c>
    </row>
    <row r="3314" spans="1:25" x14ac:dyDescent="0.3">
      <c r="A3314">
        <v>165650</v>
      </c>
      <c r="B3314" t="s">
        <v>66093</v>
      </c>
      <c r="C3314" t="s">
        <v>66094</v>
      </c>
      <c r="D3314" t="s">
        <v>66095</v>
      </c>
      <c r="E3314" t="s">
        <v>66096</v>
      </c>
      <c r="F3314" t="s">
        <v>66097</v>
      </c>
      <c r="G3314" t="s">
        <v>66098</v>
      </c>
      <c r="H3314" t="s">
        <v>66099</v>
      </c>
      <c r="I3314" t="s">
        <v>66100</v>
      </c>
      <c r="J3314" t="s">
        <v>66101</v>
      </c>
      <c r="K3314" t="s">
        <v>66102</v>
      </c>
      <c r="L3314" t="s">
        <v>66103</v>
      </c>
      <c r="M3314" t="s">
        <v>66104</v>
      </c>
      <c r="N3314" t="s">
        <v>66105</v>
      </c>
      <c r="O3314">
        <f>-572.038335869504 -99.670151389212 -741.889108130559</f>
        <v>-1413.5975953892748</v>
      </c>
      <c r="P3314">
        <f>-599.267221068741 -93.2037820854347 -426.606838963498</f>
        <v>-1119.0778421176738</v>
      </c>
      <c r="Q3314">
        <f>-355.868753702227 -6.40691267803989 -456.026792849143</f>
        <v>-818.30245922940992</v>
      </c>
      <c r="R3314" t="s">
        <v>66106</v>
      </c>
      <c r="S3314" t="s">
        <v>66107</v>
      </c>
      <c r="T3314" t="s">
        <v>66108</v>
      </c>
      <c r="U3314" t="s">
        <v>66109</v>
      </c>
      <c r="V3314" t="s">
        <v>66110</v>
      </c>
      <c r="W3314" t="s">
        <v>66111</v>
      </c>
      <c r="X3314" t="s">
        <v>66112</v>
      </c>
      <c r="Y3314" t="s">
        <v>66113</v>
      </c>
    </row>
    <row r="3315" spans="1:25" x14ac:dyDescent="0.3">
      <c r="A3315">
        <v>165700</v>
      </c>
      <c r="B3315" t="s">
        <v>66114</v>
      </c>
      <c r="C3315" t="s">
        <v>66115</v>
      </c>
      <c r="D3315" t="s">
        <v>66116</v>
      </c>
      <c r="E3315" t="s">
        <v>66117</v>
      </c>
      <c r="F3315" t="s">
        <v>66118</v>
      </c>
      <c r="G3315" t="s">
        <v>66119</v>
      </c>
      <c r="H3315" t="s">
        <v>66120</v>
      </c>
      <c r="I3315" t="s">
        <v>66121</v>
      </c>
      <c r="J3315" t="s">
        <v>66122</v>
      </c>
      <c r="K3315" t="s">
        <v>66123</v>
      </c>
      <c r="L3315" t="s">
        <v>66124</v>
      </c>
      <c r="M3315" t="s">
        <v>66125</v>
      </c>
      <c r="N3315" t="s">
        <v>66126</v>
      </c>
      <c r="O3315">
        <f>-573.012971232671 -99.4084632559563 -742.154430759173</f>
        <v>-1414.5758652478003</v>
      </c>
      <c r="P3315">
        <f>-600.385425588569 -93.1483269378206 -426.880437501651</f>
        <v>-1120.4141900280406</v>
      </c>
      <c r="Q3315">
        <f>-357.146416871885 -5.81232340362416 -456.022565772984</f>
        <v>-818.98130604849314</v>
      </c>
      <c r="R3315" t="s">
        <v>66127</v>
      </c>
      <c r="S3315" t="s">
        <v>66128</v>
      </c>
      <c r="T3315" t="s">
        <v>66129</v>
      </c>
      <c r="U3315" t="s">
        <v>66130</v>
      </c>
      <c r="V3315" t="s">
        <v>66131</v>
      </c>
      <c r="W3315" t="s">
        <v>66132</v>
      </c>
      <c r="X3315" t="s">
        <v>66133</v>
      </c>
      <c r="Y3315" t="s">
        <v>66134</v>
      </c>
    </row>
    <row r="3316" spans="1:25" x14ac:dyDescent="0.3">
      <c r="A3316">
        <v>165750</v>
      </c>
      <c r="B3316" t="s">
        <v>66135</v>
      </c>
      <c r="C3316" t="s">
        <v>66136</v>
      </c>
      <c r="D3316" t="s">
        <v>66137</v>
      </c>
      <c r="E3316" t="s">
        <v>66138</v>
      </c>
      <c r="F3316" t="s">
        <v>66139</v>
      </c>
      <c r="G3316" t="s">
        <v>66140</v>
      </c>
      <c r="H3316" t="s">
        <v>66141</v>
      </c>
      <c r="I3316" t="s">
        <v>66142</v>
      </c>
      <c r="J3316" t="s">
        <v>66143</v>
      </c>
      <c r="K3316" t="s">
        <v>66144</v>
      </c>
      <c r="L3316" t="s">
        <v>66145</v>
      </c>
      <c r="M3316" t="s">
        <v>66146</v>
      </c>
      <c r="N3316" t="s">
        <v>66147</v>
      </c>
      <c r="O3316">
        <f>-575.245253281219 -98.0669665723562 -742.391294481308</f>
        <v>-1415.7035143348833</v>
      </c>
      <c r="P3316">
        <f>-602.665782879937 -92.6166414945613 -427.106237475289</f>
        <v>-1122.3886618497872</v>
      </c>
      <c r="Q3316">
        <f>-359.455023367241 -5.20062719364505 -456.24432246123</f>
        <v>-820.899973022116</v>
      </c>
      <c r="R3316" t="s">
        <v>66148</v>
      </c>
      <c r="S3316" t="s">
        <v>66149</v>
      </c>
      <c r="T3316" t="s">
        <v>66150</v>
      </c>
      <c r="U3316" t="s">
        <v>66151</v>
      </c>
      <c r="V3316" t="s">
        <v>66152</v>
      </c>
      <c r="W3316" t="s">
        <v>66153</v>
      </c>
      <c r="X3316" t="s">
        <v>66154</v>
      </c>
      <c r="Y3316" t="s">
        <v>66155</v>
      </c>
    </row>
    <row r="3317" spans="1:25" x14ac:dyDescent="0.3">
      <c r="A3317">
        <v>165800</v>
      </c>
      <c r="B3317" t="s">
        <v>66156</v>
      </c>
      <c r="C3317" t="s">
        <v>66157</v>
      </c>
      <c r="D3317" t="s">
        <v>66158</v>
      </c>
      <c r="E3317" t="s">
        <v>66159</v>
      </c>
      <c r="F3317" t="s">
        <v>66160</v>
      </c>
      <c r="G3317" t="s">
        <v>66161</v>
      </c>
      <c r="H3317" t="s">
        <v>66162</v>
      </c>
      <c r="I3317" t="s">
        <v>66163</v>
      </c>
      <c r="J3317" t="s">
        <v>66164</v>
      </c>
      <c r="K3317" t="s">
        <v>66165</v>
      </c>
      <c r="L3317" t="s">
        <v>66166</v>
      </c>
      <c r="M3317" t="s">
        <v>66167</v>
      </c>
      <c r="N3317" t="s">
        <v>66168</v>
      </c>
      <c r="O3317">
        <f>-576.41303989405 -97.5821828249408 -742.349739104149</f>
        <v>-1416.3449618231398</v>
      </c>
      <c r="P3317">
        <f>-603.8437281583 -92.4648841090684 -427.060107018093</f>
        <v>-1123.3687192854613</v>
      </c>
      <c r="Q3317">
        <f>-360.504739315098 -5.43992771008283 -456.297835321773</f>
        <v>-822.24250234695387</v>
      </c>
      <c r="R3317" t="s">
        <v>66169</v>
      </c>
      <c r="S3317" t="s">
        <v>66170</v>
      </c>
      <c r="T3317" t="s">
        <v>66171</v>
      </c>
      <c r="U3317" t="s">
        <v>66172</v>
      </c>
      <c r="V3317" t="s">
        <v>66173</v>
      </c>
      <c r="W3317" t="s">
        <v>66174</v>
      </c>
      <c r="X3317" t="s">
        <v>66175</v>
      </c>
      <c r="Y3317" t="s">
        <v>66176</v>
      </c>
    </row>
    <row r="3318" spans="1:25" x14ac:dyDescent="0.3">
      <c r="A3318">
        <v>165850</v>
      </c>
      <c r="B3318" t="s">
        <v>66177</v>
      </c>
      <c r="C3318" t="s">
        <v>66178</v>
      </c>
      <c r="D3318" t="s">
        <v>66179</v>
      </c>
      <c r="E3318" t="s">
        <v>66180</v>
      </c>
      <c r="F3318" t="s">
        <v>66181</v>
      </c>
      <c r="G3318" t="s">
        <v>66182</v>
      </c>
      <c r="H3318" t="s">
        <v>66183</v>
      </c>
      <c r="I3318" t="s">
        <v>66184</v>
      </c>
      <c r="J3318" t="s">
        <v>66185</v>
      </c>
      <c r="K3318" t="s">
        <v>66186</v>
      </c>
      <c r="L3318" t="s">
        <v>66187</v>
      </c>
      <c r="M3318" t="s">
        <v>66188</v>
      </c>
      <c r="N3318" t="s">
        <v>66189</v>
      </c>
      <c r="O3318">
        <f>-578.319261701128 -96.6604707222157 -742.320904660426</f>
        <v>-1417.3006370837697</v>
      </c>
      <c r="P3318">
        <f>-605.566605192871 -92.2770757307096 -427.004368060152</f>
        <v>-1124.8480489837325</v>
      </c>
      <c r="Q3318">
        <f>-361.760211305847 -6.58244625962153 -456.277635069629</f>
        <v>-824.62029263509748</v>
      </c>
      <c r="R3318" t="s">
        <v>66190</v>
      </c>
      <c r="S3318" t="s">
        <v>66191</v>
      </c>
      <c r="T3318" t="s">
        <v>66192</v>
      </c>
      <c r="U3318" t="s">
        <v>66193</v>
      </c>
      <c r="V3318" t="s">
        <v>66194</v>
      </c>
      <c r="W3318" t="s">
        <v>66195</v>
      </c>
      <c r="X3318" t="s">
        <v>66196</v>
      </c>
      <c r="Y3318" t="s">
        <v>66197</v>
      </c>
    </row>
    <row r="3319" spans="1:25" x14ac:dyDescent="0.3">
      <c r="A3319">
        <v>165900</v>
      </c>
      <c r="B3319" t="s">
        <v>66198</v>
      </c>
      <c r="C3319" t="s">
        <v>66199</v>
      </c>
      <c r="D3319" t="s">
        <v>66200</v>
      </c>
      <c r="E3319" t="s">
        <v>66201</v>
      </c>
      <c r="F3319" t="s">
        <v>66202</v>
      </c>
      <c r="G3319" t="s">
        <v>66203</v>
      </c>
      <c r="H3319" t="s">
        <v>66204</v>
      </c>
      <c r="I3319" t="s">
        <v>66205</v>
      </c>
      <c r="J3319" t="s">
        <v>66206</v>
      </c>
      <c r="K3319" t="s">
        <v>66207</v>
      </c>
      <c r="L3319" t="s">
        <v>66208</v>
      </c>
      <c r="M3319" t="s">
        <v>66209</v>
      </c>
      <c r="N3319" t="s">
        <v>66210</v>
      </c>
      <c r="O3319">
        <f>-579.137610818008 -96.1041722121888 -742.351707922525</f>
        <v>-1417.5934909527218</v>
      </c>
      <c r="P3319">
        <f>-606.417963912868 -91.7658001400222 -427.037439479002</f>
        <v>-1125.2212035318921</v>
      </c>
      <c r="Q3319">
        <f>-362.334796561797 -6.86738440649252 -456.325009993755</f>
        <v>-825.52719096204453</v>
      </c>
      <c r="R3319" t="s">
        <v>66211</v>
      </c>
      <c r="S3319" t="s">
        <v>66212</v>
      </c>
      <c r="T3319" t="s">
        <v>66213</v>
      </c>
      <c r="U3319" t="s">
        <v>66214</v>
      </c>
      <c r="V3319" t="s">
        <v>66215</v>
      </c>
      <c r="W3319" t="s">
        <v>66216</v>
      </c>
      <c r="X3319" t="s">
        <v>66217</v>
      </c>
      <c r="Y3319" t="s">
        <v>66218</v>
      </c>
    </row>
    <row r="3320" spans="1:25" x14ac:dyDescent="0.3">
      <c r="A3320">
        <v>165950</v>
      </c>
      <c r="B3320" t="s">
        <v>66219</v>
      </c>
      <c r="C3320" t="s">
        <v>66220</v>
      </c>
      <c r="D3320" t="s">
        <v>66221</v>
      </c>
      <c r="E3320" t="s">
        <v>66222</v>
      </c>
      <c r="F3320" t="s">
        <v>66223</v>
      </c>
      <c r="G3320" t="s">
        <v>66224</v>
      </c>
      <c r="H3320" t="s">
        <v>66225</v>
      </c>
      <c r="I3320" t="s">
        <v>66226</v>
      </c>
      <c r="J3320" t="s">
        <v>66227</v>
      </c>
      <c r="K3320" t="s">
        <v>66228</v>
      </c>
      <c r="L3320" t="s">
        <v>66229</v>
      </c>
      <c r="M3320" t="s">
        <v>66230</v>
      </c>
      <c r="N3320" t="s">
        <v>66231</v>
      </c>
      <c r="O3320">
        <f>-581.113279633834 -94.9515913752863 -742.431525183473</f>
        <v>-1418.4963961925932</v>
      </c>
      <c r="P3320">
        <f>-608.3618968821 -90.7906778619889 -427.112078615636</f>
        <v>-1126.2646533597249</v>
      </c>
      <c r="Q3320">
        <f>-363.807134026427 -7.1781374542453 -456.163222351555</f>
        <v>-827.14849383222736</v>
      </c>
      <c r="R3320" t="s">
        <v>66232</v>
      </c>
      <c r="S3320" t="s">
        <v>66233</v>
      </c>
      <c r="T3320" t="s">
        <v>66234</v>
      </c>
      <c r="U3320" t="s">
        <v>66235</v>
      </c>
      <c r="V3320" t="s">
        <v>66236</v>
      </c>
      <c r="W3320" t="s">
        <v>66237</v>
      </c>
      <c r="X3320" t="s">
        <v>66238</v>
      </c>
      <c r="Y3320" t="s">
        <v>66239</v>
      </c>
    </row>
    <row r="3321" spans="1:25" x14ac:dyDescent="0.3">
      <c r="A3321">
        <v>166000</v>
      </c>
      <c r="B3321" t="s">
        <v>66240</v>
      </c>
      <c r="C3321" t="s">
        <v>66241</v>
      </c>
      <c r="D3321" t="s">
        <v>66242</v>
      </c>
      <c r="E3321" t="s">
        <v>66243</v>
      </c>
      <c r="F3321" t="s">
        <v>66244</v>
      </c>
      <c r="G3321" t="s">
        <v>66245</v>
      </c>
      <c r="H3321" t="s">
        <v>66246</v>
      </c>
      <c r="I3321" t="s">
        <v>66247</v>
      </c>
      <c r="J3321" t="s">
        <v>66248</v>
      </c>
      <c r="K3321" t="s">
        <v>66249</v>
      </c>
      <c r="L3321" t="s">
        <v>66250</v>
      </c>
      <c r="M3321" t="s">
        <v>66251</v>
      </c>
      <c r="N3321" t="s">
        <v>66252</v>
      </c>
      <c r="O3321">
        <f>-581.681353189726 -94.5289066947644 -742.426514653902</f>
        <v>-1418.6367745383923</v>
      </c>
      <c r="P3321">
        <f>-608.939183839137 -90.4128566688326 -427.107239285362</f>
        <v>-1126.4592797933317</v>
      </c>
      <c r="Q3321">
        <f>-364.184720198958 -7.37009411383838 -456.110154295564</f>
        <v>-827.66496860836037</v>
      </c>
      <c r="R3321" t="s">
        <v>66253</v>
      </c>
      <c r="S3321" t="s">
        <v>66254</v>
      </c>
      <c r="T3321" t="s">
        <v>66255</v>
      </c>
      <c r="U3321" t="s">
        <v>66256</v>
      </c>
      <c r="V3321" t="s">
        <v>66257</v>
      </c>
      <c r="W3321" t="s">
        <v>66258</v>
      </c>
      <c r="X3321" t="s">
        <v>66259</v>
      </c>
      <c r="Y3321" t="s">
        <v>66260</v>
      </c>
    </row>
    <row r="3322" spans="1:25" x14ac:dyDescent="0.3">
      <c r="A3322">
        <v>166050</v>
      </c>
      <c r="B3322" t="s">
        <v>66261</v>
      </c>
      <c r="C3322" t="s">
        <v>66262</v>
      </c>
      <c r="D3322" t="s">
        <v>66263</v>
      </c>
      <c r="E3322" t="s">
        <v>66264</v>
      </c>
      <c r="F3322" t="s">
        <v>66265</v>
      </c>
      <c r="G3322" t="s">
        <v>66266</v>
      </c>
      <c r="H3322" t="s">
        <v>66267</v>
      </c>
      <c r="I3322" t="s">
        <v>66268</v>
      </c>
      <c r="J3322" t="s">
        <v>66269</v>
      </c>
      <c r="K3322" t="s">
        <v>66270</v>
      </c>
      <c r="L3322" t="s">
        <v>66271</v>
      </c>
      <c r="M3322" t="s">
        <v>66272</v>
      </c>
      <c r="N3322" t="s">
        <v>66273</v>
      </c>
      <c r="O3322">
        <f>-583.317705406932 -94.2856624168386 -742.043430553613</f>
        <v>-1419.6467983773837</v>
      </c>
      <c r="P3322">
        <f>-610.61003131065 -90.2081558710907 -426.726651788052</f>
        <v>-1127.5448389697926</v>
      </c>
      <c r="Q3322">
        <f>-365.461628522464 -8.27010309961498 -455.544454714934</f>
        <v>-829.27618633701297</v>
      </c>
      <c r="R3322" t="s">
        <v>66274</v>
      </c>
      <c r="S3322" t="s">
        <v>66275</v>
      </c>
      <c r="T3322" t="s">
        <v>66276</v>
      </c>
      <c r="U3322" t="s">
        <v>66277</v>
      </c>
      <c r="V3322" t="s">
        <v>66278</v>
      </c>
      <c r="W3322" t="s">
        <v>66279</v>
      </c>
      <c r="X3322" t="s">
        <v>66280</v>
      </c>
      <c r="Y3322" t="s">
        <v>66281</v>
      </c>
    </row>
    <row r="3323" spans="1:25" x14ac:dyDescent="0.3">
      <c r="A3323">
        <v>166100</v>
      </c>
      <c r="B3323" t="s">
        <v>66282</v>
      </c>
      <c r="C3323" t="s">
        <v>66283</v>
      </c>
      <c r="D3323" t="s">
        <v>66284</v>
      </c>
      <c r="E3323" t="s">
        <v>66285</v>
      </c>
      <c r="F3323" t="s">
        <v>66286</v>
      </c>
      <c r="G3323" t="s">
        <v>66287</v>
      </c>
      <c r="H3323" t="s">
        <v>66288</v>
      </c>
      <c r="I3323" t="s">
        <v>66289</v>
      </c>
      <c r="J3323" t="s">
        <v>66290</v>
      </c>
      <c r="K3323" t="s">
        <v>66291</v>
      </c>
      <c r="L3323" t="s">
        <v>66292</v>
      </c>
      <c r="M3323" t="s">
        <v>66293</v>
      </c>
      <c r="N3323" t="s">
        <v>66294</v>
      </c>
      <c r="O3323">
        <f>-583.399185086507 -94.0212564071071 -741.794245367818</f>
        <v>-1419.2146868614323</v>
      </c>
      <c r="P3323">
        <f>-610.929547753095 -89.6017840255356 -426.502666466997</f>
        <v>-1127.0339982456276</v>
      </c>
      <c r="Q3323">
        <f>-365.572857079606 -8.26253069472146 -455.244585843318</f>
        <v>-829.07997361764546</v>
      </c>
      <c r="R3323" t="s">
        <v>66295</v>
      </c>
      <c r="S3323" t="s">
        <v>66296</v>
      </c>
      <c r="T3323" t="s">
        <v>66297</v>
      </c>
      <c r="U3323" t="s">
        <v>66298</v>
      </c>
      <c r="V3323" t="s">
        <v>66299</v>
      </c>
      <c r="W3323" t="s">
        <v>66300</v>
      </c>
      <c r="X3323" t="s">
        <v>66301</v>
      </c>
      <c r="Y3323" t="s">
        <v>66302</v>
      </c>
    </row>
    <row r="3324" spans="1:25" x14ac:dyDescent="0.3">
      <c r="A3324">
        <v>166150</v>
      </c>
      <c r="B3324" t="s">
        <v>66303</v>
      </c>
      <c r="C3324" t="s">
        <v>66304</v>
      </c>
      <c r="D3324" t="s">
        <v>66305</v>
      </c>
      <c r="E3324" t="s">
        <v>66306</v>
      </c>
      <c r="F3324" t="s">
        <v>66307</v>
      </c>
      <c r="G3324" t="s">
        <v>66308</v>
      </c>
      <c r="H3324" t="s">
        <v>66309</v>
      </c>
      <c r="I3324" t="s">
        <v>66310</v>
      </c>
      <c r="J3324" t="s">
        <v>66311</v>
      </c>
      <c r="K3324" t="s">
        <v>66312</v>
      </c>
      <c r="L3324" t="s">
        <v>66313</v>
      </c>
      <c r="M3324" t="s">
        <v>66314</v>
      </c>
      <c r="N3324" t="s">
        <v>66315</v>
      </c>
      <c r="O3324">
        <f>-583.813445079676 -93.1371549323039 -741.510439624895</f>
        <v>-1418.4610396368748</v>
      </c>
      <c r="P3324">
        <f>-611.735638370188 -87.8382028814954 -426.266959012314</f>
        <v>-1125.8408002639974</v>
      </c>
      <c r="Q3324">
        <f>-366.124954128443 -7.14590458096067 -454.66046361467</f>
        <v>-827.93132232407368</v>
      </c>
      <c r="R3324" t="s">
        <v>66316</v>
      </c>
      <c r="S3324" t="s">
        <v>66317</v>
      </c>
      <c r="T3324" t="s">
        <v>66318</v>
      </c>
      <c r="U3324" t="s">
        <v>66319</v>
      </c>
      <c r="V3324" t="s">
        <v>66320</v>
      </c>
      <c r="W3324" t="s">
        <v>66321</v>
      </c>
      <c r="X3324" t="s">
        <v>66322</v>
      </c>
      <c r="Y3324" t="s">
        <v>66323</v>
      </c>
    </row>
    <row r="3325" spans="1:25" x14ac:dyDescent="0.3">
      <c r="A3325">
        <v>166200</v>
      </c>
      <c r="B3325" t="s">
        <v>66324</v>
      </c>
      <c r="C3325" t="s">
        <v>66325</v>
      </c>
      <c r="D3325" t="s">
        <v>66326</v>
      </c>
      <c r="E3325" t="s">
        <v>66327</v>
      </c>
      <c r="F3325" t="s">
        <v>66328</v>
      </c>
      <c r="G3325" t="s">
        <v>66329</v>
      </c>
      <c r="H3325" t="s">
        <v>66330</v>
      </c>
      <c r="I3325" t="s">
        <v>66331</v>
      </c>
      <c r="J3325" t="s">
        <v>66332</v>
      </c>
      <c r="K3325" t="s">
        <v>66333</v>
      </c>
      <c r="L3325" t="s">
        <v>66334</v>
      </c>
      <c r="M3325" t="s">
        <v>66335</v>
      </c>
      <c r="N3325" t="s">
        <v>66336</v>
      </c>
      <c r="O3325">
        <f>-584.083918747025 -92.7754745400925 -741.435165332761</f>
        <v>-1418.2945586198784</v>
      </c>
      <c r="P3325">
        <f>-611.900472596639 -87.3852068808467 -426.183920949714</f>
        <v>-1125.4696004271996</v>
      </c>
      <c r="Q3325">
        <f>-366.273644094647 -6.69105120091978 -454.43227289265</f>
        <v>-827.39696818821676</v>
      </c>
      <c r="R3325" t="s">
        <v>66337</v>
      </c>
      <c r="S3325" t="s">
        <v>66338</v>
      </c>
      <c r="T3325" t="s">
        <v>66339</v>
      </c>
      <c r="U3325" t="s">
        <v>66340</v>
      </c>
      <c r="V3325" t="s">
        <v>66341</v>
      </c>
      <c r="W3325" t="s">
        <v>66342</v>
      </c>
      <c r="X3325" t="s">
        <v>66343</v>
      </c>
      <c r="Y3325" t="s">
        <v>66344</v>
      </c>
    </row>
    <row r="3326" spans="1:25" x14ac:dyDescent="0.3">
      <c r="A3326">
        <v>166250</v>
      </c>
      <c r="B3326" t="s">
        <v>66345</v>
      </c>
      <c r="C3326" t="s">
        <v>66346</v>
      </c>
      <c r="D3326" t="s">
        <v>66347</v>
      </c>
      <c r="E3326" t="s">
        <v>66348</v>
      </c>
      <c r="F3326" t="s">
        <v>66349</v>
      </c>
      <c r="G3326" t="s">
        <v>66350</v>
      </c>
      <c r="H3326" t="s">
        <v>66351</v>
      </c>
      <c r="I3326" t="s">
        <v>66352</v>
      </c>
      <c r="J3326" t="s">
        <v>66353</v>
      </c>
      <c r="K3326" t="s">
        <v>66354</v>
      </c>
      <c r="L3326" t="s">
        <v>66355</v>
      </c>
      <c r="M3326" t="s">
        <v>66356</v>
      </c>
      <c r="N3326" t="s">
        <v>66357</v>
      </c>
      <c r="O3326">
        <f>-584.256985306394 -92.661595084775 -741.53233091962</f>
        <v>-1418.4509113107888</v>
      </c>
      <c r="P3326">
        <f>-611.833392937242 -87.2128429543743 -426.260971191663</f>
        <v>-1125.3072070832793</v>
      </c>
      <c r="Q3326">
        <f>-366.319957341335 -6.1252637087124 -454.368103489538</f>
        <v>-826.81332453958544</v>
      </c>
      <c r="R3326" t="s">
        <v>66358</v>
      </c>
      <c r="S3326" t="s">
        <v>66359</v>
      </c>
      <c r="T3326" t="s">
        <v>66360</v>
      </c>
      <c r="U3326" t="s">
        <v>66361</v>
      </c>
      <c r="V3326" t="s">
        <v>66362</v>
      </c>
      <c r="W3326" t="s">
        <v>66363</v>
      </c>
      <c r="X3326" t="s">
        <v>66364</v>
      </c>
      <c r="Y3326" t="s">
        <v>66365</v>
      </c>
    </row>
    <row r="3327" spans="1:25" x14ac:dyDescent="0.3">
      <c r="A3327">
        <v>166300</v>
      </c>
      <c r="B3327" t="s">
        <v>66366</v>
      </c>
      <c r="C3327" t="s">
        <v>66367</v>
      </c>
      <c r="D3327" t="s">
        <v>66368</v>
      </c>
      <c r="E3327" t="s">
        <v>66369</v>
      </c>
      <c r="F3327" t="s">
        <v>66370</v>
      </c>
      <c r="G3327" t="s">
        <v>66371</v>
      </c>
      <c r="H3327" t="s">
        <v>66372</v>
      </c>
      <c r="I3327" t="s">
        <v>66373</v>
      </c>
      <c r="J3327" t="s">
        <v>66374</v>
      </c>
      <c r="K3327" t="s">
        <v>66375</v>
      </c>
      <c r="L3327" t="s">
        <v>66376</v>
      </c>
      <c r="M3327" t="s">
        <v>66377</v>
      </c>
      <c r="N3327" t="s">
        <v>66378</v>
      </c>
      <c r="O3327">
        <f>-584.180414093306 -92.5577766153704 -741.638218220415</f>
        <v>-1418.3764089290912</v>
      </c>
      <c r="P3327">
        <f>-611.765436705737 -87.3067354063111 -426.364296708235</f>
        <v>-1125.4364688202832</v>
      </c>
      <c r="Q3327">
        <f>-366.352393373804 -5.93034110910568 -454.513092185732</f>
        <v>-826.79582666864167</v>
      </c>
      <c r="R3327" t="s">
        <v>66379</v>
      </c>
      <c r="S3327" t="s">
        <v>66380</v>
      </c>
      <c r="T3327" t="s">
        <v>66381</v>
      </c>
      <c r="U3327" t="s">
        <v>66382</v>
      </c>
      <c r="V3327" t="s">
        <v>66383</v>
      </c>
      <c r="W3327" t="s">
        <v>66384</v>
      </c>
      <c r="X3327" t="s">
        <v>66385</v>
      </c>
      <c r="Y3327" t="s">
        <v>66386</v>
      </c>
    </row>
    <row r="3328" spans="1:25" x14ac:dyDescent="0.3">
      <c r="A3328">
        <v>166350</v>
      </c>
      <c r="B3328" t="s">
        <v>66387</v>
      </c>
      <c r="C3328" t="s">
        <v>66388</v>
      </c>
      <c r="D3328" t="s">
        <v>66389</v>
      </c>
      <c r="E3328" t="s">
        <v>66390</v>
      </c>
      <c r="F3328" t="s">
        <v>66391</v>
      </c>
      <c r="G3328" t="s">
        <v>66392</v>
      </c>
      <c r="H3328" t="s">
        <v>66393</v>
      </c>
      <c r="I3328" t="s">
        <v>66394</v>
      </c>
      <c r="J3328" t="s">
        <v>66395</v>
      </c>
      <c r="K3328" t="s">
        <v>66396</v>
      </c>
      <c r="L3328" t="s">
        <v>66397</v>
      </c>
      <c r="M3328" t="s">
        <v>66398</v>
      </c>
      <c r="N3328" t="s">
        <v>66399</v>
      </c>
      <c r="O3328">
        <f>-584.101925550753 -91.662598262629 -741.93552242978</f>
        <v>-1417.700046243162</v>
      </c>
      <c r="P3328">
        <f>-611.778252435082 -86.6211841617887 -426.666122081575</f>
        <v>-1125.0655586784458</v>
      </c>
      <c r="Q3328">
        <f>-366.63849433656 -4.49097407973528 -455.006553615744</f>
        <v>-826.13602203203925</v>
      </c>
      <c r="R3328" t="s">
        <v>66400</v>
      </c>
      <c r="S3328" t="s">
        <v>66401</v>
      </c>
      <c r="T3328" t="s">
        <v>66402</v>
      </c>
      <c r="U3328" t="s">
        <v>66403</v>
      </c>
      <c r="V3328" t="s">
        <v>66404</v>
      </c>
      <c r="W3328" t="s">
        <v>66405</v>
      </c>
      <c r="X3328" t="s">
        <v>66406</v>
      </c>
      <c r="Y3328" t="s">
        <v>66407</v>
      </c>
    </row>
    <row r="3329" spans="1:25" x14ac:dyDescent="0.3">
      <c r="A3329">
        <v>166400</v>
      </c>
      <c r="B3329" t="s">
        <v>66408</v>
      </c>
      <c r="C3329" t="s">
        <v>66409</v>
      </c>
      <c r="D3329" t="s">
        <v>66410</v>
      </c>
      <c r="E3329" t="s">
        <v>66411</v>
      </c>
      <c r="F3329" t="s">
        <v>66412</v>
      </c>
      <c r="G3329" t="s">
        <v>66413</v>
      </c>
      <c r="H3329" t="s">
        <v>66414</v>
      </c>
      <c r="I3329" t="s">
        <v>66415</v>
      </c>
      <c r="J3329" t="s">
        <v>66416</v>
      </c>
      <c r="K3329" t="s">
        <v>66417</v>
      </c>
      <c r="L3329" t="s">
        <v>66418</v>
      </c>
      <c r="M3329" t="s">
        <v>66419</v>
      </c>
      <c r="N3329" t="s">
        <v>66420</v>
      </c>
      <c r="O3329">
        <f>-584.525304708954 -91.013018476621 -742.056812448664</f>
        <v>-1417.5951356342389</v>
      </c>
      <c r="P3329">
        <f>-612.072626674294 -86.2239270660084 -426.772075808748</f>
        <v>-1125.0686295490505</v>
      </c>
      <c r="Q3329">
        <f>-367.090280952163 -3.67029285619654 -455.243068093957</f>
        <v>-826.00364190231653</v>
      </c>
      <c r="R3329" t="s">
        <v>66421</v>
      </c>
      <c r="S3329" t="s">
        <v>66422</v>
      </c>
      <c r="T3329" t="s">
        <v>66423</v>
      </c>
      <c r="U3329" t="s">
        <v>66424</v>
      </c>
      <c r="V3329" t="s">
        <v>66425</v>
      </c>
      <c r="W3329" t="s">
        <v>66426</v>
      </c>
      <c r="X3329" t="s">
        <v>66427</v>
      </c>
      <c r="Y3329" t="s">
        <v>66428</v>
      </c>
    </row>
    <row r="3330" spans="1:25" x14ac:dyDescent="0.3">
      <c r="A3330">
        <v>166450</v>
      </c>
      <c r="B3330" t="s">
        <v>66429</v>
      </c>
      <c r="C3330" t="s">
        <v>66430</v>
      </c>
      <c r="D3330" t="s">
        <v>66431</v>
      </c>
      <c r="E3330" t="s">
        <v>66432</v>
      </c>
      <c r="F3330" t="s">
        <v>66433</v>
      </c>
      <c r="G3330" t="s">
        <v>66434</v>
      </c>
      <c r="H3330" t="s">
        <v>66435</v>
      </c>
      <c r="I3330" t="s">
        <v>66436</v>
      </c>
      <c r="J3330" t="s">
        <v>66437</v>
      </c>
      <c r="K3330" t="s">
        <v>66438</v>
      </c>
      <c r="L3330" t="s">
        <v>66439</v>
      </c>
      <c r="M3330" t="s">
        <v>66440</v>
      </c>
      <c r="N3330" t="s">
        <v>66441</v>
      </c>
      <c r="O3330">
        <f>-585.583119419591 -90.1275368557131 -742.410453440744</f>
        <v>-1418.1211097160481</v>
      </c>
      <c r="P3330">
        <f>-612.131007451436 -85.6081750876135 -427.036027804342</f>
        <v>-1124.7752103433913</v>
      </c>
      <c r="Q3330">
        <f>-367.351780281101 -2.58887190074091 -455.897383093206</f>
        <v>-825.8380352750479</v>
      </c>
      <c r="R3330" t="s">
        <v>66442</v>
      </c>
      <c r="S3330" t="s">
        <v>66443</v>
      </c>
      <c r="T3330" t="s">
        <v>66444</v>
      </c>
      <c r="U3330" t="s">
        <v>66445</v>
      </c>
      <c r="V3330" t="s">
        <v>66446</v>
      </c>
      <c r="W3330" t="s">
        <v>66447</v>
      </c>
      <c r="X3330" t="s">
        <v>66448</v>
      </c>
      <c r="Y3330" t="s">
        <v>66449</v>
      </c>
    </row>
    <row r="3331" spans="1:25" x14ac:dyDescent="0.3">
      <c r="A3331">
        <v>166500</v>
      </c>
      <c r="B3331" t="s">
        <v>66450</v>
      </c>
      <c r="C3331" t="s">
        <v>66451</v>
      </c>
      <c r="D3331" t="s">
        <v>66452</v>
      </c>
      <c r="E3331" t="s">
        <v>66453</v>
      </c>
      <c r="F3331" t="s">
        <v>66454</v>
      </c>
      <c r="G3331" t="s">
        <v>66455</v>
      </c>
      <c r="H3331" t="s">
        <v>66456</v>
      </c>
      <c r="I3331" t="s">
        <v>66457</v>
      </c>
      <c r="J3331" t="s">
        <v>66458</v>
      </c>
      <c r="K3331" t="s">
        <v>66459</v>
      </c>
      <c r="L3331" t="s">
        <v>66460</v>
      </c>
      <c r="M3331" t="s">
        <v>66461</v>
      </c>
      <c r="N3331" t="s">
        <v>66462</v>
      </c>
      <c r="O3331">
        <f>-586.06393742652 -89.4371773729767 -742.559322317446</f>
        <v>-1418.0604371169429</v>
      </c>
      <c r="P3331">
        <f>-612.054385590435 -84.9533496155026 -427.138018446823</f>
        <v>-1124.1457536527605</v>
      </c>
      <c r="Q3331">
        <f>-367.278262266754 -2.00166392254087 -456.219495572029</f>
        <v>-825.4994217613239</v>
      </c>
      <c r="R3331" t="s">
        <v>66463</v>
      </c>
      <c r="S3331" t="s">
        <v>66464</v>
      </c>
      <c r="T3331" t="s">
        <v>66465</v>
      </c>
      <c r="U3331" t="s">
        <v>66466</v>
      </c>
      <c r="V3331" t="s">
        <v>66467</v>
      </c>
      <c r="W3331" t="s">
        <v>66468</v>
      </c>
      <c r="X3331" t="s">
        <v>66469</v>
      </c>
      <c r="Y3331" t="s">
        <v>66470</v>
      </c>
    </row>
    <row r="3332" spans="1:25" x14ac:dyDescent="0.3">
      <c r="A3332">
        <v>166550</v>
      </c>
      <c r="B3332" t="s">
        <v>66471</v>
      </c>
      <c r="C3332" t="s">
        <v>66472</v>
      </c>
      <c r="D3332" t="s">
        <v>66473</v>
      </c>
      <c r="E3332" t="s">
        <v>66474</v>
      </c>
      <c r="F3332" t="s">
        <v>66475</v>
      </c>
      <c r="G3332" t="s">
        <v>66476</v>
      </c>
      <c r="H3332" t="s">
        <v>66477</v>
      </c>
      <c r="I3332" t="s">
        <v>66478</v>
      </c>
      <c r="J3332" t="s">
        <v>66479</v>
      </c>
      <c r="K3332" t="s">
        <v>66480</v>
      </c>
      <c r="L3332" t="s">
        <v>66481</v>
      </c>
      <c r="M3332" t="s">
        <v>66482</v>
      </c>
      <c r="N3332" t="s">
        <v>66483</v>
      </c>
      <c r="O3332">
        <f>-586.407284842605 -88.4278448624243 -742.765255534441</f>
        <v>-1417.6003852394704</v>
      </c>
      <c r="P3332">
        <f>-611.998638531734 -83.7986039905948 -427.313429673342</f>
        <v>-1123.1106721956708</v>
      </c>
      <c r="Q3332">
        <f>-367.131366267387 -1.28484162326309 -456.868672679033</f>
        <v>-825.28488056968308</v>
      </c>
      <c r="R3332" t="s">
        <v>66484</v>
      </c>
      <c r="S3332" t="s">
        <v>66485</v>
      </c>
      <c r="T3332" t="s">
        <v>66486</v>
      </c>
      <c r="U3332" t="s">
        <v>66487</v>
      </c>
      <c r="V3332" t="s">
        <v>66488</v>
      </c>
      <c r="W3332" t="s">
        <v>66489</v>
      </c>
      <c r="X3332" t="s">
        <v>66490</v>
      </c>
      <c r="Y3332" t="s">
        <v>66491</v>
      </c>
    </row>
    <row r="3333" spans="1:25" x14ac:dyDescent="0.3">
      <c r="A3333">
        <v>166600</v>
      </c>
      <c r="B3333" t="s">
        <v>66492</v>
      </c>
      <c r="C3333" t="s">
        <v>66493</v>
      </c>
      <c r="D3333" t="s">
        <v>66494</v>
      </c>
      <c r="E3333" t="s">
        <v>66495</v>
      </c>
      <c r="F3333" t="s">
        <v>66496</v>
      </c>
      <c r="G3333" t="s">
        <v>66497</v>
      </c>
      <c r="H3333" t="s">
        <v>66498</v>
      </c>
      <c r="I3333" t="s">
        <v>66499</v>
      </c>
      <c r="J3333" t="s">
        <v>66500</v>
      </c>
      <c r="K3333" t="s">
        <v>66501</v>
      </c>
      <c r="L3333" t="s">
        <v>66502</v>
      </c>
      <c r="M3333" t="s">
        <v>66503</v>
      </c>
      <c r="N3333" t="s">
        <v>66504</v>
      </c>
      <c r="O3333">
        <f>-586.642102653868 -87.8957362668925 -742.82392225391</f>
        <v>-1417.3617611746706</v>
      </c>
      <c r="P3333">
        <f>-612.123456226228 -83.1963817357556 -427.364333952294</f>
        <v>-1122.6841719142776</v>
      </c>
      <c r="Q3333">
        <f>-367.170367929574 -0.959861300724647 -456.981785321488</f>
        <v>-825.11201455178661</v>
      </c>
      <c r="R3333" t="s">
        <v>66505</v>
      </c>
      <c r="S3333" t="s">
        <v>66506</v>
      </c>
      <c r="T3333" t="s">
        <v>66507</v>
      </c>
      <c r="U3333" t="s">
        <v>66508</v>
      </c>
      <c r="V3333" t="s">
        <v>66509</v>
      </c>
      <c r="W3333" t="s">
        <v>66510</v>
      </c>
      <c r="X3333" t="s">
        <v>66511</v>
      </c>
      <c r="Y3333" t="s">
        <v>66512</v>
      </c>
    </row>
    <row r="3334" spans="1:25" x14ac:dyDescent="0.3">
      <c r="A3334">
        <v>166650</v>
      </c>
      <c r="B3334" t="s">
        <v>66513</v>
      </c>
      <c r="C3334" t="s">
        <v>66514</v>
      </c>
      <c r="D3334" t="s">
        <v>66515</v>
      </c>
      <c r="E3334" t="s">
        <v>66516</v>
      </c>
      <c r="F3334" t="s">
        <v>66517</v>
      </c>
      <c r="G3334" t="s">
        <v>66518</v>
      </c>
      <c r="H3334" t="s">
        <v>66519</v>
      </c>
      <c r="I3334" t="s">
        <v>66520</v>
      </c>
      <c r="J3334" t="s">
        <v>66521</v>
      </c>
      <c r="K3334" t="s">
        <v>66522</v>
      </c>
      <c r="L3334" t="s">
        <v>66523</v>
      </c>
      <c r="M3334" t="s">
        <v>66524</v>
      </c>
      <c r="N3334" t="s">
        <v>66525</v>
      </c>
      <c r="O3334">
        <f>-586.78436982657 -87.0288035612398 -742.686533109365</f>
        <v>-1416.4997064971749</v>
      </c>
      <c r="P3334">
        <f>-611.992408149981 -82.3121876972184 -427.20514940583</f>
        <v>-1121.5097452530295</v>
      </c>
      <c r="Q3334">
        <f>-366.817866702279 -0.807743242205717 -457.013333132594</f>
        <v>-824.63894307707869</v>
      </c>
      <c r="R3334" t="s">
        <v>66526</v>
      </c>
      <c r="S3334" t="s">
        <v>66527</v>
      </c>
      <c r="T3334" t="s">
        <v>66528</v>
      </c>
      <c r="U3334" t="s">
        <v>66529</v>
      </c>
      <c r="V3334" t="s">
        <v>66530</v>
      </c>
      <c r="W3334" t="s">
        <v>66531</v>
      </c>
      <c r="X3334" t="s">
        <v>66532</v>
      </c>
      <c r="Y3334" t="s">
        <v>66533</v>
      </c>
    </row>
    <row r="3335" spans="1:25" x14ac:dyDescent="0.3">
      <c r="A3335">
        <v>166700</v>
      </c>
      <c r="B3335" t="s">
        <v>66534</v>
      </c>
      <c r="C3335" t="s">
        <v>66535</v>
      </c>
      <c r="D3335" t="s">
        <v>66536</v>
      </c>
      <c r="E3335" t="s">
        <v>66537</v>
      </c>
      <c r="F3335" t="s">
        <v>66538</v>
      </c>
      <c r="G3335" t="s">
        <v>66539</v>
      </c>
      <c r="H3335" t="s">
        <v>66540</v>
      </c>
      <c r="I3335" t="s">
        <v>66541</v>
      </c>
      <c r="J3335" t="s">
        <v>66542</v>
      </c>
      <c r="K3335" t="s">
        <v>66543</v>
      </c>
      <c r="L3335" t="s">
        <v>66544</v>
      </c>
      <c r="M3335" t="s">
        <v>66545</v>
      </c>
      <c r="N3335" t="s">
        <v>66546</v>
      </c>
      <c r="O3335">
        <f>-586.964314112047 -86.9306726472323 -742.565224908406</f>
        <v>-1416.4602116676851</v>
      </c>
      <c r="P3335">
        <f>-612.003473082514 -82.0707288541834 -427.072470421937</f>
        <v>-1121.1466723586343</v>
      </c>
      <c r="Q3335">
        <f>-366.680130066499 -1.05579174099223 -456.990831059297</f>
        <v>-824.72675286678827</v>
      </c>
      <c r="R3335" t="s">
        <v>66547</v>
      </c>
      <c r="S3335" t="s">
        <v>66548</v>
      </c>
      <c r="T3335" t="s">
        <v>66549</v>
      </c>
      <c r="U3335" t="s">
        <v>66550</v>
      </c>
      <c r="V3335" t="s">
        <v>66551</v>
      </c>
      <c r="W3335" t="s">
        <v>66552</v>
      </c>
      <c r="X3335" t="s">
        <v>66553</v>
      </c>
      <c r="Y3335" t="s">
        <v>66554</v>
      </c>
    </row>
    <row r="3336" spans="1:25" x14ac:dyDescent="0.3">
      <c r="A3336">
        <v>166750</v>
      </c>
      <c r="B3336" t="s">
        <v>66555</v>
      </c>
      <c r="C3336" t="s">
        <v>66556</v>
      </c>
      <c r="D3336" t="s">
        <v>66557</v>
      </c>
      <c r="E3336" t="s">
        <v>66558</v>
      </c>
      <c r="F3336" t="s">
        <v>66559</v>
      </c>
      <c r="G3336" t="s">
        <v>66560</v>
      </c>
      <c r="H3336" t="s">
        <v>66561</v>
      </c>
      <c r="I3336" t="s">
        <v>66562</v>
      </c>
      <c r="J3336" t="s">
        <v>66563</v>
      </c>
      <c r="K3336" t="s">
        <v>66564</v>
      </c>
      <c r="L3336" t="s">
        <v>66565</v>
      </c>
      <c r="M3336" t="s">
        <v>66566</v>
      </c>
      <c r="N3336" t="s">
        <v>66567</v>
      </c>
      <c r="O3336">
        <f>-587.658997629748 -86.2057861668268 -742.241586915262</f>
        <v>-1416.1063707118369</v>
      </c>
      <c r="P3336">
        <f>-612.401186936622 -81.078912836117 -426.729682181848</f>
        <v>-1120.209781954587</v>
      </c>
      <c r="Q3336">
        <f>-366.706215053834 -1.24615124586386 -456.77597616447</f>
        <v>-824.72834246416789</v>
      </c>
      <c r="R3336" t="s">
        <v>66568</v>
      </c>
      <c r="S3336" t="s">
        <v>66569</v>
      </c>
      <c r="T3336" t="s">
        <v>66570</v>
      </c>
      <c r="U3336" t="s">
        <v>66571</v>
      </c>
      <c r="V3336" t="s">
        <v>66572</v>
      </c>
      <c r="W3336" t="s">
        <v>66573</v>
      </c>
      <c r="X3336" t="s">
        <v>66574</v>
      </c>
      <c r="Y3336" t="s">
        <v>66575</v>
      </c>
    </row>
    <row r="3337" spans="1:25" x14ac:dyDescent="0.3">
      <c r="A3337">
        <v>166800</v>
      </c>
      <c r="B3337" t="s">
        <v>66576</v>
      </c>
      <c r="C3337" t="s">
        <v>66577</v>
      </c>
      <c r="D3337" t="s">
        <v>66578</v>
      </c>
      <c r="E3337" t="s">
        <v>66579</v>
      </c>
      <c r="F3337" t="s">
        <v>66580</v>
      </c>
      <c r="G3337" t="s">
        <v>66581</v>
      </c>
      <c r="H3337" t="s">
        <v>66582</v>
      </c>
      <c r="I3337" t="s">
        <v>66583</v>
      </c>
      <c r="J3337" t="s">
        <v>66584</v>
      </c>
      <c r="K3337" t="s">
        <v>66585</v>
      </c>
      <c r="L3337" t="s">
        <v>66586</v>
      </c>
      <c r="M3337" t="s">
        <v>66587</v>
      </c>
      <c r="N3337" t="s">
        <v>66588</v>
      </c>
      <c r="O3337">
        <f>-587.728587758832 -86.1829090109154 -742.019421115957</f>
        <v>-1415.9309178857043</v>
      </c>
      <c r="P3337">
        <f>-612.585124887091 -80.8189763180131 -426.520670776041</f>
        <v>-1119.9247719811451</v>
      </c>
      <c r="Q3337">
        <f>-366.742950907274 -1.46962377014512 -456.643146109367</f>
        <v>-824.85572078678615</v>
      </c>
      <c r="R3337" t="s">
        <v>66589</v>
      </c>
      <c r="S3337" t="s">
        <v>66590</v>
      </c>
      <c r="T3337" t="s">
        <v>66591</v>
      </c>
      <c r="U3337" t="s">
        <v>66592</v>
      </c>
      <c r="V3337" t="s">
        <v>66593</v>
      </c>
      <c r="W3337" t="s">
        <v>66594</v>
      </c>
      <c r="X3337" t="s">
        <v>66595</v>
      </c>
      <c r="Y3337" t="s">
        <v>66596</v>
      </c>
    </row>
    <row r="3338" spans="1:25" x14ac:dyDescent="0.3">
      <c r="A3338">
        <v>166850</v>
      </c>
      <c r="B3338" t="s">
        <v>66597</v>
      </c>
      <c r="C3338" t="s">
        <v>66598</v>
      </c>
      <c r="D3338" t="s">
        <v>66599</v>
      </c>
      <c r="E3338" t="s">
        <v>66600</v>
      </c>
      <c r="F3338" t="s">
        <v>66601</v>
      </c>
      <c r="G3338" t="s">
        <v>66602</v>
      </c>
      <c r="H3338" t="s">
        <v>66603</v>
      </c>
      <c r="I3338" t="s">
        <v>66604</v>
      </c>
      <c r="J3338" t="s">
        <v>66605</v>
      </c>
      <c r="K3338" t="s">
        <v>66606</v>
      </c>
      <c r="L3338" t="s">
        <v>66607</v>
      </c>
      <c r="M3338" t="s">
        <v>66608</v>
      </c>
      <c r="N3338" t="s">
        <v>66609</v>
      </c>
      <c r="O3338">
        <f>-587.860888944873 -85.6838976578143 -741.577353487705</f>
        <v>-1415.1221400903923</v>
      </c>
      <c r="P3338">
        <f>-612.769860076384 -80.2645263905981 -426.083500322655</f>
        <v>-1119.1178867896372</v>
      </c>
      <c r="Q3338">
        <f>-366.620208950433 -1.82946752676858 -456.088957403547</f>
        <v>-824.53863388074853</v>
      </c>
      <c r="R3338" t="s">
        <v>66610</v>
      </c>
      <c r="S3338" t="s">
        <v>66611</v>
      </c>
      <c r="T3338" t="s">
        <v>66612</v>
      </c>
      <c r="U3338" t="s">
        <v>66613</v>
      </c>
      <c r="V3338" t="s">
        <v>66614</v>
      </c>
      <c r="W3338" t="s">
        <v>66615</v>
      </c>
      <c r="X3338" t="s">
        <v>66616</v>
      </c>
      <c r="Y3338" t="s">
        <v>66617</v>
      </c>
    </row>
    <row r="3339" spans="1:25" x14ac:dyDescent="0.3">
      <c r="A3339">
        <v>166900</v>
      </c>
      <c r="B3339" t="s">
        <v>66618</v>
      </c>
      <c r="C3339" t="s">
        <v>66619</v>
      </c>
      <c r="D3339" t="s">
        <v>66620</v>
      </c>
      <c r="E3339" t="s">
        <v>66621</v>
      </c>
      <c r="F3339" t="s">
        <v>66622</v>
      </c>
      <c r="G3339" t="s">
        <v>66623</v>
      </c>
      <c r="H3339" t="s">
        <v>66624</v>
      </c>
      <c r="I3339" t="s">
        <v>66625</v>
      </c>
      <c r="J3339" t="s">
        <v>66626</v>
      </c>
      <c r="K3339" t="s">
        <v>66627</v>
      </c>
      <c r="L3339" t="s">
        <v>66628</v>
      </c>
      <c r="M3339" t="s">
        <v>66629</v>
      </c>
      <c r="N3339" t="s">
        <v>66630</v>
      </c>
      <c r="O3339">
        <f>-587.346602311848 -85.7609582438245 -741.447069689973</f>
        <v>-1414.5546302456455</v>
      </c>
      <c r="P3339">
        <f>-612.345848705264 -80.3862639626567 -425.959601180569</f>
        <v>-1118.6917138484896</v>
      </c>
      <c r="Q3339">
        <f>-366.074447835127 -2.33100433149424 -455.956375327372</f>
        <v>-824.36182749399313</v>
      </c>
      <c r="R3339" t="s">
        <v>66631</v>
      </c>
      <c r="S3339" t="s">
        <v>66632</v>
      </c>
      <c r="T3339" t="s">
        <v>66633</v>
      </c>
      <c r="U3339" t="s">
        <v>66634</v>
      </c>
      <c r="V3339" t="s">
        <v>66635</v>
      </c>
      <c r="W3339" t="s">
        <v>66636</v>
      </c>
      <c r="X3339" t="s">
        <v>66637</v>
      </c>
      <c r="Y3339" t="s">
        <v>66638</v>
      </c>
    </row>
    <row r="3340" spans="1:25" x14ac:dyDescent="0.3">
      <c r="A3340">
        <v>166950</v>
      </c>
      <c r="B3340" t="s">
        <v>66639</v>
      </c>
      <c r="C3340" t="s">
        <v>66640</v>
      </c>
      <c r="D3340" t="s">
        <v>66641</v>
      </c>
      <c r="E3340" t="s">
        <v>66642</v>
      </c>
      <c r="F3340" t="s">
        <v>66643</v>
      </c>
      <c r="G3340" t="s">
        <v>66644</v>
      </c>
      <c r="H3340" t="s">
        <v>66645</v>
      </c>
      <c r="I3340" t="s">
        <v>66646</v>
      </c>
      <c r="J3340" t="s">
        <v>66647</v>
      </c>
      <c r="K3340" t="s">
        <v>66648</v>
      </c>
      <c r="L3340" t="s">
        <v>66649</v>
      </c>
      <c r="M3340" t="s">
        <v>66650</v>
      </c>
      <c r="N3340" t="s">
        <v>66651</v>
      </c>
      <c r="O3340">
        <f>-586.626211728431 -85.8108570671386 -741.361427282469</f>
        <v>-1413.7984960780386</v>
      </c>
      <c r="P3340">
        <f>-612.008212283921 -80.3704656326209 -425.905562517882</f>
        <v>-1118.284240434424</v>
      </c>
      <c r="Q3340">
        <f>-365.580210839954 -2.80393730413567 -455.884392638647</f>
        <v>-824.26854078273664</v>
      </c>
      <c r="R3340" t="s">
        <v>66652</v>
      </c>
      <c r="S3340" t="s">
        <v>66653</v>
      </c>
      <c r="T3340" t="s">
        <v>66654</v>
      </c>
      <c r="U3340" t="s">
        <v>66655</v>
      </c>
      <c r="V3340" t="s">
        <v>66656</v>
      </c>
      <c r="W3340" t="s">
        <v>66657</v>
      </c>
      <c r="X3340" t="s">
        <v>66658</v>
      </c>
      <c r="Y3340" t="s">
        <v>66659</v>
      </c>
    </row>
    <row r="3341" spans="1:25" x14ac:dyDescent="0.3">
      <c r="A3341">
        <v>167000</v>
      </c>
      <c r="B3341" t="s">
        <v>66660</v>
      </c>
      <c r="C3341" t="s">
        <v>66661</v>
      </c>
      <c r="D3341" t="s">
        <v>66662</v>
      </c>
      <c r="E3341" t="s">
        <v>66663</v>
      </c>
      <c r="F3341" t="s">
        <v>66664</v>
      </c>
      <c r="G3341" t="s">
        <v>66665</v>
      </c>
      <c r="H3341" t="s">
        <v>66666</v>
      </c>
      <c r="I3341" t="s">
        <v>66667</v>
      </c>
      <c r="J3341" t="s">
        <v>66668</v>
      </c>
      <c r="K3341" t="s">
        <v>66669</v>
      </c>
      <c r="L3341" t="s">
        <v>66670</v>
      </c>
      <c r="M3341" t="s">
        <v>66671</v>
      </c>
      <c r="N3341" t="s">
        <v>66672</v>
      </c>
      <c r="O3341">
        <f>-586.02197085422 -86.0158455089098 -741.374237844808</f>
        <v>-1413.4120542079377</v>
      </c>
      <c r="P3341">
        <f>-611.616732682784 -80.7892918090538 -425.932109553515</f>
        <v>-1118.3381340453527</v>
      </c>
      <c r="Q3341">
        <f>-365.168402861079 -3.22353064333817 -455.745587075048</f>
        <v>-824.13752057946522</v>
      </c>
      <c r="R3341" t="s">
        <v>66673</v>
      </c>
      <c r="S3341" t="s">
        <v>66674</v>
      </c>
      <c r="T3341" t="s">
        <v>66675</v>
      </c>
      <c r="U3341" t="s">
        <v>66676</v>
      </c>
      <c r="V3341" t="s">
        <v>66677</v>
      </c>
      <c r="W3341" t="s">
        <v>66678</v>
      </c>
      <c r="X3341" t="s">
        <v>66679</v>
      </c>
      <c r="Y3341" t="s">
        <v>66680</v>
      </c>
    </row>
    <row r="3342" spans="1:25" x14ac:dyDescent="0.3">
      <c r="A3342">
        <v>167050</v>
      </c>
      <c r="B3342" t="s">
        <v>66681</v>
      </c>
      <c r="C3342" t="s">
        <v>66682</v>
      </c>
      <c r="D3342" t="s">
        <v>66683</v>
      </c>
      <c r="E3342" t="s">
        <v>66684</v>
      </c>
      <c r="F3342" t="s">
        <v>66685</v>
      </c>
      <c r="G3342" t="s">
        <v>66686</v>
      </c>
      <c r="H3342" t="s">
        <v>66687</v>
      </c>
      <c r="I3342" t="s">
        <v>66688</v>
      </c>
      <c r="J3342" t="s">
        <v>66689</v>
      </c>
      <c r="K3342" t="s">
        <v>66690</v>
      </c>
      <c r="L3342" t="s">
        <v>66691</v>
      </c>
      <c r="M3342" t="s">
        <v>66692</v>
      </c>
      <c r="N3342" t="s">
        <v>66693</v>
      </c>
      <c r="O3342">
        <f>-584.999259788246 -86.2312889234544 -741.619020207916</f>
        <v>-1412.8495689196166</v>
      </c>
      <c r="P3342">
        <f>-611.224641833771 -81.0744533715338 -426.227562835295</f>
        <v>-1118.5266580405996</v>
      </c>
      <c r="Q3342">
        <f>-364.831568807421 -3.13305811266908 -455.513248309344</f>
        <v>-823.47787522943406</v>
      </c>
      <c r="R3342" t="s">
        <v>66694</v>
      </c>
      <c r="S3342" t="s">
        <v>66695</v>
      </c>
      <c r="T3342" t="s">
        <v>66696</v>
      </c>
      <c r="U3342" t="s">
        <v>66697</v>
      </c>
      <c r="V3342" t="s">
        <v>66698</v>
      </c>
      <c r="W3342" t="s">
        <v>66699</v>
      </c>
      <c r="X3342" t="s">
        <v>66700</v>
      </c>
      <c r="Y3342" t="s">
        <v>66701</v>
      </c>
    </row>
    <row r="3343" spans="1:25" x14ac:dyDescent="0.3">
      <c r="A3343">
        <v>167100</v>
      </c>
      <c r="B3343" t="s">
        <v>66702</v>
      </c>
      <c r="C3343" t="s">
        <v>66703</v>
      </c>
      <c r="D3343" t="s">
        <v>66704</v>
      </c>
      <c r="E3343" t="s">
        <v>66705</v>
      </c>
      <c r="F3343" t="s">
        <v>66706</v>
      </c>
      <c r="G3343" t="s">
        <v>66707</v>
      </c>
      <c r="H3343" t="s">
        <v>66708</v>
      </c>
      <c r="I3343" t="s">
        <v>66709</v>
      </c>
      <c r="J3343" t="s">
        <v>66710</v>
      </c>
      <c r="K3343" t="s">
        <v>66711</v>
      </c>
      <c r="L3343" t="s">
        <v>66712</v>
      </c>
      <c r="M3343" t="s">
        <v>66713</v>
      </c>
      <c r="N3343" t="s">
        <v>66714</v>
      </c>
      <c r="O3343">
        <f>-584.539655146151 -86.1135575416245 -741.815116696421</f>
        <v>-1412.4683293841963</v>
      </c>
      <c r="P3343">
        <f>-611.105018229577 -81.109067251147 -426.449602053841</f>
        <v>-1118.6636875345648</v>
      </c>
      <c r="Q3343">
        <f>-364.802610728008 -2.75604989653338 -455.397372822645</f>
        <v>-822.95603344718643</v>
      </c>
      <c r="R3343" t="s">
        <v>66715</v>
      </c>
      <c r="S3343" t="s">
        <v>66716</v>
      </c>
      <c r="T3343" t="s">
        <v>66717</v>
      </c>
      <c r="U3343" t="s">
        <v>66718</v>
      </c>
      <c r="V3343" t="s">
        <v>66719</v>
      </c>
      <c r="W3343" t="s">
        <v>66720</v>
      </c>
      <c r="X3343" t="s">
        <v>66721</v>
      </c>
      <c r="Y3343" t="s">
        <v>66722</v>
      </c>
    </row>
    <row r="3344" spans="1:25" x14ac:dyDescent="0.3">
      <c r="A3344">
        <v>167150</v>
      </c>
      <c r="B3344" t="s">
        <v>66723</v>
      </c>
      <c r="C3344" t="s">
        <v>66724</v>
      </c>
      <c r="D3344" t="s">
        <v>66725</v>
      </c>
      <c r="E3344" t="s">
        <v>66726</v>
      </c>
      <c r="F3344" t="s">
        <v>66727</v>
      </c>
      <c r="G3344" t="s">
        <v>66728</v>
      </c>
      <c r="H3344" t="s">
        <v>66729</v>
      </c>
      <c r="I3344" t="s">
        <v>66730</v>
      </c>
      <c r="J3344" t="s">
        <v>66731</v>
      </c>
      <c r="K3344" t="s">
        <v>66732</v>
      </c>
      <c r="L3344" t="s">
        <v>66733</v>
      </c>
      <c r="M3344" t="s">
        <v>66734</v>
      </c>
      <c r="N3344" t="s">
        <v>66735</v>
      </c>
      <c r="O3344">
        <f>-583.932177446266 -86.5845078397221 -742.107451557746</f>
        <v>-1412.624136843734</v>
      </c>
      <c r="P3344">
        <f>-611.059146984771 -81.6224598633919 -426.788965245257</f>
        <v>-1119.4705720934198</v>
      </c>
      <c r="Q3344">
        <f>-364.925377561132 -2.52713851455007 -455.146978089642</f>
        <v>-822.59949416532413</v>
      </c>
      <c r="R3344" t="s">
        <v>66736</v>
      </c>
      <c r="S3344" t="s">
        <v>66737</v>
      </c>
      <c r="T3344" t="s">
        <v>66738</v>
      </c>
      <c r="U3344" t="s">
        <v>66739</v>
      </c>
      <c r="V3344" t="s">
        <v>66740</v>
      </c>
      <c r="W3344" t="s">
        <v>66741</v>
      </c>
      <c r="X3344" t="s">
        <v>66742</v>
      </c>
      <c r="Y3344" t="s">
        <v>66743</v>
      </c>
    </row>
    <row r="3345" spans="1:25" x14ac:dyDescent="0.3">
      <c r="A3345">
        <v>167200</v>
      </c>
      <c r="B3345" t="s">
        <v>66744</v>
      </c>
      <c r="C3345" t="s">
        <v>66745</v>
      </c>
      <c r="D3345" t="s">
        <v>66746</v>
      </c>
      <c r="E3345" t="s">
        <v>66747</v>
      </c>
      <c r="F3345" t="s">
        <v>66748</v>
      </c>
      <c r="G3345" t="s">
        <v>66749</v>
      </c>
      <c r="H3345" t="s">
        <v>66750</v>
      </c>
      <c r="I3345" t="s">
        <v>66751</v>
      </c>
      <c r="J3345" t="s">
        <v>66752</v>
      </c>
      <c r="K3345" t="s">
        <v>66753</v>
      </c>
      <c r="L3345" t="s">
        <v>66754</v>
      </c>
      <c r="M3345" t="s">
        <v>66755</v>
      </c>
      <c r="N3345" t="s">
        <v>66756</v>
      </c>
      <c r="O3345">
        <f>-583.860939220405 -86.6822129111817 -742.163881115849</f>
        <v>-1412.7070332474359</v>
      </c>
      <c r="P3345">
        <f>-611.085811029389 -81.6861972787787 -426.854410290904</f>
        <v>-1119.6264185990717</v>
      </c>
      <c r="Q3345">
        <f>-365.008529172548 -2.34779597134116 -455.022359757351</f>
        <v>-822.37868490124015</v>
      </c>
      <c r="R3345" t="s">
        <v>66757</v>
      </c>
      <c r="S3345" t="s">
        <v>66758</v>
      </c>
      <c r="T3345" t="s">
        <v>66759</v>
      </c>
      <c r="U3345" t="s">
        <v>66760</v>
      </c>
      <c r="V3345" t="s">
        <v>66761</v>
      </c>
      <c r="W3345" t="s">
        <v>66762</v>
      </c>
      <c r="X3345" t="s">
        <v>66763</v>
      </c>
      <c r="Y3345" t="s">
        <v>66764</v>
      </c>
    </row>
    <row r="3346" spans="1:25" x14ac:dyDescent="0.3">
      <c r="A3346">
        <v>167250</v>
      </c>
      <c r="B3346" t="s">
        <v>66765</v>
      </c>
      <c r="C3346" t="s">
        <v>66766</v>
      </c>
      <c r="D3346" t="s">
        <v>66767</v>
      </c>
      <c r="E3346" t="s">
        <v>66768</v>
      </c>
      <c r="F3346" t="s">
        <v>66769</v>
      </c>
      <c r="G3346" t="s">
        <v>66770</v>
      </c>
      <c r="H3346" t="s">
        <v>66771</v>
      </c>
      <c r="I3346" t="s">
        <v>66772</v>
      </c>
      <c r="J3346" t="s">
        <v>66773</v>
      </c>
      <c r="K3346" t="s">
        <v>66774</v>
      </c>
      <c r="L3346" t="s">
        <v>66775</v>
      </c>
      <c r="M3346" t="s">
        <v>66776</v>
      </c>
      <c r="N3346" t="s">
        <v>66777</v>
      </c>
      <c r="O3346">
        <f>-583.764920124237 -86.7886492013817 -742.062861011001</f>
        <v>-1412.6164303366199</v>
      </c>
      <c r="P3346">
        <f>-610.668582958452 -81.5937348078754 -426.729027617662</f>
        <v>-1118.9913453839895</v>
      </c>
      <c r="Q3346">
        <f>-364.628178279887 -2.19461080636616 -455.047820247992</f>
        <v>-821.87060933424505</v>
      </c>
      <c r="R3346" t="s">
        <v>66778</v>
      </c>
      <c r="S3346" t="s">
        <v>66779</v>
      </c>
      <c r="T3346" t="s">
        <v>66780</v>
      </c>
      <c r="U3346" t="s">
        <v>66781</v>
      </c>
      <c r="V3346" t="s">
        <v>66782</v>
      </c>
      <c r="W3346" t="s">
        <v>66783</v>
      </c>
      <c r="X3346" t="s">
        <v>66784</v>
      </c>
      <c r="Y3346" t="s">
        <v>66785</v>
      </c>
    </row>
    <row r="3347" spans="1:25" x14ac:dyDescent="0.3">
      <c r="A3347">
        <v>167300</v>
      </c>
      <c r="B3347" t="s">
        <v>66786</v>
      </c>
      <c r="C3347" t="s">
        <v>66787</v>
      </c>
      <c r="D3347" t="s">
        <v>66788</v>
      </c>
      <c r="E3347" t="s">
        <v>66789</v>
      </c>
      <c r="F3347" t="s">
        <v>66790</v>
      </c>
      <c r="G3347" t="s">
        <v>66791</v>
      </c>
      <c r="H3347" t="s">
        <v>66792</v>
      </c>
      <c r="I3347" t="s">
        <v>66793</v>
      </c>
      <c r="J3347" t="s">
        <v>66794</v>
      </c>
      <c r="K3347" t="s">
        <v>66795</v>
      </c>
      <c r="L3347" t="s">
        <v>66796</v>
      </c>
      <c r="M3347" t="s">
        <v>66797</v>
      </c>
      <c r="N3347" t="s">
        <v>66798</v>
      </c>
      <c r="O3347">
        <f>-584.105552302469 -86.6489827729095 -741.873417747706</f>
        <v>-1412.6279528230843</v>
      </c>
      <c r="P3347">
        <f>-610.854580865722 -81.34160246722 -426.528306395796</f>
        <v>-1118.724489728738</v>
      </c>
      <c r="Q3347">
        <f>-364.802614043467 -2.04816283229043 -455.042001256916</f>
        <v>-821.89277813267336</v>
      </c>
      <c r="R3347" t="s">
        <v>66799</v>
      </c>
      <c r="S3347" t="s">
        <v>66800</v>
      </c>
      <c r="T3347" t="s">
        <v>66801</v>
      </c>
      <c r="U3347" t="s">
        <v>66802</v>
      </c>
      <c r="V3347" t="s">
        <v>66803</v>
      </c>
      <c r="W3347" t="s">
        <v>66804</v>
      </c>
      <c r="X3347" t="s">
        <v>66805</v>
      </c>
      <c r="Y3347" t="s">
        <v>66806</v>
      </c>
    </row>
    <row r="3348" spans="1:25" x14ac:dyDescent="0.3">
      <c r="A3348">
        <v>167350</v>
      </c>
      <c r="B3348" t="s">
        <v>66807</v>
      </c>
      <c r="C3348" t="s">
        <v>66808</v>
      </c>
      <c r="D3348" t="s">
        <v>66809</v>
      </c>
      <c r="E3348" t="s">
        <v>66810</v>
      </c>
      <c r="F3348" t="s">
        <v>66811</v>
      </c>
      <c r="G3348" t="s">
        <v>66812</v>
      </c>
      <c r="H3348" t="s">
        <v>66813</v>
      </c>
      <c r="I3348" t="s">
        <v>66814</v>
      </c>
      <c r="J3348" t="s">
        <v>66815</v>
      </c>
      <c r="K3348" t="s">
        <v>66816</v>
      </c>
      <c r="L3348" t="s">
        <v>66817</v>
      </c>
      <c r="M3348" t="s">
        <v>66818</v>
      </c>
      <c r="N3348" t="s">
        <v>66819</v>
      </c>
      <c r="O3348">
        <f>-583.697280482133 -86.8276256215518 -740.951813555204</f>
        <v>-1411.4767196588887</v>
      </c>
      <c r="P3348">
        <f>-609.527276727117 -81.1317747143223 -425.536869677672</f>
        <v>-1116.1959211191113</v>
      </c>
      <c r="Q3348">
        <f>-363.412439660223 -2.27313214610501 -454.706568167676</f>
        <v>-820.39213997400407</v>
      </c>
      <c r="R3348" t="s">
        <v>66820</v>
      </c>
      <c r="S3348" t="s">
        <v>66821</v>
      </c>
      <c r="T3348" t="s">
        <v>66822</v>
      </c>
      <c r="U3348" t="s">
        <v>66823</v>
      </c>
      <c r="V3348" t="s">
        <v>66824</v>
      </c>
      <c r="W3348" t="s">
        <v>66825</v>
      </c>
      <c r="X3348" t="s">
        <v>66826</v>
      </c>
      <c r="Y3348" t="s">
        <v>66827</v>
      </c>
    </row>
    <row r="3349" spans="1:25" x14ac:dyDescent="0.3">
      <c r="A3349">
        <v>167400</v>
      </c>
      <c r="B3349" t="s">
        <v>66828</v>
      </c>
      <c r="C3349" t="s">
        <v>66829</v>
      </c>
      <c r="D3349" t="s">
        <v>66830</v>
      </c>
      <c r="E3349" t="s">
        <v>66831</v>
      </c>
      <c r="F3349" t="s">
        <v>66832</v>
      </c>
      <c r="G3349" t="s">
        <v>66833</v>
      </c>
      <c r="H3349" t="s">
        <v>66834</v>
      </c>
      <c r="I3349" t="s">
        <v>66835</v>
      </c>
      <c r="J3349" t="s">
        <v>66836</v>
      </c>
      <c r="K3349" t="s">
        <v>66837</v>
      </c>
      <c r="L3349" t="s">
        <v>66838</v>
      </c>
      <c r="M3349" t="s">
        <v>66839</v>
      </c>
      <c r="N3349" t="s">
        <v>66840</v>
      </c>
      <c r="O3349">
        <f>-582.604518342852 -87.0806620407265 -740.379756545686</f>
        <v>-1410.0649369292644</v>
      </c>
      <c r="P3349">
        <f>-607.985869223855 -80.6718804194193 -424.942056870973</f>
        <v>-1113.5998065142473</v>
      </c>
      <c r="Q3349">
        <f>-361.783943292193 -2.26884418996563 -454.600953422808</f>
        <v>-818.65374090496664</v>
      </c>
      <c r="R3349" t="s">
        <v>66841</v>
      </c>
      <c r="S3349" t="s">
        <v>66842</v>
      </c>
      <c r="T3349" t="s">
        <v>66843</v>
      </c>
      <c r="U3349" t="s">
        <v>66844</v>
      </c>
      <c r="V3349" t="s">
        <v>66845</v>
      </c>
      <c r="W3349" t="s">
        <v>66846</v>
      </c>
      <c r="X3349" t="s">
        <v>66847</v>
      </c>
      <c r="Y3349" t="s">
        <v>66848</v>
      </c>
    </row>
    <row r="3350" spans="1:25" x14ac:dyDescent="0.3">
      <c r="A3350">
        <v>167450</v>
      </c>
      <c r="B3350" t="s">
        <v>66849</v>
      </c>
      <c r="C3350" t="s">
        <v>66850</v>
      </c>
      <c r="D3350" t="s">
        <v>66851</v>
      </c>
      <c r="E3350" t="s">
        <v>66852</v>
      </c>
      <c r="F3350" t="s">
        <v>66853</v>
      </c>
      <c r="G3350" t="s">
        <v>66854</v>
      </c>
      <c r="H3350" t="s">
        <v>66855</v>
      </c>
      <c r="I3350" t="s">
        <v>66856</v>
      </c>
      <c r="J3350" t="s">
        <v>66857</v>
      </c>
      <c r="K3350" t="s">
        <v>66858</v>
      </c>
      <c r="L3350" t="s">
        <v>66859</v>
      </c>
      <c r="M3350" t="s">
        <v>66860</v>
      </c>
      <c r="N3350" t="s">
        <v>66861</v>
      </c>
      <c r="O3350">
        <f>-580.085296243826 -88.0535340996208 -739.341105134627</f>
        <v>-1407.4799354780739</v>
      </c>
      <c r="P3350">
        <f>-605.048502348894 -80.8882935472743 -423.886389030866</f>
        <v>-1109.8231849270342</v>
      </c>
      <c r="Q3350">
        <f>-358.771659413365 -2.87066646178696 -453.936560896871</f>
        <v>-815.578886772023</v>
      </c>
      <c r="R3350" t="s">
        <v>66862</v>
      </c>
      <c r="S3350" t="s">
        <v>66863</v>
      </c>
      <c r="T3350" t="s">
        <v>66864</v>
      </c>
      <c r="U3350" t="s">
        <v>66865</v>
      </c>
      <c r="V3350" t="s">
        <v>66866</v>
      </c>
      <c r="W3350" t="s">
        <v>66867</v>
      </c>
      <c r="X3350" t="s">
        <v>66868</v>
      </c>
      <c r="Y3350" t="s">
        <v>66869</v>
      </c>
    </row>
    <row r="3351" spans="1:25" x14ac:dyDescent="0.3">
      <c r="A3351">
        <v>167500</v>
      </c>
      <c r="B3351" t="s">
        <v>66870</v>
      </c>
      <c r="C3351" t="s">
        <v>66871</v>
      </c>
      <c r="D3351" t="s">
        <v>66872</v>
      </c>
      <c r="E3351" t="s">
        <v>66873</v>
      </c>
      <c r="F3351" t="s">
        <v>66874</v>
      </c>
      <c r="G3351" t="s">
        <v>66875</v>
      </c>
      <c r="H3351" t="s">
        <v>66876</v>
      </c>
      <c r="I3351" t="s">
        <v>66877</v>
      </c>
      <c r="J3351" t="s">
        <v>66878</v>
      </c>
      <c r="K3351" t="s">
        <v>66879</v>
      </c>
      <c r="L3351" t="s">
        <v>66880</v>
      </c>
      <c r="M3351" t="s">
        <v>66881</v>
      </c>
      <c r="N3351" t="s">
        <v>66882</v>
      </c>
      <c r="O3351">
        <f>-579.762284306116 -88.0645357650668 -738.983991565488</f>
        <v>-1406.8108116366709</v>
      </c>
      <c r="P3351">
        <f>-604.790182951452 -81.1277329984589 -423.529257867908</f>
        <v>-1109.447173817819</v>
      </c>
      <c r="Q3351">
        <f>-358.514643978435 -3.07265782000252 -453.49330537563</f>
        <v>-815.0806071740675</v>
      </c>
      <c r="R3351" t="s">
        <v>66883</v>
      </c>
      <c r="S3351" t="s">
        <v>66884</v>
      </c>
      <c r="T3351" t="s">
        <v>66885</v>
      </c>
      <c r="U3351" t="s">
        <v>66886</v>
      </c>
      <c r="V3351" t="s">
        <v>66887</v>
      </c>
      <c r="W3351" t="s">
        <v>66888</v>
      </c>
      <c r="X3351" t="s">
        <v>66889</v>
      </c>
      <c r="Y3351" t="s">
        <v>66890</v>
      </c>
    </row>
    <row r="3352" spans="1:25" x14ac:dyDescent="0.3">
      <c r="A3352">
        <v>167550</v>
      </c>
      <c r="B3352" t="s">
        <v>66891</v>
      </c>
      <c r="C3352" t="s">
        <v>66892</v>
      </c>
      <c r="D3352" t="s">
        <v>66893</v>
      </c>
      <c r="E3352" t="s">
        <v>66894</v>
      </c>
      <c r="F3352" t="s">
        <v>66895</v>
      </c>
      <c r="G3352" t="s">
        <v>66896</v>
      </c>
      <c r="H3352" t="s">
        <v>66897</v>
      </c>
      <c r="I3352" t="s">
        <v>66898</v>
      </c>
      <c r="J3352" t="s">
        <v>66899</v>
      </c>
      <c r="K3352" t="s">
        <v>66900</v>
      </c>
      <c r="L3352" t="s">
        <v>66901</v>
      </c>
      <c r="M3352" t="s">
        <v>66902</v>
      </c>
      <c r="N3352" t="s">
        <v>66903</v>
      </c>
      <c r="O3352">
        <f>-578.394827634125 -87.5275661051851 -738.638874513586</f>
        <v>-1404.5612682528961</v>
      </c>
      <c r="P3352">
        <f>-604.756642515629 -80.8187381366089 -423.287868267757</f>
        <v>-1108.8632489199949</v>
      </c>
      <c r="Q3352">
        <f>-358.389935326567 -2.90302748381596 -452.862307869847</f>
        <v>-814.15527068022993</v>
      </c>
      <c r="R3352" t="s">
        <v>66904</v>
      </c>
      <c r="S3352" t="s">
        <v>66905</v>
      </c>
      <c r="T3352" t="s">
        <v>66906</v>
      </c>
      <c r="U3352" t="s">
        <v>66907</v>
      </c>
      <c r="V3352" t="s">
        <v>66908</v>
      </c>
      <c r="W3352" t="s">
        <v>66909</v>
      </c>
      <c r="X3352" t="s">
        <v>66910</v>
      </c>
      <c r="Y3352" t="s">
        <v>66911</v>
      </c>
    </row>
    <row r="3353" spans="1:25" x14ac:dyDescent="0.3">
      <c r="A3353">
        <v>167600</v>
      </c>
      <c r="B3353" t="s">
        <v>66912</v>
      </c>
      <c r="C3353" t="s">
        <v>66913</v>
      </c>
      <c r="D3353" t="s">
        <v>66914</v>
      </c>
      <c r="E3353" t="s">
        <v>66915</v>
      </c>
      <c r="F3353" t="s">
        <v>66916</v>
      </c>
      <c r="G3353" t="s">
        <v>66917</v>
      </c>
      <c r="H3353" t="s">
        <v>66918</v>
      </c>
      <c r="I3353" t="s">
        <v>66919</v>
      </c>
      <c r="J3353" t="s">
        <v>66920</v>
      </c>
      <c r="K3353" t="s">
        <v>66921</v>
      </c>
      <c r="L3353" t="s">
        <v>66922</v>
      </c>
      <c r="M3353" t="s">
        <v>66923</v>
      </c>
      <c r="N3353" t="s">
        <v>66924</v>
      </c>
      <c r="O3353">
        <f>-577.787024022097 -87.1007992697871 -738.648416208346</f>
        <v>-1403.5362395002301</v>
      </c>
      <c r="P3353">
        <f>-604.839674788341 -80.3551570751832 -423.356763624432</f>
        <v>-1108.5515954879561</v>
      </c>
      <c r="Q3353">
        <f>-358.33084240048 -2.75307691990734 -452.569056051286</f>
        <v>-813.65297537167339</v>
      </c>
      <c r="R3353" t="s">
        <v>66925</v>
      </c>
      <c r="S3353" t="s">
        <v>66926</v>
      </c>
      <c r="T3353" t="s">
        <v>66927</v>
      </c>
      <c r="U3353" t="s">
        <v>66928</v>
      </c>
      <c r="V3353" t="s">
        <v>66929</v>
      </c>
      <c r="W3353" t="s">
        <v>66930</v>
      </c>
      <c r="X3353" t="s">
        <v>66931</v>
      </c>
      <c r="Y3353" t="s">
        <v>66932</v>
      </c>
    </row>
    <row r="3354" spans="1:25" x14ac:dyDescent="0.3">
      <c r="A3354">
        <v>167650</v>
      </c>
      <c r="B3354" t="s">
        <v>66933</v>
      </c>
      <c r="C3354" t="s">
        <v>66934</v>
      </c>
      <c r="D3354" t="s">
        <v>66935</v>
      </c>
      <c r="E3354" t="s">
        <v>66936</v>
      </c>
      <c r="F3354" t="s">
        <v>66937</v>
      </c>
      <c r="G3354" t="s">
        <v>66938</v>
      </c>
      <c r="H3354" t="s">
        <v>66939</v>
      </c>
      <c r="I3354" t="s">
        <v>66940</v>
      </c>
      <c r="J3354" t="s">
        <v>66941</v>
      </c>
      <c r="K3354" t="s">
        <v>66942</v>
      </c>
      <c r="L3354" t="s">
        <v>66943</v>
      </c>
      <c r="M3354" t="s">
        <v>66944</v>
      </c>
      <c r="N3354" t="s">
        <v>66945</v>
      </c>
      <c r="O3354">
        <f>-577.569223320327 -86.5759220315366 -738.465897210972</f>
        <v>-1402.6110425628356</v>
      </c>
      <c r="P3354">
        <f>-605.43452851804 -79.587688155738 -423.250248679331</f>
        <v>-1108.2724653531091</v>
      </c>
      <c r="Q3354">
        <f>-358.577169249013 -2.71304364368946 -451.424652578523</f>
        <v>-812.71486547122549</v>
      </c>
      <c r="R3354" t="s">
        <v>66946</v>
      </c>
      <c r="S3354" t="s">
        <v>66947</v>
      </c>
      <c r="T3354" t="s">
        <v>66948</v>
      </c>
      <c r="U3354" t="s">
        <v>66949</v>
      </c>
      <c r="V3354" t="s">
        <v>66950</v>
      </c>
      <c r="W3354" t="s">
        <v>66951</v>
      </c>
      <c r="X3354" t="s">
        <v>66952</v>
      </c>
      <c r="Y3354" t="s">
        <v>66953</v>
      </c>
    </row>
    <row r="3355" spans="1:25" x14ac:dyDescent="0.3">
      <c r="A3355">
        <v>167700</v>
      </c>
      <c r="B3355" t="s">
        <v>66954</v>
      </c>
      <c r="C3355" t="s">
        <v>66955</v>
      </c>
      <c r="D3355" t="s">
        <v>66956</v>
      </c>
      <c r="E3355" t="s">
        <v>66957</v>
      </c>
      <c r="F3355" t="s">
        <v>66958</v>
      </c>
      <c r="G3355" t="s">
        <v>66959</v>
      </c>
      <c r="H3355" t="s">
        <v>66960</v>
      </c>
      <c r="I3355" t="s">
        <v>66961</v>
      </c>
      <c r="J3355" t="s">
        <v>66962</v>
      </c>
      <c r="K3355" t="s">
        <v>66963</v>
      </c>
      <c r="L3355" t="s">
        <v>66964</v>
      </c>
      <c r="M3355" t="s">
        <v>66965</v>
      </c>
      <c r="N3355" t="s">
        <v>66966</v>
      </c>
      <c r="O3355">
        <f>-577.270585901196 -86.5523046161755 -738.277020519735</f>
        <v>-1402.0999110371065</v>
      </c>
      <c r="P3355">
        <f>-605.548247839337 -79.3351262340189 -423.103379624172</f>
        <v>-1107.986753697528</v>
      </c>
      <c r="Q3355">
        <f>-358.516509797265 -2.83088100176073 -450.752387850717</f>
        <v>-812.09977864974269</v>
      </c>
      <c r="R3355" t="s">
        <v>66967</v>
      </c>
      <c r="S3355" t="s">
        <v>66968</v>
      </c>
      <c r="T3355" t="s">
        <v>66969</v>
      </c>
      <c r="U3355" t="s">
        <v>66970</v>
      </c>
      <c r="V3355" t="s">
        <v>66971</v>
      </c>
      <c r="W3355" t="s">
        <v>66972</v>
      </c>
      <c r="X3355" t="s">
        <v>66973</v>
      </c>
      <c r="Y3355" t="s">
        <v>66974</v>
      </c>
    </row>
    <row r="3356" spans="1:25" x14ac:dyDescent="0.3">
      <c r="A3356">
        <v>167750</v>
      </c>
      <c r="B3356" t="s">
        <v>66975</v>
      </c>
      <c r="C3356" t="s">
        <v>66976</v>
      </c>
      <c r="D3356" t="s">
        <v>66977</v>
      </c>
      <c r="E3356" t="s">
        <v>66978</v>
      </c>
      <c r="F3356" t="s">
        <v>66979</v>
      </c>
      <c r="G3356" t="s">
        <v>66980</v>
      </c>
      <c r="H3356" t="s">
        <v>66981</v>
      </c>
      <c r="I3356" t="s">
        <v>66982</v>
      </c>
      <c r="J3356" t="s">
        <v>66983</v>
      </c>
      <c r="K3356" t="s">
        <v>66984</v>
      </c>
      <c r="L3356" t="s">
        <v>66985</v>
      </c>
      <c r="M3356" t="s">
        <v>66986</v>
      </c>
      <c r="N3356" t="s">
        <v>66987</v>
      </c>
      <c r="O3356">
        <f>-578.153452681755 -86.5334797608821 -738.103312023113</f>
        <v>-1402.79024446575</v>
      </c>
      <c r="P3356">
        <f>-607.155196350828 -79.4436167889087 -422.992531192985</f>
        <v>-1109.5913443327217</v>
      </c>
      <c r="Q3356">
        <f>-359.919375462825 -3.20298949834059 -449.522566943948</f>
        <v>-812.64493190511348</v>
      </c>
      <c r="R3356" t="s">
        <v>66988</v>
      </c>
      <c r="S3356" t="s">
        <v>66989</v>
      </c>
      <c r="T3356" t="s">
        <v>66990</v>
      </c>
      <c r="U3356" t="s">
        <v>66991</v>
      </c>
      <c r="V3356" t="s">
        <v>66992</v>
      </c>
      <c r="W3356" t="s">
        <v>66993</v>
      </c>
      <c r="X3356" t="s">
        <v>66994</v>
      </c>
      <c r="Y3356" t="s">
        <v>66995</v>
      </c>
    </row>
    <row r="3357" spans="1:25" x14ac:dyDescent="0.3">
      <c r="A3357">
        <v>167800</v>
      </c>
      <c r="B3357" t="s">
        <v>66996</v>
      </c>
      <c r="C3357" t="s">
        <v>66997</v>
      </c>
      <c r="D3357" t="s">
        <v>66998</v>
      </c>
      <c r="E3357" t="s">
        <v>66999</v>
      </c>
      <c r="F3357" t="s">
        <v>67000</v>
      </c>
      <c r="G3357" t="s">
        <v>67001</v>
      </c>
      <c r="H3357" t="s">
        <v>67002</v>
      </c>
      <c r="I3357" t="s">
        <v>67003</v>
      </c>
      <c r="J3357" t="s">
        <v>67004</v>
      </c>
      <c r="K3357" t="s">
        <v>67005</v>
      </c>
      <c r="L3357" t="s">
        <v>67006</v>
      </c>
      <c r="M3357" t="s">
        <v>67007</v>
      </c>
      <c r="N3357" t="s">
        <v>67008</v>
      </c>
      <c r="O3357">
        <f>-579.272157186133 -86.5013929637214 -738.070014452122</f>
        <v>-1403.8435646019764</v>
      </c>
      <c r="P3357">
        <f>-608.43354345744 -79.6411595892454 -422.968942526936</f>
        <v>-1111.0436455736215</v>
      </c>
      <c r="Q3357">
        <f>-361.178082558514 -3.34029644659454 -449.140578438564</f>
        <v>-813.65895744367253</v>
      </c>
      <c r="R3357" t="s">
        <v>67009</v>
      </c>
      <c r="S3357" t="s">
        <v>67010</v>
      </c>
      <c r="T3357" t="s">
        <v>67011</v>
      </c>
      <c r="U3357" t="s">
        <v>67012</v>
      </c>
      <c r="V3357" t="s">
        <v>67013</v>
      </c>
      <c r="W3357" t="s">
        <v>67014</v>
      </c>
      <c r="X3357" t="s">
        <v>67015</v>
      </c>
      <c r="Y3357" t="s">
        <v>67016</v>
      </c>
    </row>
    <row r="3358" spans="1:25" x14ac:dyDescent="0.3">
      <c r="A3358">
        <v>167850</v>
      </c>
      <c r="B3358" t="s">
        <v>67017</v>
      </c>
      <c r="C3358" t="s">
        <v>67018</v>
      </c>
      <c r="D3358" t="s">
        <v>67019</v>
      </c>
      <c r="E3358" t="s">
        <v>67020</v>
      </c>
      <c r="F3358" t="s">
        <v>67021</v>
      </c>
      <c r="G3358" t="s">
        <v>67022</v>
      </c>
      <c r="H3358" t="s">
        <v>67023</v>
      </c>
      <c r="I3358" t="s">
        <v>67024</v>
      </c>
      <c r="J3358" t="s">
        <v>67025</v>
      </c>
      <c r="K3358" t="s">
        <v>67026</v>
      </c>
      <c r="L3358" t="s">
        <v>67027</v>
      </c>
      <c r="M3358" t="s">
        <v>67028</v>
      </c>
      <c r="N3358" t="s">
        <v>67029</v>
      </c>
      <c r="O3358">
        <f>-581.400287704799 -86.6950860032242 -737.823291272926</f>
        <v>-1405.9186649809492</v>
      </c>
      <c r="P3358">
        <f>-610.260494526252 -80.1974119911709 -422.686871539145</f>
        <v>-1113.1447780565679</v>
      </c>
      <c r="Q3358">
        <f>-362.89759567995 -4.21501756961459 -448.770059894062</f>
        <v>-815.88267314362656</v>
      </c>
      <c r="R3358" t="s">
        <v>67030</v>
      </c>
      <c r="S3358" t="s">
        <v>67031</v>
      </c>
      <c r="T3358" t="s">
        <v>67032</v>
      </c>
      <c r="U3358" t="s">
        <v>67033</v>
      </c>
      <c r="V3358" t="s">
        <v>67034</v>
      </c>
      <c r="W3358" t="s">
        <v>67035</v>
      </c>
      <c r="X3358" t="s">
        <v>67036</v>
      </c>
      <c r="Y3358" t="s">
        <v>67037</v>
      </c>
    </row>
    <row r="3359" spans="1:25" x14ac:dyDescent="0.3">
      <c r="A3359">
        <v>167900</v>
      </c>
      <c r="B3359" t="s">
        <v>67038</v>
      </c>
      <c r="C3359" t="s">
        <v>67039</v>
      </c>
      <c r="D3359" t="s">
        <v>67040</v>
      </c>
      <c r="E3359" t="s">
        <v>67041</v>
      </c>
      <c r="F3359" t="s">
        <v>67042</v>
      </c>
      <c r="G3359" t="s">
        <v>67043</v>
      </c>
      <c r="H3359" t="s">
        <v>67044</v>
      </c>
      <c r="I3359" t="s">
        <v>67045</v>
      </c>
      <c r="J3359" t="s">
        <v>67046</v>
      </c>
      <c r="K3359" t="s">
        <v>67047</v>
      </c>
      <c r="L3359" t="s">
        <v>67048</v>
      </c>
      <c r="M3359" t="s">
        <v>67049</v>
      </c>
      <c r="N3359" t="s">
        <v>67050</v>
      </c>
      <c r="O3359">
        <f>-582.465156006157 -86.652939441581 -737.641348903212</f>
        <v>-1406.7594443509502</v>
      </c>
      <c r="P3359">
        <f>-611.073221917862 -80.00512416619 -422.485026870071</f>
        <v>-1113.5633729541232</v>
      </c>
      <c r="Q3359">
        <f>-363.636923484569 -4.33733808781436 -448.785713776355</f>
        <v>-816.75997534873841</v>
      </c>
      <c r="R3359" t="s">
        <v>67051</v>
      </c>
      <c r="S3359" t="s">
        <v>67052</v>
      </c>
      <c r="T3359" t="s">
        <v>67053</v>
      </c>
      <c r="U3359" t="s">
        <v>67054</v>
      </c>
      <c r="V3359" t="s">
        <v>67055</v>
      </c>
      <c r="W3359" t="s">
        <v>67056</v>
      </c>
      <c r="X3359" t="s">
        <v>67057</v>
      </c>
      <c r="Y3359" t="s">
        <v>67058</v>
      </c>
    </row>
    <row r="3360" spans="1:25" x14ac:dyDescent="0.3">
      <c r="A3360">
        <v>167950</v>
      </c>
      <c r="B3360" t="s">
        <v>67059</v>
      </c>
      <c r="C3360" t="s">
        <v>67060</v>
      </c>
      <c r="D3360" t="s">
        <v>67061</v>
      </c>
      <c r="E3360" t="s">
        <v>67062</v>
      </c>
      <c r="F3360" t="s">
        <v>67063</v>
      </c>
      <c r="G3360" t="s">
        <v>67064</v>
      </c>
      <c r="H3360" t="s">
        <v>67065</v>
      </c>
      <c r="I3360" t="s">
        <v>67066</v>
      </c>
      <c r="J3360" t="s">
        <v>67067</v>
      </c>
      <c r="K3360" t="s">
        <v>67068</v>
      </c>
      <c r="L3360" t="s">
        <v>67069</v>
      </c>
      <c r="M3360" t="s">
        <v>67070</v>
      </c>
      <c r="N3360" t="s">
        <v>67071</v>
      </c>
      <c r="O3360">
        <f>-584.627242061751 -86.1009316622922 -737.45061922515</f>
        <v>-1408.1787929491932</v>
      </c>
      <c r="P3360">
        <f>-612.384721671944 -79.641429634585 -422.214223665848</f>
        <v>-1114.2403749723771</v>
      </c>
      <c r="Q3360">
        <f>-364.9239740147 -4.31214324297938 -449.246330832605</f>
        <v>-818.48244809028438</v>
      </c>
      <c r="R3360" t="s">
        <v>67072</v>
      </c>
      <c r="S3360" t="s">
        <v>67073</v>
      </c>
      <c r="T3360" t="s">
        <v>67074</v>
      </c>
      <c r="U3360" t="s">
        <v>67075</v>
      </c>
      <c r="V3360" t="s">
        <v>67076</v>
      </c>
      <c r="W3360" t="s">
        <v>67077</v>
      </c>
      <c r="X3360" t="s">
        <v>67078</v>
      </c>
      <c r="Y3360" t="s">
        <v>67079</v>
      </c>
    </row>
    <row r="3361" spans="1:25" x14ac:dyDescent="0.3">
      <c r="A3361">
        <v>168000</v>
      </c>
      <c r="B3361" t="s">
        <v>67080</v>
      </c>
      <c r="C3361" t="s">
        <v>67081</v>
      </c>
      <c r="D3361" t="s">
        <v>67082</v>
      </c>
      <c r="E3361" t="s">
        <v>67083</v>
      </c>
      <c r="F3361" t="s">
        <v>67084</v>
      </c>
      <c r="G3361" t="s">
        <v>67085</v>
      </c>
      <c r="H3361" t="s">
        <v>67086</v>
      </c>
      <c r="I3361" t="s">
        <v>67087</v>
      </c>
      <c r="J3361" t="s">
        <v>67088</v>
      </c>
      <c r="K3361" t="s">
        <v>67089</v>
      </c>
      <c r="L3361" t="s">
        <v>67090</v>
      </c>
      <c r="M3361" t="s">
        <v>67091</v>
      </c>
      <c r="N3361" t="s">
        <v>67092</v>
      </c>
      <c r="O3361">
        <f>-585.634717535433 -85.6857749966774 -737.38107648336</f>
        <v>-1408.7015690154703</v>
      </c>
      <c r="P3361">
        <f>-613.02270769331 -79.6692733391535 -422.103647235847</f>
        <v>-1114.7956282683106</v>
      </c>
      <c r="Q3361">
        <f>-365.612797433857 -4.26059739399287 -449.378323511402</f>
        <v>-819.25171833925197</v>
      </c>
      <c r="R3361" t="s">
        <v>67093</v>
      </c>
      <c r="S3361" t="s">
        <v>67094</v>
      </c>
      <c r="T3361" t="s">
        <v>67095</v>
      </c>
      <c r="U3361" t="s">
        <v>67096</v>
      </c>
      <c r="V3361" t="s">
        <v>67097</v>
      </c>
      <c r="W3361" t="s">
        <v>67098</v>
      </c>
      <c r="X3361" t="s">
        <v>67099</v>
      </c>
      <c r="Y3361" t="s">
        <v>67100</v>
      </c>
    </row>
    <row r="3362" spans="1:25" x14ac:dyDescent="0.3">
      <c r="A3362">
        <v>168050</v>
      </c>
      <c r="B3362" t="s">
        <v>67101</v>
      </c>
      <c r="C3362" t="s">
        <v>67102</v>
      </c>
      <c r="D3362" t="s">
        <v>67103</v>
      </c>
      <c r="E3362" t="s">
        <v>67104</v>
      </c>
      <c r="F3362" t="s">
        <v>67105</v>
      </c>
      <c r="G3362" t="s">
        <v>67106</v>
      </c>
      <c r="H3362" t="s">
        <v>67107</v>
      </c>
      <c r="I3362" t="s">
        <v>67108</v>
      </c>
      <c r="J3362" t="s">
        <v>67109</v>
      </c>
      <c r="K3362" t="s">
        <v>67110</v>
      </c>
      <c r="L3362" t="s">
        <v>67111</v>
      </c>
      <c r="M3362" t="s">
        <v>67112</v>
      </c>
      <c r="N3362" t="s">
        <v>67113</v>
      </c>
      <c r="O3362">
        <f>-587.242426633159 -84.7406347418647 -737.326712579899</f>
        <v>-1409.3097739549225</v>
      </c>
      <c r="P3362">
        <f>-614.033741971407 -79.4348913781666 -421.985215270576</f>
        <v>-1115.4538486201498</v>
      </c>
      <c r="Q3362">
        <f>-366.675642734072 -4.07201369129761 -449.850274811893</f>
        <v>-820.59793123726263</v>
      </c>
      <c r="R3362" t="s">
        <v>67114</v>
      </c>
      <c r="S3362" t="s">
        <v>67115</v>
      </c>
      <c r="T3362" t="s">
        <v>67116</v>
      </c>
      <c r="U3362" t="s">
        <v>67117</v>
      </c>
      <c r="V3362" t="s">
        <v>67118</v>
      </c>
      <c r="W3362" t="s">
        <v>67119</v>
      </c>
      <c r="X3362" t="s">
        <v>67120</v>
      </c>
      <c r="Y3362" t="s">
        <v>67121</v>
      </c>
    </row>
    <row r="3363" spans="1:25" x14ac:dyDescent="0.3">
      <c r="A3363">
        <v>168100</v>
      </c>
      <c r="B3363" t="s">
        <v>67122</v>
      </c>
      <c r="C3363" t="s">
        <v>67123</v>
      </c>
      <c r="D3363" t="s">
        <v>67124</v>
      </c>
      <c r="E3363" t="s">
        <v>67125</v>
      </c>
      <c r="F3363" t="s">
        <v>67126</v>
      </c>
      <c r="G3363" t="s">
        <v>67127</v>
      </c>
      <c r="H3363" t="s">
        <v>67128</v>
      </c>
      <c r="I3363" t="s">
        <v>67129</v>
      </c>
      <c r="J3363" t="s">
        <v>67130</v>
      </c>
      <c r="K3363" t="s">
        <v>67131</v>
      </c>
      <c r="L3363" t="s">
        <v>67132</v>
      </c>
      <c r="M3363" t="s">
        <v>67133</v>
      </c>
      <c r="N3363" t="s">
        <v>67134</v>
      </c>
      <c r="O3363">
        <f>-587.930090713012 -84.0642693382415 -737.345953138038</f>
        <v>-1409.3403131892915</v>
      </c>
      <c r="P3363">
        <f>-614.41181700807 -79.0521628185563 -421.973528046055</f>
        <v>-1115.4375078726812</v>
      </c>
      <c r="Q3363">
        <f>-367.038984966448 -3.80047995590965 -450.007808043096</f>
        <v>-820.84727296545361</v>
      </c>
      <c r="R3363" t="s">
        <v>67135</v>
      </c>
      <c r="S3363" t="s">
        <v>67136</v>
      </c>
      <c r="T3363" t="s">
        <v>67137</v>
      </c>
      <c r="U3363" t="s">
        <v>67138</v>
      </c>
      <c r="V3363" t="s">
        <v>67139</v>
      </c>
      <c r="W3363" t="s">
        <v>67140</v>
      </c>
      <c r="X3363" t="s">
        <v>67141</v>
      </c>
      <c r="Y3363" t="s">
        <v>67142</v>
      </c>
    </row>
    <row r="3364" spans="1:25" x14ac:dyDescent="0.3">
      <c r="A3364">
        <v>168150</v>
      </c>
      <c r="B3364" t="s">
        <v>67143</v>
      </c>
      <c r="C3364" t="s">
        <v>67144</v>
      </c>
      <c r="D3364" t="s">
        <v>67145</v>
      </c>
      <c r="E3364" t="s">
        <v>67146</v>
      </c>
      <c r="F3364" t="s">
        <v>67147</v>
      </c>
      <c r="G3364" t="s">
        <v>67148</v>
      </c>
      <c r="H3364" t="s">
        <v>67149</v>
      </c>
      <c r="I3364" t="s">
        <v>67150</v>
      </c>
      <c r="J3364" t="s">
        <v>67151</v>
      </c>
      <c r="K3364" t="s">
        <v>67152</v>
      </c>
      <c r="L3364" t="s">
        <v>67153</v>
      </c>
      <c r="M3364" t="s">
        <v>67154</v>
      </c>
      <c r="N3364" t="s">
        <v>67155</v>
      </c>
      <c r="O3364">
        <f>-588.354058554547 -83.3058998148231 -737.328148239985</f>
        <v>-1408.9881066093551</v>
      </c>
      <c r="P3364">
        <f>-614.661454089874 -78.6518152175317 -421.935602686141</f>
        <v>-1115.2488719935468</v>
      </c>
      <c r="Q3364">
        <f>-367.244190236827 -3.62130086898343 -450.170567289516</f>
        <v>-821.03605839532645</v>
      </c>
      <c r="R3364" t="s">
        <v>67156</v>
      </c>
      <c r="S3364" t="s">
        <v>67157</v>
      </c>
      <c r="T3364" t="s">
        <v>67158</v>
      </c>
      <c r="U3364" t="s">
        <v>67159</v>
      </c>
      <c r="V3364" t="s">
        <v>67160</v>
      </c>
      <c r="W3364" t="s">
        <v>67161</v>
      </c>
      <c r="X3364" t="s">
        <v>67162</v>
      </c>
      <c r="Y3364" t="s">
        <v>67163</v>
      </c>
    </row>
    <row r="3365" spans="1:25" x14ac:dyDescent="0.3">
      <c r="A3365">
        <v>168200</v>
      </c>
      <c r="B3365" t="s">
        <v>67164</v>
      </c>
      <c r="C3365" t="s">
        <v>67165</v>
      </c>
      <c r="D3365" t="s">
        <v>67166</v>
      </c>
      <c r="E3365" t="s">
        <v>67167</v>
      </c>
      <c r="F3365" t="s">
        <v>67168</v>
      </c>
      <c r="G3365" t="s">
        <v>67169</v>
      </c>
      <c r="H3365" t="s">
        <v>67170</v>
      </c>
      <c r="I3365" t="s">
        <v>67171</v>
      </c>
      <c r="J3365" t="s">
        <v>67172</v>
      </c>
      <c r="K3365" t="s">
        <v>67173</v>
      </c>
      <c r="L3365" t="s">
        <v>67174</v>
      </c>
      <c r="M3365" t="s">
        <v>67175</v>
      </c>
      <c r="N3365" t="s">
        <v>67176</v>
      </c>
      <c r="O3365">
        <f>-588.415560225546 -82.8082699467878 -737.343767795366</f>
        <v>-1408.5675979676998</v>
      </c>
      <c r="P3365">
        <f>-614.761692075898 -78.2542979037381 -421.952922882518</f>
        <v>-1114.9689128621542</v>
      </c>
      <c r="Q3365">
        <f>-367.312069398379 -3.34250748101856 -450.218864421073</f>
        <v>-820.87344130047063</v>
      </c>
      <c r="R3365" t="s">
        <v>67177</v>
      </c>
      <c r="S3365" t="s">
        <v>67178</v>
      </c>
      <c r="T3365" t="s">
        <v>67179</v>
      </c>
      <c r="U3365" t="s">
        <v>67180</v>
      </c>
      <c r="V3365" t="s">
        <v>67181</v>
      </c>
      <c r="W3365" t="s">
        <v>67182</v>
      </c>
      <c r="X3365" t="s">
        <v>67183</v>
      </c>
      <c r="Y3365" t="s">
        <v>67184</v>
      </c>
    </row>
    <row r="3366" spans="1:25" x14ac:dyDescent="0.3">
      <c r="A3366">
        <v>168250</v>
      </c>
      <c r="B3366" t="s">
        <v>67185</v>
      </c>
      <c r="C3366" t="s">
        <v>67186</v>
      </c>
      <c r="D3366" t="s">
        <v>67187</v>
      </c>
      <c r="E3366" t="s">
        <v>67188</v>
      </c>
      <c r="F3366" t="s">
        <v>67189</v>
      </c>
      <c r="G3366" t="s">
        <v>67190</v>
      </c>
      <c r="H3366" t="s">
        <v>67191</v>
      </c>
      <c r="I3366" t="s">
        <v>67192</v>
      </c>
      <c r="J3366" t="s">
        <v>67193</v>
      </c>
      <c r="K3366" t="s">
        <v>67194</v>
      </c>
      <c r="L3366" t="s">
        <v>67195</v>
      </c>
      <c r="M3366" t="s">
        <v>67196</v>
      </c>
      <c r="N3366" t="s">
        <v>67197</v>
      </c>
      <c r="O3366">
        <f>-588.087055845846 -82.2359261882215 -737.411982131968</f>
        <v>-1407.7349641660353</v>
      </c>
      <c r="P3366">
        <f>-614.544611529236 -77.6862601421302 -422.030456421677</f>
        <v>-1114.2613280930432</v>
      </c>
      <c r="Q3366">
        <f>-366.959427857588 -3.17573851971511 -450.169157781767</f>
        <v>-820.30432415907012</v>
      </c>
      <c r="R3366" t="s">
        <v>67198</v>
      </c>
      <c r="S3366" t="s">
        <v>67199</v>
      </c>
      <c r="T3366" t="s">
        <v>67200</v>
      </c>
      <c r="U3366" t="s">
        <v>67201</v>
      </c>
      <c r="V3366" t="s">
        <v>67202</v>
      </c>
      <c r="W3366" t="s">
        <v>67203</v>
      </c>
      <c r="X3366" t="s">
        <v>67204</v>
      </c>
      <c r="Y3366" t="s">
        <v>67205</v>
      </c>
    </row>
    <row r="3367" spans="1:25" x14ac:dyDescent="0.3">
      <c r="A3367">
        <v>168300</v>
      </c>
      <c r="B3367" t="s">
        <v>67206</v>
      </c>
      <c r="C3367" t="s">
        <v>67207</v>
      </c>
      <c r="D3367" t="s">
        <v>67208</v>
      </c>
      <c r="E3367" t="s">
        <v>67209</v>
      </c>
      <c r="F3367" t="s">
        <v>67210</v>
      </c>
      <c r="G3367" t="s">
        <v>67211</v>
      </c>
      <c r="H3367" t="s">
        <v>67212</v>
      </c>
      <c r="I3367" t="s">
        <v>67213</v>
      </c>
      <c r="J3367" t="s">
        <v>67214</v>
      </c>
      <c r="K3367" t="s">
        <v>67215</v>
      </c>
      <c r="L3367" t="s">
        <v>67216</v>
      </c>
      <c r="M3367" t="s">
        <v>67217</v>
      </c>
      <c r="N3367" t="s">
        <v>67218</v>
      </c>
      <c r="O3367">
        <f>-587.817068612867 -81.9064694814374 -737.452673340246</f>
        <v>-1407.1762114345504</v>
      </c>
      <c r="P3367">
        <f>-614.34950883582 -77.4238248965012 -422.076547148382</f>
        <v>-1113.849880880703</v>
      </c>
      <c r="Q3367">
        <f>-366.70971162736 -3.04725480059436 -450.089628549896</f>
        <v>-819.84659497785037</v>
      </c>
      <c r="R3367" t="s">
        <v>67219</v>
      </c>
      <c r="S3367" t="s">
        <v>67220</v>
      </c>
      <c r="T3367" t="s">
        <v>67221</v>
      </c>
      <c r="U3367" t="s">
        <v>67222</v>
      </c>
      <c r="V3367" t="s">
        <v>67223</v>
      </c>
      <c r="W3367" t="s">
        <v>67224</v>
      </c>
      <c r="X3367" t="s">
        <v>67225</v>
      </c>
      <c r="Y3367" t="s">
        <v>67226</v>
      </c>
    </row>
    <row r="3368" spans="1:25" x14ac:dyDescent="0.3">
      <c r="A3368">
        <v>168350</v>
      </c>
      <c r="B3368" t="s">
        <v>67227</v>
      </c>
      <c r="C3368" t="s">
        <v>67228</v>
      </c>
      <c r="D3368" t="s">
        <v>67229</v>
      </c>
      <c r="E3368" t="s">
        <v>67230</v>
      </c>
      <c r="F3368" t="s">
        <v>67231</v>
      </c>
      <c r="G3368" t="s">
        <v>67232</v>
      </c>
      <c r="H3368" t="s">
        <v>67233</v>
      </c>
      <c r="I3368" t="s">
        <v>67234</v>
      </c>
      <c r="J3368" t="s">
        <v>67235</v>
      </c>
      <c r="K3368" t="s">
        <v>67236</v>
      </c>
      <c r="L3368" t="s">
        <v>67237</v>
      </c>
      <c r="M3368" t="s">
        <v>67238</v>
      </c>
      <c r="N3368" t="s">
        <v>67239</v>
      </c>
      <c r="O3368">
        <f>-587.356204289925 -81.5276900480976 -737.539725408751</f>
        <v>-1406.4236197467735</v>
      </c>
      <c r="P3368">
        <f>-614.011068432478 -77.1992040457833 -422.171563802453</f>
        <v>-1113.3818362807144</v>
      </c>
      <c r="Q3368">
        <f>-366.350974560691 -2.84286900653275 -450.059013843609</f>
        <v>-819.2528574108328</v>
      </c>
      <c r="R3368" t="s">
        <v>67240</v>
      </c>
      <c r="S3368" t="s">
        <v>67241</v>
      </c>
      <c r="T3368" t="s">
        <v>67242</v>
      </c>
      <c r="U3368" t="s">
        <v>67243</v>
      </c>
      <c r="V3368" t="s">
        <v>67244</v>
      </c>
      <c r="W3368" t="s">
        <v>67245</v>
      </c>
      <c r="X3368" t="s">
        <v>67246</v>
      </c>
      <c r="Y3368" t="s">
        <v>67247</v>
      </c>
    </row>
    <row r="3369" spans="1:25" x14ac:dyDescent="0.3">
      <c r="A3369">
        <v>168400</v>
      </c>
      <c r="B3369" t="s">
        <v>67248</v>
      </c>
      <c r="C3369" t="s">
        <v>67249</v>
      </c>
      <c r="D3369" t="s">
        <v>67250</v>
      </c>
      <c r="E3369" t="s">
        <v>67251</v>
      </c>
      <c r="F3369" t="s">
        <v>67252</v>
      </c>
      <c r="G3369" t="s">
        <v>67253</v>
      </c>
      <c r="H3369" t="s">
        <v>67254</v>
      </c>
      <c r="I3369" t="s">
        <v>67255</v>
      </c>
      <c r="J3369" t="s">
        <v>67256</v>
      </c>
      <c r="K3369" t="s">
        <v>67257</v>
      </c>
      <c r="L3369" t="s">
        <v>67258</v>
      </c>
      <c r="M3369" t="s">
        <v>67259</v>
      </c>
      <c r="N3369" t="s">
        <v>67260</v>
      </c>
      <c r="O3369">
        <f>-587.085234638233 -81.2709643483985 -737.584051391834</f>
        <v>-1405.9402503784654</v>
      </c>
      <c r="P3369">
        <f>-613.769246615638 -77.0651344092919 -422.216886410372</f>
        <v>-1113.051267435302</v>
      </c>
      <c r="Q3369">
        <f>-366.114123041758 -2.70009668865987 -450.1241685764</f>
        <v>-818.93838830681784</v>
      </c>
      <c r="R3369" t="s">
        <v>67261</v>
      </c>
      <c r="S3369" t="s">
        <v>67262</v>
      </c>
      <c r="T3369" t="s">
        <v>67263</v>
      </c>
      <c r="U3369" t="s">
        <v>67264</v>
      </c>
      <c r="V3369" t="s">
        <v>67265</v>
      </c>
      <c r="W3369" t="s">
        <v>67266</v>
      </c>
      <c r="X3369" t="s">
        <v>67267</v>
      </c>
      <c r="Y3369" t="s">
        <v>67268</v>
      </c>
    </row>
    <row r="3370" spans="1:25" x14ac:dyDescent="0.3">
      <c r="A3370">
        <v>168450</v>
      </c>
      <c r="B3370" t="s">
        <v>67269</v>
      </c>
      <c r="C3370" t="s">
        <v>67270</v>
      </c>
      <c r="D3370" t="s">
        <v>67271</v>
      </c>
      <c r="E3370" t="s">
        <v>67272</v>
      </c>
      <c r="F3370" t="s">
        <v>67273</v>
      </c>
      <c r="G3370" t="s">
        <v>67274</v>
      </c>
      <c r="H3370" t="s">
        <v>67275</v>
      </c>
      <c r="I3370" t="s">
        <v>67276</v>
      </c>
      <c r="J3370" t="s">
        <v>67277</v>
      </c>
      <c r="K3370" t="s">
        <v>67278</v>
      </c>
      <c r="L3370" t="s">
        <v>67279</v>
      </c>
      <c r="M3370" t="s">
        <v>67280</v>
      </c>
      <c r="N3370" t="s">
        <v>67281</v>
      </c>
      <c r="O3370">
        <f>-586.36742322529 -80.8049281982231 -737.66046371115</f>
        <v>-1404.8328151346632</v>
      </c>
      <c r="P3370">
        <f>-612.963414188947 -76.8392264773092 -422.282692748346</f>
        <v>-1112.0853334146022</v>
      </c>
      <c r="Q3370">
        <f>-365.375630093291 -2.31163676930354 -450.352991469677</f>
        <v>-818.04025833227161</v>
      </c>
      <c r="R3370" t="s">
        <v>67282</v>
      </c>
      <c r="S3370" t="s">
        <v>67283</v>
      </c>
      <c r="T3370" t="s">
        <v>67284</v>
      </c>
      <c r="U3370" t="s">
        <v>67285</v>
      </c>
      <c r="V3370" t="s">
        <v>67286</v>
      </c>
      <c r="W3370" t="s">
        <v>67287</v>
      </c>
      <c r="X3370" t="s">
        <v>67288</v>
      </c>
      <c r="Y3370" t="s">
        <v>67289</v>
      </c>
    </row>
    <row r="3371" spans="1:25" x14ac:dyDescent="0.3">
      <c r="A3371">
        <v>168500</v>
      </c>
      <c r="B3371" t="s">
        <v>67290</v>
      </c>
      <c r="C3371" t="s">
        <v>67291</v>
      </c>
      <c r="D3371" t="s">
        <v>67292</v>
      </c>
      <c r="E3371" t="s">
        <v>67293</v>
      </c>
      <c r="F3371" t="s">
        <v>67294</v>
      </c>
      <c r="G3371" t="s">
        <v>67295</v>
      </c>
      <c r="H3371" t="s">
        <v>67296</v>
      </c>
      <c r="I3371" t="s">
        <v>67297</v>
      </c>
      <c r="J3371" t="s">
        <v>67298</v>
      </c>
      <c r="K3371" t="s">
        <v>67299</v>
      </c>
      <c r="L3371" t="s">
        <v>67300</v>
      </c>
      <c r="M3371" t="s">
        <v>67301</v>
      </c>
      <c r="N3371" t="s">
        <v>67302</v>
      </c>
      <c r="O3371">
        <f>-586.169971380405 -80.5551883888533 -737.700095360318</f>
        <v>-1404.4252551295763</v>
      </c>
      <c r="P3371">
        <f>-612.724471055209 -76.6934309686066 -422.317571261524</f>
        <v>-1111.7354732853396</v>
      </c>
      <c r="Q3371">
        <f>-365.17933763154 -2.03522781569388 -450.417669891557</f>
        <v>-817.63223533879091</v>
      </c>
      <c r="R3371" t="s">
        <v>67303</v>
      </c>
      <c r="S3371" t="s">
        <v>67304</v>
      </c>
      <c r="T3371" t="s">
        <v>67305</v>
      </c>
      <c r="U3371" t="s">
        <v>67306</v>
      </c>
      <c r="V3371" t="s">
        <v>67307</v>
      </c>
      <c r="W3371" t="s">
        <v>67308</v>
      </c>
      <c r="X3371" t="s">
        <v>67309</v>
      </c>
      <c r="Y3371" t="s">
        <v>67310</v>
      </c>
    </row>
    <row r="3372" spans="1:25" x14ac:dyDescent="0.3">
      <c r="A3372">
        <v>168550</v>
      </c>
      <c r="B3372" t="s">
        <v>67311</v>
      </c>
      <c r="C3372" t="s">
        <v>67312</v>
      </c>
      <c r="D3372" t="s">
        <v>67313</v>
      </c>
      <c r="E3372" t="s">
        <v>67314</v>
      </c>
      <c r="F3372" t="s">
        <v>67315</v>
      </c>
      <c r="G3372" t="s">
        <v>67316</v>
      </c>
      <c r="H3372" t="s">
        <v>67317</v>
      </c>
      <c r="I3372" t="s">
        <v>67318</v>
      </c>
      <c r="J3372" t="s">
        <v>67319</v>
      </c>
      <c r="K3372" t="s">
        <v>67320</v>
      </c>
      <c r="L3372" t="s">
        <v>67321</v>
      </c>
      <c r="M3372" t="s">
        <v>67322</v>
      </c>
      <c r="N3372" t="s">
        <v>67323</v>
      </c>
      <c r="O3372">
        <f>-585.73493791574 -80.4404029552024 -737.752920303729</f>
        <v>-1403.9282611746714</v>
      </c>
      <c r="P3372">
        <f>-612.381973539007 -76.7785907957892 -422.375843773286</f>
        <v>-1111.5364081080822</v>
      </c>
      <c r="Q3372">
        <f>-364.95581024839 -1.77540113835737 -450.604954136924</f>
        <v>-817.3361655236713</v>
      </c>
      <c r="R3372" t="s">
        <v>67324</v>
      </c>
      <c r="S3372" t="s">
        <v>67325</v>
      </c>
      <c r="T3372" t="s">
        <v>67326</v>
      </c>
      <c r="U3372" t="s">
        <v>67327</v>
      </c>
      <c r="V3372" t="s">
        <v>67328</v>
      </c>
      <c r="W3372" t="s">
        <v>67329</v>
      </c>
      <c r="X3372" t="s">
        <v>67330</v>
      </c>
      <c r="Y3372" t="s">
        <v>67331</v>
      </c>
    </row>
    <row r="3373" spans="1:25" x14ac:dyDescent="0.3">
      <c r="A3373">
        <v>168600</v>
      </c>
      <c r="B3373" t="s">
        <v>67332</v>
      </c>
      <c r="C3373" t="s">
        <v>67333</v>
      </c>
      <c r="D3373" t="s">
        <v>67334</v>
      </c>
      <c r="E3373" t="s">
        <v>67335</v>
      </c>
      <c r="F3373" t="s">
        <v>67336</v>
      </c>
      <c r="G3373" t="s">
        <v>67337</v>
      </c>
      <c r="H3373" t="s">
        <v>67338</v>
      </c>
      <c r="I3373" t="s">
        <v>67339</v>
      </c>
      <c r="J3373" t="s">
        <v>67340</v>
      </c>
      <c r="K3373" t="s">
        <v>67341</v>
      </c>
      <c r="L3373" t="s">
        <v>67342</v>
      </c>
      <c r="M3373" t="s">
        <v>67343</v>
      </c>
      <c r="N3373" t="s">
        <v>67344</v>
      </c>
      <c r="O3373">
        <f>-585.621079295178 -80.3794627350812 -737.758019947856</f>
        <v>-1403.7585619781153</v>
      </c>
      <c r="P3373">
        <f>-612.290110498269 -76.7305114540765 -422.382548860422</f>
        <v>-1111.4031708127675</v>
      </c>
      <c r="Q3373">
        <f>-364.901683188697 -1.58060868662416 -450.551732016131</f>
        <v>-817.03402389145208</v>
      </c>
      <c r="R3373" t="s">
        <v>67345</v>
      </c>
      <c r="S3373" t="s">
        <v>67346</v>
      </c>
      <c r="T3373" t="s">
        <v>67347</v>
      </c>
      <c r="U3373" t="s">
        <v>67348</v>
      </c>
      <c r="V3373" t="s">
        <v>67349</v>
      </c>
      <c r="W3373" t="s">
        <v>67350</v>
      </c>
      <c r="X3373" t="s">
        <v>67351</v>
      </c>
      <c r="Y3373" t="s">
        <v>67352</v>
      </c>
    </row>
    <row r="3374" spans="1:25" x14ac:dyDescent="0.3">
      <c r="A3374">
        <v>168650</v>
      </c>
      <c r="B3374" t="s">
        <v>67353</v>
      </c>
      <c r="C3374" t="s">
        <v>67354</v>
      </c>
      <c r="D3374" t="s">
        <v>67355</v>
      </c>
      <c r="E3374" t="s">
        <v>67356</v>
      </c>
      <c r="F3374" t="s">
        <v>67357</v>
      </c>
      <c r="G3374" t="s">
        <v>67358</v>
      </c>
      <c r="H3374" t="s">
        <v>67359</v>
      </c>
      <c r="I3374" t="s">
        <v>67360</v>
      </c>
      <c r="J3374" t="s">
        <v>67361</v>
      </c>
      <c r="K3374" t="s">
        <v>67362</v>
      </c>
      <c r="L3374" t="s">
        <v>67363</v>
      </c>
      <c r="M3374" t="s">
        <v>67364</v>
      </c>
      <c r="N3374" t="s">
        <v>67365</v>
      </c>
      <c r="O3374">
        <f>-585.400086762256 -80.2237763517463 -737.831366289164</f>
        <v>-1403.4552294031664</v>
      </c>
      <c r="P3374">
        <f>-612.292129544952 -76.5973950813093 -422.474798039115</f>
        <v>-1111.3643226653762</v>
      </c>
      <c r="Q3374">
        <f>-364.977455538116 -1.16082973174838 -450.525365710609</f>
        <v>-816.66365098047334</v>
      </c>
      <c r="R3374" t="s">
        <v>67366</v>
      </c>
      <c r="S3374" t="s">
        <v>67367</v>
      </c>
      <c r="T3374" t="s">
        <v>67368</v>
      </c>
      <c r="U3374" t="s">
        <v>67369</v>
      </c>
      <c r="V3374" t="s">
        <v>67370</v>
      </c>
      <c r="W3374" t="s">
        <v>67371</v>
      </c>
      <c r="X3374" t="s">
        <v>67372</v>
      </c>
      <c r="Y3374" t="s">
        <v>67373</v>
      </c>
    </row>
    <row r="3375" spans="1:25" x14ac:dyDescent="0.3">
      <c r="A3375">
        <v>168700</v>
      </c>
      <c r="B3375" t="s">
        <v>67374</v>
      </c>
      <c r="C3375" t="s">
        <v>67375</v>
      </c>
      <c r="D3375" t="s">
        <v>67376</v>
      </c>
      <c r="E3375" t="s">
        <v>67377</v>
      </c>
      <c r="F3375" t="s">
        <v>67378</v>
      </c>
      <c r="G3375" t="s">
        <v>67379</v>
      </c>
      <c r="H3375" t="s">
        <v>67380</v>
      </c>
      <c r="I3375" t="s">
        <v>67381</v>
      </c>
      <c r="J3375" t="s">
        <v>67382</v>
      </c>
      <c r="K3375" t="s">
        <v>67383</v>
      </c>
      <c r="L3375" t="s">
        <v>67384</v>
      </c>
      <c r="M3375" t="s">
        <v>67385</v>
      </c>
      <c r="N3375" t="s">
        <v>67386</v>
      </c>
      <c r="O3375">
        <f>-585.324351878314 -80.0944795781313 -737.87785539912</f>
        <v>-1403.2966868555654</v>
      </c>
      <c r="P3375">
        <f>-612.251227495908 -76.5398336255412 -422.523450394803</f>
        <v>-1111.3145115162522</v>
      </c>
      <c r="Q3375">
        <f>-364.986034549264 -0.951188676928197 -450.600682268034</f>
        <v>-816.53790549422615</v>
      </c>
      <c r="R3375" t="s">
        <v>67387</v>
      </c>
      <c r="S3375" t="s">
        <v>67388</v>
      </c>
      <c r="T3375" t="s">
        <v>67389</v>
      </c>
      <c r="U3375" t="s">
        <v>67390</v>
      </c>
      <c r="V3375" t="s">
        <v>67391</v>
      </c>
      <c r="W3375" t="s">
        <v>67392</v>
      </c>
      <c r="X3375" t="s">
        <v>67393</v>
      </c>
      <c r="Y3375" t="s">
        <v>67394</v>
      </c>
    </row>
    <row r="3376" spans="1:25" x14ac:dyDescent="0.3">
      <c r="A3376">
        <v>168750</v>
      </c>
      <c r="B3376" t="s">
        <v>67395</v>
      </c>
      <c r="C3376" t="s">
        <v>67396</v>
      </c>
      <c r="D3376" t="s">
        <v>67397</v>
      </c>
      <c r="E3376" t="s">
        <v>67398</v>
      </c>
      <c r="F3376" t="s">
        <v>67399</v>
      </c>
      <c r="G3376" t="s">
        <v>67400</v>
      </c>
      <c r="H3376" t="s">
        <v>67401</v>
      </c>
      <c r="I3376" t="s">
        <v>67402</v>
      </c>
      <c r="J3376" t="s">
        <v>67403</v>
      </c>
      <c r="K3376" t="s">
        <v>67404</v>
      </c>
      <c r="L3376" t="s">
        <v>67405</v>
      </c>
      <c r="M3376" t="s">
        <v>67406</v>
      </c>
      <c r="N3376" t="s">
        <v>67407</v>
      </c>
      <c r="O3376">
        <f>-585.52371125187 -80.0425231656141 -737.933859144422</f>
        <v>-1403.5000935619059</v>
      </c>
      <c r="P3376">
        <f>-612.284382356854 -76.5106259849638 -422.564913042246</f>
        <v>-1111.3599213840639</v>
      </c>
      <c r="Q3376">
        <f>-365.080687521358 -0.748811504757811 -450.717043440071</f>
        <v>-816.54654246618679</v>
      </c>
      <c r="R3376" t="s">
        <v>67408</v>
      </c>
      <c r="S3376" t="s">
        <v>67409</v>
      </c>
      <c r="T3376" t="s">
        <v>67410</v>
      </c>
      <c r="U3376" t="s">
        <v>67411</v>
      </c>
      <c r="V3376" t="s">
        <v>67412</v>
      </c>
      <c r="W3376" t="s">
        <v>67413</v>
      </c>
      <c r="X3376" t="s">
        <v>67414</v>
      </c>
      <c r="Y3376" t="s">
        <v>67415</v>
      </c>
    </row>
    <row r="3377" spans="1:25" x14ac:dyDescent="0.3">
      <c r="A3377">
        <v>168800</v>
      </c>
      <c r="B3377" t="s">
        <v>67416</v>
      </c>
      <c r="C3377" t="s">
        <v>67417</v>
      </c>
      <c r="D3377" t="s">
        <v>67418</v>
      </c>
      <c r="E3377" t="s">
        <v>67419</v>
      </c>
      <c r="F3377" t="s">
        <v>67420</v>
      </c>
      <c r="G3377" t="s">
        <v>67421</v>
      </c>
      <c r="H3377" t="s">
        <v>67422</v>
      </c>
      <c r="I3377" t="s">
        <v>67423</v>
      </c>
      <c r="J3377" t="s">
        <v>67424</v>
      </c>
      <c r="K3377" t="s">
        <v>67425</v>
      </c>
      <c r="L3377" t="s">
        <v>67426</v>
      </c>
      <c r="M3377" t="s">
        <v>67427</v>
      </c>
      <c r="N3377" t="s">
        <v>67428</v>
      </c>
      <c r="O3377">
        <f>-585.466900227754 -79.6352115656049 -738.012009825262</f>
        <v>-1403.1141216186209</v>
      </c>
      <c r="P3377">
        <f>-612.188900800037 -76.0763199149509 -422.640064534388</f>
        <v>-1110.905285249376</v>
      </c>
      <c r="Q3377">
        <f>-364.99054903052 -0.341046615623256 -450.910120389957</f>
        <v>-816.24171603610034</v>
      </c>
      <c r="R3377" t="s">
        <v>67429</v>
      </c>
      <c r="S3377" t="s">
        <v>67430</v>
      </c>
      <c r="T3377" t="s">
        <v>67431</v>
      </c>
      <c r="U3377" t="s">
        <v>67432</v>
      </c>
      <c r="V3377" t="s">
        <v>67433</v>
      </c>
      <c r="W3377" t="s">
        <v>67434</v>
      </c>
      <c r="X3377" t="s">
        <v>67435</v>
      </c>
      <c r="Y3377" t="s">
        <v>67436</v>
      </c>
    </row>
    <row r="3378" spans="1:25" x14ac:dyDescent="0.3">
      <c r="A3378">
        <v>168850</v>
      </c>
      <c r="B3378" t="s">
        <v>67437</v>
      </c>
      <c r="C3378" t="s">
        <v>67438</v>
      </c>
      <c r="D3378" t="s">
        <v>67439</v>
      </c>
      <c r="E3378" t="s">
        <v>67440</v>
      </c>
      <c r="F3378" t="s">
        <v>67441</v>
      </c>
      <c r="G3378" t="s">
        <v>67442</v>
      </c>
      <c r="H3378" t="s">
        <v>67443</v>
      </c>
      <c r="I3378" t="s">
        <v>67444</v>
      </c>
      <c r="J3378" t="s">
        <v>67445</v>
      </c>
      <c r="K3378" t="s">
        <v>67446</v>
      </c>
      <c r="L3378" t="s">
        <v>67447</v>
      </c>
      <c r="M3378" t="s">
        <v>67448</v>
      </c>
      <c r="N3378" t="s">
        <v>67449</v>
      </c>
      <c r="O3378">
        <f>-585.490575559371 -79.0346950950429 -738.243080582914</f>
        <v>-1402.7683512373278</v>
      </c>
      <c r="P3378">
        <f>-612.165930966855 -75.4850897212317 -422.867040339048</f>
        <v>-1110.5180610271345</v>
      </c>
      <c r="Q3378">
        <f>-364.890619754029 -0.0205903533184966 -451.188401043134</f>
        <v>-816.09961115048145</v>
      </c>
      <c r="R3378" t="s">
        <v>67450</v>
      </c>
      <c r="S3378" t="s">
        <v>67451</v>
      </c>
      <c r="T3378" t="s">
        <v>67452</v>
      </c>
      <c r="U3378" t="s">
        <v>67453</v>
      </c>
      <c r="V3378" t="s">
        <v>67454</v>
      </c>
      <c r="W3378" t="s">
        <v>67455</v>
      </c>
      <c r="X3378" t="s">
        <v>67456</v>
      </c>
      <c r="Y3378" t="s">
        <v>67457</v>
      </c>
    </row>
    <row r="3379" spans="1:25" x14ac:dyDescent="0.3">
      <c r="A3379">
        <v>168900</v>
      </c>
      <c r="B3379" t="s">
        <v>67458</v>
      </c>
      <c r="C3379" t="s">
        <v>67459</v>
      </c>
      <c r="D3379" t="s">
        <v>67460</v>
      </c>
      <c r="E3379" t="s">
        <v>67461</v>
      </c>
      <c r="F3379" t="s">
        <v>67462</v>
      </c>
      <c r="G3379" t="s">
        <v>67463</v>
      </c>
      <c r="H3379" t="s">
        <v>67464</v>
      </c>
      <c r="I3379" t="s">
        <v>67465</v>
      </c>
      <c r="J3379" t="s">
        <v>67466</v>
      </c>
      <c r="K3379" t="s">
        <v>67467</v>
      </c>
      <c r="L3379" t="s">
        <v>67468</v>
      </c>
      <c r="M3379" t="s">
        <v>67469</v>
      </c>
      <c r="N3379" t="s">
        <v>67470</v>
      </c>
      <c r="O3379">
        <f>-585.505642735036 -78.6914070217214 -738.41404636482</f>
        <v>-1402.6110961215772</v>
      </c>
      <c r="P3379">
        <f>-612.13128901595 -75.2300016185795 -423.032824859981</f>
        <v>-1110.3941154945105</v>
      </c>
      <c r="Q3379" t="s">
        <v>67471</v>
      </c>
      <c r="R3379" t="s">
        <v>67472</v>
      </c>
      <c r="S3379" t="s">
        <v>67473</v>
      </c>
      <c r="T3379" t="s">
        <v>67474</v>
      </c>
      <c r="U3379" t="s">
        <v>67475</v>
      </c>
      <c r="V3379" t="s">
        <v>67476</v>
      </c>
      <c r="W3379" t="s">
        <v>67477</v>
      </c>
      <c r="X3379" t="s">
        <v>67478</v>
      </c>
      <c r="Y3379" t="s">
        <v>67479</v>
      </c>
    </row>
    <row r="3380" spans="1:25" x14ac:dyDescent="0.3">
      <c r="A3380">
        <v>168950</v>
      </c>
      <c r="B3380" t="s">
        <v>67480</v>
      </c>
      <c r="C3380" t="s">
        <v>67481</v>
      </c>
      <c r="D3380" t="s">
        <v>67482</v>
      </c>
      <c r="E3380" t="s">
        <v>67483</v>
      </c>
      <c r="F3380" t="s">
        <v>67484</v>
      </c>
      <c r="G3380" t="s">
        <v>67485</v>
      </c>
      <c r="H3380" t="s">
        <v>67486</v>
      </c>
      <c r="I3380" t="s">
        <v>67487</v>
      </c>
      <c r="J3380" t="s">
        <v>67488</v>
      </c>
      <c r="K3380" t="s">
        <v>67489</v>
      </c>
      <c r="L3380" t="s">
        <v>67490</v>
      </c>
      <c r="M3380" t="s">
        <v>67491</v>
      </c>
      <c r="N3380" t="s">
        <v>67492</v>
      </c>
      <c r="O3380">
        <f>-585.680049040315 -77.9303784955456 -738.622631321557</f>
        <v>-1402.2330588574177</v>
      </c>
      <c r="P3380">
        <f>-611.998296719648 -74.6728045523785 -423.213575291411</f>
        <v>-1109.8846765634376</v>
      </c>
      <c r="Q3380" t="s">
        <v>67493</v>
      </c>
      <c r="R3380" t="s">
        <v>67494</v>
      </c>
      <c r="S3380" t="s">
        <v>67495</v>
      </c>
      <c r="T3380" t="s">
        <v>67496</v>
      </c>
      <c r="U3380" t="s">
        <v>67497</v>
      </c>
      <c r="V3380" t="s">
        <v>67498</v>
      </c>
      <c r="W3380" t="s">
        <v>67499</v>
      </c>
      <c r="X3380" t="s">
        <v>67500</v>
      </c>
      <c r="Y3380" t="s">
        <v>67501</v>
      </c>
    </row>
    <row r="3381" spans="1:25" x14ac:dyDescent="0.3">
      <c r="A3381">
        <v>169000</v>
      </c>
      <c r="B3381" t="s">
        <v>67502</v>
      </c>
      <c r="C3381" t="s">
        <v>67503</v>
      </c>
      <c r="D3381" t="s">
        <v>67504</v>
      </c>
      <c r="E3381" t="s">
        <v>67505</v>
      </c>
      <c r="F3381" t="s">
        <v>67506</v>
      </c>
      <c r="G3381" t="s">
        <v>67507</v>
      </c>
      <c r="H3381" t="s">
        <v>67508</v>
      </c>
      <c r="I3381" t="s">
        <v>67509</v>
      </c>
      <c r="J3381" t="s">
        <v>67510</v>
      </c>
      <c r="K3381" t="s">
        <v>67511</v>
      </c>
      <c r="L3381" t="s">
        <v>67512</v>
      </c>
      <c r="M3381" t="s">
        <v>67513</v>
      </c>
      <c r="N3381" t="s">
        <v>67514</v>
      </c>
      <c r="O3381">
        <f>-585.72187800897 -77.8537992934624 -738.680708688002</f>
        <v>-1402.2563859904344</v>
      </c>
      <c r="P3381">
        <f>-611.92754825842 -74.7203397655009 -423.260949275493</f>
        <v>-1109.9088372994138</v>
      </c>
      <c r="Q3381" t="s">
        <v>67515</v>
      </c>
      <c r="R3381" t="s">
        <v>67516</v>
      </c>
      <c r="S3381" t="s">
        <v>67517</v>
      </c>
      <c r="T3381" t="s">
        <v>67518</v>
      </c>
      <c r="U3381" t="s">
        <v>67519</v>
      </c>
      <c r="V3381" t="s">
        <v>67520</v>
      </c>
      <c r="W3381" t="s">
        <v>67521</v>
      </c>
      <c r="X3381" t="s">
        <v>67522</v>
      </c>
      <c r="Y3381" t="s">
        <v>67523</v>
      </c>
    </row>
    <row r="3382" spans="1:25" x14ac:dyDescent="0.3">
      <c r="A3382">
        <v>169050</v>
      </c>
      <c r="B3382" t="s">
        <v>67524</v>
      </c>
      <c r="C3382" t="s">
        <v>67525</v>
      </c>
      <c r="D3382" t="s">
        <v>67526</v>
      </c>
      <c r="E3382" t="s">
        <v>67527</v>
      </c>
      <c r="F3382" t="s">
        <v>67528</v>
      </c>
      <c r="G3382" t="s">
        <v>67529</v>
      </c>
      <c r="H3382" t="s">
        <v>67530</v>
      </c>
      <c r="I3382" t="s">
        <v>67531</v>
      </c>
      <c r="J3382" t="s">
        <v>67532</v>
      </c>
      <c r="K3382" t="s">
        <v>67533</v>
      </c>
      <c r="L3382" t="s">
        <v>67534</v>
      </c>
      <c r="M3382" t="s">
        <v>67535</v>
      </c>
      <c r="N3382" t="s">
        <v>67536</v>
      </c>
      <c r="O3382">
        <f>-585.681173644954 -77.9956018674299 -738.848989821268</f>
        <v>-1402.5257653336519</v>
      </c>
      <c r="P3382">
        <f>-611.608124104101 -75.0811198976741 -423.404056003281</f>
        <v>-1110.0933000050561</v>
      </c>
      <c r="Q3382" t="s">
        <v>67537</v>
      </c>
      <c r="R3382" t="s">
        <v>67538</v>
      </c>
      <c r="S3382" t="s">
        <v>67539</v>
      </c>
      <c r="T3382" t="s">
        <v>67540</v>
      </c>
      <c r="U3382" t="s">
        <v>67541</v>
      </c>
      <c r="V3382" t="s">
        <v>67542</v>
      </c>
      <c r="W3382" t="s">
        <v>67543</v>
      </c>
      <c r="X3382" t="s">
        <v>67544</v>
      </c>
      <c r="Y3382" t="s">
        <v>67545</v>
      </c>
    </row>
    <row r="3383" spans="1:25" x14ac:dyDescent="0.3">
      <c r="A3383">
        <v>169100</v>
      </c>
      <c r="B3383" t="s">
        <v>67546</v>
      </c>
      <c r="C3383" t="s">
        <v>67547</v>
      </c>
      <c r="D3383" t="s">
        <v>67548</v>
      </c>
      <c r="E3383" t="s">
        <v>67549</v>
      </c>
      <c r="F3383" t="s">
        <v>67550</v>
      </c>
      <c r="G3383" t="s">
        <v>67551</v>
      </c>
      <c r="H3383" t="s">
        <v>67552</v>
      </c>
      <c r="I3383" t="s">
        <v>67553</v>
      </c>
      <c r="J3383" t="s">
        <v>67554</v>
      </c>
      <c r="K3383" t="s">
        <v>67555</v>
      </c>
      <c r="L3383" t="s">
        <v>67556</v>
      </c>
      <c r="M3383" t="s">
        <v>67557</v>
      </c>
      <c r="N3383" t="s">
        <v>67558</v>
      </c>
      <c r="O3383">
        <f>-585.607603166135 -78.110836183723 -738.890166845142</f>
        <v>-1402.608606195</v>
      </c>
      <c r="P3383">
        <f>-611.36537935846 -75.3464925941494 -423.430007280521</f>
        <v>-1110.1418792331303</v>
      </c>
      <c r="Q3383">
        <f>-364.093093277938 -0.158040497215694 -452.501679998063</f>
        <v>-816.75281377321676</v>
      </c>
      <c r="R3383" t="s">
        <v>67559</v>
      </c>
      <c r="S3383" t="s">
        <v>67560</v>
      </c>
      <c r="T3383" t="s">
        <v>67561</v>
      </c>
      <c r="U3383" t="s">
        <v>67562</v>
      </c>
      <c r="V3383" t="s">
        <v>67563</v>
      </c>
      <c r="W3383" t="s">
        <v>67564</v>
      </c>
      <c r="X3383" t="s">
        <v>67565</v>
      </c>
      <c r="Y3383" t="s">
        <v>67566</v>
      </c>
    </row>
    <row r="3384" spans="1:25" x14ac:dyDescent="0.3">
      <c r="A3384">
        <v>169150</v>
      </c>
      <c r="B3384" t="s">
        <v>67567</v>
      </c>
      <c r="C3384" t="s">
        <v>67568</v>
      </c>
      <c r="D3384" t="s">
        <v>67569</v>
      </c>
      <c r="E3384" t="s">
        <v>67570</v>
      </c>
      <c r="F3384" t="s">
        <v>67571</v>
      </c>
      <c r="G3384" t="s">
        <v>67572</v>
      </c>
      <c r="H3384" t="s">
        <v>67573</v>
      </c>
      <c r="I3384" t="s">
        <v>67574</v>
      </c>
      <c r="J3384" t="s">
        <v>67575</v>
      </c>
      <c r="K3384" t="s">
        <v>67576</v>
      </c>
      <c r="L3384" t="s">
        <v>67577</v>
      </c>
      <c r="M3384" t="s">
        <v>67578</v>
      </c>
      <c r="N3384" t="s">
        <v>67579</v>
      </c>
      <c r="O3384">
        <f>-585.269756773046 -78.44403128106 -738.943321377439</f>
        <v>-1402.657109431545</v>
      </c>
      <c r="P3384">
        <f>-610.76844283111 -75.8364634795412 -423.46089706064</f>
        <v>-1110.0658033712912</v>
      </c>
      <c r="Q3384">
        <f>-363.481082413984 -0.847113374991515 -452.916283354786</f>
        <v>-817.24447914376151</v>
      </c>
      <c r="R3384" t="s">
        <v>67580</v>
      </c>
      <c r="S3384" t="s">
        <v>67581</v>
      </c>
      <c r="T3384" t="s">
        <v>67582</v>
      </c>
      <c r="U3384" t="s">
        <v>67583</v>
      </c>
      <c r="V3384" t="s">
        <v>67584</v>
      </c>
      <c r="W3384" t="s">
        <v>67585</v>
      </c>
      <c r="X3384" t="s">
        <v>67586</v>
      </c>
      <c r="Y3384" t="s">
        <v>67587</v>
      </c>
    </row>
    <row r="3385" spans="1:25" x14ac:dyDescent="0.3">
      <c r="A3385">
        <v>169200</v>
      </c>
      <c r="B3385" t="s">
        <v>67588</v>
      </c>
      <c r="C3385" t="s">
        <v>67589</v>
      </c>
      <c r="D3385" t="s">
        <v>67590</v>
      </c>
      <c r="E3385" t="s">
        <v>67591</v>
      </c>
      <c r="F3385" t="s">
        <v>67592</v>
      </c>
      <c r="G3385" t="s">
        <v>67593</v>
      </c>
      <c r="H3385" t="s">
        <v>67594</v>
      </c>
      <c r="I3385" t="s">
        <v>67595</v>
      </c>
      <c r="J3385" t="s">
        <v>67596</v>
      </c>
      <c r="K3385" t="s">
        <v>67597</v>
      </c>
      <c r="L3385" t="s">
        <v>67598</v>
      </c>
      <c r="M3385" t="s">
        <v>67599</v>
      </c>
      <c r="N3385" t="s">
        <v>67600</v>
      </c>
      <c r="O3385">
        <f>-585.077306142358 -78.5853170246662 -738.936822490048</f>
        <v>-1402.5994456570722</v>
      </c>
      <c r="P3385">
        <f>-610.49901446977 -75.9978243213211 -423.447923026224</f>
        <v>-1109.9447618173151</v>
      </c>
      <c r="Q3385">
        <f>-363.218425992694 -1.04474916293593 -453.052103422557</f>
        <v>-817.31527857818696</v>
      </c>
      <c r="R3385" t="s">
        <v>67601</v>
      </c>
      <c r="S3385" t="s">
        <v>67602</v>
      </c>
      <c r="T3385" t="s">
        <v>67603</v>
      </c>
      <c r="U3385" t="s">
        <v>67604</v>
      </c>
      <c r="V3385" t="s">
        <v>67605</v>
      </c>
      <c r="W3385" t="s">
        <v>67606</v>
      </c>
      <c r="X3385" t="s">
        <v>67607</v>
      </c>
      <c r="Y3385" t="s">
        <v>67608</v>
      </c>
    </row>
    <row r="3386" spans="1:25" x14ac:dyDescent="0.3">
      <c r="A3386">
        <v>169250</v>
      </c>
      <c r="B3386" t="s">
        <v>67609</v>
      </c>
      <c r="C3386" t="s">
        <v>67610</v>
      </c>
      <c r="D3386" t="s">
        <v>67611</v>
      </c>
      <c r="E3386" t="s">
        <v>67612</v>
      </c>
      <c r="F3386" t="s">
        <v>67613</v>
      </c>
      <c r="G3386" t="s">
        <v>67614</v>
      </c>
      <c r="H3386" t="s">
        <v>67615</v>
      </c>
      <c r="I3386" t="s">
        <v>67616</v>
      </c>
      <c r="J3386" t="s">
        <v>67617</v>
      </c>
      <c r="K3386" t="s">
        <v>67618</v>
      </c>
      <c r="L3386" t="s">
        <v>67619</v>
      </c>
      <c r="M3386" t="s">
        <v>67620</v>
      </c>
      <c r="N3386" t="s">
        <v>67621</v>
      </c>
      <c r="O3386">
        <f>-584.72041774566 -78.8112691892234 -738.955750817925</f>
        <v>-1402.4874377528085</v>
      </c>
      <c r="P3386">
        <f>-609.974899432888 -76.2893363874449 -423.45288921286</f>
        <v>-1109.717125033193</v>
      </c>
      <c r="Q3386">
        <f>-362.700773957967 -1.34935285492929 -453.143883709052</f>
        <v>-817.19401052194826</v>
      </c>
      <c r="R3386" t="s">
        <v>67622</v>
      </c>
      <c r="S3386" t="s">
        <v>67623</v>
      </c>
      <c r="T3386" t="s">
        <v>67624</v>
      </c>
      <c r="U3386" t="s">
        <v>67625</v>
      </c>
      <c r="V3386" t="s">
        <v>67626</v>
      </c>
      <c r="W3386" t="s">
        <v>67627</v>
      </c>
      <c r="X3386" t="s">
        <v>67628</v>
      </c>
      <c r="Y3386" t="s">
        <v>67629</v>
      </c>
    </row>
    <row r="3387" spans="1:25" x14ac:dyDescent="0.3">
      <c r="A3387">
        <v>169300</v>
      </c>
      <c r="B3387" t="s">
        <v>67630</v>
      </c>
      <c r="C3387" t="s">
        <v>67631</v>
      </c>
      <c r="D3387" t="s">
        <v>67632</v>
      </c>
      <c r="E3387" t="s">
        <v>67633</v>
      </c>
      <c r="F3387" t="s">
        <v>67634</v>
      </c>
      <c r="G3387" t="s">
        <v>67635</v>
      </c>
      <c r="H3387" t="s">
        <v>67636</v>
      </c>
      <c r="I3387" t="s">
        <v>67637</v>
      </c>
      <c r="J3387" t="s">
        <v>67638</v>
      </c>
      <c r="K3387" t="s">
        <v>67639</v>
      </c>
      <c r="L3387" t="s">
        <v>67640</v>
      </c>
      <c r="M3387" t="s">
        <v>67641</v>
      </c>
      <c r="N3387" t="s">
        <v>67642</v>
      </c>
      <c r="O3387">
        <f>-584.679710697372 -78.8233118467362 -738.924012503491</f>
        <v>-1402.4270350475992</v>
      </c>
      <c r="P3387">
        <f>-609.902080379684 -76.342567336227 -423.418457307756</f>
        <v>-1109.663105023667</v>
      </c>
      <c r="Q3387">
        <f>-362.641589392556 -1.36106930256166 -453.118541522834</f>
        <v>-817.12120021795158</v>
      </c>
      <c r="R3387" t="s">
        <v>67643</v>
      </c>
      <c r="S3387" t="s">
        <v>67644</v>
      </c>
      <c r="T3387" t="s">
        <v>67645</v>
      </c>
      <c r="U3387" t="s">
        <v>67646</v>
      </c>
      <c r="V3387" t="s">
        <v>67647</v>
      </c>
      <c r="W3387" t="s">
        <v>67648</v>
      </c>
      <c r="X3387" t="s">
        <v>67649</v>
      </c>
      <c r="Y3387" t="s">
        <v>67650</v>
      </c>
    </row>
    <row r="3388" spans="1:25" x14ac:dyDescent="0.3">
      <c r="A3388">
        <v>169350</v>
      </c>
      <c r="B3388" t="s">
        <v>67651</v>
      </c>
      <c r="C3388" t="s">
        <v>67652</v>
      </c>
      <c r="D3388" t="s">
        <v>67653</v>
      </c>
      <c r="E3388" t="s">
        <v>67654</v>
      </c>
      <c r="F3388" t="s">
        <v>67655</v>
      </c>
      <c r="G3388" t="s">
        <v>67656</v>
      </c>
      <c r="H3388" t="s">
        <v>67657</v>
      </c>
      <c r="I3388" t="s">
        <v>67658</v>
      </c>
      <c r="J3388" t="s">
        <v>67659</v>
      </c>
      <c r="K3388" t="s">
        <v>67660</v>
      </c>
      <c r="L3388" t="s">
        <v>67661</v>
      </c>
      <c r="M3388" t="s">
        <v>67662</v>
      </c>
      <c r="N3388" t="s">
        <v>67663</v>
      </c>
      <c r="O3388">
        <f>-584.572102080832 -79.2281804948462 -738.908603110307</f>
        <v>-1402.7088856859853</v>
      </c>
      <c r="P3388">
        <f>-609.789826676884 -76.5849785085021 -423.403877279484</f>
        <v>-1109.7786824648701</v>
      </c>
      <c r="Q3388">
        <f>-362.51256248671 -1.69317609850751 -453.190328358235</f>
        <v>-817.39606694345252</v>
      </c>
      <c r="R3388" t="s">
        <v>67664</v>
      </c>
      <c r="S3388" t="s">
        <v>67665</v>
      </c>
      <c r="T3388" t="s">
        <v>67666</v>
      </c>
      <c r="U3388" t="s">
        <v>67667</v>
      </c>
      <c r="V3388" t="s">
        <v>67668</v>
      </c>
      <c r="W3388" t="s">
        <v>67669</v>
      </c>
      <c r="X3388" t="s">
        <v>67670</v>
      </c>
      <c r="Y3388" t="s">
        <v>67671</v>
      </c>
    </row>
    <row r="3389" spans="1:25" x14ac:dyDescent="0.3">
      <c r="A3389">
        <v>169400</v>
      </c>
      <c r="B3389" t="s">
        <v>67672</v>
      </c>
      <c r="C3389" t="s">
        <v>67673</v>
      </c>
      <c r="D3389" t="s">
        <v>67674</v>
      </c>
      <c r="E3389" t="s">
        <v>67675</v>
      </c>
      <c r="F3389" t="s">
        <v>67676</v>
      </c>
      <c r="G3389" t="s">
        <v>67677</v>
      </c>
      <c r="H3389" t="s">
        <v>67678</v>
      </c>
      <c r="I3389" t="s">
        <v>67679</v>
      </c>
      <c r="J3389" t="s">
        <v>67680</v>
      </c>
      <c r="K3389" t="s">
        <v>67681</v>
      </c>
      <c r="L3389" t="s">
        <v>67682</v>
      </c>
      <c r="M3389" t="s">
        <v>67683</v>
      </c>
      <c r="N3389" t="s">
        <v>67684</v>
      </c>
      <c r="O3389">
        <f>-584.74888940155 -79.3843358109149 -738.890671852082</f>
        <v>-1403.0238970645469</v>
      </c>
      <c r="P3389">
        <f>-609.955218930607 -76.6611142237048 -423.385487481471</f>
        <v>-1110.0018206357827</v>
      </c>
      <c r="Q3389">
        <f>-362.666091957591 -1.79588063228334 -453.139937370458</f>
        <v>-817.60190996033225</v>
      </c>
      <c r="R3389" t="s">
        <v>67685</v>
      </c>
      <c r="S3389" t="s">
        <v>67686</v>
      </c>
      <c r="T3389" t="s">
        <v>67687</v>
      </c>
      <c r="U3389" t="s">
        <v>67688</v>
      </c>
      <c r="V3389" t="s">
        <v>67689</v>
      </c>
      <c r="W3389" t="s">
        <v>67690</v>
      </c>
      <c r="X3389" t="s">
        <v>67691</v>
      </c>
      <c r="Y3389" t="s">
        <v>67692</v>
      </c>
    </row>
    <row r="3390" spans="1:25" x14ac:dyDescent="0.3">
      <c r="A3390">
        <v>169450</v>
      </c>
      <c r="B3390" t="s">
        <v>67693</v>
      </c>
      <c r="C3390" t="s">
        <v>67694</v>
      </c>
      <c r="D3390" t="s">
        <v>67695</v>
      </c>
      <c r="E3390" t="s">
        <v>67696</v>
      </c>
      <c r="F3390" t="s">
        <v>67697</v>
      </c>
      <c r="G3390" t="s">
        <v>67698</v>
      </c>
      <c r="H3390" t="s">
        <v>67699</v>
      </c>
      <c r="I3390" t="s">
        <v>67700</v>
      </c>
      <c r="J3390" t="s">
        <v>67701</v>
      </c>
      <c r="K3390" t="s">
        <v>67702</v>
      </c>
      <c r="L3390" t="s">
        <v>67703</v>
      </c>
      <c r="M3390" t="s">
        <v>67704</v>
      </c>
      <c r="N3390" t="s">
        <v>67705</v>
      </c>
      <c r="O3390">
        <f>-583.953344897065 -79.9255488513521 -738.835859046224</f>
        <v>-1402.7147527946411</v>
      </c>
      <c r="P3390">
        <f>-609.219429259109 -77.0598059506939 -423.336953199681</f>
        <v>-1109.6161884094838</v>
      </c>
      <c r="Q3390">
        <f>-361.894243506201 -2.34954323534643 -453.181126665844</f>
        <v>-817.42491340739139</v>
      </c>
      <c r="R3390" t="s">
        <v>67706</v>
      </c>
      <c r="S3390" t="s">
        <v>67707</v>
      </c>
      <c r="T3390" t="s">
        <v>67708</v>
      </c>
      <c r="U3390" t="s">
        <v>67709</v>
      </c>
      <c r="V3390" t="s">
        <v>67710</v>
      </c>
      <c r="W3390" t="s">
        <v>67711</v>
      </c>
      <c r="X3390" t="s">
        <v>67712</v>
      </c>
      <c r="Y3390" t="s">
        <v>67713</v>
      </c>
    </row>
    <row r="3391" spans="1:25" x14ac:dyDescent="0.3">
      <c r="A3391">
        <v>169500</v>
      </c>
      <c r="B3391" t="s">
        <v>67714</v>
      </c>
      <c r="C3391" t="s">
        <v>67715</v>
      </c>
      <c r="D3391" t="s">
        <v>67716</v>
      </c>
      <c r="E3391" t="s">
        <v>67717</v>
      </c>
      <c r="F3391" t="s">
        <v>67718</v>
      </c>
      <c r="G3391" t="s">
        <v>67719</v>
      </c>
      <c r="H3391" t="s">
        <v>67720</v>
      </c>
      <c r="I3391" t="s">
        <v>67721</v>
      </c>
      <c r="J3391" t="s">
        <v>67722</v>
      </c>
      <c r="K3391" t="s">
        <v>67723</v>
      </c>
      <c r="L3391" t="s">
        <v>67724</v>
      </c>
      <c r="M3391" t="s">
        <v>67725</v>
      </c>
      <c r="N3391" t="s">
        <v>67726</v>
      </c>
      <c r="O3391">
        <f>-583.694641662645 -80.2909564508416 -738.800179293228</f>
        <v>-1402.7857774067147</v>
      </c>
      <c r="P3391">
        <f>-608.981587108833 -77.344964569028 -423.303603193796</f>
        <v>-1109.6301548716569</v>
      </c>
      <c r="Q3391">
        <f>-361.628530560463 -2.73049941669683 -453.156552940972</f>
        <v>-817.51558291813183</v>
      </c>
      <c r="R3391" t="s">
        <v>67727</v>
      </c>
      <c r="S3391" t="s">
        <v>67728</v>
      </c>
      <c r="T3391" t="s">
        <v>67729</v>
      </c>
      <c r="U3391" t="s">
        <v>67730</v>
      </c>
      <c r="V3391" t="s">
        <v>67731</v>
      </c>
      <c r="W3391" t="s">
        <v>67732</v>
      </c>
      <c r="X3391" t="s">
        <v>67733</v>
      </c>
      <c r="Y3391" t="s">
        <v>67734</v>
      </c>
    </row>
    <row r="3392" spans="1:25" x14ac:dyDescent="0.3">
      <c r="A3392">
        <v>169550</v>
      </c>
      <c r="B3392" t="s">
        <v>67735</v>
      </c>
      <c r="C3392" t="s">
        <v>67736</v>
      </c>
      <c r="D3392" t="s">
        <v>67737</v>
      </c>
      <c r="E3392" t="s">
        <v>67738</v>
      </c>
      <c r="F3392" t="s">
        <v>67739</v>
      </c>
      <c r="G3392" t="s">
        <v>67740</v>
      </c>
      <c r="H3392" t="s">
        <v>67741</v>
      </c>
      <c r="I3392" t="s">
        <v>67742</v>
      </c>
      <c r="J3392" t="s">
        <v>67743</v>
      </c>
      <c r="K3392" t="s">
        <v>67744</v>
      </c>
      <c r="L3392" t="s">
        <v>67745</v>
      </c>
      <c r="M3392" t="s">
        <v>67746</v>
      </c>
      <c r="N3392" t="s">
        <v>67747</v>
      </c>
      <c r="O3392">
        <f>-583.614924563473 -80.4838593012036 -738.743518462908</f>
        <v>-1402.8423023275845</v>
      </c>
      <c r="P3392">
        <f>-608.946491942331 -77.4346828503232 -423.251567560288</f>
        <v>-1109.6327423529422</v>
      </c>
      <c r="Q3392">
        <f>-361.568069488474 -2.91963171301734 -453.142319072827</f>
        <v>-817.63002027431833</v>
      </c>
      <c r="R3392" t="s">
        <v>67748</v>
      </c>
      <c r="S3392" t="s">
        <v>67749</v>
      </c>
      <c r="T3392" t="s">
        <v>67750</v>
      </c>
      <c r="U3392" t="s">
        <v>67751</v>
      </c>
      <c r="V3392" t="s">
        <v>67752</v>
      </c>
      <c r="W3392" t="s">
        <v>67753</v>
      </c>
      <c r="X3392" t="s">
        <v>67754</v>
      </c>
      <c r="Y3392" t="s">
        <v>67755</v>
      </c>
    </row>
    <row r="3393" spans="1:25" x14ac:dyDescent="0.3">
      <c r="A3393">
        <v>169600</v>
      </c>
      <c r="B3393" t="s">
        <v>67756</v>
      </c>
      <c r="C3393" t="s">
        <v>67757</v>
      </c>
      <c r="D3393" t="s">
        <v>67758</v>
      </c>
      <c r="E3393" t="s">
        <v>67759</v>
      </c>
      <c r="F3393" t="s">
        <v>67760</v>
      </c>
      <c r="G3393" t="s">
        <v>67761</v>
      </c>
      <c r="H3393" t="s">
        <v>67762</v>
      </c>
      <c r="I3393" t="s">
        <v>67763</v>
      </c>
      <c r="J3393" t="s">
        <v>67764</v>
      </c>
      <c r="K3393" t="s">
        <v>67765</v>
      </c>
      <c r="L3393" t="s">
        <v>67766</v>
      </c>
      <c r="M3393" t="s">
        <v>67767</v>
      </c>
      <c r="N3393" t="s">
        <v>67768</v>
      </c>
      <c r="O3393">
        <f>-583.472509180789 -80.6214967433225 -738.717521833827</f>
        <v>-1402.8115277579386</v>
      </c>
      <c r="P3393">
        <f>-608.88157965041 -77.4848639677453 -423.232573014803</f>
        <v>-1109.5990166329582</v>
      </c>
      <c r="Q3393">
        <f>-361.496339603932 -3.00865208444546 -453.164278374251</f>
        <v>-817.66927006262847</v>
      </c>
      <c r="R3393" t="s">
        <v>67769</v>
      </c>
      <c r="S3393" t="s">
        <v>67770</v>
      </c>
      <c r="T3393" t="s">
        <v>67771</v>
      </c>
      <c r="U3393" t="s">
        <v>67772</v>
      </c>
      <c r="V3393" t="s">
        <v>67773</v>
      </c>
      <c r="W3393" t="s">
        <v>67774</v>
      </c>
      <c r="X3393" t="s">
        <v>67775</v>
      </c>
      <c r="Y3393" t="s">
        <v>67776</v>
      </c>
    </row>
    <row r="3394" spans="1:25" x14ac:dyDescent="0.3">
      <c r="A3394">
        <v>169650</v>
      </c>
      <c r="B3394" t="s">
        <v>67777</v>
      </c>
      <c r="C3394" t="s">
        <v>67778</v>
      </c>
      <c r="D3394" t="s">
        <v>67779</v>
      </c>
      <c r="E3394" t="s">
        <v>67780</v>
      </c>
      <c r="F3394" t="s">
        <v>67781</v>
      </c>
      <c r="G3394" t="s">
        <v>67782</v>
      </c>
      <c r="H3394" t="s">
        <v>67783</v>
      </c>
      <c r="I3394" t="s">
        <v>67784</v>
      </c>
      <c r="J3394" t="s">
        <v>67785</v>
      </c>
      <c r="K3394" t="s">
        <v>67786</v>
      </c>
      <c r="L3394" t="s">
        <v>67787</v>
      </c>
      <c r="M3394" t="s">
        <v>67788</v>
      </c>
      <c r="N3394" t="s">
        <v>67789</v>
      </c>
      <c r="O3394">
        <f>-583.276191678883 -80.9588823955667 -738.675092456433</f>
        <v>-1402.9101665308826</v>
      </c>
      <c r="P3394">
        <f>-609.016741926373 -77.6136901236267 -423.219084845916</f>
        <v>-1109.8495168959157</v>
      </c>
      <c r="Q3394">
        <f>-361.603975127194 -3.27065494390823 -453.253454536724</f>
        <v>-818.12808460782628</v>
      </c>
      <c r="R3394" t="s">
        <v>67790</v>
      </c>
      <c r="S3394" t="s">
        <v>67791</v>
      </c>
      <c r="T3394" t="s">
        <v>67792</v>
      </c>
      <c r="U3394" t="s">
        <v>67793</v>
      </c>
      <c r="V3394" t="s">
        <v>67794</v>
      </c>
      <c r="W3394" t="s">
        <v>67795</v>
      </c>
      <c r="X3394" t="s">
        <v>67796</v>
      </c>
      <c r="Y3394" t="s">
        <v>67797</v>
      </c>
    </row>
    <row r="3395" spans="1:25" x14ac:dyDescent="0.3">
      <c r="A3395">
        <v>169700</v>
      </c>
      <c r="B3395" t="s">
        <v>67798</v>
      </c>
      <c r="C3395" t="s">
        <v>67799</v>
      </c>
      <c r="D3395" t="s">
        <v>67800</v>
      </c>
      <c r="E3395" t="s">
        <v>67801</v>
      </c>
      <c r="F3395" t="s">
        <v>67802</v>
      </c>
      <c r="G3395" t="s">
        <v>67803</v>
      </c>
      <c r="H3395" t="s">
        <v>67804</v>
      </c>
      <c r="I3395" t="s">
        <v>67805</v>
      </c>
      <c r="J3395" t="s">
        <v>67806</v>
      </c>
      <c r="K3395" t="s">
        <v>67807</v>
      </c>
      <c r="L3395" t="s">
        <v>67808</v>
      </c>
      <c r="M3395" t="s">
        <v>67809</v>
      </c>
      <c r="N3395" t="s">
        <v>67810</v>
      </c>
      <c r="O3395">
        <f>-583.146737944503 -80.8606735639198 -738.662342218401</f>
        <v>-1402.6697537268237</v>
      </c>
      <c r="P3395">
        <f>-609.177980135731 -77.3606536537293 -423.231968258761</f>
        <v>-1109.7706020482212</v>
      </c>
      <c r="Q3395">
        <f>-361.74822039466 -3.05046049953462 -453.207849565966</f>
        <v>-818.00653046016055</v>
      </c>
      <c r="R3395" t="s">
        <v>67811</v>
      </c>
      <c r="S3395" t="s">
        <v>67812</v>
      </c>
      <c r="T3395" t="s">
        <v>67813</v>
      </c>
      <c r="U3395" t="s">
        <v>67814</v>
      </c>
      <c r="V3395" t="s">
        <v>67815</v>
      </c>
      <c r="W3395" t="s">
        <v>67816</v>
      </c>
      <c r="X3395" t="s">
        <v>67817</v>
      </c>
      <c r="Y3395" t="s">
        <v>67818</v>
      </c>
    </row>
    <row r="3396" spans="1:25" x14ac:dyDescent="0.3">
      <c r="A3396">
        <v>169750</v>
      </c>
      <c r="B3396" t="s">
        <v>67819</v>
      </c>
      <c r="C3396" t="s">
        <v>67820</v>
      </c>
      <c r="D3396" t="s">
        <v>67821</v>
      </c>
      <c r="E3396" t="s">
        <v>67822</v>
      </c>
      <c r="F3396" t="s">
        <v>67823</v>
      </c>
      <c r="G3396" t="s">
        <v>67824</v>
      </c>
      <c r="H3396" t="s">
        <v>67825</v>
      </c>
      <c r="I3396" t="s">
        <v>67826</v>
      </c>
      <c r="J3396" t="s">
        <v>67827</v>
      </c>
      <c r="K3396" t="s">
        <v>67828</v>
      </c>
      <c r="L3396" t="s">
        <v>67829</v>
      </c>
      <c r="M3396" t="s">
        <v>67830</v>
      </c>
      <c r="N3396" t="s">
        <v>67831</v>
      </c>
      <c r="O3396">
        <f>-582.357766535505 -81.2043773040376 -738.732103268112</f>
        <v>-1402.2942471076547</v>
      </c>
      <c r="P3396">
        <f>-609.027313993618 -77.258785936236 -423.360312526764</f>
        <v>-1109.646412456618</v>
      </c>
      <c r="Q3396">
        <f>-361.520827214654 -3.06442396971599 -452.987464325563</f>
        <v>-817.572715509933</v>
      </c>
      <c r="R3396" t="s">
        <v>67832</v>
      </c>
      <c r="S3396" t="s">
        <v>67833</v>
      </c>
      <c r="T3396" t="s">
        <v>67834</v>
      </c>
      <c r="U3396" t="s">
        <v>67835</v>
      </c>
      <c r="V3396" t="s">
        <v>67836</v>
      </c>
      <c r="W3396" t="s">
        <v>67837</v>
      </c>
      <c r="X3396" t="s">
        <v>67838</v>
      </c>
      <c r="Y3396" t="s">
        <v>67839</v>
      </c>
    </row>
    <row r="3397" spans="1:25" x14ac:dyDescent="0.3">
      <c r="A3397">
        <v>169800</v>
      </c>
      <c r="B3397" t="s">
        <v>67840</v>
      </c>
      <c r="C3397" t="s">
        <v>67841</v>
      </c>
      <c r="D3397" t="s">
        <v>67842</v>
      </c>
      <c r="E3397" t="s">
        <v>67843</v>
      </c>
      <c r="F3397" t="s">
        <v>67844</v>
      </c>
      <c r="G3397" t="s">
        <v>67845</v>
      </c>
      <c r="H3397" t="s">
        <v>67846</v>
      </c>
      <c r="I3397" t="s">
        <v>67847</v>
      </c>
      <c r="J3397" t="s">
        <v>67848</v>
      </c>
      <c r="K3397" t="s">
        <v>67849</v>
      </c>
      <c r="L3397" t="s">
        <v>67850</v>
      </c>
      <c r="M3397" t="s">
        <v>67851</v>
      </c>
      <c r="N3397" t="s">
        <v>67852</v>
      </c>
      <c r="O3397">
        <f>-581.967416107221 -81.4537090161444 -738.746498487298</f>
        <v>-1402.1676236106634</v>
      </c>
      <c r="P3397">
        <f>-608.768333830363 -77.2793334625675 -423.388775853992</f>
        <v>-1109.4364431469226</v>
      </c>
      <c r="Q3397">
        <f>-361.213316384294 -3.15013548193274 -452.773136493959</f>
        <v>-817.13658836018567</v>
      </c>
      <c r="R3397" t="s">
        <v>67853</v>
      </c>
      <c r="S3397" t="s">
        <v>67854</v>
      </c>
      <c r="T3397" t="s">
        <v>67855</v>
      </c>
      <c r="U3397" t="s">
        <v>67856</v>
      </c>
      <c r="V3397" t="s">
        <v>67857</v>
      </c>
      <c r="W3397" t="s">
        <v>67858</v>
      </c>
      <c r="X3397" t="s">
        <v>67859</v>
      </c>
      <c r="Y3397" t="s">
        <v>67860</v>
      </c>
    </row>
    <row r="3398" spans="1:25" x14ac:dyDescent="0.3">
      <c r="A3398">
        <v>169850</v>
      </c>
      <c r="B3398" t="s">
        <v>67861</v>
      </c>
      <c r="C3398" t="s">
        <v>67862</v>
      </c>
      <c r="D3398" t="s">
        <v>67863</v>
      </c>
      <c r="E3398" t="s">
        <v>67864</v>
      </c>
      <c r="F3398" t="s">
        <v>67865</v>
      </c>
      <c r="G3398" t="s">
        <v>67866</v>
      </c>
      <c r="H3398" t="s">
        <v>67867</v>
      </c>
      <c r="I3398" t="s">
        <v>67868</v>
      </c>
      <c r="J3398" t="s">
        <v>67869</v>
      </c>
      <c r="K3398" t="s">
        <v>67870</v>
      </c>
      <c r="L3398" t="s">
        <v>67871</v>
      </c>
      <c r="M3398" t="s">
        <v>67872</v>
      </c>
      <c r="N3398" t="s">
        <v>67873</v>
      </c>
      <c r="O3398">
        <f>-581.406919022854 -81.7595370816731 -738.618964642155</f>
        <v>-1401.7854207466821</v>
      </c>
      <c r="P3398">
        <f>-608.266832577834 -77.2446890704202 -423.271035485673</f>
        <v>-1108.7825571339272</v>
      </c>
      <c r="Q3398">
        <f>-360.625884156857 -3.30959276856878 -452.419683397331</f>
        <v>-816.35516032275677</v>
      </c>
      <c r="R3398" t="s">
        <v>67874</v>
      </c>
      <c r="S3398" t="s">
        <v>67875</v>
      </c>
      <c r="T3398" t="s">
        <v>67876</v>
      </c>
      <c r="U3398" t="s">
        <v>67877</v>
      </c>
      <c r="V3398" t="s">
        <v>67878</v>
      </c>
      <c r="W3398" t="s">
        <v>67879</v>
      </c>
      <c r="X3398" t="s">
        <v>67880</v>
      </c>
      <c r="Y3398" t="s">
        <v>67881</v>
      </c>
    </row>
    <row r="3399" spans="1:25" x14ac:dyDescent="0.3">
      <c r="A3399">
        <v>169900</v>
      </c>
      <c r="B3399" t="s">
        <v>67882</v>
      </c>
      <c r="C3399" t="s">
        <v>67883</v>
      </c>
      <c r="D3399" t="s">
        <v>67884</v>
      </c>
      <c r="E3399" t="s">
        <v>67885</v>
      </c>
      <c r="F3399" t="s">
        <v>67886</v>
      </c>
      <c r="G3399" t="s">
        <v>67887</v>
      </c>
      <c r="H3399" t="s">
        <v>67888</v>
      </c>
      <c r="I3399" t="s">
        <v>67889</v>
      </c>
      <c r="J3399" t="s">
        <v>67890</v>
      </c>
      <c r="K3399" t="s">
        <v>67891</v>
      </c>
      <c r="L3399" t="s">
        <v>67892</v>
      </c>
      <c r="M3399" t="s">
        <v>67893</v>
      </c>
      <c r="N3399" t="s">
        <v>67894</v>
      </c>
      <c r="O3399">
        <f>-580.992754300071 -82.1299623494907 -738.569045621079</f>
        <v>-1401.6917622706408</v>
      </c>
      <c r="P3399">
        <f>-607.864636585596 -77.3391523413323 -423.226091095874</f>
        <v>-1108.4298800228023</v>
      </c>
      <c r="Q3399">
        <f>-360.190572607429 -3.49914425109965 -452.334110319821</f>
        <v>-816.02382717834962</v>
      </c>
      <c r="R3399" t="s">
        <v>67895</v>
      </c>
      <c r="S3399" t="s">
        <v>67896</v>
      </c>
      <c r="T3399" t="s">
        <v>67897</v>
      </c>
      <c r="U3399" t="s">
        <v>67898</v>
      </c>
      <c r="V3399" t="s">
        <v>67899</v>
      </c>
      <c r="W3399" t="s">
        <v>67900</v>
      </c>
      <c r="X3399" t="s">
        <v>67901</v>
      </c>
      <c r="Y3399" t="s">
        <v>67902</v>
      </c>
    </row>
    <row r="3400" spans="1:25" x14ac:dyDescent="0.3">
      <c r="A3400">
        <v>169950</v>
      </c>
      <c r="B3400" t="s">
        <v>67903</v>
      </c>
      <c r="C3400" t="s">
        <v>67904</v>
      </c>
      <c r="D3400" t="s">
        <v>67905</v>
      </c>
      <c r="E3400" t="s">
        <v>67906</v>
      </c>
      <c r="F3400" t="s">
        <v>67907</v>
      </c>
      <c r="G3400" t="s">
        <v>67908</v>
      </c>
      <c r="H3400" t="s">
        <v>67909</v>
      </c>
      <c r="I3400" t="s">
        <v>67910</v>
      </c>
      <c r="J3400" t="s">
        <v>67911</v>
      </c>
      <c r="K3400" t="s">
        <v>67912</v>
      </c>
      <c r="L3400" t="s">
        <v>67913</v>
      </c>
      <c r="M3400" t="s">
        <v>67914</v>
      </c>
      <c r="N3400" t="s">
        <v>67915</v>
      </c>
      <c r="O3400">
        <f>-580.416817701589 -82.1515646909747 -738.441048072438</f>
        <v>-1401.0094304650017</v>
      </c>
      <c r="P3400">
        <f>-607.093552410003 -77.2787648901192 -423.08284435064</f>
        <v>-1107.4551616507622</v>
      </c>
      <c r="Q3400">
        <f>-359.399309735979 -3.61048174927541 -452.452753960595</f>
        <v>-815.4625454458494</v>
      </c>
      <c r="R3400" t="s">
        <v>67916</v>
      </c>
      <c r="S3400" t="s">
        <v>67917</v>
      </c>
      <c r="T3400" t="s">
        <v>67918</v>
      </c>
      <c r="U3400" t="s">
        <v>67919</v>
      </c>
      <c r="V3400" t="s">
        <v>67920</v>
      </c>
      <c r="W3400" t="s">
        <v>67921</v>
      </c>
      <c r="X3400" t="s">
        <v>67922</v>
      </c>
      <c r="Y3400" t="s">
        <v>67923</v>
      </c>
    </row>
    <row r="3401" spans="1:25" x14ac:dyDescent="0.3">
      <c r="A3401">
        <v>170000</v>
      </c>
      <c r="B3401" t="s">
        <v>67924</v>
      </c>
      <c r="C3401" t="s">
        <v>67925</v>
      </c>
      <c r="D3401" t="s">
        <v>67926</v>
      </c>
      <c r="E3401" t="s">
        <v>67927</v>
      </c>
      <c r="F3401" t="s">
        <v>67928</v>
      </c>
      <c r="G3401" t="s">
        <v>67929</v>
      </c>
      <c r="H3401" t="s">
        <v>67930</v>
      </c>
      <c r="I3401" t="s">
        <v>67931</v>
      </c>
      <c r="J3401" t="s">
        <v>67932</v>
      </c>
      <c r="K3401" t="s">
        <v>67933</v>
      </c>
      <c r="L3401" t="s">
        <v>67934</v>
      </c>
      <c r="M3401" t="s">
        <v>67935</v>
      </c>
      <c r="N3401" t="s">
        <v>67936</v>
      </c>
      <c r="O3401">
        <f>-579.97459634046 -82.3345865514252 -738.40462612577</f>
        <v>-1400.7138090176554</v>
      </c>
      <c r="P3401">
        <f>-606.635732494136 -77.475188749494 -423.044807566391</f>
        <v>-1107.1557288100212</v>
      </c>
      <c r="Q3401">
        <f>-358.934427508495 -3.87303886284778 -452.521357636889</f>
        <v>-815.32882400823178</v>
      </c>
      <c r="R3401" t="s">
        <v>67937</v>
      </c>
      <c r="S3401" t="s">
        <v>67938</v>
      </c>
      <c r="T3401" t="s">
        <v>67939</v>
      </c>
      <c r="U3401" t="s">
        <v>67940</v>
      </c>
      <c r="V3401" t="s">
        <v>67941</v>
      </c>
      <c r="W3401" t="s">
        <v>67942</v>
      </c>
      <c r="X3401" t="s">
        <v>67943</v>
      </c>
      <c r="Y3401" t="s">
        <v>67944</v>
      </c>
    </row>
    <row r="3402" spans="1:25" x14ac:dyDescent="0.3">
      <c r="A3402">
        <v>170050</v>
      </c>
      <c r="B3402" t="s">
        <v>67945</v>
      </c>
      <c r="C3402" t="s">
        <v>67946</v>
      </c>
      <c r="D3402" t="s">
        <v>67947</v>
      </c>
      <c r="E3402" t="s">
        <v>67948</v>
      </c>
      <c r="F3402" t="s">
        <v>67949</v>
      </c>
      <c r="G3402" t="s">
        <v>67950</v>
      </c>
      <c r="H3402" t="s">
        <v>67951</v>
      </c>
      <c r="I3402" t="s">
        <v>67952</v>
      </c>
      <c r="J3402" t="s">
        <v>67953</v>
      </c>
      <c r="K3402" t="s">
        <v>67954</v>
      </c>
      <c r="L3402" t="s">
        <v>67955</v>
      </c>
      <c r="M3402" t="s">
        <v>67956</v>
      </c>
      <c r="N3402" t="s">
        <v>67957</v>
      </c>
      <c r="O3402">
        <f>-579.346027760153 -82.8772538710279 -738.304356569625</f>
        <v>-1400.527638200806</v>
      </c>
      <c r="P3402">
        <f>-605.850464294465 -78.0510784867043 -422.93087527697</f>
        <v>-1106.8324180581394</v>
      </c>
      <c r="Q3402">
        <f>-358.161497034118 -4.49000233888179 -452.612111151321</f>
        <v>-815.26361052432071</v>
      </c>
      <c r="R3402" t="s">
        <v>67958</v>
      </c>
      <c r="S3402" t="s">
        <v>67959</v>
      </c>
      <c r="T3402" t="s">
        <v>67960</v>
      </c>
      <c r="U3402" t="s">
        <v>67961</v>
      </c>
      <c r="V3402" t="s">
        <v>67962</v>
      </c>
      <c r="W3402" t="s">
        <v>67963</v>
      </c>
      <c r="X3402" t="s">
        <v>67964</v>
      </c>
      <c r="Y3402" t="s">
        <v>67965</v>
      </c>
    </row>
    <row r="3403" spans="1:25" x14ac:dyDescent="0.3">
      <c r="A3403">
        <v>170100</v>
      </c>
      <c r="B3403" t="s">
        <v>67966</v>
      </c>
      <c r="C3403" t="s">
        <v>67967</v>
      </c>
      <c r="D3403" t="s">
        <v>67968</v>
      </c>
      <c r="E3403" t="s">
        <v>67969</v>
      </c>
      <c r="F3403" t="s">
        <v>67970</v>
      </c>
      <c r="G3403" t="s">
        <v>67971</v>
      </c>
      <c r="H3403" t="s">
        <v>67972</v>
      </c>
      <c r="I3403" t="s">
        <v>67973</v>
      </c>
      <c r="J3403" t="s">
        <v>67974</v>
      </c>
      <c r="K3403" t="s">
        <v>67975</v>
      </c>
      <c r="L3403" t="s">
        <v>67976</v>
      </c>
      <c r="M3403" t="s">
        <v>67977</v>
      </c>
      <c r="N3403" t="s">
        <v>67978</v>
      </c>
      <c r="O3403">
        <f>-579.051330539314 -82.9925369866315 -738.291313271032</f>
        <v>-1400.3351807969775</v>
      </c>
      <c r="P3403">
        <f>-605.321887893638 -78.1208485559676 -422.899013703888</f>
        <v>-1106.3417501534934</v>
      </c>
      <c r="Q3403">
        <f>-357.610033664754 -4.63376295113769 -452.57252306952</f>
        <v>-814.8163196854116</v>
      </c>
      <c r="R3403" t="s">
        <v>67979</v>
      </c>
      <c r="S3403" t="s">
        <v>67980</v>
      </c>
      <c r="T3403" t="s">
        <v>67981</v>
      </c>
      <c r="U3403" t="s">
        <v>67982</v>
      </c>
      <c r="V3403" t="s">
        <v>67983</v>
      </c>
      <c r="W3403" t="s">
        <v>67984</v>
      </c>
      <c r="X3403" t="s">
        <v>67985</v>
      </c>
      <c r="Y3403" t="s">
        <v>67986</v>
      </c>
    </row>
    <row r="3404" spans="1:25" x14ac:dyDescent="0.3">
      <c r="A3404">
        <v>170150</v>
      </c>
      <c r="B3404" t="s">
        <v>67987</v>
      </c>
      <c r="C3404" t="s">
        <v>67988</v>
      </c>
      <c r="D3404" t="s">
        <v>67989</v>
      </c>
      <c r="E3404" t="s">
        <v>67990</v>
      </c>
      <c r="F3404" t="s">
        <v>67991</v>
      </c>
      <c r="G3404" t="s">
        <v>67992</v>
      </c>
      <c r="H3404" t="s">
        <v>67993</v>
      </c>
      <c r="I3404" t="s">
        <v>67994</v>
      </c>
      <c r="J3404" t="s">
        <v>67995</v>
      </c>
      <c r="K3404" t="s">
        <v>67996</v>
      </c>
      <c r="L3404" t="s">
        <v>67997</v>
      </c>
      <c r="M3404" t="s">
        <v>67998</v>
      </c>
      <c r="N3404" t="s">
        <v>67999</v>
      </c>
      <c r="O3404">
        <f>-578.686490733145 -83.3546000303802 -738.255147500325</f>
        <v>-1400.2962382638502</v>
      </c>
      <c r="P3404">
        <f>-604.454938289807 -78.3518547916583 -422.823356968402</f>
        <v>-1105.6301500498673</v>
      </c>
      <c r="Q3404">
        <f>-356.758069691701 -4.85951604477999 -452.609121968281</f>
        <v>-814.22670770476202</v>
      </c>
      <c r="R3404" t="s">
        <v>68000</v>
      </c>
      <c r="S3404" t="s">
        <v>68001</v>
      </c>
      <c r="T3404" t="s">
        <v>68002</v>
      </c>
      <c r="U3404" t="s">
        <v>68003</v>
      </c>
      <c r="V3404" t="s">
        <v>68004</v>
      </c>
      <c r="W3404" t="s">
        <v>68005</v>
      </c>
      <c r="X3404" t="s">
        <v>68006</v>
      </c>
      <c r="Y3404" t="s">
        <v>68007</v>
      </c>
    </row>
    <row r="3405" spans="1:25" x14ac:dyDescent="0.3">
      <c r="A3405">
        <v>170200</v>
      </c>
      <c r="B3405" t="s">
        <v>68008</v>
      </c>
      <c r="C3405" t="s">
        <v>68009</v>
      </c>
      <c r="D3405" t="s">
        <v>68010</v>
      </c>
      <c r="E3405" t="s">
        <v>68011</v>
      </c>
      <c r="F3405" t="s">
        <v>68012</v>
      </c>
      <c r="G3405" t="s">
        <v>68013</v>
      </c>
      <c r="H3405" t="s">
        <v>68014</v>
      </c>
      <c r="I3405" t="s">
        <v>68015</v>
      </c>
      <c r="J3405" t="s">
        <v>68016</v>
      </c>
      <c r="K3405" t="s">
        <v>68017</v>
      </c>
      <c r="L3405" t="s">
        <v>68018</v>
      </c>
      <c r="M3405" t="s">
        <v>68019</v>
      </c>
      <c r="N3405" t="s">
        <v>68020</v>
      </c>
      <c r="O3405">
        <f>-578.521412585074 -83.4642438566031 -738.167458491183</f>
        <v>-1400.15311493286</v>
      </c>
      <c r="P3405">
        <f>-604.029384756924 -78.4249294209462 -422.71523924097</f>
        <v>-1105.1695534188402</v>
      </c>
      <c r="Q3405">
        <f>-356.354436125447 -4.92484899358104 -452.664272228523</f>
        <v>-813.94355734755106</v>
      </c>
      <c r="R3405" t="s">
        <v>68021</v>
      </c>
      <c r="S3405" t="s">
        <v>68022</v>
      </c>
      <c r="T3405" t="s">
        <v>68023</v>
      </c>
      <c r="U3405" t="s">
        <v>68024</v>
      </c>
      <c r="V3405" t="s">
        <v>68025</v>
      </c>
      <c r="W3405" t="s">
        <v>68026</v>
      </c>
      <c r="X3405" t="s">
        <v>68027</v>
      </c>
      <c r="Y3405" t="s">
        <v>68028</v>
      </c>
    </row>
    <row r="3406" spans="1:25" x14ac:dyDescent="0.3">
      <c r="A3406">
        <v>170250</v>
      </c>
      <c r="B3406" t="s">
        <v>68029</v>
      </c>
      <c r="C3406" t="s">
        <v>68030</v>
      </c>
      <c r="D3406" t="s">
        <v>68031</v>
      </c>
      <c r="E3406" t="s">
        <v>68032</v>
      </c>
      <c r="F3406" t="s">
        <v>68033</v>
      </c>
      <c r="G3406" t="s">
        <v>68034</v>
      </c>
      <c r="H3406" t="s">
        <v>68035</v>
      </c>
      <c r="I3406" t="s">
        <v>68036</v>
      </c>
      <c r="J3406" t="s">
        <v>68037</v>
      </c>
      <c r="K3406" t="s">
        <v>68038</v>
      </c>
      <c r="L3406" t="s">
        <v>68039</v>
      </c>
      <c r="M3406" t="s">
        <v>68040</v>
      </c>
      <c r="N3406" t="s">
        <v>68041</v>
      </c>
      <c r="O3406">
        <f>-577.485611328274 -84.000496873006 -737.986762662007</f>
        <v>-1399.472870863287</v>
      </c>
      <c r="P3406">
        <f>-602.825459051722 -79.0366694311767 -422.519759394181</f>
        <v>-1104.3818878770796</v>
      </c>
      <c r="Q3406">
        <f>-355.212412680207 -5.48412658201057 -452.849237483847</f>
        <v>-813.54577674606458</v>
      </c>
      <c r="R3406" t="s">
        <v>68042</v>
      </c>
      <c r="S3406" t="s">
        <v>68043</v>
      </c>
      <c r="T3406" t="s">
        <v>68044</v>
      </c>
      <c r="U3406" t="s">
        <v>68045</v>
      </c>
      <c r="V3406" t="s">
        <v>68046</v>
      </c>
      <c r="W3406" t="s">
        <v>68047</v>
      </c>
      <c r="X3406" t="s">
        <v>68048</v>
      </c>
      <c r="Y3406" t="s">
        <v>68049</v>
      </c>
    </row>
    <row r="3407" spans="1:25" x14ac:dyDescent="0.3">
      <c r="A3407">
        <v>170300</v>
      </c>
      <c r="B3407" t="s">
        <v>68050</v>
      </c>
      <c r="C3407" t="s">
        <v>68051</v>
      </c>
      <c r="D3407" t="s">
        <v>68052</v>
      </c>
      <c r="E3407" t="s">
        <v>68053</v>
      </c>
      <c r="F3407" t="s">
        <v>68054</v>
      </c>
      <c r="G3407" t="s">
        <v>68055</v>
      </c>
      <c r="H3407" t="s">
        <v>68056</v>
      </c>
      <c r="I3407" t="s">
        <v>68057</v>
      </c>
      <c r="J3407" t="s">
        <v>68058</v>
      </c>
      <c r="K3407" t="s">
        <v>68059</v>
      </c>
      <c r="L3407" t="s">
        <v>68060</v>
      </c>
      <c r="M3407" t="s">
        <v>68061</v>
      </c>
      <c r="N3407" t="s">
        <v>68062</v>
      </c>
      <c r="O3407">
        <f>-577.099087260413 -84.1419064382917 -737.959062673351</f>
        <v>-1399.2000563720558</v>
      </c>
      <c r="P3407">
        <f>-602.543467847636 -79.1349601743955 -422.501188785015</f>
        <v>-1104.1796168070464</v>
      </c>
      <c r="Q3407">
        <f>-354.965253588578 -5.47572164952174 -452.855268851363</f>
        <v>-813.29624408946279</v>
      </c>
      <c r="R3407" t="s">
        <v>68063</v>
      </c>
      <c r="S3407" t="s">
        <v>68064</v>
      </c>
      <c r="T3407" t="s">
        <v>68065</v>
      </c>
      <c r="U3407" t="s">
        <v>68066</v>
      </c>
      <c r="V3407" t="s">
        <v>68067</v>
      </c>
      <c r="W3407" t="s">
        <v>68068</v>
      </c>
      <c r="X3407" t="s">
        <v>68069</v>
      </c>
      <c r="Y3407" t="s">
        <v>68070</v>
      </c>
    </row>
    <row r="3408" spans="1:25" x14ac:dyDescent="0.3">
      <c r="A3408">
        <v>170350</v>
      </c>
      <c r="B3408" t="s">
        <v>68071</v>
      </c>
      <c r="C3408" t="s">
        <v>68072</v>
      </c>
      <c r="D3408" t="s">
        <v>68073</v>
      </c>
      <c r="E3408" t="s">
        <v>68074</v>
      </c>
      <c r="F3408" t="s">
        <v>68075</v>
      </c>
      <c r="G3408" t="s">
        <v>68076</v>
      </c>
      <c r="H3408" t="s">
        <v>68077</v>
      </c>
      <c r="I3408" t="s">
        <v>68078</v>
      </c>
      <c r="J3408" t="s">
        <v>68079</v>
      </c>
      <c r="K3408" t="s">
        <v>68080</v>
      </c>
      <c r="L3408" t="s">
        <v>68081</v>
      </c>
      <c r="M3408" t="s">
        <v>68082</v>
      </c>
      <c r="N3408" t="s">
        <v>68083</v>
      </c>
      <c r="O3408">
        <f>-576.125974485759 -84.658700063634 -737.993156413543</f>
        <v>-1398.7778309629362</v>
      </c>
      <c r="P3408">
        <f>-601.819482345048 -79.775749744446 -422.553484770264</f>
        <v>-1104.148716859758</v>
      </c>
      <c r="Q3408">
        <f>-354.296519673642 -5.8662485381011 -452.750098000077</f>
        <v>-812.91286621182007</v>
      </c>
      <c r="R3408" t="s">
        <v>68084</v>
      </c>
      <c r="S3408" t="s">
        <v>68085</v>
      </c>
      <c r="T3408" t="s">
        <v>68086</v>
      </c>
      <c r="U3408" t="s">
        <v>68087</v>
      </c>
      <c r="V3408" t="s">
        <v>68088</v>
      </c>
      <c r="W3408" t="s">
        <v>68089</v>
      </c>
      <c r="X3408" t="s">
        <v>68090</v>
      </c>
      <c r="Y3408" t="s">
        <v>68091</v>
      </c>
    </row>
    <row r="3409" spans="1:25" x14ac:dyDescent="0.3">
      <c r="A3409">
        <v>170400</v>
      </c>
      <c r="B3409" t="s">
        <v>68092</v>
      </c>
      <c r="C3409" t="s">
        <v>68093</v>
      </c>
      <c r="D3409" t="s">
        <v>68094</v>
      </c>
      <c r="E3409" t="s">
        <v>68095</v>
      </c>
      <c r="F3409" t="s">
        <v>68096</v>
      </c>
      <c r="G3409" t="s">
        <v>68097</v>
      </c>
      <c r="H3409" t="s">
        <v>68098</v>
      </c>
      <c r="I3409" t="s">
        <v>68099</v>
      </c>
      <c r="J3409" t="s">
        <v>68100</v>
      </c>
      <c r="K3409" t="s">
        <v>68101</v>
      </c>
      <c r="L3409" t="s">
        <v>68102</v>
      </c>
      <c r="M3409" t="s">
        <v>68103</v>
      </c>
      <c r="N3409" t="s">
        <v>68104</v>
      </c>
      <c r="O3409">
        <f>-575.617444163147 -85.0758845126517 -738.044237823217</f>
        <v>-1398.7375664990157</v>
      </c>
      <c r="P3409">
        <f>-601.479287117834 -80.0861145195362 -422.619985555707</f>
        <v>-1104.1853871930771</v>
      </c>
      <c r="Q3409">
        <f>-353.953960905522 -6.13612181873411 -452.697687962127</f>
        <v>-812.78777068638317</v>
      </c>
      <c r="R3409" t="s">
        <v>68105</v>
      </c>
      <c r="S3409" t="s">
        <v>68106</v>
      </c>
      <c r="T3409" t="s">
        <v>68107</v>
      </c>
      <c r="U3409" t="s">
        <v>68108</v>
      </c>
      <c r="V3409" t="s">
        <v>68109</v>
      </c>
      <c r="W3409" t="s">
        <v>68110</v>
      </c>
      <c r="X3409" t="s">
        <v>68111</v>
      </c>
      <c r="Y3409" t="s">
        <v>68112</v>
      </c>
    </row>
    <row r="3410" spans="1:25" x14ac:dyDescent="0.3">
      <c r="A3410">
        <v>170450</v>
      </c>
      <c r="B3410" t="s">
        <v>68113</v>
      </c>
      <c r="C3410" t="s">
        <v>68114</v>
      </c>
      <c r="D3410" t="s">
        <v>68115</v>
      </c>
      <c r="E3410" t="s">
        <v>68116</v>
      </c>
      <c r="F3410" t="s">
        <v>68117</v>
      </c>
      <c r="G3410" t="s">
        <v>68118</v>
      </c>
      <c r="H3410" t="s">
        <v>68119</v>
      </c>
      <c r="I3410" t="s">
        <v>68120</v>
      </c>
      <c r="J3410" t="s">
        <v>68121</v>
      </c>
      <c r="K3410" t="s">
        <v>68122</v>
      </c>
      <c r="L3410" t="s">
        <v>68123</v>
      </c>
      <c r="M3410" t="s">
        <v>68124</v>
      </c>
      <c r="N3410" t="s">
        <v>68125</v>
      </c>
      <c r="O3410">
        <f>-574.901595275118 -85.610617425397 -738.066338383681</f>
        <v>-1398.5785510841961</v>
      </c>
      <c r="P3410">
        <f>-600.887350028345 -80.3434918881936 -422.656867488572</f>
        <v>-1103.8877094051106</v>
      </c>
      <c r="Q3410">
        <f>-353.338836361392 -6.37268396996994 -452.491525949626</f>
        <v>-812.20304628098802</v>
      </c>
      <c r="R3410" t="s">
        <v>68126</v>
      </c>
      <c r="S3410" t="s">
        <v>68127</v>
      </c>
      <c r="T3410" t="s">
        <v>68128</v>
      </c>
      <c r="U3410" t="s">
        <v>68129</v>
      </c>
      <c r="V3410" t="s">
        <v>68130</v>
      </c>
      <c r="W3410" t="s">
        <v>68131</v>
      </c>
      <c r="X3410" t="s">
        <v>68132</v>
      </c>
      <c r="Y3410" t="s">
        <v>68133</v>
      </c>
    </row>
    <row r="3411" spans="1:25" x14ac:dyDescent="0.3">
      <c r="A3411">
        <v>170500</v>
      </c>
      <c r="B3411" t="s">
        <v>68134</v>
      </c>
      <c r="C3411" t="s">
        <v>68135</v>
      </c>
      <c r="D3411" t="s">
        <v>68136</v>
      </c>
      <c r="E3411" t="s">
        <v>68137</v>
      </c>
      <c r="F3411" t="s">
        <v>68138</v>
      </c>
      <c r="G3411" t="s">
        <v>68139</v>
      </c>
      <c r="H3411" t="s">
        <v>68140</v>
      </c>
      <c r="I3411" t="s">
        <v>68141</v>
      </c>
      <c r="J3411" t="s">
        <v>68142</v>
      </c>
      <c r="K3411" t="s">
        <v>68143</v>
      </c>
      <c r="L3411" t="s">
        <v>68144</v>
      </c>
      <c r="M3411" t="s">
        <v>68145</v>
      </c>
      <c r="N3411" t="s">
        <v>68146</v>
      </c>
      <c r="O3411">
        <f>-574.527881246692 -85.8437606391992 -738.036317903245</f>
        <v>-1398.4079597891364</v>
      </c>
      <c r="P3411">
        <f>-600.580519361257 -80.5059505066794 -422.633444193009</f>
        <v>-1103.7199140609453</v>
      </c>
      <c r="Q3411">
        <f>-353.073684511325 -6.4106145678283 -452.50511883269</f>
        <v>-811.98941791184325</v>
      </c>
      <c r="R3411" t="s">
        <v>68147</v>
      </c>
      <c r="S3411" t="s">
        <v>68148</v>
      </c>
      <c r="T3411" t="s">
        <v>68149</v>
      </c>
      <c r="U3411" t="s">
        <v>68150</v>
      </c>
      <c r="V3411" t="s">
        <v>68151</v>
      </c>
      <c r="W3411" t="s">
        <v>68152</v>
      </c>
      <c r="X3411" t="s">
        <v>68153</v>
      </c>
      <c r="Y3411" t="s">
        <v>68154</v>
      </c>
    </row>
    <row r="3412" spans="1:25" x14ac:dyDescent="0.3">
      <c r="A3412">
        <v>170550</v>
      </c>
      <c r="B3412" t="s">
        <v>68155</v>
      </c>
      <c r="C3412" t="s">
        <v>68156</v>
      </c>
      <c r="D3412" t="s">
        <v>68157</v>
      </c>
      <c r="E3412" t="s">
        <v>68158</v>
      </c>
      <c r="F3412" t="s">
        <v>68159</v>
      </c>
      <c r="G3412" t="s">
        <v>68160</v>
      </c>
      <c r="H3412" t="s">
        <v>68161</v>
      </c>
      <c r="I3412" t="s">
        <v>68162</v>
      </c>
      <c r="J3412" t="s">
        <v>68163</v>
      </c>
      <c r="K3412" t="s">
        <v>68164</v>
      </c>
      <c r="L3412" t="s">
        <v>68165</v>
      </c>
      <c r="M3412" t="s">
        <v>68166</v>
      </c>
      <c r="N3412" t="s">
        <v>68167</v>
      </c>
      <c r="O3412">
        <f>-573.96960875818 -86.4050461512245 -737.910289639558</f>
        <v>-1398.2849445489624</v>
      </c>
      <c r="P3412">
        <f>-600.004155902196 -81.0346664974318 -422.506399543356</f>
        <v>-1103.5452219429837</v>
      </c>
      <c r="Q3412">
        <f>-352.614972137003 -6.61316515622834 -452.541127629656</f>
        <v>-811.76926492288726</v>
      </c>
      <c r="R3412" t="s">
        <v>68168</v>
      </c>
      <c r="S3412" t="s">
        <v>68169</v>
      </c>
      <c r="T3412" t="s">
        <v>68170</v>
      </c>
      <c r="U3412" t="s">
        <v>68171</v>
      </c>
      <c r="V3412" t="s">
        <v>68172</v>
      </c>
      <c r="W3412" t="s">
        <v>68173</v>
      </c>
      <c r="X3412" t="s">
        <v>68174</v>
      </c>
      <c r="Y3412" t="s">
        <v>68175</v>
      </c>
    </row>
    <row r="3413" spans="1:25" x14ac:dyDescent="0.3">
      <c r="A3413">
        <v>170600</v>
      </c>
      <c r="B3413" t="s">
        <v>68176</v>
      </c>
      <c r="C3413" t="s">
        <v>68177</v>
      </c>
      <c r="D3413" t="s">
        <v>68178</v>
      </c>
      <c r="E3413" t="s">
        <v>68179</v>
      </c>
      <c r="F3413" t="s">
        <v>68180</v>
      </c>
      <c r="G3413" t="s">
        <v>68181</v>
      </c>
      <c r="H3413" t="s">
        <v>68182</v>
      </c>
      <c r="I3413" t="s">
        <v>68183</v>
      </c>
      <c r="J3413" t="s">
        <v>68184</v>
      </c>
      <c r="K3413" t="s">
        <v>68185</v>
      </c>
      <c r="L3413" t="s">
        <v>68186</v>
      </c>
      <c r="M3413" t="s">
        <v>68187</v>
      </c>
      <c r="N3413" t="s">
        <v>68188</v>
      </c>
      <c r="O3413">
        <f>-573.691764996039 -86.6701073434586 -737.834354069786</f>
        <v>-1398.1962264092836</v>
      </c>
      <c r="P3413">
        <f>-599.768299771438 -81.2571234660323 -422.434801949965</f>
        <v>-1103.4602251874353</v>
      </c>
      <c r="Q3413">
        <f>-352.431658734337 -6.69262108148688 -452.547548258397</f>
        <v>-811.67182807422091</v>
      </c>
      <c r="R3413" t="s">
        <v>68189</v>
      </c>
      <c r="S3413" t="s">
        <v>68190</v>
      </c>
      <c r="T3413" t="s">
        <v>68191</v>
      </c>
      <c r="U3413" t="s">
        <v>68192</v>
      </c>
      <c r="V3413" t="s">
        <v>68193</v>
      </c>
      <c r="W3413" t="s">
        <v>68194</v>
      </c>
      <c r="X3413" t="s">
        <v>68195</v>
      </c>
      <c r="Y3413" t="s">
        <v>68196</v>
      </c>
    </row>
    <row r="3414" spans="1:25" x14ac:dyDescent="0.3">
      <c r="A3414">
        <v>170650</v>
      </c>
      <c r="B3414" t="s">
        <v>68197</v>
      </c>
      <c r="C3414" t="s">
        <v>68198</v>
      </c>
      <c r="D3414" t="s">
        <v>68199</v>
      </c>
      <c r="E3414" t="s">
        <v>68200</v>
      </c>
      <c r="F3414" t="s">
        <v>68201</v>
      </c>
      <c r="G3414" t="s">
        <v>68202</v>
      </c>
      <c r="H3414" t="s">
        <v>68203</v>
      </c>
      <c r="I3414" t="s">
        <v>68204</v>
      </c>
      <c r="J3414" t="s">
        <v>68205</v>
      </c>
      <c r="K3414" t="s">
        <v>68206</v>
      </c>
      <c r="L3414" t="s">
        <v>68207</v>
      </c>
      <c r="M3414" t="s">
        <v>68208</v>
      </c>
      <c r="N3414" t="s">
        <v>68209</v>
      </c>
      <c r="O3414">
        <f>-573.423871686702 -87.4291135867334 -737.743080170348</f>
        <v>-1398.5960654437833</v>
      </c>
      <c r="P3414">
        <f>-599.425266148466 -81.9327951575439 -422.338657889169</f>
        <v>-1103.696719195179</v>
      </c>
      <c r="Q3414">
        <f>-352.179304496316 -7.11627787468065 -452.570826519244</f>
        <v>-811.86640889024056</v>
      </c>
      <c r="R3414" t="s">
        <v>68210</v>
      </c>
      <c r="S3414" t="s">
        <v>68211</v>
      </c>
      <c r="T3414" t="s">
        <v>68212</v>
      </c>
      <c r="U3414" t="s">
        <v>68213</v>
      </c>
      <c r="V3414" t="s">
        <v>68214</v>
      </c>
      <c r="W3414" t="s">
        <v>68215</v>
      </c>
      <c r="X3414" t="s">
        <v>68216</v>
      </c>
      <c r="Y3414" t="s">
        <v>68217</v>
      </c>
    </row>
    <row r="3415" spans="1:25" x14ac:dyDescent="0.3">
      <c r="A3415">
        <v>170700</v>
      </c>
      <c r="B3415" t="s">
        <v>68218</v>
      </c>
      <c r="C3415" t="s">
        <v>68219</v>
      </c>
      <c r="D3415" t="s">
        <v>68220</v>
      </c>
      <c r="E3415" t="s">
        <v>68221</v>
      </c>
      <c r="F3415" t="s">
        <v>68222</v>
      </c>
      <c r="G3415" t="s">
        <v>68223</v>
      </c>
      <c r="H3415" t="s">
        <v>68224</v>
      </c>
      <c r="I3415" t="s">
        <v>68225</v>
      </c>
      <c r="J3415" t="s">
        <v>68226</v>
      </c>
      <c r="K3415" t="s">
        <v>68227</v>
      </c>
      <c r="L3415" t="s">
        <v>68228</v>
      </c>
      <c r="M3415" t="s">
        <v>68229</v>
      </c>
      <c r="N3415" t="s">
        <v>68230</v>
      </c>
      <c r="O3415">
        <f>-573.280666891835 -87.6748986515918 -737.712027380055</f>
        <v>-1398.6675929234818</v>
      </c>
      <c r="P3415">
        <f>-599.226671928687 -82.1447022564562 -422.303769795963</f>
        <v>-1103.6751439811062</v>
      </c>
      <c r="Q3415">
        <f>-352.018899286955 -7.19700517543679 -452.523511200034</f>
        <v>-811.73941566242581</v>
      </c>
      <c r="R3415" t="s">
        <v>68231</v>
      </c>
      <c r="S3415" t="s">
        <v>68232</v>
      </c>
      <c r="T3415" t="s">
        <v>68233</v>
      </c>
      <c r="U3415" t="s">
        <v>68234</v>
      </c>
      <c r="V3415" t="s">
        <v>68235</v>
      </c>
      <c r="W3415" t="s">
        <v>68236</v>
      </c>
      <c r="X3415" t="s">
        <v>68237</v>
      </c>
      <c r="Y3415" t="s">
        <v>68238</v>
      </c>
    </row>
    <row r="3416" spans="1:25" x14ac:dyDescent="0.3">
      <c r="A3416">
        <v>170750</v>
      </c>
      <c r="B3416" t="s">
        <v>68239</v>
      </c>
      <c r="C3416" t="s">
        <v>68240</v>
      </c>
      <c r="D3416" t="s">
        <v>68241</v>
      </c>
      <c r="E3416" t="s">
        <v>68242</v>
      </c>
      <c r="F3416" t="s">
        <v>68243</v>
      </c>
      <c r="G3416" t="s">
        <v>68244</v>
      </c>
      <c r="H3416" t="s">
        <v>68245</v>
      </c>
      <c r="I3416" t="s">
        <v>68246</v>
      </c>
      <c r="J3416" t="s">
        <v>68247</v>
      </c>
      <c r="K3416" t="s">
        <v>68248</v>
      </c>
      <c r="L3416" t="s">
        <v>68249</v>
      </c>
      <c r="M3416" t="s">
        <v>68250</v>
      </c>
      <c r="N3416" t="s">
        <v>68251</v>
      </c>
      <c r="O3416">
        <f>-572.93866161109 -88.4694196964482 -737.624675402785</f>
        <v>-1399.0327567103232</v>
      </c>
      <c r="P3416">
        <f>-598.929184309648 -82.7806253154023 -422.222765966217</f>
        <v>-1103.9325755912673</v>
      </c>
      <c r="Q3416">
        <f>-351.784775678093 -7.6394982705359 -452.479470413687</f>
        <v>-811.90374436231593</v>
      </c>
      <c r="R3416" t="s">
        <v>68252</v>
      </c>
      <c r="S3416" t="s">
        <v>68253</v>
      </c>
      <c r="T3416" t="s">
        <v>68254</v>
      </c>
      <c r="U3416" t="s">
        <v>68255</v>
      </c>
      <c r="V3416" t="s">
        <v>68256</v>
      </c>
      <c r="W3416" t="s">
        <v>68257</v>
      </c>
      <c r="X3416" t="s">
        <v>68258</v>
      </c>
      <c r="Y3416" t="s">
        <v>68259</v>
      </c>
    </row>
    <row r="3417" spans="1:25" x14ac:dyDescent="0.3">
      <c r="A3417">
        <v>170800</v>
      </c>
      <c r="B3417" t="s">
        <v>68260</v>
      </c>
      <c r="C3417" t="s">
        <v>68261</v>
      </c>
      <c r="D3417" t="s">
        <v>68262</v>
      </c>
      <c r="E3417" t="s">
        <v>68263</v>
      </c>
      <c r="F3417" t="s">
        <v>68264</v>
      </c>
      <c r="G3417" t="s">
        <v>68265</v>
      </c>
      <c r="H3417" t="s">
        <v>68266</v>
      </c>
      <c r="I3417" t="s">
        <v>68267</v>
      </c>
      <c r="J3417" t="s">
        <v>68268</v>
      </c>
      <c r="K3417" t="s">
        <v>68269</v>
      </c>
      <c r="L3417" t="s">
        <v>68270</v>
      </c>
      <c r="M3417" t="s">
        <v>68271</v>
      </c>
      <c r="N3417" t="s">
        <v>68272</v>
      </c>
      <c r="O3417">
        <f>-572.900613871478 -88.5861543987553 -737.530053090387</f>
        <v>-1399.0168213606203</v>
      </c>
      <c r="P3417">
        <f>-598.901138389101 -82.8429207968359 -422.129978415063</f>
        <v>-1103.8740376009998</v>
      </c>
      <c r="Q3417">
        <f>-351.784110514901 -7.61788454860667 -452.402436258845</f>
        <v>-811.80443132235268</v>
      </c>
      <c r="R3417" t="s">
        <v>68273</v>
      </c>
      <c r="S3417" t="s">
        <v>68274</v>
      </c>
      <c r="T3417" t="s">
        <v>68275</v>
      </c>
      <c r="U3417" t="s">
        <v>68276</v>
      </c>
      <c r="V3417" t="s">
        <v>68277</v>
      </c>
      <c r="W3417" t="s">
        <v>68278</v>
      </c>
      <c r="X3417" t="s">
        <v>68279</v>
      </c>
      <c r="Y3417" t="s">
        <v>68280</v>
      </c>
    </row>
    <row r="3418" spans="1:25" x14ac:dyDescent="0.3">
      <c r="A3418">
        <v>170850</v>
      </c>
      <c r="B3418" t="s">
        <v>68281</v>
      </c>
      <c r="C3418" t="s">
        <v>68282</v>
      </c>
      <c r="D3418" t="s">
        <v>68283</v>
      </c>
      <c r="E3418" t="s">
        <v>68284</v>
      </c>
      <c r="F3418" t="s">
        <v>68285</v>
      </c>
      <c r="G3418" t="s">
        <v>68286</v>
      </c>
      <c r="H3418" t="s">
        <v>68287</v>
      </c>
      <c r="I3418" t="s">
        <v>68288</v>
      </c>
      <c r="J3418" t="s">
        <v>68289</v>
      </c>
      <c r="K3418" t="s">
        <v>68290</v>
      </c>
      <c r="L3418" t="s">
        <v>68291</v>
      </c>
      <c r="M3418" t="s">
        <v>68292</v>
      </c>
      <c r="N3418" t="s">
        <v>68293</v>
      </c>
      <c r="O3418">
        <f>-572.342556218643 -89.1911301155246 -737.308138166192</f>
        <v>-1398.8418245003595</v>
      </c>
      <c r="P3418">
        <f>-598.510706560874 -83.1865900886483 -421.926790288081</f>
        <v>-1103.6240869376034</v>
      </c>
      <c r="Q3418">
        <f>-351.370065305419 -8.08272891116373 -452.307200315334</f>
        <v>-811.75999453191673</v>
      </c>
      <c r="R3418" t="s">
        <v>68294</v>
      </c>
      <c r="S3418" t="s">
        <v>68295</v>
      </c>
      <c r="T3418" t="s">
        <v>68296</v>
      </c>
      <c r="U3418" t="s">
        <v>68297</v>
      </c>
      <c r="V3418" t="s">
        <v>68298</v>
      </c>
      <c r="W3418" t="s">
        <v>68299</v>
      </c>
      <c r="X3418" t="s">
        <v>68300</v>
      </c>
      <c r="Y3418" t="s">
        <v>68301</v>
      </c>
    </row>
    <row r="3419" spans="1:25" x14ac:dyDescent="0.3">
      <c r="A3419">
        <v>170900</v>
      </c>
      <c r="B3419" t="s">
        <v>68302</v>
      </c>
      <c r="C3419" t="s">
        <v>68303</v>
      </c>
      <c r="D3419" t="s">
        <v>68304</v>
      </c>
      <c r="E3419" t="s">
        <v>68305</v>
      </c>
      <c r="F3419" t="s">
        <v>68306</v>
      </c>
      <c r="G3419" t="s">
        <v>68307</v>
      </c>
      <c r="H3419" t="s">
        <v>68308</v>
      </c>
      <c r="I3419" t="s">
        <v>68309</v>
      </c>
      <c r="J3419" t="s">
        <v>68310</v>
      </c>
      <c r="K3419" t="s">
        <v>68311</v>
      </c>
      <c r="L3419" t="s">
        <v>68312</v>
      </c>
      <c r="M3419" t="s">
        <v>68313</v>
      </c>
      <c r="N3419" t="s">
        <v>68314</v>
      </c>
      <c r="O3419">
        <f>-572.261436786314 -89.5804850202869 -737.204211465525</f>
        <v>-1399.0461332721259</v>
      </c>
      <c r="P3419">
        <f>-598.482177219469 -83.4135054969699 -421.83036743675</f>
        <v>-1103.7260501531889</v>
      </c>
      <c r="Q3419">
        <f>-351.305082362774 -8.42505722326327 -452.199092723396</f>
        <v>-811.92923230943325</v>
      </c>
      <c r="R3419" t="s">
        <v>68315</v>
      </c>
      <c r="S3419" t="s">
        <v>68316</v>
      </c>
      <c r="T3419" t="s">
        <v>68317</v>
      </c>
      <c r="U3419" t="s">
        <v>68318</v>
      </c>
      <c r="V3419" t="s">
        <v>68319</v>
      </c>
      <c r="W3419" t="s">
        <v>68320</v>
      </c>
      <c r="X3419" t="s">
        <v>68321</v>
      </c>
      <c r="Y3419" t="s">
        <v>68322</v>
      </c>
    </row>
    <row r="3420" spans="1:25" x14ac:dyDescent="0.3">
      <c r="A3420">
        <v>170950</v>
      </c>
      <c r="B3420" t="s">
        <v>68323</v>
      </c>
      <c r="C3420" t="s">
        <v>68324</v>
      </c>
      <c r="D3420" t="s">
        <v>68325</v>
      </c>
      <c r="E3420" t="s">
        <v>68326</v>
      </c>
      <c r="F3420" t="s">
        <v>68327</v>
      </c>
      <c r="G3420" t="s">
        <v>68328</v>
      </c>
      <c r="H3420" t="s">
        <v>68329</v>
      </c>
      <c r="I3420" t="s">
        <v>68330</v>
      </c>
      <c r="J3420" t="s">
        <v>68331</v>
      </c>
      <c r="K3420" t="s">
        <v>68332</v>
      </c>
      <c r="L3420" t="s">
        <v>68333</v>
      </c>
      <c r="M3420" t="s">
        <v>68334</v>
      </c>
      <c r="N3420" t="s">
        <v>68335</v>
      </c>
      <c r="O3420">
        <f>-572.02648646235 -90.419886401368 -736.964428254724</f>
        <v>-1399.4108011184421</v>
      </c>
      <c r="P3420">
        <f>-598.425674918521 -83.8489919217274 -421.613636069171</f>
        <v>-1103.8883029094195</v>
      </c>
      <c r="Q3420">
        <f>-351.131351869589 -9.19254204727412 -451.845541866295</f>
        <v>-812.16943578315818</v>
      </c>
      <c r="R3420" t="s">
        <v>68336</v>
      </c>
      <c r="S3420" t="s">
        <v>68337</v>
      </c>
      <c r="T3420" t="s">
        <v>68338</v>
      </c>
      <c r="U3420" t="s">
        <v>68339</v>
      </c>
      <c r="V3420" t="s">
        <v>68340</v>
      </c>
      <c r="W3420" t="s">
        <v>68341</v>
      </c>
      <c r="X3420" t="s">
        <v>68342</v>
      </c>
      <c r="Y3420" t="s">
        <v>68343</v>
      </c>
    </row>
    <row r="3421" spans="1:25" x14ac:dyDescent="0.3">
      <c r="A3421">
        <v>171000</v>
      </c>
      <c r="B3421" t="s">
        <v>68344</v>
      </c>
      <c r="C3421" t="s">
        <v>68345</v>
      </c>
      <c r="D3421" t="s">
        <v>68346</v>
      </c>
      <c r="E3421" t="s">
        <v>68347</v>
      </c>
      <c r="F3421" t="s">
        <v>68348</v>
      </c>
      <c r="G3421" t="s">
        <v>68349</v>
      </c>
      <c r="H3421" t="s">
        <v>68350</v>
      </c>
      <c r="I3421" t="s">
        <v>68351</v>
      </c>
      <c r="J3421" t="s">
        <v>68352</v>
      </c>
      <c r="K3421" t="s">
        <v>68353</v>
      </c>
      <c r="L3421" t="s">
        <v>68354</v>
      </c>
      <c r="M3421" t="s">
        <v>68355</v>
      </c>
      <c r="N3421" t="s">
        <v>68356</v>
      </c>
      <c r="O3421">
        <f>-571.866307410226 -90.787269724274 -736.829101018761</f>
        <v>-1399.4826781532611</v>
      </c>
      <c r="P3421">
        <f>-598.388347420285 -84.0145777630974 -421.492871069258</f>
        <v>-1103.8957962526404</v>
      </c>
      <c r="Q3421">
        <f>-351.046052348506 -9.46285964005678 -451.590474569098</f>
        <v>-812.09938655766075</v>
      </c>
      <c r="R3421" t="s">
        <v>68357</v>
      </c>
      <c r="S3421" t="s">
        <v>68358</v>
      </c>
      <c r="T3421" t="s">
        <v>68359</v>
      </c>
      <c r="U3421" t="s">
        <v>68360</v>
      </c>
      <c r="V3421" t="s">
        <v>68361</v>
      </c>
      <c r="W3421" t="s">
        <v>68362</v>
      </c>
      <c r="X3421" t="s">
        <v>68363</v>
      </c>
      <c r="Y3421" t="s">
        <v>68364</v>
      </c>
    </row>
    <row r="3422" spans="1:25" x14ac:dyDescent="0.3">
      <c r="A3422">
        <v>171050</v>
      </c>
      <c r="B3422" t="s">
        <v>68365</v>
      </c>
      <c r="C3422" t="s">
        <v>68366</v>
      </c>
      <c r="D3422" t="s">
        <v>68367</v>
      </c>
      <c r="E3422" t="s">
        <v>68368</v>
      </c>
      <c r="F3422" t="s">
        <v>68369</v>
      </c>
      <c r="G3422" t="s">
        <v>68370</v>
      </c>
      <c r="H3422" t="s">
        <v>68371</v>
      </c>
      <c r="I3422" t="s">
        <v>68372</v>
      </c>
      <c r="J3422" t="s">
        <v>68373</v>
      </c>
      <c r="K3422" t="s">
        <v>68374</v>
      </c>
      <c r="L3422" t="s">
        <v>68375</v>
      </c>
      <c r="M3422" t="s">
        <v>68376</v>
      </c>
      <c r="N3422" t="s">
        <v>68377</v>
      </c>
      <c r="O3422">
        <f>-571.808243796826 -91.1699501052113 -736.611880601948</f>
        <v>-1399.5900745039853</v>
      </c>
      <c r="P3422">
        <f>-598.531058351508 -83.9955549673256 -421.301533792016</f>
        <v>-1103.8281471108496</v>
      </c>
      <c r="Q3422">
        <f>-351.094220008346 -9.69547879752066 -451.244426552301</f>
        <v>-812.03412535816756</v>
      </c>
      <c r="R3422" t="s">
        <v>68378</v>
      </c>
      <c r="S3422" t="s">
        <v>68379</v>
      </c>
      <c r="T3422" t="s">
        <v>68380</v>
      </c>
      <c r="U3422" t="s">
        <v>68381</v>
      </c>
      <c r="V3422" t="s">
        <v>68382</v>
      </c>
      <c r="W3422" t="s">
        <v>68383</v>
      </c>
      <c r="X3422" t="s">
        <v>68384</v>
      </c>
      <c r="Y3422" t="s">
        <v>68385</v>
      </c>
    </row>
    <row r="3423" spans="1:25" x14ac:dyDescent="0.3">
      <c r="A3423">
        <v>171100</v>
      </c>
      <c r="B3423" t="s">
        <v>68386</v>
      </c>
      <c r="C3423" t="s">
        <v>68387</v>
      </c>
      <c r="D3423" t="s">
        <v>68388</v>
      </c>
      <c r="E3423" t="s">
        <v>68389</v>
      </c>
      <c r="F3423" t="s">
        <v>68390</v>
      </c>
      <c r="G3423" t="s">
        <v>68391</v>
      </c>
      <c r="H3423" t="s">
        <v>68392</v>
      </c>
      <c r="I3423" t="s">
        <v>68393</v>
      </c>
      <c r="J3423" t="s">
        <v>68394</v>
      </c>
      <c r="K3423" t="s">
        <v>68395</v>
      </c>
      <c r="L3423" t="s">
        <v>68396</v>
      </c>
      <c r="M3423" t="s">
        <v>68397</v>
      </c>
      <c r="N3423" t="s">
        <v>68398</v>
      </c>
      <c r="O3423">
        <f>-571.902468261904 -91.4101667077817 -736.478710072086</f>
        <v>-1399.7913450417718</v>
      </c>
      <c r="P3423">
        <f>-598.688962722003 -83.9908288743321 -421.179448589527</f>
        <v>-1103.8592401858621</v>
      </c>
      <c r="Q3423">
        <f>-351.208998004608 -9.81774572841914 -451.080672692213</f>
        <v>-812.10741642524022</v>
      </c>
      <c r="R3423" t="s">
        <v>68399</v>
      </c>
      <c r="S3423" t="s">
        <v>68400</v>
      </c>
      <c r="T3423" t="s">
        <v>68401</v>
      </c>
      <c r="U3423" t="s">
        <v>68402</v>
      </c>
      <c r="V3423" t="s">
        <v>68403</v>
      </c>
      <c r="W3423" t="s">
        <v>68404</v>
      </c>
      <c r="X3423" t="s">
        <v>68405</v>
      </c>
      <c r="Y3423" t="s">
        <v>68406</v>
      </c>
    </row>
    <row r="3424" spans="1:25" x14ac:dyDescent="0.3">
      <c r="A3424">
        <v>171150</v>
      </c>
      <c r="B3424" t="s">
        <v>68407</v>
      </c>
      <c r="C3424" t="s">
        <v>68408</v>
      </c>
      <c r="D3424" t="s">
        <v>68409</v>
      </c>
      <c r="E3424" t="s">
        <v>68410</v>
      </c>
      <c r="F3424" t="s">
        <v>68411</v>
      </c>
      <c r="G3424" t="s">
        <v>68412</v>
      </c>
      <c r="H3424" t="s">
        <v>68413</v>
      </c>
      <c r="I3424" t="s">
        <v>68414</v>
      </c>
      <c r="J3424" t="s">
        <v>68415</v>
      </c>
      <c r="K3424" t="s">
        <v>68416</v>
      </c>
      <c r="L3424" t="s">
        <v>68417</v>
      </c>
      <c r="M3424" t="s">
        <v>68418</v>
      </c>
      <c r="N3424" t="s">
        <v>68419</v>
      </c>
      <c r="O3424">
        <f>-572.398191430367 -91.8142566148341 -736.208138681282</f>
        <v>-1400.4205867264832</v>
      </c>
      <c r="P3424">
        <f>-599.233012017383 -83.9706682184617 -420.92328797071</f>
        <v>-1104.1269682065547</v>
      </c>
      <c r="Q3424">
        <f>-351.666369296875 -10.0521276567954 -450.737021871965</f>
        <v>-812.45551882563541</v>
      </c>
      <c r="R3424" t="s">
        <v>68420</v>
      </c>
      <c r="S3424" t="s">
        <v>68421</v>
      </c>
      <c r="T3424" t="s">
        <v>68422</v>
      </c>
      <c r="U3424" t="s">
        <v>68423</v>
      </c>
      <c r="V3424" t="s">
        <v>68424</v>
      </c>
      <c r="W3424" t="s">
        <v>68425</v>
      </c>
      <c r="X3424" t="s">
        <v>68426</v>
      </c>
      <c r="Y3424" t="s">
        <v>68427</v>
      </c>
    </row>
    <row r="3425" spans="1:25" x14ac:dyDescent="0.3">
      <c r="A3425">
        <v>171200</v>
      </c>
      <c r="B3425" t="s">
        <v>68428</v>
      </c>
      <c r="C3425" t="s">
        <v>68429</v>
      </c>
      <c r="D3425" t="s">
        <v>68430</v>
      </c>
      <c r="E3425" t="s">
        <v>68431</v>
      </c>
      <c r="F3425" t="s">
        <v>68432</v>
      </c>
      <c r="G3425" t="s">
        <v>68433</v>
      </c>
      <c r="H3425" t="s">
        <v>68434</v>
      </c>
      <c r="I3425" t="s">
        <v>68435</v>
      </c>
      <c r="J3425" t="s">
        <v>68436</v>
      </c>
      <c r="K3425" t="s">
        <v>68437</v>
      </c>
      <c r="L3425" t="s">
        <v>68438</v>
      </c>
      <c r="M3425" t="s">
        <v>68439</v>
      </c>
      <c r="N3425" t="s">
        <v>68440</v>
      </c>
      <c r="O3425">
        <f>-572.600722135151 -91.9875642609339 -736.101773992877</f>
        <v>-1400.6900603889621</v>
      </c>
      <c r="P3425">
        <f>-599.433035705839 -83.9745833368328 -420.820779585484</f>
        <v>-1104.2283986281557</v>
      </c>
      <c r="Q3425">
        <f>-351.844266121395 -10.1273391470248 -450.627437094536</f>
        <v>-812.59904236295574</v>
      </c>
      <c r="R3425" t="s">
        <v>68441</v>
      </c>
      <c r="S3425" t="s">
        <v>68442</v>
      </c>
      <c r="T3425" t="s">
        <v>68443</v>
      </c>
      <c r="U3425" t="s">
        <v>68444</v>
      </c>
      <c r="V3425" t="s">
        <v>68445</v>
      </c>
      <c r="W3425" t="s">
        <v>68446</v>
      </c>
      <c r="X3425" t="s">
        <v>68447</v>
      </c>
      <c r="Y3425" t="s">
        <v>68448</v>
      </c>
    </row>
    <row r="3426" spans="1:25" x14ac:dyDescent="0.3">
      <c r="A3426">
        <v>171250</v>
      </c>
      <c r="B3426" t="s">
        <v>68449</v>
      </c>
      <c r="C3426" t="s">
        <v>68450</v>
      </c>
      <c r="D3426" t="s">
        <v>68451</v>
      </c>
      <c r="E3426" t="s">
        <v>68452</v>
      </c>
      <c r="F3426" t="s">
        <v>68453</v>
      </c>
      <c r="G3426" t="s">
        <v>68454</v>
      </c>
      <c r="H3426" t="s">
        <v>68455</v>
      </c>
      <c r="I3426" t="s">
        <v>68456</v>
      </c>
      <c r="J3426" t="s">
        <v>68457</v>
      </c>
      <c r="K3426" t="s">
        <v>68458</v>
      </c>
      <c r="L3426" t="s">
        <v>68459</v>
      </c>
      <c r="M3426" t="s">
        <v>68460</v>
      </c>
      <c r="N3426" t="s">
        <v>68461</v>
      </c>
      <c r="O3426">
        <f>-573.161011495499 -92.1329936701967 -735.913945639034</f>
        <v>-1401.2079508047295</v>
      </c>
      <c r="P3426">
        <f>-599.905389650443 -83.9086745729337 -420.631164289009</f>
        <v>-1104.4452285123857</v>
      </c>
      <c r="Q3426">
        <f>-352.298546497135 -10.1591736090424 -450.530024516802</f>
        <v>-812.98774462297933</v>
      </c>
      <c r="R3426" t="s">
        <v>68462</v>
      </c>
      <c r="S3426" t="s">
        <v>68463</v>
      </c>
      <c r="T3426" t="s">
        <v>68464</v>
      </c>
      <c r="U3426" t="s">
        <v>68465</v>
      </c>
      <c r="V3426" t="s">
        <v>68466</v>
      </c>
      <c r="W3426" t="s">
        <v>68467</v>
      </c>
      <c r="X3426" t="s">
        <v>68468</v>
      </c>
      <c r="Y3426" t="s">
        <v>68469</v>
      </c>
    </row>
    <row r="3427" spans="1:25" x14ac:dyDescent="0.3">
      <c r="A3427">
        <v>171300</v>
      </c>
      <c r="B3427" t="s">
        <v>68470</v>
      </c>
      <c r="C3427" t="s">
        <v>68471</v>
      </c>
      <c r="D3427" t="s">
        <v>68472</v>
      </c>
      <c r="E3427" t="s">
        <v>68473</v>
      </c>
      <c r="F3427" t="s">
        <v>68474</v>
      </c>
      <c r="G3427" t="s">
        <v>68475</v>
      </c>
      <c r="H3427" t="s">
        <v>68476</v>
      </c>
      <c r="I3427" t="s">
        <v>68477</v>
      </c>
      <c r="J3427" t="s">
        <v>68478</v>
      </c>
      <c r="K3427" t="s">
        <v>68479</v>
      </c>
      <c r="L3427" t="s">
        <v>68480</v>
      </c>
      <c r="M3427" t="s">
        <v>68481</v>
      </c>
      <c r="N3427" t="s">
        <v>68482</v>
      </c>
      <c r="O3427">
        <f>-573.382274270346 -92.0067396619028 -735.836842880914</f>
        <v>-1401.2258568131629</v>
      </c>
      <c r="P3427">
        <f>-600.065811464572 -83.7787852482221 -420.548823160244</f>
        <v>-1104.3934198730381</v>
      </c>
      <c r="Q3427">
        <f>-352.458033199471 -10.0540547108814 -450.50050452886</f>
        <v>-813.01259243921243</v>
      </c>
      <c r="R3427" t="s">
        <v>68483</v>
      </c>
      <c r="S3427" t="s">
        <v>68484</v>
      </c>
      <c r="T3427" t="s">
        <v>68485</v>
      </c>
      <c r="U3427" t="s">
        <v>68486</v>
      </c>
      <c r="V3427" t="s">
        <v>68487</v>
      </c>
      <c r="W3427" t="s">
        <v>68488</v>
      </c>
      <c r="X3427" t="s">
        <v>68489</v>
      </c>
      <c r="Y3427" t="s">
        <v>68490</v>
      </c>
    </row>
    <row r="3428" spans="1:25" x14ac:dyDescent="0.3">
      <c r="A3428">
        <v>171350</v>
      </c>
      <c r="B3428" t="s">
        <v>68491</v>
      </c>
      <c r="C3428" t="s">
        <v>68492</v>
      </c>
      <c r="D3428" t="s">
        <v>68493</v>
      </c>
      <c r="E3428" t="s">
        <v>68494</v>
      </c>
      <c r="F3428" t="s">
        <v>68495</v>
      </c>
      <c r="G3428" t="s">
        <v>68496</v>
      </c>
      <c r="H3428" t="s">
        <v>68497</v>
      </c>
      <c r="I3428" t="s">
        <v>68498</v>
      </c>
      <c r="J3428" t="s">
        <v>68499</v>
      </c>
      <c r="K3428" t="s">
        <v>68500</v>
      </c>
      <c r="L3428" t="s">
        <v>68501</v>
      </c>
      <c r="M3428" t="s">
        <v>68502</v>
      </c>
      <c r="N3428" t="s">
        <v>68503</v>
      </c>
      <c r="O3428">
        <f>-573.815637858822 -91.9357824428255 -735.743159283904</f>
        <v>-1401.4945795855515</v>
      </c>
      <c r="P3428">
        <f>-600.367253626842 -83.5239569186421 -420.448965279395</f>
        <v>-1104.340175824879</v>
      </c>
      <c r="Q3428">
        <f>-352.742731079071 -9.90483676529598 -450.522178703976</f>
        <v>-813.16974654834303</v>
      </c>
      <c r="R3428" t="s">
        <v>68504</v>
      </c>
      <c r="S3428" t="s">
        <v>68505</v>
      </c>
      <c r="T3428" t="s">
        <v>68506</v>
      </c>
      <c r="U3428" t="s">
        <v>68507</v>
      </c>
      <c r="V3428" t="s">
        <v>68508</v>
      </c>
      <c r="W3428" t="s">
        <v>68509</v>
      </c>
      <c r="X3428" t="s">
        <v>68510</v>
      </c>
      <c r="Y3428" t="s">
        <v>68511</v>
      </c>
    </row>
    <row r="3429" spans="1:25" x14ac:dyDescent="0.3">
      <c r="A3429">
        <v>171400</v>
      </c>
      <c r="B3429" t="s">
        <v>68512</v>
      </c>
      <c r="C3429" t="s">
        <v>68513</v>
      </c>
      <c r="D3429" t="s">
        <v>68514</v>
      </c>
      <c r="E3429" t="s">
        <v>68515</v>
      </c>
      <c r="F3429" t="s">
        <v>68516</v>
      </c>
      <c r="G3429" t="s">
        <v>68517</v>
      </c>
      <c r="H3429" t="s">
        <v>68518</v>
      </c>
      <c r="I3429" t="s">
        <v>68519</v>
      </c>
      <c r="J3429" t="s">
        <v>68520</v>
      </c>
      <c r="K3429" t="s">
        <v>68521</v>
      </c>
      <c r="L3429" t="s">
        <v>68522</v>
      </c>
      <c r="M3429" t="s">
        <v>68523</v>
      </c>
      <c r="N3429" t="s">
        <v>68524</v>
      </c>
      <c r="O3429">
        <f>-573.949721634173 -92.0286660104569 -735.720078658703</f>
        <v>-1401.6984663033329</v>
      </c>
      <c r="P3429">
        <f>-600.355037785817 -83.6087212977605 -420.413845208117</f>
        <v>-1104.3776042916945</v>
      </c>
      <c r="Q3429">
        <f>-352.729577801667 -10.0038679400905 -450.513745141218</f>
        <v>-813.24719088297547</v>
      </c>
      <c r="R3429" t="s">
        <v>68525</v>
      </c>
      <c r="S3429" t="s">
        <v>68526</v>
      </c>
      <c r="T3429" t="s">
        <v>68527</v>
      </c>
      <c r="U3429" t="s">
        <v>68528</v>
      </c>
      <c r="V3429" t="s">
        <v>68529</v>
      </c>
      <c r="W3429" t="s">
        <v>68530</v>
      </c>
      <c r="X3429" t="s">
        <v>68531</v>
      </c>
      <c r="Y3429" t="s">
        <v>68532</v>
      </c>
    </row>
    <row r="3430" spans="1:25" x14ac:dyDescent="0.3">
      <c r="A3430">
        <v>171450</v>
      </c>
      <c r="B3430" t="s">
        <v>68533</v>
      </c>
      <c r="C3430" t="s">
        <v>68534</v>
      </c>
      <c r="D3430" t="s">
        <v>68535</v>
      </c>
      <c r="E3430" t="s">
        <v>68536</v>
      </c>
      <c r="F3430" t="s">
        <v>68537</v>
      </c>
      <c r="G3430" t="s">
        <v>68538</v>
      </c>
      <c r="H3430" t="s">
        <v>68539</v>
      </c>
      <c r="I3430" t="s">
        <v>68540</v>
      </c>
      <c r="J3430" t="s">
        <v>68541</v>
      </c>
      <c r="K3430" t="s">
        <v>68542</v>
      </c>
      <c r="L3430" t="s">
        <v>68543</v>
      </c>
      <c r="M3430" t="s">
        <v>68544</v>
      </c>
      <c r="N3430" t="s">
        <v>68545</v>
      </c>
      <c r="O3430">
        <f>-574.58384878567 -91.8284220880378 -735.756813152539</f>
        <v>-1402.1690840262468</v>
      </c>
      <c r="P3430">
        <f>-600.779509692477 -83.4389640453528 -420.432358553688</f>
        <v>-1104.6508322915179</v>
      </c>
      <c r="Q3430">
        <f>-353.158754487691 -9.82599292117288 -450.551352523521</f>
        <v>-813.5360999323849</v>
      </c>
      <c r="R3430" t="s">
        <v>68546</v>
      </c>
      <c r="S3430" t="s">
        <v>68547</v>
      </c>
      <c r="T3430" t="s">
        <v>68548</v>
      </c>
      <c r="U3430" t="s">
        <v>68549</v>
      </c>
      <c r="V3430" t="s">
        <v>68550</v>
      </c>
      <c r="W3430" t="s">
        <v>68551</v>
      </c>
      <c r="X3430" t="s">
        <v>68552</v>
      </c>
      <c r="Y3430" t="s">
        <v>68553</v>
      </c>
    </row>
    <row r="3431" spans="1:25" x14ac:dyDescent="0.3">
      <c r="A3431">
        <v>171500</v>
      </c>
      <c r="B3431" t="s">
        <v>68554</v>
      </c>
      <c r="C3431" t="s">
        <v>68555</v>
      </c>
      <c r="D3431" t="s">
        <v>68556</v>
      </c>
      <c r="E3431" t="s">
        <v>68557</v>
      </c>
      <c r="F3431" t="s">
        <v>68558</v>
      </c>
      <c r="G3431" t="s">
        <v>68559</v>
      </c>
      <c r="H3431" t="s">
        <v>68560</v>
      </c>
      <c r="I3431" t="s">
        <v>68561</v>
      </c>
      <c r="J3431" t="s">
        <v>68562</v>
      </c>
      <c r="K3431" t="s">
        <v>68563</v>
      </c>
      <c r="L3431" t="s">
        <v>68564</v>
      </c>
      <c r="M3431" t="s">
        <v>68565</v>
      </c>
      <c r="N3431" t="s">
        <v>68566</v>
      </c>
      <c r="O3431">
        <f>-574.746034230721 -91.7780424377434 -735.810778463501</f>
        <v>-1402.3348551319655</v>
      </c>
      <c r="P3431">
        <f>-600.806674335578 -83.4936844634212 -420.472348188603</f>
        <v>-1104.7727069876023</v>
      </c>
      <c r="Q3431">
        <f>-353.219771400797 -9.7765503229525 -450.615305639643</f>
        <v>-813.61162736339247</v>
      </c>
      <c r="R3431" t="s">
        <v>68567</v>
      </c>
      <c r="S3431" t="s">
        <v>68568</v>
      </c>
      <c r="T3431" t="s">
        <v>68569</v>
      </c>
      <c r="U3431" t="s">
        <v>68570</v>
      </c>
      <c r="V3431" t="s">
        <v>68571</v>
      </c>
      <c r="W3431" t="s">
        <v>68572</v>
      </c>
      <c r="X3431" t="s">
        <v>68573</v>
      </c>
      <c r="Y3431" t="s">
        <v>68574</v>
      </c>
    </row>
    <row r="3432" spans="1:25" x14ac:dyDescent="0.3">
      <c r="A3432">
        <v>171550</v>
      </c>
      <c r="B3432" t="s">
        <v>68575</v>
      </c>
      <c r="C3432" t="s">
        <v>68576</v>
      </c>
      <c r="D3432" t="s">
        <v>68577</v>
      </c>
      <c r="E3432" t="s">
        <v>68578</v>
      </c>
      <c r="F3432" t="s">
        <v>68579</v>
      </c>
      <c r="G3432" t="s">
        <v>68580</v>
      </c>
      <c r="H3432" t="s">
        <v>68581</v>
      </c>
      <c r="I3432" t="s">
        <v>68582</v>
      </c>
      <c r="J3432" t="s">
        <v>68583</v>
      </c>
      <c r="K3432" t="s">
        <v>68584</v>
      </c>
      <c r="L3432" t="s">
        <v>68585</v>
      </c>
      <c r="M3432" t="s">
        <v>68586</v>
      </c>
      <c r="N3432" t="s">
        <v>68587</v>
      </c>
      <c r="O3432">
        <f>-575.28622954379 -91.1397197061065 -735.989291130987</f>
        <v>-1402.4152403808835</v>
      </c>
      <c r="P3432">
        <f>-601.129367389243 -83.2262432978001 -420.623382300028</f>
        <v>-1104.9789929870713</v>
      </c>
      <c r="Q3432">
        <f>-353.627420173526 -9.26900858181705 -450.875163637212</f>
        <v>-813.77159239255502</v>
      </c>
      <c r="R3432" t="s">
        <v>68588</v>
      </c>
      <c r="S3432" t="s">
        <v>68589</v>
      </c>
      <c r="T3432" t="s">
        <v>68590</v>
      </c>
      <c r="U3432" t="s">
        <v>68591</v>
      </c>
      <c r="V3432" t="s">
        <v>68592</v>
      </c>
      <c r="W3432" t="s">
        <v>68593</v>
      </c>
      <c r="X3432" t="s">
        <v>68594</v>
      </c>
      <c r="Y3432" t="s">
        <v>68595</v>
      </c>
    </row>
    <row r="3433" spans="1:25" x14ac:dyDescent="0.3">
      <c r="A3433">
        <v>171600</v>
      </c>
      <c r="B3433" t="s">
        <v>68596</v>
      </c>
      <c r="C3433" t="s">
        <v>68597</v>
      </c>
      <c r="D3433" t="s">
        <v>68598</v>
      </c>
      <c r="E3433" t="s">
        <v>68599</v>
      </c>
      <c r="F3433" t="s">
        <v>68600</v>
      </c>
      <c r="G3433" t="s">
        <v>68601</v>
      </c>
      <c r="H3433" t="s">
        <v>68602</v>
      </c>
      <c r="I3433" t="s">
        <v>68603</v>
      </c>
      <c r="J3433" t="s">
        <v>68604</v>
      </c>
      <c r="K3433" t="s">
        <v>68605</v>
      </c>
      <c r="L3433" t="s">
        <v>68606</v>
      </c>
      <c r="M3433" t="s">
        <v>68607</v>
      </c>
      <c r="N3433" t="s">
        <v>68608</v>
      </c>
      <c r="O3433">
        <f>-575.486342457985 -91.1091120518696 -736.061974918836</f>
        <v>-1402.6574294286906</v>
      </c>
      <c r="P3433">
        <f>-601.278445192984 -83.4375062562593 -420.685835727939</f>
        <v>-1105.4017871771823</v>
      </c>
      <c r="Q3433">
        <f>-353.850814315698 -9.26470471064963 -451.017623403543</f>
        <v>-814.13314242989065</v>
      </c>
      <c r="R3433" t="s">
        <v>68609</v>
      </c>
      <c r="S3433" t="s">
        <v>68610</v>
      </c>
      <c r="T3433" t="s">
        <v>68611</v>
      </c>
      <c r="U3433" t="s">
        <v>68612</v>
      </c>
      <c r="V3433" t="s">
        <v>68613</v>
      </c>
      <c r="W3433" t="s">
        <v>68614</v>
      </c>
      <c r="X3433" t="s">
        <v>68615</v>
      </c>
      <c r="Y3433" t="s">
        <v>68616</v>
      </c>
    </row>
    <row r="3434" spans="1:25" x14ac:dyDescent="0.3">
      <c r="A3434">
        <v>171650</v>
      </c>
      <c r="B3434" t="s">
        <v>68617</v>
      </c>
      <c r="C3434" t="s">
        <v>68618</v>
      </c>
      <c r="D3434" t="s">
        <v>68619</v>
      </c>
      <c r="E3434" t="s">
        <v>68620</v>
      </c>
      <c r="F3434" t="s">
        <v>68621</v>
      </c>
      <c r="G3434" t="s">
        <v>68622</v>
      </c>
      <c r="H3434" t="s">
        <v>68623</v>
      </c>
      <c r="I3434" t="s">
        <v>68624</v>
      </c>
      <c r="J3434" t="s">
        <v>68625</v>
      </c>
      <c r="K3434" t="s">
        <v>68626</v>
      </c>
      <c r="L3434" t="s">
        <v>68627</v>
      </c>
      <c r="M3434" t="s">
        <v>68628</v>
      </c>
      <c r="N3434" t="s">
        <v>68629</v>
      </c>
      <c r="O3434">
        <f>-576.079029533917 -90.7449579286663 -736.315165702702</f>
        <v>-1403.1391531652853</v>
      </c>
      <c r="P3434">
        <f>-601.682594041859 -83.5080145987947 -420.913377369922</f>
        <v>-1106.1039860105757</v>
      </c>
      <c r="Q3434">
        <f>-354.358646761073 -9.02290487282092 -451.325162896207</f>
        <v>-814.70671453010095</v>
      </c>
      <c r="R3434" t="s">
        <v>68630</v>
      </c>
      <c r="S3434" t="s">
        <v>68631</v>
      </c>
      <c r="T3434" t="s">
        <v>68632</v>
      </c>
      <c r="U3434" t="s">
        <v>68633</v>
      </c>
      <c r="V3434" t="s">
        <v>68634</v>
      </c>
      <c r="W3434" t="s">
        <v>68635</v>
      </c>
      <c r="X3434" t="s">
        <v>68636</v>
      </c>
      <c r="Y3434" t="s">
        <v>68637</v>
      </c>
    </row>
    <row r="3435" spans="1:25" x14ac:dyDescent="0.3">
      <c r="A3435">
        <v>171700</v>
      </c>
      <c r="B3435" t="s">
        <v>68638</v>
      </c>
      <c r="C3435" t="s">
        <v>68639</v>
      </c>
      <c r="D3435" t="s">
        <v>68640</v>
      </c>
      <c r="E3435" t="s">
        <v>68641</v>
      </c>
      <c r="F3435" t="s">
        <v>68642</v>
      </c>
      <c r="G3435" t="s">
        <v>68643</v>
      </c>
      <c r="H3435" t="s">
        <v>68644</v>
      </c>
      <c r="I3435" t="s">
        <v>68645</v>
      </c>
      <c r="J3435" t="s">
        <v>68646</v>
      </c>
      <c r="K3435" t="s">
        <v>68647</v>
      </c>
      <c r="L3435" t="s">
        <v>68648</v>
      </c>
      <c r="M3435" t="s">
        <v>68649</v>
      </c>
      <c r="N3435" t="s">
        <v>68650</v>
      </c>
      <c r="O3435">
        <f>-576.321961321466 -90.727501287622 -736.448711182283</f>
        <v>-1403.4981737913708</v>
      </c>
      <c r="P3435">
        <f>-601.922414188428 -83.7273499688825 -421.041373143741</f>
        <v>-1106.6911373010516</v>
      </c>
      <c r="Q3435">
        <f>-354.648354912852 -9.07275590723219 -451.443090467795</f>
        <v>-815.16420128787922</v>
      </c>
      <c r="R3435" t="s">
        <v>68651</v>
      </c>
      <c r="S3435" t="s">
        <v>68652</v>
      </c>
      <c r="T3435" t="s">
        <v>68653</v>
      </c>
      <c r="U3435" t="s">
        <v>68654</v>
      </c>
      <c r="V3435" t="s">
        <v>68655</v>
      </c>
      <c r="W3435" t="s">
        <v>68656</v>
      </c>
      <c r="X3435" t="s">
        <v>68657</v>
      </c>
      <c r="Y3435" t="s">
        <v>68658</v>
      </c>
    </row>
    <row r="3436" spans="1:25" x14ac:dyDescent="0.3">
      <c r="A3436">
        <v>171750</v>
      </c>
      <c r="B3436" t="s">
        <v>68659</v>
      </c>
      <c r="C3436" t="s">
        <v>68660</v>
      </c>
      <c r="D3436" t="s">
        <v>68661</v>
      </c>
      <c r="E3436" t="s">
        <v>68662</v>
      </c>
      <c r="F3436" t="s">
        <v>68663</v>
      </c>
      <c r="G3436" t="s">
        <v>68664</v>
      </c>
      <c r="H3436" t="s">
        <v>68665</v>
      </c>
      <c r="I3436" t="s">
        <v>68666</v>
      </c>
      <c r="J3436" t="s">
        <v>68667</v>
      </c>
      <c r="K3436" t="s">
        <v>68668</v>
      </c>
      <c r="L3436" t="s">
        <v>68669</v>
      </c>
      <c r="M3436" t="s">
        <v>68670</v>
      </c>
      <c r="N3436" t="s">
        <v>68671</v>
      </c>
      <c r="O3436">
        <f>-577.081546709178 -90.2215236480599 -736.694767285198</f>
        <v>-1403.997837642436</v>
      </c>
      <c r="P3436">
        <f>-602.69753432873 -83.5916179236666 -421.280535897651</f>
        <v>-1107.5696881500476</v>
      </c>
      <c r="Q3436">
        <f>-355.491884753197 -8.68780096561046 -451.625833767742</f>
        <v>-815.80551948654943</v>
      </c>
      <c r="R3436" t="s">
        <v>68672</v>
      </c>
      <c r="S3436" t="s">
        <v>68673</v>
      </c>
      <c r="T3436" t="s">
        <v>68674</v>
      </c>
      <c r="U3436" t="s">
        <v>68675</v>
      </c>
      <c r="V3436" t="s">
        <v>68676</v>
      </c>
      <c r="W3436" t="s">
        <v>68677</v>
      </c>
      <c r="X3436" t="s">
        <v>68678</v>
      </c>
      <c r="Y3436" t="s">
        <v>68679</v>
      </c>
    </row>
    <row r="3437" spans="1:25" x14ac:dyDescent="0.3">
      <c r="A3437">
        <v>171800</v>
      </c>
      <c r="B3437" t="s">
        <v>68680</v>
      </c>
      <c r="C3437" t="s">
        <v>68681</v>
      </c>
      <c r="D3437" t="s">
        <v>68682</v>
      </c>
      <c r="E3437" t="s">
        <v>68683</v>
      </c>
      <c r="F3437" t="s">
        <v>68684</v>
      </c>
      <c r="G3437" t="s">
        <v>68685</v>
      </c>
      <c r="H3437" t="s">
        <v>68686</v>
      </c>
      <c r="I3437" t="s">
        <v>68687</v>
      </c>
      <c r="J3437" t="s">
        <v>68688</v>
      </c>
      <c r="K3437" t="s">
        <v>68689</v>
      </c>
      <c r="L3437" t="s">
        <v>68690</v>
      </c>
      <c r="M3437" t="s">
        <v>68691</v>
      </c>
      <c r="N3437" t="s">
        <v>68692</v>
      </c>
      <c r="O3437">
        <f>-577.43729045561 -90.108027296423 -736.807288572273</f>
        <v>-1404.352606324306</v>
      </c>
      <c r="P3437">
        <f>-603.040792118802 -83.6774681268991 -421.388016080018</f>
        <v>-1108.1062763257191</v>
      </c>
      <c r="Q3437">
        <f>-355.847838107295 -8.69193291680796 -451.634554526957</f>
        <v>-816.17432555105995</v>
      </c>
      <c r="R3437" t="s">
        <v>68693</v>
      </c>
      <c r="S3437" t="s">
        <v>68694</v>
      </c>
      <c r="T3437" t="s">
        <v>68695</v>
      </c>
      <c r="U3437" t="s">
        <v>68696</v>
      </c>
      <c r="V3437" t="s">
        <v>68697</v>
      </c>
      <c r="W3437" t="s">
        <v>68698</v>
      </c>
      <c r="X3437" t="s">
        <v>68699</v>
      </c>
      <c r="Y3437" t="s">
        <v>68700</v>
      </c>
    </row>
    <row r="3438" spans="1:25" x14ac:dyDescent="0.3">
      <c r="A3438">
        <v>171850</v>
      </c>
      <c r="B3438" t="s">
        <v>68701</v>
      </c>
      <c r="C3438" t="s">
        <v>68702</v>
      </c>
      <c r="D3438" t="s">
        <v>68703</v>
      </c>
      <c r="E3438" t="s">
        <v>68704</v>
      </c>
      <c r="F3438" t="s">
        <v>68705</v>
      </c>
      <c r="G3438" t="s">
        <v>68706</v>
      </c>
      <c r="H3438" t="s">
        <v>68707</v>
      </c>
      <c r="I3438" t="s">
        <v>68708</v>
      </c>
      <c r="J3438" t="s">
        <v>68709</v>
      </c>
      <c r="K3438" t="s">
        <v>68710</v>
      </c>
      <c r="L3438" t="s">
        <v>68711</v>
      </c>
      <c r="M3438" t="s">
        <v>68712</v>
      </c>
      <c r="N3438" t="s">
        <v>68713</v>
      </c>
      <c r="O3438">
        <f>-578.05690777656 -89.8864752770016 -737.063387984228</f>
        <v>-1405.0067710377898</v>
      </c>
      <c r="P3438">
        <f>-603.825359781643 -83.6545557354563 -421.653662377903</f>
        <v>-1109.1335778950022</v>
      </c>
      <c r="Q3438">
        <f>-356.661368914277 -8.49867612849629 -451.713966466967</f>
        <v>-816.87401150974028</v>
      </c>
      <c r="R3438" t="s">
        <v>68714</v>
      </c>
      <c r="S3438" t="s">
        <v>68715</v>
      </c>
      <c r="T3438" t="s">
        <v>68716</v>
      </c>
      <c r="U3438" t="s">
        <v>68717</v>
      </c>
      <c r="V3438" t="s">
        <v>68718</v>
      </c>
      <c r="W3438" t="s">
        <v>68719</v>
      </c>
      <c r="X3438" t="s">
        <v>68720</v>
      </c>
      <c r="Y3438" t="s">
        <v>68721</v>
      </c>
    </row>
    <row r="3439" spans="1:25" x14ac:dyDescent="0.3">
      <c r="A3439">
        <v>171900</v>
      </c>
      <c r="B3439" t="s">
        <v>68722</v>
      </c>
      <c r="C3439" t="s">
        <v>68723</v>
      </c>
      <c r="D3439" t="s">
        <v>68724</v>
      </c>
      <c r="E3439" t="s">
        <v>68725</v>
      </c>
      <c r="F3439" t="s">
        <v>68726</v>
      </c>
      <c r="G3439" t="s">
        <v>68727</v>
      </c>
      <c r="H3439" t="s">
        <v>68728</v>
      </c>
      <c r="I3439" t="s">
        <v>68729</v>
      </c>
      <c r="J3439" t="s">
        <v>68730</v>
      </c>
      <c r="K3439" t="s">
        <v>68731</v>
      </c>
      <c r="L3439" t="s">
        <v>68732</v>
      </c>
      <c r="M3439" t="s">
        <v>68733</v>
      </c>
      <c r="N3439" t="s">
        <v>68734</v>
      </c>
      <c r="O3439">
        <f>-578.434781282767 -89.6538944451177 -737.177310030567</f>
        <v>-1405.2659857584517</v>
      </c>
      <c r="P3439">
        <f>-604.264993856849 -83.5255930912076 -421.770594221358</f>
        <v>-1109.5611811694146</v>
      </c>
      <c r="Q3439">
        <f>-357.108345387524 -8.30908523855352 -451.739386318429</f>
        <v>-817.15681694450655</v>
      </c>
      <c r="R3439" t="s">
        <v>68735</v>
      </c>
      <c r="S3439" t="s">
        <v>68736</v>
      </c>
      <c r="T3439" t="s">
        <v>68737</v>
      </c>
      <c r="U3439" t="s">
        <v>68738</v>
      </c>
      <c r="V3439" t="s">
        <v>68739</v>
      </c>
      <c r="W3439" t="s">
        <v>68740</v>
      </c>
      <c r="X3439" t="s">
        <v>68741</v>
      </c>
      <c r="Y3439" t="s">
        <v>68742</v>
      </c>
    </row>
    <row r="3440" spans="1:25" x14ac:dyDescent="0.3">
      <c r="A3440">
        <v>171950</v>
      </c>
      <c r="B3440" t="s">
        <v>68743</v>
      </c>
      <c r="C3440" t="s">
        <v>68744</v>
      </c>
      <c r="D3440" t="s">
        <v>68745</v>
      </c>
      <c r="E3440" t="s">
        <v>68746</v>
      </c>
      <c r="F3440" t="s">
        <v>68747</v>
      </c>
      <c r="G3440" t="s">
        <v>68748</v>
      </c>
      <c r="H3440" t="s">
        <v>68749</v>
      </c>
      <c r="I3440" t="s">
        <v>68750</v>
      </c>
      <c r="J3440" t="s">
        <v>68751</v>
      </c>
      <c r="K3440" t="s">
        <v>68752</v>
      </c>
      <c r="L3440" t="s">
        <v>68753</v>
      </c>
      <c r="M3440" t="s">
        <v>68754</v>
      </c>
      <c r="N3440" t="s">
        <v>68755</v>
      </c>
      <c r="O3440">
        <f>-579.333433905436 -89.6108004275088 -737.335364247806</f>
        <v>-1406.2795985807506</v>
      </c>
      <c r="P3440">
        <f>-605.194762449681 -83.5896140684886 -421.929100415556</f>
        <v>-1110.7134769337256</v>
      </c>
      <c r="Q3440">
        <f>-358.048770309043 -8.27264635858293 -451.732828775401</f>
        <v>-818.05424544302696</v>
      </c>
      <c r="R3440" t="s">
        <v>68756</v>
      </c>
      <c r="S3440" t="s">
        <v>68757</v>
      </c>
      <c r="T3440" t="s">
        <v>68758</v>
      </c>
      <c r="U3440" t="s">
        <v>68759</v>
      </c>
      <c r="V3440" t="s">
        <v>68760</v>
      </c>
      <c r="W3440" t="s">
        <v>68761</v>
      </c>
      <c r="X3440" t="s">
        <v>68762</v>
      </c>
      <c r="Y3440" t="s">
        <v>68763</v>
      </c>
    </row>
    <row r="3441" spans="1:25" x14ac:dyDescent="0.3">
      <c r="A3441">
        <v>172000</v>
      </c>
      <c r="B3441" t="s">
        <v>68764</v>
      </c>
      <c r="C3441" t="s">
        <v>68765</v>
      </c>
      <c r="D3441" t="s">
        <v>68766</v>
      </c>
      <c r="E3441" t="s">
        <v>68767</v>
      </c>
      <c r="F3441" t="s">
        <v>68768</v>
      </c>
      <c r="G3441" t="s">
        <v>68769</v>
      </c>
      <c r="H3441" t="s">
        <v>68770</v>
      </c>
      <c r="I3441" t="s">
        <v>68771</v>
      </c>
      <c r="J3441" t="s">
        <v>68772</v>
      </c>
      <c r="K3441" t="s">
        <v>68773</v>
      </c>
      <c r="L3441" t="s">
        <v>68774</v>
      </c>
      <c r="M3441" t="s">
        <v>68775</v>
      </c>
      <c r="N3441" t="s">
        <v>68776</v>
      </c>
      <c r="O3441">
        <f>-579.715534130787 -89.5315831420036 -737.405197058316</f>
        <v>-1406.6523143311065</v>
      </c>
      <c r="P3441">
        <f>-605.591371287583 -83.5985321799887 -421.998596121732</f>
        <v>-1111.1884995893038</v>
      </c>
      <c r="Q3441">
        <f>-358.455110196388 -8.22764289286404 -451.746608741499</f>
        <v>-818.42936183075108</v>
      </c>
      <c r="R3441" t="s">
        <v>68777</v>
      </c>
      <c r="S3441" t="s">
        <v>68778</v>
      </c>
      <c r="T3441" t="s">
        <v>68779</v>
      </c>
      <c r="U3441" t="s">
        <v>68780</v>
      </c>
      <c r="V3441" t="s">
        <v>68781</v>
      </c>
      <c r="W3441" t="s">
        <v>68782</v>
      </c>
      <c r="X3441" t="s">
        <v>68783</v>
      </c>
      <c r="Y3441" t="s">
        <v>68784</v>
      </c>
    </row>
    <row r="3442" spans="1:25" x14ac:dyDescent="0.3">
      <c r="A3442">
        <v>172050</v>
      </c>
      <c r="B3442" t="s">
        <v>68785</v>
      </c>
      <c r="C3442" t="s">
        <v>68786</v>
      </c>
      <c r="D3442" t="s">
        <v>68787</v>
      </c>
      <c r="E3442" t="s">
        <v>68788</v>
      </c>
      <c r="F3442" t="s">
        <v>68789</v>
      </c>
      <c r="G3442" t="s">
        <v>68790</v>
      </c>
      <c r="H3442" t="s">
        <v>68791</v>
      </c>
      <c r="I3442" t="s">
        <v>68792</v>
      </c>
      <c r="J3442" t="s">
        <v>68793</v>
      </c>
      <c r="K3442" t="s">
        <v>68794</v>
      </c>
      <c r="L3442" t="s">
        <v>68795</v>
      </c>
      <c r="M3442" t="s">
        <v>68796</v>
      </c>
      <c r="N3442" t="s">
        <v>68797</v>
      </c>
      <c r="O3442">
        <f>-580.581946883648 -89.2975348349498 -737.578447381211</f>
        <v>-1407.457929099809</v>
      </c>
      <c r="P3442">
        <f>-606.5571675183 -83.5060651314967 -422.177135544631</f>
        <v>-1112.2403681944279</v>
      </c>
      <c r="Q3442">
        <f>-359.468969791424 -7.94401961603834 -451.839676097492</f>
        <v>-819.25266550495439</v>
      </c>
      <c r="R3442" t="s">
        <v>68798</v>
      </c>
      <c r="S3442" t="s">
        <v>68799</v>
      </c>
      <c r="T3442" t="s">
        <v>68800</v>
      </c>
      <c r="U3442" t="s">
        <v>68801</v>
      </c>
      <c r="V3442" t="s">
        <v>68802</v>
      </c>
      <c r="W3442" t="s">
        <v>68803</v>
      </c>
      <c r="X3442" t="s">
        <v>68804</v>
      </c>
      <c r="Y3442" t="s">
        <v>68805</v>
      </c>
    </row>
    <row r="3443" spans="1:25" x14ac:dyDescent="0.3">
      <c r="A3443">
        <v>172100</v>
      </c>
      <c r="B3443" t="s">
        <v>68806</v>
      </c>
      <c r="C3443" t="s">
        <v>68807</v>
      </c>
      <c r="D3443" t="s">
        <v>68808</v>
      </c>
      <c r="E3443" t="s">
        <v>68809</v>
      </c>
      <c r="F3443" t="s">
        <v>68810</v>
      </c>
      <c r="G3443" t="s">
        <v>68811</v>
      </c>
      <c r="H3443" t="s">
        <v>68812</v>
      </c>
      <c r="I3443" t="s">
        <v>68813</v>
      </c>
      <c r="J3443" t="s">
        <v>68814</v>
      </c>
      <c r="K3443" t="s">
        <v>68815</v>
      </c>
      <c r="L3443" t="s">
        <v>68816</v>
      </c>
      <c r="M3443" t="s">
        <v>68817</v>
      </c>
      <c r="N3443" t="s">
        <v>68818</v>
      </c>
      <c r="O3443">
        <f>-581.029735006059 -89.0257719686271 -737.640177776521</f>
        <v>-1407.695684751207</v>
      </c>
      <c r="P3443">
        <f>-607.03164268954 -83.3255436003069 -422.239493641966</f>
        <v>-1112.596679931813</v>
      </c>
      <c r="Q3443">
        <f>-359.974583083501 -7.64710365657217 -451.864323082142</f>
        <v>-819.48600982221524</v>
      </c>
      <c r="R3443" t="s">
        <v>68819</v>
      </c>
      <c r="S3443" t="s">
        <v>68820</v>
      </c>
      <c r="T3443" t="s">
        <v>68821</v>
      </c>
      <c r="U3443" t="s">
        <v>68822</v>
      </c>
      <c r="V3443" t="s">
        <v>68823</v>
      </c>
      <c r="W3443" t="s">
        <v>68824</v>
      </c>
      <c r="X3443" t="s">
        <v>68825</v>
      </c>
      <c r="Y3443" t="s">
        <v>68826</v>
      </c>
    </row>
    <row r="3444" spans="1:25" x14ac:dyDescent="0.3">
      <c r="A3444">
        <v>172150</v>
      </c>
      <c r="B3444" t="s">
        <v>68827</v>
      </c>
      <c r="C3444" t="s">
        <v>68828</v>
      </c>
      <c r="D3444" t="s">
        <v>68829</v>
      </c>
      <c r="E3444" t="s">
        <v>68830</v>
      </c>
      <c r="F3444" t="s">
        <v>68831</v>
      </c>
      <c r="G3444" t="s">
        <v>68832</v>
      </c>
      <c r="H3444" t="s">
        <v>68833</v>
      </c>
      <c r="I3444" t="s">
        <v>68834</v>
      </c>
      <c r="J3444" t="s">
        <v>68835</v>
      </c>
      <c r="K3444" t="s">
        <v>68836</v>
      </c>
      <c r="L3444" t="s">
        <v>68837</v>
      </c>
      <c r="M3444" t="s">
        <v>68838</v>
      </c>
      <c r="N3444" t="s">
        <v>68839</v>
      </c>
      <c r="O3444">
        <f>-581.6336144843 -88.9160880585686 -737.72695233494</f>
        <v>-1408.2766548778086</v>
      </c>
      <c r="P3444">
        <f>-607.609925051162 -83.3141066296139 -422.322320579372</f>
        <v>-1113.2463522601479</v>
      </c>
      <c r="Q3444">
        <f>-360.581382744392 -7.48700800060737 -451.805120148708</f>
        <v>-819.87351089370736</v>
      </c>
      <c r="R3444" t="s">
        <v>68840</v>
      </c>
      <c r="S3444" t="s">
        <v>68841</v>
      </c>
      <c r="T3444" t="s">
        <v>68842</v>
      </c>
      <c r="U3444" t="s">
        <v>68843</v>
      </c>
      <c r="V3444" t="s">
        <v>68844</v>
      </c>
      <c r="W3444" t="s">
        <v>68845</v>
      </c>
      <c r="X3444" t="s">
        <v>68846</v>
      </c>
      <c r="Y3444" t="s">
        <v>68847</v>
      </c>
    </row>
    <row r="3445" spans="1:25" x14ac:dyDescent="0.3">
      <c r="A3445">
        <v>172200</v>
      </c>
      <c r="B3445" t="s">
        <v>68848</v>
      </c>
      <c r="C3445" t="s">
        <v>68849</v>
      </c>
      <c r="D3445" t="s">
        <v>68850</v>
      </c>
      <c r="E3445" t="s">
        <v>68851</v>
      </c>
      <c r="F3445" t="s">
        <v>68852</v>
      </c>
      <c r="G3445" t="s">
        <v>68853</v>
      </c>
      <c r="H3445" t="s">
        <v>68854</v>
      </c>
      <c r="I3445" t="s">
        <v>68855</v>
      </c>
      <c r="J3445" t="s">
        <v>68856</v>
      </c>
      <c r="K3445" t="s">
        <v>68857</v>
      </c>
      <c r="L3445" t="s">
        <v>68858</v>
      </c>
      <c r="M3445" t="s">
        <v>68859</v>
      </c>
      <c r="N3445" t="s">
        <v>68860</v>
      </c>
      <c r="O3445">
        <f>-581.894811452722 -88.7255554636241 -737.75522133707</f>
        <v>-1408.375588253416</v>
      </c>
      <c r="P3445">
        <f>-607.898881841269 -83.0857922954223 -422.353596449109</f>
        <v>-1113.3382705858003</v>
      </c>
      <c r="Q3445">
        <f>-360.886914149092 -7.19487610699298 -451.810372751619</f>
        <v>-819.89216300770397</v>
      </c>
      <c r="R3445" t="s">
        <v>68861</v>
      </c>
      <c r="S3445" t="s">
        <v>68862</v>
      </c>
      <c r="T3445" t="s">
        <v>68863</v>
      </c>
      <c r="U3445" t="s">
        <v>68864</v>
      </c>
      <c r="V3445" t="s">
        <v>68865</v>
      </c>
      <c r="W3445" t="s">
        <v>68866</v>
      </c>
      <c r="X3445" t="s">
        <v>68867</v>
      </c>
      <c r="Y3445" t="s">
        <v>68868</v>
      </c>
    </row>
    <row r="3446" spans="1:25" x14ac:dyDescent="0.3">
      <c r="A3446">
        <v>172250</v>
      </c>
      <c r="B3446" t="s">
        <v>68869</v>
      </c>
      <c r="C3446" t="s">
        <v>68870</v>
      </c>
      <c r="D3446" t="s">
        <v>68871</v>
      </c>
      <c r="E3446" t="s">
        <v>68872</v>
      </c>
      <c r="F3446" t="s">
        <v>68873</v>
      </c>
      <c r="G3446" t="s">
        <v>68874</v>
      </c>
      <c r="H3446" t="s">
        <v>68875</v>
      </c>
      <c r="I3446" t="s">
        <v>68876</v>
      </c>
      <c r="J3446" t="s">
        <v>68877</v>
      </c>
      <c r="K3446" t="s">
        <v>68878</v>
      </c>
      <c r="L3446" t="s">
        <v>68879</v>
      </c>
      <c r="M3446" t="s">
        <v>68880</v>
      </c>
      <c r="N3446" t="s">
        <v>68881</v>
      </c>
      <c r="O3446">
        <f>-582.142893173079 -88.8706760522931 -737.819006714053</f>
        <v>-1408.8325759394252</v>
      </c>
      <c r="P3446">
        <f>-608.135783852389 -83.3005941756443 -422.415338311839</f>
        <v>-1113.8517163398722</v>
      </c>
      <c r="Q3446">
        <f>-361.199815318538 -7.16720008279141 -451.883686754775</f>
        <v>-820.25070215610435</v>
      </c>
      <c r="R3446" t="s">
        <v>68882</v>
      </c>
      <c r="S3446" t="s">
        <v>68883</v>
      </c>
      <c r="T3446" t="s">
        <v>68884</v>
      </c>
      <c r="U3446" t="s">
        <v>68885</v>
      </c>
      <c r="V3446" t="s">
        <v>68886</v>
      </c>
      <c r="W3446" t="s">
        <v>68887</v>
      </c>
      <c r="X3446" t="s">
        <v>68888</v>
      </c>
      <c r="Y3446" t="s">
        <v>68889</v>
      </c>
    </row>
    <row r="3447" spans="1:25" x14ac:dyDescent="0.3">
      <c r="A3447">
        <v>172300</v>
      </c>
      <c r="B3447" t="s">
        <v>68890</v>
      </c>
      <c r="C3447" t="s">
        <v>68891</v>
      </c>
      <c r="D3447" t="s">
        <v>68892</v>
      </c>
      <c r="E3447" t="s">
        <v>68893</v>
      </c>
      <c r="F3447" t="s">
        <v>68894</v>
      </c>
      <c r="G3447" t="s">
        <v>68895</v>
      </c>
      <c r="H3447" t="s">
        <v>68896</v>
      </c>
      <c r="I3447" t="s">
        <v>68897</v>
      </c>
      <c r="J3447" t="s">
        <v>68898</v>
      </c>
      <c r="K3447" t="s">
        <v>68899</v>
      </c>
      <c r="L3447" t="s">
        <v>68900</v>
      </c>
      <c r="M3447" t="s">
        <v>68901</v>
      </c>
      <c r="N3447" t="s">
        <v>68902</v>
      </c>
      <c r="O3447">
        <f>-582.260180117969 -88.8669187431544 -737.821353561981</f>
        <v>-1408.9484524231043</v>
      </c>
      <c r="P3447">
        <f>-608.290942672649 -83.3982286497701 -422.418896052989</f>
        <v>-1114.1080673754082</v>
      </c>
      <c r="Q3447">
        <f>-361.394621983626 -7.13708005108682 -451.889100052443</f>
        <v>-820.42080208715583</v>
      </c>
      <c r="R3447" t="s">
        <v>68903</v>
      </c>
      <c r="S3447" t="s">
        <v>68904</v>
      </c>
      <c r="T3447" t="s">
        <v>68905</v>
      </c>
      <c r="U3447" t="s">
        <v>68906</v>
      </c>
      <c r="V3447" t="s">
        <v>68907</v>
      </c>
      <c r="W3447" t="s">
        <v>68908</v>
      </c>
      <c r="X3447" t="s">
        <v>68909</v>
      </c>
      <c r="Y3447" t="s">
        <v>68910</v>
      </c>
    </row>
    <row r="3448" spans="1:25" x14ac:dyDescent="0.3">
      <c r="A3448">
        <v>172350</v>
      </c>
      <c r="B3448" t="s">
        <v>68911</v>
      </c>
      <c r="C3448" t="s">
        <v>68912</v>
      </c>
      <c r="D3448" t="s">
        <v>68913</v>
      </c>
      <c r="E3448" t="s">
        <v>68914</v>
      </c>
      <c r="F3448" t="s">
        <v>68915</v>
      </c>
      <c r="G3448" t="s">
        <v>68916</v>
      </c>
      <c r="H3448" t="s">
        <v>68917</v>
      </c>
      <c r="I3448" t="s">
        <v>68918</v>
      </c>
      <c r="J3448" t="s">
        <v>68919</v>
      </c>
      <c r="K3448" t="s">
        <v>68920</v>
      </c>
      <c r="L3448" t="s">
        <v>68921</v>
      </c>
      <c r="M3448" t="s">
        <v>68922</v>
      </c>
      <c r="N3448" t="s">
        <v>68923</v>
      </c>
      <c r="O3448">
        <f>-582.645658446751 -89.1691878802735 -737.828606603887</f>
        <v>-1409.6434529309115</v>
      </c>
      <c r="P3448">
        <f>-608.758746340117 -83.8364027056051 -422.43070664663</f>
        <v>-1115.025855692352</v>
      </c>
      <c r="Q3448">
        <f>-361.946206391693 -7.31213012523077 -451.920778851522</f>
        <v>-821.17911536844576</v>
      </c>
      <c r="R3448" t="s">
        <v>68924</v>
      </c>
      <c r="S3448" t="s">
        <v>68925</v>
      </c>
      <c r="T3448" t="s">
        <v>68926</v>
      </c>
      <c r="U3448" t="s">
        <v>68927</v>
      </c>
      <c r="V3448" t="s">
        <v>68928</v>
      </c>
      <c r="W3448" t="s">
        <v>68929</v>
      </c>
      <c r="X3448" t="s">
        <v>68930</v>
      </c>
      <c r="Y3448" t="s">
        <v>68931</v>
      </c>
    </row>
    <row r="3449" spans="1:25" x14ac:dyDescent="0.3">
      <c r="A3449">
        <v>172400</v>
      </c>
      <c r="B3449" t="s">
        <v>68932</v>
      </c>
      <c r="C3449" t="s">
        <v>68933</v>
      </c>
      <c r="D3449" t="s">
        <v>68934</v>
      </c>
      <c r="E3449" t="s">
        <v>68935</v>
      </c>
      <c r="F3449" t="s">
        <v>68936</v>
      </c>
      <c r="G3449" t="s">
        <v>68937</v>
      </c>
      <c r="H3449" t="s">
        <v>68938</v>
      </c>
      <c r="I3449" t="s">
        <v>68939</v>
      </c>
      <c r="J3449" t="s">
        <v>68940</v>
      </c>
      <c r="K3449" t="s">
        <v>68941</v>
      </c>
      <c r="L3449" t="s">
        <v>68942</v>
      </c>
      <c r="M3449" t="s">
        <v>68943</v>
      </c>
      <c r="N3449" t="s">
        <v>68944</v>
      </c>
      <c r="O3449">
        <f>-582.842928125493 -89.0767724977476 -737.871986771218</f>
        <v>-1409.7916873944587</v>
      </c>
      <c r="P3449">
        <f>-608.930383881494 -83.7719842105768 -422.471488831925</f>
        <v>-1115.1738569239958</v>
      </c>
      <c r="Q3449">
        <f>-362.161347192818 -7.0946522143948 -451.927611820055</f>
        <v>-821.18361122726787</v>
      </c>
      <c r="R3449" t="s">
        <v>68945</v>
      </c>
      <c r="S3449" t="s">
        <v>68946</v>
      </c>
      <c r="T3449" t="s">
        <v>68947</v>
      </c>
      <c r="U3449" t="s">
        <v>68948</v>
      </c>
      <c r="V3449" t="s">
        <v>68949</v>
      </c>
      <c r="W3449" t="s">
        <v>68950</v>
      </c>
      <c r="X3449" t="s">
        <v>68951</v>
      </c>
      <c r="Y3449" t="s">
        <v>68952</v>
      </c>
    </row>
    <row r="3450" spans="1:25" x14ac:dyDescent="0.3">
      <c r="A3450">
        <v>172450</v>
      </c>
      <c r="B3450" t="s">
        <v>68953</v>
      </c>
      <c r="C3450" t="s">
        <v>68954</v>
      </c>
      <c r="D3450" t="s">
        <v>68955</v>
      </c>
      <c r="E3450" t="s">
        <v>68956</v>
      </c>
      <c r="F3450" t="s">
        <v>68957</v>
      </c>
      <c r="G3450" t="s">
        <v>68958</v>
      </c>
      <c r="H3450" t="s">
        <v>68959</v>
      </c>
      <c r="I3450" t="s">
        <v>68960</v>
      </c>
      <c r="J3450" t="s">
        <v>68961</v>
      </c>
      <c r="K3450" t="s">
        <v>68962</v>
      </c>
      <c r="L3450" t="s">
        <v>68963</v>
      </c>
      <c r="M3450" t="s">
        <v>68964</v>
      </c>
      <c r="N3450" t="s">
        <v>68965</v>
      </c>
      <c r="O3450">
        <f>-583.48872547783 -89.1121245462404 -737.876904018546</f>
        <v>-1410.4777540426164</v>
      </c>
      <c r="P3450">
        <f>-609.590166671466 -83.877708921641 -422.476398702322</f>
        <v>-1115.9442742954291</v>
      </c>
      <c r="Q3450">
        <f>-362.883059019494 -7.06249442920112 -452.091826171999</f>
        <v>-822.03737962069408</v>
      </c>
      <c r="R3450" t="s">
        <v>68966</v>
      </c>
      <c r="S3450" t="s">
        <v>68967</v>
      </c>
      <c r="T3450" t="s">
        <v>68968</v>
      </c>
      <c r="U3450" t="s">
        <v>68969</v>
      </c>
      <c r="V3450" t="s">
        <v>68970</v>
      </c>
      <c r="W3450" t="s">
        <v>68971</v>
      </c>
      <c r="X3450" t="s">
        <v>68972</v>
      </c>
      <c r="Y3450" t="s">
        <v>68973</v>
      </c>
    </row>
    <row r="3451" spans="1:25" x14ac:dyDescent="0.3">
      <c r="A3451">
        <v>172500</v>
      </c>
      <c r="B3451" t="s">
        <v>68974</v>
      </c>
      <c r="C3451" t="s">
        <v>68975</v>
      </c>
      <c r="D3451" t="s">
        <v>68976</v>
      </c>
      <c r="E3451" t="s">
        <v>68977</v>
      </c>
      <c r="F3451" t="s">
        <v>68978</v>
      </c>
      <c r="G3451" t="s">
        <v>68979</v>
      </c>
      <c r="H3451" t="s">
        <v>68980</v>
      </c>
      <c r="I3451" t="s">
        <v>68981</v>
      </c>
      <c r="J3451" t="s">
        <v>68982</v>
      </c>
      <c r="K3451" t="s">
        <v>68983</v>
      </c>
      <c r="L3451" t="s">
        <v>68984</v>
      </c>
      <c r="M3451" t="s">
        <v>68985</v>
      </c>
      <c r="N3451" t="s">
        <v>68986</v>
      </c>
      <c r="O3451">
        <f>-583.796673232665 -89.1522756921248 -737.876648411659</f>
        <v>-1410.8255973364487</v>
      </c>
      <c r="P3451">
        <f>-609.86009496491 -83.9486444864508 -422.472321552344</f>
        <v>-1116.2810610037047</v>
      </c>
      <c r="Q3451">
        <f>-363.181875318734 -7.04695249125342 -452.104001173827</f>
        <v>-822.33282898381435</v>
      </c>
      <c r="R3451" t="s">
        <v>68987</v>
      </c>
      <c r="S3451" t="s">
        <v>68988</v>
      </c>
      <c r="T3451" t="s">
        <v>68989</v>
      </c>
      <c r="U3451" t="s">
        <v>68990</v>
      </c>
      <c r="V3451" t="s">
        <v>68991</v>
      </c>
      <c r="W3451" t="s">
        <v>68992</v>
      </c>
      <c r="X3451" t="s">
        <v>68993</v>
      </c>
      <c r="Y3451" t="s">
        <v>68994</v>
      </c>
    </row>
    <row r="3452" spans="1:25" x14ac:dyDescent="0.3">
      <c r="A3452">
        <v>172550</v>
      </c>
      <c r="B3452" t="s">
        <v>68995</v>
      </c>
      <c r="C3452" t="s">
        <v>68996</v>
      </c>
      <c r="D3452" t="s">
        <v>68997</v>
      </c>
      <c r="E3452" t="s">
        <v>68998</v>
      </c>
      <c r="F3452" t="s">
        <v>68999</v>
      </c>
      <c r="G3452" t="s">
        <v>69000</v>
      </c>
      <c r="H3452" t="s">
        <v>69001</v>
      </c>
      <c r="I3452" t="s">
        <v>69002</v>
      </c>
      <c r="J3452" t="s">
        <v>69003</v>
      </c>
      <c r="K3452" t="s">
        <v>69004</v>
      </c>
      <c r="L3452" t="s">
        <v>69005</v>
      </c>
      <c r="M3452" t="s">
        <v>69006</v>
      </c>
      <c r="N3452" t="s">
        <v>69007</v>
      </c>
      <c r="O3452">
        <f>-584.06989461923 -89.0057660759808 -737.899757118019</f>
        <v>-1410.9754178132298</v>
      </c>
      <c r="P3452">
        <f>-610.176169163882 -83.8542897222768 -422.498279993549</f>
        <v>-1116.5287388797078</v>
      </c>
      <c r="Q3452">
        <f>-363.518520659851 -6.91184150301795 -452.195480496555</f>
        <v>-822.62584265942394</v>
      </c>
      <c r="R3452" t="s">
        <v>69008</v>
      </c>
      <c r="S3452" t="s">
        <v>69009</v>
      </c>
      <c r="T3452" t="s">
        <v>69010</v>
      </c>
      <c r="U3452" t="s">
        <v>69011</v>
      </c>
      <c r="V3452" t="s">
        <v>69012</v>
      </c>
      <c r="W3452" t="s">
        <v>69013</v>
      </c>
      <c r="X3452" t="s">
        <v>69014</v>
      </c>
      <c r="Y3452" t="s">
        <v>69015</v>
      </c>
    </row>
    <row r="3453" spans="1:25" x14ac:dyDescent="0.3">
      <c r="A3453">
        <v>172600</v>
      </c>
      <c r="B3453" t="s">
        <v>69016</v>
      </c>
      <c r="C3453" t="s">
        <v>69017</v>
      </c>
      <c r="D3453" t="s">
        <v>69018</v>
      </c>
      <c r="E3453" t="s">
        <v>69019</v>
      </c>
      <c r="F3453" t="s">
        <v>69020</v>
      </c>
      <c r="G3453" t="s">
        <v>69021</v>
      </c>
      <c r="H3453" t="s">
        <v>69022</v>
      </c>
      <c r="I3453" t="s">
        <v>69023</v>
      </c>
      <c r="J3453" t="s">
        <v>69024</v>
      </c>
      <c r="K3453" t="s">
        <v>69025</v>
      </c>
      <c r="L3453" t="s">
        <v>69026</v>
      </c>
      <c r="M3453" t="s">
        <v>69027</v>
      </c>
      <c r="N3453" t="s">
        <v>69028</v>
      </c>
      <c r="O3453">
        <f>-584.266660318522 -88.8676937769009 -737.899795539843</f>
        <v>-1411.0341496352657</v>
      </c>
      <c r="P3453">
        <f>-610.457321617605 -83.7710993169538 -422.504415343436</f>
        <v>-1116.7328362779949</v>
      </c>
      <c r="Q3453">
        <f>-363.821883285014 -6.76127409217843 -452.21152599511</f>
        <v>-822.79468337230242</v>
      </c>
      <c r="R3453" t="s">
        <v>69029</v>
      </c>
      <c r="S3453" t="s">
        <v>69030</v>
      </c>
      <c r="T3453" t="s">
        <v>69031</v>
      </c>
      <c r="U3453" t="s">
        <v>69032</v>
      </c>
      <c r="V3453" t="s">
        <v>69033</v>
      </c>
      <c r="W3453" t="s">
        <v>69034</v>
      </c>
      <c r="X3453" t="s">
        <v>69035</v>
      </c>
      <c r="Y3453" t="s">
        <v>69036</v>
      </c>
    </row>
    <row r="3454" spans="1:25" x14ac:dyDescent="0.3">
      <c r="A3454">
        <v>172650</v>
      </c>
      <c r="B3454" t="s">
        <v>69037</v>
      </c>
      <c r="C3454" t="s">
        <v>69038</v>
      </c>
      <c r="D3454" t="s">
        <v>69039</v>
      </c>
      <c r="E3454" t="s">
        <v>69040</v>
      </c>
      <c r="F3454" t="s">
        <v>69041</v>
      </c>
      <c r="G3454" t="s">
        <v>69042</v>
      </c>
      <c r="H3454" t="s">
        <v>69043</v>
      </c>
      <c r="I3454" t="s">
        <v>69044</v>
      </c>
      <c r="J3454" t="s">
        <v>69045</v>
      </c>
      <c r="K3454" t="s">
        <v>69046</v>
      </c>
      <c r="L3454" t="s">
        <v>69047</v>
      </c>
      <c r="M3454" t="s">
        <v>69048</v>
      </c>
      <c r="N3454" t="s">
        <v>69049</v>
      </c>
      <c r="O3454">
        <f>-584.526972014412 -88.6783768048269 -737.992333089155</f>
        <v>-1411.1976819083939</v>
      </c>
      <c r="P3454">
        <f>-610.817205852508 -83.6637114185558 -422.603813809076</f>
        <v>-1117.0847310801398</v>
      </c>
      <c r="Q3454">
        <f>-364.15933416723 -6.69606620953634 -452.233826681483</f>
        <v>-823.08922705824932</v>
      </c>
      <c r="R3454" t="s">
        <v>69050</v>
      </c>
      <c r="S3454" t="s">
        <v>69051</v>
      </c>
      <c r="T3454" t="s">
        <v>69052</v>
      </c>
      <c r="U3454" t="s">
        <v>69053</v>
      </c>
      <c r="V3454" t="s">
        <v>69054</v>
      </c>
      <c r="W3454" t="s">
        <v>69055</v>
      </c>
      <c r="X3454" t="s">
        <v>69056</v>
      </c>
      <c r="Y3454" t="s">
        <v>69057</v>
      </c>
    </row>
    <row r="3455" spans="1:25" x14ac:dyDescent="0.3">
      <c r="A3455">
        <v>172700</v>
      </c>
      <c r="B3455" t="s">
        <v>69058</v>
      </c>
      <c r="C3455" t="s">
        <v>69059</v>
      </c>
      <c r="D3455" t="s">
        <v>69060</v>
      </c>
      <c r="E3455" t="s">
        <v>69061</v>
      </c>
      <c r="F3455" t="s">
        <v>69062</v>
      </c>
      <c r="G3455" t="s">
        <v>69063</v>
      </c>
      <c r="H3455" t="s">
        <v>69064</v>
      </c>
      <c r="I3455" t="s">
        <v>69065</v>
      </c>
      <c r="J3455" t="s">
        <v>69066</v>
      </c>
      <c r="K3455" t="s">
        <v>69067</v>
      </c>
      <c r="L3455" t="s">
        <v>69068</v>
      </c>
      <c r="M3455" t="s">
        <v>69069</v>
      </c>
      <c r="N3455" t="s">
        <v>69070</v>
      </c>
      <c r="O3455">
        <f>-584.629843125302 -88.5144270935306 -738.012778601784</f>
        <v>-1411.1570488206166</v>
      </c>
      <c r="P3455">
        <f>-610.931668229083 -83.4939501460383 -422.625462341091</f>
        <v>-1117.0510807162123</v>
      </c>
      <c r="Q3455">
        <f>-364.267219983915 -6.53268183016596 -452.217184456864</f>
        <v>-823.01708627094501</v>
      </c>
      <c r="R3455" t="s">
        <v>69071</v>
      </c>
      <c r="S3455" t="s">
        <v>69072</v>
      </c>
      <c r="T3455" t="s">
        <v>69073</v>
      </c>
      <c r="U3455" t="s">
        <v>69074</v>
      </c>
      <c r="V3455" t="s">
        <v>69075</v>
      </c>
      <c r="W3455" t="s">
        <v>69076</v>
      </c>
      <c r="X3455" t="s">
        <v>69077</v>
      </c>
      <c r="Y3455" t="s">
        <v>69078</v>
      </c>
    </row>
    <row r="3456" spans="1:25" x14ac:dyDescent="0.3">
      <c r="A3456">
        <v>172750</v>
      </c>
      <c r="B3456" t="s">
        <v>69079</v>
      </c>
      <c r="C3456" t="s">
        <v>69080</v>
      </c>
      <c r="D3456" t="s">
        <v>69081</v>
      </c>
      <c r="E3456" t="s">
        <v>69082</v>
      </c>
      <c r="F3456" t="s">
        <v>69083</v>
      </c>
      <c r="G3456" t="s">
        <v>69084</v>
      </c>
      <c r="H3456" t="s">
        <v>69085</v>
      </c>
      <c r="I3456" t="s">
        <v>69086</v>
      </c>
      <c r="J3456" t="s">
        <v>69087</v>
      </c>
      <c r="K3456" t="s">
        <v>69088</v>
      </c>
      <c r="L3456" t="s">
        <v>69089</v>
      </c>
      <c r="M3456" t="s">
        <v>69090</v>
      </c>
      <c r="N3456" t="s">
        <v>69091</v>
      </c>
      <c r="O3456">
        <f>-584.90344750588 -88.6663210868324 -738.044228423325</f>
        <v>-1411.6139970160373</v>
      </c>
      <c r="P3456">
        <f>-611.131370721284 -83.7145045844808 -422.649754368347</f>
        <v>-1117.4956296741118</v>
      </c>
      <c r="Q3456">
        <f>-364.451515187125 -6.80820464111029 -452.255701236296</f>
        <v>-823.51542106453121</v>
      </c>
      <c r="R3456" t="s">
        <v>69092</v>
      </c>
      <c r="S3456" t="s">
        <v>69093</v>
      </c>
      <c r="T3456" t="s">
        <v>69094</v>
      </c>
      <c r="U3456" t="s">
        <v>69095</v>
      </c>
      <c r="V3456" t="s">
        <v>69096</v>
      </c>
      <c r="W3456" t="s">
        <v>69097</v>
      </c>
      <c r="X3456" t="s">
        <v>69098</v>
      </c>
      <c r="Y3456" t="s">
        <v>69099</v>
      </c>
    </row>
    <row r="3457" spans="1:25" x14ac:dyDescent="0.3">
      <c r="A3457">
        <v>172800</v>
      </c>
      <c r="B3457" t="s">
        <v>69100</v>
      </c>
      <c r="C3457" t="s">
        <v>69101</v>
      </c>
      <c r="D3457" t="s">
        <v>69102</v>
      </c>
      <c r="E3457" t="s">
        <v>69103</v>
      </c>
      <c r="F3457" t="s">
        <v>69104</v>
      </c>
      <c r="G3457" t="s">
        <v>69105</v>
      </c>
      <c r="H3457" t="s">
        <v>69106</v>
      </c>
      <c r="I3457" t="s">
        <v>69107</v>
      </c>
      <c r="J3457" t="s">
        <v>69108</v>
      </c>
      <c r="K3457" t="s">
        <v>69109</v>
      </c>
      <c r="L3457" t="s">
        <v>69110</v>
      </c>
      <c r="M3457" t="s">
        <v>69111</v>
      </c>
      <c r="N3457" t="s">
        <v>69112</v>
      </c>
      <c r="O3457">
        <f>-585.027502857997 -88.5768437924311 -738.028882394843</f>
        <v>-1411.633229045271</v>
      </c>
      <c r="P3457">
        <f>-611.252025192329 -83.6889750307094 -422.633088250816</f>
        <v>-1117.5740884738543</v>
      </c>
      <c r="Q3457">
        <f>-364.592235818249 -6.74265191443384 -452.30198994588</f>
        <v>-823.63687767856277</v>
      </c>
      <c r="R3457" t="s">
        <v>69113</v>
      </c>
      <c r="S3457" t="s">
        <v>69114</v>
      </c>
      <c r="T3457" t="s">
        <v>69115</v>
      </c>
      <c r="U3457" t="s">
        <v>69116</v>
      </c>
      <c r="V3457" t="s">
        <v>69117</v>
      </c>
      <c r="W3457" t="s">
        <v>69118</v>
      </c>
      <c r="X3457" t="s">
        <v>69119</v>
      </c>
      <c r="Y3457" t="s">
        <v>69120</v>
      </c>
    </row>
    <row r="3458" spans="1:25" x14ac:dyDescent="0.3">
      <c r="A3458">
        <v>172850</v>
      </c>
      <c r="B3458" t="s">
        <v>69121</v>
      </c>
      <c r="C3458" t="s">
        <v>69122</v>
      </c>
      <c r="D3458" t="s">
        <v>69123</v>
      </c>
      <c r="E3458" t="s">
        <v>69124</v>
      </c>
      <c r="F3458" t="s">
        <v>69125</v>
      </c>
      <c r="G3458" t="s">
        <v>69126</v>
      </c>
      <c r="H3458" t="s">
        <v>69127</v>
      </c>
      <c r="I3458" t="s">
        <v>69128</v>
      </c>
      <c r="J3458" t="s">
        <v>69129</v>
      </c>
      <c r="K3458" t="s">
        <v>69130</v>
      </c>
      <c r="L3458" t="s">
        <v>69131</v>
      </c>
      <c r="M3458" t="s">
        <v>69132</v>
      </c>
      <c r="N3458" t="s">
        <v>69133</v>
      </c>
      <c r="O3458">
        <f>-585.313515039367 -88.2208381334899 -738.036498528474</f>
        <v>-1411.5708517013309</v>
      </c>
      <c r="P3458">
        <f>-611.513329789283 -83.4532960324774 -422.636675390903</f>
        <v>-1117.6033012126634</v>
      </c>
      <c r="Q3458">
        <f>-364.84167752193 -6.61904621563934 -452.497034966454</f>
        <v>-823.95775870402338</v>
      </c>
      <c r="R3458" t="s">
        <v>69134</v>
      </c>
      <c r="S3458" t="s">
        <v>69135</v>
      </c>
      <c r="T3458" t="s">
        <v>69136</v>
      </c>
      <c r="U3458" t="s">
        <v>69137</v>
      </c>
      <c r="V3458" t="s">
        <v>69138</v>
      </c>
      <c r="W3458" t="s">
        <v>69139</v>
      </c>
      <c r="X3458" t="s">
        <v>69140</v>
      </c>
      <c r="Y3458" t="s">
        <v>69141</v>
      </c>
    </row>
    <row r="3459" spans="1:25" x14ac:dyDescent="0.3">
      <c r="A3459">
        <v>172900</v>
      </c>
      <c r="B3459" t="s">
        <v>69142</v>
      </c>
      <c r="C3459" t="s">
        <v>69143</v>
      </c>
      <c r="D3459" t="s">
        <v>69144</v>
      </c>
      <c r="E3459" t="s">
        <v>69145</v>
      </c>
      <c r="F3459" t="s">
        <v>69146</v>
      </c>
      <c r="G3459" t="s">
        <v>69147</v>
      </c>
      <c r="H3459" t="s">
        <v>69148</v>
      </c>
      <c r="I3459" t="s">
        <v>69149</v>
      </c>
      <c r="J3459" t="s">
        <v>69150</v>
      </c>
      <c r="K3459" t="s">
        <v>69151</v>
      </c>
      <c r="L3459" t="s">
        <v>69152</v>
      </c>
      <c r="M3459" t="s">
        <v>69153</v>
      </c>
      <c r="N3459" t="s">
        <v>69154</v>
      </c>
      <c r="O3459">
        <f>-585.349374190438 -88.0114094869255 -738.047811186832</f>
        <v>-1411.4085948641955</v>
      </c>
      <c r="P3459">
        <f>-611.544646569913 -83.2654108239238 -422.647376485776</f>
        <v>-1117.4574338796128</v>
      </c>
      <c r="Q3459">
        <f>-364.850723224846 -6.52155561385226 -452.556279630219</f>
        <v>-823.92855846891734</v>
      </c>
      <c r="R3459" t="s">
        <v>69155</v>
      </c>
      <c r="S3459" t="s">
        <v>69156</v>
      </c>
      <c r="T3459" t="s">
        <v>69157</v>
      </c>
      <c r="U3459" t="s">
        <v>69158</v>
      </c>
      <c r="V3459" t="s">
        <v>69159</v>
      </c>
      <c r="W3459" t="s">
        <v>69160</v>
      </c>
      <c r="X3459" t="s">
        <v>69161</v>
      </c>
      <c r="Y3459" t="s">
        <v>69162</v>
      </c>
    </row>
    <row r="3460" spans="1:25" x14ac:dyDescent="0.3">
      <c r="A3460">
        <v>172950</v>
      </c>
      <c r="B3460" t="s">
        <v>69163</v>
      </c>
      <c r="C3460" t="s">
        <v>69164</v>
      </c>
      <c r="D3460" t="s">
        <v>69165</v>
      </c>
      <c r="E3460" t="s">
        <v>69166</v>
      </c>
      <c r="F3460" t="s">
        <v>69167</v>
      </c>
      <c r="G3460" t="s">
        <v>69168</v>
      </c>
      <c r="H3460" t="s">
        <v>69169</v>
      </c>
      <c r="I3460" t="s">
        <v>69170</v>
      </c>
      <c r="J3460" t="s">
        <v>69171</v>
      </c>
      <c r="K3460" t="s">
        <v>69172</v>
      </c>
      <c r="L3460" t="s">
        <v>69173</v>
      </c>
      <c r="M3460" t="s">
        <v>69174</v>
      </c>
      <c r="N3460" t="s">
        <v>69175</v>
      </c>
      <c r="O3460">
        <f>-585.601449726302 -87.7538344489883 -738.122020785574</f>
        <v>-1411.4773049608643</v>
      </c>
      <c r="P3460">
        <f>-611.743816045005 -83.04991981162 -422.716420512712</f>
        <v>-1117.510156369337</v>
      </c>
      <c r="Q3460">
        <f>-364.99110587405 -6.49181386597851 -452.616245482648</f>
        <v>-824.09916522267645</v>
      </c>
      <c r="R3460" t="s">
        <v>69176</v>
      </c>
      <c r="S3460" t="s">
        <v>69177</v>
      </c>
      <c r="T3460" t="s">
        <v>69178</v>
      </c>
      <c r="U3460" t="s">
        <v>69179</v>
      </c>
      <c r="V3460" t="s">
        <v>69180</v>
      </c>
      <c r="W3460" t="s">
        <v>69181</v>
      </c>
      <c r="X3460" t="s">
        <v>69182</v>
      </c>
      <c r="Y3460" t="s">
        <v>69183</v>
      </c>
    </row>
    <row r="3461" spans="1:25" x14ac:dyDescent="0.3">
      <c r="A3461">
        <v>173000</v>
      </c>
      <c r="B3461" t="s">
        <v>69184</v>
      </c>
      <c r="C3461" t="s">
        <v>69185</v>
      </c>
      <c r="D3461" t="s">
        <v>69186</v>
      </c>
      <c r="E3461" t="s">
        <v>69187</v>
      </c>
      <c r="F3461" t="s">
        <v>69188</v>
      </c>
      <c r="G3461" t="s">
        <v>69189</v>
      </c>
      <c r="H3461" t="s">
        <v>69190</v>
      </c>
      <c r="I3461" t="s">
        <v>69191</v>
      </c>
      <c r="J3461" t="s">
        <v>69192</v>
      </c>
      <c r="K3461" t="s">
        <v>69193</v>
      </c>
      <c r="L3461" t="s">
        <v>69194</v>
      </c>
      <c r="M3461" t="s">
        <v>69195</v>
      </c>
      <c r="N3461" t="s">
        <v>69196</v>
      </c>
      <c r="O3461">
        <f>-585.707078181555 -87.6927683018869 -738.146700479888</f>
        <v>-1411.5465469633298</v>
      </c>
      <c r="P3461">
        <f>-611.780784931025 -82.9684966475526 -422.735810164587</f>
        <v>-1117.4850917431645</v>
      </c>
      <c r="Q3461">
        <f>-365.019686313968 -6.43595447365313 -452.631638744787</f>
        <v>-824.08727953240805</v>
      </c>
      <c r="R3461" t="s">
        <v>69197</v>
      </c>
      <c r="S3461" t="s">
        <v>69198</v>
      </c>
      <c r="T3461" t="s">
        <v>69199</v>
      </c>
      <c r="U3461" t="s">
        <v>69200</v>
      </c>
      <c r="V3461" t="s">
        <v>69201</v>
      </c>
      <c r="W3461" t="s">
        <v>69202</v>
      </c>
      <c r="X3461" t="s">
        <v>69203</v>
      </c>
      <c r="Y3461" t="s">
        <v>69204</v>
      </c>
    </row>
    <row r="3462" spans="1:25" x14ac:dyDescent="0.3">
      <c r="A3462">
        <v>173050</v>
      </c>
      <c r="B3462" t="s">
        <v>69205</v>
      </c>
      <c r="C3462" t="s">
        <v>69206</v>
      </c>
      <c r="D3462" t="s">
        <v>69207</v>
      </c>
      <c r="E3462" t="s">
        <v>69208</v>
      </c>
      <c r="F3462" t="s">
        <v>69209</v>
      </c>
      <c r="G3462" t="s">
        <v>69210</v>
      </c>
      <c r="H3462" t="s">
        <v>69211</v>
      </c>
      <c r="I3462" t="s">
        <v>69212</v>
      </c>
      <c r="J3462" t="s">
        <v>69213</v>
      </c>
      <c r="K3462" t="s">
        <v>69214</v>
      </c>
      <c r="L3462" t="s">
        <v>69215</v>
      </c>
      <c r="M3462" t="s">
        <v>69216</v>
      </c>
      <c r="N3462" t="s">
        <v>69217</v>
      </c>
      <c r="O3462">
        <f>-585.936236131029 -87.5136060996 -738.074034522982</f>
        <v>-1411.5238767536109</v>
      </c>
      <c r="P3462">
        <f>-611.768801023771 -82.7779997535555 -422.643500977764</f>
        <v>-1117.1903017550903</v>
      </c>
      <c r="Q3462">
        <f>-364.988305413974 -6.35671897103595 -452.664237425089</f>
        <v>-824.00926181009891</v>
      </c>
      <c r="R3462" t="s">
        <v>69218</v>
      </c>
      <c r="S3462" t="s">
        <v>69219</v>
      </c>
      <c r="T3462" t="s">
        <v>69220</v>
      </c>
      <c r="U3462" t="s">
        <v>69221</v>
      </c>
      <c r="V3462" t="s">
        <v>69222</v>
      </c>
      <c r="W3462" t="s">
        <v>69223</v>
      </c>
      <c r="X3462" t="s">
        <v>69224</v>
      </c>
      <c r="Y3462" t="s">
        <v>69225</v>
      </c>
    </row>
    <row r="3463" spans="1:25" x14ac:dyDescent="0.3">
      <c r="A3463">
        <v>173100</v>
      </c>
      <c r="B3463" t="s">
        <v>69226</v>
      </c>
      <c r="C3463" t="s">
        <v>69227</v>
      </c>
      <c r="D3463" t="s">
        <v>69228</v>
      </c>
      <c r="E3463" t="s">
        <v>69229</v>
      </c>
      <c r="F3463" t="s">
        <v>69230</v>
      </c>
      <c r="G3463" t="s">
        <v>69231</v>
      </c>
      <c r="H3463" t="s">
        <v>69232</v>
      </c>
      <c r="I3463" t="s">
        <v>69233</v>
      </c>
      <c r="J3463" t="s">
        <v>69234</v>
      </c>
      <c r="K3463" t="s">
        <v>69235</v>
      </c>
      <c r="L3463" t="s">
        <v>69236</v>
      </c>
      <c r="M3463" t="s">
        <v>69237</v>
      </c>
      <c r="N3463" t="s">
        <v>69238</v>
      </c>
      <c r="O3463">
        <f>-586.110827464602 -87.4754942439723 -738.021457973881</f>
        <v>-1411.6077796824552</v>
      </c>
      <c r="P3463">
        <f>-611.775761928667 -82.7373331263606 -422.57729523348</f>
        <v>-1117.0903902885075</v>
      </c>
      <c r="Q3463">
        <f>-365.013449869748 -6.30367428652713 -452.715969840008</f>
        <v>-824.03309399628313</v>
      </c>
      <c r="R3463" t="s">
        <v>69239</v>
      </c>
      <c r="S3463" t="s">
        <v>69240</v>
      </c>
      <c r="T3463" t="s">
        <v>69241</v>
      </c>
      <c r="U3463" t="s">
        <v>69242</v>
      </c>
      <c r="V3463" t="s">
        <v>69243</v>
      </c>
      <c r="W3463" t="s">
        <v>69244</v>
      </c>
      <c r="X3463" t="s">
        <v>69245</v>
      </c>
      <c r="Y3463" t="s">
        <v>69246</v>
      </c>
    </row>
    <row r="3464" spans="1:25" x14ac:dyDescent="0.3">
      <c r="A3464">
        <v>173150</v>
      </c>
      <c r="B3464" t="s">
        <v>69247</v>
      </c>
      <c r="C3464" t="s">
        <v>69248</v>
      </c>
      <c r="D3464" t="s">
        <v>69249</v>
      </c>
      <c r="E3464" t="s">
        <v>69250</v>
      </c>
      <c r="F3464" t="s">
        <v>69251</v>
      </c>
      <c r="G3464" t="s">
        <v>69252</v>
      </c>
      <c r="H3464" t="s">
        <v>69253</v>
      </c>
      <c r="I3464" t="s">
        <v>69254</v>
      </c>
      <c r="J3464" t="s">
        <v>69255</v>
      </c>
      <c r="K3464" t="s">
        <v>69256</v>
      </c>
      <c r="L3464" t="s">
        <v>69257</v>
      </c>
      <c r="M3464" t="s">
        <v>69258</v>
      </c>
      <c r="N3464" t="s">
        <v>69259</v>
      </c>
      <c r="O3464">
        <f>-585.979905605219 -87.7683552449628 -738.024870201812</f>
        <v>-1411.7731310519937</v>
      </c>
      <c r="P3464">
        <f>-611.427666744825 -83.1150978285602 -422.561787117179</f>
        <v>-1117.1045516905642</v>
      </c>
      <c r="Q3464">
        <f>-364.7111441629 -6.61559365908442 -452.906955314256</f>
        <v>-824.23369313624039</v>
      </c>
      <c r="R3464" t="s">
        <v>69260</v>
      </c>
      <c r="S3464" t="s">
        <v>69261</v>
      </c>
      <c r="T3464" t="s">
        <v>69262</v>
      </c>
      <c r="U3464" t="s">
        <v>69263</v>
      </c>
      <c r="V3464" t="s">
        <v>69264</v>
      </c>
      <c r="W3464" t="s">
        <v>69265</v>
      </c>
      <c r="X3464" t="s">
        <v>69266</v>
      </c>
      <c r="Y3464" t="s">
        <v>69267</v>
      </c>
    </row>
    <row r="3465" spans="1:25" x14ac:dyDescent="0.3">
      <c r="A3465">
        <v>173200</v>
      </c>
      <c r="B3465" t="s">
        <v>69268</v>
      </c>
      <c r="C3465" t="s">
        <v>69269</v>
      </c>
      <c r="D3465" t="s">
        <v>69270</v>
      </c>
      <c r="E3465" t="s">
        <v>69271</v>
      </c>
      <c r="F3465" t="s">
        <v>69272</v>
      </c>
      <c r="G3465" t="s">
        <v>69273</v>
      </c>
      <c r="H3465" t="s">
        <v>69274</v>
      </c>
      <c r="I3465" t="s">
        <v>69275</v>
      </c>
      <c r="J3465" t="s">
        <v>69276</v>
      </c>
      <c r="K3465" t="s">
        <v>69277</v>
      </c>
      <c r="L3465" t="s">
        <v>69278</v>
      </c>
      <c r="M3465" t="s">
        <v>69279</v>
      </c>
      <c r="N3465" t="s">
        <v>69280</v>
      </c>
      <c r="O3465">
        <f>-585.907987218632 -87.7812979933301 -738.000187392477</f>
        <v>-1411.6894726044391</v>
      </c>
      <c r="P3465">
        <f>-611.294714942958 -83.2165400951761 -422.530967440218</f>
        <v>-1117.042222478352</v>
      </c>
      <c r="Q3465">
        <f>-364.603612223874 -6.66978843027252 -452.963638167363</f>
        <v>-824.23703882150949</v>
      </c>
      <c r="R3465" t="s">
        <v>69281</v>
      </c>
      <c r="S3465" t="s">
        <v>69282</v>
      </c>
      <c r="T3465" t="s">
        <v>69283</v>
      </c>
      <c r="U3465" t="s">
        <v>69284</v>
      </c>
      <c r="V3465" t="s">
        <v>69285</v>
      </c>
      <c r="W3465" t="s">
        <v>69286</v>
      </c>
      <c r="X3465" t="s">
        <v>69287</v>
      </c>
      <c r="Y3465" t="s">
        <v>69288</v>
      </c>
    </row>
    <row r="3466" spans="1:25" x14ac:dyDescent="0.3">
      <c r="A3466">
        <v>173250</v>
      </c>
      <c r="B3466" t="s">
        <v>69289</v>
      </c>
      <c r="C3466" t="s">
        <v>69290</v>
      </c>
      <c r="D3466" t="s">
        <v>69291</v>
      </c>
      <c r="E3466" t="s">
        <v>69292</v>
      </c>
      <c r="F3466" t="s">
        <v>69293</v>
      </c>
      <c r="G3466" t="s">
        <v>69294</v>
      </c>
      <c r="H3466" t="s">
        <v>69295</v>
      </c>
      <c r="I3466" t="s">
        <v>69296</v>
      </c>
      <c r="J3466" t="s">
        <v>69297</v>
      </c>
      <c r="K3466" t="s">
        <v>69298</v>
      </c>
      <c r="L3466" t="s">
        <v>69299</v>
      </c>
      <c r="M3466" t="s">
        <v>69300</v>
      </c>
      <c r="N3466" t="s">
        <v>69301</v>
      </c>
      <c r="O3466">
        <f>-585.662738358776 -87.8586114083591 -737.979623206009</f>
        <v>-1411.5009729731441</v>
      </c>
      <c r="P3466">
        <f>-610.927499859036 -83.3082226354485 -422.500385621739</f>
        <v>-1116.7361081162235</v>
      </c>
      <c r="Q3466">
        <f>-364.194772444342 -6.90055987395981 -452.9449218229</f>
        <v>-824.04025414120179</v>
      </c>
      <c r="R3466" t="s">
        <v>69302</v>
      </c>
      <c r="S3466" t="s">
        <v>69303</v>
      </c>
      <c r="T3466" t="s">
        <v>69304</v>
      </c>
      <c r="U3466" t="s">
        <v>69305</v>
      </c>
      <c r="V3466" t="s">
        <v>69306</v>
      </c>
      <c r="W3466" t="s">
        <v>69307</v>
      </c>
      <c r="X3466" t="s">
        <v>69308</v>
      </c>
      <c r="Y3466" t="s">
        <v>69309</v>
      </c>
    </row>
    <row r="3467" spans="1:25" x14ac:dyDescent="0.3">
      <c r="A3467">
        <v>173300</v>
      </c>
      <c r="B3467" t="s">
        <v>69310</v>
      </c>
      <c r="C3467" t="s">
        <v>69311</v>
      </c>
      <c r="D3467" t="s">
        <v>69312</v>
      </c>
      <c r="E3467" t="s">
        <v>69313</v>
      </c>
      <c r="F3467" t="s">
        <v>69314</v>
      </c>
      <c r="G3467" t="s">
        <v>69315</v>
      </c>
      <c r="H3467" t="s">
        <v>69316</v>
      </c>
      <c r="I3467" t="s">
        <v>69317</v>
      </c>
      <c r="J3467" t="s">
        <v>69318</v>
      </c>
      <c r="K3467" t="s">
        <v>69319</v>
      </c>
      <c r="L3467" t="s">
        <v>69320</v>
      </c>
      <c r="M3467" t="s">
        <v>69321</v>
      </c>
      <c r="N3467" t="s">
        <v>69322</v>
      </c>
      <c r="O3467">
        <f>-585.549348592804 -87.6233981664007 -737.978942001083</f>
        <v>-1411.1516887602879</v>
      </c>
      <c r="P3467">
        <f>-610.790137256251 -83.027106674187 -422.498363782497</f>
        <v>-1116.3156077129352</v>
      </c>
      <c r="Q3467">
        <f>-364.041117895551 -6.66919898927482 -452.935901213183</f>
        <v>-823.64621809800883</v>
      </c>
      <c r="R3467" t="s">
        <v>69323</v>
      </c>
      <c r="S3467" t="s">
        <v>69324</v>
      </c>
      <c r="T3467" t="s">
        <v>69325</v>
      </c>
      <c r="U3467" t="s">
        <v>69326</v>
      </c>
      <c r="V3467" t="s">
        <v>69327</v>
      </c>
      <c r="W3467" t="s">
        <v>69328</v>
      </c>
      <c r="X3467" t="s">
        <v>69329</v>
      </c>
      <c r="Y3467" t="s">
        <v>69330</v>
      </c>
    </row>
    <row r="3468" spans="1:25" x14ac:dyDescent="0.3">
      <c r="A3468">
        <v>173350</v>
      </c>
      <c r="B3468" t="s">
        <v>69331</v>
      </c>
      <c r="C3468" t="s">
        <v>69332</v>
      </c>
      <c r="D3468" t="s">
        <v>69333</v>
      </c>
      <c r="E3468" t="s">
        <v>69334</v>
      </c>
      <c r="F3468" t="s">
        <v>69335</v>
      </c>
      <c r="G3468" t="s">
        <v>69336</v>
      </c>
      <c r="H3468" t="s">
        <v>69337</v>
      </c>
      <c r="I3468" t="s">
        <v>69338</v>
      </c>
      <c r="J3468" t="s">
        <v>69339</v>
      </c>
      <c r="K3468" t="s">
        <v>69340</v>
      </c>
      <c r="L3468" t="s">
        <v>69341</v>
      </c>
      <c r="M3468" t="s">
        <v>69342</v>
      </c>
      <c r="N3468" t="s">
        <v>69343</v>
      </c>
      <c r="O3468">
        <f>-585.480869204964 -87.6640698485594 -737.90202383225</f>
        <v>-1411.0469628857736</v>
      </c>
      <c r="P3468">
        <f>-610.771574777469 -82.9292224277253 -422.427604551907</f>
        <v>-1116.1284017571013</v>
      </c>
      <c r="Q3468">
        <f>-363.981211943458 -6.65695190347164 -452.744025411292</f>
        <v>-823.38218925822162</v>
      </c>
      <c r="R3468" t="s">
        <v>69344</v>
      </c>
      <c r="S3468" t="s">
        <v>69345</v>
      </c>
      <c r="T3468" t="s">
        <v>69346</v>
      </c>
      <c r="U3468" t="s">
        <v>69347</v>
      </c>
      <c r="V3468" t="s">
        <v>69348</v>
      </c>
      <c r="W3468" t="s">
        <v>69349</v>
      </c>
      <c r="X3468" t="s">
        <v>69350</v>
      </c>
      <c r="Y3468" t="s">
        <v>69351</v>
      </c>
    </row>
    <row r="3469" spans="1:25" x14ac:dyDescent="0.3">
      <c r="A3469">
        <v>173400</v>
      </c>
      <c r="B3469" t="s">
        <v>69352</v>
      </c>
      <c r="C3469" t="s">
        <v>69353</v>
      </c>
      <c r="D3469" t="s">
        <v>69354</v>
      </c>
      <c r="E3469" t="s">
        <v>69355</v>
      </c>
      <c r="F3469" t="s">
        <v>69356</v>
      </c>
      <c r="G3469" t="s">
        <v>69357</v>
      </c>
      <c r="H3469" t="s">
        <v>69358</v>
      </c>
      <c r="I3469" t="s">
        <v>69359</v>
      </c>
      <c r="J3469" t="s">
        <v>69360</v>
      </c>
      <c r="K3469" t="s">
        <v>69361</v>
      </c>
      <c r="L3469" t="s">
        <v>69362</v>
      </c>
      <c r="M3469" t="s">
        <v>69363</v>
      </c>
      <c r="N3469" t="s">
        <v>69364</v>
      </c>
      <c r="O3469">
        <f>-585.390988901489 -87.7636813154548 -737.845307592458</f>
        <v>-1410.9999778094018</v>
      </c>
      <c r="P3469">
        <f>-610.641969464789 -82.865867128745 -422.370023541557</f>
        <v>-1115.8778601350909</v>
      </c>
      <c r="Q3469">
        <f>-363.831625536755 -6.6343220691538 -452.626523985892</f>
        <v>-823.09247159180086</v>
      </c>
      <c r="R3469" t="s">
        <v>69365</v>
      </c>
      <c r="S3469" t="s">
        <v>69366</v>
      </c>
      <c r="T3469" t="s">
        <v>69367</v>
      </c>
      <c r="U3469" t="s">
        <v>69368</v>
      </c>
      <c r="V3469" t="s">
        <v>69369</v>
      </c>
      <c r="W3469" t="s">
        <v>69370</v>
      </c>
      <c r="X3469" t="s">
        <v>69371</v>
      </c>
      <c r="Y3469" t="s">
        <v>69372</v>
      </c>
    </row>
    <row r="3470" spans="1:25" x14ac:dyDescent="0.3">
      <c r="A3470">
        <v>173450</v>
      </c>
      <c r="B3470" t="s">
        <v>69373</v>
      </c>
      <c r="C3470" t="s">
        <v>69374</v>
      </c>
      <c r="D3470" t="s">
        <v>69375</v>
      </c>
      <c r="E3470" t="s">
        <v>69376</v>
      </c>
      <c r="F3470" t="s">
        <v>69377</v>
      </c>
      <c r="G3470" t="s">
        <v>69378</v>
      </c>
      <c r="H3470" t="s">
        <v>69379</v>
      </c>
      <c r="I3470" t="s">
        <v>69380</v>
      </c>
      <c r="J3470" t="s">
        <v>69381</v>
      </c>
      <c r="K3470" t="s">
        <v>69382</v>
      </c>
      <c r="L3470" t="s">
        <v>69383</v>
      </c>
      <c r="M3470" t="s">
        <v>69384</v>
      </c>
      <c r="N3470" t="s">
        <v>69385</v>
      </c>
      <c r="O3470">
        <f>-584.897120527585 -88.4465542887591 -737.652725729439</f>
        <v>-1410.9964005457832</v>
      </c>
      <c r="P3470">
        <f>-609.953719586788 -83.1564358030441 -422.168397182379</f>
        <v>-1115.2785525722111</v>
      </c>
      <c r="Q3470">
        <f>-363.139260633498 -6.99735453110105 -452.573310878155</f>
        <v>-822.70992604275398</v>
      </c>
      <c r="R3470" t="s">
        <v>69386</v>
      </c>
      <c r="S3470" t="s">
        <v>69387</v>
      </c>
      <c r="T3470" t="s">
        <v>69388</v>
      </c>
      <c r="U3470" t="s">
        <v>69389</v>
      </c>
      <c r="V3470" t="s">
        <v>69390</v>
      </c>
      <c r="W3470" t="s">
        <v>69391</v>
      </c>
      <c r="X3470" t="s">
        <v>69392</v>
      </c>
      <c r="Y3470" t="s">
        <v>69393</v>
      </c>
    </row>
    <row r="3471" spans="1:25" x14ac:dyDescent="0.3">
      <c r="A3471">
        <v>173500</v>
      </c>
      <c r="B3471" t="s">
        <v>69394</v>
      </c>
      <c r="C3471" t="s">
        <v>69395</v>
      </c>
      <c r="D3471" t="s">
        <v>69396</v>
      </c>
      <c r="E3471" t="s">
        <v>69397</v>
      </c>
      <c r="F3471" t="s">
        <v>69398</v>
      </c>
      <c r="G3471" t="s">
        <v>69399</v>
      </c>
      <c r="H3471" t="s">
        <v>69400</v>
      </c>
      <c r="I3471" t="s">
        <v>69401</v>
      </c>
      <c r="J3471" t="s">
        <v>69402</v>
      </c>
      <c r="K3471" t="s">
        <v>69403</v>
      </c>
      <c r="L3471" t="s">
        <v>69404</v>
      </c>
      <c r="M3471" t="s">
        <v>69405</v>
      </c>
      <c r="N3471" t="s">
        <v>69406</v>
      </c>
      <c r="O3471">
        <f>-584.58565400925 -88.5249745782882 -737.529616896457</f>
        <v>-1410.6402454839952</v>
      </c>
      <c r="P3471">
        <f>-609.467913100259 -83.0658682562339 -422.034368245362</f>
        <v>-1114.5681496018549</v>
      </c>
      <c r="Q3471">
        <f>-362.688688030522 -6.84142027779727 -452.561827686368</f>
        <v>-822.09193599468722</v>
      </c>
      <c r="R3471" t="s">
        <v>69407</v>
      </c>
      <c r="S3471" t="s">
        <v>69408</v>
      </c>
      <c r="T3471" t="s">
        <v>69409</v>
      </c>
      <c r="U3471" t="s">
        <v>69410</v>
      </c>
      <c r="V3471" t="s">
        <v>69411</v>
      </c>
      <c r="W3471" t="s">
        <v>69412</v>
      </c>
      <c r="X3471" t="s">
        <v>69413</v>
      </c>
      <c r="Y3471" t="s">
        <v>69414</v>
      </c>
    </row>
    <row r="3472" spans="1:25" x14ac:dyDescent="0.3">
      <c r="A3472">
        <v>173550</v>
      </c>
      <c r="B3472" t="s">
        <v>69415</v>
      </c>
      <c r="C3472" t="s">
        <v>69416</v>
      </c>
      <c r="D3472" t="s">
        <v>69417</v>
      </c>
      <c r="E3472" t="s">
        <v>69418</v>
      </c>
      <c r="F3472" t="s">
        <v>69419</v>
      </c>
      <c r="G3472" t="s">
        <v>69420</v>
      </c>
      <c r="H3472" t="s">
        <v>69421</v>
      </c>
      <c r="I3472" t="s">
        <v>69422</v>
      </c>
      <c r="J3472" t="s">
        <v>69423</v>
      </c>
      <c r="K3472" t="s">
        <v>69424</v>
      </c>
      <c r="L3472" t="s">
        <v>69425</v>
      </c>
      <c r="M3472" t="s">
        <v>69426</v>
      </c>
      <c r="N3472" t="s">
        <v>69427</v>
      </c>
      <c r="O3472">
        <f>-583.920647672077 -89.1618408966758 -737.273150888625</f>
        <v>-1410.3556394573779</v>
      </c>
      <c r="P3472">
        <f>-608.752253540463 -83.5161704546727 -421.77714012119</f>
        <v>-1114.0455641163257</v>
      </c>
      <c r="Q3472">
        <f>-362.083131408599 -7.04511809206613 -452.576059724007</f>
        <v>-821.7043092246721</v>
      </c>
      <c r="R3472" t="s">
        <v>69428</v>
      </c>
      <c r="S3472" t="s">
        <v>69429</v>
      </c>
      <c r="T3472" t="s">
        <v>69430</v>
      </c>
      <c r="U3472" t="s">
        <v>69431</v>
      </c>
      <c r="V3472" t="s">
        <v>69432</v>
      </c>
      <c r="W3472" t="s">
        <v>69433</v>
      </c>
      <c r="X3472" t="s">
        <v>69434</v>
      </c>
      <c r="Y3472" t="s">
        <v>69435</v>
      </c>
    </row>
    <row r="3473" spans="1:25" x14ac:dyDescent="0.3">
      <c r="A3473">
        <v>173600</v>
      </c>
      <c r="B3473" t="s">
        <v>69436</v>
      </c>
      <c r="C3473" t="s">
        <v>69437</v>
      </c>
      <c r="D3473" t="s">
        <v>69438</v>
      </c>
      <c r="E3473" t="s">
        <v>69439</v>
      </c>
      <c r="F3473" t="s">
        <v>69440</v>
      </c>
      <c r="G3473" t="s">
        <v>69441</v>
      </c>
      <c r="H3473" t="s">
        <v>69442</v>
      </c>
      <c r="I3473" t="s">
        <v>69443</v>
      </c>
      <c r="J3473" t="s">
        <v>69444</v>
      </c>
      <c r="K3473" t="s">
        <v>69445</v>
      </c>
      <c r="L3473" t="s">
        <v>69446</v>
      </c>
      <c r="M3473" t="s">
        <v>69447</v>
      </c>
      <c r="N3473" t="s">
        <v>69448</v>
      </c>
      <c r="O3473">
        <f>-583.540090893566 -89.2824557624387 -737.160956308277</f>
        <v>-1409.9835029642818</v>
      </c>
      <c r="P3473">
        <f>-608.398878949257 -83.6033726056641 -421.667743753741</f>
        <v>-1113.669995308662</v>
      </c>
      <c r="Q3473">
        <f>-361.795945954364 -6.94747869363817 -452.537284383066</f>
        <v>-821.28070903106823</v>
      </c>
      <c r="R3473" t="s">
        <v>69449</v>
      </c>
      <c r="S3473" t="s">
        <v>69450</v>
      </c>
      <c r="T3473" t="s">
        <v>69451</v>
      </c>
      <c r="U3473" t="s">
        <v>69452</v>
      </c>
      <c r="V3473" t="s">
        <v>69453</v>
      </c>
      <c r="W3473" t="s">
        <v>69454</v>
      </c>
      <c r="X3473" t="s">
        <v>69455</v>
      </c>
      <c r="Y3473" t="s">
        <v>69456</v>
      </c>
    </row>
    <row r="3474" spans="1:25" x14ac:dyDescent="0.3">
      <c r="A3474">
        <v>173650</v>
      </c>
      <c r="B3474" t="s">
        <v>69457</v>
      </c>
      <c r="C3474" t="s">
        <v>69458</v>
      </c>
      <c r="D3474" t="s">
        <v>69459</v>
      </c>
      <c r="E3474" t="s">
        <v>69460</v>
      </c>
      <c r="F3474" t="s">
        <v>69461</v>
      </c>
      <c r="G3474" t="s">
        <v>69462</v>
      </c>
      <c r="H3474" t="s">
        <v>69463</v>
      </c>
      <c r="I3474" t="s">
        <v>69464</v>
      </c>
      <c r="J3474" t="s">
        <v>69465</v>
      </c>
      <c r="K3474" t="s">
        <v>69466</v>
      </c>
      <c r="L3474" t="s">
        <v>69467</v>
      </c>
      <c r="M3474" t="s">
        <v>69468</v>
      </c>
      <c r="N3474" t="s">
        <v>69469</v>
      </c>
      <c r="O3474">
        <f>-582.898951931801 -89.3181202935029 -737.052732251944</f>
        <v>-1409.2698044772478</v>
      </c>
      <c r="P3474">
        <f>-607.820958744453 -83.4682671177289 -421.567588608197</f>
        <v>-1112.856814470379</v>
      </c>
      <c r="Q3474">
        <f>-361.266615470155 -6.64345289679762 -452.405222203986</f>
        <v>-820.3152905709386</v>
      </c>
      <c r="R3474" t="s">
        <v>69470</v>
      </c>
      <c r="S3474" t="s">
        <v>69471</v>
      </c>
      <c r="T3474" t="s">
        <v>69472</v>
      </c>
      <c r="U3474" t="s">
        <v>69473</v>
      </c>
      <c r="V3474" t="s">
        <v>69474</v>
      </c>
      <c r="W3474" t="s">
        <v>69475</v>
      </c>
      <c r="X3474" t="s">
        <v>69476</v>
      </c>
      <c r="Y3474" t="s">
        <v>69477</v>
      </c>
    </row>
    <row r="3475" spans="1:25" x14ac:dyDescent="0.3">
      <c r="A3475">
        <v>173700</v>
      </c>
      <c r="B3475" t="s">
        <v>69478</v>
      </c>
      <c r="C3475" t="s">
        <v>69479</v>
      </c>
      <c r="D3475" t="s">
        <v>69480</v>
      </c>
      <c r="E3475" t="s">
        <v>69481</v>
      </c>
      <c r="F3475" t="s">
        <v>69482</v>
      </c>
      <c r="G3475" t="s">
        <v>69483</v>
      </c>
      <c r="H3475" t="s">
        <v>69484</v>
      </c>
      <c r="I3475" t="s">
        <v>69485</v>
      </c>
      <c r="J3475" t="s">
        <v>69486</v>
      </c>
      <c r="K3475" t="s">
        <v>69487</v>
      </c>
      <c r="L3475" t="s">
        <v>69488</v>
      </c>
      <c r="M3475" t="s">
        <v>69489</v>
      </c>
      <c r="N3475" t="s">
        <v>69490</v>
      </c>
      <c r="O3475">
        <f>-582.538838270981 -89.4664935661701 -736.96981316534</f>
        <v>-1408.9751450024912</v>
      </c>
      <c r="P3475">
        <f>-607.502196157164 -83.4730256474832 -421.490640362382</f>
        <v>-1112.4658621670292</v>
      </c>
      <c r="Q3475">
        <f>-360.967400906625 -6.57111157645119 -452.291841282248</f>
        <v>-819.83035376532416</v>
      </c>
      <c r="R3475" t="s">
        <v>69491</v>
      </c>
      <c r="S3475" t="s">
        <v>69492</v>
      </c>
      <c r="T3475" t="s">
        <v>69493</v>
      </c>
      <c r="U3475" t="s">
        <v>69494</v>
      </c>
      <c r="V3475" t="s">
        <v>69495</v>
      </c>
      <c r="W3475" t="s">
        <v>69496</v>
      </c>
      <c r="X3475" t="s">
        <v>69497</v>
      </c>
      <c r="Y3475" t="s">
        <v>69498</v>
      </c>
    </row>
    <row r="3476" spans="1:25" x14ac:dyDescent="0.3">
      <c r="A3476">
        <v>173750</v>
      </c>
      <c r="B3476" t="s">
        <v>69499</v>
      </c>
      <c r="C3476" t="s">
        <v>69500</v>
      </c>
      <c r="D3476" t="s">
        <v>69501</v>
      </c>
      <c r="E3476" t="s">
        <v>69502</v>
      </c>
      <c r="F3476" t="s">
        <v>69503</v>
      </c>
      <c r="G3476" t="s">
        <v>69504</v>
      </c>
      <c r="H3476" t="s">
        <v>69505</v>
      </c>
      <c r="I3476" t="s">
        <v>69506</v>
      </c>
      <c r="J3476" t="s">
        <v>69507</v>
      </c>
      <c r="K3476" t="s">
        <v>69508</v>
      </c>
      <c r="L3476" t="s">
        <v>69509</v>
      </c>
      <c r="M3476" t="s">
        <v>69510</v>
      </c>
      <c r="N3476" t="s">
        <v>69511</v>
      </c>
      <c r="O3476">
        <f>-581.888907627496 -89.8557350561933 -736.808668595562</f>
        <v>-1408.5533112792514</v>
      </c>
      <c r="P3476">
        <f>-606.934838987999 -83.5552272909235 -421.341925584936</f>
        <v>-1111.8319918638585</v>
      </c>
      <c r="Q3476">
        <f>-360.428160839209 -6.53994090948696 -452.085165105063</f>
        <v>-819.05326685375894</v>
      </c>
      <c r="R3476" t="s">
        <v>69512</v>
      </c>
      <c r="S3476" t="s">
        <v>69513</v>
      </c>
      <c r="T3476" t="s">
        <v>69514</v>
      </c>
      <c r="U3476" t="s">
        <v>69515</v>
      </c>
      <c r="V3476" t="s">
        <v>69516</v>
      </c>
      <c r="W3476" t="s">
        <v>69517</v>
      </c>
      <c r="X3476" t="s">
        <v>69518</v>
      </c>
      <c r="Y3476" t="s">
        <v>69519</v>
      </c>
    </row>
    <row r="3477" spans="1:25" x14ac:dyDescent="0.3">
      <c r="A3477">
        <v>173800</v>
      </c>
      <c r="B3477" t="s">
        <v>69520</v>
      </c>
      <c r="C3477" t="s">
        <v>69521</v>
      </c>
      <c r="D3477" t="s">
        <v>69522</v>
      </c>
      <c r="E3477" t="s">
        <v>69523</v>
      </c>
      <c r="F3477" t="s">
        <v>69524</v>
      </c>
      <c r="G3477" t="s">
        <v>69525</v>
      </c>
      <c r="H3477" t="s">
        <v>69526</v>
      </c>
      <c r="I3477" t="s">
        <v>69527</v>
      </c>
      <c r="J3477" t="s">
        <v>69528</v>
      </c>
      <c r="K3477" t="s">
        <v>69529</v>
      </c>
      <c r="L3477" t="s">
        <v>69530</v>
      </c>
      <c r="M3477" t="s">
        <v>69531</v>
      </c>
      <c r="N3477" t="s">
        <v>69532</v>
      </c>
      <c r="O3477">
        <f>-581.410258082749 -90.0429587897143 -736.761809752824</f>
        <v>-1408.2150266252875</v>
      </c>
      <c r="P3477">
        <f>-606.513795973407 -83.73390282194 -421.299982471483</f>
        <v>-1111.5476812668301</v>
      </c>
      <c r="Q3477">
        <f>-360.046258892042 -6.57100036366556 -451.98705534582</f>
        <v>-818.60431460152756</v>
      </c>
      <c r="R3477" t="s">
        <v>69533</v>
      </c>
      <c r="S3477" t="s">
        <v>69534</v>
      </c>
      <c r="T3477" t="s">
        <v>69535</v>
      </c>
      <c r="U3477" t="s">
        <v>69536</v>
      </c>
      <c r="V3477" t="s">
        <v>69537</v>
      </c>
      <c r="W3477" t="s">
        <v>69538</v>
      </c>
      <c r="X3477" t="s">
        <v>69539</v>
      </c>
      <c r="Y3477" t="s">
        <v>69540</v>
      </c>
    </row>
    <row r="3478" spans="1:25" x14ac:dyDescent="0.3">
      <c r="A3478">
        <v>173850</v>
      </c>
      <c r="B3478" t="s">
        <v>69541</v>
      </c>
      <c r="C3478" t="s">
        <v>69542</v>
      </c>
      <c r="D3478" t="s">
        <v>69543</v>
      </c>
      <c r="E3478" t="s">
        <v>69544</v>
      </c>
      <c r="F3478" t="s">
        <v>69545</v>
      </c>
      <c r="G3478" t="s">
        <v>69546</v>
      </c>
      <c r="H3478" t="s">
        <v>69547</v>
      </c>
      <c r="I3478" t="s">
        <v>69548</v>
      </c>
      <c r="J3478" t="s">
        <v>69549</v>
      </c>
      <c r="K3478" t="s">
        <v>69550</v>
      </c>
      <c r="L3478" t="s">
        <v>69551</v>
      </c>
      <c r="M3478" t="s">
        <v>69552</v>
      </c>
      <c r="N3478" t="s">
        <v>69553</v>
      </c>
      <c r="O3478">
        <f>-580.630897756815 -90.4208123287244 -736.708953223561</f>
        <v>-1407.7606633091004</v>
      </c>
      <c r="P3478">
        <f>-606.043912742687 -84.112045076655 -421.27185971456</f>
        <v>-1111.427817533902</v>
      </c>
      <c r="Q3478">
        <f>-359.631830462123 -6.74407489373012 -451.887837052791</f>
        <v>-818.26374240864402</v>
      </c>
      <c r="R3478" t="s">
        <v>69554</v>
      </c>
      <c r="S3478" t="s">
        <v>69555</v>
      </c>
      <c r="T3478" t="s">
        <v>69556</v>
      </c>
      <c r="U3478" t="s">
        <v>69557</v>
      </c>
      <c r="V3478" t="s">
        <v>69558</v>
      </c>
      <c r="W3478" t="s">
        <v>69559</v>
      </c>
      <c r="X3478" t="s">
        <v>69560</v>
      </c>
      <c r="Y3478" t="s">
        <v>69561</v>
      </c>
    </row>
    <row r="3479" spans="1:25" x14ac:dyDescent="0.3">
      <c r="A3479">
        <v>173900</v>
      </c>
      <c r="B3479" t="s">
        <v>69562</v>
      </c>
      <c r="C3479" t="s">
        <v>69563</v>
      </c>
      <c r="D3479" t="s">
        <v>69564</v>
      </c>
      <c r="E3479" t="s">
        <v>69565</v>
      </c>
      <c r="F3479" t="s">
        <v>69566</v>
      </c>
      <c r="G3479" t="s">
        <v>69567</v>
      </c>
      <c r="H3479" t="s">
        <v>69568</v>
      </c>
      <c r="I3479" t="s">
        <v>69569</v>
      </c>
      <c r="J3479" t="s">
        <v>69570</v>
      </c>
      <c r="K3479" t="s">
        <v>69571</v>
      </c>
      <c r="L3479" t="s">
        <v>69572</v>
      </c>
      <c r="M3479" t="s">
        <v>69573</v>
      </c>
      <c r="N3479" t="s">
        <v>69574</v>
      </c>
      <c r="O3479">
        <f>-580.169356128954 -90.4093344203108 -736.726949188068</f>
        <v>-1407.3056397373327</v>
      </c>
      <c r="P3479">
        <f>-605.749790493433 -84.1245457729412 -421.302969245832</f>
        <v>-1111.1773055122062</v>
      </c>
      <c r="Q3479">
        <f>-359.371527335105 -6.60717761799288 -451.813037306215</f>
        <v>-817.79174225931285</v>
      </c>
      <c r="R3479" t="s">
        <v>69575</v>
      </c>
      <c r="S3479" t="s">
        <v>69576</v>
      </c>
      <c r="T3479" t="s">
        <v>69577</v>
      </c>
      <c r="U3479" t="s">
        <v>69578</v>
      </c>
      <c r="V3479" t="s">
        <v>69579</v>
      </c>
      <c r="W3479" t="s">
        <v>69580</v>
      </c>
      <c r="X3479" t="s">
        <v>69581</v>
      </c>
      <c r="Y3479" t="s">
        <v>69582</v>
      </c>
    </row>
    <row r="3480" spans="1:25" x14ac:dyDescent="0.3">
      <c r="A3480">
        <v>173950</v>
      </c>
      <c r="B3480" t="s">
        <v>69583</v>
      </c>
      <c r="C3480" t="s">
        <v>69584</v>
      </c>
      <c r="D3480" t="s">
        <v>69585</v>
      </c>
      <c r="E3480" t="s">
        <v>69586</v>
      </c>
      <c r="F3480" t="s">
        <v>69587</v>
      </c>
      <c r="G3480" t="s">
        <v>69588</v>
      </c>
      <c r="H3480" t="s">
        <v>69589</v>
      </c>
      <c r="I3480" t="s">
        <v>69590</v>
      </c>
      <c r="J3480" t="s">
        <v>69591</v>
      </c>
      <c r="K3480" t="s">
        <v>69592</v>
      </c>
      <c r="L3480" t="s">
        <v>69593</v>
      </c>
      <c r="M3480" t="s">
        <v>69594</v>
      </c>
      <c r="N3480" t="s">
        <v>69595</v>
      </c>
      <c r="O3480">
        <f>-579.526967651845 -90.8169396917505 -736.766813869294</f>
        <v>-1407.1107212128895</v>
      </c>
      <c r="P3480">
        <f>-605.448990073205 -84.4594569135694 -421.372014951029</f>
        <v>-1111.2804619378035</v>
      </c>
      <c r="Q3480">
        <f>-359.054384827261 -6.89923676983555 -451.64043746859</f>
        <v>-817.59405906568657</v>
      </c>
      <c r="R3480" t="s">
        <v>69596</v>
      </c>
      <c r="S3480" t="s">
        <v>69597</v>
      </c>
      <c r="T3480" t="s">
        <v>69598</v>
      </c>
      <c r="U3480" t="s">
        <v>69599</v>
      </c>
      <c r="V3480" t="s">
        <v>69600</v>
      </c>
      <c r="W3480" t="s">
        <v>69601</v>
      </c>
      <c r="X3480" t="s">
        <v>69602</v>
      </c>
      <c r="Y3480" t="s">
        <v>69603</v>
      </c>
    </row>
    <row r="3481" spans="1:25" x14ac:dyDescent="0.3">
      <c r="A3481">
        <v>174000</v>
      </c>
      <c r="B3481" t="s">
        <v>69604</v>
      </c>
      <c r="C3481" t="s">
        <v>69605</v>
      </c>
      <c r="D3481" t="s">
        <v>69606</v>
      </c>
      <c r="E3481" t="s">
        <v>69607</v>
      </c>
      <c r="F3481" t="s">
        <v>69608</v>
      </c>
      <c r="G3481" t="s">
        <v>69609</v>
      </c>
      <c r="H3481" t="s">
        <v>69610</v>
      </c>
      <c r="I3481" t="s">
        <v>69611</v>
      </c>
      <c r="J3481" t="s">
        <v>69612</v>
      </c>
      <c r="K3481" t="s">
        <v>69613</v>
      </c>
      <c r="L3481" t="s">
        <v>69614</v>
      </c>
      <c r="M3481" t="s">
        <v>69615</v>
      </c>
      <c r="N3481" t="s">
        <v>69616</v>
      </c>
      <c r="O3481">
        <f>-579.314511412881 -90.9622325511456 -736.76470382083</f>
        <v>-1407.0414477848567</v>
      </c>
      <c r="P3481">
        <f>-605.332923943819 -84.5536479597685 -421.378902786698</f>
        <v>-1111.2654746902854</v>
      </c>
      <c r="Q3481">
        <f>-358.947674383342 -6.93189596980763 -451.565295152294</f>
        <v>-817.44486550544366</v>
      </c>
      <c r="R3481" t="s">
        <v>69617</v>
      </c>
      <c r="S3481" t="s">
        <v>69618</v>
      </c>
      <c r="T3481" t="s">
        <v>69619</v>
      </c>
      <c r="U3481" t="s">
        <v>69620</v>
      </c>
      <c r="V3481" t="s">
        <v>69621</v>
      </c>
      <c r="W3481" t="s">
        <v>69622</v>
      </c>
      <c r="X3481" t="s">
        <v>69623</v>
      </c>
      <c r="Y3481" t="s">
        <v>69624</v>
      </c>
    </row>
    <row r="3482" spans="1:25" x14ac:dyDescent="0.3">
      <c r="A3482">
        <v>174050</v>
      </c>
      <c r="B3482" t="s">
        <v>69625</v>
      </c>
      <c r="C3482" t="s">
        <v>69626</v>
      </c>
      <c r="D3482" t="s">
        <v>69627</v>
      </c>
      <c r="E3482" t="s">
        <v>69628</v>
      </c>
      <c r="F3482" t="s">
        <v>69629</v>
      </c>
      <c r="G3482" t="s">
        <v>69630</v>
      </c>
      <c r="H3482" t="s">
        <v>69631</v>
      </c>
      <c r="I3482" t="s">
        <v>69632</v>
      </c>
      <c r="J3482" t="s">
        <v>69633</v>
      </c>
      <c r="K3482" t="s">
        <v>69634</v>
      </c>
      <c r="L3482" t="s">
        <v>69635</v>
      </c>
      <c r="M3482" t="s">
        <v>69636</v>
      </c>
      <c r="N3482" t="s">
        <v>69637</v>
      </c>
      <c r="O3482">
        <f>-578.706140893823 -90.9124862005796 -736.744901531737</f>
        <v>-1406.3635286261397</v>
      </c>
      <c r="P3482">
        <f>-604.93179183534 -84.3874069801641 -421.378772653113</f>
        <v>-1110.6979714686172</v>
      </c>
      <c r="Q3482">
        <f>-358.528573404463 -6.77769716057762 -451.449182456323</f>
        <v>-816.75545302136356</v>
      </c>
      <c r="R3482" t="s">
        <v>69638</v>
      </c>
      <c r="S3482" t="s">
        <v>69639</v>
      </c>
      <c r="T3482" t="s">
        <v>69640</v>
      </c>
      <c r="U3482" t="s">
        <v>69641</v>
      </c>
      <c r="V3482" t="s">
        <v>69642</v>
      </c>
      <c r="W3482" t="s">
        <v>69643</v>
      </c>
      <c r="X3482" t="s">
        <v>69644</v>
      </c>
      <c r="Y3482" t="s">
        <v>69645</v>
      </c>
    </row>
    <row r="3483" spans="1:25" x14ac:dyDescent="0.3">
      <c r="A3483">
        <v>174100</v>
      </c>
      <c r="B3483" t="s">
        <v>69646</v>
      </c>
      <c r="C3483" t="s">
        <v>69647</v>
      </c>
      <c r="D3483" t="s">
        <v>69648</v>
      </c>
      <c r="E3483" t="s">
        <v>69649</v>
      </c>
      <c r="F3483" t="s">
        <v>69650</v>
      </c>
      <c r="G3483" t="s">
        <v>69651</v>
      </c>
      <c r="H3483" t="s">
        <v>69652</v>
      </c>
      <c r="I3483" t="s">
        <v>69653</v>
      </c>
      <c r="J3483" t="s">
        <v>69654</v>
      </c>
      <c r="K3483" t="s">
        <v>69655</v>
      </c>
      <c r="L3483" t="s">
        <v>69656</v>
      </c>
      <c r="M3483" t="s">
        <v>69657</v>
      </c>
      <c r="N3483" t="s">
        <v>69658</v>
      </c>
      <c r="O3483">
        <f>-578.501734975837 -91.0420744186623 -736.763297823588</f>
        <v>-1406.3071072180874</v>
      </c>
      <c r="P3483">
        <f>-604.800496979061 -84.5089329207533 -421.403241581214</f>
        <v>-1110.7126714810283</v>
      </c>
      <c r="Q3483">
        <f>-358.413220053005 -6.8342425974125 -451.436804506912</f>
        <v>-816.68426715732949</v>
      </c>
      <c r="R3483" t="s">
        <v>69659</v>
      </c>
      <c r="S3483" t="s">
        <v>69660</v>
      </c>
      <c r="T3483" t="s">
        <v>69661</v>
      </c>
      <c r="U3483" t="s">
        <v>69662</v>
      </c>
      <c r="V3483" t="s">
        <v>69663</v>
      </c>
      <c r="W3483" t="s">
        <v>69664</v>
      </c>
      <c r="X3483" t="s">
        <v>69665</v>
      </c>
      <c r="Y3483" t="s">
        <v>69666</v>
      </c>
    </row>
    <row r="3484" spans="1:25" x14ac:dyDescent="0.3">
      <c r="A3484">
        <v>174150</v>
      </c>
      <c r="B3484" t="s">
        <v>69667</v>
      </c>
      <c r="C3484" t="s">
        <v>69668</v>
      </c>
      <c r="D3484" t="s">
        <v>69669</v>
      </c>
      <c r="E3484" t="s">
        <v>69670</v>
      </c>
      <c r="F3484" t="s">
        <v>69671</v>
      </c>
      <c r="G3484" t="s">
        <v>69672</v>
      </c>
      <c r="H3484" t="s">
        <v>69673</v>
      </c>
      <c r="I3484" t="s">
        <v>69674</v>
      </c>
      <c r="J3484" t="s">
        <v>69675</v>
      </c>
      <c r="K3484" t="s">
        <v>69676</v>
      </c>
      <c r="L3484" t="s">
        <v>69677</v>
      </c>
      <c r="M3484" t="s">
        <v>69678</v>
      </c>
      <c r="N3484" t="s">
        <v>69679</v>
      </c>
      <c r="O3484">
        <f>-578.18717566513 -91.4436224587827 -736.787945414533</f>
        <v>-1406.4187435384456</v>
      </c>
      <c r="P3484">
        <f>-604.743214185002 -84.9055549935076 -421.44968701765</f>
        <v>-1111.0984561961595</v>
      </c>
      <c r="Q3484">
        <f>-358.349756839669 -7.20040352663506 -451.353353505005</f>
        <v>-816.90351387130909</v>
      </c>
      <c r="R3484" t="s">
        <v>69680</v>
      </c>
      <c r="S3484" t="s">
        <v>69681</v>
      </c>
      <c r="T3484" t="s">
        <v>69682</v>
      </c>
      <c r="U3484" t="s">
        <v>69683</v>
      </c>
      <c r="V3484" t="s">
        <v>69684</v>
      </c>
      <c r="W3484" t="s">
        <v>69685</v>
      </c>
      <c r="X3484" t="s">
        <v>69686</v>
      </c>
      <c r="Y3484" t="s">
        <v>69687</v>
      </c>
    </row>
    <row r="3485" spans="1:25" x14ac:dyDescent="0.3">
      <c r="A3485">
        <v>174200</v>
      </c>
      <c r="B3485" t="s">
        <v>69688</v>
      </c>
      <c r="C3485" t="s">
        <v>69689</v>
      </c>
      <c r="D3485" t="s">
        <v>69690</v>
      </c>
      <c r="E3485" t="s">
        <v>69691</v>
      </c>
      <c r="F3485" t="s">
        <v>69692</v>
      </c>
      <c r="G3485" t="s">
        <v>69693</v>
      </c>
      <c r="H3485" t="s">
        <v>69694</v>
      </c>
      <c r="I3485" t="s">
        <v>69695</v>
      </c>
      <c r="J3485" t="s">
        <v>69696</v>
      </c>
      <c r="K3485" t="s">
        <v>69697</v>
      </c>
      <c r="L3485" t="s">
        <v>69698</v>
      </c>
      <c r="M3485" t="s">
        <v>69699</v>
      </c>
      <c r="N3485" t="s">
        <v>69700</v>
      </c>
      <c r="O3485">
        <f>-578.147154247599 -91.3442419542152 -736.813151662222</f>
        <v>-1406.3045478640363</v>
      </c>
      <c r="P3485">
        <f>-604.730538619474 -84.7998639288462 -421.477268498321</f>
        <v>-1111.0076710466412</v>
      </c>
      <c r="Q3485">
        <f>-358.334497060634 -7.07949307166158 -451.319939700448</f>
        <v>-816.73392983274357</v>
      </c>
      <c r="R3485" t="s">
        <v>69701</v>
      </c>
      <c r="S3485" t="s">
        <v>69702</v>
      </c>
      <c r="T3485" t="s">
        <v>69703</v>
      </c>
      <c r="U3485" t="s">
        <v>69704</v>
      </c>
      <c r="V3485" t="s">
        <v>69705</v>
      </c>
      <c r="W3485" t="s">
        <v>69706</v>
      </c>
      <c r="X3485" t="s">
        <v>69707</v>
      </c>
      <c r="Y3485" t="s">
        <v>69708</v>
      </c>
    </row>
    <row r="3486" spans="1:25" x14ac:dyDescent="0.3">
      <c r="A3486">
        <v>174250</v>
      </c>
      <c r="B3486" t="s">
        <v>69709</v>
      </c>
      <c r="C3486" t="s">
        <v>69710</v>
      </c>
      <c r="D3486" t="s">
        <v>69711</v>
      </c>
      <c r="E3486" t="s">
        <v>69712</v>
      </c>
      <c r="F3486" t="s">
        <v>69713</v>
      </c>
      <c r="G3486" t="s">
        <v>69714</v>
      </c>
      <c r="H3486" t="s">
        <v>69715</v>
      </c>
      <c r="I3486" t="s">
        <v>69716</v>
      </c>
      <c r="J3486" t="s">
        <v>69717</v>
      </c>
      <c r="K3486" t="s">
        <v>69718</v>
      </c>
      <c r="L3486" t="s">
        <v>69719</v>
      </c>
      <c r="M3486" t="s">
        <v>69720</v>
      </c>
      <c r="N3486" t="s">
        <v>69721</v>
      </c>
      <c r="O3486">
        <f>-578.076234949721 -91.5074531259045 -736.79356260198</f>
        <v>-1406.3772506776054</v>
      </c>
      <c r="P3486">
        <f>-604.68310685414 -84.9042332483106 -421.460983170399</f>
        <v>-1111.0483232728495</v>
      </c>
      <c r="Q3486">
        <f>-358.257572926768 -7.2429400177804 -451.213806085438</f>
        <v>-816.71431902998643</v>
      </c>
      <c r="R3486" t="s">
        <v>69722</v>
      </c>
      <c r="S3486" t="s">
        <v>69723</v>
      </c>
      <c r="T3486" t="s">
        <v>69724</v>
      </c>
      <c r="U3486" t="s">
        <v>69725</v>
      </c>
      <c r="V3486" t="s">
        <v>69726</v>
      </c>
      <c r="W3486" t="s">
        <v>69727</v>
      </c>
      <c r="X3486" t="s">
        <v>69728</v>
      </c>
      <c r="Y3486" t="s">
        <v>69729</v>
      </c>
    </row>
    <row r="3487" spans="1:25" x14ac:dyDescent="0.3">
      <c r="A3487">
        <v>174300</v>
      </c>
      <c r="B3487" t="s">
        <v>69730</v>
      </c>
      <c r="C3487" t="s">
        <v>69731</v>
      </c>
      <c r="D3487" t="s">
        <v>69732</v>
      </c>
      <c r="E3487" t="s">
        <v>69733</v>
      </c>
      <c r="F3487" t="s">
        <v>69734</v>
      </c>
      <c r="G3487" t="s">
        <v>69735</v>
      </c>
      <c r="H3487" t="s">
        <v>69736</v>
      </c>
      <c r="I3487" t="s">
        <v>69737</v>
      </c>
      <c r="J3487" t="s">
        <v>69738</v>
      </c>
      <c r="K3487" t="s">
        <v>69739</v>
      </c>
      <c r="L3487" t="s">
        <v>69740</v>
      </c>
      <c r="M3487" t="s">
        <v>69741</v>
      </c>
      <c r="N3487" t="s">
        <v>69742</v>
      </c>
      <c r="O3487">
        <f>-578.100597731929 -91.5602364059998 -736.777371916401</f>
        <v>-1406.4382060543298</v>
      </c>
      <c r="P3487">
        <f>-604.693386761004 -84.9366742633643 -421.443948457569</f>
        <v>-1111.0740094819373</v>
      </c>
      <c r="Q3487">
        <f>-358.268693270856 -7.26577471665208 -451.178527162019</f>
        <v>-816.71299514952705</v>
      </c>
      <c r="R3487" t="s">
        <v>69743</v>
      </c>
      <c r="S3487" t="s">
        <v>69744</v>
      </c>
      <c r="T3487" t="s">
        <v>69745</v>
      </c>
      <c r="U3487" t="s">
        <v>69746</v>
      </c>
      <c r="V3487" t="s">
        <v>69747</v>
      </c>
      <c r="W3487" t="s">
        <v>69748</v>
      </c>
      <c r="X3487" t="s">
        <v>69749</v>
      </c>
      <c r="Y3487" t="s">
        <v>69750</v>
      </c>
    </row>
    <row r="3488" spans="1:25" x14ac:dyDescent="0.3">
      <c r="A3488">
        <v>174350</v>
      </c>
      <c r="B3488" t="s">
        <v>69751</v>
      </c>
      <c r="C3488" t="s">
        <v>69752</v>
      </c>
      <c r="D3488" t="s">
        <v>69753</v>
      </c>
      <c r="E3488" t="s">
        <v>69754</v>
      </c>
      <c r="F3488" t="s">
        <v>69755</v>
      </c>
      <c r="G3488" t="s">
        <v>69756</v>
      </c>
      <c r="H3488" t="s">
        <v>69757</v>
      </c>
      <c r="I3488" t="s">
        <v>69758</v>
      </c>
      <c r="J3488" t="s">
        <v>69759</v>
      </c>
      <c r="K3488" t="s">
        <v>69760</v>
      </c>
      <c r="L3488" t="s">
        <v>69761</v>
      </c>
      <c r="M3488" t="s">
        <v>69762</v>
      </c>
      <c r="N3488" t="s">
        <v>69763</v>
      </c>
      <c r="O3488">
        <f>-577.956436968501 -91.8015222315473 -736.748417264918</f>
        <v>-1406.5063764649663</v>
      </c>
      <c r="P3488">
        <f>-604.676193938687 -85.1221432089105 -421.426948127268</f>
        <v>-1111.2252852748657</v>
      </c>
      <c r="Q3488">
        <f>-358.278241670343 -7.36517783933807 -451.158294962033</f>
        <v>-816.80171447171404</v>
      </c>
      <c r="R3488" t="s">
        <v>69764</v>
      </c>
      <c r="S3488" t="s">
        <v>69765</v>
      </c>
      <c r="T3488" t="s">
        <v>69766</v>
      </c>
      <c r="U3488" t="s">
        <v>69767</v>
      </c>
      <c r="V3488" t="s">
        <v>69768</v>
      </c>
      <c r="W3488" t="s">
        <v>69769</v>
      </c>
      <c r="X3488" t="s">
        <v>69770</v>
      </c>
      <c r="Y3488" t="s">
        <v>69771</v>
      </c>
    </row>
    <row r="3489" spans="1:25" x14ac:dyDescent="0.3">
      <c r="A3489">
        <v>174400</v>
      </c>
      <c r="B3489" t="s">
        <v>69772</v>
      </c>
      <c r="C3489" t="s">
        <v>69773</v>
      </c>
      <c r="D3489" t="s">
        <v>69774</v>
      </c>
      <c r="E3489" t="s">
        <v>69775</v>
      </c>
      <c r="F3489" t="s">
        <v>69776</v>
      </c>
      <c r="G3489" t="s">
        <v>69777</v>
      </c>
      <c r="H3489" t="s">
        <v>69778</v>
      </c>
      <c r="I3489" t="s">
        <v>69779</v>
      </c>
      <c r="J3489" t="s">
        <v>69780</v>
      </c>
      <c r="K3489" t="s">
        <v>69781</v>
      </c>
      <c r="L3489" t="s">
        <v>69782</v>
      </c>
      <c r="M3489" t="s">
        <v>69783</v>
      </c>
      <c r="N3489" t="s">
        <v>69784</v>
      </c>
      <c r="O3489">
        <f>-578.055874888085 -91.7102491728742 -736.743994124142</f>
        <v>-1406.5101181851012</v>
      </c>
      <c r="P3489">
        <f>-604.789519635654 -85.0044899385146 -421.424272067361</f>
        <v>-1111.2182816415295</v>
      </c>
      <c r="Q3489">
        <f>-358.376859577867 -7.28310890044438 -451.127162470153</f>
        <v>-816.78713094846444</v>
      </c>
      <c r="R3489" t="s">
        <v>69785</v>
      </c>
      <c r="S3489" t="s">
        <v>69786</v>
      </c>
      <c r="T3489" t="s">
        <v>69787</v>
      </c>
      <c r="U3489" t="s">
        <v>69788</v>
      </c>
      <c r="V3489" t="s">
        <v>69789</v>
      </c>
      <c r="W3489" t="s">
        <v>69790</v>
      </c>
      <c r="X3489" t="s">
        <v>69791</v>
      </c>
      <c r="Y3489" t="s">
        <v>69792</v>
      </c>
    </row>
    <row r="3490" spans="1:25" x14ac:dyDescent="0.3">
      <c r="A3490">
        <v>174450</v>
      </c>
      <c r="B3490" t="s">
        <v>69793</v>
      </c>
      <c r="C3490" t="s">
        <v>69794</v>
      </c>
      <c r="D3490" t="s">
        <v>69795</v>
      </c>
      <c r="E3490" t="s">
        <v>69796</v>
      </c>
      <c r="F3490" t="s">
        <v>69797</v>
      </c>
      <c r="G3490" t="s">
        <v>69798</v>
      </c>
      <c r="H3490" t="s">
        <v>69799</v>
      </c>
      <c r="I3490" t="s">
        <v>69800</v>
      </c>
      <c r="J3490" t="s">
        <v>69801</v>
      </c>
      <c r="K3490" t="s">
        <v>69802</v>
      </c>
      <c r="L3490" t="s">
        <v>69803</v>
      </c>
      <c r="M3490" t="s">
        <v>69804</v>
      </c>
      <c r="N3490" t="s">
        <v>69805</v>
      </c>
      <c r="O3490">
        <f>-578.181208953689 -91.7057822883691 -736.720663426968</f>
        <v>-1406.607654669026</v>
      </c>
      <c r="P3490">
        <f>-604.797738793569 -84.8343342056434 -421.394661108878</f>
        <v>-1111.0267341080903</v>
      </c>
      <c r="Q3490">
        <f>-358.333032446184 -7.27646632136127 -451.092812616879</f>
        <v>-816.70231138442432</v>
      </c>
      <c r="R3490" t="s">
        <v>69806</v>
      </c>
      <c r="S3490" t="s">
        <v>69807</v>
      </c>
      <c r="T3490" t="s">
        <v>69808</v>
      </c>
      <c r="U3490" t="s">
        <v>69809</v>
      </c>
      <c r="V3490" t="s">
        <v>69810</v>
      </c>
      <c r="W3490" t="s">
        <v>69811</v>
      </c>
      <c r="X3490" t="s">
        <v>69812</v>
      </c>
      <c r="Y3490" t="s">
        <v>69813</v>
      </c>
    </row>
    <row r="3491" spans="1:25" x14ac:dyDescent="0.3">
      <c r="A3491">
        <v>174500</v>
      </c>
      <c r="B3491" t="s">
        <v>69814</v>
      </c>
      <c r="C3491" t="s">
        <v>69815</v>
      </c>
      <c r="D3491" t="s">
        <v>69816</v>
      </c>
      <c r="E3491" t="s">
        <v>69817</v>
      </c>
      <c r="F3491" t="s">
        <v>69818</v>
      </c>
      <c r="G3491" t="s">
        <v>69819</v>
      </c>
      <c r="H3491" t="s">
        <v>69820</v>
      </c>
      <c r="I3491" t="s">
        <v>69821</v>
      </c>
      <c r="J3491" t="s">
        <v>69822</v>
      </c>
      <c r="K3491" t="s">
        <v>69823</v>
      </c>
      <c r="L3491" t="s">
        <v>69824</v>
      </c>
      <c r="M3491" t="s">
        <v>69825</v>
      </c>
      <c r="N3491" t="s">
        <v>69826</v>
      </c>
      <c r="O3491">
        <f>-578.296435704143 -91.4972100374392 -736.696926052231</f>
        <v>-1406.4905717938132</v>
      </c>
      <c r="P3491">
        <f>-604.794042685074 -84.6387268182196 -421.360467497058</f>
        <v>-1110.7932370003516</v>
      </c>
      <c r="Q3491">
        <f>-358.32059420211 -7.10322840010878 -451.044571917966</f>
        <v>-816.4683945201848</v>
      </c>
      <c r="R3491" t="s">
        <v>69827</v>
      </c>
      <c r="S3491" t="s">
        <v>69828</v>
      </c>
      <c r="T3491" t="s">
        <v>69829</v>
      </c>
      <c r="U3491" t="s">
        <v>69830</v>
      </c>
      <c r="V3491" t="s">
        <v>69831</v>
      </c>
      <c r="W3491" t="s">
        <v>69832</v>
      </c>
      <c r="X3491" t="s">
        <v>69833</v>
      </c>
      <c r="Y3491" t="s">
        <v>69834</v>
      </c>
    </row>
    <row r="3492" spans="1:25" x14ac:dyDescent="0.3">
      <c r="A3492">
        <v>174550</v>
      </c>
      <c r="B3492" t="s">
        <v>69835</v>
      </c>
      <c r="C3492" t="s">
        <v>69836</v>
      </c>
      <c r="D3492" t="s">
        <v>69837</v>
      </c>
      <c r="E3492" t="s">
        <v>69838</v>
      </c>
      <c r="F3492" t="s">
        <v>69839</v>
      </c>
      <c r="G3492" t="s">
        <v>69840</v>
      </c>
      <c r="H3492" t="s">
        <v>69841</v>
      </c>
      <c r="I3492" t="s">
        <v>69842</v>
      </c>
      <c r="J3492" t="s">
        <v>69843</v>
      </c>
      <c r="K3492" t="s">
        <v>69844</v>
      </c>
      <c r="L3492" t="s">
        <v>69845</v>
      </c>
      <c r="M3492" t="s">
        <v>69846</v>
      </c>
      <c r="N3492" t="s">
        <v>69847</v>
      </c>
      <c r="O3492">
        <f>-578.361598222474 -91.4935391661112 -736.740678842168</f>
        <v>-1406.5958162307531</v>
      </c>
      <c r="P3492">
        <f>-604.578932119421 -84.4269072625742 -421.385495273052</f>
        <v>-1110.3913346550471</v>
      </c>
      <c r="Q3492">
        <f>-358.054938148892 -7.03404418185588 -451.021699357241</f>
        <v>-816.11068168798897</v>
      </c>
      <c r="R3492" t="s">
        <v>69848</v>
      </c>
      <c r="S3492" t="s">
        <v>69849</v>
      </c>
      <c r="T3492" t="s">
        <v>69850</v>
      </c>
      <c r="U3492" t="s">
        <v>69851</v>
      </c>
      <c r="V3492" t="s">
        <v>69852</v>
      </c>
      <c r="W3492" t="s">
        <v>69853</v>
      </c>
      <c r="X3492" t="s">
        <v>69854</v>
      </c>
      <c r="Y3492" t="s">
        <v>69855</v>
      </c>
    </row>
    <row r="3493" spans="1:25" x14ac:dyDescent="0.3">
      <c r="A3493">
        <v>174600</v>
      </c>
      <c r="B3493" t="s">
        <v>69856</v>
      </c>
      <c r="C3493" t="s">
        <v>69857</v>
      </c>
      <c r="D3493" t="s">
        <v>69858</v>
      </c>
      <c r="E3493" t="s">
        <v>69859</v>
      </c>
      <c r="F3493" t="s">
        <v>69860</v>
      </c>
      <c r="G3493" t="s">
        <v>69861</v>
      </c>
      <c r="H3493" t="s">
        <v>69862</v>
      </c>
      <c r="I3493" t="s">
        <v>69863</v>
      </c>
      <c r="J3493" t="s">
        <v>69864</v>
      </c>
      <c r="K3493" t="s">
        <v>69865</v>
      </c>
      <c r="L3493" t="s">
        <v>69866</v>
      </c>
      <c r="M3493" t="s">
        <v>69867</v>
      </c>
      <c r="N3493" t="s">
        <v>69868</v>
      </c>
      <c r="O3493">
        <f>-578.766076082178 -91.4534959000206 -736.732410174101</f>
        <v>-1406.9519821562994</v>
      </c>
      <c r="P3493">
        <f>-604.741874184053 -84.2306237724301 -421.360890241647</f>
        <v>-1110.3333881981303</v>
      </c>
      <c r="Q3493">
        <f>-358.211754132513 -6.89365536652927 -451.091978264896</f>
        <v>-816.19738776393831</v>
      </c>
      <c r="R3493" t="s">
        <v>69869</v>
      </c>
      <c r="S3493" t="s">
        <v>69870</v>
      </c>
      <c r="T3493" t="s">
        <v>69871</v>
      </c>
      <c r="U3493" t="s">
        <v>69872</v>
      </c>
      <c r="V3493" t="s">
        <v>69873</v>
      </c>
      <c r="W3493" t="s">
        <v>69874</v>
      </c>
      <c r="X3493" t="s">
        <v>69875</v>
      </c>
      <c r="Y3493" t="s">
        <v>69876</v>
      </c>
    </row>
    <row r="3494" spans="1:25" x14ac:dyDescent="0.3">
      <c r="A3494">
        <v>174650</v>
      </c>
      <c r="B3494" t="s">
        <v>69877</v>
      </c>
      <c r="C3494" t="s">
        <v>69878</v>
      </c>
      <c r="D3494" t="s">
        <v>69879</v>
      </c>
      <c r="E3494" t="s">
        <v>69880</v>
      </c>
      <c r="F3494" t="s">
        <v>69881</v>
      </c>
      <c r="G3494" t="s">
        <v>69882</v>
      </c>
      <c r="H3494" t="s">
        <v>69883</v>
      </c>
      <c r="I3494" t="s">
        <v>69884</v>
      </c>
      <c r="J3494" t="s">
        <v>69885</v>
      </c>
      <c r="K3494" t="s">
        <v>69886</v>
      </c>
      <c r="L3494" t="s">
        <v>69887</v>
      </c>
      <c r="M3494" t="s">
        <v>69888</v>
      </c>
      <c r="N3494" t="s">
        <v>69889</v>
      </c>
      <c r="O3494">
        <f>-579.964427009286 -91.3259664404148 -736.699759156076</f>
        <v>-1407.990152605777</v>
      </c>
      <c r="P3494">
        <f>-604.965048352588 -84.009949706904 -421.251448428608</f>
        <v>-1110.2264464881</v>
      </c>
      <c r="Q3494">
        <f>-358.48397328103 -6.68164089430512 -451.408367536368</f>
        <v>-816.57398171170314</v>
      </c>
      <c r="R3494" t="s">
        <v>69890</v>
      </c>
      <c r="S3494" t="s">
        <v>69891</v>
      </c>
      <c r="T3494" t="s">
        <v>69892</v>
      </c>
      <c r="U3494" t="s">
        <v>69893</v>
      </c>
      <c r="V3494" t="s">
        <v>69894</v>
      </c>
      <c r="W3494" t="s">
        <v>69895</v>
      </c>
      <c r="X3494" t="s">
        <v>69896</v>
      </c>
      <c r="Y3494" t="s">
        <v>69897</v>
      </c>
    </row>
    <row r="3495" spans="1:25" x14ac:dyDescent="0.3">
      <c r="A3495">
        <v>174700</v>
      </c>
      <c r="B3495" t="s">
        <v>69898</v>
      </c>
      <c r="C3495" t="s">
        <v>69899</v>
      </c>
      <c r="D3495" t="s">
        <v>69900</v>
      </c>
      <c r="E3495" t="s">
        <v>69901</v>
      </c>
      <c r="F3495" t="s">
        <v>69902</v>
      </c>
      <c r="G3495" t="s">
        <v>69903</v>
      </c>
      <c r="H3495" t="s">
        <v>69904</v>
      </c>
      <c r="I3495" t="s">
        <v>69905</v>
      </c>
      <c r="J3495" t="s">
        <v>69906</v>
      </c>
      <c r="K3495" t="s">
        <v>69907</v>
      </c>
      <c r="L3495" t="s">
        <v>69908</v>
      </c>
      <c r="M3495" t="s">
        <v>69909</v>
      </c>
      <c r="N3495" t="s">
        <v>69910</v>
      </c>
      <c r="O3495">
        <f>-580.531224644948 -91.177685370482 -736.636289601444</f>
        <v>-1408.345199616874</v>
      </c>
      <c r="P3495">
        <f>-605.273304025753 -83.8284332931285 -421.168378659682</f>
        <v>-1110.2701159785634</v>
      </c>
      <c r="Q3495">
        <f>-358.844862931114 -6.45777954219898 -451.64546224373</f>
        <v>-816.94810471704295</v>
      </c>
      <c r="R3495" t="s">
        <v>69911</v>
      </c>
      <c r="S3495" t="s">
        <v>69912</v>
      </c>
      <c r="T3495" t="s">
        <v>69913</v>
      </c>
      <c r="U3495" t="s">
        <v>69914</v>
      </c>
      <c r="V3495" t="s">
        <v>69915</v>
      </c>
      <c r="W3495" t="s">
        <v>69916</v>
      </c>
      <c r="X3495" t="s">
        <v>69917</v>
      </c>
      <c r="Y3495" t="s">
        <v>69918</v>
      </c>
    </row>
    <row r="3496" spans="1:25" x14ac:dyDescent="0.3">
      <c r="A3496">
        <v>174750</v>
      </c>
      <c r="B3496" t="s">
        <v>69919</v>
      </c>
      <c r="C3496" t="s">
        <v>69920</v>
      </c>
      <c r="D3496" t="s">
        <v>69921</v>
      </c>
      <c r="E3496" t="s">
        <v>69922</v>
      </c>
      <c r="F3496" t="s">
        <v>69923</v>
      </c>
      <c r="G3496" t="s">
        <v>69924</v>
      </c>
      <c r="H3496" t="s">
        <v>69925</v>
      </c>
      <c r="I3496" t="s">
        <v>69926</v>
      </c>
      <c r="J3496" t="s">
        <v>69927</v>
      </c>
      <c r="K3496" t="s">
        <v>69928</v>
      </c>
      <c r="L3496" t="s">
        <v>69929</v>
      </c>
      <c r="M3496" t="s">
        <v>69930</v>
      </c>
      <c r="N3496" t="s">
        <v>69931</v>
      </c>
      <c r="O3496">
        <f>-581.692118706019 -91.1878273657903 -736.475862142678</f>
        <v>-1409.3558082144873</v>
      </c>
      <c r="P3496">
        <f>-605.974147500031 -83.630341340853 -420.977060784952</f>
        <v>-1110.581549625836</v>
      </c>
      <c r="Q3496">
        <f>-359.549686017256 -6.48932672522717 -452.062848361905</f>
        <v>-818.10186110438826</v>
      </c>
      <c r="R3496" t="s">
        <v>69932</v>
      </c>
      <c r="S3496" t="s">
        <v>69933</v>
      </c>
      <c r="T3496" t="s">
        <v>69934</v>
      </c>
      <c r="U3496" t="s">
        <v>69935</v>
      </c>
      <c r="V3496" t="s">
        <v>69936</v>
      </c>
      <c r="W3496" t="s">
        <v>69937</v>
      </c>
      <c r="X3496" t="s">
        <v>69938</v>
      </c>
      <c r="Y3496" t="s">
        <v>69939</v>
      </c>
    </row>
    <row r="3497" spans="1:25" x14ac:dyDescent="0.3">
      <c r="A3497">
        <v>174800</v>
      </c>
      <c r="B3497" t="s">
        <v>69940</v>
      </c>
      <c r="C3497" t="s">
        <v>69941</v>
      </c>
      <c r="D3497" t="s">
        <v>69942</v>
      </c>
      <c r="E3497" t="s">
        <v>69943</v>
      </c>
      <c r="F3497" t="s">
        <v>69944</v>
      </c>
      <c r="G3497" t="s">
        <v>69945</v>
      </c>
      <c r="H3497" t="s">
        <v>69946</v>
      </c>
      <c r="I3497" t="s">
        <v>69947</v>
      </c>
      <c r="J3497" t="s">
        <v>69948</v>
      </c>
      <c r="K3497" t="s">
        <v>69949</v>
      </c>
      <c r="L3497" t="s">
        <v>69950</v>
      </c>
      <c r="M3497" t="s">
        <v>69951</v>
      </c>
      <c r="N3497" t="s">
        <v>69952</v>
      </c>
      <c r="O3497">
        <f>-582.025496630075 -91.2964982555731 -736.315553710674</f>
        <v>-1409.6375485963222</v>
      </c>
      <c r="P3497">
        <f>-606.096029655731 -83.6864017858179 -420.801968093774</f>
        <v>-1110.584399535323</v>
      </c>
      <c r="Q3497">
        <f>-359.654224052676 -6.69889593024178 -452.129587453464</f>
        <v>-818.48270743638182</v>
      </c>
      <c r="R3497" t="s">
        <v>69953</v>
      </c>
      <c r="S3497" t="s">
        <v>69954</v>
      </c>
      <c r="T3497" t="s">
        <v>69955</v>
      </c>
      <c r="U3497" t="s">
        <v>69956</v>
      </c>
      <c r="V3497" t="s">
        <v>69957</v>
      </c>
      <c r="W3497" t="s">
        <v>69958</v>
      </c>
      <c r="X3497" t="s">
        <v>69959</v>
      </c>
      <c r="Y3497" t="s">
        <v>69960</v>
      </c>
    </row>
    <row r="3498" spans="1:25" x14ac:dyDescent="0.3">
      <c r="A3498">
        <v>174850</v>
      </c>
      <c r="B3498" t="s">
        <v>69961</v>
      </c>
      <c r="C3498" t="s">
        <v>69962</v>
      </c>
      <c r="D3498" t="s">
        <v>69963</v>
      </c>
      <c r="E3498" t="s">
        <v>69964</v>
      </c>
      <c r="F3498" t="s">
        <v>69965</v>
      </c>
      <c r="G3498" t="s">
        <v>69966</v>
      </c>
      <c r="H3498" t="s">
        <v>69967</v>
      </c>
      <c r="I3498" t="s">
        <v>69968</v>
      </c>
      <c r="J3498" t="s">
        <v>69969</v>
      </c>
      <c r="K3498" t="s">
        <v>69970</v>
      </c>
      <c r="L3498" t="s">
        <v>69971</v>
      </c>
      <c r="M3498" t="s">
        <v>69972</v>
      </c>
      <c r="N3498" t="s">
        <v>69973</v>
      </c>
      <c r="O3498">
        <f>-582.520920824239 -91.5657454764914 -735.981573661432</f>
        <v>-1410.0682399621624</v>
      </c>
      <c r="P3498">
        <f>-606.439101866755 -83.5995618506747 -420.465143473514</f>
        <v>-1110.5038071909437</v>
      </c>
      <c r="Q3498">
        <f>-359.926179824509 -6.95961717936875 -452.083785479975</f>
        <v>-818.96958248385272</v>
      </c>
      <c r="R3498" t="s">
        <v>69974</v>
      </c>
      <c r="S3498" t="s">
        <v>69975</v>
      </c>
      <c r="T3498" t="s">
        <v>69976</v>
      </c>
      <c r="U3498" t="s">
        <v>69977</v>
      </c>
      <c r="V3498" t="s">
        <v>69978</v>
      </c>
      <c r="W3498" t="s">
        <v>69979</v>
      </c>
      <c r="X3498" t="s">
        <v>69980</v>
      </c>
      <c r="Y3498" t="s">
        <v>69981</v>
      </c>
    </row>
    <row r="3499" spans="1:25" x14ac:dyDescent="0.3">
      <c r="A3499">
        <v>174900</v>
      </c>
      <c r="B3499" t="s">
        <v>69982</v>
      </c>
      <c r="C3499" t="s">
        <v>69983</v>
      </c>
      <c r="D3499" t="s">
        <v>69984</v>
      </c>
      <c r="E3499" t="s">
        <v>69985</v>
      </c>
      <c r="F3499" t="s">
        <v>69986</v>
      </c>
      <c r="G3499" t="s">
        <v>69987</v>
      </c>
      <c r="H3499" t="s">
        <v>69988</v>
      </c>
      <c r="I3499" t="s">
        <v>69989</v>
      </c>
      <c r="J3499" t="s">
        <v>69990</v>
      </c>
      <c r="K3499" t="s">
        <v>69991</v>
      </c>
      <c r="L3499" t="s">
        <v>69992</v>
      </c>
      <c r="M3499" t="s">
        <v>69993</v>
      </c>
      <c r="N3499" t="s">
        <v>69994</v>
      </c>
      <c r="O3499">
        <f>-582.661454119774 -91.4862314295439 -735.843105287821</f>
        <v>-1409.9907908371388</v>
      </c>
      <c r="P3499">
        <f>-606.525006324346 -83.3031543597407 -420.328014118714</f>
        <v>-1110.1561748028007</v>
      </c>
      <c r="Q3499">
        <f>-359.977334099346 -6.79168070680126 -451.987741889659</f>
        <v>-818.7567566958063</v>
      </c>
      <c r="R3499" t="s">
        <v>69995</v>
      </c>
      <c r="S3499" t="s">
        <v>69996</v>
      </c>
      <c r="T3499" t="s">
        <v>69997</v>
      </c>
      <c r="U3499" t="s">
        <v>69998</v>
      </c>
      <c r="V3499" t="s">
        <v>69999</v>
      </c>
      <c r="W3499" t="s">
        <v>70000</v>
      </c>
      <c r="X3499" t="s">
        <v>70001</v>
      </c>
      <c r="Y3499" t="s">
        <v>70002</v>
      </c>
    </row>
    <row r="3500" spans="1:25" x14ac:dyDescent="0.3">
      <c r="A3500">
        <v>174950</v>
      </c>
      <c r="B3500" t="s">
        <v>70003</v>
      </c>
      <c r="C3500" t="s">
        <v>70004</v>
      </c>
      <c r="D3500" t="s">
        <v>70005</v>
      </c>
      <c r="E3500" t="s">
        <v>70006</v>
      </c>
      <c r="F3500" t="s">
        <v>70007</v>
      </c>
      <c r="G3500" t="s">
        <v>70008</v>
      </c>
      <c r="H3500" t="s">
        <v>70009</v>
      </c>
      <c r="I3500" t="s">
        <v>70010</v>
      </c>
      <c r="J3500" t="s">
        <v>70011</v>
      </c>
      <c r="K3500" t="s">
        <v>70012</v>
      </c>
      <c r="L3500" t="s">
        <v>70013</v>
      </c>
      <c r="M3500" t="s">
        <v>70014</v>
      </c>
      <c r="N3500" t="s">
        <v>70015</v>
      </c>
      <c r="O3500">
        <f>-583.138735677949 -91.7884074500151 -735.583974554195</f>
        <v>-1410.5111176821592</v>
      </c>
      <c r="P3500">
        <f>-607.142233239769 -83.1415633435356 -420.091931561541</f>
        <v>-1110.3757281448457</v>
      </c>
      <c r="Q3500">
        <f>-360.462585003934 -7.04719129728298 -451.728250081821</f>
        <v>-819.238026383038</v>
      </c>
      <c r="R3500" t="s">
        <v>70016</v>
      </c>
      <c r="S3500" t="s">
        <v>70017</v>
      </c>
      <c r="T3500" t="s">
        <v>70018</v>
      </c>
      <c r="U3500" t="s">
        <v>70019</v>
      </c>
      <c r="V3500" t="s">
        <v>70020</v>
      </c>
      <c r="W3500" t="s">
        <v>70021</v>
      </c>
      <c r="X3500" t="s">
        <v>70022</v>
      </c>
      <c r="Y3500" t="s">
        <v>70023</v>
      </c>
    </row>
    <row r="3501" spans="1:25" x14ac:dyDescent="0.3">
      <c r="A3501">
        <v>175000</v>
      </c>
      <c r="B3501" t="s">
        <v>70024</v>
      </c>
      <c r="C3501" t="s">
        <v>70025</v>
      </c>
      <c r="D3501" t="s">
        <v>70026</v>
      </c>
      <c r="E3501" t="s">
        <v>70027</v>
      </c>
      <c r="F3501" t="s">
        <v>70028</v>
      </c>
      <c r="G3501" t="s">
        <v>70029</v>
      </c>
      <c r="H3501" t="s">
        <v>70030</v>
      </c>
      <c r="I3501" t="s">
        <v>70031</v>
      </c>
      <c r="J3501" t="s">
        <v>70032</v>
      </c>
      <c r="K3501" t="s">
        <v>70033</v>
      </c>
      <c r="L3501" t="s">
        <v>70034</v>
      </c>
      <c r="M3501" t="s">
        <v>70035</v>
      </c>
      <c r="N3501" t="s">
        <v>70036</v>
      </c>
      <c r="O3501">
        <f>-583.461916157894 -91.8464393610079 -735.520804321635</f>
        <v>-1410.8291598405369</v>
      </c>
      <c r="P3501">
        <f>-607.538785250862 -82.9445818993155 -420.041464390174</f>
        <v>-1110.5248315403514</v>
      </c>
      <c r="Q3501">
        <f>-360.784814279306 -7.06552946179812 -451.615376917666</f>
        <v>-819.46572065877012</v>
      </c>
      <c r="R3501" t="s">
        <v>70037</v>
      </c>
      <c r="S3501" t="s">
        <v>70038</v>
      </c>
      <c r="T3501" t="s">
        <v>70039</v>
      </c>
      <c r="U3501" t="s">
        <v>70040</v>
      </c>
      <c r="V3501" t="s">
        <v>70041</v>
      </c>
      <c r="W3501" t="s">
        <v>70042</v>
      </c>
      <c r="X3501" t="s">
        <v>70043</v>
      </c>
      <c r="Y3501" t="s">
        <v>70044</v>
      </c>
    </row>
    <row r="3502" spans="1:25" x14ac:dyDescent="0.3">
      <c r="A3502">
        <v>175050</v>
      </c>
      <c r="B3502" t="s">
        <v>70045</v>
      </c>
      <c r="C3502" t="s">
        <v>70046</v>
      </c>
      <c r="D3502" t="s">
        <v>70047</v>
      </c>
      <c r="E3502" t="s">
        <v>70048</v>
      </c>
      <c r="F3502" t="s">
        <v>70049</v>
      </c>
      <c r="G3502" t="s">
        <v>70050</v>
      </c>
      <c r="H3502" t="s">
        <v>70051</v>
      </c>
      <c r="I3502" t="s">
        <v>70052</v>
      </c>
      <c r="J3502" t="s">
        <v>70053</v>
      </c>
      <c r="K3502" t="s">
        <v>70054</v>
      </c>
      <c r="L3502" t="s">
        <v>70055</v>
      </c>
      <c r="M3502" t="s">
        <v>70056</v>
      </c>
      <c r="N3502" t="s">
        <v>70057</v>
      </c>
      <c r="O3502">
        <f>-583.875823676318 -91.7391156452206 -735.452024955702</f>
        <v>-1411.0669642772405</v>
      </c>
      <c r="P3502">
        <f>-607.914758153489 -82.6552952145064 -419.97503159878</f>
        <v>-1110.5450849667754</v>
      </c>
      <c r="Q3502">
        <f>-361.056144911893 -7.07721311214274 -451.452884280537</f>
        <v>-819.58624230457269</v>
      </c>
      <c r="R3502" t="s">
        <v>70058</v>
      </c>
      <c r="S3502" t="s">
        <v>70059</v>
      </c>
      <c r="T3502" t="s">
        <v>70060</v>
      </c>
      <c r="U3502" t="s">
        <v>70061</v>
      </c>
      <c r="V3502" t="s">
        <v>70062</v>
      </c>
      <c r="W3502" t="s">
        <v>70063</v>
      </c>
      <c r="X3502" t="s">
        <v>70064</v>
      </c>
      <c r="Y3502" t="s">
        <v>70065</v>
      </c>
    </row>
    <row r="3503" spans="1:25" x14ac:dyDescent="0.3">
      <c r="A3503">
        <v>175100</v>
      </c>
      <c r="B3503" t="s">
        <v>70066</v>
      </c>
      <c r="C3503" t="s">
        <v>70067</v>
      </c>
      <c r="D3503" t="s">
        <v>70068</v>
      </c>
      <c r="E3503" t="s">
        <v>70069</v>
      </c>
      <c r="F3503" t="s">
        <v>70070</v>
      </c>
      <c r="G3503" t="s">
        <v>70071</v>
      </c>
      <c r="H3503" t="s">
        <v>70072</v>
      </c>
      <c r="I3503" t="s">
        <v>70073</v>
      </c>
      <c r="J3503" t="s">
        <v>70074</v>
      </c>
      <c r="K3503" t="s">
        <v>70075</v>
      </c>
      <c r="L3503" t="s">
        <v>70076</v>
      </c>
      <c r="M3503" t="s">
        <v>70077</v>
      </c>
      <c r="N3503" t="s">
        <v>70078</v>
      </c>
      <c r="O3503">
        <f>-583.968949376471 -91.6402841070042 -735.412330000267</f>
        <v>-1411.0215634837423</v>
      </c>
      <c r="P3503">
        <f>-607.954907521261 -82.534910954596 -419.931727040393</f>
        <v>-1110.42154551625</v>
      </c>
      <c r="Q3503">
        <f>-361.108535734253 -6.92341132139748 -451.425362597062</f>
        <v>-819.45730965271241</v>
      </c>
      <c r="R3503" t="s">
        <v>70079</v>
      </c>
      <c r="S3503" t="s">
        <v>70080</v>
      </c>
      <c r="T3503" t="s">
        <v>70081</v>
      </c>
      <c r="U3503" t="s">
        <v>70082</v>
      </c>
      <c r="V3503" t="s">
        <v>70083</v>
      </c>
      <c r="W3503" t="s">
        <v>70084</v>
      </c>
      <c r="X3503" t="s">
        <v>70085</v>
      </c>
      <c r="Y3503" t="s">
        <v>70086</v>
      </c>
    </row>
    <row r="3504" spans="1:25" x14ac:dyDescent="0.3">
      <c r="A3504">
        <v>175150</v>
      </c>
      <c r="B3504" t="s">
        <v>70087</v>
      </c>
      <c r="C3504" t="s">
        <v>70088</v>
      </c>
      <c r="D3504" t="s">
        <v>70089</v>
      </c>
      <c r="E3504" t="s">
        <v>70090</v>
      </c>
      <c r="F3504" t="s">
        <v>70091</v>
      </c>
      <c r="G3504" t="s">
        <v>70092</v>
      </c>
      <c r="H3504" t="s">
        <v>70093</v>
      </c>
      <c r="I3504" t="s">
        <v>70094</v>
      </c>
      <c r="J3504" t="s">
        <v>70095</v>
      </c>
      <c r="K3504" t="s">
        <v>70096</v>
      </c>
      <c r="L3504" t="s">
        <v>70097</v>
      </c>
      <c r="M3504" t="s">
        <v>70098</v>
      </c>
      <c r="N3504" t="s">
        <v>70099</v>
      </c>
      <c r="O3504">
        <f>-583.965726030608 -91.5282987715131 -735.356773847074</f>
        <v>-1410.850798649195</v>
      </c>
      <c r="P3504">
        <f>-607.393670945797 -82.7501974781225 -419.825000889841</f>
        <v>-1109.9688693137605</v>
      </c>
      <c r="Q3504">
        <f>-360.602240418646 -7.08489758526129 -451.6181069721</f>
        <v>-819.30524497600732</v>
      </c>
      <c r="R3504" t="s">
        <v>70100</v>
      </c>
      <c r="S3504" t="s">
        <v>70101</v>
      </c>
      <c r="T3504" t="s">
        <v>70102</v>
      </c>
      <c r="U3504" t="s">
        <v>70103</v>
      </c>
      <c r="V3504" t="s">
        <v>70104</v>
      </c>
      <c r="W3504" t="s">
        <v>70105</v>
      </c>
      <c r="X3504" t="s">
        <v>70106</v>
      </c>
      <c r="Y3504" t="s">
        <v>70107</v>
      </c>
    </row>
    <row r="3505" spans="1:25" x14ac:dyDescent="0.3">
      <c r="A3505">
        <v>175200</v>
      </c>
      <c r="B3505" t="s">
        <v>70108</v>
      </c>
      <c r="C3505" t="s">
        <v>70109</v>
      </c>
      <c r="D3505" t="s">
        <v>70110</v>
      </c>
      <c r="E3505" t="s">
        <v>70111</v>
      </c>
      <c r="F3505" t="s">
        <v>70112</v>
      </c>
      <c r="G3505" t="s">
        <v>70113</v>
      </c>
      <c r="H3505" t="s">
        <v>70114</v>
      </c>
      <c r="I3505" t="s">
        <v>70115</v>
      </c>
      <c r="J3505" t="s">
        <v>70116</v>
      </c>
      <c r="K3505" t="s">
        <v>70117</v>
      </c>
      <c r="L3505" t="s">
        <v>70118</v>
      </c>
      <c r="M3505" t="s">
        <v>70119</v>
      </c>
      <c r="N3505" t="s">
        <v>70120</v>
      </c>
      <c r="O3505">
        <f>-584.089762701618 -91.4051507051121 -735.36998557226</f>
        <v>-1410.8648989789901</v>
      </c>
      <c r="P3505">
        <f>-607.310670977928 -82.7386602229473 -419.819874445471</f>
        <v>-1109.8692056463462</v>
      </c>
      <c r="Q3505">
        <f>-360.545790543514 -7.10305881107473 -451.88855684588</f>
        <v>-819.53740620046869</v>
      </c>
      <c r="R3505" t="s">
        <v>70121</v>
      </c>
      <c r="S3505" t="s">
        <v>70122</v>
      </c>
      <c r="T3505" t="s">
        <v>70123</v>
      </c>
      <c r="U3505" t="s">
        <v>70124</v>
      </c>
      <c r="V3505" t="s">
        <v>70125</v>
      </c>
      <c r="W3505" t="s">
        <v>70126</v>
      </c>
      <c r="X3505" t="s">
        <v>70127</v>
      </c>
      <c r="Y3505" t="s">
        <v>70128</v>
      </c>
    </row>
    <row r="3506" spans="1:25" x14ac:dyDescent="0.3">
      <c r="A3506">
        <v>175250</v>
      </c>
      <c r="B3506" t="s">
        <v>70129</v>
      </c>
      <c r="C3506" t="s">
        <v>70130</v>
      </c>
      <c r="D3506" t="s">
        <v>70131</v>
      </c>
      <c r="E3506" t="s">
        <v>70132</v>
      </c>
      <c r="F3506" t="s">
        <v>70133</v>
      </c>
      <c r="G3506" t="s">
        <v>70134</v>
      </c>
      <c r="H3506" t="s">
        <v>70135</v>
      </c>
      <c r="I3506" t="s">
        <v>70136</v>
      </c>
      <c r="J3506" t="s">
        <v>70137</v>
      </c>
      <c r="K3506" t="s">
        <v>70138</v>
      </c>
      <c r="L3506" t="s">
        <v>70139</v>
      </c>
      <c r="M3506" t="s">
        <v>70140</v>
      </c>
      <c r="N3506" t="s">
        <v>70141</v>
      </c>
      <c r="O3506">
        <f>-584.584096262923 -91.0617699476929 -735.553041614958</f>
        <v>-1411.198907825574</v>
      </c>
      <c r="P3506">
        <f>-607.484294155038 -82.7643489050073 -419.969572387391</f>
        <v>-1110.2182154474363</v>
      </c>
      <c r="Q3506">
        <f>-360.765127489211 -7.12204956690455 -452.372941314821</f>
        <v>-820.26011837093654</v>
      </c>
      <c r="R3506" t="s">
        <v>70142</v>
      </c>
      <c r="S3506" t="s">
        <v>70143</v>
      </c>
      <c r="T3506" t="s">
        <v>70144</v>
      </c>
      <c r="U3506" t="s">
        <v>70145</v>
      </c>
      <c r="V3506" t="s">
        <v>70146</v>
      </c>
      <c r="W3506" t="s">
        <v>70147</v>
      </c>
      <c r="X3506" t="s">
        <v>70148</v>
      </c>
      <c r="Y3506" t="s">
        <v>70149</v>
      </c>
    </row>
    <row r="3507" spans="1:25" x14ac:dyDescent="0.3">
      <c r="A3507">
        <v>175300</v>
      </c>
      <c r="B3507" t="s">
        <v>70150</v>
      </c>
      <c r="C3507" t="s">
        <v>70151</v>
      </c>
      <c r="D3507" t="s">
        <v>70152</v>
      </c>
      <c r="E3507" t="s">
        <v>70153</v>
      </c>
      <c r="F3507" t="s">
        <v>70154</v>
      </c>
      <c r="G3507" t="s">
        <v>70155</v>
      </c>
      <c r="H3507" t="s">
        <v>70156</v>
      </c>
      <c r="I3507" t="s">
        <v>70157</v>
      </c>
      <c r="J3507" t="s">
        <v>70158</v>
      </c>
      <c r="K3507" t="s">
        <v>70159</v>
      </c>
      <c r="L3507" t="s">
        <v>70160</v>
      </c>
      <c r="M3507" t="s">
        <v>70161</v>
      </c>
      <c r="N3507" t="s">
        <v>70162</v>
      </c>
      <c r="O3507">
        <f>-584.819243168997 -90.8957614046661 -735.697572104454</f>
        <v>-1411.4125766781171</v>
      </c>
      <c r="P3507">
        <f>-607.518827414687 -82.8816114800248 -420.092327114543</f>
        <v>-1110.4927660092549</v>
      </c>
      <c r="Q3507">
        <f>-360.87237879071 -7.03077001568046 -452.561047182418</f>
        <v>-820.46419598880846</v>
      </c>
      <c r="R3507" t="s">
        <v>70163</v>
      </c>
      <c r="S3507" t="s">
        <v>70164</v>
      </c>
      <c r="T3507" t="s">
        <v>70165</v>
      </c>
      <c r="U3507" t="s">
        <v>70166</v>
      </c>
      <c r="V3507" t="s">
        <v>70167</v>
      </c>
      <c r="W3507" t="s">
        <v>70168</v>
      </c>
      <c r="X3507" t="s">
        <v>70169</v>
      </c>
      <c r="Y3507" t="s">
        <v>70170</v>
      </c>
    </row>
    <row r="3508" spans="1:25" x14ac:dyDescent="0.3">
      <c r="A3508">
        <v>175350</v>
      </c>
      <c r="B3508" t="s">
        <v>70171</v>
      </c>
      <c r="C3508" t="s">
        <v>70172</v>
      </c>
      <c r="D3508" t="s">
        <v>70173</v>
      </c>
      <c r="E3508" t="s">
        <v>70174</v>
      </c>
      <c r="F3508" t="s">
        <v>70175</v>
      </c>
      <c r="G3508" t="s">
        <v>70176</v>
      </c>
      <c r="H3508" t="s">
        <v>70177</v>
      </c>
      <c r="I3508" t="s">
        <v>70178</v>
      </c>
      <c r="J3508" t="s">
        <v>70179</v>
      </c>
      <c r="K3508" t="s">
        <v>70180</v>
      </c>
      <c r="L3508" t="s">
        <v>70181</v>
      </c>
      <c r="M3508" t="s">
        <v>70182</v>
      </c>
      <c r="N3508" t="s">
        <v>70183</v>
      </c>
      <c r="O3508">
        <f>-585.44752061402 -90.4104160548337 -735.918389274469</f>
        <v>-1411.7763259433227</v>
      </c>
      <c r="P3508">
        <f>-607.372103850622 -82.7738826190878 -420.249022731413</f>
        <v>-1110.3950092011228</v>
      </c>
      <c r="Q3508">
        <f>-360.843629996355 -6.61797398443935 -452.899330141957</f>
        <v>-820.36093412275136</v>
      </c>
      <c r="R3508" t="s">
        <v>70184</v>
      </c>
      <c r="S3508" t="s">
        <v>70185</v>
      </c>
      <c r="T3508" t="s">
        <v>70186</v>
      </c>
      <c r="U3508" t="s">
        <v>70187</v>
      </c>
      <c r="V3508" t="s">
        <v>70188</v>
      </c>
      <c r="W3508" t="s">
        <v>70189</v>
      </c>
      <c r="X3508" t="s">
        <v>70190</v>
      </c>
      <c r="Y3508" t="s">
        <v>70191</v>
      </c>
    </row>
    <row r="3509" spans="1:25" x14ac:dyDescent="0.3">
      <c r="A3509">
        <v>175400</v>
      </c>
      <c r="B3509" t="s">
        <v>70192</v>
      </c>
      <c r="C3509" t="s">
        <v>70193</v>
      </c>
      <c r="D3509" t="s">
        <v>70194</v>
      </c>
      <c r="E3509" t="s">
        <v>70195</v>
      </c>
      <c r="F3509" t="s">
        <v>70196</v>
      </c>
      <c r="G3509" t="s">
        <v>70197</v>
      </c>
      <c r="H3509" t="s">
        <v>70198</v>
      </c>
      <c r="I3509" t="s">
        <v>70199</v>
      </c>
      <c r="J3509" t="s">
        <v>70200</v>
      </c>
      <c r="K3509" t="s">
        <v>70201</v>
      </c>
      <c r="L3509" t="s">
        <v>70202</v>
      </c>
      <c r="M3509" t="s">
        <v>70203</v>
      </c>
      <c r="N3509" t="s">
        <v>70204</v>
      </c>
      <c r="O3509">
        <f>-585.672644714372 -90.1959244865092 -735.950336360793</f>
        <v>-1411.8189055616742</v>
      </c>
      <c r="P3509">
        <f>-607.090801748736 -82.7700085121455 -420.241108250332</f>
        <v>-1110.1019185112136</v>
      </c>
      <c r="Q3509">
        <f>-360.624829648719 -6.52148660602666 -453.145751580694</f>
        <v>-820.29206783543964</v>
      </c>
      <c r="R3509" t="s">
        <v>70205</v>
      </c>
      <c r="S3509" t="s">
        <v>70206</v>
      </c>
      <c r="T3509" t="s">
        <v>70207</v>
      </c>
      <c r="U3509" t="s">
        <v>70208</v>
      </c>
      <c r="V3509" t="s">
        <v>70209</v>
      </c>
      <c r="W3509" t="s">
        <v>70210</v>
      </c>
      <c r="X3509" t="s">
        <v>70211</v>
      </c>
      <c r="Y3509" t="s">
        <v>70212</v>
      </c>
    </row>
    <row r="3510" spans="1:25" x14ac:dyDescent="0.3">
      <c r="A3510">
        <v>175450</v>
      </c>
      <c r="B3510" t="s">
        <v>70213</v>
      </c>
      <c r="C3510" t="s">
        <v>70214</v>
      </c>
      <c r="D3510" t="s">
        <v>70215</v>
      </c>
      <c r="E3510" t="s">
        <v>70216</v>
      </c>
      <c r="F3510" t="s">
        <v>70217</v>
      </c>
      <c r="G3510" t="s">
        <v>70218</v>
      </c>
      <c r="H3510" t="s">
        <v>70219</v>
      </c>
      <c r="I3510" t="s">
        <v>70220</v>
      </c>
      <c r="J3510" t="s">
        <v>70221</v>
      </c>
      <c r="K3510" t="s">
        <v>70222</v>
      </c>
      <c r="L3510" t="s">
        <v>70223</v>
      </c>
      <c r="M3510" t="s">
        <v>70224</v>
      </c>
      <c r="N3510" t="s">
        <v>70225</v>
      </c>
      <c r="O3510">
        <f>-585.722396978428 -90.3218437618 -735.890053679926</f>
        <v>-1411.9342944201539</v>
      </c>
      <c r="P3510">
        <f>-606.572142763928 -83.3816095079645 -420.1317721038</f>
        <v>-1110.0855243756926</v>
      </c>
      <c r="Q3510">
        <f>-360.197683585956 -7.14369571305357 -453.739043695964</f>
        <v>-821.08042299497356</v>
      </c>
      <c r="R3510" t="s">
        <v>70226</v>
      </c>
      <c r="S3510" t="s">
        <v>70227</v>
      </c>
      <c r="T3510" t="s">
        <v>70228</v>
      </c>
      <c r="U3510" t="s">
        <v>70229</v>
      </c>
      <c r="V3510" t="s">
        <v>70230</v>
      </c>
      <c r="W3510" t="s">
        <v>70231</v>
      </c>
      <c r="X3510" t="s">
        <v>70232</v>
      </c>
      <c r="Y3510" t="s">
        <v>70233</v>
      </c>
    </row>
    <row r="3511" spans="1:25" x14ac:dyDescent="0.3">
      <c r="A3511">
        <v>175500</v>
      </c>
      <c r="B3511" t="s">
        <v>70234</v>
      </c>
      <c r="C3511" t="s">
        <v>70235</v>
      </c>
      <c r="D3511" t="s">
        <v>70236</v>
      </c>
      <c r="E3511" t="s">
        <v>70237</v>
      </c>
      <c r="F3511" t="s">
        <v>70238</v>
      </c>
      <c r="G3511" t="s">
        <v>70239</v>
      </c>
      <c r="H3511" t="s">
        <v>70240</v>
      </c>
      <c r="I3511" t="s">
        <v>70241</v>
      </c>
      <c r="J3511" t="s">
        <v>70242</v>
      </c>
      <c r="K3511" t="s">
        <v>70243</v>
      </c>
      <c r="L3511" t="s">
        <v>70244</v>
      </c>
      <c r="M3511" t="s">
        <v>70245</v>
      </c>
      <c r="N3511" t="s">
        <v>70246</v>
      </c>
      <c r="O3511">
        <f>-585.92519769575 -90.1818167890966 -735.907156484567</f>
        <v>-1412.0141709694135</v>
      </c>
      <c r="P3511">
        <f>-606.966985618456 -83.3779694479755 -420.158750503694</f>
        <v>-1110.5037055701255</v>
      </c>
      <c r="Q3511">
        <f>-360.632569542375 -7.0740470420084 -453.909674987042</f>
        <v>-821.61629157142534</v>
      </c>
      <c r="R3511" t="s">
        <v>70247</v>
      </c>
      <c r="S3511" t="s">
        <v>70248</v>
      </c>
      <c r="T3511" t="s">
        <v>70249</v>
      </c>
      <c r="U3511" t="s">
        <v>70250</v>
      </c>
      <c r="V3511" t="s">
        <v>70251</v>
      </c>
      <c r="W3511" t="s">
        <v>70252</v>
      </c>
      <c r="X3511" t="s">
        <v>70253</v>
      </c>
      <c r="Y3511" t="s">
        <v>70254</v>
      </c>
    </row>
    <row r="3512" spans="1:25" x14ac:dyDescent="0.3">
      <c r="A3512">
        <v>175550</v>
      </c>
      <c r="B3512" t="s">
        <v>70255</v>
      </c>
      <c r="C3512" t="s">
        <v>70256</v>
      </c>
      <c r="D3512" t="s">
        <v>70257</v>
      </c>
      <c r="E3512" t="s">
        <v>70258</v>
      </c>
      <c r="F3512" t="s">
        <v>70259</v>
      </c>
      <c r="G3512" t="s">
        <v>70260</v>
      </c>
      <c r="H3512" t="s">
        <v>70261</v>
      </c>
      <c r="I3512" t="s">
        <v>70262</v>
      </c>
      <c r="J3512" t="s">
        <v>70263</v>
      </c>
      <c r="K3512" t="s">
        <v>70264</v>
      </c>
      <c r="L3512" t="s">
        <v>70265</v>
      </c>
      <c r="M3512" t="s">
        <v>70266</v>
      </c>
      <c r="N3512" t="s">
        <v>70267</v>
      </c>
      <c r="O3512">
        <f>-585.970996648188 -90.4663948248556 -736.115358353966</f>
        <v>-1412.5527498270096</v>
      </c>
      <c r="P3512">
        <f>-607.577880372436 -83.9288265622116 -420.399353021794</f>
        <v>-1111.9060599564416</v>
      </c>
      <c r="Q3512">
        <f>-361.266629161958 -7.4096321163823 -453.830087993424</f>
        <v>-822.50634927176429</v>
      </c>
      <c r="R3512" t="s">
        <v>70268</v>
      </c>
      <c r="S3512" t="s">
        <v>70269</v>
      </c>
      <c r="T3512" t="s">
        <v>70270</v>
      </c>
      <c r="U3512" t="s">
        <v>70271</v>
      </c>
      <c r="V3512" t="s">
        <v>70272</v>
      </c>
      <c r="W3512" t="s">
        <v>70273</v>
      </c>
      <c r="X3512" t="s">
        <v>70274</v>
      </c>
      <c r="Y3512" t="s">
        <v>70275</v>
      </c>
    </row>
    <row r="3513" spans="1:25" x14ac:dyDescent="0.3">
      <c r="A3513">
        <v>175600</v>
      </c>
      <c r="B3513" t="s">
        <v>70276</v>
      </c>
      <c r="C3513" t="s">
        <v>70277</v>
      </c>
      <c r="D3513" t="s">
        <v>70278</v>
      </c>
      <c r="E3513" t="s">
        <v>70279</v>
      </c>
      <c r="F3513" t="s">
        <v>70280</v>
      </c>
      <c r="G3513" t="s">
        <v>70281</v>
      </c>
      <c r="H3513" t="s">
        <v>70282</v>
      </c>
      <c r="I3513" t="s">
        <v>70283</v>
      </c>
      <c r="J3513" t="s">
        <v>70284</v>
      </c>
      <c r="K3513" t="s">
        <v>70285</v>
      </c>
      <c r="L3513" t="s">
        <v>70286</v>
      </c>
      <c r="M3513" t="s">
        <v>70287</v>
      </c>
      <c r="N3513" t="s">
        <v>70288</v>
      </c>
      <c r="O3513">
        <f>-585.980038513885 -90.7265591105935 -736.209246318421</f>
        <v>-1412.9158439428995</v>
      </c>
      <c r="P3513">
        <f>-607.916778946165 -84.1112885478658 -420.51757822209</f>
        <v>-1112.5456457161208</v>
      </c>
      <c r="Q3513">
        <f>-361.596185914011 -7.49329533232036 -453.651952038967</f>
        <v>-822.7414332852984</v>
      </c>
      <c r="R3513" t="s">
        <v>70289</v>
      </c>
      <c r="S3513" t="s">
        <v>70290</v>
      </c>
      <c r="T3513" t="s">
        <v>70291</v>
      </c>
      <c r="U3513" t="s">
        <v>70292</v>
      </c>
      <c r="V3513" t="s">
        <v>70293</v>
      </c>
      <c r="W3513" t="s">
        <v>70294</v>
      </c>
      <c r="X3513" t="s">
        <v>70295</v>
      </c>
      <c r="Y3513" t="s">
        <v>70296</v>
      </c>
    </row>
    <row r="3514" spans="1:25" x14ac:dyDescent="0.3">
      <c r="A3514">
        <v>175650</v>
      </c>
      <c r="B3514" t="s">
        <v>70297</v>
      </c>
      <c r="C3514" t="s">
        <v>70298</v>
      </c>
      <c r="D3514" t="s">
        <v>70299</v>
      </c>
      <c r="E3514" t="s">
        <v>70300</v>
      </c>
      <c r="F3514" t="s">
        <v>70301</v>
      </c>
      <c r="G3514" t="s">
        <v>70302</v>
      </c>
      <c r="H3514" t="s">
        <v>70303</v>
      </c>
      <c r="I3514" t="s">
        <v>70304</v>
      </c>
      <c r="J3514" t="s">
        <v>70305</v>
      </c>
      <c r="K3514" t="s">
        <v>70306</v>
      </c>
      <c r="L3514" t="s">
        <v>70307</v>
      </c>
      <c r="M3514" t="s">
        <v>70308</v>
      </c>
      <c r="N3514" t="s">
        <v>70309</v>
      </c>
      <c r="O3514">
        <f>-585.876291591019 -91.0856218386861 -736.327142406778</f>
        <v>-1413.2890558364829</v>
      </c>
      <c r="P3514">
        <f>-608.278278741533 -84.0909023678539 -420.676375636271</f>
        <v>-1113.0455567456579</v>
      </c>
      <c r="Q3514">
        <f>-361.847884898716 -7.57707481255515 -453.229727848544</f>
        <v>-822.6546875598151</v>
      </c>
      <c r="R3514" t="s">
        <v>70310</v>
      </c>
      <c r="S3514" t="s">
        <v>70311</v>
      </c>
      <c r="T3514" t="s">
        <v>70312</v>
      </c>
      <c r="U3514" t="s">
        <v>70313</v>
      </c>
      <c r="V3514" t="s">
        <v>70314</v>
      </c>
      <c r="W3514" t="s">
        <v>70315</v>
      </c>
      <c r="X3514" t="s">
        <v>70316</v>
      </c>
      <c r="Y3514" t="s">
        <v>70317</v>
      </c>
    </row>
    <row r="3515" spans="1:25" x14ac:dyDescent="0.3">
      <c r="A3515">
        <v>175700</v>
      </c>
      <c r="B3515" t="s">
        <v>70318</v>
      </c>
      <c r="C3515" t="s">
        <v>70319</v>
      </c>
      <c r="D3515" t="s">
        <v>70320</v>
      </c>
      <c r="E3515" t="s">
        <v>70321</v>
      </c>
      <c r="F3515" t="s">
        <v>70322</v>
      </c>
      <c r="G3515" t="s">
        <v>70323</v>
      </c>
      <c r="H3515" t="s">
        <v>70324</v>
      </c>
      <c r="I3515" t="s">
        <v>70325</v>
      </c>
      <c r="J3515" t="s">
        <v>70326</v>
      </c>
      <c r="K3515" t="s">
        <v>70327</v>
      </c>
      <c r="L3515" t="s">
        <v>70328</v>
      </c>
      <c r="M3515" t="s">
        <v>70329</v>
      </c>
      <c r="N3515" t="s">
        <v>70330</v>
      </c>
      <c r="O3515">
        <f>-585.674230143856 -91.2056573383466 -736.368660037819</f>
        <v>-1413.2485475200215</v>
      </c>
      <c r="P3515">
        <f>-608.363573223001 -84.05623508668 -420.741807721396</f>
        <v>-1113.1616160310771</v>
      </c>
      <c r="Q3515">
        <f>-361.916068218265 -7.52152165806877 -453.11666140668</f>
        <v>-822.55425128301385</v>
      </c>
      <c r="R3515" t="s">
        <v>70331</v>
      </c>
      <c r="S3515" t="s">
        <v>70332</v>
      </c>
      <c r="T3515" t="s">
        <v>70333</v>
      </c>
      <c r="U3515" t="s">
        <v>70334</v>
      </c>
      <c r="V3515" t="s">
        <v>70335</v>
      </c>
      <c r="W3515" t="s">
        <v>70336</v>
      </c>
      <c r="X3515" t="s">
        <v>70337</v>
      </c>
      <c r="Y3515" t="s">
        <v>70338</v>
      </c>
    </row>
    <row r="3516" spans="1:25" x14ac:dyDescent="0.3">
      <c r="A3516">
        <v>175750</v>
      </c>
      <c r="B3516" t="s">
        <v>70339</v>
      </c>
      <c r="C3516" t="s">
        <v>70340</v>
      </c>
      <c r="D3516" t="s">
        <v>70341</v>
      </c>
      <c r="E3516" t="s">
        <v>70342</v>
      </c>
      <c r="F3516" t="s">
        <v>70343</v>
      </c>
      <c r="G3516" t="s">
        <v>70344</v>
      </c>
      <c r="H3516" t="s">
        <v>70345</v>
      </c>
      <c r="I3516" t="s">
        <v>70346</v>
      </c>
      <c r="J3516" t="s">
        <v>70347</v>
      </c>
      <c r="K3516" t="s">
        <v>70348</v>
      </c>
      <c r="L3516" t="s">
        <v>70349</v>
      </c>
      <c r="M3516" t="s">
        <v>70350</v>
      </c>
      <c r="N3516" t="s">
        <v>70351</v>
      </c>
      <c r="O3516">
        <f>-585.182681827515 -91.6025022850771 -736.403027948611</f>
        <v>-1413.1882120612031</v>
      </c>
      <c r="P3516">
        <f>-608.623409650903 -84.3455096379627 -420.833552526007</f>
        <v>-1113.8024718148727</v>
      </c>
      <c r="Q3516">
        <f>-362.155418620745 -7.78890729930668 -453.000237893955</f>
        <v>-822.94456381400664</v>
      </c>
      <c r="R3516" t="s">
        <v>70352</v>
      </c>
      <c r="S3516" t="s">
        <v>70353</v>
      </c>
      <c r="T3516" t="s">
        <v>70354</v>
      </c>
      <c r="U3516" t="s">
        <v>70355</v>
      </c>
      <c r="V3516" t="s">
        <v>70356</v>
      </c>
      <c r="W3516" t="s">
        <v>70357</v>
      </c>
      <c r="X3516" t="s">
        <v>70358</v>
      </c>
      <c r="Y3516" t="s">
        <v>70359</v>
      </c>
    </row>
    <row r="3517" spans="1:25" x14ac:dyDescent="0.3">
      <c r="A3517">
        <v>175800</v>
      </c>
      <c r="B3517" t="s">
        <v>70360</v>
      </c>
      <c r="C3517" t="s">
        <v>70361</v>
      </c>
      <c r="D3517" t="s">
        <v>70362</v>
      </c>
      <c r="E3517" t="s">
        <v>70363</v>
      </c>
      <c r="F3517" t="s">
        <v>70364</v>
      </c>
      <c r="G3517" t="s">
        <v>70365</v>
      </c>
      <c r="H3517" t="s">
        <v>70366</v>
      </c>
      <c r="I3517" t="s">
        <v>70367</v>
      </c>
      <c r="J3517" t="s">
        <v>70368</v>
      </c>
      <c r="K3517" t="s">
        <v>70369</v>
      </c>
      <c r="L3517" t="s">
        <v>70370</v>
      </c>
      <c r="M3517" t="s">
        <v>70371</v>
      </c>
      <c r="N3517" t="s">
        <v>70372</v>
      </c>
      <c r="O3517">
        <f>-584.98243661573 -91.7231819797016 -736.428216295527</f>
        <v>-1413.1338348909585</v>
      </c>
      <c r="P3517">
        <f>-608.704285813752 -84.4359196847343 -420.880446396288</f>
        <v>-1114.0206518947743</v>
      </c>
      <c r="Q3517">
        <f>-362.229043419244 -7.86713400791463 -452.96252229926</f>
        <v>-823.05869972641858</v>
      </c>
      <c r="R3517" t="s">
        <v>70373</v>
      </c>
      <c r="S3517" t="s">
        <v>70374</v>
      </c>
      <c r="T3517" t="s">
        <v>70375</v>
      </c>
      <c r="U3517" t="s">
        <v>70376</v>
      </c>
      <c r="V3517" t="s">
        <v>70377</v>
      </c>
      <c r="W3517" t="s">
        <v>70378</v>
      </c>
      <c r="X3517" t="s">
        <v>70379</v>
      </c>
      <c r="Y3517" t="s">
        <v>70380</v>
      </c>
    </row>
    <row r="3518" spans="1:25" x14ac:dyDescent="0.3">
      <c r="A3518">
        <v>175850</v>
      </c>
      <c r="B3518" t="s">
        <v>70360</v>
      </c>
      <c r="C3518" t="s">
        <v>70361</v>
      </c>
      <c r="D3518" t="s">
        <v>70362</v>
      </c>
      <c r="E3518" t="s">
        <v>70363</v>
      </c>
      <c r="F3518" t="s">
        <v>70364</v>
      </c>
      <c r="G3518" t="s">
        <v>70365</v>
      </c>
      <c r="H3518" t="s">
        <v>70366</v>
      </c>
      <c r="I3518" t="s">
        <v>70367</v>
      </c>
      <c r="J3518" t="s">
        <v>70368</v>
      </c>
      <c r="K3518" t="s">
        <v>70369</v>
      </c>
      <c r="L3518" t="s">
        <v>70370</v>
      </c>
      <c r="M3518" t="s">
        <v>70371</v>
      </c>
      <c r="N3518" t="s">
        <v>70372</v>
      </c>
      <c r="O3518">
        <f>-584.98243661573 -91.7231819797016 -736.428216295527</f>
        <v>-1413.1338348909585</v>
      </c>
      <c r="P3518">
        <f>-608.704285813752 -84.4359196847343 -420.880446396288</f>
        <v>-1114.0206518947743</v>
      </c>
      <c r="Q3518">
        <f>-362.229043419244 -7.86713400791463 -452.96252229926</f>
        <v>-823.05869972641858</v>
      </c>
      <c r="R3518" t="s">
        <v>70373</v>
      </c>
      <c r="S3518" t="s">
        <v>70374</v>
      </c>
      <c r="T3518" t="s">
        <v>70375</v>
      </c>
      <c r="U3518" t="s">
        <v>70376</v>
      </c>
      <c r="V3518" t="s">
        <v>70377</v>
      </c>
      <c r="W3518" t="s">
        <v>70378</v>
      </c>
      <c r="X3518" t="s">
        <v>70379</v>
      </c>
      <c r="Y3518" t="s">
        <v>70380</v>
      </c>
    </row>
    <row r="3519" spans="1:25" x14ac:dyDescent="0.3">
      <c r="A3519">
        <v>175900</v>
      </c>
      <c r="B3519" t="s">
        <v>70381</v>
      </c>
      <c r="C3519" t="s">
        <v>70382</v>
      </c>
      <c r="D3519" t="s">
        <v>70383</v>
      </c>
      <c r="E3519" t="s">
        <v>70384</v>
      </c>
      <c r="F3519" t="s">
        <v>70385</v>
      </c>
      <c r="G3519" t="s">
        <v>70386</v>
      </c>
      <c r="H3519" t="s">
        <v>70387</v>
      </c>
      <c r="I3519" t="s">
        <v>70388</v>
      </c>
      <c r="J3519" t="s">
        <v>70389</v>
      </c>
      <c r="K3519" t="s">
        <v>70390</v>
      </c>
      <c r="L3519" t="s">
        <v>70391</v>
      </c>
      <c r="M3519" t="s">
        <v>70392</v>
      </c>
      <c r="N3519" t="s">
        <v>70393</v>
      </c>
      <c r="O3519">
        <f>-584.85189126877 -91.9767171885129 -736.420479461789</f>
        <v>-1413.2490879190718</v>
      </c>
      <c r="P3519">
        <f>-608.756091823461 -84.6477469803778 -420.887393646439</f>
        <v>-1114.2912324502779</v>
      </c>
      <c r="Q3519">
        <f>-362.279581711817 -8.06220542112548 -452.919706438321</f>
        <v>-823.26149357126349</v>
      </c>
      <c r="R3519" t="s">
        <v>70394</v>
      </c>
      <c r="S3519" t="s">
        <v>70395</v>
      </c>
      <c r="T3519" t="s">
        <v>70396</v>
      </c>
      <c r="U3519" t="s">
        <v>70397</v>
      </c>
      <c r="V3519" t="s">
        <v>70398</v>
      </c>
      <c r="W3519" t="s">
        <v>70399</v>
      </c>
      <c r="X3519" t="s">
        <v>70400</v>
      </c>
      <c r="Y3519" t="s">
        <v>70401</v>
      </c>
    </row>
    <row r="3520" spans="1:25" x14ac:dyDescent="0.3">
      <c r="A3520">
        <v>175950</v>
      </c>
      <c r="B3520" t="s">
        <v>70402</v>
      </c>
      <c r="C3520" t="s">
        <v>70403</v>
      </c>
      <c r="D3520" t="s">
        <v>70404</v>
      </c>
      <c r="E3520" t="s">
        <v>70405</v>
      </c>
      <c r="F3520" t="s">
        <v>70406</v>
      </c>
      <c r="G3520" t="s">
        <v>70407</v>
      </c>
      <c r="H3520" t="s">
        <v>70408</v>
      </c>
      <c r="I3520" t="s">
        <v>70409</v>
      </c>
      <c r="J3520" t="s">
        <v>70410</v>
      </c>
      <c r="K3520" t="s">
        <v>70411</v>
      </c>
      <c r="L3520" t="s">
        <v>70412</v>
      </c>
      <c r="M3520" t="s">
        <v>70413</v>
      </c>
      <c r="N3520" t="s">
        <v>70414</v>
      </c>
      <c r="O3520">
        <f>-584.794992060912 -92.3213069039502 -736.382532726985</f>
        <v>-1413.4988316918473</v>
      </c>
      <c r="P3520">
        <f>-608.870280360687 -84.8975841737951 -420.864719879522</f>
        <v>-1114.6325844140042</v>
      </c>
      <c r="Q3520">
        <f>-362.385269619479 -8.26743104974177 -452.724066257377</f>
        <v>-823.37676692659784</v>
      </c>
      <c r="R3520" t="s">
        <v>70415</v>
      </c>
      <c r="S3520" t="s">
        <v>70416</v>
      </c>
      <c r="T3520" t="s">
        <v>70417</v>
      </c>
      <c r="U3520" t="s">
        <v>70418</v>
      </c>
      <c r="V3520" t="s">
        <v>70419</v>
      </c>
      <c r="W3520" t="s">
        <v>70420</v>
      </c>
      <c r="X3520" t="s">
        <v>70421</v>
      </c>
      <c r="Y3520" t="s">
        <v>70422</v>
      </c>
    </row>
    <row r="3521" spans="1:25" x14ac:dyDescent="0.3">
      <c r="A3521">
        <v>176000</v>
      </c>
      <c r="B3521" t="s">
        <v>70402</v>
      </c>
      <c r="C3521" t="s">
        <v>70403</v>
      </c>
      <c r="D3521" t="s">
        <v>70404</v>
      </c>
      <c r="E3521" t="s">
        <v>70405</v>
      </c>
      <c r="F3521" t="s">
        <v>70406</v>
      </c>
      <c r="G3521" t="s">
        <v>70407</v>
      </c>
      <c r="H3521" t="s">
        <v>70408</v>
      </c>
      <c r="I3521" t="s">
        <v>70409</v>
      </c>
      <c r="J3521" t="s">
        <v>70410</v>
      </c>
      <c r="K3521" t="s">
        <v>70411</v>
      </c>
      <c r="L3521" t="s">
        <v>70412</v>
      </c>
      <c r="M3521" t="s">
        <v>70413</v>
      </c>
      <c r="N3521" t="s">
        <v>70414</v>
      </c>
      <c r="O3521">
        <f>-584.794992060912 -92.3213069039502 -736.382532726985</f>
        <v>-1413.4988316918473</v>
      </c>
      <c r="P3521">
        <f>-608.870280360687 -84.8975841737951 -420.864719879522</f>
        <v>-1114.6325844140042</v>
      </c>
      <c r="Q3521">
        <f>-362.385269619479 -8.26743104974177 -452.724066257377</f>
        <v>-823.37676692659784</v>
      </c>
      <c r="R3521" t="s">
        <v>70415</v>
      </c>
      <c r="S3521" t="s">
        <v>70416</v>
      </c>
      <c r="T3521" t="s">
        <v>70417</v>
      </c>
      <c r="U3521" t="s">
        <v>70418</v>
      </c>
      <c r="V3521" t="s">
        <v>70419</v>
      </c>
      <c r="W3521" t="s">
        <v>70420</v>
      </c>
      <c r="X3521" t="s">
        <v>70421</v>
      </c>
      <c r="Y3521" t="s">
        <v>70422</v>
      </c>
    </row>
    <row r="3522" spans="1:25" x14ac:dyDescent="0.3">
      <c r="A3522">
        <v>176050</v>
      </c>
      <c r="B3522" t="s">
        <v>70423</v>
      </c>
      <c r="C3522" t="s">
        <v>70424</v>
      </c>
      <c r="D3522" t="s">
        <v>70425</v>
      </c>
      <c r="E3522" t="s">
        <v>70426</v>
      </c>
      <c r="F3522" t="s">
        <v>70427</v>
      </c>
      <c r="G3522" t="s">
        <v>70428</v>
      </c>
      <c r="H3522" t="s">
        <v>70429</v>
      </c>
      <c r="I3522" t="s">
        <v>70430</v>
      </c>
      <c r="J3522" t="s">
        <v>70431</v>
      </c>
      <c r="K3522" t="s">
        <v>70432</v>
      </c>
      <c r="L3522" t="s">
        <v>70433</v>
      </c>
      <c r="M3522" t="s">
        <v>70434</v>
      </c>
      <c r="N3522" t="s">
        <v>70435</v>
      </c>
      <c r="O3522">
        <f>-583.771469713655 -93.4164471907427 -736.277200779409</f>
        <v>-1413.4651176838067</v>
      </c>
      <c r="P3522">
        <f>-608.147451347091 -85.6424988200387 -420.790908379676</f>
        <v>-1114.5808585468058</v>
      </c>
      <c r="Q3522">
        <f>-361.743898638875 -8.66197414040256 -452.434936038065</f>
        <v>-822.84080881734258</v>
      </c>
      <c r="R3522" t="s">
        <v>70436</v>
      </c>
      <c r="S3522" t="s">
        <v>70437</v>
      </c>
      <c r="T3522" t="s">
        <v>70438</v>
      </c>
      <c r="U3522" t="s">
        <v>70439</v>
      </c>
      <c r="V3522" t="s">
        <v>70440</v>
      </c>
      <c r="W3522" t="s">
        <v>70441</v>
      </c>
      <c r="X3522" t="s">
        <v>70442</v>
      </c>
      <c r="Y3522" t="s">
        <v>70443</v>
      </c>
    </row>
    <row r="3523" spans="1:25" x14ac:dyDescent="0.3">
      <c r="A3523">
        <v>176100</v>
      </c>
      <c r="B3523" t="s">
        <v>70444</v>
      </c>
      <c r="C3523" t="s">
        <v>70445</v>
      </c>
      <c r="D3523" t="s">
        <v>70446</v>
      </c>
      <c r="E3523" t="s">
        <v>70447</v>
      </c>
      <c r="F3523" t="s">
        <v>70448</v>
      </c>
      <c r="G3523" t="s">
        <v>70449</v>
      </c>
      <c r="H3523" t="s">
        <v>70450</v>
      </c>
      <c r="I3523" t="s">
        <v>70451</v>
      </c>
      <c r="J3523" t="s">
        <v>70452</v>
      </c>
      <c r="K3523" t="s">
        <v>70453</v>
      </c>
      <c r="L3523" t="s">
        <v>70454</v>
      </c>
      <c r="M3523" t="s">
        <v>70455</v>
      </c>
      <c r="N3523" t="s">
        <v>70456</v>
      </c>
      <c r="O3523">
        <f>-582.430609631382 -93.9320939667425 -736.075533860648</f>
        <v>-1412.4382374587726</v>
      </c>
      <c r="P3523">
        <f>-607.682055743799 -85.8619544300394 -420.665581067716</f>
        <v>-1114.2095912415543</v>
      </c>
      <c r="Q3523">
        <f>-361.341252161485 -8.67779827497343 -452.30151308652</f>
        <v>-822.32056352297843</v>
      </c>
      <c r="R3523" t="s">
        <v>70457</v>
      </c>
      <c r="S3523" t="s">
        <v>70458</v>
      </c>
      <c r="T3523" t="s">
        <v>70459</v>
      </c>
      <c r="U3523" t="s">
        <v>70460</v>
      </c>
      <c r="V3523" t="s">
        <v>70461</v>
      </c>
      <c r="W3523" t="s">
        <v>70462</v>
      </c>
      <c r="X3523" t="s">
        <v>70463</v>
      </c>
      <c r="Y3523" t="s">
        <v>70464</v>
      </c>
    </row>
    <row r="3524" spans="1:25" x14ac:dyDescent="0.3">
      <c r="A3524">
        <v>176150</v>
      </c>
      <c r="B3524" t="s">
        <v>70465</v>
      </c>
      <c r="C3524" t="s">
        <v>70466</v>
      </c>
      <c r="D3524" t="s">
        <v>70467</v>
      </c>
      <c r="E3524" t="s">
        <v>70468</v>
      </c>
      <c r="F3524" t="s">
        <v>70469</v>
      </c>
      <c r="G3524" t="s">
        <v>70470</v>
      </c>
      <c r="H3524" t="s">
        <v>70471</v>
      </c>
      <c r="I3524" t="s">
        <v>70472</v>
      </c>
      <c r="J3524" t="s">
        <v>70473</v>
      </c>
      <c r="K3524" t="s">
        <v>70474</v>
      </c>
      <c r="L3524" t="s">
        <v>70475</v>
      </c>
      <c r="M3524" t="s">
        <v>70476</v>
      </c>
      <c r="N3524" t="s">
        <v>70477</v>
      </c>
      <c r="O3524">
        <f>-580.585260593011 -94.4752726353003 -735.908539190164</f>
        <v>-1410.9690724184752</v>
      </c>
      <c r="P3524">
        <f>-607.257104225766 -86.2087107079101 -420.620648754504</f>
        <v>-1114.0864636881802</v>
      </c>
      <c r="Q3524">
        <f>-360.948822633943 -8.86040140065722 -452.108924527123</f>
        <v>-821.91814856172323</v>
      </c>
      <c r="R3524" t="s">
        <v>70478</v>
      </c>
      <c r="S3524" t="s">
        <v>70479</v>
      </c>
      <c r="T3524" t="s">
        <v>70480</v>
      </c>
      <c r="U3524" t="s">
        <v>70481</v>
      </c>
      <c r="V3524" t="s">
        <v>70482</v>
      </c>
      <c r="W3524" t="s">
        <v>70483</v>
      </c>
      <c r="X3524" t="s">
        <v>70484</v>
      </c>
      <c r="Y3524" t="s">
        <v>70485</v>
      </c>
    </row>
    <row r="3525" spans="1:25" x14ac:dyDescent="0.3">
      <c r="A3525">
        <v>176200</v>
      </c>
      <c r="B3525" t="s">
        <v>70486</v>
      </c>
      <c r="C3525" t="s">
        <v>70487</v>
      </c>
      <c r="D3525" t="s">
        <v>70488</v>
      </c>
      <c r="E3525" t="s">
        <v>70489</v>
      </c>
      <c r="F3525" t="s">
        <v>70490</v>
      </c>
      <c r="G3525" t="s">
        <v>70491</v>
      </c>
      <c r="H3525" t="s">
        <v>70492</v>
      </c>
      <c r="I3525" t="s">
        <v>70493</v>
      </c>
      <c r="J3525" t="s">
        <v>70494</v>
      </c>
      <c r="K3525" t="s">
        <v>70495</v>
      </c>
      <c r="L3525" t="s">
        <v>70496</v>
      </c>
      <c r="M3525" t="s">
        <v>70497</v>
      </c>
      <c r="N3525" t="s">
        <v>70498</v>
      </c>
      <c r="O3525">
        <f>-579.409921469397 -94.9942713524441 -735.819278092449</f>
        <v>-1410.2234709142901</v>
      </c>
      <c r="P3525">
        <f>-607.002007787882 -86.5696855103166 -420.614641207075</f>
        <v>-1114.1863345052736</v>
      </c>
      <c r="Q3525">
        <f>-360.684941570545 -9.08775215249756 -451.70365471312</f>
        <v>-821.47634843616254</v>
      </c>
      <c r="R3525" t="s">
        <v>70499</v>
      </c>
      <c r="S3525" t="s">
        <v>70500</v>
      </c>
      <c r="T3525" t="s">
        <v>70501</v>
      </c>
      <c r="U3525" t="s">
        <v>70502</v>
      </c>
      <c r="V3525" t="s">
        <v>70503</v>
      </c>
      <c r="W3525" t="s">
        <v>70504</v>
      </c>
      <c r="X3525" t="s">
        <v>70505</v>
      </c>
      <c r="Y3525" t="s">
        <v>70506</v>
      </c>
    </row>
    <row r="3526" spans="1:25" x14ac:dyDescent="0.3">
      <c r="A3526">
        <v>176250</v>
      </c>
      <c r="B3526" t="s">
        <v>70507</v>
      </c>
      <c r="C3526" t="s">
        <v>70508</v>
      </c>
      <c r="D3526" t="s">
        <v>70509</v>
      </c>
      <c r="E3526" t="s">
        <v>70510</v>
      </c>
      <c r="F3526" t="s">
        <v>70511</v>
      </c>
      <c r="G3526" t="s">
        <v>70512</v>
      </c>
      <c r="H3526" t="s">
        <v>70513</v>
      </c>
      <c r="I3526" t="s">
        <v>70514</v>
      </c>
      <c r="J3526" t="s">
        <v>70515</v>
      </c>
      <c r="K3526" t="s">
        <v>70516</v>
      </c>
      <c r="L3526" t="s">
        <v>70517</v>
      </c>
      <c r="M3526" t="s">
        <v>70518</v>
      </c>
      <c r="N3526" t="s">
        <v>70519</v>
      </c>
      <c r="O3526">
        <f>-577.185899763375 -96.1284779832255 -735.742722756286</f>
        <v>-1409.0571005028864</v>
      </c>
      <c r="P3526">
        <f>-605.737659131043 -86.8896796388822 -420.646488217256</f>
        <v>-1113.2738269871811</v>
      </c>
      <c r="Q3526">
        <f>-359.282454940803 -9.23944385457999 -450.181740217137</f>
        <v>-818.70363901251994</v>
      </c>
      <c r="R3526" t="s">
        <v>70520</v>
      </c>
      <c r="S3526" t="s">
        <v>70521</v>
      </c>
      <c r="T3526" t="s">
        <v>70522</v>
      </c>
      <c r="U3526" t="s">
        <v>70523</v>
      </c>
      <c r="V3526" t="s">
        <v>70524</v>
      </c>
      <c r="W3526" t="s">
        <v>70525</v>
      </c>
      <c r="X3526" t="s">
        <v>70526</v>
      </c>
      <c r="Y3526" t="s">
        <v>70527</v>
      </c>
    </row>
    <row r="3527" spans="1:25" x14ac:dyDescent="0.3">
      <c r="A3527">
        <v>176300</v>
      </c>
      <c r="B3527" t="s">
        <v>70507</v>
      </c>
      <c r="C3527" t="s">
        <v>70508</v>
      </c>
      <c r="D3527" t="s">
        <v>70509</v>
      </c>
      <c r="E3527" t="s">
        <v>70510</v>
      </c>
      <c r="F3527" t="s">
        <v>70511</v>
      </c>
      <c r="G3527" t="s">
        <v>70512</v>
      </c>
      <c r="H3527" t="s">
        <v>70513</v>
      </c>
      <c r="I3527" t="s">
        <v>70514</v>
      </c>
      <c r="J3527" t="s">
        <v>70515</v>
      </c>
      <c r="K3527" t="s">
        <v>70516</v>
      </c>
      <c r="L3527" t="s">
        <v>70517</v>
      </c>
      <c r="M3527" t="s">
        <v>70518</v>
      </c>
      <c r="N3527" t="s">
        <v>70519</v>
      </c>
      <c r="O3527">
        <f>-577.185899763375 -96.1284779832255 -735.742722756286</f>
        <v>-1409.0571005028864</v>
      </c>
      <c r="P3527">
        <f>-605.737659131043 -86.8896796388822 -420.646488217256</f>
        <v>-1113.2738269871811</v>
      </c>
      <c r="Q3527">
        <f>-359.282454940803 -9.23944385457999 -450.181740217137</f>
        <v>-818.70363901251994</v>
      </c>
      <c r="R3527" t="s">
        <v>70520</v>
      </c>
      <c r="S3527" t="s">
        <v>70521</v>
      </c>
      <c r="T3527" t="s">
        <v>70522</v>
      </c>
      <c r="U3527" t="s">
        <v>70523</v>
      </c>
      <c r="V3527" t="s">
        <v>70524</v>
      </c>
      <c r="W3527" t="s">
        <v>70525</v>
      </c>
      <c r="X3527" t="s">
        <v>70526</v>
      </c>
      <c r="Y3527" t="s">
        <v>70527</v>
      </c>
    </row>
    <row r="3528" spans="1:25" x14ac:dyDescent="0.3">
      <c r="A3528">
        <v>176350</v>
      </c>
      <c r="B3528" t="s">
        <v>70528</v>
      </c>
      <c r="C3528" t="s">
        <v>70529</v>
      </c>
      <c r="D3528" t="s">
        <v>70530</v>
      </c>
      <c r="E3528" t="s">
        <v>70531</v>
      </c>
      <c r="F3528" t="s">
        <v>70532</v>
      </c>
      <c r="G3528" t="s">
        <v>70533</v>
      </c>
      <c r="H3528" t="s">
        <v>70534</v>
      </c>
      <c r="I3528" t="s">
        <v>70535</v>
      </c>
      <c r="J3528" t="s">
        <v>70536</v>
      </c>
      <c r="K3528" t="s">
        <v>70537</v>
      </c>
      <c r="L3528" t="s">
        <v>70538</v>
      </c>
      <c r="M3528" t="s">
        <v>70539</v>
      </c>
      <c r="N3528" t="s">
        <v>70540</v>
      </c>
      <c r="O3528">
        <f>-576.437420924194 -96.4265942207338 -735.686823917687</f>
        <v>-1408.5508390626148</v>
      </c>
      <c r="P3528">
        <f>-604.883730876985 -86.4268018596084 -420.604298904186</f>
        <v>-1111.9148316407795</v>
      </c>
      <c r="Q3528">
        <f>-358.386043761663 -8.62929315591119 -449.387840521154</f>
        <v>-816.40317743872811</v>
      </c>
      <c r="R3528" t="s">
        <v>70541</v>
      </c>
      <c r="S3528" t="s">
        <v>70542</v>
      </c>
      <c r="T3528" t="s">
        <v>70543</v>
      </c>
      <c r="U3528" t="s">
        <v>70544</v>
      </c>
      <c r="V3528" t="s">
        <v>70545</v>
      </c>
      <c r="W3528" t="s">
        <v>70546</v>
      </c>
      <c r="X3528" t="s">
        <v>70547</v>
      </c>
      <c r="Y3528" t="s">
        <v>70548</v>
      </c>
    </row>
    <row r="3529" spans="1:25" x14ac:dyDescent="0.3">
      <c r="A3529">
        <v>176400</v>
      </c>
      <c r="B3529" t="s">
        <v>70549</v>
      </c>
      <c r="C3529" t="s">
        <v>70550</v>
      </c>
      <c r="D3529" t="s">
        <v>70551</v>
      </c>
      <c r="E3529" t="s">
        <v>70552</v>
      </c>
      <c r="F3529" t="s">
        <v>70553</v>
      </c>
      <c r="G3529" t="s">
        <v>70554</v>
      </c>
      <c r="H3529" t="s">
        <v>70555</v>
      </c>
      <c r="I3529" t="s">
        <v>70556</v>
      </c>
      <c r="J3529" t="s">
        <v>70557</v>
      </c>
      <c r="K3529" t="s">
        <v>70558</v>
      </c>
      <c r="L3529" t="s">
        <v>70559</v>
      </c>
      <c r="M3529" t="s">
        <v>70560</v>
      </c>
      <c r="N3529" t="s">
        <v>70561</v>
      </c>
      <c r="O3529">
        <f>-575.072661133096 -97.8094909354007 -735.295477543486</f>
        <v>-1408.1776296119826</v>
      </c>
      <c r="P3529">
        <f>-603.955213465351 -86.3721996964838 -420.301589651354</f>
        <v>-1110.6290028131889</v>
      </c>
      <c r="Q3529">
        <f>-357.384621744687 -8.50221342627756 -448.252751496802</f>
        <v>-814.13958666776648</v>
      </c>
      <c r="R3529" t="s">
        <v>70562</v>
      </c>
      <c r="S3529" t="s">
        <v>70563</v>
      </c>
      <c r="T3529" t="s">
        <v>70564</v>
      </c>
      <c r="U3529" t="s">
        <v>70565</v>
      </c>
      <c r="V3529" t="s">
        <v>70566</v>
      </c>
      <c r="W3529" t="s">
        <v>70567</v>
      </c>
      <c r="X3529" t="s">
        <v>70568</v>
      </c>
      <c r="Y3529" t="s">
        <v>70569</v>
      </c>
    </row>
    <row r="3530" spans="1:25" x14ac:dyDescent="0.3">
      <c r="A3530">
        <v>176450</v>
      </c>
      <c r="B3530" t="s">
        <v>70570</v>
      </c>
      <c r="C3530" t="s">
        <v>70571</v>
      </c>
      <c r="D3530" t="s">
        <v>70572</v>
      </c>
      <c r="E3530" t="s">
        <v>70573</v>
      </c>
      <c r="F3530" t="s">
        <v>70574</v>
      </c>
      <c r="G3530" t="s">
        <v>70575</v>
      </c>
      <c r="H3530" t="s">
        <v>70576</v>
      </c>
      <c r="I3530" t="s">
        <v>70577</v>
      </c>
      <c r="J3530" t="s">
        <v>70578</v>
      </c>
      <c r="K3530" t="s">
        <v>70579</v>
      </c>
      <c r="L3530" t="s">
        <v>70580</v>
      </c>
      <c r="M3530" t="s">
        <v>70581</v>
      </c>
      <c r="N3530" t="s">
        <v>70582</v>
      </c>
      <c r="O3530">
        <f>-574.762632104671 -98.2651407949398 -734.964565091774</f>
        <v>-1407.9923379913848</v>
      </c>
      <c r="P3530">
        <f>-603.5512266897 -86.6203835182174 -419.969739251784</f>
        <v>-1110.1413494597014</v>
      </c>
      <c r="Q3530">
        <f>-356.942600447975 -8.9881535797098 -448.244848916327</f>
        <v>-814.17560294401176</v>
      </c>
      <c r="R3530" t="s">
        <v>70583</v>
      </c>
      <c r="S3530" t="s">
        <v>70584</v>
      </c>
      <c r="T3530" t="s">
        <v>70585</v>
      </c>
      <c r="U3530" t="s">
        <v>70586</v>
      </c>
      <c r="V3530" t="s">
        <v>70587</v>
      </c>
      <c r="W3530" t="s">
        <v>70588</v>
      </c>
      <c r="X3530" t="s">
        <v>70589</v>
      </c>
      <c r="Y3530" t="s">
        <v>70590</v>
      </c>
    </row>
    <row r="3531" spans="1:25" x14ac:dyDescent="0.3">
      <c r="A3531">
        <v>176500</v>
      </c>
      <c r="B3531" t="s">
        <v>70591</v>
      </c>
      <c r="C3531" t="s">
        <v>70592</v>
      </c>
      <c r="D3531" t="s">
        <v>70593</v>
      </c>
      <c r="E3531" t="s">
        <v>70594</v>
      </c>
      <c r="F3531" t="s">
        <v>70595</v>
      </c>
      <c r="G3531" t="s">
        <v>70596</v>
      </c>
      <c r="H3531" t="s">
        <v>70597</v>
      </c>
      <c r="I3531" t="s">
        <v>70598</v>
      </c>
      <c r="J3531" t="s">
        <v>70599</v>
      </c>
      <c r="K3531" t="s">
        <v>70600</v>
      </c>
      <c r="L3531" t="s">
        <v>70601</v>
      </c>
      <c r="M3531" t="s">
        <v>70602</v>
      </c>
      <c r="N3531" t="s">
        <v>70603</v>
      </c>
      <c r="O3531">
        <f>-574.582864380872 -98.3421962434384 -734.871953687901</f>
        <v>-1407.7970143122116</v>
      </c>
      <c r="P3531">
        <f>-603.244751752265 -86.784802283475 -419.862317218447</f>
        <v>-1109.891871254187</v>
      </c>
      <c r="Q3531">
        <f>-356.653539944919 -9.18849661177704 -448.386412764712</f>
        <v>-814.22844932140811</v>
      </c>
      <c r="R3531" t="s">
        <v>70604</v>
      </c>
      <c r="S3531" t="s">
        <v>70605</v>
      </c>
      <c r="T3531" t="s">
        <v>70606</v>
      </c>
      <c r="U3531" t="s">
        <v>70607</v>
      </c>
      <c r="V3531" t="s">
        <v>70608</v>
      </c>
      <c r="W3531" t="s">
        <v>70609</v>
      </c>
      <c r="X3531" t="s">
        <v>70610</v>
      </c>
      <c r="Y3531" t="s">
        <v>70611</v>
      </c>
    </row>
    <row r="3532" spans="1:25" x14ac:dyDescent="0.3">
      <c r="A3532">
        <v>176550</v>
      </c>
      <c r="B3532" t="s">
        <v>70612</v>
      </c>
      <c r="C3532" t="s">
        <v>70613</v>
      </c>
      <c r="D3532" t="s">
        <v>70614</v>
      </c>
      <c r="E3532" t="s">
        <v>70615</v>
      </c>
      <c r="F3532" t="s">
        <v>70616</v>
      </c>
      <c r="G3532" t="s">
        <v>70617</v>
      </c>
      <c r="H3532" t="s">
        <v>70618</v>
      </c>
      <c r="I3532" t="s">
        <v>70619</v>
      </c>
      <c r="J3532" t="s">
        <v>70620</v>
      </c>
      <c r="K3532" t="s">
        <v>70621</v>
      </c>
      <c r="L3532" t="s">
        <v>70622</v>
      </c>
      <c r="M3532" t="s">
        <v>70623</v>
      </c>
      <c r="N3532" t="s">
        <v>70624</v>
      </c>
      <c r="O3532">
        <f>-574.117657131174 -98.2931016388183 -734.714566451352</f>
        <v>-1407.1253252213442</v>
      </c>
      <c r="P3532">
        <f>-602.516734985175 -86.9991968035305 -419.671515223938</f>
        <v>-1109.1874470126436</v>
      </c>
      <c r="Q3532">
        <f>-355.985974605256 -9.34106481203492 -448.547989132535</f>
        <v>-813.87502854982586</v>
      </c>
      <c r="R3532" t="s">
        <v>70625</v>
      </c>
      <c r="S3532" t="s">
        <v>70626</v>
      </c>
      <c r="T3532" t="s">
        <v>70627</v>
      </c>
      <c r="U3532" t="s">
        <v>70628</v>
      </c>
      <c r="V3532" t="s">
        <v>70629</v>
      </c>
      <c r="W3532" t="s">
        <v>70630</v>
      </c>
      <c r="X3532" t="s">
        <v>70631</v>
      </c>
      <c r="Y3532" t="s">
        <v>70632</v>
      </c>
    </row>
    <row r="3533" spans="1:25" x14ac:dyDescent="0.3">
      <c r="A3533">
        <v>176600</v>
      </c>
      <c r="B3533" t="s">
        <v>70633</v>
      </c>
      <c r="C3533" t="s">
        <v>70634</v>
      </c>
      <c r="D3533" t="s">
        <v>70635</v>
      </c>
      <c r="E3533" t="s">
        <v>70636</v>
      </c>
      <c r="F3533" t="s">
        <v>70637</v>
      </c>
      <c r="G3533" t="s">
        <v>70638</v>
      </c>
      <c r="H3533" t="s">
        <v>70639</v>
      </c>
      <c r="I3533" t="s">
        <v>70640</v>
      </c>
      <c r="J3533" t="s">
        <v>70641</v>
      </c>
      <c r="K3533" t="s">
        <v>70642</v>
      </c>
      <c r="L3533" t="s">
        <v>70643</v>
      </c>
      <c r="M3533" t="s">
        <v>70644</v>
      </c>
      <c r="N3533" t="s">
        <v>70645</v>
      </c>
      <c r="O3533">
        <f>-573.657909041581 -98.4336638374571 -734.549059625965</f>
        <v>-1406.6406325050029</v>
      </c>
      <c r="P3533">
        <f>-601.736158965853 -86.965070396411 -419.483607296535</f>
        <v>-1108.184836658799</v>
      </c>
      <c r="Q3533">
        <f>-355.178878978906 -9.46436476461013 -448.555953486788</f>
        <v>-813.19919723030421</v>
      </c>
      <c r="R3533" t="s">
        <v>70646</v>
      </c>
      <c r="S3533" t="s">
        <v>70647</v>
      </c>
      <c r="T3533" t="s">
        <v>70648</v>
      </c>
      <c r="U3533" t="s">
        <v>70649</v>
      </c>
      <c r="V3533" t="s">
        <v>70650</v>
      </c>
      <c r="W3533" t="s">
        <v>70651</v>
      </c>
      <c r="X3533" t="s">
        <v>70652</v>
      </c>
      <c r="Y3533" t="s">
        <v>70653</v>
      </c>
    </row>
    <row r="3534" spans="1:25" x14ac:dyDescent="0.3">
      <c r="A3534">
        <v>176650</v>
      </c>
      <c r="B3534" t="s">
        <v>70654</v>
      </c>
      <c r="C3534" t="s">
        <v>70655</v>
      </c>
      <c r="D3534" t="s">
        <v>70656</v>
      </c>
      <c r="E3534" t="s">
        <v>70657</v>
      </c>
      <c r="F3534" t="s">
        <v>70658</v>
      </c>
      <c r="G3534" t="s">
        <v>70659</v>
      </c>
      <c r="H3534" t="s">
        <v>70660</v>
      </c>
      <c r="I3534" t="s">
        <v>70661</v>
      </c>
      <c r="J3534" t="s">
        <v>70662</v>
      </c>
      <c r="K3534" t="s">
        <v>70663</v>
      </c>
      <c r="L3534" t="s">
        <v>70664</v>
      </c>
      <c r="M3534" t="s">
        <v>70665</v>
      </c>
      <c r="N3534" t="s">
        <v>70666</v>
      </c>
      <c r="O3534">
        <f>-573.552372192922 -98.2740280422405 -734.449613711721</f>
        <v>-1406.2760139468835</v>
      </c>
      <c r="P3534">
        <f>-601.4858856726 -86.6315049025852 -419.377703470523</f>
        <v>-1107.4950940457084</v>
      </c>
      <c r="Q3534">
        <f>-354.891066770553 -9.28744888042521 -448.548581019399</f>
        <v>-812.72709667037725</v>
      </c>
      <c r="R3534" t="s">
        <v>70667</v>
      </c>
      <c r="S3534" t="s">
        <v>70668</v>
      </c>
      <c r="T3534" t="s">
        <v>70669</v>
      </c>
      <c r="U3534" t="s">
        <v>70670</v>
      </c>
      <c r="V3534" t="s">
        <v>70671</v>
      </c>
      <c r="W3534" t="s">
        <v>70672</v>
      </c>
      <c r="X3534" t="s">
        <v>70673</v>
      </c>
      <c r="Y3534" t="s">
        <v>70674</v>
      </c>
    </row>
    <row r="3535" spans="1:25" x14ac:dyDescent="0.3">
      <c r="A3535">
        <v>176700</v>
      </c>
      <c r="B3535" t="s">
        <v>70675</v>
      </c>
      <c r="C3535" t="s">
        <v>70676</v>
      </c>
      <c r="D3535" t="s">
        <v>70677</v>
      </c>
      <c r="E3535" t="s">
        <v>70678</v>
      </c>
      <c r="F3535" t="s">
        <v>70679</v>
      </c>
      <c r="G3535" t="s">
        <v>70680</v>
      </c>
      <c r="H3535" t="s">
        <v>70681</v>
      </c>
      <c r="I3535" t="s">
        <v>70682</v>
      </c>
      <c r="J3535" t="s">
        <v>70683</v>
      </c>
      <c r="K3535" t="s">
        <v>70684</v>
      </c>
      <c r="L3535" t="s">
        <v>70685</v>
      </c>
      <c r="M3535" t="s">
        <v>70686</v>
      </c>
      <c r="N3535" t="s">
        <v>70687</v>
      </c>
      <c r="O3535">
        <f>-573.467152879929 -98.2808417013791 -734.354313678649</f>
        <v>-1406.1023082599572</v>
      </c>
      <c r="P3535">
        <f>-601.309610323846 -86.4139798651674 -419.282631263538</f>
        <v>-1107.0062214525515</v>
      </c>
      <c r="Q3535">
        <f>-354.703802107698 -9.13180978193589 -448.5249576424</f>
        <v>-812.36056953203388</v>
      </c>
      <c r="R3535" t="s">
        <v>70688</v>
      </c>
      <c r="S3535" t="s">
        <v>70689</v>
      </c>
      <c r="T3535" t="s">
        <v>70690</v>
      </c>
      <c r="U3535" t="s">
        <v>70691</v>
      </c>
      <c r="V3535" t="s">
        <v>70692</v>
      </c>
      <c r="W3535" t="s">
        <v>70693</v>
      </c>
      <c r="X3535" t="s">
        <v>70694</v>
      </c>
      <c r="Y3535" t="s">
        <v>70695</v>
      </c>
    </row>
    <row r="3536" spans="1:25" x14ac:dyDescent="0.3">
      <c r="A3536">
        <v>176750</v>
      </c>
      <c r="B3536" t="s">
        <v>70696</v>
      </c>
      <c r="C3536" t="s">
        <v>70697</v>
      </c>
      <c r="D3536" t="s">
        <v>70698</v>
      </c>
      <c r="E3536" t="s">
        <v>70699</v>
      </c>
      <c r="F3536" t="s">
        <v>70700</v>
      </c>
      <c r="G3536" t="s">
        <v>70701</v>
      </c>
      <c r="H3536" t="s">
        <v>70702</v>
      </c>
      <c r="I3536" t="s">
        <v>70703</v>
      </c>
      <c r="J3536" t="s">
        <v>70704</v>
      </c>
      <c r="K3536" t="s">
        <v>70705</v>
      </c>
      <c r="L3536" t="s">
        <v>70706</v>
      </c>
      <c r="M3536" t="s">
        <v>70707</v>
      </c>
      <c r="N3536" t="s">
        <v>70708</v>
      </c>
      <c r="O3536">
        <f>-573.124345045629 -98.4113508080608 -734.240069791747</f>
        <v>-1405.7757656454369</v>
      </c>
      <c r="P3536">
        <f>-600.886729386409 -86.5549564786978 -419.160910939349</f>
        <v>-1106.6025968044557</v>
      </c>
      <c r="Q3536">
        <f>-354.263408459374 -9.31131160381309 -448.356846473489</f>
        <v>-811.93156653667597</v>
      </c>
      <c r="R3536" t="s">
        <v>70709</v>
      </c>
      <c r="S3536" t="s">
        <v>70710</v>
      </c>
      <c r="T3536" t="s">
        <v>70711</v>
      </c>
      <c r="U3536" t="s">
        <v>70712</v>
      </c>
      <c r="V3536" t="s">
        <v>70713</v>
      </c>
      <c r="W3536" t="s">
        <v>70714</v>
      </c>
      <c r="X3536" t="s">
        <v>70715</v>
      </c>
      <c r="Y3536" t="s">
        <v>70716</v>
      </c>
    </row>
    <row r="3537" spans="1:25" x14ac:dyDescent="0.3">
      <c r="A3537">
        <v>176800</v>
      </c>
      <c r="B3537" t="s">
        <v>70717</v>
      </c>
      <c r="C3537" t="s">
        <v>70718</v>
      </c>
      <c r="D3537" t="s">
        <v>70719</v>
      </c>
      <c r="E3537" t="s">
        <v>70720</v>
      </c>
      <c r="F3537" t="s">
        <v>70721</v>
      </c>
      <c r="G3537" t="s">
        <v>70722</v>
      </c>
      <c r="H3537" t="s">
        <v>70723</v>
      </c>
      <c r="I3537" t="s">
        <v>70724</v>
      </c>
      <c r="J3537" t="s">
        <v>70725</v>
      </c>
      <c r="K3537" t="s">
        <v>70726</v>
      </c>
      <c r="L3537" t="s">
        <v>70727</v>
      </c>
      <c r="M3537" t="s">
        <v>70728</v>
      </c>
      <c r="N3537" t="s">
        <v>70729</v>
      </c>
      <c r="O3537">
        <f>-573.300457633864 -98.3104015838923 -734.253974461581</f>
        <v>-1405.8648336793372</v>
      </c>
      <c r="P3537">
        <f>-600.895826723242 -86.5419664116469 -419.156878193801</f>
        <v>-1106.5946713286899</v>
      </c>
      <c r="Q3537">
        <f>-354.273428079003 -9.2846037958258 -448.325136896016</f>
        <v>-811.8831687708448</v>
      </c>
      <c r="R3537" t="s">
        <v>70730</v>
      </c>
      <c r="S3537" t="s">
        <v>70731</v>
      </c>
      <c r="T3537" t="s">
        <v>70732</v>
      </c>
      <c r="U3537" t="s">
        <v>70733</v>
      </c>
      <c r="V3537" t="s">
        <v>70734</v>
      </c>
      <c r="W3537" t="s">
        <v>70735</v>
      </c>
      <c r="X3537" t="s">
        <v>70736</v>
      </c>
      <c r="Y3537" t="s">
        <v>70737</v>
      </c>
    </row>
    <row r="3538" spans="1:25" x14ac:dyDescent="0.3">
      <c r="A3538">
        <v>176850</v>
      </c>
      <c r="B3538" t="s">
        <v>70738</v>
      </c>
      <c r="C3538" t="s">
        <v>70739</v>
      </c>
      <c r="D3538" t="s">
        <v>70740</v>
      </c>
      <c r="E3538" t="s">
        <v>70741</v>
      </c>
      <c r="F3538" t="s">
        <v>70742</v>
      </c>
      <c r="G3538" t="s">
        <v>70743</v>
      </c>
      <c r="H3538" t="s">
        <v>70744</v>
      </c>
      <c r="I3538" t="s">
        <v>70745</v>
      </c>
      <c r="J3538" t="s">
        <v>70746</v>
      </c>
      <c r="K3538" t="s">
        <v>70747</v>
      </c>
      <c r="L3538" t="s">
        <v>70748</v>
      </c>
      <c r="M3538" t="s">
        <v>70749</v>
      </c>
      <c r="N3538" t="s">
        <v>70750</v>
      </c>
      <c r="O3538">
        <f>-573.924101414005 -98.0726976054714 -734.180927079526</f>
        <v>-1406.1777260990025</v>
      </c>
      <c r="P3538">
        <f>-601.334319562701 -86.4559122692865 -419.061917743344</f>
        <v>-1106.8521495753316</v>
      </c>
      <c r="Q3538">
        <f>-354.651305225836 -9.44686980100897 -448.373338580841</f>
        <v>-812.47151360768589</v>
      </c>
      <c r="R3538" t="s">
        <v>70751</v>
      </c>
      <c r="S3538" t="s">
        <v>70752</v>
      </c>
      <c r="T3538" t="s">
        <v>70753</v>
      </c>
      <c r="U3538" t="s">
        <v>70754</v>
      </c>
      <c r="V3538" t="s">
        <v>70755</v>
      </c>
      <c r="W3538" t="s">
        <v>70756</v>
      </c>
      <c r="X3538" t="s">
        <v>70757</v>
      </c>
      <c r="Y3538" t="s">
        <v>70758</v>
      </c>
    </row>
    <row r="3539" spans="1:25" x14ac:dyDescent="0.3">
      <c r="A3539">
        <v>176900</v>
      </c>
      <c r="B3539" t="s">
        <v>70759</v>
      </c>
      <c r="C3539" t="s">
        <v>70760</v>
      </c>
      <c r="D3539" t="s">
        <v>70761</v>
      </c>
      <c r="E3539" t="s">
        <v>70762</v>
      </c>
      <c r="F3539" t="s">
        <v>70763</v>
      </c>
      <c r="G3539" t="s">
        <v>70764</v>
      </c>
      <c r="H3539" t="s">
        <v>70765</v>
      </c>
      <c r="I3539" t="s">
        <v>70766</v>
      </c>
      <c r="J3539" t="s">
        <v>70767</v>
      </c>
      <c r="K3539" t="s">
        <v>70768</v>
      </c>
      <c r="L3539" t="s">
        <v>70769</v>
      </c>
      <c r="M3539" t="s">
        <v>70770</v>
      </c>
      <c r="N3539" t="s">
        <v>70771</v>
      </c>
      <c r="O3539">
        <f>-574.27102116026 -97.9879141409849 -734.158289935812</f>
        <v>-1406.417225237057</v>
      </c>
      <c r="P3539">
        <f>-601.750338513583 -86.2786784771697 -419.048775330167</f>
        <v>-1107.0777923209198</v>
      </c>
      <c r="Q3539">
        <f>-355.026728097705 -9.43733514941894 -448.458320245428</f>
        <v>-812.92238349255194</v>
      </c>
      <c r="R3539" t="s">
        <v>70772</v>
      </c>
      <c r="S3539" t="s">
        <v>70773</v>
      </c>
      <c r="T3539" t="s">
        <v>70774</v>
      </c>
      <c r="U3539" t="s">
        <v>70775</v>
      </c>
      <c r="V3539" t="s">
        <v>70776</v>
      </c>
      <c r="W3539" t="s">
        <v>70777</v>
      </c>
      <c r="X3539" t="s">
        <v>70778</v>
      </c>
      <c r="Y3539" t="s">
        <v>70779</v>
      </c>
    </row>
    <row r="3540" spans="1:25" x14ac:dyDescent="0.3">
      <c r="A3540">
        <v>176950</v>
      </c>
      <c r="B3540" t="s">
        <v>70780</v>
      </c>
      <c r="C3540" t="s">
        <v>70781</v>
      </c>
      <c r="D3540" t="s">
        <v>70782</v>
      </c>
      <c r="E3540" t="s">
        <v>70783</v>
      </c>
      <c r="F3540" t="s">
        <v>70784</v>
      </c>
      <c r="G3540" t="s">
        <v>70785</v>
      </c>
      <c r="H3540" t="s">
        <v>70786</v>
      </c>
      <c r="I3540" t="s">
        <v>70787</v>
      </c>
      <c r="J3540" t="s">
        <v>70788</v>
      </c>
      <c r="K3540" t="s">
        <v>70789</v>
      </c>
      <c r="L3540" t="s">
        <v>70790</v>
      </c>
      <c r="M3540" t="s">
        <v>70791</v>
      </c>
      <c r="N3540" t="s">
        <v>70792</v>
      </c>
      <c r="O3540">
        <f>-575.261248068629 -97.6576776587924 -734.192719152791</f>
        <v>-1407.1116448802125</v>
      </c>
      <c r="P3540">
        <f>-602.782831596731 -85.8484343388658 -419.090644671178</f>
        <v>-1107.7219106067746</v>
      </c>
      <c r="Q3540">
        <f>-356.058533582281 -9.0466875290788 -448.59833589438</f>
        <v>-813.70355700573975</v>
      </c>
      <c r="R3540" t="s">
        <v>70793</v>
      </c>
      <c r="S3540" t="s">
        <v>70794</v>
      </c>
      <c r="T3540" t="s">
        <v>70795</v>
      </c>
      <c r="U3540" t="s">
        <v>70796</v>
      </c>
      <c r="V3540" t="s">
        <v>70797</v>
      </c>
      <c r="W3540" t="s">
        <v>70798</v>
      </c>
      <c r="X3540" t="s">
        <v>70799</v>
      </c>
      <c r="Y3540" t="s">
        <v>70800</v>
      </c>
    </row>
    <row r="3541" spans="1:25" x14ac:dyDescent="0.3">
      <c r="A3541">
        <v>177000</v>
      </c>
      <c r="B3541" t="s">
        <v>70801</v>
      </c>
      <c r="C3541" t="s">
        <v>70802</v>
      </c>
      <c r="D3541" t="s">
        <v>70803</v>
      </c>
      <c r="E3541" t="s">
        <v>70804</v>
      </c>
      <c r="F3541" t="s">
        <v>70805</v>
      </c>
      <c r="G3541" t="s">
        <v>70806</v>
      </c>
      <c r="H3541" t="s">
        <v>70807</v>
      </c>
      <c r="I3541" t="s">
        <v>70808</v>
      </c>
      <c r="J3541" t="s">
        <v>70809</v>
      </c>
      <c r="K3541" t="s">
        <v>70810</v>
      </c>
      <c r="L3541" t="s">
        <v>70811</v>
      </c>
      <c r="M3541" t="s">
        <v>70812</v>
      </c>
      <c r="N3541" t="s">
        <v>70813</v>
      </c>
      <c r="O3541">
        <f>-575.647677727281 -97.6083264277617 -734.216464557087</f>
        <v>-1407.4724687121297</v>
      </c>
      <c r="P3541">
        <f>-603.160273301321 -85.7724401071114 -419.114621464336</f>
        <v>-1108.0473348727683</v>
      </c>
      <c r="Q3541">
        <f>-356.464806363803 -8.87345524580365 -448.609750401486</f>
        <v>-813.94801201109271</v>
      </c>
      <c r="R3541" t="s">
        <v>70814</v>
      </c>
      <c r="S3541" t="s">
        <v>70815</v>
      </c>
      <c r="T3541" t="s">
        <v>70816</v>
      </c>
      <c r="U3541" t="s">
        <v>70817</v>
      </c>
      <c r="V3541" t="s">
        <v>70818</v>
      </c>
      <c r="W3541" t="s">
        <v>70819</v>
      </c>
      <c r="X3541" t="s">
        <v>70820</v>
      </c>
      <c r="Y3541" t="s">
        <v>70821</v>
      </c>
    </row>
    <row r="3542" spans="1:25" x14ac:dyDescent="0.3">
      <c r="A3542">
        <v>177050</v>
      </c>
      <c r="B3542" t="s">
        <v>70822</v>
      </c>
      <c r="C3542" t="s">
        <v>70823</v>
      </c>
      <c r="D3542" t="s">
        <v>70824</v>
      </c>
      <c r="E3542" t="s">
        <v>70825</v>
      </c>
      <c r="F3542" t="s">
        <v>70826</v>
      </c>
      <c r="G3542" t="s">
        <v>70827</v>
      </c>
      <c r="H3542" t="s">
        <v>70828</v>
      </c>
      <c r="I3542" t="s">
        <v>70829</v>
      </c>
      <c r="J3542" t="s">
        <v>70830</v>
      </c>
      <c r="K3542" t="s">
        <v>70831</v>
      </c>
      <c r="L3542" t="s">
        <v>70832</v>
      </c>
      <c r="M3542" t="s">
        <v>70833</v>
      </c>
      <c r="N3542" t="s">
        <v>70834</v>
      </c>
      <c r="O3542">
        <f>-576.117682550128 -97.4433287238832 -734.311955344993</f>
        <v>-1407.8729666190043</v>
      </c>
      <c r="P3542">
        <f>-603.739121008091 -85.6516040388692 -419.218059950858</f>
        <v>-1108.6087849978182</v>
      </c>
      <c r="Q3542">
        <f>-357.054534714316 -8.66195495705691 -448.566694078031</f>
        <v>-814.28318374940386</v>
      </c>
      <c r="R3542" t="s">
        <v>70835</v>
      </c>
      <c r="S3542" t="s">
        <v>70836</v>
      </c>
      <c r="T3542" t="s">
        <v>70837</v>
      </c>
      <c r="U3542" t="s">
        <v>70838</v>
      </c>
      <c r="V3542" t="s">
        <v>70839</v>
      </c>
      <c r="W3542" t="s">
        <v>70840</v>
      </c>
      <c r="X3542" t="s">
        <v>70841</v>
      </c>
      <c r="Y3542" t="s">
        <v>70842</v>
      </c>
    </row>
    <row r="3543" spans="1:25" x14ac:dyDescent="0.3">
      <c r="A3543">
        <v>177100</v>
      </c>
      <c r="B3543" t="s">
        <v>70843</v>
      </c>
      <c r="C3543" t="s">
        <v>70844</v>
      </c>
      <c r="D3543" t="s">
        <v>70845</v>
      </c>
      <c r="E3543" t="s">
        <v>70846</v>
      </c>
      <c r="F3543" t="s">
        <v>70847</v>
      </c>
      <c r="G3543" t="s">
        <v>70848</v>
      </c>
      <c r="H3543" t="s">
        <v>70849</v>
      </c>
      <c r="I3543" t="s">
        <v>70850</v>
      </c>
      <c r="J3543" t="s">
        <v>70851</v>
      </c>
      <c r="K3543" t="s">
        <v>70852</v>
      </c>
      <c r="L3543" t="s">
        <v>70853</v>
      </c>
      <c r="M3543" t="s">
        <v>70854</v>
      </c>
      <c r="N3543" t="s">
        <v>70855</v>
      </c>
      <c r="O3543">
        <f>-576.2867109622 -97.5420872134448 -734.348478646084</f>
        <v>-1408.1772768217288</v>
      </c>
      <c r="P3543">
        <f>-604.008358368973 -85.7310467800806 -419.264015721157</f>
        <v>-1109.0034208702107</v>
      </c>
      <c r="Q3543">
        <f>-357.352061866438 -8.62082744531008 -448.534209516189</f>
        <v>-814.50709882793706</v>
      </c>
      <c r="R3543" t="s">
        <v>70856</v>
      </c>
      <c r="S3543" t="s">
        <v>70857</v>
      </c>
      <c r="T3543" t="s">
        <v>70858</v>
      </c>
      <c r="U3543" t="s">
        <v>70859</v>
      </c>
      <c r="V3543" t="s">
        <v>70860</v>
      </c>
      <c r="W3543" t="s">
        <v>70861</v>
      </c>
      <c r="X3543" t="s">
        <v>70862</v>
      </c>
      <c r="Y3543" t="s">
        <v>70863</v>
      </c>
    </row>
    <row r="3544" spans="1:25" x14ac:dyDescent="0.3">
      <c r="A3544">
        <v>177150</v>
      </c>
      <c r="B3544" t="s">
        <v>70864</v>
      </c>
      <c r="C3544" t="s">
        <v>70865</v>
      </c>
      <c r="D3544" t="s">
        <v>70866</v>
      </c>
      <c r="E3544" t="s">
        <v>70867</v>
      </c>
      <c r="F3544" t="s">
        <v>70868</v>
      </c>
      <c r="G3544" t="s">
        <v>70869</v>
      </c>
      <c r="H3544" t="s">
        <v>70870</v>
      </c>
      <c r="I3544" t="s">
        <v>70871</v>
      </c>
      <c r="J3544" t="s">
        <v>70872</v>
      </c>
      <c r="K3544" t="s">
        <v>70873</v>
      </c>
      <c r="L3544" t="s">
        <v>70874</v>
      </c>
      <c r="M3544" t="s">
        <v>70875</v>
      </c>
      <c r="N3544" t="s">
        <v>70876</v>
      </c>
      <c r="O3544">
        <f>-576.504456023325 -97.606682050278 -734.478090988069</f>
        <v>-1408.5892290616721</v>
      </c>
      <c r="P3544">
        <f>-604.338834013014 -86.0481716754373 -419.394276103341</f>
        <v>-1109.7812817917923</v>
      </c>
      <c r="Q3544">
        <f>-357.824520853826 -8.42981259598771 -448.517109932243</f>
        <v>-814.77144338205676</v>
      </c>
      <c r="R3544" t="s">
        <v>70877</v>
      </c>
      <c r="S3544" t="s">
        <v>70878</v>
      </c>
      <c r="T3544" t="s">
        <v>70879</v>
      </c>
      <c r="U3544" t="s">
        <v>70880</v>
      </c>
      <c r="V3544" t="s">
        <v>70881</v>
      </c>
      <c r="W3544" t="s">
        <v>70882</v>
      </c>
      <c r="X3544" t="s">
        <v>70883</v>
      </c>
      <c r="Y3544" t="s">
        <v>70884</v>
      </c>
    </row>
    <row r="3545" spans="1:25" x14ac:dyDescent="0.3">
      <c r="A3545">
        <v>177200</v>
      </c>
      <c r="B3545" t="s">
        <v>70885</v>
      </c>
      <c r="C3545" t="s">
        <v>70886</v>
      </c>
      <c r="D3545" t="s">
        <v>70887</v>
      </c>
      <c r="E3545" t="s">
        <v>70888</v>
      </c>
      <c r="F3545" t="s">
        <v>70889</v>
      </c>
      <c r="G3545" t="s">
        <v>70890</v>
      </c>
      <c r="H3545" t="s">
        <v>70891</v>
      </c>
      <c r="I3545" t="s">
        <v>70892</v>
      </c>
      <c r="J3545" t="s">
        <v>70893</v>
      </c>
      <c r="K3545" t="s">
        <v>70894</v>
      </c>
      <c r="L3545" t="s">
        <v>70895</v>
      </c>
      <c r="M3545" t="s">
        <v>70896</v>
      </c>
      <c r="N3545" t="s">
        <v>70897</v>
      </c>
      <c r="O3545">
        <f>-576.505719491116 -97.4722862817747 -734.553658982659</f>
        <v>-1408.5316647555496</v>
      </c>
      <c r="P3545">
        <f>-604.417435232283 -86.0586883181817 -419.471301506587</f>
        <v>-1109.9474250570515</v>
      </c>
      <c r="Q3545">
        <f>-357.991027028049 -8.13254682507393 -448.515616359282</f>
        <v>-814.63919021240486</v>
      </c>
      <c r="R3545" t="s">
        <v>70898</v>
      </c>
      <c r="S3545" t="s">
        <v>70899</v>
      </c>
      <c r="T3545" t="s">
        <v>70900</v>
      </c>
      <c r="U3545" t="s">
        <v>70901</v>
      </c>
      <c r="V3545" t="s">
        <v>70902</v>
      </c>
      <c r="W3545" t="s">
        <v>70903</v>
      </c>
      <c r="X3545" t="s">
        <v>70904</v>
      </c>
      <c r="Y3545" t="s">
        <v>70905</v>
      </c>
    </row>
    <row r="3546" spans="1:25" x14ac:dyDescent="0.3">
      <c r="A3546">
        <v>177250</v>
      </c>
      <c r="B3546" t="s">
        <v>70906</v>
      </c>
      <c r="C3546" t="s">
        <v>70907</v>
      </c>
      <c r="D3546" t="s">
        <v>70908</v>
      </c>
      <c r="E3546" t="s">
        <v>70909</v>
      </c>
      <c r="F3546" t="s">
        <v>70910</v>
      </c>
      <c r="G3546" t="s">
        <v>70911</v>
      </c>
      <c r="H3546" t="s">
        <v>70912</v>
      </c>
      <c r="I3546" t="s">
        <v>70913</v>
      </c>
      <c r="J3546" t="s">
        <v>70914</v>
      </c>
      <c r="K3546" t="s">
        <v>70915</v>
      </c>
      <c r="L3546" t="s">
        <v>70916</v>
      </c>
      <c r="M3546" t="s">
        <v>70917</v>
      </c>
      <c r="N3546" t="s">
        <v>70918</v>
      </c>
      <c r="O3546">
        <f>-576.721413255974 -97.3577581445138 -734.770798977052</f>
        <v>-1408.8499703775396</v>
      </c>
      <c r="P3546">
        <f>-604.644194417864 -86.482016937641 -419.670403874897</f>
        <v>-1110.796615230402</v>
      </c>
      <c r="Q3546">
        <f>-358.417580400628 -7.89139731795305 -448.619249547264</f>
        <v>-814.92822726584518</v>
      </c>
      <c r="R3546" t="s">
        <v>70919</v>
      </c>
      <c r="S3546" t="s">
        <v>70920</v>
      </c>
      <c r="T3546" t="s">
        <v>70921</v>
      </c>
      <c r="U3546" t="s">
        <v>70922</v>
      </c>
      <c r="V3546" t="s">
        <v>70923</v>
      </c>
      <c r="W3546" t="s">
        <v>70924</v>
      </c>
      <c r="X3546" t="s">
        <v>70925</v>
      </c>
      <c r="Y3546" t="s">
        <v>70926</v>
      </c>
    </row>
    <row r="3547" spans="1:25" x14ac:dyDescent="0.3">
      <c r="A3547">
        <v>177300</v>
      </c>
      <c r="B3547" t="s">
        <v>70927</v>
      </c>
      <c r="C3547" t="s">
        <v>70928</v>
      </c>
      <c r="D3547" t="s">
        <v>70929</v>
      </c>
      <c r="E3547" t="s">
        <v>70930</v>
      </c>
      <c r="F3547" t="s">
        <v>70931</v>
      </c>
      <c r="G3547" t="s">
        <v>70932</v>
      </c>
      <c r="H3547" t="s">
        <v>70933</v>
      </c>
      <c r="I3547" t="s">
        <v>70934</v>
      </c>
      <c r="J3547" t="s">
        <v>70935</v>
      </c>
      <c r="K3547" t="s">
        <v>70936</v>
      </c>
      <c r="L3547" t="s">
        <v>70937</v>
      </c>
      <c r="M3547" t="s">
        <v>70938</v>
      </c>
      <c r="N3547" t="s">
        <v>70939</v>
      </c>
      <c r="O3547">
        <f>-576.747829224065 -97.3415595052368 -734.939370106147</f>
        <v>-1409.0287588354486</v>
      </c>
      <c r="P3547">
        <f>-604.604462535913 -86.6883881995383 -419.825467553014</f>
        <v>-1111.1183182884652</v>
      </c>
      <c r="Q3547">
        <f>-358.497379157226 -7.72073150896757 -448.764679096217</f>
        <v>-814.98278976241056</v>
      </c>
      <c r="R3547" t="s">
        <v>70940</v>
      </c>
      <c r="S3547" t="s">
        <v>70941</v>
      </c>
      <c r="T3547" t="s">
        <v>70942</v>
      </c>
      <c r="U3547" t="s">
        <v>70943</v>
      </c>
      <c r="V3547" t="s">
        <v>70944</v>
      </c>
      <c r="W3547" t="s">
        <v>70945</v>
      </c>
      <c r="X3547" t="s">
        <v>70946</v>
      </c>
      <c r="Y3547" t="s">
        <v>70947</v>
      </c>
    </row>
    <row r="3548" spans="1:25" x14ac:dyDescent="0.3">
      <c r="A3548">
        <v>177350</v>
      </c>
      <c r="B3548" t="s">
        <v>70948</v>
      </c>
      <c r="C3548" t="s">
        <v>70949</v>
      </c>
      <c r="D3548" t="s">
        <v>70950</v>
      </c>
      <c r="E3548" t="s">
        <v>70951</v>
      </c>
      <c r="F3548" t="s">
        <v>70952</v>
      </c>
      <c r="G3548" t="s">
        <v>70953</v>
      </c>
      <c r="H3548" t="s">
        <v>70954</v>
      </c>
      <c r="I3548" t="s">
        <v>70955</v>
      </c>
      <c r="J3548" t="s">
        <v>70956</v>
      </c>
      <c r="K3548" t="s">
        <v>70957</v>
      </c>
      <c r="L3548" t="s">
        <v>70958</v>
      </c>
      <c r="M3548" t="s">
        <v>70959</v>
      </c>
      <c r="N3548" t="s">
        <v>70960</v>
      </c>
      <c r="O3548">
        <f>-577.292099015796 -97.1402054291784 -735.222167684106</f>
        <v>-1409.6544721290804</v>
      </c>
      <c r="P3548">
        <f>-604.93814408201 -87.1566070225379 -420.06787729677</f>
        <v>-1112.1626284013178</v>
      </c>
      <c r="Q3548">
        <f>-359.071440272155 -7.51276430962122 -449.196391233295</f>
        <v>-815.78059581507114</v>
      </c>
      <c r="R3548" t="s">
        <v>70961</v>
      </c>
      <c r="S3548" t="s">
        <v>70962</v>
      </c>
      <c r="T3548" t="s">
        <v>70963</v>
      </c>
      <c r="U3548" t="s">
        <v>70964</v>
      </c>
      <c r="V3548" t="s">
        <v>70965</v>
      </c>
      <c r="W3548" t="s">
        <v>70966</v>
      </c>
      <c r="X3548" t="s">
        <v>70967</v>
      </c>
      <c r="Y3548" t="s">
        <v>70968</v>
      </c>
    </row>
    <row r="3549" spans="1:25" x14ac:dyDescent="0.3">
      <c r="A3549">
        <v>177400</v>
      </c>
      <c r="B3549" t="s">
        <v>70969</v>
      </c>
      <c r="C3549" t="s">
        <v>70970</v>
      </c>
      <c r="D3549" t="s">
        <v>70971</v>
      </c>
      <c r="E3549" t="s">
        <v>70972</v>
      </c>
      <c r="F3549" t="s">
        <v>70973</v>
      </c>
      <c r="G3549" t="s">
        <v>70974</v>
      </c>
      <c r="H3549" t="s">
        <v>70975</v>
      </c>
      <c r="I3549" t="s">
        <v>70976</v>
      </c>
      <c r="J3549" t="s">
        <v>70977</v>
      </c>
      <c r="K3549" t="s">
        <v>70978</v>
      </c>
      <c r="L3549" t="s">
        <v>70979</v>
      </c>
      <c r="M3549" t="s">
        <v>70980</v>
      </c>
      <c r="N3549" t="s">
        <v>70981</v>
      </c>
      <c r="O3549">
        <f>-577.47635753164 -96.7549060490659 -735.406085539142</f>
        <v>-1409.6373491198478</v>
      </c>
      <c r="P3549">
        <f>-605.024938542702 -87.0304854614781 -420.235067214165</f>
        <v>-1112.2904912183451</v>
      </c>
      <c r="Q3549">
        <f>-359.257425504964 -7.09830926438279 -449.411017071764</f>
        <v>-815.76675184111082</v>
      </c>
      <c r="R3549" t="s">
        <v>70982</v>
      </c>
      <c r="S3549" t="s">
        <v>70983</v>
      </c>
      <c r="T3549" t="s">
        <v>70984</v>
      </c>
      <c r="U3549" t="s">
        <v>70985</v>
      </c>
      <c r="V3549" t="s">
        <v>70986</v>
      </c>
      <c r="W3549" t="s">
        <v>70987</v>
      </c>
      <c r="X3549" t="s">
        <v>70988</v>
      </c>
      <c r="Y3549" t="s">
        <v>70989</v>
      </c>
    </row>
    <row r="3550" spans="1:25" x14ac:dyDescent="0.3">
      <c r="A3550">
        <v>177450</v>
      </c>
      <c r="B3550" t="s">
        <v>70990</v>
      </c>
      <c r="C3550" t="s">
        <v>70991</v>
      </c>
      <c r="D3550" t="s">
        <v>70992</v>
      </c>
      <c r="E3550" t="s">
        <v>70993</v>
      </c>
      <c r="F3550" t="s">
        <v>70994</v>
      </c>
      <c r="G3550" t="s">
        <v>70995</v>
      </c>
      <c r="H3550" t="s">
        <v>70996</v>
      </c>
      <c r="I3550" t="s">
        <v>70997</v>
      </c>
      <c r="J3550" t="s">
        <v>70998</v>
      </c>
      <c r="K3550" t="s">
        <v>70999</v>
      </c>
      <c r="L3550" t="s">
        <v>71000</v>
      </c>
      <c r="M3550" t="s">
        <v>71001</v>
      </c>
      <c r="N3550" t="s">
        <v>71002</v>
      </c>
      <c r="O3550">
        <f>-577.819834705331 -96.198674928269 -735.921067654007</f>
        <v>-1409.9395772876069</v>
      </c>
      <c r="P3550">
        <f>-605.385384519118 -87.0167841542836 -420.735478960448</f>
        <v>-1113.1376476338496</v>
      </c>
      <c r="Q3550">
        <f>-359.752705259276 -6.61098978306156 -449.745148753919</f>
        <v>-816.10884379625656</v>
      </c>
      <c r="R3550" t="s">
        <v>71003</v>
      </c>
      <c r="S3550" t="s">
        <v>71004</v>
      </c>
      <c r="T3550" t="s">
        <v>71005</v>
      </c>
      <c r="U3550" t="s">
        <v>71006</v>
      </c>
      <c r="V3550" t="s">
        <v>71007</v>
      </c>
      <c r="W3550" t="s">
        <v>71008</v>
      </c>
      <c r="X3550" t="s">
        <v>71009</v>
      </c>
      <c r="Y3550" t="s">
        <v>71010</v>
      </c>
    </row>
    <row r="3551" spans="1:25" x14ac:dyDescent="0.3">
      <c r="A3551">
        <v>177500</v>
      </c>
      <c r="B3551" t="s">
        <v>71011</v>
      </c>
      <c r="C3551" t="s">
        <v>71012</v>
      </c>
      <c r="D3551" t="s">
        <v>71013</v>
      </c>
      <c r="E3551" t="s">
        <v>71014</v>
      </c>
      <c r="F3551" t="s">
        <v>71015</v>
      </c>
      <c r="G3551" t="s">
        <v>71016</v>
      </c>
      <c r="H3551" t="s">
        <v>71017</v>
      </c>
      <c r="I3551" t="s">
        <v>71018</v>
      </c>
      <c r="J3551" t="s">
        <v>71019</v>
      </c>
      <c r="K3551" t="s">
        <v>71020</v>
      </c>
      <c r="L3551" t="s">
        <v>71021</v>
      </c>
      <c r="M3551" t="s">
        <v>71022</v>
      </c>
      <c r="N3551" t="s">
        <v>71023</v>
      </c>
      <c r="O3551">
        <f>-577.807886575911 -95.8826874367807 -736.224144420694</f>
        <v>-1409.9147184333856</v>
      </c>
      <c r="P3551">
        <f>-605.633116216009 -86.9316518559966 -421.054635837911</f>
        <v>-1113.6194039099166</v>
      </c>
      <c r="Q3551">
        <f>-360.071798840067 -6.19645807474261 -449.751449336375</f>
        <v>-816.01970625118463</v>
      </c>
      <c r="R3551" t="s">
        <v>71024</v>
      </c>
      <c r="S3551" t="s">
        <v>71025</v>
      </c>
      <c r="T3551" t="s">
        <v>71026</v>
      </c>
      <c r="U3551" t="s">
        <v>71027</v>
      </c>
      <c r="V3551" t="s">
        <v>71028</v>
      </c>
      <c r="W3551" t="s">
        <v>71029</v>
      </c>
      <c r="X3551" t="s">
        <v>71030</v>
      </c>
      <c r="Y3551" t="s">
        <v>71031</v>
      </c>
    </row>
    <row r="3552" spans="1:25" x14ac:dyDescent="0.3">
      <c r="A3552">
        <v>177550</v>
      </c>
      <c r="B3552" t="s">
        <v>71032</v>
      </c>
      <c r="C3552" t="s">
        <v>71033</v>
      </c>
      <c r="D3552" t="s">
        <v>71034</v>
      </c>
      <c r="E3552" t="s">
        <v>71035</v>
      </c>
      <c r="F3552" t="s">
        <v>71036</v>
      </c>
      <c r="G3552" t="s">
        <v>71037</v>
      </c>
      <c r="H3552" t="s">
        <v>71038</v>
      </c>
      <c r="I3552" t="s">
        <v>71039</v>
      </c>
      <c r="J3552" t="s">
        <v>71040</v>
      </c>
      <c r="K3552" t="s">
        <v>71041</v>
      </c>
      <c r="L3552" t="s">
        <v>71042</v>
      </c>
      <c r="M3552" t="s">
        <v>71043</v>
      </c>
      <c r="N3552" t="s">
        <v>71044</v>
      </c>
      <c r="O3552">
        <f>-578.122508258452 -95.2145955425897 -736.822527701814</f>
        <v>-1410.1596315028555</v>
      </c>
      <c r="P3552">
        <f>-606.4247013278 -87.1110928302913 -421.672599107729</f>
        <v>-1115.2083932658204</v>
      </c>
      <c r="Q3552">
        <f>-361.058704318585 -5.64464697037718 -449.970399135524</f>
        <v>-816.67375042448612</v>
      </c>
      <c r="R3552" t="s">
        <v>71045</v>
      </c>
      <c r="S3552" t="s">
        <v>71046</v>
      </c>
      <c r="T3552" t="s">
        <v>71047</v>
      </c>
      <c r="U3552" t="s">
        <v>71048</v>
      </c>
      <c r="V3552" t="s">
        <v>71049</v>
      </c>
      <c r="W3552" t="s">
        <v>71050</v>
      </c>
      <c r="X3552" t="s">
        <v>71051</v>
      </c>
      <c r="Y3552" t="s">
        <v>71052</v>
      </c>
    </row>
    <row r="3553" spans="1:25" x14ac:dyDescent="0.3">
      <c r="A3553">
        <v>177600</v>
      </c>
      <c r="B3553" t="s">
        <v>71053</v>
      </c>
      <c r="C3553" t="s">
        <v>71054</v>
      </c>
      <c r="D3553" t="s">
        <v>71055</v>
      </c>
      <c r="E3553" t="s">
        <v>71056</v>
      </c>
      <c r="F3553" t="s">
        <v>71057</v>
      </c>
      <c r="G3553" t="s">
        <v>71058</v>
      </c>
      <c r="H3553" t="s">
        <v>71059</v>
      </c>
      <c r="I3553" t="s">
        <v>71060</v>
      </c>
      <c r="J3553" t="s">
        <v>71061</v>
      </c>
      <c r="K3553" t="s">
        <v>71062</v>
      </c>
      <c r="L3553" t="s">
        <v>71063</v>
      </c>
      <c r="M3553" t="s">
        <v>71064</v>
      </c>
      <c r="N3553" t="s">
        <v>71065</v>
      </c>
      <c r="O3553">
        <f>-578.505924872406 -94.7582519929828 -737.092123606458</f>
        <v>-1410.3563004718467</v>
      </c>
      <c r="P3553">
        <f>-606.786677494304 -87.0527883255498 -421.930172654587</f>
        <v>-1115.7696384744409</v>
      </c>
      <c r="Q3553">
        <f>-361.491564665193 -5.31568641890759 -450.062149132551</f>
        <v>-816.86940021665157</v>
      </c>
      <c r="R3553" t="s">
        <v>71066</v>
      </c>
      <c r="S3553" t="s">
        <v>71067</v>
      </c>
      <c r="T3553" t="s">
        <v>71068</v>
      </c>
      <c r="U3553" t="s">
        <v>71069</v>
      </c>
      <c r="V3553" t="s">
        <v>71070</v>
      </c>
      <c r="W3553" t="s">
        <v>71071</v>
      </c>
      <c r="X3553" t="s">
        <v>71072</v>
      </c>
      <c r="Y3553" t="s">
        <v>71073</v>
      </c>
    </row>
    <row r="3554" spans="1:25" x14ac:dyDescent="0.3">
      <c r="A3554">
        <v>177650</v>
      </c>
      <c r="B3554" t="s">
        <v>71074</v>
      </c>
      <c r="C3554" t="s">
        <v>71075</v>
      </c>
      <c r="D3554" t="s">
        <v>71076</v>
      </c>
      <c r="E3554" t="s">
        <v>71077</v>
      </c>
      <c r="F3554" t="s">
        <v>71078</v>
      </c>
      <c r="G3554" t="s">
        <v>71079</v>
      </c>
      <c r="H3554" t="s">
        <v>71080</v>
      </c>
      <c r="I3554" t="s">
        <v>71081</v>
      </c>
      <c r="J3554" t="s">
        <v>71082</v>
      </c>
      <c r="K3554" t="s">
        <v>71083</v>
      </c>
      <c r="L3554" t="s">
        <v>71084</v>
      </c>
      <c r="M3554" t="s">
        <v>71085</v>
      </c>
      <c r="N3554" t="s">
        <v>71086</v>
      </c>
      <c r="O3554">
        <f>-578.949072379384 -94.4889990313374 -737.58696491134</f>
        <v>-1411.0250363220614</v>
      </c>
      <c r="P3554">
        <f>-607.199942436302 -87.2047400136747 -422.412476704355</f>
        <v>-1116.8171591543316</v>
      </c>
      <c r="Q3554">
        <f>-362.034238004078 -5.01835410244681 -450.363106904614</f>
        <v>-817.41569901113894</v>
      </c>
      <c r="R3554" t="s">
        <v>71087</v>
      </c>
      <c r="S3554" t="s">
        <v>71088</v>
      </c>
      <c r="T3554" t="s">
        <v>71089</v>
      </c>
      <c r="U3554" t="s">
        <v>71090</v>
      </c>
      <c r="V3554" t="s">
        <v>71091</v>
      </c>
      <c r="W3554" t="s">
        <v>71092</v>
      </c>
      <c r="X3554" t="s">
        <v>71093</v>
      </c>
      <c r="Y3554" t="s">
        <v>71094</v>
      </c>
    </row>
    <row r="3555" spans="1:25" x14ac:dyDescent="0.3">
      <c r="A3555">
        <v>177700</v>
      </c>
      <c r="B3555" t="s">
        <v>71095</v>
      </c>
      <c r="C3555" t="s">
        <v>71096</v>
      </c>
      <c r="D3555" t="s">
        <v>71097</v>
      </c>
      <c r="E3555" t="s">
        <v>71098</v>
      </c>
      <c r="F3555" t="s">
        <v>71099</v>
      </c>
      <c r="G3555" t="s">
        <v>71100</v>
      </c>
      <c r="H3555" t="s">
        <v>71101</v>
      </c>
      <c r="I3555" t="s">
        <v>71102</v>
      </c>
      <c r="J3555" t="s">
        <v>71103</v>
      </c>
      <c r="K3555" t="s">
        <v>71104</v>
      </c>
      <c r="L3555" t="s">
        <v>71105</v>
      </c>
      <c r="M3555" t="s">
        <v>71106</v>
      </c>
      <c r="N3555" t="s">
        <v>71107</v>
      </c>
      <c r="O3555">
        <f>-579.206132380316 -94.3991266495707 -737.754406913551</f>
        <v>-1411.3596659434377</v>
      </c>
      <c r="P3555">
        <f>-607.558025681966 -87.3326377191122 -422.583901477462</f>
        <v>-1117.4745648785401</v>
      </c>
      <c r="Q3555">
        <f>-362.451037770069 -4.95036169586312 -450.47250607252</f>
        <v>-817.87390553845216</v>
      </c>
      <c r="R3555" t="s">
        <v>71108</v>
      </c>
      <c r="S3555" t="s">
        <v>71109</v>
      </c>
      <c r="T3555" t="s">
        <v>71110</v>
      </c>
      <c r="U3555" t="s">
        <v>71111</v>
      </c>
      <c r="V3555" t="s">
        <v>71112</v>
      </c>
      <c r="W3555" t="s">
        <v>71113</v>
      </c>
      <c r="X3555" t="s">
        <v>71114</v>
      </c>
      <c r="Y3555" t="s">
        <v>71115</v>
      </c>
    </row>
    <row r="3556" spans="1:25" x14ac:dyDescent="0.3">
      <c r="A3556">
        <v>177750</v>
      </c>
      <c r="B3556" t="s">
        <v>71116</v>
      </c>
      <c r="C3556" t="s">
        <v>71117</v>
      </c>
      <c r="D3556" t="s">
        <v>71118</v>
      </c>
      <c r="E3556" t="s">
        <v>71119</v>
      </c>
      <c r="F3556" t="s">
        <v>71120</v>
      </c>
      <c r="G3556" t="s">
        <v>71121</v>
      </c>
      <c r="H3556" t="s">
        <v>71122</v>
      </c>
      <c r="I3556" t="s">
        <v>71123</v>
      </c>
      <c r="J3556" t="s">
        <v>71124</v>
      </c>
      <c r="K3556" t="s">
        <v>71125</v>
      </c>
      <c r="L3556" t="s">
        <v>71126</v>
      </c>
      <c r="M3556" t="s">
        <v>71127</v>
      </c>
      <c r="N3556" t="s">
        <v>71128</v>
      </c>
      <c r="O3556">
        <f>-579.629101981632 -94.2802691685864 -738.1820145094</f>
        <v>-1412.0913856596185</v>
      </c>
      <c r="P3556">
        <f>-608.157592188778 -87.6672033953797 -423.017605881558</f>
        <v>-1118.8424014657157</v>
      </c>
      <c r="Q3556">
        <f>-363.190689474708 -4.81541556926943 -450.745633546066</f>
        <v>-818.75173859004349</v>
      </c>
      <c r="R3556" t="s">
        <v>71129</v>
      </c>
      <c r="S3556" t="s">
        <v>71130</v>
      </c>
      <c r="T3556" t="s">
        <v>71131</v>
      </c>
      <c r="U3556" t="s">
        <v>71132</v>
      </c>
      <c r="V3556" t="s">
        <v>71133</v>
      </c>
      <c r="W3556" t="s">
        <v>71134</v>
      </c>
      <c r="X3556" t="s">
        <v>71135</v>
      </c>
      <c r="Y3556" t="s">
        <v>71136</v>
      </c>
    </row>
    <row r="3557" spans="1:25" x14ac:dyDescent="0.3">
      <c r="A3557">
        <v>177800</v>
      </c>
      <c r="B3557" t="s">
        <v>71137</v>
      </c>
      <c r="C3557" t="s">
        <v>71138</v>
      </c>
      <c r="D3557" t="s">
        <v>71139</v>
      </c>
      <c r="E3557" t="s">
        <v>71140</v>
      </c>
      <c r="F3557" t="s">
        <v>71141</v>
      </c>
      <c r="G3557" t="s">
        <v>71142</v>
      </c>
      <c r="H3557" t="s">
        <v>71143</v>
      </c>
      <c r="I3557" t="s">
        <v>71144</v>
      </c>
      <c r="J3557" t="s">
        <v>71145</v>
      </c>
      <c r="K3557" t="s">
        <v>71146</v>
      </c>
      <c r="L3557" t="s">
        <v>71147</v>
      </c>
      <c r="M3557" t="s">
        <v>71148</v>
      </c>
      <c r="N3557" t="s">
        <v>71149</v>
      </c>
      <c r="O3557">
        <f>-579.732949391794 -94.1507388682993 -738.392188261902</f>
        <v>-1412.2758765219953</v>
      </c>
      <c r="P3557">
        <f>-608.324579661754 -87.6898998164621 -423.230409854812</f>
        <v>-1119.2448893330281</v>
      </c>
      <c r="Q3557">
        <f>-363.428697868489 -4.58419754976869 -450.825922491758</f>
        <v>-818.83881791001568</v>
      </c>
      <c r="R3557" t="s">
        <v>71150</v>
      </c>
      <c r="S3557" t="s">
        <v>71151</v>
      </c>
      <c r="T3557" t="s">
        <v>71152</v>
      </c>
      <c r="U3557" t="s">
        <v>71153</v>
      </c>
      <c r="V3557" t="s">
        <v>71154</v>
      </c>
      <c r="W3557" t="s">
        <v>71155</v>
      </c>
      <c r="X3557" t="s">
        <v>71156</v>
      </c>
      <c r="Y3557" t="s">
        <v>71157</v>
      </c>
    </row>
    <row r="3558" spans="1:25" x14ac:dyDescent="0.3">
      <c r="A3558">
        <v>177850</v>
      </c>
      <c r="B3558" t="s">
        <v>71158</v>
      </c>
      <c r="C3558" t="s">
        <v>71159</v>
      </c>
      <c r="D3558" t="s">
        <v>71160</v>
      </c>
      <c r="E3558" t="s">
        <v>71161</v>
      </c>
      <c r="F3558" t="s">
        <v>71162</v>
      </c>
      <c r="G3558" t="s">
        <v>71163</v>
      </c>
      <c r="H3558" t="s">
        <v>71164</v>
      </c>
      <c r="I3558" t="s">
        <v>71165</v>
      </c>
      <c r="J3558" t="s">
        <v>71166</v>
      </c>
      <c r="K3558" t="s">
        <v>71167</v>
      </c>
      <c r="L3558" t="s">
        <v>71168</v>
      </c>
      <c r="M3558" t="s">
        <v>71169</v>
      </c>
      <c r="N3558" t="s">
        <v>71170</v>
      </c>
      <c r="O3558">
        <f>-580.09983853605 -94.0171444197761 -738.641287094571</f>
        <v>-1412.7582700503972</v>
      </c>
      <c r="P3558">
        <f>-608.764268901226 -87.8134809772454 -423.480827683948</f>
        <v>-1120.0585775624195</v>
      </c>
      <c r="Q3558">
        <f>-363.882730378373 -4.48706854719612 -450.53300029331</f>
        <v>-818.90279921887918</v>
      </c>
      <c r="R3558" t="s">
        <v>71171</v>
      </c>
      <c r="S3558" t="s">
        <v>71172</v>
      </c>
      <c r="T3558" t="s">
        <v>71173</v>
      </c>
      <c r="U3558" t="s">
        <v>71174</v>
      </c>
      <c r="V3558" t="s">
        <v>71175</v>
      </c>
      <c r="W3558" t="s">
        <v>71176</v>
      </c>
      <c r="X3558" t="s">
        <v>71177</v>
      </c>
      <c r="Y3558" t="s">
        <v>71178</v>
      </c>
    </row>
    <row r="3559" spans="1:25" x14ac:dyDescent="0.3">
      <c r="A3559">
        <v>177900</v>
      </c>
      <c r="B3559" t="s">
        <v>71179</v>
      </c>
      <c r="C3559" t="s">
        <v>71180</v>
      </c>
      <c r="D3559" t="s">
        <v>71181</v>
      </c>
      <c r="E3559" t="s">
        <v>71182</v>
      </c>
      <c r="F3559" t="s">
        <v>71183</v>
      </c>
      <c r="G3559" t="s">
        <v>71184</v>
      </c>
      <c r="H3559" t="s">
        <v>71185</v>
      </c>
      <c r="I3559" t="s">
        <v>71186</v>
      </c>
      <c r="J3559" t="s">
        <v>71187</v>
      </c>
      <c r="K3559" t="s">
        <v>71188</v>
      </c>
      <c r="L3559" t="s">
        <v>71189</v>
      </c>
      <c r="M3559" t="s">
        <v>71190</v>
      </c>
      <c r="N3559" t="s">
        <v>71191</v>
      </c>
      <c r="O3559">
        <f>-580.160290810363 -94.0602627437827 -738.726947831418</f>
        <v>-1412.9475013855636</v>
      </c>
      <c r="P3559">
        <f>-608.705350157591 -87.7136103464022 -423.558633208659</f>
        <v>-1119.9775937126524</v>
      </c>
      <c r="Q3559">
        <f>-363.798344824676 -4.24512172902327 -449.933148855451</f>
        <v>-817.97661540915033</v>
      </c>
      <c r="R3559" t="s">
        <v>71192</v>
      </c>
      <c r="S3559" t="s">
        <v>71193</v>
      </c>
      <c r="T3559" t="s">
        <v>71194</v>
      </c>
      <c r="U3559" t="s">
        <v>71195</v>
      </c>
      <c r="V3559" t="s">
        <v>71196</v>
      </c>
      <c r="W3559" t="s">
        <v>71197</v>
      </c>
      <c r="X3559" t="s">
        <v>71198</v>
      </c>
      <c r="Y3559" t="s">
        <v>71199</v>
      </c>
    </row>
    <row r="3560" spans="1:25" x14ac:dyDescent="0.3">
      <c r="A3560">
        <v>177950</v>
      </c>
      <c r="B3560" t="s">
        <v>71200</v>
      </c>
      <c r="C3560" t="s">
        <v>71201</v>
      </c>
      <c r="D3560" t="s">
        <v>71202</v>
      </c>
      <c r="E3560" t="s">
        <v>71203</v>
      </c>
      <c r="F3560" t="s">
        <v>71204</v>
      </c>
      <c r="G3560" t="s">
        <v>71205</v>
      </c>
      <c r="H3560" t="s">
        <v>71206</v>
      </c>
      <c r="I3560" t="s">
        <v>71207</v>
      </c>
      <c r="J3560" t="s">
        <v>71208</v>
      </c>
      <c r="K3560" t="s">
        <v>71209</v>
      </c>
      <c r="L3560" t="s">
        <v>71210</v>
      </c>
      <c r="M3560" t="s">
        <v>71211</v>
      </c>
      <c r="N3560" t="s">
        <v>71212</v>
      </c>
      <c r="O3560">
        <f>-580.199567420688 -94.289052810829 -738.74491509547</f>
        <v>-1413.2335353269871</v>
      </c>
      <c r="P3560">
        <f>-608.945509900602 -86.9171897903651 -423.617212285574</f>
        <v>-1119.4799119765412</v>
      </c>
      <c r="Q3560">
        <f>-363.886155258575 -3.29520048847144 -448.016576664</f>
        <v>-815.19793241104639</v>
      </c>
      <c r="R3560" t="s">
        <v>71213</v>
      </c>
      <c r="S3560" t="s">
        <v>71214</v>
      </c>
      <c r="T3560" t="s">
        <v>71215</v>
      </c>
      <c r="U3560" t="s">
        <v>71216</v>
      </c>
      <c r="V3560" t="s">
        <v>71217</v>
      </c>
      <c r="W3560" t="s">
        <v>71218</v>
      </c>
      <c r="X3560" t="s">
        <v>71219</v>
      </c>
      <c r="Y3560" t="s">
        <v>71220</v>
      </c>
    </row>
    <row r="3561" spans="1:25" x14ac:dyDescent="0.3">
      <c r="A3561">
        <v>178000</v>
      </c>
      <c r="B3561" t="s">
        <v>71221</v>
      </c>
      <c r="C3561" t="s">
        <v>71222</v>
      </c>
      <c r="D3561" t="s">
        <v>71223</v>
      </c>
      <c r="E3561" t="s">
        <v>71224</v>
      </c>
      <c r="F3561" t="s">
        <v>71225</v>
      </c>
      <c r="G3561" t="s">
        <v>71226</v>
      </c>
      <c r="H3561" t="s">
        <v>71227</v>
      </c>
      <c r="I3561" t="s">
        <v>71228</v>
      </c>
      <c r="J3561" t="s">
        <v>71229</v>
      </c>
      <c r="K3561" t="s">
        <v>71230</v>
      </c>
      <c r="L3561" t="s">
        <v>71231</v>
      </c>
      <c r="M3561" t="s">
        <v>71232</v>
      </c>
      <c r="N3561" t="s">
        <v>71233</v>
      </c>
      <c r="O3561">
        <f>-580.072541271982 -94.6186329985872 -738.709785185467</f>
        <v>-1413.4009594560362</v>
      </c>
      <c r="P3561">
        <f>-608.976737362951 -86.6259919186096 -423.611744874155</f>
        <v>-1119.2144741557156</v>
      </c>
      <c r="Q3561">
        <f>-363.681847842082 -3.23551381559282 -446.382691435246</f>
        <v>-813.30005309292073</v>
      </c>
      <c r="R3561" t="s">
        <v>71234</v>
      </c>
      <c r="S3561" t="s">
        <v>71235</v>
      </c>
      <c r="T3561" t="s">
        <v>71236</v>
      </c>
      <c r="U3561" t="s">
        <v>71237</v>
      </c>
      <c r="V3561" t="s">
        <v>71238</v>
      </c>
      <c r="W3561" t="s">
        <v>71239</v>
      </c>
      <c r="X3561" t="s">
        <v>71240</v>
      </c>
      <c r="Y3561" t="s">
        <v>71241</v>
      </c>
    </row>
    <row r="3562" spans="1:25" x14ac:dyDescent="0.3">
      <c r="A3562">
        <v>178050</v>
      </c>
      <c r="B3562" t="s">
        <v>71242</v>
      </c>
      <c r="C3562" t="s">
        <v>71243</v>
      </c>
      <c r="D3562" t="s">
        <v>71244</v>
      </c>
      <c r="E3562" t="s">
        <v>71245</v>
      </c>
      <c r="F3562" t="s">
        <v>71246</v>
      </c>
      <c r="G3562" t="s">
        <v>71247</v>
      </c>
      <c r="H3562" t="s">
        <v>71248</v>
      </c>
      <c r="I3562" t="s">
        <v>71249</v>
      </c>
      <c r="J3562" t="s">
        <v>71250</v>
      </c>
      <c r="K3562" t="s">
        <v>71251</v>
      </c>
      <c r="L3562" t="s">
        <v>71252</v>
      </c>
      <c r="M3562" t="s">
        <v>71253</v>
      </c>
      <c r="N3562" t="s">
        <v>71254</v>
      </c>
      <c r="O3562">
        <f>-579.660223283352 -95.0612492232481 -738.431881969213</f>
        <v>-1413.1533544758131</v>
      </c>
      <c r="P3562">
        <f>-609.610677850364 -86.0350025533049 -423.459358284333</f>
        <v>-1119.105038688002</v>
      </c>
      <c r="Q3562">
        <f>-364.201762323501 -2.88211131676715 -445.867688214793</f>
        <v>-812.95156185506107</v>
      </c>
      <c r="R3562" t="s">
        <v>71255</v>
      </c>
      <c r="S3562" t="s">
        <v>71256</v>
      </c>
      <c r="T3562" t="s">
        <v>71257</v>
      </c>
      <c r="U3562" t="s">
        <v>71258</v>
      </c>
      <c r="V3562" t="s">
        <v>71259</v>
      </c>
      <c r="W3562" t="s">
        <v>71260</v>
      </c>
      <c r="X3562" t="s">
        <v>71261</v>
      </c>
      <c r="Y3562" t="s">
        <v>71262</v>
      </c>
    </row>
    <row r="3563" spans="1:25" x14ac:dyDescent="0.3">
      <c r="A3563">
        <v>178100</v>
      </c>
      <c r="B3563" t="s">
        <v>71263</v>
      </c>
      <c r="C3563" t="s">
        <v>71264</v>
      </c>
      <c r="D3563" t="s">
        <v>71265</v>
      </c>
      <c r="E3563" t="s">
        <v>71266</v>
      </c>
      <c r="F3563" t="s">
        <v>71267</v>
      </c>
      <c r="G3563" t="s">
        <v>71268</v>
      </c>
      <c r="H3563" t="s">
        <v>71269</v>
      </c>
      <c r="I3563" t="s">
        <v>71270</v>
      </c>
      <c r="J3563" t="s">
        <v>71271</v>
      </c>
      <c r="K3563" t="s">
        <v>71272</v>
      </c>
      <c r="L3563" t="s">
        <v>71273</v>
      </c>
      <c r="M3563" t="s">
        <v>71274</v>
      </c>
      <c r="N3563" t="s">
        <v>71275</v>
      </c>
      <c r="O3563">
        <f>-579.546790380719 -95.2141318963216 -738.386173276887</f>
        <v>-1413.1470955539276</v>
      </c>
      <c r="P3563">
        <f>-609.390209590101 -86.5414881786483 -423.393484799679</f>
        <v>-1119.3251825684283</v>
      </c>
      <c r="Q3563">
        <f>-364.062736938376 -3.43335578906198 -446.834827747944</f>
        <v>-814.33092047538207</v>
      </c>
      <c r="R3563" t="s">
        <v>71276</v>
      </c>
      <c r="S3563" t="s">
        <v>71277</v>
      </c>
      <c r="T3563" t="s">
        <v>71278</v>
      </c>
      <c r="U3563" t="s">
        <v>71279</v>
      </c>
      <c r="V3563" t="s">
        <v>71280</v>
      </c>
      <c r="W3563" t="s">
        <v>71281</v>
      </c>
      <c r="X3563" t="s">
        <v>71282</v>
      </c>
      <c r="Y3563" t="s">
        <v>71283</v>
      </c>
    </row>
    <row r="3564" spans="1:25" x14ac:dyDescent="0.3">
      <c r="A3564">
        <v>178150</v>
      </c>
      <c r="B3564" t="s">
        <v>71284</v>
      </c>
      <c r="C3564" t="s">
        <v>71285</v>
      </c>
      <c r="D3564" t="s">
        <v>71286</v>
      </c>
      <c r="E3564" t="s">
        <v>71287</v>
      </c>
      <c r="F3564" t="s">
        <v>71288</v>
      </c>
      <c r="G3564" t="s">
        <v>71289</v>
      </c>
      <c r="H3564" t="s">
        <v>71290</v>
      </c>
      <c r="I3564" t="s">
        <v>71291</v>
      </c>
      <c r="J3564" t="s">
        <v>71292</v>
      </c>
      <c r="K3564" t="s">
        <v>71293</v>
      </c>
      <c r="L3564" t="s">
        <v>71294</v>
      </c>
      <c r="M3564" t="s">
        <v>71295</v>
      </c>
      <c r="N3564" t="s">
        <v>71296</v>
      </c>
      <c r="O3564">
        <f>-580.141177647494 -95.6698744823233 -738.324343846779</f>
        <v>-1414.1353959765963</v>
      </c>
      <c r="P3564">
        <f>-608.988355400436 -88.0426403292138 -423.211922457623</f>
        <v>-1120.2429181872728</v>
      </c>
      <c r="Q3564">
        <f>-364.024520653078 -4.79615163881848 -449.759800494023</f>
        <v>-818.58047278591948</v>
      </c>
      <c r="R3564" t="s">
        <v>71297</v>
      </c>
      <c r="S3564" t="s">
        <v>71298</v>
      </c>
      <c r="T3564" t="s">
        <v>71299</v>
      </c>
      <c r="U3564" t="s">
        <v>71300</v>
      </c>
      <c r="V3564" t="s">
        <v>71301</v>
      </c>
      <c r="W3564" t="s">
        <v>71302</v>
      </c>
      <c r="X3564" t="s">
        <v>71303</v>
      </c>
      <c r="Y3564" t="s">
        <v>71304</v>
      </c>
    </row>
    <row r="3565" spans="1:25" x14ac:dyDescent="0.3">
      <c r="A3565">
        <v>178200</v>
      </c>
      <c r="B3565" t="s">
        <v>71305</v>
      </c>
      <c r="C3565" t="s">
        <v>71306</v>
      </c>
      <c r="D3565" t="s">
        <v>71307</v>
      </c>
      <c r="E3565" t="s">
        <v>71308</v>
      </c>
      <c r="F3565" t="s">
        <v>71309</v>
      </c>
      <c r="G3565" t="s">
        <v>71310</v>
      </c>
      <c r="H3565" t="s">
        <v>71311</v>
      </c>
      <c r="I3565" t="s">
        <v>71312</v>
      </c>
      <c r="J3565" t="s">
        <v>71313</v>
      </c>
      <c r="K3565" t="s">
        <v>71314</v>
      </c>
      <c r="L3565" t="s">
        <v>71315</v>
      </c>
      <c r="M3565" t="s">
        <v>71316</v>
      </c>
      <c r="N3565" t="s">
        <v>71317</v>
      </c>
      <c r="O3565">
        <f>-580.381515515221 -95.8666789081994 -738.234900372645</f>
        <v>-1414.4830947960654</v>
      </c>
      <c r="P3565">
        <f>-608.183360294263 -88.6228303656005 -423.019401104425</f>
        <v>-1119.8255917642887</v>
      </c>
      <c r="Q3565">
        <f>-363.308867146988 -5.45633329119499 -450.621270837754</f>
        <v>-819.38647127593708</v>
      </c>
      <c r="R3565" t="s">
        <v>71318</v>
      </c>
      <c r="S3565" t="s">
        <v>71319</v>
      </c>
      <c r="T3565" t="s">
        <v>71320</v>
      </c>
      <c r="U3565" t="s">
        <v>71321</v>
      </c>
      <c r="V3565" t="s">
        <v>71322</v>
      </c>
      <c r="W3565" t="s">
        <v>71323</v>
      </c>
      <c r="X3565" t="s">
        <v>71324</v>
      </c>
      <c r="Y3565" t="s">
        <v>71325</v>
      </c>
    </row>
    <row r="3566" spans="1:25" x14ac:dyDescent="0.3">
      <c r="A3566">
        <v>178250</v>
      </c>
      <c r="B3566" t="s">
        <v>71326</v>
      </c>
      <c r="C3566" t="s">
        <v>71327</v>
      </c>
      <c r="D3566" t="s">
        <v>71328</v>
      </c>
      <c r="E3566" t="s">
        <v>71329</v>
      </c>
      <c r="F3566" t="s">
        <v>71330</v>
      </c>
      <c r="G3566" t="s">
        <v>71331</v>
      </c>
      <c r="H3566" t="s">
        <v>71332</v>
      </c>
      <c r="I3566" t="s">
        <v>71333</v>
      </c>
      <c r="J3566" t="s">
        <v>71334</v>
      </c>
      <c r="K3566" t="s">
        <v>71335</v>
      </c>
      <c r="L3566" t="s">
        <v>71336</v>
      </c>
      <c r="M3566" t="s">
        <v>71337</v>
      </c>
      <c r="N3566" t="s">
        <v>71338</v>
      </c>
      <c r="O3566">
        <f>-580.392825611379 -95.8264328266473 -738.193946071451</f>
        <v>-1414.4132045094773</v>
      </c>
      <c r="P3566">
        <f>-606.5440680829 -89.2830559450461 -422.821944670858</f>
        <v>-1118.6490686988041</v>
      </c>
      <c r="Q3566">
        <f>-361.885735041335 -5.82829498330326 -451.451697206556</f>
        <v>-819.1657272311943</v>
      </c>
      <c r="R3566" t="s">
        <v>71339</v>
      </c>
      <c r="S3566" t="s">
        <v>71340</v>
      </c>
      <c r="T3566" t="s">
        <v>71341</v>
      </c>
      <c r="U3566" t="s">
        <v>71342</v>
      </c>
      <c r="V3566" t="s">
        <v>71343</v>
      </c>
      <c r="W3566" t="s">
        <v>71344</v>
      </c>
      <c r="X3566" t="s">
        <v>71345</v>
      </c>
      <c r="Y3566" t="s">
        <v>71346</v>
      </c>
    </row>
    <row r="3567" spans="1:25" x14ac:dyDescent="0.3">
      <c r="A3567">
        <v>178300</v>
      </c>
      <c r="B3567" t="s">
        <v>71347</v>
      </c>
      <c r="C3567" t="s">
        <v>71348</v>
      </c>
      <c r="D3567" t="s">
        <v>71349</v>
      </c>
      <c r="E3567" t="s">
        <v>71350</v>
      </c>
      <c r="F3567" t="s">
        <v>71351</v>
      </c>
      <c r="G3567" t="s">
        <v>71352</v>
      </c>
      <c r="H3567" t="s">
        <v>71353</v>
      </c>
      <c r="I3567" t="s">
        <v>71354</v>
      </c>
      <c r="J3567" t="s">
        <v>71355</v>
      </c>
      <c r="K3567" t="s">
        <v>71356</v>
      </c>
      <c r="L3567" t="s">
        <v>71357</v>
      </c>
      <c r="M3567" t="s">
        <v>71358</v>
      </c>
      <c r="N3567" t="s">
        <v>71359</v>
      </c>
      <c r="O3567">
        <f>-580.14060222202 -95.766731655165 -738.317723115747</f>
        <v>-1414.225056992932</v>
      </c>
      <c r="P3567">
        <f>-605.743381594792 -89.3932982435054 -422.897203477495</f>
        <v>-1118.0338833157923</v>
      </c>
      <c r="Q3567">
        <f>-361.208430045948 -5.61197125317591 -451.627384433107</f>
        <v>-818.44778573223084</v>
      </c>
      <c r="R3567" t="s">
        <v>71360</v>
      </c>
      <c r="S3567" t="s">
        <v>71361</v>
      </c>
      <c r="T3567" t="s">
        <v>71362</v>
      </c>
      <c r="U3567" t="s">
        <v>71363</v>
      </c>
      <c r="V3567" t="s">
        <v>71364</v>
      </c>
      <c r="W3567" t="s">
        <v>71365</v>
      </c>
      <c r="X3567" t="s">
        <v>71366</v>
      </c>
      <c r="Y3567" t="s">
        <v>71367</v>
      </c>
    </row>
    <row r="3568" spans="1:25" x14ac:dyDescent="0.3">
      <c r="A3568">
        <v>178350</v>
      </c>
      <c r="B3568" t="s">
        <v>71368</v>
      </c>
      <c r="C3568" t="s">
        <v>71369</v>
      </c>
      <c r="D3568" t="s">
        <v>71370</v>
      </c>
      <c r="E3568" t="s">
        <v>71371</v>
      </c>
      <c r="F3568" t="s">
        <v>71372</v>
      </c>
      <c r="G3568" t="s">
        <v>71373</v>
      </c>
      <c r="H3568" t="s">
        <v>71374</v>
      </c>
      <c r="I3568" t="s">
        <v>71375</v>
      </c>
      <c r="J3568" t="s">
        <v>71376</v>
      </c>
      <c r="K3568" t="s">
        <v>71377</v>
      </c>
      <c r="L3568" t="s">
        <v>71378</v>
      </c>
      <c r="M3568" t="s">
        <v>71379</v>
      </c>
      <c r="N3568" t="s">
        <v>71380</v>
      </c>
      <c r="O3568">
        <f>-579.451380554459 -95.7502107051922 -738.445208258817</f>
        <v>-1413.6467995184682</v>
      </c>
      <c r="P3568">
        <f>-604.768477035019 -89.7484667455376 -422.994441133841</f>
        <v>-1117.5113849143977</v>
      </c>
      <c r="Q3568">
        <f>-360.281798404487 -5.97313295621326 -452.1494456138</f>
        <v>-818.40437697450034</v>
      </c>
      <c r="R3568" t="s">
        <v>71381</v>
      </c>
      <c r="S3568" t="s">
        <v>71382</v>
      </c>
      <c r="T3568" t="s">
        <v>71383</v>
      </c>
      <c r="U3568" t="s">
        <v>71384</v>
      </c>
      <c r="V3568" t="s">
        <v>71385</v>
      </c>
      <c r="W3568" t="s">
        <v>71386</v>
      </c>
      <c r="X3568" t="s">
        <v>71387</v>
      </c>
      <c r="Y3568" t="s">
        <v>71388</v>
      </c>
    </row>
    <row r="3569" spans="1:25" x14ac:dyDescent="0.3">
      <c r="A3569">
        <v>178400</v>
      </c>
      <c r="B3569" t="s">
        <v>71389</v>
      </c>
      <c r="C3569" t="s">
        <v>71390</v>
      </c>
      <c r="D3569" t="s">
        <v>71391</v>
      </c>
      <c r="E3569" t="s">
        <v>71392</v>
      </c>
      <c r="F3569" t="s">
        <v>71393</v>
      </c>
      <c r="G3569" t="s">
        <v>71394</v>
      </c>
      <c r="H3569" t="s">
        <v>71395</v>
      </c>
      <c r="I3569" t="s">
        <v>71396</v>
      </c>
      <c r="J3569" t="s">
        <v>71397</v>
      </c>
      <c r="K3569" t="s">
        <v>71398</v>
      </c>
      <c r="L3569" t="s">
        <v>71399</v>
      </c>
      <c r="M3569" t="s">
        <v>71400</v>
      </c>
      <c r="N3569" t="s">
        <v>71401</v>
      </c>
      <c r="O3569">
        <f>-579.197456432218 -95.6451070849033 -738.432821482224</f>
        <v>-1413.2753849993453</v>
      </c>
      <c r="P3569">
        <f>-604.293726249921 -89.5752925940676 -422.965774296608</f>
        <v>-1116.8347931405965</v>
      </c>
      <c r="Q3569">
        <f>-359.814097940648 -5.91258387338752 -452.500576565439</f>
        <v>-818.22725837947451</v>
      </c>
      <c r="R3569" t="s">
        <v>71402</v>
      </c>
      <c r="S3569" t="s">
        <v>71403</v>
      </c>
      <c r="T3569" t="s">
        <v>71404</v>
      </c>
      <c r="U3569" t="s">
        <v>71405</v>
      </c>
      <c r="V3569" t="s">
        <v>71406</v>
      </c>
      <c r="W3569" t="s">
        <v>71407</v>
      </c>
      <c r="X3569" t="s">
        <v>71408</v>
      </c>
      <c r="Y3569" t="s">
        <v>71409</v>
      </c>
    </row>
    <row r="3570" spans="1:25" x14ac:dyDescent="0.3">
      <c r="A3570">
        <v>178450</v>
      </c>
      <c r="B3570" t="s">
        <v>71410</v>
      </c>
      <c r="C3570" t="s">
        <v>71411</v>
      </c>
      <c r="D3570" t="s">
        <v>71412</v>
      </c>
      <c r="E3570" t="s">
        <v>71413</v>
      </c>
      <c r="F3570" t="s">
        <v>71414</v>
      </c>
      <c r="G3570" t="s">
        <v>71415</v>
      </c>
      <c r="H3570" t="s">
        <v>71416</v>
      </c>
      <c r="I3570" t="s">
        <v>71417</v>
      </c>
      <c r="J3570" t="s">
        <v>71418</v>
      </c>
      <c r="K3570" t="s">
        <v>71419</v>
      </c>
      <c r="L3570" t="s">
        <v>71420</v>
      </c>
      <c r="M3570" t="s">
        <v>71421</v>
      </c>
      <c r="N3570" t="s">
        <v>71422</v>
      </c>
      <c r="O3570">
        <f>-578.632765993182 -95.9268848411852 -738.144986516912</f>
        <v>-1412.7046373512792</v>
      </c>
      <c r="P3570">
        <f>-603.256679446437 -89.9963198942933 -422.637896440671</f>
        <v>-1115.8908957814012</v>
      </c>
      <c r="Q3570">
        <f>-358.827920237542 -6.51226593146516 -453.085728718988</f>
        <v>-818.42591488799508</v>
      </c>
      <c r="R3570" t="s">
        <v>71423</v>
      </c>
      <c r="S3570" t="s">
        <v>71424</v>
      </c>
      <c r="T3570" t="s">
        <v>71425</v>
      </c>
      <c r="U3570" t="s">
        <v>71426</v>
      </c>
      <c r="V3570" t="s">
        <v>71427</v>
      </c>
      <c r="W3570" t="s">
        <v>71428</v>
      </c>
      <c r="X3570" t="s">
        <v>71429</v>
      </c>
      <c r="Y3570" t="s">
        <v>71430</v>
      </c>
    </row>
    <row r="3571" spans="1:25" x14ac:dyDescent="0.3">
      <c r="A3571">
        <v>178500</v>
      </c>
      <c r="B3571" t="s">
        <v>71431</v>
      </c>
      <c r="C3571" t="s">
        <v>71432</v>
      </c>
      <c r="D3571" t="s">
        <v>71433</v>
      </c>
      <c r="E3571" t="s">
        <v>71434</v>
      </c>
      <c r="F3571" t="s">
        <v>71435</v>
      </c>
      <c r="G3571" t="s">
        <v>71436</v>
      </c>
      <c r="H3571" t="s">
        <v>71437</v>
      </c>
      <c r="I3571" t="s">
        <v>71438</v>
      </c>
      <c r="J3571" t="s">
        <v>71439</v>
      </c>
      <c r="K3571" t="s">
        <v>71440</v>
      </c>
      <c r="L3571" t="s">
        <v>71441</v>
      </c>
      <c r="M3571" t="s">
        <v>71442</v>
      </c>
      <c r="N3571" t="s">
        <v>71443</v>
      </c>
      <c r="O3571">
        <f>-578.587968282442 -96.1716972756143 -737.880696123295</f>
        <v>-1412.6403616813514</v>
      </c>
      <c r="P3571">
        <f>-602.785299872346 -90.0022601586928 -422.345226445358</f>
        <v>-1115.1327864763966</v>
      </c>
      <c r="Q3571">
        <f>-358.315129051049 -6.93983672454763 -453.602582219265</f>
        <v>-818.85754799486153</v>
      </c>
      <c r="R3571" t="s">
        <v>71444</v>
      </c>
      <c r="S3571" t="s">
        <v>71445</v>
      </c>
      <c r="T3571" t="s">
        <v>71446</v>
      </c>
      <c r="U3571" t="s">
        <v>71447</v>
      </c>
      <c r="V3571" t="s">
        <v>71448</v>
      </c>
      <c r="W3571" t="s">
        <v>71449</v>
      </c>
      <c r="X3571" t="s">
        <v>71450</v>
      </c>
      <c r="Y3571" t="s">
        <v>71451</v>
      </c>
    </row>
    <row r="3572" spans="1:25" x14ac:dyDescent="0.3">
      <c r="A3572">
        <v>178550</v>
      </c>
      <c r="B3572" t="s">
        <v>71452</v>
      </c>
      <c r="C3572" t="s">
        <v>71453</v>
      </c>
      <c r="D3572" t="s">
        <v>71454</v>
      </c>
      <c r="E3572" t="s">
        <v>71455</v>
      </c>
      <c r="F3572" t="s">
        <v>71456</v>
      </c>
      <c r="G3572" t="s">
        <v>71457</v>
      </c>
      <c r="H3572" t="s">
        <v>71458</v>
      </c>
      <c r="I3572" t="s">
        <v>71459</v>
      </c>
      <c r="J3572" t="s">
        <v>71460</v>
      </c>
      <c r="K3572" t="s">
        <v>71461</v>
      </c>
      <c r="L3572" t="s">
        <v>71462</v>
      </c>
      <c r="M3572" t="s">
        <v>71463</v>
      </c>
      <c r="N3572" t="s">
        <v>71464</v>
      </c>
      <c r="O3572">
        <f>-578.374493533817 -96.7538914115929 -737.261815210598</f>
        <v>-1412.3902001560079</v>
      </c>
      <c r="P3572">
        <f>-601.112653800996 -90.5706742267455 -421.618222584571</f>
        <v>-1113.3015506123124</v>
      </c>
      <c r="Q3572">
        <f>-356.541682034437 -8.33904569067477 -454.253272624046</f>
        <v>-819.13400034915776</v>
      </c>
      <c r="R3572" t="s">
        <v>71465</v>
      </c>
      <c r="S3572" t="s">
        <v>71466</v>
      </c>
      <c r="T3572" t="s">
        <v>71467</v>
      </c>
      <c r="U3572" t="s">
        <v>71468</v>
      </c>
      <c r="V3572" t="s">
        <v>71469</v>
      </c>
      <c r="W3572" t="s">
        <v>71470</v>
      </c>
      <c r="X3572" t="s">
        <v>71471</v>
      </c>
      <c r="Y3572" t="s">
        <v>71472</v>
      </c>
    </row>
    <row r="3573" spans="1:25" x14ac:dyDescent="0.3">
      <c r="A3573">
        <v>178600</v>
      </c>
      <c r="B3573" t="s">
        <v>71473</v>
      </c>
      <c r="C3573" t="s">
        <v>71474</v>
      </c>
      <c r="D3573" t="s">
        <v>71475</v>
      </c>
      <c r="E3573" t="s">
        <v>71476</v>
      </c>
      <c r="F3573" t="s">
        <v>71477</v>
      </c>
      <c r="G3573" t="s">
        <v>71478</v>
      </c>
      <c r="H3573" t="s">
        <v>71479</v>
      </c>
      <c r="I3573" t="s">
        <v>71480</v>
      </c>
      <c r="J3573" t="s">
        <v>71481</v>
      </c>
      <c r="K3573" t="s">
        <v>71482</v>
      </c>
      <c r="L3573" t="s">
        <v>71483</v>
      </c>
      <c r="M3573" t="s">
        <v>71484</v>
      </c>
      <c r="N3573" t="s">
        <v>71485</v>
      </c>
      <c r="O3573">
        <f>-578.195877997738 -96.7306779634124 -736.995059556733</f>
        <v>-1411.9216155178833</v>
      </c>
      <c r="P3573">
        <f>-600.582494817318 -90.5136805183715 -421.326943583759</f>
        <v>-1112.4231189194484</v>
      </c>
      <c r="Q3573">
        <f>-356.132647536942 -8.39533064954801 -455.133921853914</f>
        <v>-819.66190004040391</v>
      </c>
      <c r="R3573" t="s">
        <v>71486</v>
      </c>
      <c r="S3573" t="s">
        <v>71487</v>
      </c>
      <c r="T3573" t="s">
        <v>71488</v>
      </c>
      <c r="U3573" t="s">
        <v>71489</v>
      </c>
      <c r="V3573" t="s">
        <v>71490</v>
      </c>
      <c r="W3573" t="s">
        <v>71491</v>
      </c>
      <c r="X3573" t="s">
        <v>71492</v>
      </c>
      <c r="Y3573" t="s">
        <v>71493</v>
      </c>
    </row>
    <row r="3574" spans="1:25" x14ac:dyDescent="0.3">
      <c r="A3574">
        <v>178650</v>
      </c>
      <c r="B3574" t="s">
        <v>71494</v>
      </c>
      <c r="C3574" t="s">
        <v>71495</v>
      </c>
      <c r="D3574" t="s">
        <v>71496</v>
      </c>
      <c r="E3574" t="s">
        <v>71497</v>
      </c>
      <c r="F3574" t="s">
        <v>71498</v>
      </c>
      <c r="G3574" t="s">
        <v>71499</v>
      </c>
      <c r="H3574" t="s">
        <v>71500</v>
      </c>
      <c r="I3574" t="s">
        <v>71501</v>
      </c>
      <c r="J3574" t="s">
        <v>71502</v>
      </c>
      <c r="K3574" t="s">
        <v>71503</v>
      </c>
      <c r="L3574" t="s">
        <v>71504</v>
      </c>
      <c r="M3574" t="s">
        <v>71505</v>
      </c>
      <c r="N3574" t="s">
        <v>71506</v>
      </c>
      <c r="O3574">
        <f>-577.793554569817 -96.948689736934 -736.643972073021</f>
        <v>-1411.3862163797721</v>
      </c>
      <c r="P3574">
        <f>-599.366114392897 -91.2085011488175 -420.910066849577</f>
        <v>-1111.4846823912915</v>
      </c>
      <c r="Q3574">
        <f>-354.9963298595 -9.18206562784717 -455.509968845948</f>
        <v>-819.68836433329511</v>
      </c>
      <c r="R3574" t="s">
        <v>71507</v>
      </c>
      <c r="S3574" t="s">
        <v>71508</v>
      </c>
      <c r="T3574" t="s">
        <v>71509</v>
      </c>
      <c r="U3574" t="s">
        <v>71510</v>
      </c>
      <c r="V3574" t="s">
        <v>71511</v>
      </c>
      <c r="W3574" t="s">
        <v>71512</v>
      </c>
      <c r="X3574" t="s">
        <v>71513</v>
      </c>
      <c r="Y3574" t="s">
        <v>71514</v>
      </c>
    </row>
    <row r="3575" spans="1:25" x14ac:dyDescent="0.3">
      <c r="A3575">
        <v>178700</v>
      </c>
      <c r="B3575" t="s">
        <v>71515</v>
      </c>
      <c r="C3575" t="s">
        <v>71516</v>
      </c>
      <c r="D3575" t="s">
        <v>71517</v>
      </c>
      <c r="E3575" t="s">
        <v>71518</v>
      </c>
      <c r="F3575" t="s">
        <v>71519</v>
      </c>
      <c r="G3575" t="s">
        <v>71520</v>
      </c>
      <c r="H3575" t="s">
        <v>71521</v>
      </c>
      <c r="I3575" t="s">
        <v>71522</v>
      </c>
      <c r="J3575" t="s">
        <v>71523</v>
      </c>
      <c r="K3575" t="s">
        <v>71524</v>
      </c>
      <c r="L3575" t="s">
        <v>71525</v>
      </c>
      <c r="M3575" t="s">
        <v>71526</v>
      </c>
      <c r="N3575" t="s">
        <v>71527</v>
      </c>
      <c r="O3575">
        <f>-577.456430797728 -96.8766930279091 -736.459698315331</f>
        <v>-1410.7928221409682</v>
      </c>
      <c r="P3575">
        <f>-599.00161468191 -90.7768333690837 -420.730764974135</f>
        <v>-1110.5092130251287</v>
      </c>
      <c r="Q3575">
        <f>-354.72904012574 -8.75513098222616 -456.020899287179</f>
        <v>-819.50507039514514</v>
      </c>
      <c r="R3575" t="s">
        <v>71528</v>
      </c>
      <c r="S3575" t="s">
        <v>71529</v>
      </c>
      <c r="T3575" t="s">
        <v>71530</v>
      </c>
      <c r="U3575" t="s">
        <v>71531</v>
      </c>
      <c r="V3575" t="s">
        <v>71532</v>
      </c>
      <c r="W3575" t="s">
        <v>71533</v>
      </c>
      <c r="X3575" t="s">
        <v>71534</v>
      </c>
      <c r="Y3575" t="s">
        <v>71535</v>
      </c>
    </row>
    <row r="3576" spans="1:25" x14ac:dyDescent="0.3">
      <c r="A3576">
        <v>178750</v>
      </c>
      <c r="B3576" t="s">
        <v>71536</v>
      </c>
      <c r="C3576" t="s">
        <v>71537</v>
      </c>
      <c r="D3576" t="s">
        <v>71538</v>
      </c>
      <c r="E3576" t="s">
        <v>71539</v>
      </c>
      <c r="F3576" t="s">
        <v>71540</v>
      </c>
      <c r="G3576" t="s">
        <v>71541</v>
      </c>
      <c r="H3576" t="s">
        <v>71542</v>
      </c>
      <c r="I3576" t="s">
        <v>71543</v>
      </c>
      <c r="J3576" t="s">
        <v>71544</v>
      </c>
      <c r="K3576" t="s">
        <v>71545</v>
      </c>
      <c r="L3576" t="s">
        <v>71546</v>
      </c>
      <c r="M3576" t="s">
        <v>71547</v>
      </c>
      <c r="N3576" t="s">
        <v>71548</v>
      </c>
      <c r="O3576">
        <f>-576.499270093775 -97.3279854616992 -736.099211086581</f>
        <v>-1409.9264666420552</v>
      </c>
      <c r="P3576">
        <f>-598.413583605793 -90.553396425628 -420.409405791172</f>
        <v>-1109.376385822593</v>
      </c>
      <c r="Q3576">
        <f>-354.043802602073 -8.84927456608051 -455.763360983826</f>
        <v>-818.6564381519795</v>
      </c>
      <c r="R3576" t="s">
        <v>71549</v>
      </c>
      <c r="S3576" t="s">
        <v>71550</v>
      </c>
      <c r="T3576" t="s">
        <v>71551</v>
      </c>
      <c r="U3576" t="s">
        <v>71552</v>
      </c>
      <c r="V3576" t="s">
        <v>71553</v>
      </c>
      <c r="W3576" t="s">
        <v>71554</v>
      </c>
      <c r="X3576" t="s">
        <v>71555</v>
      </c>
      <c r="Y3576" t="s">
        <v>71556</v>
      </c>
    </row>
    <row r="3577" spans="1:25" x14ac:dyDescent="0.3">
      <c r="A3577">
        <v>178800</v>
      </c>
      <c r="B3577" t="s">
        <v>71557</v>
      </c>
      <c r="C3577" t="s">
        <v>71558</v>
      </c>
      <c r="D3577" t="s">
        <v>71559</v>
      </c>
      <c r="E3577" t="s">
        <v>71560</v>
      </c>
      <c r="F3577" t="s">
        <v>71561</v>
      </c>
      <c r="G3577" t="s">
        <v>71562</v>
      </c>
      <c r="H3577" t="s">
        <v>71563</v>
      </c>
      <c r="I3577" t="s">
        <v>71564</v>
      </c>
      <c r="J3577" t="s">
        <v>71565</v>
      </c>
      <c r="K3577" t="s">
        <v>71566</v>
      </c>
      <c r="L3577" t="s">
        <v>71567</v>
      </c>
      <c r="M3577" t="s">
        <v>71568</v>
      </c>
      <c r="N3577" t="s">
        <v>71569</v>
      </c>
      <c r="O3577">
        <f>-576.268104629261 -97.2497573739524 -736.00400032319</f>
        <v>-1409.5218623264034</v>
      </c>
      <c r="P3577">
        <f>-598.20327167261 -90.1675552779519 -420.322319859868</f>
        <v>-1108.6931468104299</v>
      </c>
      <c r="Q3577">
        <f>-353.867747124832 -8.26829045283289 -455.460893280519</f>
        <v>-817.5969308581839</v>
      </c>
      <c r="R3577" t="s">
        <v>71570</v>
      </c>
      <c r="S3577" t="s">
        <v>71571</v>
      </c>
      <c r="T3577" t="s">
        <v>71572</v>
      </c>
      <c r="U3577" t="s">
        <v>71573</v>
      </c>
      <c r="V3577" t="s">
        <v>71574</v>
      </c>
      <c r="W3577" t="s">
        <v>71575</v>
      </c>
      <c r="X3577" t="s">
        <v>71576</v>
      </c>
      <c r="Y3577" t="s">
        <v>71577</v>
      </c>
    </row>
    <row r="3578" spans="1:25" x14ac:dyDescent="0.3">
      <c r="A3578">
        <v>178850</v>
      </c>
      <c r="B3578" t="s">
        <v>71578</v>
      </c>
      <c r="C3578" t="s">
        <v>71579</v>
      </c>
      <c r="D3578" t="s">
        <v>71580</v>
      </c>
      <c r="E3578" t="s">
        <v>71581</v>
      </c>
      <c r="F3578" t="s">
        <v>71582</v>
      </c>
      <c r="G3578" t="s">
        <v>71583</v>
      </c>
      <c r="H3578" t="s">
        <v>71584</v>
      </c>
      <c r="I3578" t="s">
        <v>71585</v>
      </c>
      <c r="J3578" t="s">
        <v>71586</v>
      </c>
      <c r="K3578" t="s">
        <v>71587</v>
      </c>
      <c r="L3578" t="s">
        <v>71588</v>
      </c>
      <c r="M3578" t="s">
        <v>71589</v>
      </c>
      <c r="N3578" t="s">
        <v>71590</v>
      </c>
      <c r="O3578">
        <f>-574.972659931252 -97.0308127076895 -735.916546584314</f>
        <v>-1407.9200192232556</v>
      </c>
      <c r="P3578">
        <f>-597.381341823952 -89.2133746940816 -420.285508076361</f>
        <v>-1106.8802245943946</v>
      </c>
      <c r="Q3578">
        <f>-353.057428759226 -7.13652055825352 -455.088591850334</f>
        <v>-815.28254116781352</v>
      </c>
      <c r="R3578" t="s">
        <v>71591</v>
      </c>
      <c r="S3578" t="s">
        <v>71592</v>
      </c>
      <c r="T3578" t="s">
        <v>71593</v>
      </c>
      <c r="U3578" t="s">
        <v>71594</v>
      </c>
      <c r="V3578" t="s">
        <v>71595</v>
      </c>
      <c r="W3578" t="s">
        <v>71596</v>
      </c>
      <c r="X3578" t="s">
        <v>71597</v>
      </c>
      <c r="Y3578" t="s">
        <v>71598</v>
      </c>
    </row>
    <row r="3579" spans="1:25" x14ac:dyDescent="0.3">
      <c r="A3579">
        <v>178900</v>
      </c>
      <c r="B3579" t="s">
        <v>71599</v>
      </c>
      <c r="C3579" t="s">
        <v>71600</v>
      </c>
      <c r="D3579" t="s">
        <v>71601</v>
      </c>
      <c r="E3579" t="s">
        <v>71602</v>
      </c>
      <c r="F3579" t="s">
        <v>71603</v>
      </c>
      <c r="G3579" t="s">
        <v>71604</v>
      </c>
      <c r="H3579" t="s">
        <v>71605</v>
      </c>
      <c r="I3579" t="s">
        <v>71606</v>
      </c>
      <c r="J3579" t="s">
        <v>71607</v>
      </c>
      <c r="K3579" t="s">
        <v>71608</v>
      </c>
      <c r="L3579" t="s">
        <v>71609</v>
      </c>
      <c r="M3579" t="s">
        <v>71610</v>
      </c>
      <c r="N3579" t="s">
        <v>71611</v>
      </c>
      <c r="O3579">
        <f>-574.511672420574 -96.695835102233 -735.917617752594</f>
        <v>-1407.1251252754009</v>
      </c>
      <c r="P3579">
        <f>-596.919498180133 -88.8654708557553 -420.286924717915</f>
        <v>-1106.0718937538034</v>
      </c>
      <c r="Q3579">
        <f>-352.61506100378 -6.67099782414173 -454.948758612206</f>
        <v>-814.2348174401277</v>
      </c>
      <c r="R3579" t="s">
        <v>71612</v>
      </c>
      <c r="S3579" t="s">
        <v>71613</v>
      </c>
      <c r="T3579" t="s">
        <v>71614</v>
      </c>
      <c r="U3579" t="s">
        <v>71615</v>
      </c>
      <c r="V3579" t="s">
        <v>71616</v>
      </c>
      <c r="W3579" t="s">
        <v>71617</v>
      </c>
      <c r="X3579" t="s">
        <v>71618</v>
      </c>
      <c r="Y3579" t="s">
        <v>71619</v>
      </c>
    </row>
    <row r="3580" spans="1:25" x14ac:dyDescent="0.3">
      <c r="A3580">
        <v>178950</v>
      </c>
      <c r="B3580" t="s">
        <v>71620</v>
      </c>
      <c r="C3580" t="s">
        <v>71621</v>
      </c>
      <c r="D3580" t="s">
        <v>71622</v>
      </c>
      <c r="E3580" t="s">
        <v>71623</v>
      </c>
      <c r="F3580" t="s">
        <v>71624</v>
      </c>
      <c r="G3580" t="s">
        <v>71625</v>
      </c>
      <c r="H3580" t="s">
        <v>71626</v>
      </c>
      <c r="I3580" t="s">
        <v>71627</v>
      </c>
      <c r="J3580" t="s">
        <v>71628</v>
      </c>
      <c r="K3580" t="s">
        <v>71629</v>
      </c>
      <c r="L3580" t="s">
        <v>71630</v>
      </c>
      <c r="M3580" t="s">
        <v>71631</v>
      </c>
      <c r="N3580" t="s">
        <v>71632</v>
      </c>
      <c r="O3580">
        <f>-573.814859527117 -95.9898955357125 -735.98424680184</f>
        <v>-1405.7890018646694</v>
      </c>
      <c r="P3580">
        <f>-596.269409039897 -87.9079379930835 -420.363194679488</f>
        <v>-1104.5405417124684</v>
      </c>
      <c r="Q3580">
        <f>-351.960079693118 -5.67892048195453 -454.908260188074</f>
        <v>-812.54726036314651</v>
      </c>
      <c r="R3580" t="s">
        <v>71633</v>
      </c>
      <c r="S3580" t="s">
        <v>71634</v>
      </c>
      <c r="T3580" t="s">
        <v>71635</v>
      </c>
      <c r="U3580" t="s">
        <v>71636</v>
      </c>
      <c r="V3580" t="s">
        <v>71637</v>
      </c>
      <c r="W3580" t="s">
        <v>71638</v>
      </c>
      <c r="X3580" t="s">
        <v>71639</v>
      </c>
      <c r="Y3580" t="s">
        <v>71640</v>
      </c>
    </row>
    <row r="3581" spans="1:25" x14ac:dyDescent="0.3">
      <c r="A3581">
        <v>179000</v>
      </c>
      <c r="B3581" t="s">
        <v>71641</v>
      </c>
      <c r="C3581" t="s">
        <v>71642</v>
      </c>
      <c r="D3581" t="s">
        <v>71643</v>
      </c>
      <c r="E3581" t="s">
        <v>71644</v>
      </c>
      <c r="F3581" t="s">
        <v>71645</v>
      </c>
      <c r="G3581" t="s">
        <v>71646</v>
      </c>
      <c r="H3581" t="s">
        <v>71647</v>
      </c>
      <c r="I3581" t="s">
        <v>71648</v>
      </c>
      <c r="J3581" t="s">
        <v>71649</v>
      </c>
      <c r="K3581" t="s">
        <v>71650</v>
      </c>
      <c r="L3581" t="s">
        <v>71651</v>
      </c>
      <c r="M3581" t="s">
        <v>71652</v>
      </c>
      <c r="N3581" t="s">
        <v>71653</v>
      </c>
      <c r="O3581">
        <f>-573.364995879834 -95.7269403354388 -736.031066063271</f>
        <v>-1405.1230022785439</v>
      </c>
      <c r="P3581">
        <f>-595.841277945821 -87.6853443686858 -420.410590678559</f>
        <v>-1103.9372129930659</v>
      </c>
      <c r="Q3581">
        <f>-351.531363517791 -5.44344062818807 -454.921291763483</f>
        <v>-811.89609590946202</v>
      </c>
      <c r="R3581" t="s">
        <v>71654</v>
      </c>
      <c r="S3581" t="s">
        <v>71655</v>
      </c>
      <c r="T3581" t="s">
        <v>71656</v>
      </c>
      <c r="U3581" t="s">
        <v>71657</v>
      </c>
      <c r="V3581" t="s">
        <v>71658</v>
      </c>
      <c r="W3581" t="s">
        <v>71659</v>
      </c>
      <c r="X3581" t="s">
        <v>71660</v>
      </c>
      <c r="Y3581" t="s">
        <v>71661</v>
      </c>
    </row>
    <row r="3582" spans="1:25" x14ac:dyDescent="0.3">
      <c r="A3582">
        <v>179050</v>
      </c>
      <c r="B3582" t="s">
        <v>71662</v>
      </c>
      <c r="C3582" t="s">
        <v>71663</v>
      </c>
      <c r="D3582" t="s">
        <v>71664</v>
      </c>
      <c r="E3582" t="s">
        <v>71665</v>
      </c>
      <c r="F3582" t="s">
        <v>71666</v>
      </c>
      <c r="G3582" t="s">
        <v>71667</v>
      </c>
      <c r="H3582" t="s">
        <v>71668</v>
      </c>
      <c r="I3582" t="s">
        <v>71669</v>
      </c>
      <c r="J3582" t="s">
        <v>71670</v>
      </c>
      <c r="K3582" t="s">
        <v>71671</v>
      </c>
      <c r="L3582" t="s">
        <v>71672</v>
      </c>
      <c r="M3582" t="s">
        <v>71673</v>
      </c>
      <c r="N3582" t="s">
        <v>71674</v>
      </c>
      <c r="O3582">
        <f>-572.593902582686 -95.3200502037925 -736.200265255041</f>
        <v>-1404.1142180415195</v>
      </c>
      <c r="P3582">
        <f>-595.356422147824 -87.2580599561391 -420.600831181812</f>
        <v>-1103.2153132857752</v>
      </c>
      <c r="Q3582">
        <f>-351.036081680523 -5.05872938074236 -455.138714577747</f>
        <v>-811.23352563901244</v>
      </c>
      <c r="R3582" t="s">
        <v>71675</v>
      </c>
      <c r="S3582" t="s">
        <v>71676</v>
      </c>
      <c r="T3582" t="s">
        <v>71677</v>
      </c>
      <c r="U3582" t="s">
        <v>71678</v>
      </c>
      <c r="V3582" t="s">
        <v>71679</v>
      </c>
      <c r="W3582" t="s">
        <v>71680</v>
      </c>
      <c r="X3582" t="s">
        <v>71681</v>
      </c>
      <c r="Y3582" t="s">
        <v>71682</v>
      </c>
    </row>
    <row r="3583" spans="1:25" x14ac:dyDescent="0.3">
      <c r="A3583">
        <v>179100</v>
      </c>
      <c r="B3583" t="s">
        <v>71683</v>
      </c>
      <c r="C3583" t="s">
        <v>71684</v>
      </c>
      <c r="D3583" t="s">
        <v>71685</v>
      </c>
      <c r="E3583" t="s">
        <v>71686</v>
      </c>
      <c r="F3583" t="s">
        <v>71687</v>
      </c>
      <c r="G3583" t="s">
        <v>71688</v>
      </c>
      <c r="H3583" t="s">
        <v>71689</v>
      </c>
      <c r="I3583" t="s">
        <v>71690</v>
      </c>
      <c r="J3583" t="s">
        <v>71691</v>
      </c>
      <c r="K3583" t="s">
        <v>71692</v>
      </c>
      <c r="L3583" t="s">
        <v>71693</v>
      </c>
      <c r="M3583" t="s">
        <v>71694</v>
      </c>
      <c r="N3583" t="s">
        <v>71695</v>
      </c>
      <c r="O3583">
        <f>-572.127221703355 -95.1610656061126 -736.243790007716</f>
        <v>-1403.5320773171836</v>
      </c>
      <c r="P3583">
        <f>-595.124145209038 -87.0515649939433 -420.662494431402</f>
        <v>-1102.8382046343834</v>
      </c>
      <c r="Q3583">
        <f>-350.731940701036 -5.00554309691735 -455.056072194864</f>
        <v>-810.79355599281735</v>
      </c>
      <c r="R3583" t="s">
        <v>71696</v>
      </c>
      <c r="S3583" t="s">
        <v>71697</v>
      </c>
      <c r="T3583" t="s">
        <v>71698</v>
      </c>
      <c r="U3583" t="s">
        <v>71699</v>
      </c>
      <c r="V3583" t="s">
        <v>71700</v>
      </c>
      <c r="W3583" t="s">
        <v>71701</v>
      </c>
      <c r="X3583" t="s">
        <v>71702</v>
      </c>
      <c r="Y3583" t="s">
        <v>71703</v>
      </c>
    </row>
    <row r="3584" spans="1:25" x14ac:dyDescent="0.3">
      <c r="A3584">
        <v>179150</v>
      </c>
      <c r="B3584" t="s">
        <v>71704</v>
      </c>
      <c r="C3584" t="s">
        <v>71705</v>
      </c>
      <c r="D3584" t="s">
        <v>71706</v>
      </c>
      <c r="E3584" t="s">
        <v>71707</v>
      </c>
      <c r="F3584" t="s">
        <v>71708</v>
      </c>
      <c r="G3584" t="s">
        <v>71709</v>
      </c>
      <c r="H3584" t="s">
        <v>71710</v>
      </c>
      <c r="I3584" t="s">
        <v>71711</v>
      </c>
      <c r="J3584" t="s">
        <v>71712</v>
      </c>
      <c r="K3584" t="s">
        <v>71713</v>
      </c>
      <c r="L3584" t="s">
        <v>71714</v>
      </c>
      <c r="M3584" t="s">
        <v>71715</v>
      </c>
      <c r="N3584" t="s">
        <v>71716</v>
      </c>
      <c r="O3584">
        <f>-571.267868653036 -94.58985790293 -736.328326518061</f>
        <v>-1402.1860530740269</v>
      </c>
      <c r="P3584">
        <f>-594.5724553179 -86.5247602156101 -420.768429730324</f>
        <v>-1101.865645263834</v>
      </c>
      <c r="Q3584">
        <f>-350.184616586915 -4.40911782686184 -455.027078177974</f>
        <v>-809.62081259175079</v>
      </c>
      <c r="R3584" t="s">
        <v>71717</v>
      </c>
      <c r="S3584" t="s">
        <v>71718</v>
      </c>
      <c r="T3584" t="s">
        <v>71719</v>
      </c>
      <c r="U3584" t="s">
        <v>71720</v>
      </c>
      <c r="V3584" t="s">
        <v>71721</v>
      </c>
      <c r="W3584" t="s">
        <v>71722</v>
      </c>
      <c r="X3584" t="s">
        <v>71723</v>
      </c>
      <c r="Y3584" t="s">
        <v>71724</v>
      </c>
    </row>
    <row r="3585" spans="1:25" x14ac:dyDescent="0.3">
      <c r="A3585">
        <v>179200</v>
      </c>
      <c r="B3585" t="s">
        <v>71725</v>
      </c>
      <c r="C3585" t="s">
        <v>71726</v>
      </c>
      <c r="D3585" t="s">
        <v>71727</v>
      </c>
      <c r="E3585" t="s">
        <v>71728</v>
      </c>
      <c r="F3585" t="s">
        <v>71729</v>
      </c>
      <c r="G3585" t="s">
        <v>71730</v>
      </c>
      <c r="H3585" t="s">
        <v>71731</v>
      </c>
      <c r="I3585" t="s">
        <v>71732</v>
      </c>
      <c r="J3585" t="s">
        <v>71733</v>
      </c>
      <c r="K3585" t="s">
        <v>71734</v>
      </c>
      <c r="L3585" t="s">
        <v>71735</v>
      </c>
      <c r="M3585" t="s">
        <v>71736</v>
      </c>
      <c r="N3585" t="s">
        <v>71737</v>
      </c>
      <c r="O3585">
        <f>-570.768014319809 -94.3415412991175 -736.368715623352</f>
        <v>-1401.4782712422784</v>
      </c>
      <c r="P3585">
        <f>-594.313686290041 -86.361707437614 -420.824582188619</f>
        <v>-1101.499975916274</v>
      </c>
      <c r="Q3585">
        <f>-349.955621041293 -4.11790124300828 -454.987574111095</f>
        <v>-809.06109639539636</v>
      </c>
      <c r="R3585" t="s">
        <v>71738</v>
      </c>
      <c r="S3585" t="s">
        <v>71739</v>
      </c>
      <c r="T3585" t="s">
        <v>71740</v>
      </c>
      <c r="U3585" t="s">
        <v>71741</v>
      </c>
      <c r="V3585" t="s">
        <v>71742</v>
      </c>
      <c r="W3585" t="s">
        <v>71743</v>
      </c>
      <c r="X3585" t="s">
        <v>71744</v>
      </c>
      <c r="Y3585" t="s">
        <v>71745</v>
      </c>
    </row>
    <row r="3586" spans="1:25" x14ac:dyDescent="0.3">
      <c r="A3586">
        <v>179250</v>
      </c>
      <c r="B3586" t="s">
        <v>71746</v>
      </c>
      <c r="C3586" t="s">
        <v>71747</v>
      </c>
      <c r="D3586" t="s">
        <v>71748</v>
      </c>
      <c r="E3586" t="s">
        <v>71749</v>
      </c>
      <c r="F3586" t="s">
        <v>71750</v>
      </c>
      <c r="G3586" t="s">
        <v>71751</v>
      </c>
      <c r="H3586" t="s">
        <v>71752</v>
      </c>
      <c r="I3586" t="s">
        <v>71753</v>
      </c>
      <c r="J3586" t="s">
        <v>71754</v>
      </c>
      <c r="K3586" t="s">
        <v>71755</v>
      </c>
      <c r="L3586" t="s">
        <v>71756</v>
      </c>
      <c r="M3586" t="s">
        <v>71757</v>
      </c>
      <c r="N3586" t="s">
        <v>71758</v>
      </c>
      <c r="O3586">
        <f>-570.03200319011 -93.7460972408621 -736.453443721277</f>
        <v>-1400.2315441522492</v>
      </c>
      <c r="P3586">
        <f>-593.682085605034 -85.5329429303733 -420.92308718497</f>
        <v>-1100.1381157203773</v>
      </c>
      <c r="Q3586">
        <f>-349.23764420131 -3.51299689084649 -455.006780435171</f>
        <v>-807.75742152732744</v>
      </c>
      <c r="R3586" t="s">
        <v>71759</v>
      </c>
      <c r="S3586" t="s">
        <v>71760</v>
      </c>
      <c r="T3586" t="s">
        <v>71761</v>
      </c>
      <c r="U3586" t="s">
        <v>71762</v>
      </c>
      <c r="V3586" t="s">
        <v>71763</v>
      </c>
      <c r="W3586" t="s">
        <v>71764</v>
      </c>
      <c r="X3586" t="s">
        <v>71765</v>
      </c>
      <c r="Y3586" t="s">
        <v>71766</v>
      </c>
    </row>
    <row r="3587" spans="1:25" x14ac:dyDescent="0.3">
      <c r="A3587">
        <v>179300</v>
      </c>
      <c r="B3587" t="s">
        <v>71767</v>
      </c>
      <c r="C3587" t="s">
        <v>71768</v>
      </c>
      <c r="D3587" t="s">
        <v>71769</v>
      </c>
      <c r="E3587" t="s">
        <v>71770</v>
      </c>
      <c r="F3587" t="s">
        <v>71771</v>
      </c>
      <c r="G3587" t="s">
        <v>71772</v>
      </c>
      <c r="H3587" t="s">
        <v>71773</v>
      </c>
      <c r="I3587" t="s">
        <v>71774</v>
      </c>
      <c r="J3587" t="s">
        <v>71775</v>
      </c>
      <c r="K3587" t="s">
        <v>71776</v>
      </c>
      <c r="L3587" t="s">
        <v>71777</v>
      </c>
      <c r="M3587" t="s">
        <v>71778</v>
      </c>
      <c r="N3587" t="s">
        <v>71779</v>
      </c>
      <c r="O3587">
        <f>-569.565233828969 -93.7915995026043 -736.471453155674</f>
        <v>-1399.8282864872472</v>
      </c>
      <c r="P3587">
        <f>-593.165400035212 -85.5064469584065 -420.939222480137</f>
        <v>-1099.6110694737554</v>
      </c>
      <c r="Q3587">
        <f>-348.718830895543 -3.52195767108441 -455.093356116825</f>
        <v>-807.33414468345245</v>
      </c>
      <c r="R3587" t="s">
        <v>71780</v>
      </c>
      <c r="S3587" t="s">
        <v>71781</v>
      </c>
      <c r="T3587" t="s">
        <v>71782</v>
      </c>
      <c r="U3587" t="s">
        <v>71783</v>
      </c>
      <c r="V3587" t="s">
        <v>71784</v>
      </c>
      <c r="W3587" t="s">
        <v>71785</v>
      </c>
      <c r="X3587" t="s">
        <v>71786</v>
      </c>
      <c r="Y3587" t="s">
        <v>71787</v>
      </c>
    </row>
    <row r="3588" spans="1:25" x14ac:dyDescent="0.3">
      <c r="A3588">
        <v>179350</v>
      </c>
      <c r="B3588" t="s">
        <v>71788</v>
      </c>
      <c r="C3588" t="s">
        <v>71789</v>
      </c>
      <c r="D3588" t="s">
        <v>71790</v>
      </c>
      <c r="E3588" t="s">
        <v>71791</v>
      </c>
      <c r="F3588" t="s">
        <v>71792</v>
      </c>
      <c r="G3588" t="s">
        <v>71793</v>
      </c>
      <c r="H3588" t="s">
        <v>71794</v>
      </c>
      <c r="I3588" t="s">
        <v>71795</v>
      </c>
      <c r="J3588" t="s">
        <v>71796</v>
      </c>
      <c r="K3588" t="s">
        <v>71797</v>
      </c>
      <c r="L3588" t="s">
        <v>71798</v>
      </c>
      <c r="M3588" t="s">
        <v>71799</v>
      </c>
      <c r="N3588" t="s">
        <v>71800</v>
      </c>
      <c r="O3588">
        <f>-568.765052290443 -93.4547671993964 -736.434083243737</f>
        <v>-1398.6539027335764</v>
      </c>
      <c r="P3588">
        <f>-592.325615285799 -85.2164608903829 -420.897694260873</f>
        <v>-1098.4397704370549</v>
      </c>
      <c r="Q3588">
        <f>-347.762636201261 -3.62803885617391 -455.166330753387</f>
        <v>-806.55700581082192</v>
      </c>
      <c r="R3588" t="s">
        <v>71801</v>
      </c>
      <c r="S3588" t="s">
        <v>71802</v>
      </c>
      <c r="T3588" t="s">
        <v>71803</v>
      </c>
      <c r="U3588" t="s">
        <v>71804</v>
      </c>
      <c r="V3588" t="s">
        <v>71805</v>
      </c>
      <c r="W3588" t="s">
        <v>71806</v>
      </c>
      <c r="X3588" t="s">
        <v>71807</v>
      </c>
      <c r="Y3588" t="s">
        <v>71808</v>
      </c>
    </row>
    <row r="3589" spans="1:25" x14ac:dyDescent="0.3">
      <c r="A3589">
        <v>179400</v>
      </c>
      <c r="B3589" t="s">
        <v>71809</v>
      </c>
      <c r="C3589" t="s">
        <v>71810</v>
      </c>
      <c r="D3589" t="s">
        <v>71811</v>
      </c>
      <c r="E3589" t="s">
        <v>71812</v>
      </c>
      <c r="F3589" t="s">
        <v>71813</v>
      </c>
      <c r="G3589" t="s">
        <v>71814</v>
      </c>
      <c r="H3589" t="s">
        <v>71815</v>
      </c>
      <c r="I3589" t="s">
        <v>71816</v>
      </c>
      <c r="J3589" t="s">
        <v>71817</v>
      </c>
      <c r="K3589" t="s">
        <v>71818</v>
      </c>
      <c r="L3589" t="s">
        <v>71819</v>
      </c>
      <c r="M3589" t="s">
        <v>71820</v>
      </c>
      <c r="N3589" t="s">
        <v>71821</v>
      </c>
      <c r="O3589">
        <f>-568.15597740254 -93.2711763130718 -736.450684101496</f>
        <v>-1397.8778378171078</v>
      </c>
      <c r="P3589">
        <f>-591.66140038416 -85.0664352184195 -420.909415569655</f>
        <v>-1097.6372511722345</v>
      </c>
      <c r="Q3589">
        <f>-347.058153858911 -3.66071319960825 -455.324182190987</f>
        <v>-806.04304924950634</v>
      </c>
      <c r="R3589" t="s">
        <v>71822</v>
      </c>
      <c r="S3589" t="s">
        <v>71823</v>
      </c>
      <c r="T3589" t="s">
        <v>71824</v>
      </c>
      <c r="U3589" t="s">
        <v>71825</v>
      </c>
      <c r="V3589" t="s">
        <v>71826</v>
      </c>
      <c r="W3589" t="s">
        <v>71827</v>
      </c>
      <c r="X3589" t="s">
        <v>71828</v>
      </c>
      <c r="Y3589" t="s">
        <v>71829</v>
      </c>
    </row>
    <row r="3590" spans="1:25" x14ac:dyDescent="0.3">
      <c r="A3590">
        <v>179450</v>
      </c>
      <c r="B3590" t="s">
        <v>71830</v>
      </c>
      <c r="C3590" t="s">
        <v>71831</v>
      </c>
      <c r="D3590" t="s">
        <v>71832</v>
      </c>
      <c r="E3590" t="s">
        <v>71833</v>
      </c>
      <c r="F3590" t="s">
        <v>71834</v>
      </c>
      <c r="G3590" t="s">
        <v>71835</v>
      </c>
      <c r="H3590" t="s">
        <v>71836</v>
      </c>
      <c r="I3590" t="s">
        <v>71837</v>
      </c>
      <c r="J3590" t="s">
        <v>71838</v>
      </c>
      <c r="K3590" t="s">
        <v>71839</v>
      </c>
      <c r="L3590" t="s">
        <v>71840</v>
      </c>
      <c r="M3590" t="s">
        <v>71841</v>
      </c>
      <c r="N3590" t="s">
        <v>71842</v>
      </c>
      <c r="O3590">
        <f>-566.6794092474 -93.3543381665052 -736.403725772541</f>
        <v>-1396.4374731864461</v>
      </c>
      <c r="P3590">
        <f>-590.025389930772 -85.1888142897813 -420.849477084074</f>
        <v>-1096.0636813046272</v>
      </c>
      <c r="Q3590">
        <f>-345.377150826145 -4.05805542735694 -455.592902326626</f>
        <v>-805.02810858012799</v>
      </c>
      <c r="R3590" t="s">
        <v>71843</v>
      </c>
      <c r="S3590" t="s">
        <v>71844</v>
      </c>
      <c r="T3590" t="s">
        <v>71845</v>
      </c>
      <c r="U3590" t="s">
        <v>71846</v>
      </c>
      <c r="V3590" t="s">
        <v>71847</v>
      </c>
      <c r="W3590" t="s">
        <v>71848</v>
      </c>
      <c r="X3590" t="s">
        <v>71849</v>
      </c>
      <c r="Y3590" t="s">
        <v>71850</v>
      </c>
    </row>
    <row r="3591" spans="1:25" x14ac:dyDescent="0.3">
      <c r="A3591">
        <v>179500</v>
      </c>
      <c r="B3591" t="s">
        <v>71851</v>
      </c>
      <c r="C3591" t="s">
        <v>71852</v>
      </c>
      <c r="D3591" t="s">
        <v>71853</v>
      </c>
      <c r="E3591" t="s">
        <v>71854</v>
      </c>
      <c r="F3591" t="s">
        <v>71855</v>
      </c>
      <c r="G3591" t="s">
        <v>71856</v>
      </c>
      <c r="H3591" t="s">
        <v>71857</v>
      </c>
      <c r="I3591" t="s">
        <v>71858</v>
      </c>
      <c r="J3591" t="s">
        <v>71859</v>
      </c>
      <c r="K3591" t="s">
        <v>71860</v>
      </c>
      <c r="L3591" t="s">
        <v>71861</v>
      </c>
      <c r="M3591" t="s">
        <v>71862</v>
      </c>
      <c r="N3591" t="s">
        <v>71863</v>
      </c>
      <c r="O3591">
        <f>-566.054409454522 -93.3207900083743 -736.358084531023</f>
        <v>-1395.7332839939193</v>
      </c>
      <c r="P3591">
        <f>-589.361455291621 -85.0016512231876 -420.804914423138</f>
        <v>-1095.1680209379465</v>
      </c>
      <c r="Q3591">
        <f>-344.713184128329 -3.88032645723 -455.569858725083</f>
        <v>-804.163369310642</v>
      </c>
      <c r="R3591" t="s">
        <v>71864</v>
      </c>
      <c r="S3591" t="s">
        <v>71865</v>
      </c>
      <c r="T3591" t="s">
        <v>71866</v>
      </c>
      <c r="U3591" t="s">
        <v>71867</v>
      </c>
      <c r="V3591" t="s">
        <v>71868</v>
      </c>
      <c r="W3591" t="s">
        <v>71869</v>
      </c>
      <c r="X3591" t="s">
        <v>71870</v>
      </c>
      <c r="Y3591" t="s">
        <v>71871</v>
      </c>
    </row>
    <row r="3592" spans="1:25" x14ac:dyDescent="0.3">
      <c r="A3592">
        <v>179550</v>
      </c>
      <c r="B3592" t="s">
        <v>71872</v>
      </c>
      <c r="C3592" t="s">
        <v>71873</v>
      </c>
      <c r="D3592" t="s">
        <v>71874</v>
      </c>
      <c r="E3592" t="s">
        <v>71875</v>
      </c>
      <c r="F3592" t="s">
        <v>71876</v>
      </c>
      <c r="G3592" t="s">
        <v>71877</v>
      </c>
      <c r="H3592" t="s">
        <v>71878</v>
      </c>
      <c r="I3592" t="s">
        <v>71879</v>
      </c>
      <c r="J3592" t="s">
        <v>71880</v>
      </c>
      <c r="K3592" t="s">
        <v>71881</v>
      </c>
      <c r="L3592" t="s">
        <v>71882</v>
      </c>
      <c r="M3592" t="s">
        <v>71883</v>
      </c>
      <c r="N3592" t="s">
        <v>71884</v>
      </c>
      <c r="O3592">
        <f>-564.888520026989 -93.4371922393473 -736.251075107445</f>
        <v>-1394.5767873737814</v>
      </c>
      <c r="P3592">
        <f>-588.0046059555 -84.8096270723758 -420.692191451526</f>
        <v>-1093.5064244794019</v>
      </c>
      <c r="Q3592">
        <f>-343.384231270114 -3.5999604695603 -455.447321296215</f>
        <v>-802.43151303588934</v>
      </c>
      <c r="R3592" t="s">
        <v>71885</v>
      </c>
      <c r="S3592" t="s">
        <v>71886</v>
      </c>
      <c r="T3592" t="s">
        <v>71887</v>
      </c>
      <c r="U3592" t="s">
        <v>71888</v>
      </c>
      <c r="V3592" t="s">
        <v>71889</v>
      </c>
      <c r="W3592" t="s">
        <v>71890</v>
      </c>
      <c r="X3592" t="s">
        <v>71891</v>
      </c>
      <c r="Y3592" t="s">
        <v>71892</v>
      </c>
    </row>
    <row r="3593" spans="1:25" x14ac:dyDescent="0.3">
      <c r="A3593">
        <v>179600</v>
      </c>
      <c r="B3593" t="s">
        <v>71893</v>
      </c>
      <c r="C3593" t="s">
        <v>71894</v>
      </c>
      <c r="D3593" t="s">
        <v>71895</v>
      </c>
      <c r="E3593" t="s">
        <v>71896</v>
      </c>
      <c r="F3593" t="s">
        <v>71897</v>
      </c>
      <c r="G3593" t="s">
        <v>71898</v>
      </c>
      <c r="H3593" t="s">
        <v>71899</v>
      </c>
      <c r="I3593" t="s">
        <v>71900</v>
      </c>
      <c r="J3593" t="s">
        <v>71901</v>
      </c>
      <c r="K3593" t="s">
        <v>71902</v>
      </c>
      <c r="L3593" t="s">
        <v>71903</v>
      </c>
      <c r="M3593" t="s">
        <v>71904</v>
      </c>
      <c r="N3593" t="s">
        <v>71905</v>
      </c>
      <c r="O3593">
        <f>-564.306864927857 -93.3849943050292 -736.150981410625</f>
        <v>-1393.8428406435112</v>
      </c>
      <c r="P3593">
        <f>-587.351178518942 -84.685815760939 -420.588778666724</f>
        <v>-1092.6257729466051</v>
      </c>
      <c r="Q3593">
        <f>-342.753527534794 -3.35851313273153 -455.228570150125</f>
        <v>-801.34061081765049</v>
      </c>
      <c r="R3593" t="s">
        <v>71906</v>
      </c>
      <c r="S3593" t="s">
        <v>71907</v>
      </c>
      <c r="T3593" t="s">
        <v>71908</v>
      </c>
      <c r="U3593" t="s">
        <v>71909</v>
      </c>
      <c r="V3593" t="s">
        <v>71910</v>
      </c>
      <c r="W3593" t="s">
        <v>71911</v>
      </c>
      <c r="X3593" t="s">
        <v>71912</v>
      </c>
      <c r="Y3593" t="s">
        <v>71913</v>
      </c>
    </row>
    <row r="3594" spans="1:25" x14ac:dyDescent="0.3">
      <c r="A3594">
        <v>179650</v>
      </c>
      <c r="B3594" t="s">
        <v>71914</v>
      </c>
      <c r="C3594" t="s">
        <v>71915</v>
      </c>
      <c r="D3594" t="s">
        <v>71916</v>
      </c>
      <c r="E3594" t="s">
        <v>71917</v>
      </c>
      <c r="F3594" t="s">
        <v>71918</v>
      </c>
      <c r="G3594" t="s">
        <v>71919</v>
      </c>
      <c r="H3594" t="s">
        <v>71920</v>
      </c>
      <c r="I3594" t="s">
        <v>71921</v>
      </c>
      <c r="J3594" t="s">
        <v>71922</v>
      </c>
      <c r="K3594" t="s">
        <v>71923</v>
      </c>
      <c r="L3594" t="s">
        <v>71924</v>
      </c>
      <c r="M3594" t="s">
        <v>71925</v>
      </c>
      <c r="N3594" t="s">
        <v>71926</v>
      </c>
      <c r="O3594">
        <f>-562.86596773873 -93.8975891015777 -735.954106353453</f>
        <v>-1392.7176631937607</v>
      </c>
      <c r="P3594">
        <f>-586.047771581808 -84.6576168754005 -420.417406688443</f>
        <v>-1091.1227951456515</v>
      </c>
      <c r="Q3594">
        <f>-341.465417639553 -3.25492514258174 -454.987883359778</f>
        <v>-799.70822614191275</v>
      </c>
      <c r="R3594" t="s">
        <v>71927</v>
      </c>
      <c r="S3594" t="s">
        <v>71928</v>
      </c>
      <c r="T3594" t="s">
        <v>71929</v>
      </c>
      <c r="U3594" t="s">
        <v>71930</v>
      </c>
      <c r="V3594" t="s">
        <v>71931</v>
      </c>
      <c r="W3594" t="s">
        <v>71932</v>
      </c>
      <c r="X3594" t="s">
        <v>71933</v>
      </c>
      <c r="Y3594" t="s">
        <v>71934</v>
      </c>
    </row>
    <row r="3595" spans="1:25" x14ac:dyDescent="0.3">
      <c r="A3595">
        <v>179700</v>
      </c>
      <c r="B3595" t="s">
        <v>71935</v>
      </c>
      <c r="C3595" t="s">
        <v>71936</v>
      </c>
      <c r="D3595" t="s">
        <v>71937</v>
      </c>
      <c r="E3595" t="s">
        <v>71938</v>
      </c>
      <c r="F3595" t="s">
        <v>71939</v>
      </c>
      <c r="G3595" t="s">
        <v>71940</v>
      </c>
      <c r="H3595" t="s">
        <v>71941</v>
      </c>
      <c r="I3595" t="s">
        <v>71942</v>
      </c>
      <c r="J3595" t="s">
        <v>71943</v>
      </c>
      <c r="K3595" t="s">
        <v>71944</v>
      </c>
      <c r="L3595" t="s">
        <v>71945</v>
      </c>
      <c r="M3595" t="s">
        <v>71946</v>
      </c>
      <c r="N3595" t="s">
        <v>71947</v>
      </c>
      <c r="O3595">
        <f>-562.307192613766 -94.1363733334734 -735.78709615726</f>
        <v>-1392.2306621044995</v>
      </c>
      <c r="P3595">
        <f>-585.562447911888 -84.6569445747557 -420.262839165502</f>
        <v>-1090.4822316521456</v>
      </c>
      <c r="Q3595">
        <f>-340.975218970549 -3.28095135702813 -454.862157889882</f>
        <v>-799.11832821745907</v>
      </c>
      <c r="R3595" t="s">
        <v>71948</v>
      </c>
      <c r="S3595" t="s">
        <v>71949</v>
      </c>
      <c r="T3595" t="s">
        <v>71950</v>
      </c>
      <c r="U3595" t="s">
        <v>71951</v>
      </c>
      <c r="V3595" t="s">
        <v>71952</v>
      </c>
      <c r="W3595" t="s">
        <v>71953</v>
      </c>
      <c r="X3595" t="s">
        <v>71954</v>
      </c>
      <c r="Y3595" t="s">
        <v>71955</v>
      </c>
    </row>
    <row r="3596" spans="1:25" x14ac:dyDescent="0.3">
      <c r="A3596">
        <v>179750</v>
      </c>
      <c r="B3596" t="s">
        <v>71956</v>
      </c>
      <c r="C3596" t="s">
        <v>71957</v>
      </c>
      <c r="D3596" t="s">
        <v>71958</v>
      </c>
      <c r="E3596" t="s">
        <v>71959</v>
      </c>
      <c r="F3596" t="s">
        <v>71960</v>
      </c>
      <c r="G3596" t="s">
        <v>71961</v>
      </c>
      <c r="H3596" t="s">
        <v>71962</v>
      </c>
      <c r="I3596" t="s">
        <v>71963</v>
      </c>
      <c r="J3596" t="s">
        <v>71964</v>
      </c>
      <c r="K3596" t="s">
        <v>71965</v>
      </c>
      <c r="L3596" t="s">
        <v>71966</v>
      </c>
      <c r="M3596" t="s">
        <v>71967</v>
      </c>
      <c r="N3596" t="s">
        <v>71968</v>
      </c>
      <c r="O3596">
        <f>-561.362094307174 -94.5182137747595 -735.505590131887</f>
        <v>-1391.3858982138204</v>
      </c>
      <c r="P3596">
        <f>-584.682257729313 -84.601886389257 -419.999505241427</f>
        <v>-1089.2836493599971</v>
      </c>
      <c r="Q3596">
        <f>-340.090409420254 -3.36043410928951 -454.881116124146</f>
        <v>-798.33195965368941</v>
      </c>
      <c r="R3596" t="s">
        <v>71969</v>
      </c>
      <c r="S3596" t="s">
        <v>71970</v>
      </c>
      <c r="T3596" t="s">
        <v>71971</v>
      </c>
      <c r="U3596" t="s">
        <v>71972</v>
      </c>
      <c r="V3596" t="s">
        <v>71973</v>
      </c>
      <c r="W3596" t="s">
        <v>71974</v>
      </c>
      <c r="X3596" t="s">
        <v>71975</v>
      </c>
      <c r="Y3596" t="s">
        <v>71976</v>
      </c>
    </row>
    <row r="3597" spans="1:25" x14ac:dyDescent="0.3">
      <c r="A3597">
        <v>179800</v>
      </c>
      <c r="B3597" t="s">
        <v>71977</v>
      </c>
      <c r="C3597" t="s">
        <v>71978</v>
      </c>
      <c r="D3597" t="s">
        <v>71979</v>
      </c>
      <c r="E3597" t="s">
        <v>71980</v>
      </c>
      <c r="F3597" t="s">
        <v>71981</v>
      </c>
      <c r="G3597" t="s">
        <v>71982</v>
      </c>
      <c r="H3597" t="s">
        <v>71983</v>
      </c>
      <c r="I3597" t="s">
        <v>71984</v>
      </c>
      <c r="J3597" t="s">
        <v>71985</v>
      </c>
      <c r="K3597" t="s">
        <v>71986</v>
      </c>
      <c r="L3597" t="s">
        <v>71987</v>
      </c>
      <c r="M3597" t="s">
        <v>71988</v>
      </c>
      <c r="N3597" t="s">
        <v>71989</v>
      </c>
      <c r="O3597">
        <f>-561.045307555585 -94.5863544489166 -735.383284692606</f>
        <v>-1391.0149466971077</v>
      </c>
      <c r="P3597">
        <f>-584.373602257863 -84.4909029155764 -419.883487751535</f>
        <v>-1088.7479929249744</v>
      </c>
      <c r="Q3597">
        <f>-339.800332274136 -3.23456325325442 -454.860114199339</f>
        <v>-797.89500972672943</v>
      </c>
      <c r="R3597" t="s">
        <v>71990</v>
      </c>
      <c r="S3597" t="s">
        <v>71991</v>
      </c>
      <c r="T3597" t="s">
        <v>71992</v>
      </c>
      <c r="U3597" t="s">
        <v>71993</v>
      </c>
      <c r="V3597" t="s">
        <v>71994</v>
      </c>
      <c r="W3597" t="s">
        <v>71995</v>
      </c>
      <c r="X3597" t="s">
        <v>71996</v>
      </c>
      <c r="Y3597" t="s">
        <v>71997</v>
      </c>
    </row>
    <row r="3598" spans="1:25" x14ac:dyDescent="0.3">
      <c r="A3598">
        <v>179850</v>
      </c>
      <c r="B3598" t="s">
        <v>71998</v>
      </c>
      <c r="C3598" t="s">
        <v>71999</v>
      </c>
      <c r="D3598" t="s">
        <v>72000</v>
      </c>
      <c r="E3598" t="s">
        <v>72001</v>
      </c>
      <c r="F3598" t="s">
        <v>72002</v>
      </c>
      <c r="G3598" t="s">
        <v>72003</v>
      </c>
      <c r="H3598" t="s">
        <v>72004</v>
      </c>
      <c r="I3598" t="s">
        <v>72005</v>
      </c>
      <c r="J3598" t="s">
        <v>72006</v>
      </c>
      <c r="K3598" t="s">
        <v>72007</v>
      </c>
      <c r="L3598" t="s">
        <v>72008</v>
      </c>
      <c r="M3598" t="s">
        <v>72009</v>
      </c>
      <c r="N3598" t="s">
        <v>72010</v>
      </c>
      <c r="O3598">
        <f>-560.310460092306 -95.2739849397912 -735.143903392039</f>
        <v>-1390.7283484241361</v>
      </c>
      <c r="P3598">
        <f>-583.537711773117 -84.9870999053805 -419.642902509402</f>
        <v>-1088.1677141878995</v>
      </c>
      <c r="Q3598">
        <f>-338.974696298292 -3.80551644367301 -454.863785073054</f>
        <v>-797.64399781501902</v>
      </c>
      <c r="R3598" t="s">
        <v>72011</v>
      </c>
      <c r="S3598" t="s">
        <v>72012</v>
      </c>
      <c r="T3598" t="s">
        <v>72013</v>
      </c>
      <c r="U3598" t="s">
        <v>72014</v>
      </c>
      <c r="V3598" t="s">
        <v>72015</v>
      </c>
      <c r="W3598" t="s">
        <v>72016</v>
      </c>
      <c r="X3598" t="s">
        <v>72017</v>
      </c>
      <c r="Y3598" t="s">
        <v>72018</v>
      </c>
    </row>
    <row r="3599" spans="1:25" x14ac:dyDescent="0.3">
      <c r="A3599">
        <v>179900</v>
      </c>
      <c r="B3599" t="s">
        <v>72019</v>
      </c>
      <c r="C3599" t="s">
        <v>72020</v>
      </c>
      <c r="D3599" t="s">
        <v>72021</v>
      </c>
      <c r="E3599" t="s">
        <v>72022</v>
      </c>
      <c r="F3599" t="s">
        <v>72023</v>
      </c>
      <c r="G3599" t="s">
        <v>72024</v>
      </c>
      <c r="H3599" t="s">
        <v>72025</v>
      </c>
      <c r="I3599" t="s">
        <v>72026</v>
      </c>
      <c r="J3599" t="s">
        <v>72027</v>
      </c>
      <c r="K3599" t="s">
        <v>72028</v>
      </c>
      <c r="L3599" t="s">
        <v>72029</v>
      </c>
      <c r="M3599" t="s">
        <v>72030</v>
      </c>
      <c r="N3599" t="s">
        <v>72031</v>
      </c>
      <c r="O3599">
        <f>-559.728043777794 -95.6267297825605 -735.068039290796</f>
        <v>-1390.4228128511504</v>
      </c>
      <c r="P3599">
        <f>-583.032943454885 -85.185062283408 -419.577756087706</f>
        <v>-1087.7957618259989</v>
      </c>
      <c r="Q3599">
        <f>-338.432413710646 -4.12385105825918 -454.8159490207</f>
        <v>-797.37221378960521</v>
      </c>
      <c r="R3599" t="s">
        <v>72032</v>
      </c>
      <c r="S3599" t="s">
        <v>72033</v>
      </c>
      <c r="T3599" t="s">
        <v>72034</v>
      </c>
      <c r="U3599" t="s">
        <v>72035</v>
      </c>
      <c r="V3599" t="s">
        <v>72036</v>
      </c>
      <c r="W3599" t="s">
        <v>72037</v>
      </c>
      <c r="X3599" t="s">
        <v>72038</v>
      </c>
      <c r="Y3599" t="s">
        <v>72039</v>
      </c>
    </row>
    <row r="3600" spans="1:25" x14ac:dyDescent="0.3">
      <c r="A3600">
        <v>179950</v>
      </c>
      <c r="B3600" t="s">
        <v>72040</v>
      </c>
      <c r="C3600" t="s">
        <v>72041</v>
      </c>
      <c r="D3600" t="s">
        <v>72042</v>
      </c>
      <c r="E3600" t="s">
        <v>72043</v>
      </c>
      <c r="F3600" t="s">
        <v>72044</v>
      </c>
      <c r="G3600" t="s">
        <v>72045</v>
      </c>
      <c r="H3600" t="s">
        <v>72046</v>
      </c>
      <c r="I3600" t="s">
        <v>72047</v>
      </c>
      <c r="J3600" t="s">
        <v>72048</v>
      </c>
      <c r="K3600" t="s">
        <v>72049</v>
      </c>
      <c r="L3600" t="s">
        <v>72050</v>
      </c>
      <c r="M3600" t="s">
        <v>72051</v>
      </c>
      <c r="N3600" t="s">
        <v>72052</v>
      </c>
      <c r="O3600">
        <f>-558.49408080285 -95.9894452087089 -734.875656281874</f>
        <v>-1389.3591822934329</v>
      </c>
      <c r="P3600">
        <f>-581.611594795426 -85.3062726189526 -419.379733659536</f>
        <v>-1086.2976010739144</v>
      </c>
      <c r="Q3600">
        <f>-336.961077867627 -4.40833528294159 -454.646232682521</f>
        <v>-796.01564583308959</v>
      </c>
      <c r="R3600" t="s">
        <v>72053</v>
      </c>
      <c r="S3600" t="s">
        <v>72054</v>
      </c>
      <c r="T3600" t="s">
        <v>72055</v>
      </c>
      <c r="U3600" t="s">
        <v>72056</v>
      </c>
      <c r="V3600" t="s">
        <v>72057</v>
      </c>
      <c r="W3600" t="s">
        <v>72058</v>
      </c>
      <c r="X3600" t="s">
        <v>72059</v>
      </c>
      <c r="Y3600" t="s">
        <v>72060</v>
      </c>
    </row>
    <row r="3601" spans="1:25" x14ac:dyDescent="0.3">
      <c r="A3601">
        <v>180000</v>
      </c>
      <c r="B3601" t="s">
        <v>72061</v>
      </c>
      <c r="C3601" t="s">
        <v>72062</v>
      </c>
      <c r="D3601" t="s">
        <v>72063</v>
      </c>
      <c r="E3601" t="s">
        <v>72064</v>
      </c>
      <c r="F3601" t="s">
        <v>72065</v>
      </c>
      <c r="G3601" t="s">
        <v>72066</v>
      </c>
      <c r="H3601" t="s">
        <v>72067</v>
      </c>
      <c r="I3601" t="s">
        <v>72068</v>
      </c>
      <c r="J3601" t="s">
        <v>72069</v>
      </c>
      <c r="K3601" t="s">
        <v>72070</v>
      </c>
      <c r="L3601" t="s">
        <v>72071</v>
      </c>
      <c r="M3601" t="s">
        <v>72072</v>
      </c>
      <c r="N3601" t="s">
        <v>72073</v>
      </c>
      <c r="O3601">
        <f>-558.053324323585 -96.3638020993891 -734.825715194974</f>
        <v>-1389.2428416179482</v>
      </c>
      <c r="P3601">
        <f>-580.935974913114 -85.5392301623972 -419.31762582604</f>
        <v>-1085.7928309015513</v>
      </c>
      <c r="Q3601">
        <f>-336.297159164777 -4.64155785989875 -454.665448706091</f>
        <v>-795.60416573076668</v>
      </c>
      <c r="R3601" t="s">
        <v>72074</v>
      </c>
      <c r="S3601" t="s">
        <v>72075</v>
      </c>
      <c r="T3601" t="s">
        <v>72076</v>
      </c>
      <c r="U3601" t="s">
        <v>72077</v>
      </c>
      <c r="V3601" t="s">
        <v>72078</v>
      </c>
      <c r="W3601" t="s">
        <v>72079</v>
      </c>
      <c r="X3601" t="s">
        <v>72080</v>
      </c>
      <c r="Y3601" t="s">
        <v>72081</v>
      </c>
    </row>
    <row r="3602" spans="1:25" x14ac:dyDescent="0.3">
      <c r="A3602">
        <v>180050</v>
      </c>
      <c r="B3602" t="s">
        <v>72082</v>
      </c>
      <c r="C3602" t="s">
        <v>72083</v>
      </c>
      <c r="D3602" t="s">
        <v>72084</v>
      </c>
      <c r="E3602" t="s">
        <v>72085</v>
      </c>
      <c r="F3602" t="s">
        <v>72086</v>
      </c>
      <c r="G3602" t="s">
        <v>72087</v>
      </c>
      <c r="H3602" t="s">
        <v>72088</v>
      </c>
      <c r="I3602" t="s">
        <v>72089</v>
      </c>
      <c r="J3602" t="s">
        <v>72090</v>
      </c>
      <c r="K3602" t="s">
        <v>72091</v>
      </c>
      <c r="L3602" t="s">
        <v>72092</v>
      </c>
      <c r="M3602" t="s">
        <v>72093</v>
      </c>
      <c r="N3602" t="s">
        <v>72094</v>
      </c>
      <c r="O3602">
        <f>-557.204516025756 -96.3969529188383 -734.639770898562</f>
        <v>-1388.2412398431563</v>
      </c>
      <c r="P3602">
        <f>-579.680273689102 -85.5251099928323 -419.104045598102</f>
        <v>-1084.3094292800363</v>
      </c>
      <c r="Q3602">
        <f>-335.087878158932 -4.58339752468447 -454.671369825527</f>
        <v>-794.34264550914349</v>
      </c>
      <c r="R3602" t="s">
        <v>72095</v>
      </c>
      <c r="S3602" t="s">
        <v>72096</v>
      </c>
      <c r="T3602" t="s">
        <v>72097</v>
      </c>
      <c r="U3602" t="s">
        <v>72098</v>
      </c>
      <c r="V3602" t="s">
        <v>72099</v>
      </c>
      <c r="W3602" t="s">
        <v>72100</v>
      </c>
      <c r="X3602" t="s">
        <v>72101</v>
      </c>
      <c r="Y3602" t="s">
        <v>72102</v>
      </c>
    </row>
    <row r="3603" spans="1:25" x14ac:dyDescent="0.3">
      <c r="A3603">
        <v>180100</v>
      </c>
      <c r="B3603" t="s">
        <v>72103</v>
      </c>
      <c r="C3603" t="s">
        <v>72104</v>
      </c>
      <c r="D3603" t="s">
        <v>72105</v>
      </c>
      <c r="E3603" t="s">
        <v>72106</v>
      </c>
      <c r="F3603" t="s">
        <v>72107</v>
      </c>
      <c r="G3603" t="s">
        <v>72108</v>
      </c>
      <c r="H3603" t="s">
        <v>72109</v>
      </c>
      <c r="I3603" t="s">
        <v>72110</v>
      </c>
      <c r="J3603" t="s">
        <v>72111</v>
      </c>
      <c r="K3603" t="s">
        <v>72112</v>
      </c>
      <c r="L3603" t="s">
        <v>72113</v>
      </c>
      <c r="M3603" t="s">
        <v>72114</v>
      </c>
      <c r="N3603" t="s">
        <v>72115</v>
      </c>
      <c r="O3603">
        <f>-556.262751235057 -96.8673205630804 -734.517510739677</f>
        <v>-1387.6475825378143</v>
      </c>
      <c r="P3603">
        <f>-578.856298016853 -85.8936538114105 -418.993717448342</f>
        <v>-1083.7436692766055</v>
      </c>
      <c r="Q3603">
        <f>-334.303229663273 -4.8679233991447 -454.640891941105</f>
        <v>-793.8120450035226</v>
      </c>
      <c r="R3603" t="s">
        <v>72116</v>
      </c>
      <c r="S3603" t="s">
        <v>72117</v>
      </c>
      <c r="T3603" t="s">
        <v>72118</v>
      </c>
      <c r="U3603" t="s">
        <v>72119</v>
      </c>
      <c r="V3603" t="s">
        <v>72120</v>
      </c>
      <c r="W3603" t="s">
        <v>72121</v>
      </c>
      <c r="X3603" t="s">
        <v>72122</v>
      </c>
      <c r="Y3603" t="s">
        <v>72123</v>
      </c>
    </row>
    <row r="3604" spans="1:25" x14ac:dyDescent="0.3">
      <c r="A3604">
        <v>180150</v>
      </c>
      <c r="B3604" t="s">
        <v>72124</v>
      </c>
      <c r="C3604" t="s">
        <v>72125</v>
      </c>
      <c r="D3604" t="s">
        <v>72126</v>
      </c>
      <c r="E3604" t="s">
        <v>72127</v>
      </c>
      <c r="F3604" t="s">
        <v>72128</v>
      </c>
      <c r="G3604" t="s">
        <v>72129</v>
      </c>
      <c r="H3604" t="s">
        <v>72130</v>
      </c>
      <c r="I3604" t="s">
        <v>72131</v>
      </c>
      <c r="J3604" t="s">
        <v>72132</v>
      </c>
      <c r="K3604" t="s">
        <v>72133</v>
      </c>
      <c r="L3604" t="s">
        <v>72134</v>
      </c>
      <c r="M3604" t="s">
        <v>72135</v>
      </c>
      <c r="N3604" t="s">
        <v>72136</v>
      </c>
      <c r="O3604">
        <f>-555.184751270716 -97.0843201138437 -734.482192930376</f>
        <v>-1386.7512643149357</v>
      </c>
      <c r="P3604">
        <f>-578.191132061625 -86.1687100321077 -418.986053396776</f>
        <v>-1083.3458954905086</v>
      </c>
      <c r="Q3604">
        <f>-333.744287262168 -4.76833496625532 -454.507806056551</f>
        <v>-793.02042828497429</v>
      </c>
      <c r="R3604" t="s">
        <v>72137</v>
      </c>
      <c r="S3604" t="s">
        <v>72138</v>
      </c>
      <c r="T3604" t="s">
        <v>72139</v>
      </c>
      <c r="U3604" t="s">
        <v>72140</v>
      </c>
      <c r="V3604" t="s">
        <v>72141</v>
      </c>
      <c r="W3604" t="s">
        <v>72142</v>
      </c>
      <c r="X3604" t="s">
        <v>72143</v>
      </c>
      <c r="Y3604" t="s">
        <v>72144</v>
      </c>
    </row>
    <row r="3605" spans="1:25" x14ac:dyDescent="0.3">
      <c r="A3605">
        <v>180200</v>
      </c>
      <c r="B3605" t="s">
        <v>72145</v>
      </c>
      <c r="C3605" t="s">
        <v>72146</v>
      </c>
      <c r="D3605" t="s">
        <v>72147</v>
      </c>
      <c r="E3605" t="s">
        <v>72148</v>
      </c>
      <c r="F3605" t="s">
        <v>72149</v>
      </c>
      <c r="G3605" t="s">
        <v>72150</v>
      </c>
      <c r="H3605" t="s">
        <v>72151</v>
      </c>
      <c r="I3605" t="s">
        <v>72152</v>
      </c>
      <c r="J3605" t="s">
        <v>72153</v>
      </c>
      <c r="K3605" t="s">
        <v>72154</v>
      </c>
      <c r="L3605" t="s">
        <v>72155</v>
      </c>
      <c r="M3605" t="s">
        <v>72156</v>
      </c>
      <c r="N3605" t="s">
        <v>72157</v>
      </c>
      <c r="O3605">
        <f>-554.947298735202 -97.0648029007705 -734.50513958314</f>
        <v>-1386.5172412191125</v>
      </c>
      <c r="P3605">
        <f>-578.157947386963 -86.3666706175569 -419.016591021453</f>
        <v>-1083.5412090259729</v>
      </c>
      <c r="Q3605">
        <f>-333.775397269402 -4.71734264094731 -454.408508367572</f>
        <v>-792.90124827792124</v>
      </c>
      <c r="R3605" t="s">
        <v>72158</v>
      </c>
      <c r="S3605" t="s">
        <v>72159</v>
      </c>
      <c r="T3605" t="s">
        <v>72160</v>
      </c>
      <c r="U3605" t="s">
        <v>72161</v>
      </c>
      <c r="V3605" t="s">
        <v>72162</v>
      </c>
      <c r="W3605" t="s">
        <v>72163</v>
      </c>
      <c r="X3605" t="s">
        <v>72164</v>
      </c>
      <c r="Y3605" t="s">
        <v>72165</v>
      </c>
    </row>
    <row r="3606" spans="1:25" x14ac:dyDescent="0.3">
      <c r="A3606">
        <v>180250</v>
      </c>
      <c r="B3606" t="s">
        <v>72166</v>
      </c>
      <c r="C3606" t="s">
        <v>72167</v>
      </c>
      <c r="D3606" t="s">
        <v>72168</v>
      </c>
      <c r="E3606" t="s">
        <v>72169</v>
      </c>
      <c r="F3606" t="s">
        <v>72170</v>
      </c>
      <c r="G3606" t="s">
        <v>72171</v>
      </c>
      <c r="H3606" t="s">
        <v>72172</v>
      </c>
      <c r="I3606" t="s">
        <v>72173</v>
      </c>
      <c r="J3606" t="s">
        <v>72174</v>
      </c>
      <c r="K3606" t="s">
        <v>72175</v>
      </c>
      <c r="L3606" t="s">
        <v>72176</v>
      </c>
      <c r="M3606" t="s">
        <v>72177</v>
      </c>
      <c r="N3606" t="s">
        <v>72178</v>
      </c>
      <c r="O3606">
        <f>-554.453576735274 -97.1701984989287 -734.60742240537</f>
        <v>-1386.2311976395727</v>
      </c>
      <c r="P3606">
        <f>-578.089398943137 -86.5415441300396 -419.148139051311</f>
        <v>-1083.7790821244876</v>
      </c>
      <c r="Q3606">
        <f>-333.776314683238 -4.63162468794869 -454.417411020091</f>
        <v>-792.82535039127765</v>
      </c>
      <c r="R3606" t="s">
        <v>72179</v>
      </c>
      <c r="S3606" t="s">
        <v>72180</v>
      </c>
      <c r="T3606" t="s">
        <v>72181</v>
      </c>
      <c r="U3606" t="s">
        <v>72182</v>
      </c>
      <c r="V3606" t="s">
        <v>72183</v>
      </c>
      <c r="W3606" t="s">
        <v>72184</v>
      </c>
      <c r="X3606" t="s">
        <v>72185</v>
      </c>
      <c r="Y3606" t="s">
        <v>72186</v>
      </c>
    </row>
    <row r="3607" spans="1:25" x14ac:dyDescent="0.3">
      <c r="A3607">
        <v>180300</v>
      </c>
      <c r="B3607" t="s">
        <v>72187</v>
      </c>
      <c r="C3607" t="s">
        <v>72188</v>
      </c>
      <c r="D3607" t="s">
        <v>72189</v>
      </c>
      <c r="E3607" t="s">
        <v>72190</v>
      </c>
      <c r="F3607" t="s">
        <v>72191</v>
      </c>
      <c r="G3607" t="s">
        <v>72192</v>
      </c>
      <c r="H3607" t="s">
        <v>72193</v>
      </c>
      <c r="I3607" t="s">
        <v>72194</v>
      </c>
      <c r="J3607" t="s">
        <v>72195</v>
      </c>
      <c r="K3607" t="s">
        <v>72196</v>
      </c>
      <c r="L3607" t="s">
        <v>72197</v>
      </c>
      <c r="M3607" t="s">
        <v>72198</v>
      </c>
      <c r="N3607" t="s">
        <v>72199</v>
      </c>
      <c r="O3607">
        <f>-554.366483261005 -97.2800432914002 -734.667408519069</f>
        <v>-1386.3139350714741</v>
      </c>
      <c r="P3607">
        <f>-578.180063670402 -86.5796612296182 -419.22394695649</f>
        <v>-1083.9836718565102</v>
      </c>
      <c r="Q3607">
        <f>-333.864905031293 -4.6369976665193 -454.402821439724</f>
        <v>-792.90472413753628</v>
      </c>
      <c r="R3607" t="s">
        <v>72200</v>
      </c>
      <c r="S3607" t="s">
        <v>72201</v>
      </c>
      <c r="T3607" t="s">
        <v>72202</v>
      </c>
      <c r="U3607" t="s">
        <v>72203</v>
      </c>
      <c r="V3607" t="s">
        <v>72204</v>
      </c>
      <c r="W3607" t="s">
        <v>72205</v>
      </c>
      <c r="X3607" t="s">
        <v>72206</v>
      </c>
      <c r="Y3607" t="s">
        <v>72207</v>
      </c>
    </row>
    <row r="3608" spans="1:25" x14ac:dyDescent="0.3">
      <c r="A3608">
        <v>180350</v>
      </c>
      <c r="B3608" t="s">
        <v>72208</v>
      </c>
      <c r="C3608" t="s">
        <v>72209</v>
      </c>
      <c r="D3608" t="s">
        <v>72210</v>
      </c>
      <c r="E3608" t="s">
        <v>72211</v>
      </c>
      <c r="F3608" t="s">
        <v>72212</v>
      </c>
      <c r="G3608" t="s">
        <v>72213</v>
      </c>
      <c r="H3608" t="s">
        <v>72214</v>
      </c>
      <c r="I3608" t="s">
        <v>72215</v>
      </c>
      <c r="J3608" t="s">
        <v>72216</v>
      </c>
      <c r="K3608" t="s">
        <v>72217</v>
      </c>
      <c r="L3608" t="s">
        <v>72218</v>
      </c>
      <c r="M3608" t="s">
        <v>72219</v>
      </c>
      <c r="N3608" t="s">
        <v>72220</v>
      </c>
      <c r="O3608">
        <f>-554.253296910555 -97.4230090643075 -734.837949594011</f>
        <v>-1386.5142555688735</v>
      </c>
      <c r="P3608">
        <f>-578.353971858254 -86.8327766493657 -419.412434711738</f>
        <v>-1084.5991832193577</v>
      </c>
      <c r="Q3608">
        <f>-334.089802275212 -4.61836246270097 -454.30976890665</f>
        <v>-793.01793364456296</v>
      </c>
      <c r="R3608" t="s">
        <v>72221</v>
      </c>
      <c r="S3608" t="s">
        <v>72222</v>
      </c>
      <c r="T3608" t="s">
        <v>72223</v>
      </c>
      <c r="U3608" t="s">
        <v>72224</v>
      </c>
      <c r="V3608" t="s">
        <v>72225</v>
      </c>
      <c r="W3608" t="s">
        <v>72226</v>
      </c>
      <c r="X3608" t="s">
        <v>72227</v>
      </c>
      <c r="Y3608" t="s">
        <v>72228</v>
      </c>
    </row>
    <row r="3609" spans="1:25" x14ac:dyDescent="0.3">
      <c r="A3609">
        <v>180400</v>
      </c>
      <c r="B3609" t="s">
        <v>72229</v>
      </c>
      <c r="C3609" t="s">
        <v>72230</v>
      </c>
      <c r="D3609" t="s">
        <v>72231</v>
      </c>
      <c r="E3609" t="s">
        <v>72232</v>
      </c>
      <c r="F3609" t="s">
        <v>72233</v>
      </c>
      <c r="G3609" t="s">
        <v>72234</v>
      </c>
      <c r="H3609" t="s">
        <v>72235</v>
      </c>
      <c r="I3609" t="s">
        <v>72236</v>
      </c>
      <c r="J3609" t="s">
        <v>72237</v>
      </c>
      <c r="K3609" t="s">
        <v>72238</v>
      </c>
      <c r="L3609" t="s">
        <v>72239</v>
      </c>
      <c r="M3609" t="s">
        <v>72240</v>
      </c>
      <c r="N3609" t="s">
        <v>72241</v>
      </c>
      <c r="O3609">
        <f>-554.139413544653 -97.404351754666 -734.903230644306</f>
        <v>-1386.4469959436251</v>
      </c>
      <c r="P3609">
        <f>-578.379739070753 -86.8740454901621 -419.486523558885</f>
        <v>-1084.7403081197999</v>
      </c>
      <c r="Q3609">
        <f>-334.161118713454 -4.51910798384299 -454.371767983076</f>
        <v>-793.05199468037301</v>
      </c>
      <c r="R3609" t="s">
        <v>72242</v>
      </c>
      <c r="S3609" t="s">
        <v>72243</v>
      </c>
      <c r="T3609" t="s">
        <v>72244</v>
      </c>
      <c r="U3609" t="s">
        <v>72245</v>
      </c>
      <c r="V3609" t="s">
        <v>72246</v>
      </c>
      <c r="W3609" t="s">
        <v>72247</v>
      </c>
      <c r="X3609" t="s">
        <v>72248</v>
      </c>
      <c r="Y3609" t="s">
        <v>72249</v>
      </c>
    </row>
    <row r="3610" spans="1:25" x14ac:dyDescent="0.3">
      <c r="A3610">
        <v>180450</v>
      </c>
      <c r="B3610" t="s">
        <v>72229</v>
      </c>
      <c r="C3610" t="s">
        <v>72230</v>
      </c>
      <c r="D3610" t="s">
        <v>72231</v>
      </c>
      <c r="E3610" t="s">
        <v>72232</v>
      </c>
      <c r="F3610" t="s">
        <v>72233</v>
      </c>
      <c r="G3610" t="s">
        <v>72234</v>
      </c>
      <c r="H3610" t="s">
        <v>72235</v>
      </c>
      <c r="I3610" t="s">
        <v>72236</v>
      </c>
      <c r="J3610" t="s">
        <v>72237</v>
      </c>
      <c r="K3610" t="s">
        <v>72238</v>
      </c>
      <c r="L3610" t="s">
        <v>72239</v>
      </c>
      <c r="M3610" t="s">
        <v>72240</v>
      </c>
      <c r="N3610" t="s">
        <v>72241</v>
      </c>
      <c r="O3610">
        <f>-554.139413544653 -97.404351754666 -734.903230644306</f>
        <v>-1386.4469959436251</v>
      </c>
      <c r="P3610">
        <f>-578.379739070753 -86.8740454901621 -419.486523558885</f>
        <v>-1084.7403081197999</v>
      </c>
      <c r="Q3610">
        <f>-334.161118713454 -4.51910798384299 -454.371767983076</f>
        <v>-793.05199468037301</v>
      </c>
      <c r="R3610" t="s">
        <v>72242</v>
      </c>
      <c r="S3610" t="s">
        <v>72243</v>
      </c>
      <c r="T3610" t="s">
        <v>72244</v>
      </c>
      <c r="U3610" t="s">
        <v>72245</v>
      </c>
      <c r="V3610" t="s">
        <v>72246</v>
      </c>
      <c r="W3610" t="s">
        <v>72247</v>
      </c>
      <c r="X3610" t="s">
        <v>72248</v>
      </c>
      <c r="Y3610" t="s">
        <v>72249</v>
      </c>
    </row>
    <row r="3611" spans="1:25" x14ac:dyDescent="0.3">
      <c r="A3611">
        <v>180500</v>
      </c>
      <c r="B3611" t="s">
        <v>72250</v>
      </c>
      <c r="C3611" t="s">
        <v>72251</v>
      </c>
      <c r="D3611" t="s">
        <v>72252</v>
      </c>
      <c r="E3611" t="s">
        <v>72253</v>
      </c>
      <c r="F3611" t="s">
        <v>72254</v>
      </c>
      <c r="G3611" t="s">
        <v>72255</v>
      </c>
      <c r="H3611" t="s">
        <v>72256</v>
      </c>
      <c r="I3611" t="s">
        <v>72257</v>
      </c>
      <c r="J3611" t="s">
        <v>72258</v>
      </c>
      <c r="K3611" t="s">
        <v>72259</v>
      </c>
      <c r="L3611" t="s">
        <v>72260</v>
      </c>
      <c r="M3611" t="s">
        <v>72261</v>
      </c>
      <c r="N3611" t="s">
        <v>72262</v>
      </c>
      <c r="O3611">
        <f>-554.742630335783 -97.3325748443996 -734.965766363807</f>
        <v>-1387.0409715439896</v>
      </c>
      <c r="P3611">
        <f>-578.967831694867 -87.0149408186744 -419.54085270214</f>
        <v>-1085.5236252156815</v>
      </c>
      <c r="Q3611">
        <f>-334.772378057241 -4.70088973143974 -454.683557915307</f>
        <v>-794.15682570398781</v>
      </c>
      <c r="R3611" t="s">
        <v>72263</v>
      </c>
      <c r="S3611" t="s">
        <v>72264</v>
      </c>
      <c r="T3611" t="s">
        <v>72265</v>
      </c>
      <c r="U3611" t="s">
        <v>72266</v>
      </c>
      <c r="V3611" t="s">
        <v>72267</v>
      </c>
      <c r="W3611" t="s">
        <v>72268</v>
      </c>
      <c r="X3611" t="s">
        <v>72269</v>
      </c>
      <c r="Y3611" t="s">
        <v>72270</v>
      </c>
    </row>
    <row r="3612" spans="1:25" x14ac:dyDescent="0.3">
      <c r="A3612">
        <v>180550</v>
      </c>
      <c r="B3612" t="s">
        <v>72271</v>
      </c>
      <c r="C3612" t="s">
        <v>72272</v>
      </c>
      <c r="D3612" t="s">
        <v>72273</v>
      </c>
      <c r="E3612" t="s">
        <v>72274</v>
      </c>
      <c r="F3612" t="s">
        <v>72275</v>
      </c>
      <c r="G3612" t="s">
        <v>72276</v>
      </c>
      <c r="H3612" t="s">
        <v>72277</v>
      </c>
      <c r="I3612" t="s">
        <v>72278</v>
      </c>
      <c r="J3612" t="s">
        <v>72279</v>
      </c>
      <c r="K3612" t="s">
        <v>72280</v>
      </c>
      <c r="L3612" t="s">
        <v>72281</v>
      </c>
      <c r="M3612" t="s">
        <v>72282</v>
      </c>
      <c r="N3612" t="s">
        <v>72283</v>
      </c>
      <c r="O3612">
        <f>-555.390151554405 -97.0830951056965 -734.990772312423</f>
        <v>-1387.4640189725246</v>
      </c>
      <c r="P3612">
        <f>-579.682810322191 -86.9085329387465 -419.566484423433</f>
        <v>-1086.1578276843704</v>
      </c>
      <c r="Q3612">
        <f>-335.483200504927 -4.73520191524111 -455.008542307314</f>
        <v>-795.22694472748208</v>
      </c>
      <c r="R3612" t="s">
        <v>72284</v>
      </c>
      <c r="S3612" t="s">
        <v>72285</v>
      </c>
      <c r="T3612" t="s">
        <v>72286</v>
      </c>
      <c r="U3612" t="s">
        <v>72287</v>
      </c>
      <c r="V3612" t="s">
        <v>72288</v>
      </c>
      <c r="W3612" t="s">
        <v>72289</v>
      </c>
      <c r="X3612" t="s">
        <v>72290</v>
      </c>
      <c r="Y3612" t="s">
        <v>72291</v>
      </c>
    </row>
    <row r="3613" spans="1:25" x14ac:dyDescent="0.3">
      <c r="A3613">
        <v>180600</v>
      </c>
      <c r="B3613" t="s">
        <v>72292</v>
      </c>
      <c r="C3613" t="s">
        <v>72293</v>
      </c>
      <c r="D3613" t="s">
        <v>72294</v>
      </c>
      <c r="E3613" t="s">
        <v>72295</v>
      </c>
      <c r="F3613" t="s">
        <v>72296</v>
      </c>
      <c r="G3613" t="s">
        <v>72297</v>
      </c>
      <c r="H3613" t="s">
        <v>72298</v>
      </c>
      <c r="I3613" t="s">
        <v>72299</v>
      </c>
      <c r="J3613" t="s">
        <v>72300</v>
      </c>
      <c r="K3613" t="s">
        <v>72301</v>
      </c>
      <c r="L3613" t="s">
        <v>72302</v>
      </c>
      <c r="M3613" t="s">
        <v>72303</v>
      </c>
      <c r="N3613" t="s">
        <v>72304</v>
      </c>
      <c r="O3613">
        <f>-555.766275902445 -96.8550641787701 -735.017529239144</f>
        <v>-1387.6388693203592</v>
      </c>
      <c r="P3613">
        <f>-580.063095699345 -86.8322766574857 -419.588657712605</f>
        <v>-1086.4840300694359</v>
      </c>
      <c r="Q3613">
        <f>-335.861951443997 -4.69904036493877 -455.113362325435</f>
        <v>-795.67435413437079</v>
      </c>
      <c r="R3613" t="s">
        <v>72305</v>
      </c>
      <c r="S3613" t="s">
        <v>72306</v>
      </c>
      <c r="T3613" t="s">
        <v>72307</v>
      </c>
      <c r="U3613" t="s">
        <v>72308</v>
      </c>
      <c r="V3613" t="s">
        <v>72309</v>
      </c>
      <c r="W3613" t="s">
        <v>72310</v>
      </c>
      <c r="X3613" t="s">
        <v>72311</v>
      </c>
      <c r="Y3613" t="s">
        <v>72312</v>
      </c>
    </row>
    <row r="3614" spans="1:25" x14ac:dyDescent="0.3">
      <c r="A3614">
        <v>180650</v>
      </c>
      <c r="B3614" t="s">
        <v>72313</v>
      </c>
      <c r="C3614" t="s">
        <v>72314</v>
      </c>
      <c r="D3614" t="s">
        <v>72315</v>
      </c>
      <c r="E3614" t="s">
        <v>72316</v>
      </c>
      <c r="F3614" t="s">
        <v>72317</v>
      </c>
      <c r="G3614" t="s">
        <v>72318</v>
      </c>
      <c r="H3614" t="s">
        <v>72319</v>
      </c>
      <c r="I3614" t="s">
        <v>72320</v>
      </c>
      <c r="J3614" t="s">
        <v>72321</v>
      </c>
      <c r="K3614" t="s">
        <v>72322</v>
      </c>
      <c r="L3614" t="s">
        <v>72323</v>
      </c>
      <c r="M3614" t="s">
        <v>72324</v>
      </c>
      <c r="N3614" t="s">
        <v>72325</v>
      </c>
      <c r="O3614">
        <f>-556.395931765923 -96.6874506532234 -735.060343354634</f>
        <v>-1388.1437257737805</v>
      </c>
      <c r="P3614">
        <f>-580.599058397923 -86.8601288180056 -419.618000197306</f>
        <v>-1087.0771874132347</v>
      </c>
      <c r="Q3614">
        <f>-336.429999350722 -4.78988248423053 -455.506711607563</f>
        <v>-796.72659344251554</v>
      </c>
      <c r="R3614" t="s">
        <v>72326</v>
      </c>
      <c r="S3614" t="s">
        <v>72327</v>
      </c>
      <c r="T3614" t="s">
        <v>72328</v>
      </c>
      <c r="U3614" t="s">
        <v>72329</v>
      </c>
      <c r="V3614" t="s">
        <v>72330</v>
      </c>
      <c r="W3614" t="s">
        <v>72331</v>
      </c>
      <c r="X3614" t="s">
        <v>72332</v>
      </c>
      <c r="Y3614" t="s">
        <v>72333</v>
      </c>
    </row>
    <row r="3615" spans="1:25" x14ac:dyDescent="0.3">
      <c r="A3615">
        <v>180700</v>
      </c>
      <c r="B3615" t="s">
        <v>72334</v>
      </c>
      <c r="C3615" t="s">
        <v>72335</v>
      </c>
      <c r="D3615" t="s">
        <v>72336</v>
      </c>
      <c r="E3615" t="s">
        <v>72337</v>
      </c>
      <c r="F3615" t="s">
        <v>72338</v>
      </c>
      <c r="G3615" t="s">
        <v>72339</v>
      </c>
      <c r="H3615" t="s">
        <v>72340</v>
      </c>
      <c r="I3615" t="s">
        <v>72341</v>
      </c>
      <c r="J3615" t="s">
        <v>72342</v>
      </c>
      <c r="K3615" t="s">
        <v>72343</v>
      </c>
      <c r="L3615" t="s">
        <v>72344</v>
      </c>
      <c r="M3615" t="s">
        <v>72345</v>
      </c>
      <c r="N3615" t="s">
        <v>72346</v>
      </c>
      <c r="O3615">
        <f>-556.393609964078 -96.5464625132723 -735.077794967789</f>
        <v>-1388.0178674451395</v>
      </c>
      <c r="P3615">
        <f>-580.515613601422 -86.8152873688187 -419.626286984568</f>
        <v>-1086.9571879548087</v>
      </c>
      <c r="Q3615">
        <f>-336.376106351111 -4.76661297587864 -455.764521444752</f>
        <v>-796.90724077174161</v>
      </c>
      <c r="R3615" t="s">
        <v>72347</v>
      </c>
      <c r="S3615" t="s">
        <v>72348</v>
      </c>
      <c r="T3615" t="s">
        <v>72349</v>
      </c>
      <c r="U3615" t="s">
        <v>72350</v>
      </c>
      <c r="V3615" t="s">
        <v>72351</v>
      </c>
      <c r="W3615" t="s">
        <v>72352</v>
      </c>
      <c r="X3615" t="s">
        <v>72353</v>
      </c>
      <c r="Y3615" t="s">
        <v>72354</v>
      </c>
    </row>
    <row r="3616" spans="1:25" x14ac:dyDescent="0.3">
      <c r="A3616">
        <v>180750</v>
      </c>
      <c r="B3616" t="s">
        <v>72355</v>
      </c>
      <c r="C3616" t="s">
        <v>72356</v>
      </c>
      <c r="D3616" t="s">
        <v>72357</v>
      </c>
      <c r="E3616" t="s">
        <v>72358</v>
      </c>
      <c r="F3616" t="s">
        <v>72359</v>
      </c>
      <c r="G3616" t="s">
        <v>72360</v>
      </c>
      <c r="H3616" t="s">
        <v>72361</v>
      </c>
      <c r="I3616" t="s">
        <v>72362</v>
      </c>
      <c r="J3616" t="s">
        <v>72363</v>
      </c>
      <c r="K3616" t="s">
        <v>72364</v>
      </c>
      <c r="L3616" t="s">
        <v>72365</v>
      </c>
      <c r="M3616" t="s">
        <v>72366</v>
      </c>
      <c r="N3616" t="s">
        <v>72367</v>
      </c>
      <c r="O3616">
        <f>-556.554324650462 -96.2126931870356 -734.99480043264</f>
        <v>-1387.7618182701376</v>
      </c>
      <c r="P3616">
        <f>-580.653897313685 -86.583702041256 -419.538527177443</f>
        <v>-1086.7761265323841</v>
      </c>
      <c r="Q3616">
        <f>-336.555641020884 -4.6351334863481 -456.179195145227</f>
        <v>-797.36996965245908</v>
      </c>
      <c r="R3616" t="s">
        <v>72368</v>
      </c>
      <c r="S3616" t="s">
        <v>72369</v>
      </c>
      <c r="T3616" t="s">
        <v>72370</v>
      </c>
      <c r="U3616" t="s">
        <v>72371</v>
      </c>
      <c r="V3616" t="s">
        <v>72372</v>
      </c>
      <c r="W3616" t="s">
        <v>72373</v>
      </c>
      <c r="X3616" t="s">
        <v>72374</v>
      </c>
      <c r="Y3616" t="s">
        <v>72375</v>
      </c>
    </row>
    <row r="3617" spans="1:25" x14ac:dyDescent="0.3">
      <c r="A3617">
        <v>180800</v>
      </c>
      <c r="B3617" t="s">
        <v>72376</v>
      </c>
      <c r="C3617" t="s">
        <v>72377</v>
      </c>
      <c r="D3617" t="s">
        <v>72378</v>
      </c>
      <c r="E3617" t="s">
        <v>72379</v>
      </c>
      <c r="F3617" t="s">
        <v>72380</v>
      </c>
      <c r="G3617" t="s">
        <v>72381</v>
      </c>
      <c r="H3617" t="s">
        <v>72382</v>
      </c>
      <c r="I3617" t="s">
        <v>72383</v>
      </c>
      <c r="J3617" t="s">
        <v>72384</v>
      </c>
      <c r="K3617" t="s">
        <v>72385</v>
      </c>
      <c r="L3617" t="s">
        <v>72386</v>
      </c>
      <c r="M3617" t="s">
        <v>72387</v>
      </c>
      <c r="N3617" t="s">
        <v>72388</v>
      </c>
      <c r="O3617">
        <f>-556.778827698291 -95.8726801684233 -734.959212765722</f>
        <v>-1387.6107206324364</v>
      </c>
      <c r="P3617">
        <f>-580.919206616808 -86.2183402346098 -419.506775342706</f>
        <v>-1086.6443221941238</v>
      </c>
      <c r="Q3617">
        <f>-336.858164563738 -4.27058741517085 -456.396350052325</f>
        <v>-797.52510203123381</v>
      </c>
      <c r="R3617" t="s">
        <v>72389</v>
      </c>
      <c r="S3617" t="s">
        <v>72390</v>
      </c>
      <c r="T3617" t="s">
        <v>72391</v>
      </c>
      <c r="U3617" t="s">
        <v>72392</v>
      </c>
      <c r="V3617" t="s">
        <v>72393</v>
      </c>
      <c r="W3617" t="s">
        <v>72394</v>
      </c>
      <c r="X3617" t="s">
        <v>72395</v>
      </c>
      <c r="Y3617" t="s">
        <v>72396</v>
      </c>
    </row>
    <row r="3618" spans="1:25" x14ac:dyDescent="0.3">
      <c r="A3618">
        <v>180850</v>
      </c>
      <c r="B3618" t="s">
        <v>72397</v>
      </c>
      <c r="C3618" t="s">
        <v>72398</v>
      </c>
      <c r="D3618" t="s">
        <v>72399</v>
      </c>
      <c r="E3618" t="s">
        <v>72400</v>
      </c>
      <c r="F3618" t="s">
        <v>72401</v>
      </c>
      <c r="G3618" t="s">
        <v>72402</v>
      </c>
      <c r="H3618" t="s">
        <v>72403</v>
      </c>
      <c r="I3618" t="s">
        <v>72404</v>
      </c>
      <c r="J3618" t="s">
        <v>72405</v>
      </c>
      <c r="K3618" t="s">
        <v>72406</v>
      </c>
      <c r="L3618" t="s">
        <v>72407</v>
      </c>
      <c r="M3618" t="s">
        <v>72408</v>
      </c>
      <c r="N3618" t="s">
        <v>72409</v>
      </c>
      <c r="O3618">
        <f>-557.050579062826 -95.6949079686819 -734.808539150806</f>
        <v>-1387.5540261823139</v>
      </c>
      <c r="P3618">
        <f>-581.201119535543 -85.9882950953482 -419.358366748422</f>
        <v>-1086.5477813793132</v>
      </c>
      <c r="Q3618">
        <f>-337.107041886202 -4.19276909766018 -456.366949864252</f>
        <v>-797.66676084811411</v>
      </c>
      <c r="R3618" t="s">
        <v>72410</v>
      </c>
      <c r="S3618" t="s">
        <v>72411</v>
      </c>
      <c r="T3618" t="s">
        <v>72412</v>
      </c>
      <c r="U3618" t="s">
        <v>72413</v>
      </c>
      <c r="V3618" t="s">
        <v>72414</v>
      </c>
      <c r="W3618" t="s">
        <v>72415</v>
      </c>
      <c r="X3618" t="s">
        <v>72416</v>
      </c>
      <c r="Y3618" t="s">
        <v>72417</v>
      </c>
    </row>
    <row r="3619" spans="1:25" x14ac:dyDescent="0.3">
      <c r="A3619">
        <v>180900</v>
      </c>
      <c r="B3619" t="s">
        <v>72418</v>
      </c>
      <c r="C3619" t="s">
        <v>72419</v>
      </c>
      <c r="D3619" t="s">
        <v>72420</v>
      </c>
      <c r="E3619" t="s">
        <v>72421</v>
      </c>
      <c r="F3619" t="s">
        <v>72422</v>
      </c>
      <c r="G3619" t="s">
        <v>72423</v>
      </c>
      <c r="H3619" t="s">
        <v>72424</v>
      </c>
      <c r="I3619" t="s">
        <v>72425</v>
      </c>
      <c r="J3619" t="s">
        <v>72426</v>
      </c>
      <c r="K3619" t="s">
        <v>72427</v>
      </c>
      <c r="L3619" t="s">
        <v>72428</v>
      </c>
      <c r="M3619" t="s">
        <v>72429</v>
      </c>
      <c r="N3619" t="s">
        <v>72430</v>
      </c>
      <c r="O3619">
        <f>-557.088128696789 -95.7609280289549 -734.774947907322</f>
        <v>-1387.6240046330659</v>
      </c>
      <c r="P3619">
        <f>-581.382614953312 -85.9965102975382 -419.337773464215</f>
        <v>-1086.7168987150651</v>
      </c>
      <c r="Q3619">
        <f>-337.261193916278 -4.27292001998222 -456.32454075682</f>
        <v>-797.85865469308021</v>
      </c>
      <c r="R3619" t="s">
        <v>72431</v>
      </c>
      <c r="S3619" t="s">
        <v>72432</v>
      </c>
      <c r="T3619" t="s">
        <v>72433</v>
      </c>
      <c r="U3619" t="s">
        <v>72434</v>
      </c>
      <c r="V3619" t="s">
        <v>72435</v>
      </c>
      <c r="W3619" t="s">
        <v>72436</v>
      </c>
      <c r="X3619" t="s">
        <v>72437</v>
      </c>
      <c r="Y3619" t="s">
        <v>72438</v>
      </c>
    </row>
    <row r="3620" spans="1:25" x14ac:dyDescent="0.3">
      <c r="A3620">
        <v>180950</v>
      </c>
      <c r="B3620" t="s">
        <v>72439</v>
      </c>
      <c r="C3620" t="s">
        <v>72440</v>
      </c>
      <c r="D3620" t="s">
        <v>72441</v>
      </c>
      <c r="E3620" t="s">
        <v>72442</v>
      </c>
      <c r="F3620" t="s">
        <v>72443</v>
      </c>
      <c r="G3620" t="s">
        <v>72444</v>
      </c>
      <c r="H3620" t="s">
        <v>72445</v>
      </c>
      <c r="I3620" t="s">
        <v>72446</v>
      </c>
      <c r="J3620" t="s">
        <v>72447</v>
      </c>
      <c r="K3620" t="s">
        <v>72448</v>
      </c>
      <c r="L3620" t="s">
        <v>72449</v>
      </c>
      <c r="M3620" t="s">
        <v>72450</v>
      </c>
      <c r="N3620" t="s">
        <v>72451</v>
      </c>
      <c r="O3620">
        <f>-557.173967050746 -95.4937759774473 -734.782868795144</f>
        <v>-1387.4506118233373</v>
      </c>
      <c r="P3620">
        <f>-581.742241608098 -85.709535478434 -419.36752326094</f>
        <v>-1086.8193003474719</v>
      </c>
      <c r="Q3620">
        <f>-337.566916611042 -4.05779035225184 -456.156608896544</f>
        <v>-797.78131585983783</v>
      </c>
      <c r="R3620" t="s">
        <v>72452</v>
      </c>
      <c r="S3620" t="s">
        <v>72453</v>
      </c>
      <c r="T3620" t="s">
        <v>72454</v>
      </c>
      <c r="U3620" t="s">
        <v>72455</v>
      </c>
      <c r="V3620" t="s">
        <v>72456</v>
      </c>
      <c r="W3620" t="s">
        <v>72457</v>
      </c>
      <c r="X3620" t="s">
        <v>72458</v>
      </c>
      <c r="Y3620" t="s">
        <v>72459</v>
      </c>
    </row>
    <row r="3621" spans="1:25" x14ac:dyDescent="0.3">
      <c r="A3621">
        <v>181000</v>
      </c>
      <c r="B3621" t="s">
        <v>72460</v>
      </c>
      <c r="C3621" t="s">
        <v>72461</v>
      </c>
      <c r="D3621" t="s">
        <v>72462</v>
      </c>
      <c r="E3621" t="s">
        <v>72463</v>
      </c>
      <c r="F3621" t="s">
        <v>72464</v>
      </c>
      <c r="G3621" t="s">
        <v>72465</v>
      </c>
      <c r="H3621" t="s">
        <v>72466</v>
      </c>
      <c r="I3621" t="s">
        <v>72467</v>
      </c>
      <c r="J3621" t="s">
        <v>72468</v>
      </c>
      <c r="K3621" t="s">
        <v>72469</v>
      </c>
      <c r="L3621" t="s">
        <v>72470</v>
      </c>
      <c r="M3621" t="s">
        <v>72471</v>
      </c>
      <c r="N3621" t="s">
        <v>72472</v>
      </c>
      <c r="O3621">
        <f>-557.143607331424 -95.4645903293792 -734.873223465267</f>
        <v>-1387.4814211260702</v>
      </c>
      <c r="P3621">
        <f>-581.832307142344 -85.7272990892364 -419.46584158558</f>
        <v>-1087.0254478171603</v>
      </c>
      <c r="Q3621">
        <f>-337.62980675187 -4.07454544260591 -456.072629678584</f>
        <v>-797.77698187305987</v>
      </c>
      <c r="R3621" t="s">
        <v>72473</v>
      </c>
      <c r="S3621" t="s">
        <v>72474</v>
      </c>
      <c r="T3621" t="s">
        <v>72475</v>
      </c>
      <c r="U3621" t="s">
        <v>72476</v>
      </c>
      <c r="V3621" t="s">
        <v>72477</v>
      </c>
      <c r="W3621" t="s">
        <v>72478</v>
      </c>
      <c r="X3621" t="s">
        <v>72479</v>
      </c>
      <c r="Y3621" t="s">
        <v>72480</v>
      </c>
    </row>
    <row r="3622" spans="1:25" x14ac:dyDescent="0.3">
      <c r="A3622">
        <v>181050</v>
      </c>
      <c r="B3622" t="s">
        <v>72481</v>
      </c>
      <c r="C3622" t="s">
        <v>72482</v>
      </c>
      <c r="D3622" t="s">
        <v>72483</v>
      </c>
      <c r="E3622" t="s">
        <v>72484</v>
      </c>
      <c r="F3622" t="s">
        <v>72485</v>
      </c>
      <c r="G3622" t="s">
        <v>72486</v>
      </c>
      <c r="H3622" t="s">
        <v>72487</v>
      </c>
      <c r="I3622" t="s">
        <v>72488</v>
      </c>
      <c r="J3622" t="s">
        <v>72489</v>
      </c>
      <c r="K3622" t="s">
        <v>72490</v>
      </c>
      <c r="L3622" t="s">
        <v>72491</v>
      </c>
      <c r="M3622" t="s">
        <v>72492</v>
      </c>
      <c r="N3622" t="s">
        <v>72493</v>
      </c>
      <c r="O3622">
        <f>-557.595189656718 -95.52995537985 -735.072842092799</f>
        <v>-1388.197987129367</v>
      </c>
      <c r="P3622">
        <f>-582.541698266789 -85.9257869901924 -419.681670122284</f>
        <v>-1088.1491553792653</v>
      </c>
      <c r="Q3622">
        <f>-338.389945537662 -4.07873094889239 -456.192705939902</f>
        <v>-798.66138242645638</v>
      </c>
      <c r="R3622" t="s">
        <v>72494</v>
      </c>
      <c r="S3622" t="s">
        <v>72495</v>
      </c>
      <c r="T3622" t="s">
        <v>72496</v>
      </c>
      <c r="U3622" t="s">
        <v>72497</v>
      </c>
      <c r="V3622" t="s">
        <v>72498</v>
      </c>
      <c r="W3622" t="s">
        <v>72499</v>
      </c>
      <c r="X3622" t="s">
        <v>72500</v>
      </c>
      <c r="Y3622" t="s">
        <v>72501</v>
      </c>
    </row>
    <row r="3623" spans="1:25" x14ac:dyDescent="0.3">
      <c r="A3623">
        <v>181100</v>
      </c>
      <c r="B3623" t="s">
        <v>72502</v>
      </c>
      <c r="C3623" t="s">
        <v>72503</v>
      </c>
      <c r="D3623" t="s">
        <v>72504</v>
      </c>
      <c r="E3623" t="s">
        <v>72505</v>
      </c>
      <c r="F3623" t="s">
        <v>72506</v>
      </c>
      <c r="G3623" t="s">
        <v>72507</v>
      </c>
      <c r="H3623" t="s">
        <v>72508</v>
      </c>
      <c r="I3623" t="s">
        <v>72509</v>
      </c>
      <c r="J3623" t="s">
        <v>72510</v>
      </c>
      <c r="K3623" t="s">
        <v>72511</v>
      </c>
      <c r="L3623" t="s">
        <v>72512</v>
      </c>
      <c r="M3623" t="s">
        <v>72513</v>
      </c>
      <c r="N3623" t="s">
        <v>72514</v>
      </c>
      <c r="O3623">
        <f>-558.018499641496 -95.25086530515 -735.140493934584</f>
        <v>-1388.4098588812299</v>
      </c>
      <c r="P3623">
        <f>-583.027648796825 -85.7183238525402 -419.751982359204</f>
        <v>-1088.4979550085691</v>
      </c>
      <c r="Q3623">
        <f>-338.935944740063 -3.67862073055804 -456.232145230065</f>
        <v>-798.84671070068612</v>
      </c>
      <c r="R3623" t="s">
        <v>72515</v>
      </c>
      <c r="S3623" t="s">
        <v>72516</v>
      </c>
      <c r="T3623" t="s">
        <v>72517</v>
      </c>
      <c r="U3623" t="s">
        <v>72518</v>
      </c>
      <c r="V3623" t="s">
        <v>72519</v>
      </c>
      <c r="W3623" t="s">
        <v>72520</v>
      </c>
      <c r="X3623" t="s">
        <v>72521</v>
      </c>
      <c r="Y3623" t="s">
        <v>72522</v>
      </c>
    </row>
    <row r="3624" spans="1:25" x14ac:dyDescent="0.3">
      <c r="A3624">
        <v>181150</v>
      </c>
      <c r="B3624" t="s">
        <v>72523</v>
      </c>
      <c r="C3624" t="s">
        <v>72524</v>
      </c>
      <c r="D3624" t="s">
        <v>72525</v>
      </c>
      <c r="E3624" t="s">
        <v>72526</v>
      </c>
      <c r="F3624" t="s">
        <v>72527</v>
      </c>
      <c r="G3624" t="s">
        <v>72528</v>
      </c>
      <c r="H3624" t="s">
        <v>72529</v>
      </c>
      <c r="I3624" t="s">
        <v>72530</v>
      </c>
      <c r="J3624" t="s">
        <v>72531</v>
      </c>
      <c r="K3624" t="s">
        <v>72532</v>
      </c>
      <c r="L3624" t="s">
        <v>72533</v>
      </c>
      <c r="M3624" t="s">
        <v>72534</v>
      </c>
      <c r="N3624" t="s">
        <v>72535</v>
      </c>
      <c r="O3624">
        <f>-559.005944390156 -94.7814547886474 -735.231322354143</f>
        <v>-1389.0187215329463</v>
      </c>
      <c r="P3624">
        <f>-584.025932182172 -85.5967237707166 -419.833452505295</f>
        <v>-1089.4561084581837</v>
      </c>
      <c r="Q3624">
        <f>-340.12888314249 -3.00343011082952 -456.366390310627</f>
        <v>-799.49870356394649</v>
      </c>
      <c r="R3624" t="s">
        <v>72536</v>
      </c>
      <c r="S3624" t="s">
        <v>72537</v>
      </c>
      <c r="T3624" t="s">
        <v>72538</v>
      </c>
      <c r="U3624" t="s">
        <v>72539</v>
      </c>
      <c r="V3624" t="s">
        <v>72540</v>
      </c>
      <c r="W3624" t="s">
        <v>72541</v>
      </c>
      <c r="X3624" t="s">
        <v>72542</v>
      </c>
      <c r="Y3624" t="s">
        <v>72543</v>
      </c>
    </row>
    <row r="3625" spans="1:25" x14ac:dyDescent="0.3">
      <c r="A3625">
        <v>181200</v>
      </c>
      <c r="B3625" t="s">
        <v>72544</v>
      </c>
      <c r="C3625" t="s">
        <v>72545</v>
      </c>
      <c r="D3625" t="s">
        <v>72546</v>
      </c>
      <c r="E3625" t="s">
        <v>72547</v>
      </c>
      <c r="F3625" t="s">
        <v>72548</v>
      </c>
      <c r="G3625" t="s">
        <v>72549</v>
      </c>
      <c r="H3625" t="s">
        <v>72550</v>
      </c>
      <c r="I3625" t="s">
        <v>72551</v>
      </c>
      <c r="J3625" t="s">
        <v>72552</v>
      </c>
      <c r="K3625" t="s">
        <v>72553</v>
      </c>
      <c r="L3625" t="s">
        <v>72554</v>
      </c>
      <c r="M3625" t="s">
        <v>72555</v>
      </c>
      <c r="N3625" t="s">
        <v>72556</v>
      </c>
      <c r="O3625">
        <f>-559.289184737333 -94.6669640388563 -735.272115220502</f>
        <v>-1389.2282639966913</v>
      </c>
      <c r="P3625">
        <f>-584.347874948343 -85.5772582267862 -419.874483035393</f>
        <v>-1089.7996162105221</v>
      </c>
      <c r="Q3625">
        <f>-340.501943745944 -2.74712490454066 -456.211528059417</f>
        <v>-799.46059670990167</v>
      </c>
      <c r="R3625" t="s">
        <v>72557</v>
      </c>
      <c r="S3625" t="s">
        <v>72558</v>
      </c>
      <c r="T3625" t="s">
        <v>72559</v>
      </c>
      <c r="U3625" t="s">
        <v>72560</v>
      </c>
      <c r="V3625" t="s">
        <v>72561</v>
      </c>
      <c r="W3625" t="s">
        <v>72562</v>
      </c>
      <c r="X3625" t="s">
        <v>72563</v>
      </c>
      <c r="Y3625" t="s">
        <v>72564</v>
      </c>
    </row>
    <row r="3626" spans="1:25" x14ac:dyDescent="0.3">
      <c r="A3626">
        <v>181250</v>
      </c>
      <c r="B3626" t="s">
        <v>72565</v>
      </c>
      <c r="C3626" t="s">
        <v>72566</v>
      </c>
      <c r="D3626" t="s">
        <v>72567</v>
      </c>
      <c r="E3626" t="s">
        <v>72568</v>
      </c>
      <c r="F3626" t="s">
        <v>72569</v>
      </c>
      <c r="G3626" t="s">
        <v>72570</v>
      </c>
      <c r="H3626" t="s">
        <v>72571</v>
      </c>
      <c r="I3626" t="s">
        <v>72572</v>
      </c>
      <c r="J3626" t="s">
        <v>72573</v>
      </c>
      <c r="K3626" t="s">
        <v>72574</v>
      </c>
      <c r="L3626" t="s">
        <v>72575</v>
      </c>
      <c r="M3626" t="s">
        <v>72576</v>
      </c>
      <c r="N3626" t="s">
        <v>72577</v>
      </c>
      <c r="O3626">
        <f>-559.269843996118 -94.4727530593152 -735.447486144469</f>
        <v>-1389.1900831999023</v>
      </c>
      <c r="P3626">
        <f>-584.627278579098 -85.1490883190095 -420.080681261405</f>
        <v>-1089.8570481595125</v>
      </c>
      <c r="Q3626">
        <f>-340.872542210083 -1.88754686753342 -456.04178904049</f>
        <v>-798.80187811810652</v>
      </c>
      <c r="R3626" t="s">
        <v>72578</v>
      </c>
      <c r="S3626" t="s">
        <v>72579</v>
      </c>
      <c r="T3626" t="s">
        <v>72580</v>
      </c>
      <c r="U3626" t="s">
        <v>72581</v>
      </c>
      <c r="V3626" t="s">
        <v>72582</v>
      </c>
      <c r="W3626" t="s">
        <v>72583</v>
      </c>
      <c r="X3626" t="s">
        <v>72584</v>
      </c>
      <c r="Y3626" t="s">
        <v>72585</v>
      </c>
    </row>
    <row r="3627" spans="1:25" x14ac:dyDescent="0.3">
      <c r="A3627">
        <v>181300</v>
      </c>
      <c r="B3627" t="s">
        <v>72586</v>
      </c>
      <c r="C3627" t="s">
        <v>72587</v>
      </c>
      <c r="D3627" t="s">
        <v>72588</v>
      </c>
      <c r="E3627" t="s">
        <v>72589</v>
      </c>
      <c r="F3627" t="s">
        <v>72590</v>
      </c>
      <c r="G3627" t="s">
        <v>72591</v>
      </c>
      <c r="H3627" t="s">
        <v>72592</v>
      </c>
      <c r="I3627" t="s">
        <v>72593</v>
      </c>
      <c r="J3627" t="s">
        <v>72594</v>
      </c>
      <c r="K3627" t="s">
        <v>72595</v>
      </c>
      <c r="L3627" t="s">
        <v>72596</v>
      </c>
      <c r="M3627" t="s">
        <v>72597</v>
      </c>
      <c r="N3627" t="s">
        <v>72598</v>
      </c>
      <c r="O3627">
        <f>-559.145600381576 -94.3429347958427 -735.612610369519</f>
        <v>-1389.1011455469375</v>
      </c>
      <c r="P3627">
        <f>-584.749055822864 -84.7062188945989 -420.275029923628</f>
        <v>-1089.7303046410909</v>
      </c>
      <c r="Q3627">
        <f>-341.055084012123 -1.19309908389747 -456.063970790004</f>
        <v>-798.31215388602459</v>
      </c>
      <c r="R3627" t="s">
        <v>72599</v>
      </c>
      <c r="S3627" t="s">
        <v>72600</v>
      </c>
      <c r="T3627" t="s">
        <v>72601</v>
      </c>
      <c r="U3627" t="s">
        <v>72602</v>
      </c>
      <c r="V3627" t="s">
        <v>72603</v>
      </c>
      <c r="W3627" t="s">
        <v>72604</v>
      </c>
      <c r="X3627" t="s">
        <v>72605</v>
      </c>
      <c r="Y3627" t="s">
        <v>72606</v>
      </c>
    </row>
    <row r="3628" spans="1:25" x14ac:dyDescent="0.3">
      <c r="A3628">
        <v>181350</v>
      </c>
      <c r="B3628" t="s">
        <v>72607</v>
      </c>
      <c r="C3628" t="s">
        <v>72608</v>
      </c>
      <c r="D3628" t="s">
        <v>72609</v>
      </c>
      <c r="E3628" t="s">
        <v>72610</v>
      </c>
      <c r="F3628" t="s">
        <v>72611</v>
      </c>
      <c r="G3628" t="s">
        <v>72612</v>
      </c>
      <c r="H3628" t="s">
        <v>72613</v>
      </c>
      <c r="I3628" t="s">
        <v>72614</v>
      </c>
      <c r="J3628" t="s">
        <v>72615</v>
      </c>
      <c r="K3628" t="s">
        <v>72616</v>
      </c>
      <c r="L3628" t="s">
        <v>72617</v>
      </c>
      <c r="M3628" t="s">
        <v>72618</v>
      </c>
      <c r="N3628" t="s">
        <v>72619</v>
      </c>
      <c r="O3628">
        <f>-559.115730493332 -93.8478426139042 -735.873279417819</f>
        <v>-1388.8368525250553</v>
      </c>
      <c r="P3628">
        <f>-584.916639447354 -84.2353775130436 -420.551177499162</f>
        <v>-1089.7031944595597</v>
      </c>
      <c r="Q3628" t="s">
        <v>72620</v>
      </c>
      <c r="R3628" t="s">
        <v>72621</v>
      </c>
      <c r="S3628" t="s">
        <v>72622</v>
      </c>
      <c r="T3628" t="s">
        <v>72623</v>
      </c>
      <c r="U3628" t="s">
        <v>72624</v>
      </c>
      <c r="V3628" t="s">
        <v>72625</v>
      </c>
      <c r="W3628" t="s">
        <v>72626</v>
      </c>
      <c r="X3628" t="s">
        <v>72627</v>
      </c>
      <c r="Y3628" t="s">
        <v>72628</v>
      </c>
    </row>
    <row r="3629" spans="1:25" x14ac:dyDescent="0.3">
      <c r="A3629">
        <v>181400</v>
      </c>
      <c r="B3629" t="s">
        <v>72629</v>
      </c>
      <c r="C3629" t="s">
        <v>72630</v>
      </c>
      <c r="D3629" t="s">
        <v>72631</v>
      </c>
      <c r="E3629" t="s">
        <v>72632</v>
      </c>
      <c r="F3629" t="s">
        <v>72633</v>
      </c>
      <c r="G3629" t="s">
        <v>72634</v>
      </c>
      <c r="H3629" t="s">
        <v>72635</v>
      </c>
      <c r="I3629" t="s">
        <v>72636</v>
      </c>
      <c r="J3629" t="s">
        <v>72637</v>
      </c>
      <c r="K3629" t="s">
        <v>72638</v>
      </c>
      <c r="L3629" t="s">
        <v>72639</v>
      </c>
      <c r="M3629" t="s">
        <v>72640</v>
      </c>
      <c r="N3629" t="s">
        <v>72641</v>
      </c>
      <c r="O3629">
        <f>-559.205348890842 -93.7225296117733 -736.037785116817</f>
        <v>-1388.9656636194322</v>
      </c>
      <c r="P3629">
        <f>-584.88390164964 -84.3805733892335 -420.697349176573</f>
        <v>-1089.9618242154465</v>
      </c>
      <c r="Q3629" t="s">
        <v>72642</v>
      </c>
      <c r="R3629" t="s">
        <v>72643</v>
      </c>
      <c r="S3629" t="s">
        <v>72644</v>
      </c>
      <c r="T3629" t="s">
        <v>72645</v>
      </c>
      <c r="U3629" t="s">
        <v>72646</v>
      </c>
      <c r="V3629" t="s">
        <v>72647</v>
      </c>
      <c r="W3629" t="s">
        <v>72648</v>
      </c>
      <c r="X3629" t="s">
        <v>72649</v>
      </c>
      <c r="Y3629" t="s">
        <v>72650</v>
      </c>
    </row>
    <row r="3630" spans="1:25" x14ac:dyDescent="0.3">
      <c r="A3630">
        <v>181450</v>
      </c>
      <c r="B3630" t="s">
        <v>72651</v>
      </c>
      <c r="C3630" t="s">
        <v>72652</v>
      </c>
      <c r="D3630" t="s">
        <v>72653</v>
      </c>
      <c r="E3630" t="s">
        <v>72654</v>
      </c>
      <c r="F3630" t="s">
        <v>72655</v>
      </c>
      <c r="G3630" t="s">
        <v>72656</v>
      </c>
      <c r="H3630" t="s">
        <v>72657</v>
      </c>
      <c r="I3630" t="s">
        <v>72658</v>
      </c>
      <c r="J3630" t="s">
        <v>72659</v>
      </c>
      <c r="K3630" t="s">
        <v>72660</v>
      </c>
      <c r="L3630" t="s">
        <v>72661</v>
      </c>
      <c r="M3630" t="s">
        <v>72662</v>
      </c>
      <c r="N3630" t="s">
        <v>72663</v>
      </c>
      <c r="O3630">
        <f>-559.58322085435 -93.8966429953307 -736.423650847741</f>
        <v>-1389.9035146974215</v>
      </c>
      <c r="P3630">
        <f>-584.768055559406 -85.2754253334705 -421.022880872639</f>
        <v>-1091.0663617655155</v>
      </c>
      <c r="Q3630" t="s">
        <v>72664</v>
      </c>
      <c r="R3630" t="s">
        <v>72665</v>
      </c>
      <c r="S3630" t="s">
        <v>72666</v>
      </c>
      <c r="T3630" t="s">
        <v>72667</v>
      </c>
      <c r="U3630" t="s">
        <v>72668</v>
      </c>
      <c r="V3630" t="s">
        <v>72669</v>
      </c>
      <c r="W3630" t="s">
        <v>72670</v>
      </c>
      <c r="X3630" t="s">
        <v>72671</v>
      </c>
      <c r="Y3630" t="s">
        <v>72672</v>
      </c>
    </row>
    <row r="3631" spans="1:25" x14ac:dyDescent="0.3">
      <c r="A3631">
        <v>181500</v>
      </c>
      <c r="B3631" t="s">
        <v>72673</v>
      </c>
      <c r="C3631" t="s">
        <v>72674</v>
      </c>
      <c r="D3631" t="s">
        <v>72675</v>
      </c>
      <c r="E3631" t="s">
        <v>72676</v>
      </c>
      <c r="F3631" t="s">
        <v>72677</v>
      </c>
      <c r="G3631" t="s">
        <v>72678</v>
      </c>
      <c r="H3631" t="s">
        <v>72679</v>
      </c>
      <c r="I3631" t="s">
        <v>72680</v>
      </c>
      <c r="J3631" t="s">
        <v>72681</v>
      </c>
      <c r="K3631" t="s">
        <v>72682</v>
      </c>
      <c r="L3631" t="s">
        <v>72683</v>
      </c>
      <c r="M3631" t="s">
        <v>72684</v>
      </c>
      <c r="N3631" t="s">
        <v>72685</v>
      </c>
      <c r="O3631">
        <f>-559.6026443015 -93.8984880892242 -736.635766680415</f>
        <v>-1390.1368990711394</v>
      </c>
      <c r="P3631">
        <f>-584.534300357917 -85.5471017290078 -421.207688376981</f>
        <v>-1091.2890904639057</v>
      </c>
      <c r="Q3631" t="s">
        <v>72686</v>
      </c>
      <c r="R3631" t="s">
        <v>72687</v>
      </c>
      <c r="S3631" t="s">
        <v>72688</v>
      </c>
      <c r="T3631" t="s">
        <v>72689</v>
      </c>
      <c r="U3631" t="s">
        <v>72690</v>
      </c>
      <c r="V3631" t="s">
        <v>72691</v>
      </c>
      <c r="W3631" t="s">
        <v>72692</v>
      </c>
      <c r="X3631" t="s">
        <v>72693</v>
      </c>
      <c r="Y3631" t="s">
        <v>72694</v>
      </c>
    </row>
    <row r="3632" spans="1:25" x14ac:dyDescent="0.3">
      <c r="A3632">
        <v>181550</v>
      </c>
      <c r="B3632" t="s">
        <v>72695</v>
      </c>
      <c r="C3632" t="s">
        <v>72696</v>
      </c>
      <c r="D3632" t="s">
        <v>72697</v>
      </c>
      <c r="E3632" t="s">
        <v>72698</v>
      </c>
      <c r="F3632" t="s">
        <v>72699</v>
      </c>
      <c r="G3632" t="s">
        <v>72700</v>
      </c>
      <c r="H3632" t="s">
        <v>72701</v>
      </c>
      <c r="I3632" t="s">
        <v>72702</v>
      </c>
      <c r="J3632" t="s">
        <v>72703</v>
      </c>
      <c r="K3632" t="s">
        <v>72704</v>
      </c>
      <c r="L3632" t="s">
        <v>72705</v>
      </c>
      <c r="M3632" t="s">
        <v>72706</v>
      </c>
      <c r="N3632" t="s">
        <v>72707</v>
      </c>
      <c r="O3632">
        <f>-559.619466065153 -93.5825345972125 -736.997339550135</f>
        <v>-1390.1993402125006</v>
      </c>
      <c r="P3632">
        <f>-583.874200861349 -85.9755863628322 -421.497767046173</f>
        <v>-1091.3475542703543</v>
      </c>
      <c r="Q3632" t="s">
        <v>72708</v>
      </c>
      <c r="R3632" t="s">
        <v>72709</v>
      </c>
      <c r="S3632" t="s">
        <v>72710</v>
      </c>
      <c r="T3632" t="s">
        <v>72711</v>
      </c>
      <c r="U3632" t="s">
        <v>72712</v>
      </c>
      <c r="V3632" t="s">
        <v>72713</v>
      </c>
      <c r="W3632" t="s">
        <v>72714</v>
      </c>
      <c r="X3632" t="s">
        <v>72715</v>
      </c>
      <c r="Y3632" t="s">
        <v>72716</v>
      </c>
    </row>
    <row r="3633" spans="1:25" x14ac:dyDescent="0.3">
      <c r="A3633">
        <v>181600</v>
      </c>
      <c r="B3633" t="s">
        <v>72717</v>
      </c>
      <c r="C3633" t="s">
        <v>72718</v>
      </c>
      <c r="D3633" t="s">
        <v>72719</v>
      </c>
      <c r="E3633" t="s">
        <v>72720</v>
      </c>
      <c r="F3633" t="s">
        <v>72721</v>
      </c>
      <c r="G3633" t="s">
        <v>72722</v>
      </c>
      <c r="H3633" t="s">
        <v>72723</v>
      </c>
      <c r="I3633" t="s">
        <v>72724</v>
      </c>
      <c r="J3633" t="s">
        <v>72725</v>
      </c>
      <c r="K3633" t="s">
        <v>72726</v>
      </c>
      <c r="L3633" t="s">
        <v>72727</v>
      </c>
      <c r="M3633" t="s">
        <v>72728</v>
      </c>
      <c r="N3633" t="s">
        <v>72729</v>
      </c>
      <c r="O3633">
        <f>-559.537676016152 -93.2114046926169 -737.181044306332</f>
        <v>-1389.9301250151007</v>
      </c>
      <c r="P3633">
        <f>-583.527249140119 -86.0958694895169 -421.649661616372</f>
        <v>-1091.2727802460079</v>
      </c>
      <c r="Q3633" t="s">
        <v>72730</v>
      </c>
      <c r="R3633" t="s">
        <v>72731</v>
      </c>
      <c r="S3633" t="s">
        <v>72732</v>
      </c>
      <c r="T3633" t="s">
        <v>72733</v>
      </c>
      <c r="U3633" t="s">
        <v>72734</v>
      </c>
      <c r="V3633" t="s">
        <v>72735</v>
      </c>
      <c r="W3633" t="s">
        <v>72736</v>
      </c>
      <c r="X3633" t="s">
        <v>72737</v>
      </c>
      <c r="Y3633" t="s">
        <v>72738</v>
      </c>
    </row>
    <row r="3634" spans="1:25" x14ac:dyDescent="0.3">
      <c r="A3634">
        <v>181650</v>
      </c>
      <c r="B3634" t="s">
        <v>72739</v>
      </c>
      <c r="C3634" t="s">
        <v>72740</v>
      </c>
      <c r="D3634" t="s">
        <v>72741</v>
      </c>
      <c r="E3634" t="s">
        <v>72742</v>
      </c>
      <c r="F3634" t="s">
        <v>72743</v>
      </c>
      <c r="G3634" t="s">
        <v>72744</v>
      </c>
      <c r="H3634" t="s">
        <v>72745</v>
      </c>
      <c r="I3634" t="s">
        <v>72746</v>
      </c>
      <c r="J3634" t="s">
        <v>72747</v>
      </c>
      <c r="K3634" t="s">
        <v>72748</v>
      </c>
      <c r="L3634" t="s">
        <v>72749</v>
      </c>
      <c r="M3634" t="s">
        <v>72750</v>
      </c>
      <c r="N3634" t="s">
        <v>72751</v>
      </c>
      <c r="O3634">
        <f>-559.003131384449 -92.0650418754141 -737.796705523085</f>
        <v>-1388.8648787829482</v>
      </c>
      <c r="P3634">
        <f>-582.94585914186 -85.9237323014219 -422.241221830983</f>
        <v>-1091.1108132742647</v>
      </c>
      <c r="Q3634" t="s">
        <v>72752</v>
      </c>
      <c r="R3634" t="s">
        <v>72753</v>
      </c>
      <c r="S3634" t="s">
        <v>72754</v>
      </c>
      <c r="T3634" t="s">
        <v>72755</v>
      </c>
      <c r="U3634" t="s">
        <v>72756</v>
      </c>
      <c r="V3634" t="s">
        <v>72757</v>
      </c>
      <c r="W3634" t="s">
        <v>72758</v>
      </c>
      <c r="X3634" t="s">
        <v>72759</v>
      </c>
      <c r="Y3634" t="s">
        <v>72760</v>
      </c>
    </row>
    <row r="3635" spans="1:25" x14ac:dyDescent="0.3">
      <c r="A3635">
        <v>181700</v>
      </c>
      <c r="B3635" t="s">
        <v>72761</v>
      </c>
      <c r="C3635" t="s">
        <v>72762</v>
      </c>
      <c r="D3635" t="s">
        <v>72763</v>
      </c>
      <c r="E3635" t="s">
        <v>72764</v>
      </c>
      <c r="F3635" t="s">
        <v>72765</v>
      </c>
      <c r="G3635" t="s">
        <v>72766</v>
      </c>
      <c r="H3635" t="s">
        <v>72767</v>
      </c>
      <c r="I3635" t="s">
        <v>72768</v>
      </c>
      <c r="J3635" t="s">
        <v>72769</v>
      </c>
      <c r="K3635" t="s">
        <v>72770</v>
      </c>
      <c r="L3635" t="s">
        <v>72771</v>
      </c>
      <c r="M3635" t="s">
        <v>72772</v>
      </c>
      <c r="N3635" t="s">
        <v>72773</v>
      </c>
      <c r="O3635">
        <f>-558.580663093618 -91.4635205743442 -738.190129746654</f>
        <v>-1388.2343134146163</v>
      </c>
      <c r="P3635">
        <f>-582.645578015387 -85.8294191299911 -422.634488919276</f>
        <v>-1091.109486064654</v>
      </c>
      <c r="Q3635" t="s">
        <v>72774</v>
      </c>
      <c r="R3635" t="s">
        <v>72775</v>
      </c>
      <c r="S3635" t="s">
        <v>72776</v>
      </c>
      <c r="T3635" t="s">
        <v>72777</v>
      </c>
      <c r="U3635" t="s">
        <v>72778</v>
      </c>
      <c r="V3635" t="s">
        <v>72779</v>
      </c>
      <c r="W3635" t="s">
        <v>72780</v>
      </c>
      <c r="X3635" t="s">
        <v>72781</v>
      </c>
      <c r="Y3635" t="s">
        <v>72782</v>
      </c>
    </row>
    <row r="3636" spans="1:25" x14ac:dyDescent="0.3">
      <c r="A3636">
        <v>181750</v>
      </c>
      <c r="B3636" t="s">
        <v>72783</v>
      </c>
      <c r="C3636" t="s">
        <v>72784</v>
      </c>
      <c r="D3636" t="s">
        <v>72785</v>
      </c>
      <c r="E3636" t="s">
        <v>72786</v>
      </c>
      <c r="F3636" t="s">
        <v>72787</v>
      </c>
      <c r="G3636" t="s">
        <v>72788</v>
      </c>
      <c r="H3636" t="s">
        <v>72789</v>
      </c>
      <c r="I3636" t="s">
        <v>72790</v>
      </c>
      <c r="J3636" t="s">
        <v>72791</v>
      </c>
      <c r="K3636" t="s">
        <v>72792</v>
      </c>
      <c r="L3636" t="s">
        <v>72793</v>
      </c>
      <c r="M3636" t="s">
        <v>72794</v>
      </c>
      <c r="N3636" t="s">
        <v>72795</v>
      </c>
      <c r="O3636">
        <f>-557.763460393692 -90.9303592216591 -739.018302780417</f>
        <v>-1387.7121223957679</v>
      </c>
      <c r="P3636">
        <f>-582.01818319349 -86.5555998101762 -423.457297741787</f>
        <v>-1092.0310807454532</v>
      </c>
      <c r="Q3636" t="s">
        <v>72796</v>
      </c>
      <c r="R3636" t="s">
        <v>72797</v>
      </c>
      <c r="S3636" t="s">
        <v>72798</v>
      </c>
      <c r="T3636" t="s">
        <v>72799</v>
      </c>
      <c r="U3636" t="s">
        <v>72800</v>
      </c>
      <c r="V3636" t="s">
        <v>72801</v>
      </c>
      <c r="W3636" t="s">
        <v>72802</v>
      </c>
      <c r="X3636" t="s">
        <v>72803</v>
      </c>
      <c r="Y3636" t="s">
        <v>72804</v>
      </c>
    </row>
    <row r="3637" spans="1:25" x14ac:dyDescent="0.3">
      <c r="A3637">
        <v>181800</v>
      </c>
      <c r="B3637" t="s">
        <v>72805</v>
      </c>
      <c r="C3637" t="s">
        <v>72806</v>
      </c>
      <c r="D3637" t="s">
        <v>72807</v>
      </c>
      <c r="E3637" t="s">
        <v>72808</v>
      </c>
      <c r="F3637" t="s">
        <v>72809</v>
      </c>
      <c r="G3637" t="s">
        <v>72810</v>
      </c>
      <c r="H3637" t="s">
        <v>72811</v>
      </c>
      <c r="I3637" t="s">
        <v>72812</v>
      </c>
      <c r="J3637" t="s">
        <v>72813</v>
      </c>
      <c r="K3637" t="s">
        <v>72814</v>
      </c>
      <c r="L3637" t="s">
        <v>72815</v>
      </c>
      <c r="M3637" t="s">
        <v>72816</v>
      </c>
      <c r="N3637" t="s">
        <v>72817</v>
      </c>
      <c r="O3637">
        <f>-557.326167427492 -90.8166978935314 -739.412675573748</f>
        <v>-1387.5555408947714</v>
      </c>
      <c r="P3637">
        <f>-581.647491519487 -87.034328178871 -423.84905479599</f>
        <v>-1092.5308744943479</v>
      </c>
      <c r="Q3637" t="s">
        <v>72818</v>
      </c>
      <c r="R3637" t="s">
        <v>72819</v>
      </c>
      <c r="S3637" t="s">
        <v>72820</v>
      </c>
      <c r="T3637" t="s">
        <v>72821</v>
      </c>
      <c r="U3637" t="s">
        <v>72822</v>
      </c>
      <c r="V3637" t="s">
        <v>72823</v>
      </c>
      <c r="W3637" t="s">
        <v>72824</v>
      </c>
      <c r="X3637" t="s">
        <v>72825</v>
      </c>
      <c r="Y3637" t="s">
        <v>72826</v>
      </c>
    </row>
    <row r="3638" spans="1:25" x14ac:dyDescent="0.3">
      <c r="A3638">
        <v>181850</v>
      </c>
      <c r="B3638" t="s">
        <v>72827</v>
      </c>
      <c r="C3638" t="s">
        <v>72828</v>
      </c>
      <c r="D3638" t="s">
        <v>72829</v>
      </c>
      <c r="E3638" t="s">
        <v>72830</v>
      </c>
      <c r="F3638" t="s">
        <v>72831</v>
      </c>
      <c r="G3638" t="s">
        <v>72832</v>
      </c>
      <c r="H3638" t="s">
        <v>72833</v>
      </c>
      <c r="I3638" t="s">
        <v>72834</v>
      </c>
      <c r="J3638" t="s">
        <v>72835</v>
      </c>
      <c r="K3638" t="s">
        <v>72836</v>
      </c>
      <c r="L3638" t="s">
        <v>72837</v>
      </c>
      <c r="M3638" t="s">
        <v>72838</v>
      </c>
      <c r="N3638" t="s">
        <v>72839</v>
      </c>
      <c r="O3638">
        <f>-556.162137860985 -90.5591889104911 -740.196388402518</f>
        <v>-1386.9177151739941</v>
      </c>
      <c r="P3638">
        <f>-580.959133966147 -87.9031340467786 -424.658293896063</f>
        <v>-1093.5205619089886</v>
      </c>
      <c r="Q3638" t="s">
        <v>72840</v>
      </c>
      <c r="R3638" t="s">
        <v>72841</v>
      </c>
      <c r="S3638" t="s">
        <v>72842</v>
      </c>
      <c r="T3638" t="s">
        <v>72843</v>
      </c>
      <c r="U3638" t="s">
        <v>72844</v>
      </c>
      <c r="V3638" t="s">
        <v>72845</v>
      </c>
      <c r="W3638" t="s">
        <v>72846</v>
      </c>
      <c r="X3638" t="s">
        <v>72847</v>
      </c>
      <c r="Y3638" t="s">
        <v>72848</v>
      </c>
    </row>
    <row r="3639" spans="1:25" x14ac:dyDescent="0.3">
      <c r="A3639">
        <v>181900</v>
      </c>
      <c r="B3639" t="s">
        <v>72849</v>
      </c>
      <c r="C3639" t="s">
        <v>72850</v>
      </c>
      <c r="D3639" t="s">
        <v>72851</v>
      </c>
      <c r="E3639" t="s">
        <v>72852</v>
      </c>
      <c r="F3639" t="s">
        <v>72853</v>
      </c>
      <c r="G3639" t="s">
        <v>72854</v>
      </c>
      <c r="H3639" t="s">
        <v>72855</v>
      </c>
      <c r="I3639" t="s">
        <v>72856</v>
      </c>
      <c r="J3639" t="s">
        <v>72857</v>
      </c>
      <c r="K3639" t="s">
        <v>72858</v>
      </c>
      <c r="L3639" t="s">
        <v>72859</v>
      </c>
      <c r="M3639" t="s">
        <v>72860</v>
      </c>
      <c r="N3639" t="s">
        <v>72861</v>
      </c>
      <c r="O3639">
        <f>-555.445198385914 -90.4684493621116 -740.646768550616</f>
        <v>-1386.5604162986415</v>
      </c>
      <c r="P3639">
        <f>-580.673002917858 -88.3495562354058 -425.138909820961</f>
        <v>-1094.1614689742246</v>
      </c>
      <c r="Q3639" t="s">
        <v>72862</v>
      </c>
      <c r="R3639" t="s">
        <v>72863</v>
      </c>
      <c r="S3639" t="s">
        <v>72864</v>
      </c>
      <c r="T3639" t="s">
        <v>72865</v>
      </c>
      <c r="U3639" t="s">
        <v>72866</v>
      </c>
      <c r="V3639" t="s">
        <v>72867</v>
      </c>
      <c r="W3639" t="s">
        <v>72868</v>
      </c>
      <c r="X3639" t="s">
        <v>72869</v>
      </c>
      <c r="Y3639" t="s">
        <v>72870</v>
      </c>
    </row>
    <row r="3640" spans="1:25" x14ac:dyDescent="0.3">
      <c r="A3640">
        <v>181950</v>
      </c>
      <c r="B3640" t="s">
        <v>72871</v>
      </c>
      <c r="C3640" t="s">
        <v>72872</v>
      </c>
      <c r="D3640" t="s">
        <v>72873</v>
      </c>
      <c r="E3640" t="s">
        <v>72874</v>
      </c>
      <c r="F3640" t="s">
        <v>72875</v>
      </c>
      <c r="G3640" t="s">
        <v>72876</v>
      </c>
      <c r="H3640" t="s">
        <v>72877</v>
      </c>
      <c r="I3640" t="s">
        <v>72878</v>
      </c>
      <c r="J3640" t="s">
        <v>72879</v>
      </c>
      <c r="K3640" t="s">
        <v>72880</v>
      </c>
      <c r="L3640" t="s">
        <v>72881</v>
      </c>
      <c r="M3640" t="s">
        <v>72882</v>
      </c>
      <c r="N3640" t="s">
        <v>72883</v>
      </c>
      <c r="O3640">
        <f>-554.097176047114 -90.542801607049 -741.574449019636</f>
        <v>-1386.2144266737989</v>
      </c>
      <c r="P3640">
        <f>-579.910824621792 -89.5919299054404 -426.108386068531</f>
        <v>-1095.6111405957633</v>
      </c>
      <c r="Q3640" t="s">
        <v>72884</v>
      </c>
      <c r="R3640" t="s">
        <v>72885</v>
      </c>
      <c r="S3640" t="s">
        <v>72886</v>
      </c>
      <c r="T3640" t="s">
        <v>72887</v>
      </c>
      <c r="U3640" t="s">
        <v>72888</v>
      </c>
      <c r="V3640" t="s">
        <v>72889</v>
      </c>
      <c r="W3640" t="s">
        <v>72890</v>
      </c>
      <c r="X3640" t="s">
        <v>72891</v>
      </c>
      <c r="Y3640" t="s">
        <v>72892</v>
      </c>
    </row>
    <row r="3641" spans="1:25" x14ac:dyDescent="0.3">
      <c r="A3641">
        <v>182000</v>
      </c>
      <c r="B3641" t="s">
        <v>72893</v>
      </c>
      <c r="C3641" t="s">
        <v>72894</v>
      </c>
      <c r="D3641" t="s">
        <v>72895</v>
      </c>
      <c r="E3641" t="s">
        <v>72896</v>
      </c>
      <c r="F3641" t="s">
        <v>72897</v>
      </c>
      <c r="G3641" t="s">
        <v>72898</v>
      </c>
      <c r="H3641" t="s">
        <v>72899</v>
      </c>
      <c r="I3641" t="s">
        <v>72900</v>
      </c>
      <c r="J3641" t="s">
        <v>72901</v>
      </c>
      <c r="K3641" t="s">
        <v>72902</v>
      </c>
      <c r="L3641" t="s">
        <v>72903</v>
      </c>
      <c r="M3641" t="s">
        <v>72904</v>
      </c>
      <c r="N3641" t="s">
        <v>72905</v>
      </c>
      <c r="O3641">
        <f>-553.73532537525 -90.3863957452822 -741.932529711449</f>
        <v>-1386.0542508319813</v>
      </c>
      <c r="P3641">
        <f>-579.653168298687 -89.8208448187892 -426.474068037258</f>
        <v>-1095.9480811547342</v>
      </c>
      <c r="Q3641" t="s">
        <v>72906</v>
      </c>
      <c r="R3641" t="s">
        <v>72907</v>
      </c>
      <c r="S3641" t="s">
        <v>72908</v>
      </c>
      <c r="T3641" t="s">
        <v>72909</v>
      </c>
      <c r="U3641" t="s">
        <v>72910</v>
      </c>
      <c r="V3641" t="s">
        <v>72911</v>
      </c>
      <c r="W3641" t="s">
        <v>72912</v>
      </c>
      <c r="X3641" t="s">
        <v>72913</v>
      </c>
      <c r="Y3641" t="s">
        <v>72914</v>
      </c>
    </row>
    <row r="3642" spans="1:25" x14ac:dyDescent="0.3">
      <c r="A3642">
        <v>182050</v>
      </c>
      <c r="B3642" t="s">
        <v>72915</v>
      </c>
      <c r="C3642" t="s">
        <v>72916</v>
      </c>
      <c r="D3642" t="s">
        <v>72917</v>
      </c>
      <c r="E3642" t="s">
        <v>72918</v>
      </c>
      <c r="F3642" t="s">
        <v>72919</v>
      </c>
      <c r="G3642" t="s">
        <v>72920</v>
      </c>
      <c r="H3642" t="s">
        <v>72921</v>
      </c>
      <c r="I3642" t="s">
        <v>72922</v>
      </c>
      <c r="J3642" t="s">
        <v>72923</v>
      </c>
      <c r="K3642" t="s">
        <v>72924</v>
      </c>
      <c r="L3642" t="s">
        <v>72925</v>
      </c>
      <c r="M3642" t="s">
        <v>72926</v>
      </c>
      <c r="N3642" t="s">
        <v>72927</v>
      </c>
      <c r="O3642">
        <f>-553.570346138156 -90.3764671538652 -742.364704756078</f>
        <v>-1386.3115180480991</v>
      </c>
      <c r="P3642">
        <f>-579.250995665356 -90.3134186861782 -426.886136100467</f>
        <v>-1096.4505504520012</v>
      </c>
      <c r="Q3642" t="s">
        <v>72928</v>
      </c>
      <c r="R3642" t="s">
        <v>72929</v>
      </c>
      <c r="S3642" t="s">
        <v>72930</v>
      </c>
      <c r="T3642" t="s">
        <v>72931</v>
      </c>
      <c r="U3642" t="s">
        <v>72932</v>
      </c>
      <c r="V3642" t="s">
        <v>72933</v>
      </c>
      <c r="W3642" t="s">
        <v>72934</v>
      </c>
      <c r="X3642" t="s">
        <v>72935</v>
      </c>
      <c r="Y3642" t="s">
        <v>72936</v>
      </c>
    </row>
    <row r="3643" spans="1:25" x14ac:dyDescent="0.3">
      <c r="A3643">
        <v>182100</v>
      </c>
      <c r="B3643" t="s">
        <v>72937</v>
      </c>
      <c r="C3643" t="s">
        <v>72938</v>
      </c>
      <c r="D3643" t="s">
        <v>72939</v>
      </c>
      <c r="E3643" t="s">
        <v>72940</v>
      </c>
      <c r="F3643" t="s">
        <v>72941</v>
      </c>
      <c r="G3643" t="s">
        <v>72942</v>
      </c>
      <c r="H3643" t="s">
        <v>72943</v>
      </c>
      <c r="I3643" t="s">
        <v>72944</v>
      </c>
      <c r="J3643" t="s">
        <v>72945</v>
      </c>
      <c r="K3643" t="s">
        <v>72946</v>
      </c>
      <c r="L3643" t="s">
        <v>72947</v>
      </c>
      <c r="M3643" t="s">
        <v>72948</v>
      </c>
      <c r="N3643" t="s">
        <v>72949</v>
      </c>
      <c r="O3643">
        <f>-553.851349438835 -90.4314480317748 -742.488065055776</f>
        <v>-1386.7708625263858</v>
      </c>
      <c r="P3643">
        <f>-579.269904561412 -90.6656637175159 -426.988427696595</f>
        <v>-1096.923995975523</v>
      </c>
      <c r="Q3643" t="s">
        <v>72950</v>
      </c>
      <c r="R3643" t="s">
        <v>72951</v>
      </c>
      <c r="S3643" t="s">
        <v>72952</v>
      </c>
      <c r="T3643" t="s">
        <v>72953</v>
      </c>
      <c r="U3643" t="s">
        <v>72954</v>
      </c>
      <c r="V3643" t="s">
        <v>72955</v>
      </c>
      <c r="W3643" t="s">
        <v>72956</v>
      </c>
      <c r="X3643" t="s">
        <v>72957</v>
      </c>
      <c r="Y3643" t="s">
        <v>72958</v>
      </c>
    </row>
    <row r="3644" spans="1:25" x14ac:dyDescent="0.3">
      <c r="A3644">
        <v>182150</v>
      </c>
      <c r="B3644" t="s">
        <v>72959</v>
      </c>
      <c r="C3644" t="s">
        <v>72960</v>
      </c>
      <c r="D3644" t="s">
        <v>72961</v>
      </c>
      <c r="E3644" t="s">
        <v>72962</v>
      </c>
      <c r="F3644" t="s">
        <v>72963</v>
      </c>
      <c r="G3644" t="s">
        <v>72964</v>
      </c>
      <c r="H3644" t="s">
        <v>72965</v>
      </c>
      <c r="I3644" t="s">
        <v>72966</v>
      </c>
      <c r="J3644" t="s">
        <v>72967</v>
      </c>
      <c r="K3644" t="s">
        <v>72968</v>
      </c>
      <c r="L3644" t="s">
        <v>72969</v>
      </c>
      <c r="M3644" t="s">
        <v>72970</v>
      </c>
      <c r="N3644" t="s">
        <v>72971</v>
      </c>
      <c r="O3644">
        <f>-553.317432451466 -91.5565853061299 -742.703334601091</f>
        <v>-1387.5773523586868</v>
      </c>
      <c r="P3644">
        <f>-578.279405427546 -92.3374659226472 -427.168185535188</f>
        <v>-1097.7850568853812</v>
      </c>
      <c r="Q3644" t="s">
        <v>72972</v>
      </c>
      <c r="R3644" t="s">
        <v>72973</v>
      </c>
      <c r="S3644" t="s">
        <v>72974</v>
      </c>
      <c r="T3644" t="s">
        <v>72975</v>
      </c>
      <c r="U3644" t="s">
        <v>72976</v>
      </c>
      <c r="V3644" t="s">
        <v>72977</v>
      </c>
      <c r="W3644" t="s">
        <v>72978</v>
      </c>
      <c r="X3644" t="s">
        <v>72979</v>
      </c>
      <c r="Y3644" t="s">
        <v>72980</v>
      </c>
    </row>
    <row r="3645" spans="1:25" x14ac:dyDescent="0.3">
      <c r="A3645">
        <v>182200</v>
      </c>
      <c r="B3645" t="s">
        <v>72981</v>
      </c>
      <c r="C3645" t="s">
        <v>72982</v>
      </c>
      <c r="D3645" t="s">
        <v>72983</v>
      </c>
      <c r="E3645" t="s">
        <v>72984</v>
      </c>
      <c r="F3645" t="s">
        <v>72985</v>
      </c>
      <c r="G3645" t="s">
        <v>72986</v>
      </c>
      <c r="H3645" t="s">
        <v>72987</v>
      </c>
      <c r="I3645" t="s">
        <v>72988</v>
      </c>
      <c r="J3645" t="s">
        <v>72989</v>
      </c>
      <c r="K3645" t="s">
        <v>72990</v>
      </c>
      <c r="L3645" t="s">
        <v>72991</v>
      </c>
      <c r="M3645" t="s">
        <v>72992</v>
      </c>
      <c r="N3645" t="s">
        <v>72993</v>
      </c>
      <c r="O3645">
        <f>-553.085194828065 -91.9091675319499 -742.782748727231</f>
        <v>-1387.7771110872459</v>
      </c>
      <c r="P3645">
        <f>-577.926467437227 -92.8592739796789 -427.238400287354</f>
        <v>-1098.0241417042598</v>
      </c>
      <c r="Q3645" t="s">
        <v>72994</v>
      </c>
      <c r="R3645" t="s">
        <v>72995</v>
      </c>
      <c r="S3645" t="s">
        <v>72996</v>
      </c>
      <c r="T3645" t="s">
        <v>72997</v>
      </c>
      <c r="U3645" t="s">
        <v>72998</v>
      </c>
      <c r="V3645" t="s">
        <v>72999</v>
      </c>
      <c r="W3645" t="s">
        <v>73000</v>
      </c>
      <c r="X3645" t="s">
        <v>73001</v>
      </c>
      <c r="Y3645" t="s">
        <v>73002</v>
      </c>
    </row>
    <row r="3646" spans="1:25" x14ac:dyDescent="0.3">
      <c r="A3646">
        <v>182250</v>
      </c>
      <c r="B3646" t="s">
        <v>73003</v>
      </c>
      <c r="C3646" t="s">
        <v>73004</v>
      </c>
      <c r="D3646" t="s">
        <v>73005</v>
      </c>
      <c r="E3646" t="s">
        <v>73006</v>
      </c>
      <c r="F3646" t="s">
        <v>73007</v>
      </c>
      <c r="G3646" t="s">
        <v>73008</v>
      </c>
      <c r="H3646" t="s">
        <v>73009</v>
      </c>
      <c r="I3646" t="s">
        <v>73010</v>
      </c>
      <c r="J3646" t="s">
        <v>73011</v>
      </c>
      <c r="K3646" t="s">
        <v>73012</v>
      </c>
      <c r="L3646" t="s">
        <v>73013</v>
      </c>
      <c r="M3646" t="s">
        <v>73014</v>
      </c>
      <c r="N3646" t="s">
        <v>73015</v>
      </c>
      <c r="O3646">
        <f>-552.633155167737 -92.2264556312482 -742.83673852661</f>
        <v>-1387.6963493255953</v>
      </c>
      <c r="P3646">
        <f>-577.365651212473 -93.2400022804088 -427.284134714549</f>
        <v>-1097.8897882074309</v>
      </c>
      <c r="Q3646" t="s">
        <v>73016</v>
      </c>
      <c r="R3646" t="s">
        <v>73017</v>
      </c>
      <c r="S3646" t="s">
        <v>73018</v>
      </c>
      <c r="T3646" t="s">
        <v>73019</v>
      </c>
      <c r="U3646" t="s">
        <v>73020</v>
      </c>
      <c r="V3646" t="s">
        <v>73021</v>
      </c>
      <c r="W3646" t="s">
        <v>73022</v>
      </c>
      <c r="X3646" t="s">
        <v>73023</v>
      </c>
      <c r="Y3646" t="s">
        <v>73024</v>
      </c>
    </row>
    <row r="3647" spans="1:25" x14ac:dyDescent="0.3">
      <c r="A3647">
        <v>182300</v>
      </c>
      <c r="B3647" t="s">
        <v>73025</v>
      </c>
      <c r="C3647" t="s">
        <v>73026</v>
      </c>
      <c r="D3647" t="s">
        <v>73027</v>
      </c>
      <c r="E3647" t="s">
        <v>73028</v>
      </c>
      <c r="F3647" t="s">
        <v>73029</v>
      </c>
      <c r="G3647" t="s">
        <v>73030</v>
      </c>
      <c r="H3647" t="s">
        <v>73031</v>
      </c>
      <c r="I3647" t="s">
        <v>73032</v>
      </c>
      <c r="J3647" t="s">
        <v>73033</v>
      </c>
      <c r="K3647" t="s">
        <v>73034</v>
      </c>
      <c r="L3647" t="s">
        <v>73035</v>
      </c>
      <c r="M3647" t="s">
        <v>73036</v>
      </c>
      <c r="N3647" t="s">
        <v>73037</v>
      </c>
      <c r="O3647">
        <f>-552.375706913472 -92.2175038772757 -742.8002571853</f>
        <v>-1387.3934679760478</v>
      </c>
      <c r="P3647">
        <f>-577.138134537692 -93.1800118783193 -427.249808354208</f>
        <v>-1097.5679547702193</v>
      </c>
      <c r="Q3647" t="s">
        <v>73038</v>
      </c>
      <c r="R3647" t="s">
        <v>73039</v>
      </c>
      <c r="S3647" t="s">
        <v>73040</v>
      </c>
      <c r="T3647" t="s">
        <v>73041</v>
      </c>
      <c r="U3647" t="s">
        <v>73042</v>
      </c>
      <c r="V3647" t="s">
        <v>73043</v>
      </c>
      <c r="W3647" t="s">
        <v>73044</v>
      </c>
      <c r="X3647" t="s">
        <v>73045</v>
      </c>
      <c r="Y3647" t="s">
        <v>73046</v>
      </c>
    </row>
    <row r="3648" spans="1:25" x14ac:dyDescent="0.3">
      <c r="A3648">
        <v>182350</v>
      </c>
      <c r="B3648" t="s">
        <v>73047</v>
      </c>
      <c r="C3648" t="s">
        <v>73048</v>
      </c>
      <c r="D3648" t="s">
        <v>73049</v>
      </c>
      <c r="E3648" t="s">
        <v>73050</v>
      </c>
      <c r="F3648" t="s">
        <v>73051</v>
      </c>
      <c r="G3648" t="s">
        <v>73052</v>
      </c>
      <c r="H3648" t="s">
        <v>73053</v>
      </c>
      <c r="I3648" t="s">
        <v>73054</v>
      </c>
      <c r="J3648" t="s">
        <v>73055</v>
      </c>
      <c r="K3648" t="s">
        <v>73056</v>
      </c>
      <c r="L3648" t="s">
        <v>73057</v>
      </c>
      <c r="M3648" t="s">
        <v>73058</v>
      </c>
      <c r="N3648" t="s">
        <v>73059</v>
      </c>
      <c r="O3648">
        <f>-552.070002605868 -92.5186069634326 -742.726003624963</f>
        <v>-1387.3146131942635</v>
      </c>
      <c r="P3648">
        <f>-576.901778217646 -93.3259136402116 -427.180585844788</f>
        <v>-1097.4082777026456</v>
      </c>
      <c r="Q3648" t="s">
        <v>73060</v>
      </c>
      <c r="R3648" t="s">
        <v>73061</v>
      </c>
      <c r="S3648" t="s">
        <v>73062</v>
      </c>
      <c r="T3648" t="s">
        <v>73063</v>
      </c>
      <c r="U3648" t="s">
        <v>73064</v>
      </c>
      <c r="V3648" t="s">
        <v>73065</v>
      </c>
      <c r="W3648" t="s">
        <v>73066</v>
      </c>
      <c r="X3648" t="s">
        <v>73067</v>
      </c>
      <c r="Y3648" t="s">
        <v>73068</v>
      </c>
    </row>
    <row r="3649" spans="1:25" x14ac:dyDescent="0.3">
      <c r="A3649">
        <v>182400</v>
      </c>
      <c r="B3649" t="s">
        <v>73069</v>
      </c>
      <c r="C3649" t="s">
        <v>73070</v>
      </c>
      <c r="D3649" t="s">
        <v>73071</v>
      </c>
      <c r="E3649" t="s">
        <v>73072</v>
      </c>
      <c r="F3649" t="s">
        <v>73073</v>
      </c>
      <c r="G3649" t="s">
        <v>73074</v>
      </c>
      <c r="H3649" t="s">
        <v>73075</v>
      </c>
      <c r="I3649" t="s">
        <v>73076</v>
      </c>
      <c r="J3649" t="s">
        <v>73077</v>
      </c>
      <c r="K3649" t="s">
        <v>73078</v>
      </c>
      <c r="L3649" t="s">
        <v>73079</v>
      </c>
      <c r="M3649" t="s">
        <v>73080</v>
      </c>
      <c r="N3649" t="s">
        <v>73081</v>
      </c>
      <c r="O3649">
        <f>-551.702758248829 -93.2086590038089 -742.408473506547</f>
        <v>-1387.319890759185</v>
      </c>
      <c r="P3649">
        <f>-576.782069029578 -93.6693866134882 -426.881927254468</f>
        <v>-1097.3333828975342</v>
      </c>
      <c r="Q3649" t="s">
        <v>73082</v>
      </c>
      <c r="R3649" t="s">
        <v>73083</v>
      </c>
      <c r="S3649" t="s">
        <v>73084</v>
      </c>
      <c r="T3649" t="s">
        <v>73085</v>
      </c>
      <c r="U3649" t="s">
        <v>73086</v>
      </c>
      <c r="V3649" t="s">
        <v>73087</v>
      </c>
      <c r="W3649" t="s">
        <v>73088</v>
      </c>
      <c r="X3649" t="s">
        <v>73089</v>
      </c>
      <c r="Y3649" t="s">
        <v>73090</v>
      </c>
    </row>
    <row r="3650" spans="1:25" x14ac:dyDescent="0.3">
      <c r="A3650">
        <v>182450</v>
      </c>
      <c r="B3650" t="s">
        <v>73091</v>
      </c>
      <c r="C3650" t="s">
        <v>73092</v>
      </c>
      <c r="D3650" t="s">
        <v>73093</v>
      </c>
      <c r="E3650" t="s">
        <v>73094</v>
      </c>
      <c r="F3650" t="s">
        <v>73095</v>
      </c>
      <c r="G3650" t="s">
        <v>73096</v>
      </c>
      <c r="H3650" t="s">
        <v>73097</v>
      </c>
      <c r="I3650" t="s">
        <v>73098</v>
      </c>
      <c r="J3650" t="s">
        <v>73099</v>
      </c>
      <c r="K3650" t="s">
        <v>73100</v>
      </c>
      <c r="L3650" t="s">
        <v>73101</v>
      </c>
      <c r="M3650" t="s">
        <v>73102</v>
      </c>
      <c r="N3650" t="s">
        <v>73103</v>
      </c>
      <c r="O3650">
        <f>-551.341268993835 -94.2716752076424 -742.179260158582</f>
        <v>-1387.7922043600593</v>
      </c>
      <c r="P3650">
        <f>-576.806077021484 -94.2082789874613 -426.683194891736</f>
        <v>-1097.6975509006813</v>
      </c>
      <c r="Q3650" t="s">
        <v>73104</v>
      </c>
      <c r="R3650" t="s">
        <v>73105</v>
      </c>
      <c r="S3650" t="s">
        <v>73106</v>
      </c>
      <c r="T3650" t="s">
        <v>73107</v>
      </c>
      <c r="U3650" t="s">
        <v>73108</v>
      </c>
      <c r="V3650" t="s">
        <v>73109</v>
      </c>
      <c r="W3650" t="s">
        <v>73110</v>
      </c>
      <c r="X3650" t="s">
        <v>73111</v>
      </c>
      <c r="Y3650" t="s">
        <v>73112</v>
      </c>
    </row>
    <row r="3651" spans="1:25" x14ac:dyDescent="0.3">
      <c r="A3651">
        <v>182500</v>
      </c>
      <c r="B3651" t="s">
        <v>73113</v>
      </c>
      <c r="C3651" t="s">
        <v>73114</v>
      </c>
      <c r="D3651" t="s">
        <v>73115</v>
      </c>
      <c r="E3651" t="s">
        <v>73116</v>
      </c>
      <c r="F3651" t="s">
        <v>73117</v>
      </c>
      <c r="G3651" t="s">
        <v>73118</v>
      </c>
      <c r="H3651" t="s">
        <v>73119</v>
      </c>
      <c r="I3651" t="s">
        <v>73120</v>
      </c>
      <c r="J3651" t="s">
        <v>73121</v>
      </c>
      <c r="K3651" t="s">
        <v>73122</v>
      </c>
      <c r="L3651" t="s">
        <v>73123</v>
      </c>
      <c r="M3651" t="s">
        <v>73124</v>
      </c>
      <c r="N3651" t="s">
        <v>73125</v>
      </c>
      <c r="O3651">
        <f>-551.218726240219 -94.4002932243677 -742.07092793817</f>
        <v>-1387.6899474027568</v>
      </c>
      <c r="P3651">
        <f>-576.81894750611 -94.1015350418313 -426.586139919243</f>
        <v>-1097.5066224671843</v>
      </c>
      <c r="Q3651" t="s">
        <v>73126</v>
      </c>
      <c r="R3651" t="s">
        <v>73127</v>
      </c>
      <c r="S3651" t="s">
        <v>73128</v>
      </c>
      <c r="T3651" t="s">
        <v>73129</v>
      </c>
      <c r="U3651" t="s">
        <v>73130</v>
      </c>
      <c r="V3651" t="s">
        <v>73131</v>
      </c>
      <c r="W3651" t="s">
        <v>73132</v>
      </c>
      <c r="X3651" t="s">
        <v>73133</v>
      </c>
      <c r="Y3651" t="s">
        <v>73134</v>
      </c>
    </row>
    <row r="3652" spans="1:25" x14ac:dyDescent="0.3">
      <c r="A3652">
        <v>182550</v>
      </c>
      <c r="B3652" t="s">
        <v>73135</v>
      </c>
      <c r="C3652" t="s">
        <v>73136</v>
      </c>
      <c r="D3652" t="s">
        <v>73137</v>
      </c>
      <c r="E3652" t="s">
        <v>73138</v>
      </c>
      <c r="F3652" t="s">
        <v>73139</v>
      </c>
      <c r="G3652" t="s">
        <v>73140</v>
      </c>
      <c r="H3652" t="s">
        <v>73141</v>
      </c>
      <c r="I3652" t="s">
        <v>73142</v>
      </c>
      <c r="J3652" t="s">
        <v>73143</v>
      </c>
      <c r="K3652" t="s">
        <v>73144</v>
      </c>
      <c r="L3652" t="s">
        <v>73145</v>
      </c>
      <c r="M3652" t="s">
        <v>73146</v>
      </c>
      <c r="N3652" t="s">
        <v>73147</v>
      </c>
      <c r="O3652">
        <f>-551.294963370414 -95.1750551037547 -741.730824095892</f>
        <v>-1388.2008425700608</v>
      </c>
      <c r="P3652">
        <f>-577.040345392574 -94.4096522707692 -426.258464683682</f>
        <v>-1097.7084623470253</v>
      </c>
      <c r="Q3652" t="s">
        <v>73148</v>
      </c>
      <c r="R3652" t="s">
        <v>73149</v>
      </c>
      <c r="S3652" t="s">
        <v>73150</v>
      </c>
      <c r="T3652" t="s">
        <v>73151</v>
      </c>
      <c r="U3652" t="s">
        <v>73152</v>
      </c>
      <c r="V3652" t="s">
        <v>73153</v>
      </c>
      <c r="W3652" t="s">
        <v>73154</v>
      </c>
      <c r="X3652" t="s">
        <v>73155</v>
      </c>
      <c r="Y3652" t="s">
        <v>73156</v>
      </c>
    </row>
    <row r="3653" spans="1:25" x14ac:dyDescent="0.3">
      <c r="A3653">
        <v>182600</v>
      </c>
      <c r="B3653" t="s">
        <v>73157</v>
      </c>
      <c r="C3653" t="s">
        <v>73158</v>
      </c>
      <c r="D3653" t="s">
        <v>73159</v>
      </c>
      <c r="E3653" t="s">
        <v>73160</v>
      </c>
      <c r="F3653" t="s">
        <v>73161</v>
      </c>
      <c r="G3653" t="s">
        <v>73162</v>
      </c>
      <c r="H3653" t="s">
        <v>73163</v>
      </c>
      <c r="I3653" t="s">
        <v>73164</v>
      </c>
      <c r="J3653" t="s">
        <v>73165</v>
      </c>
      <c r="K3653" t="s">
        <v>73166</v>
      </c>
      <c r="L3653" t="s">
        <v>73167</v>
      </c>
      <c r="M3653" t="s">
        <v>73168</v>
      </c>
      <c r="N3653" t="s">
        <v>73169</v>
      </c>
      <c r="O3653">
        <f>-551.363452305734 -95.3790537809593 -741.525761749841</f>
        <v>-1388.2682678365343</v>
      </c>
      <c r="P3653">
        <f>-577.079646632338 -94.3706429801187 -426.051679726355</f>
        <v>-1097.5019693388117</v>
      </c>
      <c r="Q3653" t="s">
        <v>73170</v>
      </c>
      <c r="R3653" t="s">
        <v>73171</v>
      </c>
      <c r="S3653" t="s">
        <v>73172</v>
      </c>
      <c r="T3653" t="s">
        <v>73173</v>
      </c>
      <c r="U3653" t="s">
        <v>73174</v>
      </c>
      <c r="V3653" t="s">
        <v>73175</v>
      </c>
      <c r="W3653" t="s">
        <v>73176</v>
      </c>
      <c r="X3653" t="s">
        <v>73177</v>
      </c>
      <c r="Y3653" t="s">
        <v>73178</v>
      </c>
    </row>
    <row r="3654" spans="1:25" x14ac:dyDescent="0.3">
      <c r="A3654">
        <v>182650</v>
      </c>
      <c r="B3654" t="s">
        <v>73179</v>
      </c>
      <c r="C3654" t="s">
        <v>73180</v>
      </c>
      <c r="D3654" t="s">
        <v>73181</v>
      </c>
      <c r="E3654" t="s">
        <v>73182</v>
      </c>
      <c r="F3654" t="s">
        <v>73183</v>
      </c>
      <c r="G3654" t="s">
        <v>73184</v>
      </c>
      <c r="H3654" t="s">
        <v>73185</v>
      </c>
      <c r="I3654" t="s">
        <v>73186</v>
      </c>
      <c r="J3654" t="s">
        <v>73187</v>
      </c>
      <c r="K3654" t="s">
        <v>73188</v>
      </c>
      <c r="L3654" t="s">
        <v>73189</v>
      </c>
      <c r="M3654" t="s">
        <v>73190</v>
      </c>
      <c r="N3654" t="s">
        <v>73191</v>
      </c>
      <c r="O3654">
        <f>-551.542779374715 -96.4899427262184 -740.879760036841</f>
        <v>-1388.9124821377745</v>
      </c>
      <c r="P3654">
        <f>-577.132798235593 -95.0030423433301 -425.397453832492</f>
        <v>-1097.533294411415</v>
      </c>
      <c r="Q3654" t="s">
        <v>73192</v>
      </c>
      <c r="R3654" t="s">
        <v>73193</v>
      </c>
      <c r="S3654" t="s">
        <v>73194</v>
      </c>
      <c r="T3654" t="s">
        <v>73195</v>
      </c>
      <c r="U3654" t="s">
        <v>73196</v>
      </c>
      <c r="V3654" t="s">
        <v>73197</v>
      </c>
      <c r="W3654" t="s">
        <v>73198</v>
      </c>
      <c r="X3654" t="s">
        <v>73199</v>
      </c>
      <c r="Y3654" t="s">
        <v>73200</v>
      </c>
    </row>
    <row r="3655" spans="1:25" x14ac:dyDescent="0.3">
      <c r="A3655">
        <v>182700</v>
      </c>
      <c r="B3655" t="s">
        <v>73201</v>
      </c>
      <c r="C3655" t="s">
        <v>73202</v>
      </c>
      <c r="D3655" t="s">
        <v>73203</v>
      </c>
      <c r="E3655" t="s">
        <v>73204</v>
      </c>
      <c r="F3655" t="s">
        <v>73205</v>
      </c>
      <c r="G3655" t="s">
        <v>73206</v>
      </c>
      <c r="H3655" t="s">
        <v>73207</v>
      </c>
      <c r="I3655" t="s">
        <v>73208</v>
      </c>
      <c r="J3655" t="s">
        <v>73209</v>
      </c>
      <c r="K3655" t="s">
        <v>73210</v>
      </c>
      <c r="L3655" t="s">
        <v>73211</v>
      </c>
      <c r="M3655" t="s">
        <v>73212</v>
      </c>
      <c r="N3655" t="s">
        <v>73213</v>
      </c>
      <c r="O3655">
        <f>-551.731096407868 -97.1228137484987 -740.469560453219</f>
        <v>-1389.3234706095857</v>
      </c>
      <c r="P3655">
        <f>-577.32434712527 -95.257379777672 -424.989540014843</f>
        <v>-1097.5712669177851</v>
      </c>
      <c r="Q3655" t="s">
        <v>73214</v>
      </c>
      <c r="R3655" t="s">
        <v>73215</v>
      </c>
      <c r="S3655" t="s">
        <v>73216</v>
      </c>
      <c r="T3655" t="s">
        <v>73217</v>
      </c>
      <c r="U3655" t="s">
        <v>73218</v>
      </c>
      <c r="V3655" t="s">
        <v>73219</v>
      </c>
      <c r="W3655" t="s">
        <v>73220</v>
      </c>
      <c r="X3655" t="s">
        <v>73221</v>
      </c>
      <c r="Y3655" t="s">
        <v>73222</v>
      </c>
    </row>
    <row r="3656" spans="1:25" x14ac:dyDescent="0.3">
      <c r="A3656">
        <v>182750</v>
      </c>
      <c r="B3656" t="s">
        <v>73223</v>
      </c>
      <c r="C3656" t="s">
        <v>73224</v>
      </c>
      <c r="D3656" t="s">
        <v>73225</v>
      </c>
      <c r="E3656" t="s">
        <v>73226</v>
      </c>
      <c r="F3656" t="s">
        <v>73227</v>
      </c>
      <c r="G3656" t="s">
        <v>73228</v>
      </c>
      <c r="H3656" t="s">
        <v>73229</v>
      </c>
      <c r="I3656" t="s">
        <v>73230</v>
      </c>
      <c r="J3656" t="s">
        <v>73231</v>
      </c>
      <c r="K3656" t="s">
        <v>73232</v>
      </c>
      <c r="L3656" t="s">
        <v>73233</v>
      </c>
      <c r="M3656" t="s">
        <v>73234</v>
      </c>
      <c r="N3656" t="s">
        <v>73235</v>
      </c>
      <c r="O3656">
        <f>-551.55802260526 -97.6841430799531 -739.997005483765</f>
        <v>-1389.2391711689779</v>
      </c>
      <c r="P3656">
        <f>-577.384001658711 -94.9434115099211 -424.542194639461</f>
        <v>-1096.8696078080932</v>
      </c>
      <c r="Q3656" t="s">
        <v>73236</v>
      </c>
      <c r="R3656" t="s">
        <v>73237</v>
      </c>
      <c r="S3656" t="s">
        <v>73238</v>
      </c>
      <c r="T3656" t="s">
        <v>73239</v>
      </c>
      <c r="U3656" t="s">
        <v>73240</v>
      </c>
      <c r="V3656" t="s">
        <v>73241</v>
      </c>
      <c r="W3656" t="s">
        <v>73242</v>
      </c>
      <c r="X3656" t="s">
        <v>73243</v>
      </c>
      <c r="Y3656" t="s">
        <v>73244</v>
      </c>
    </row>
    <row r="3657" spans="1:25" x14ac:dyDescent="0.3">
      <c r="A3657">
        <v>182800</v>
      </c>
      <c r="B3657" t="s">
        <v>73245</v>
      </c>
      <c r="C3657" t="s">
        <v>73246</v>
      </c>
      <c r="D3657" t="s">
        <v>73247</v>
      </c>
      <c r="E3657" t="s">
        <v>73248</v>
      </c>
      <c r="F3657" t="s">
        <v>73249</v>
      </c>
      <c r="G3657" t="s">
        <v>73250</v>
      </c>
      <c r="H3657" t="s">
        <v>73251</v>
      </c>
      <c r="I3657" t="s">
        <v>73252</v>
      </c>
      <c r="J3657" t="s">
        <v>73253</v>
      </c>
      <c r="K3657" t="s">
        <v>73254</v>
      </c>
      <c r="L3657" t="s">
        <v>73255</v>
      </c>
      <c r="M3657" t="s">
        <v>73256</v>
      </c>
      <c r="N3657" t="s">
        <v>73257</v>
      </c>
      <c r="O3657">
        <f>-551.370820546394 -97.8180754438795 -739.949083297606</f>
        <v>-1389.1379792878795</v>
      </c>
      <c r="P3657">
        <f>-577.365527658956 -94.8747943848769 -424.509937994216</f>
        <v>-1096.750260038049</v>
      </c>
      <c r="Q3657" t="s">
        <v>73258</v>
      </c>
      <c r="R3657" t="s">
        <v>73259</v>
      </c>
      <c r="S3657" t="s">
        <v>73260</v>
      </c>
      <c r="T3657" t="s">
        <v>73261</v>
      </c>
      <c r="U3657" t="s">
        <v>73262</v>
      </c>
      <c r="V3657" t="s">
        <v>73263</v>
      </c>
      <c r="W3657" t="s">
        <v>73264</v>
      </c>
      <c r="X3657" t="s">
        <v>73265</v>
      </c>
      <c r="Y3657" t="s">
        <v>73266</v>
      </c>
    </row>
    <row r="3658" spans="1:25" x14ac:dyDescent="0.3">
      <c r="A3658">
        <v>182850</v>
      </c>
      <c r="B3658" t="s">
        <v>73267</v>
      </c>
      <c r="C3658" t="s">
        <v>73268</v>
      </c>
      <c r="D3658" t="s">
        <v>73269</v>
      </c>
      <c r="E3658" t="s">
        <v>73270</v>
      </c>
      <c r="F3658" t="s">
        <v>73271</v>
      </c>
      <c r="G3658" t="s">
        <v>73272</v>
      </c>
      <c r="H3658" t="s">
        <v>73273</v>
      </c>
      <c r="I3658" t="s">
        <v>73274</v>
      </c>
      <c r="J3658" t="s">
        <v>73275</v>
      </c>
      <c r="K3658" t="s">
        <v>73276</v>
      </c>
      <c r="L3658" t="s">
        <v>73277</v>
      </c>
      <c r="M3658" t="s">
        <v>73278</v>
      </c>
      <c r="N3658" t="s">
        <v>73279</v>
      </c>
      <c r="O3658">
        <f>-550.867423539857 -97.8725741648955 -740.000286614096</f>
        <v>-1388.7402843188484</v>
      </c>
      <c r="P3658">
        <f>-576.995639565912 -94.6812821417098 -424.574748789034</f>
        <v>-1096.2516704966558</v>
      </c>
      <c r="Q3658" t="s">
        <v>73280</v>
      </c>
      <c r="R3658" t="s">
        <v>73281</v>
      </c>
      <c r="S3658" t="s">
        <v>73282</v>
      </c>
      <c r="T3658" t="s">
        <v>73283</v>
      </c>
      <c r="U3658" t="s">
        <v>73284</v>
      </c>
      <c r="V3658" t="s">
        <v>73285</v>
      </c>
      <c r="W3658" t="s">
        <v>73286</v>
      </c>
      <c r="X3658" t="s">
        <v>73287</v>
      </c>
      <c r="Y3658" t="s">
        <v>73288</v>
      </c>
    </row>
    <row r="3659" spans="1:25" x14ac:dyDescent="0.3">
      <c r="A3659">
        <v>182900</v>
      </c>
      <c r="B3659" t="s">
        <v>73289</v>
      </c>
      <c r="C3659" t="s">
        <v>73290</v>
      </c>
      <c r="D3659" t="s">
        <v>73291</v>
      </c>
      <c r="E3659" t="s">
        <v>73292</v>
      </c>
      <c r="F3659" t="s">
        <v>73293</v>
      </c>
      <c r="G3659" t="s">
        <v>73294</v>
      </c>
      <c r="H3659" t="s">
        <v>73295</v>
      </c>
      <c r="I3659" t="s">
        <v>73296</v>
      </c>
      <c r="J3659" t="s">
        <v>73297</v>
      </c>
      <c r="K3659" t="s">
        <v>73298</v>
      </c>
      <c r="L3659" t="s">
        <v>73299</v>
      </c>
      <c r="M3659" t="s">
        <v>73300</v>
      </c>
      <c r="N3659" t="s">
        <v>73301</v>
      </c>
      <c r="O3659">
        <f>-550.652071922651 -98.0260609406771 -740.00601948108</f>
        <v>-1388.6841523444082</v>
      </c>
      <c r="P3659">
        <f>-576.634340303693 -94.7676266654038 -424.569015526266</f>
        <v>-1095.9709824953627</v>
      </c>
      <c r="Q3659" t="s">
        <v>73302</v>
      </c>
      <c r="R3659" t="s">
        <v>73303</v>
      </c>
      <c r="S3659" t="s">
        <v>73304</v>
      </c>
      <c r="T3659" t="s">
        <v>73305</v>
      </c>
      <c r="U3659" t="s">
        <v>73306</v>
      </c>
      <c r="V3659" t="s">
        <v>73307</v>
      </c>
      <c r="W3659" t="s">
        <v>73308</v>
      </c>
      <c r="X3659" t="s">
        <v>73309</v>
      </c>
      <c r="Y3659" t="s">
        <v>73310</v>
      </c>
    </row>
    <row r="3660" spans="1:25" x14ac:dyDescent="0.3">
      <c r="A3660">
        <v>182950</v>
      </c>
      <c r="B3660" t="s">
        <v>73311</v>
      </c>
      <c r="C3660" t="s">
        <v>73312</v>
      </c>
      <c r="D3660" t="s">
        <v>73313</v>
      </c>
      <c r="E3660" t="s">
        <v>73314</v>
      </c>
      <c r="F3660" t="s">
        <v>73315</v>
      </c>
      <c r="G3660" t="s">
        <v>73316</v>
      </c>
      <c r="H3660" t="s">
        <v>73317</v>
      </c>
      <c r="I3660" t="s">
        <v>73318</v>
      </c>
      <c r="J3660" t="s">
        <v>73319</v>
      </c>
      <c r="K3660" t="s">
        <v>73320</v>
      </c>
      <c r="L3660" t="s">
        <v>73321</v>
      </c>
      <c r="M3660" t="s">
        <v>73322</v>
      </c>
      <c r="N3660" t="s">
        <v>73323</v>
      </c>
      <c r="O3660">
        <f>-550.605247069176 -98.3552829460154 -739.961009375853</f>
        <v>-1388.9215393910445</v>
      </c>
      <c r="P3660">
        <f>-575.877534246283 -95.1896952091301 -424.465296864421</f>
        <v>-1095.5325263198342</v>
      </c>
      <c r="Q3660" t="s">
        <v>73324</v>
      </c>
      <c r="R3660" t="s">
        <v>73325</v>
      </c>
      <c r="S3660" t="s">
        <v>73326</v>
      </c>
      <c r="T3660" t="s">
        <v>73327</v>
      </c>
      <c r="U3660" t="s">
        <v>73328</v>
      </c>
      <c r="V3660" t="s">
        <v>73329</v>
      </c>
      <c r="W3660" t="s">
        <v>73330</v>
      </c>
      <c r="X3660" t="s">
        <v>73331</v>
      </c>
      <c r="Y3660" t="s">
        <v>73332</v>
      </c>
    </row>
    <row r="3661" spans="1:25" x14ac:dyDescent="0.3">
      <c r="A3661">
        <v>183000</v>
      </c>
      <c r="B3661" t="s">
        <v>73333</v>
      </c>
      <c r="C3661" t="s">
        <v>73334</v>
      </c>
      <c r="D3661" t="s">
        <v>73335</v>
      </c>
      <c r="E3661" t="s">
        <v>73336</v>
      </c>
      <c r="F3661" t="s">
        <v>73337</v>
      </c>
      <c r="G3661" t="s">
        <v>73338</v>
      </c>
      <c r="H3661" t="s">
        <v>73339</v>
      </c>
      <c r="I3661" t="s">
        <v>73340</v>
      </c>
      <c r="J3661" t="s">
        <v>73341</v>
      </c>
      <c r="K3661" t="s">
        <v>73342</v>
      </c>
      <c r="L3661" t="s">
        <v>73343</v>
      </c>
      <c r="M3661" t="s">
        <v>73344</v>
      </c>
      <c r="N3661" t="s">
        <v>73345</v>
      </c>
      <c r="O3661">
        <f>-550.644395545114 -98.4504965948801 -740.004356802052</f>
        <v>-1389.099248942046</v>
      </c>
      <c r="P3661">
        <f>-575.599465476705 -95.5113163571024 -424.481334809101</f>
        <v>-1095.5921166429084</v>
      </c>
      <c r="Q3661" t="s">
        <v>73346</v>
      </c>
      <c r="R3661" t="s">
        <v>73347</v>
      </c>
      <c r="S3661" t="s">
        <v>73348</v>
      </c>
      <c r="T3661" t="s">
        <v>73349</v>
      </c>
      <c r="U3661" t="s">
        <v>73350</v>
      </c>
      <c r="V3661" t="s">
        <v>73351</v>
      </c>
      <c r="W3661" t="s">
        <v>73352</v>
      </c>
      <c r="X3661" t="s">
        <v>73353</v>
      </c>
      <c r="Y3661" t="s">
        <v>73354</v>
      </c>
    </row>
    <row r="3662" spans="1:25" x14ac:dyDescent="0.3">
      <c r="A3662">
        <v>183050</v>
      </c>
      <c r="B3662" t="s">
        <v>73355</v>
      </c>
      <c r="C3662" t="s">
        <v>73356</v>
      </c>
      <c r="D3662" t="s">
        <v>73357</v>
      </c>
      <c r="E3662" t="s">
        <v>73358</v>
      </c>
      <c r="F3662" t="s">
        <v>73359</v>
      </c>
      <c r="G3662" t="s">
        <v>73360</v>
      </c>
      <c r="H3662" t="s">
        <v>73361</v>
      </c>
      <c r="I3662" t="s">
        <v>73362</v>
      </c>
      <c r="J3662" t="s">
        <v>73363</v>
      </c>
      <c r="K3662" t="s">
        <v>73364</v>
      </c>
      <c r="L3662" t="s">
        <v>73365</v>
      </c>
      <c r="M3662" t="s">
        <v>73366</v>
      </c>
      <c r="N3662" t="s">
        <v>73367</v>
      </c>
      <c r="O3662">
        <f>-550.521677783257 -98.7435659223568 -740.163869156214</f>
        <v>-1389.4291128618279</v>
      </c>
      <c r="P3662">
        <f>-575.1202366411 -96.500153925774 -424.606995827945</f>
        <v>-1096.227386394819</v>
      </c>
      <c r="Q3662" t="s">
        <v>73368</v>
      </c>
      <c r="R3662" t="s">
        <v>73369</v>
      </c>
      <c r="S3662" t="s">
        <v>73370</v>
      </c>
      <c r="T3662" t="s">
        <v>73371</v>
      </c>
      <c r="U3662" t="s">
        <v>73372</v>
      </c>
      <c r="V3662" t="s">
        <v>73373</v>
      </c>
      <c r="W3662" t="s">
        <v>73374</v>
      </c>
      <c r="X3662" t="s">
        <v>73375</v>
      </c>
      <c r="Y3662" t="s">
        <v>73376</v>
      </c>
    </row>
    <row r="3663" spans="1:25" x14ac:dyDescent="0.3">
      <c r="A3663">
        <v>183100</v>
      </c>
      <c r="B3663" t="s">
        <v>73377</v>
      </c>
      <c r="C3663" t="s">
        <v>73378</v>
      </c>
      <c r="D3663" t="s">
        <v>73379</v>
      </c>
      <c r="E3663" t="s">
        <v>73380</v>
      </c>
      <c r="F3663" t="s">
        <v>73381</v>
      </c>
      <c r="G3663" t="s">
        <v>73382</v>
      </c>
      <c r="H3663" t="s">
        <v>73383</v>
      </c>
      <c r="I3663" t="s">
        <v>73384</v>
      </c>
      <c r="J3663" t="s">
        <v>73385</v>
      </c>
      <c r="K3663" t="s">
        <v>73386</v>
      </c>
      <c r="L3663" t="s">
        <v>73387</v>
      </c>
      <c r="M3663" t="s">
        <v>73388</v>
      </c>
      <c r="N3663" t="s">
        <v>73389</v>
      </c>
      <c r="O3663">
        <f>-550.213246038199 -98.8377954954194 -740.258239528791</f>
        <v>-1389.3092810624094</v>
      </c>
      <c r="P3663">
        <f>-574.591982005398 -97.0196802762917 -424.681681743475</f>
        <v>-1096.2933440251645</v>
      </c>
      <c r="Q3663" t="s">
        <v>73390</v>
      </c>
      <c r="R3663" t="s">
        <v>73391</v>
      </c>
      <c r="S3663" t="s">
        <v>73392</v>
      </c>
      <c r="T3663" t="s">
        <v>73393</v>
      </c>
      <c r="U3663" t="s">
        <v>73394</v>
      </c>
      <c r="V3663" t="s">
        <v>73395</v>
      </c>
      <c r="W3663" t="s">
        <v>73396</v>
      </c>
      <c r="X3663" t="s">
        <v>73397</v>
      </c>
      <c r="Y3663" t="s">
        <v>73398</v>
      </c>
    </row>
    <row r="3664" spans="1:25" x14ac:dyDescent="0.3">
      <c r="A3664">
        <v>183150</v>
      </c>
      <c r="B3664" t="s">
        <v>73399</v>
      </c>
      <c r="C3664" t="s">
        <v>73400</v>
      </c>
      <c r="D3664" t="s">
        <v>73401</v>
      </c>
      <c r="E3664" t="s">
        <v>73402</v>
      </c>
      <c r="F3664" t="s">
        <v>73403</v>
      </c>
      <c r="G3664" t="s">
        <v>73404</v>
      </c>
      <c r="H3664" t="s">
        <v>73405</v>
      </c>
      <c r="I3664" t="s">
        <v>73406</v>
      </c>
      <c r="J3664" t="s">
        <v>73407</v>
      </c>
      <c r="K3664" t="s">
        <v>73408</v>
      </c>
      <c r="L3664" t="s">
        <v>73409</v>
      </c>
      <c r="M3664" t="s">
        <v>73410</v>
      </c>
      <c r="N3664" t="s">
        <v>73411</v>
      </c>
      <c r="O3664">
        <f>-549.614183786404 -100.124849297292 -740.413674439813</f>
        <v>-1390.152707523509</v>
      </c>
      <c r="P3664">
        <f>-573.913281122168 -98.5970734087761 -424.8295127108</f>
        <v>-1097.3398672417441</v>
      </c>
      <c r="Q3664" t="s">
        <v>73412</v>
      </c>
      <c r="R3664" t="s">
        <v>73413</v>
      </c>
      <c r="S3664" t="s">
        <v>73414</v>
      </c>
      <c r="T3664" t="s">
        <v>73415</v>
      </c>
      <c r="U3664" t="s">
        <v>73416</v>
      </c>
      <c r="V3664" t="s">
        <v>73417</v>
      </c>
      <c r="W3664" t="s">
        <v>73418</v>
      </c>
      <c r="X3664" t="s">
        <v>73419</v>
      </c>
      <c r="Y3664" t="s">
        <v>73420</v>
      </c>
    </row>
    <row r="3665" spans="1:25" x14ac:dyDescent="0.3">
      <c r="A3665">
        <v>183200</v>
      </c>
      <c r="B3665" t="s">
        <v>73421</v>
      </c>
      <c r="C3665" t="s">
        <v>73422</v>
      </c>
      <c r="D3665" t="s">
        <v>73423</v>
      </c>
      <c r="E3665" t="s">
        <v>73424</v>
      </c>
      <c r="F3665" t="s">
        <v>73425</v>
      </c>
      <c r="G3665" t="s">
        <v>73426</v>
      </c>
      <c r="H3665" t="s">
        <v>73427</v>
      </c>
      <c r="I3665" t="s">
        <v>73428</v>
      </c>
      <c r="J3665" t="s">
        <v>73429</v>
      </c>
      <c r="K3665" t="s">
        <v>73430</v>
      </c>
      <c r="L3665" t="s">
        <v>73431</v>
      </c>
      <c r="M3665" t="s">
        <v>73432</v>
      </c>
      <c r="N3665" t="s">
        <v>73433</v>
      </c>
      <c r="O3665">
        <f>-549.66226779895 -100.798347776135 -740.55475473169</f>
        <v>-1391.0153703067749</v>
      </c>
      <c r="P3665">
        <f>-574.025657561209 -99.3779968909086 -424.975009752713</f>
        <v>-1098.3786642048306</v>
      </c>
      <c r="Q3665" t="s">
        <v>73434</v>
      </c>
      <c r="R3665" t="s">
        <v>73435</v>
      </c>
      <c r="S3665" t="s">
        <v>73436</v>
      </c>
      <c r="T3665" t="s">
        <v>73437</v>
      </c>
      <c r="U3665" t="s">
        <v>73438</v>
      </c>
      <c r="V3665" t="s">
        <v>73439</v>
      </c>
      <c r="W3665" t="s">
        <v>73440</v>
      </c>
      <c r="X3665" t="s">
        <v>73441</v>
      </c>
      <c r="Y3665" t="s">
        <v>73442</v>
      </c>
    </row>
    <row r="3666" spans="1:25" x14ac:dyDescent="0.3">
      <c r="A3666">
        <v>183250</v>
      </c>
      <c r="B3666" t="s">
        <v>73443</v>
      </c>
      <c r="C3666" t="s">
        <v>73444</v>
      </c>
      <c r="D3666" t="s">
        <v>73445</v>
      </c>
      <c r="E3666" t="s">
        <v>73446</v>
      </c>
      <c r="F3666" t="s">
        <v>73447</v>
      </c>
      <c r="G3666" t="s">
        <v>73448</v>
      </c>
      <c r="H3666" t="s">
        <v>73449</v>
      </c>
      <c r="I3666" t="s">
        <v>73450</v>
      </c>
      <c r="J3666" t="s">
        <v>73451</v>
      </c>
      <c r="K3666" t="s">
        <v>73452</v>
      </c>
      <c r="L3666" t="s">
        <v>73453</v>
      </c>
      <c r="M3666" t="s">
        <v>73454</v>
      </c>
      <c r="N3666" t="s">
        <v>73455</v>
      </c>
      <c r="O3666">
        <f>-549.961522519922 -102.154172579845 -740.972799774032</f>
        <v>-1393.0884948737989</v>
      </c>
      <c r="P3666">
        <f>-574.630166697317 -100.994945592391 -425.415722715494</f>
        <v>-1101.0408350052021</v>
      </c>
      <c r="Q3666" t="s">
        <v>73456</v>
      </c>
      <c r="R3666" t="s">
        <v>73457</v>
      </c>
      <c r="S3666" t="s">
        <v>73458</v>
      </c>
      <c r="T3666" t="s">
        <v>73459</v>
      </c>
      <c r="U3666" t="s">
        <v>73460</v>
      </c>
      <c r="V3666" t="s">
        <v>73461</v>
      </c>
      <c r="W3666" t="s">
        <v>73462</v>
      </c>
      <c r="X3666" t="s">
        <v>73463</v>
      </c>
      <c r="Y3666" t="s">
        <v>73464</v>
      </c>
    </row>
    <row r="3667" spans="1:25" x14ac:dyDescent="0.3">
      <c r="A3667">
        <v>183300</v>
      </c>
      <c r="B3667" t="s">
        <v>73465</v>
      </c>
      <c r="C3667" t="s">
        <v>73466</v>
      </c>
      <c r="D3667" t="s">
        <v>73467</v>
      </c>
      <c r="E3667" t="s">
        <v>73468</v>
      </c>
      <c r="F3667" t="s">
        <v>73469</v>
      </c>
      <c r="G3667" t="s">
        <v>73470</v>
      </c>
      <c r="H3667" t="s">
        <v>73471</v>
      </c>
      <c r="I3667" t="s">
        <v>73472</v>
      </c>
      <c r="J3667" t="s">
        <v>73473</v>
      </c>
      <c r="K3667" t="s">
        <v>73474</v>
      </c>
      <c r="L3667" t="s">
        <v>73475</v>
      </c>
      <c r="M3667" t="s">
        <v>73476</v>
      </c>
      <c r="N3667" t="s">
        <v>73477</v>
      </c>
      <c r="O3667">
        <f>-550.157095321498 -102.815570159069 -741.118063257496</f>
        <v>-1394.090728738063</v>
      </c>
      <c r="P3667">
        <f>-574.984471642942 -101.9190405667 -425.572607645172</f>
        <v>-1102.476119854814</v>
      </c>
      <c r="Q3667" t="s">
        <v>73478</v>
      </c>
      <c r="R3667" t="s">
        <v>73479</v>
      </c>
      <c r="S3667" t="s">
        <v>73480</v>
      </c>
      <c r="T3667" t="s">
        <v>73481</v>
      </c>
      <c r="U3667" t="s">
        <v>73482</v>
      </c>
      <c r="V3667" t="s">
        <v>73483</v>
      </c>
      <c r="W3667" t="s">
        <v>73484</v>
      </c>
      <c r="X3667" t="s">
        <v>73485</v>
      </c>
      <c r="Y3667" t="s">
        <v>73486</v>
      </c>
    </row>
    <row r="3668" spans="1:25" x14ac:dyDescent="0.3">
      <c r="A3668">
        <v>183350</v>
      </c>
      <c r="B3668" t="s">
        <v>73487</v>
      </c>
      <c r="C3668" t="s">
        <v>73488</v>
      </c>
      <c r="D3668" t="s">
        <v>73489</v>
      </c>
      <c r="E3668" t="s">
        <v>73490</v>
      </c>
      <c r="F3668" t="s">
        <v>73491</v>
      </c>
      <c r="G3668" t="s">
        <v>73492</v>
      </c>
      <c r="H3668" t="s">
        <v>73493</v>
      </c>
      <c r="I3668" t="s">
        <v>73494</v>
      </c>
      <c r="J3668" t="s">
        <v>73495</v>
      </c>
      <c r="K3668" t="s">
        <v>73496</v>
      </c>
      <c r="L3668" t="s">
        <v>73497</v>
      </c>
      <c r="M3668" t="s">
        <v>73498</v>
      </c>
      <c r="N3668" t="s">
        <v>73499</v>
      </c>
      <c r="O3668">
        <f>-550.443681479089 -104.332956578248 -741.38330151917</f>
        <v>-1396.159939576507</v>
      </c>
      <c r="P3668">
        <f>-575.596599076121 -103.718148634824 -425.862967552323</f>
        <v>-1105.1777152632681</v>
      </c>
      <c r="Q3668">
        <f>-339.450817551407 -0.46410532828564 -460.731957939211</f>
        <v>-800.64688081890358</v>
      </c>
      <c r="R3668" t="s">
        <v>73500</v>
      </c>
      <c r="S3668" t="s">
        <v>73501</v>
      </c>
      <c r="T3668" t="s">
        <v>73502</v>
      </c>
      <c r="U3668" t="s">
        <v>73503</v>
      </c>
      <c r="V3668" t="s">
        <v>73504</v>
      </c>
      <c r="W3668" t="s">
        <v>73505</v>
      </c>
      <c r="X3668" t="s">
        <v>73506</v>
      </c>
      <c r="Y3668" t="s">
        <v>73507</v>
      </c>
    </row>
    <row r="3669" spans="1:25" x14ac:dyDescent="0.3">
      <c r="A3669">
        <v>183400</v>
      </c>
      <c r="B3669" t="s">
        <v>73508</v>
      </c>
      <c r="C3669" t="s">
        <v>73509</v>
      </c>
      <c r="D3669" t="s">
        <v>73510</v>
      </c>
      <c r="E3669" t="s">
        <v>73511</v>
      </c>
      <c r="F3669" t="s">
        <v>73512</v>
      </c>
      <c r="G3669" t="s">
        <v>73513</v>
      </c>
      <c r="H3669" t="s">
        <v>73514</v>
      </c>
      <c r="I3669" t="s">
        <v>73515</v>
      </c>
      <c r="J3669" t="s">
        <v>73516</v>
      </c>
      <c r="K3669" t="s">
        <v>73517</v>
      </c>
      <c r="L3669" t="s">
        <v>73518</v>
      </c>
      <c r="M3669" t="s">
        <v>73519</v>
      </c>
      <c r="N3669" t="s">
        <v>73520</v>
      </c>
      <c r="O3669">
        <f>-550.518618864453 -105.210254051876 -741.467885304789</f>
        <v>-1397.196758221118</v>
      </c>
      <c r="P3669">
        <f>-575.740314625869 -104.741972892613 -425.952567320673</f>
        <v>-1106.4348548391549</v>
      </c>
      <c r="Q3669">
        <f>-339.745549771664 -1.1275088763374 -460.774618656804</f>
        <v>-801.64767730480548</v>
      </c>
      <c r="R3669" t="s">
        <v>73521</v>
      </c>
      <c r="S3669" t="s">
        <v>73522</v>
      </c>
      <c r="T3669" t="s">
        <v>73523</v>
      </c>
      <c r="U3669" t="s">
        <v>73524</v>
      </c>
      <c r="V3669" t="s">
        <v>73525</v>
      </c>
      <c r="W3669" t="s">
        <v>73526</v>
      </c>
      <c r="X3669" t="s">
        <v>73527</v>
      </c>
      <c r="Y3669" t="s">
        <v>73528</v>
      </c>
    </row>
    <row r="3670" spans="1:25" x14ac:dyDescent="0.3">
      <c r="A3670">
        <v>183450</v>
      </c>
      <c r="B3670" t="s">
        <v>73529</v>
      </c>
      <c r="C3670" t="s">
        <v>73530</v>
      </c>
      <c r="D3670" t="s">
        <v>73531</v>
      </c>
      <c r="E3670" t="s">
        <v>73532</v>
      </c>
      <c r="F3670" t="s">
        <v>73533</v>
      </c>
      <c r="G3670" t="s">
        <v>73534</v>
      </c>
      <c r="H3670" t="s">
        <v>73535</v>
      </c>
      <c r="I3670" t="s">
        <v>73536</v>
      </c>
      <c r="J3670" t="s">
        <v>73537</v>
      </c>
      <c r="K3670" t="s">
        <v>73538</v>
      </c>
      <c r="L3670" t="s">
        <v>73539</v>
      </c>
      <c r="M3670" t="s">
        <v>73540</v>
      </c>
      <c r="N3670" t="s">
        <v>73541</v>
      </c>
      <c r="O3670">
        <f>-550.717429803037 -107.710655811116 -741.695820801817</f>
        <v>-1400.1239064159699</v>
      </c>
      <c r="P3670">
        <f>-575.991747428691 -107.119731161592 -426.185201331111</f>
        <v>-1109.2966799213941</v>
      </c>
      <c r="Q3670">
        <f>-340.329341159371 -2.75593476838829 -461.020285511219</f>
        <v>-804.10556143897827</v>
      </c>
      <c r="R3670" t="s">
        <v>73542</v>
      </c>
      <c r="S3670" t="s">
        <v>73543</v>
      </c>
      <c r="T3670" t="s">
        <v>73544</v>
      </c>
      <c r="U3670" t="s">
        <v>73545</v>
      </c>
      <c r="V3670" t="s">
        <v>73546</v>
      </c>
      <c r="W3670" t="s">
        <v>73547</v>
      </c>
      <c r="X3670" t="s">
        <v>73548</v>
      </c>
      <c r="Y3670" t="s">
        <v>73549</v>
      </c>
    </row>
    <row r="3671" spans="1:25" x14ac:dyDescent="0.3">
      <c r="A3671">
        <v>183500</v>
      </c>
      <c r="B3671" t="s">
        <v>73550</v>
      </c>
      <c r="C3671" t="s">
        <v>73551</v>
      </c>
      <c r="D3671" t="s">
        <v>73552</v>
      </c>
      <c r="E3671" t="s">
        <v>73553</v>
      </c>
      <c r="F3671" t="s">
        <v>73554</v>
      </c>
      <c r="G3671" t="s">
        <v>73555</v>
      </c>
      <c r="H3671" t="s">
        <v>73556</v>
      </c>
      <c r="I3671" t="s">
        <v>73557</v>
      </c>
      <c r="J3671" t="s">
        <v>73558</v>
      </c>
      <c r="K3671" t="s">
        <v>73559</v>
      </c>
      <c r="L3671" t="s">
        <v>73560</v>
      </c>
      <c r="M3671" t="s">
        <v>73561</v>
      </c>
      <c r="N3671" t="s">
        <v>73562</v>
      </c>
      <c r="O3671">
        <f>-550.122637862072 -108.868255983896 -741.895930521462</f>
        <v>-1400.8868243674301</v>
      </c>
      <c r="P3671">
        <f>-575.386302423378 -108.210154233217 -426.384390888649</f>
        <v>-1109.9808475452439</v>
      </c>
      <c r="Q3671">
        <f>-339.898075044017 -3.44109416791711 -461.180885344774</f>
        <v>-804.52005455670815</v>
      </c>
      <c r="R3671" t="s">
        <v>73563</v>
      </c>
      <c r="S3671" t="s">
        <v>73564</v>
      </c>
      <c r="T3671" t="s">
        <v>73565</v>
      </c>
      <c r="U3671" t="s">
        <v>73566</v>
      </c>
      <c r="V3671" t="s">
        <v>73567</v>
      </c>
      <c r="W3671" t="s">
        <v>73568</v>
      </c>
      <c r="X3671" t="s">
        <v>73569</v>
      </c>
      <c r="Y3671" t="s">
        <v>73570</v>
      </c>
    </row>
    <row r="3672" spans="1:25" x14ac:dyDescent="0.3">
      <c r="A3672">
        <v>183550</v>
      </c>
      <c r="B3672" t="s">
        <v>73571</v>
      </c>
      <c r="C3672" t="s">
        <v>73572</v>
      </c>
      <c r="D3672" t="s">
        <v>73573</v>
      </c>
      <c r="E3672" t="s">
        <v>73574</v>
      </c>
      <c r="F3672" t="s">
        <v>73575</v>
      </c>
      <c r="G3672" t="s">
        <v>73576</v>
      </c>
      <c r="H3672" t="s">
        <v>73577</v>
      </c>
      <c r="I3672" t="s">
        <v>73578</v>
      </c>
      <c r="J3672" t="s">
        <v>73579</v>
      </c>
      <c r="K3672" t="s">
        <v>73580</v>
      </c>
      <c r="L3672" t="s">
        <v>73581</v>
      </c>
      <c r="M3672" t="s">
        <v>73582</v>
      </c>
      <c r="N3672" t="s">
        <v>73583</v>
      </c>
      <c r="O3672">
        <f>-548.980841675383 -111.566733070313 -742.18456841566</f>
        <v>-1402.7321431613559</v>
      </c>
      <c r="P3672">
        <f>-574.380947585892 -110.477583557645 -426.685137430999</f>
        <v>-1111.543668574536</v>
      </c>
      <c r="Q3672">
        <f>-339.24888528103 -4.86421898903329 -461.337804570487</f>
        <v>-805.45090884055026</v>
      </c>
      <c r="R3672" t="s">
        <v>73584</v>
      </c>
      <c r="S3672" t="s">
        <v>73585</v>
      </c>
      <c r="T3672" t="s">
        <v>73586</v>
      </c>
      <c r="U3672" t="s">
        <v>73587</v>
      </c>
      <c r="V3672" t="s">
        <v>73588</v>
      </c>
      <c r="W3672" t="s">
        <v>73589</v>
      </c>
      <c r="X3672" t="s">
        <v>73590</v>
      </c>
      <c r="Y3672" t="s">
        <v>73591</v>
      </c>
    </row>
    <row r="3673" spans="1:25" x14ac:dyDescent="0.3">
      <c r="A3673">
        <v>183600</v>
      </c>
      <c r="B3673" t="s">
        <v>73592</v>
      </c>
      <c r="C3673" t="s">
        <v>73593</v>
      </c>
      <c r="D3673" t="s">
        <v>73594</v>
      </c>
      <c r="E3673" t="s">
        <v>73595</v>
      </c>
      <c r="F3673" t="s">
        <v>73596</v>
      </c>
      <c r="G3673" t="s">
        <v>73597</v>
      </c>
      <c r="H3673" t="s">
        <v>73598</v>
      </c>
      <c r="I3673" t="s">
        <v>73599</v>
      </c>
      <c r="J3673" t="s">
        <v>73600</v>
      </c>
      <c r="K3673" t="s">
        <v>73601</v>
      </c>
      <c r="L3673" t="s">
        <v>73602</v>
      </c>
      <c r="M3673" t="s">
        <v>73603</v>
      </c>
      <c r="N3673" t="s">
        <v>73604</v>
      </c>
      <c r="O3673">
        <f>-548.802970974978 -113.210291440979 -742.274796830631</f>
        <v>-1404.2880592465881</v>
      </c>
      <c r="P3673">
        <f>-574.282658366929 -111.897748511859 -426.782681481927</f>
        <v>-1112.9630883607151</v>
      </c>
      <c r="Q3673">
        <f>-339.36224125456 -5.80464875442399 -461.40484297783</f>
        <v>-806.57173298681391</v>
      </c>
      <c r="R3673" t="s">
        <v>73605</v>
      </c>
      <c r="S3673" t="s">
        <v>73606</v>
      </c>
      <c r="T3673" t="s">
        <v>73607</v>
      </c>
      <c r="U3673" t="s">
        <v>73608</v>
      </c>
      <c r="V3673" t="s">
        <v>73609</v>
      </c>
      <c r="W3673" t="s">
        <v>73610</v>
      </c>
      <c r="X3673" t="s">
        <v>73611</v>
      </c>
      <c r="Y3673" t="s">
        <v>73612</v>
      </c>
    </row>
    <row r="3674" spans="1:25" x14ac:dyDescent="0.3">
      <c r="A3674">
        <v>183650</v>
      </c>
      <c r="B3674" t="s">
        <v>73613</v>
      </c>
      <c r="C3674" t="s">
        <v>73614</v>
      </c>
      <c r="D3674" t="s">
        <v>73615</v>
      </c>
      <c r="E3674" t="s">
        <v>73616</v>
      </c>
      <c r="F3674" t="s">
        <v>73617</v>
      </c>
      <c r="G3674" t="s">
        <v>73618</v>
      </c>
      <c r="H3674" t="s">
        <v>73619</v>
      </c>
      <c r="I3674" t="s">
        <v>73620</v>
      </c>
      <c r="J3674" t="s">
        <v>73621</v>
      </c>
      <c r="K3674" t="s">
        <v>73622</v>
      </c>
      <c r="L3674" t="s">
        <v>73623</v>
      </c>
      <c r="M3674" t="s">
        <v>73624</v>
      </c>
      <c r="N3674" t="s">
        <v>73625</v>
      </c>
      <c r="O3674">
        <f>-548.934778603116 -116.143274966278 -742.443930314376</f>
        <v>-1407.52198388377</v>
      </c>
      <c r="P3674">
        <f>-574.364725380151 -114.332563948334 -426.950441763207</f>
        <v>-1115.6477310916921</v>
      </c>
      <c r="Q3674">
        <f>-339.939873070675 -7.14077535229742 -461.5478976905</f>
        <v>-808.62854611347234</v>
      </c>
      <c r="R3674" t="s">
        <v>73626</v>
      </c>
      <c r="S3674" t="s">
        <v>73627</v>
      </c>
      <c r="T3674" t="s">
        <v>73628</v>
      </c>
      <c r="U3674" t="s">
        <v>73629</v>
      </c>
      <c r="V3674" t="s">
        <v>73630</v>
      </c>
      <c r="W3674" t="s">
        <v>73631</v>
      </c>
      <c r="X3674" t="s">
        <v>73632</v>
      </c>
      <c r="Y3674" t="s">
        <v>73633</v>
      </c>
    </row>
    <row r="3675" spans="1:25" x14ac:dyDescent="0.3">
      <c r="A3675">
        <v>183700</v>
      </c>
      <c r="B3675" t="s">
        <v>73634</v>
      </c>
      <c r="C3675" t="s">
        <v>73635</v>
      </c>
      <c r="D3675" t="s">
        <v>73636</v>
      </c>
      <c r="E3675" t="s">
        <v>73637</v>
      </c>
      <c r="F3675" t="s">
        <v>73638</v>
      </c>
      <c r="G3675" t="s">
        <v>73639</v>
      </c>
      <c r="H3675" t="s">
        <v>73640</v>
      </c>
      <c r="I3675" t="s">
        <v>73641</v>
      </c>
      <c r="J3675" t="s">
        <v>73642</v>
      </c>
      <c r="K3675" t="s">
        <v>73643</v>
      </c>
      <c r="L3675" t="s">
        <v>73644</v>
      </c>
      <c r="M3675" t="s">
        <v>73645</v>
      </c>
      <c r="N3675" t="s">
        <v>73646</v>
      </c>
      <c r="O3675">
        <f>-548.99112991275 -117.85246624502 -742.432614137375</f>
        <v>-1409.2762102951451</v>
      </c>
      <c r="P3675">
        <f>-574.492478887626 -116.018328511233 -426.944899927276</f>
        <v>-1117.4557073261351</v>
      </c>
      <c r="Q3675">
        <f>-340.396823524464 -8.15400886124001 -461.680814870767</f>
        <v>-810.23164725647098</v>
      </c>
      <c r="R3675" t="s">
        <v>73647</v>
      </c>
      <c r="S3675" t="s">
        <v>73648</v>
      </c>
      <c r="T3675" t="s">
        <v>73649</v>
      </c>
      <c r="U3675" t="s">
        <v>73650</v>
      </c>
      <c r="V3675" t="s">
        <v>73651</v>
      </c>
      <c r="W3675" t="s">
        <v>73652</v>
      </c>
      <c r="X3675" t="s">
        <v>73653</v>
      </c>
      <c r="Y3675" t="s">
        <v>73654</v>
      </c>
    </row>
    <row r="3676" spans="1:25" x14ac:dyDescent="0.3">
      <c r="A3676">
        <v>183750</v>
      </c>
      <c r="B3676" t="s">
        <v>73655</v>
      </c>
      <c r="C3676" t="s">
        <v>73656</v>
      </c>
      <c r="D3676" t="s">
        <v>73657</v>
      </c>
      <c r="E3676" t="s">
        <v>73658</v>
      </c>
      <c r="F3676" t="s">
        <v>73659</v>
      </c>
      <c r="G3676" t="s">
        <v>73660</v>
      </c>
      <c r="H3676" t="s">
        <v>73661</v>
      </c>
      <c r="I3676" t="s">
        <v>73662</v>
      </c>
      <c r="J3676" t="s">
        <v>73663</v>
      </c>
      <c r="K3676" t="s">
        <v>73664</v>
      </c>
      <c r="L3676" t="s">
        <v>73665</v>
      </c>
      <c r="M3676" t="s">
        <v>73666</v>
      </c>
      <c r="N3676" t="s">
        <v>73667</v>
      </c>
      <c r="O3676">
        <f>-549.131137341788 -120.830461258385 -742.271939314807</f>
        <v>-1412.2335379149799</v>
      </c>
      <c r="P3676">
        <f>-574.849191637233 -118.927540146999 -426.802279544858</f>
        <v>-1120.57901132909</v>
      </c>
      <c r="Q3676">
        <f>-341.373581486597 -9.81165359723025 -461.800852348059</f>
        <v>-812.98608743188629</v>
      </c>
      <c r="R3676" t="s">
        <v>73668</v>
      </c>
      <c r="S3676" t="s">
        <v>73669</v>
      </c>
      <c r="T3676" t="s">
        <v>73670</v>
      </c>
      <c r="U3676" t="s">
        <v>73671</v>
      </c>
      <c r="V3676" t="s">
        <v>73672</v>
      </c>
      <c r="W3676" t="s">
        <v>73673</v>
      </c>
      <c r="X3676" t="s">
        <v>73674</v>
      </c>
      <c r="Y3676" t="s">
        <v>73675</v>
      </c>
    </row>
    <row r="3677" spans="1:25" x14ac:dyDescent="0.3">
      <c r="A3677">
        <v>183800</v>
      </c>
      <c r="B3677" t="s">
        <v>73676</v>
      </c>
      <c r="C3677" t="s">
        <v>73677</v>
      </c>
      <c r="D3677" t="s">
        <v>73678</v>
      </c>
      <c r="E3677" t="s">
        <v>73679</v>
      </c>
      <c r="F3677" t="s">
        <v>73680</v>
      </c>
      <c r="G3677" t="s">
        <v>73681</v>
      </c>
      <c r="H3677" t="s">
        <v>73682</v>
      </c>
      <c r="I3677" t="s">
        <v>73683</v>
      </c>
      <c r="J3677" t="s">
        <v>73684</v>
      </c>
      <c r="K3677" t="s">
        <v>73685</v>
      </c>
      <c r="L3677" t="s">
        <v>73686</v>
      </c>
      <c r="M3677" t="s">
        <v>73687</v>
      </c>
      <c r="N3677" t="s">
        <v>73688</v>
      </c>
      <c r="O3677">
        <f>-548.813156470601 -122.216769766844 -742.169301027618</f>
        <v>-1413.199227265063</v>
      </c>
      <c r="P3677">
        <f>-574.605088366319 -120.28680386012 -426.705783970821</f>
        <v>-1121.5976761972602</v>
      </c>
      <c r="Q3677">
        <f>-341.420933592776 -10.5976458349403 -461.855395718704</f>
        <v>-813.87397514642032</v>
      </c>
      <c r="R3677" t="s">
        <v>73689</v>
      </c>
      <c r="S3677" t="s">
        <v>73690</v>
      </c>
      <c r="T3677" t="s">
        <v>73691</v>
      </c>
      <c r="U3677" t="s">
        <v>73692</v>
      </c>
      <c r="V3677" t="s">
        <v>73693</v>
      </c>
      <c r="W3677" t="s">
        <v>73694</v>
      </c>
      <c r="X3677" t="s">
        <v>73695</v>
      </c>
      <c r="Y3677" t="s">
        <v>73696</v>
      </c>
    </row>
    <row r="3678" spans="1:25" x14ac:dyDescent="0.3">
      <c r="A3678">
        <v>183850</v>
      </c>
      <c r="B3678" t="s">
        <v>73697</v>
      </c>
      <c r="C3678" t="s">
        <v>73698</v>
      </c>
      <c r="D3678" t="s">
        <v>73699</v>
      </c>
      <c r="E3678" t="s">
        <v>73700</v>
      </c>
      <c r="F3678" t="s">
        <v>73701</v>
      </c>
      <c r="G3678" t="s">
        <v>73702</v>
      </c>
      <c r="H3678" t="s">
        <v>73703</v>
      </c>
      <c r="I3678" t="s">
        <v>73704</v>
      </c>
      <c r="J3678" t="s">
        <v>73705</v>
      </c>
      <c r="K3678" t="s">
        <v>73706</v>
      </c>
      <c r="L3678" t="s">
        <v>73707</v>
      </c>
      <c r="M3678" t="s">
        <v>73708</v>
      </c>
      <c r="N3678" t="s">
        <v>73709</v>
      </c>
      <c r="O3678">
        <f>-548.277922895848 -124.707958190714 -741.998653430909</f>
        <v>-1414.9845345174708</v>
      </c>
      <c r="P3678">
        <f>-573.998176213987 -122.487786219489 -426.531285644028</f>
        <v>-1123.0172480775041</v>
      </c>
      <c r="Q3678">
        <f>-341.308262810508 -11.7149285569611 -461.557394133749</f>
        <v>-814.58058550121814</v>
      </c>
      <c r="R3678" t="s">
        <v>73710</v>
      </c>
      <c r="S3678" t="s">
        <v>73711</v>
      </c>
      <c r="T3678" t="s">
        <v>73712</v>
      </c>
      <c r="U3678" t="s">
        <v>73713</v>
      </c>
      <c r="V3678" t="s">
        <v>73714</v>
      </c>
      <c r="W3678" t="s">
        <v>73715</v>
      </c>
      <c r="X3678" t="s">
        <v>73716</v>
      </c>
      <c r="Y3678" t="s">
        <v>73717</v>
      </c>
    </row>
    <row r="3679" spans="1:25" x14ac:dyDescent="0.3">
      <c r="A3679">
        <v>183900</v>
      </c>
      <c r="B3679" t="s">
        <v>73718</v>
      </c>
      <c r="C3679" t="s">
        <v>73719</v>
      </c>
      <c r="D3679" t="s">
        <v>73720</v>
      </c>
      <c r="E3679" t="s">
        <v>73721</v>
      </c>
      <c r="F3679" t="s">
        <v>73722</v>
      </c>
      <c r="G3679" t="s">
        <v>73723</v>
      </c>
      <c r="H3679" t="s">
        <v>73724</v>
      </c>
      <c r="I3679" t="s">
        <v>73725</v>
      </c>
      <c r="J3679" t="s">
        <v>73726</v>
      </c>
      <c r="K3679" t="s">
        <v>73727</v>
      </c>
      <c r="L3679" t="s">
        <v>73728</v>
      </c>
      <c r="M3679" t="s">
        <v>73729</v>
      </c>
      <c r="N3679" t="s">
        <v>73730</v>
      </c>
      <c r="O3679">
        <f>-547.935306245033 -125.945870155672 -741.968797933763</f>
        <v>-1415.8499743344678</v>
      </c>
      <c r="P3679">
        <f>-573.679053779578 -123.59369220988 -426.504198301261</f>
        <v>-1123.776944290719</v>
      </c>
      <c r="Q3679">
        <f>-341.249501471183 -12.2269278348202 -461.375283840398</f>
        <v>-814.85171314640115</v>
      </c>
      <c r="R3679" t="s">
        <v>73731</v>
      </c>
      <c r="S3679" t="s">
        <v>73732</v>
      </c>
      <c r="T3679" t="s">
        <v>73733</v>
      </c>
      <c r="U3679" t="s">
        <v>73734</v>
      </c>
      <c r="V3679" t="s">
        <v>73735</v>
      </c>
      <c r="W3679" t="s">
        <v>73736</v>
      </c>
      <c r="X3679" t="s">
        <v>73737</v>
      </c>
      <c r="Y3679" t="s">
        <v>73738</v>
      </c>
    </row>
    <row r="3680" spans="1:25" x14ac:dyDescent="0.3">
      <c r="A3680">
        <v>183950</v>
      </c>
      <c r="B3680" t="s">
        <v>73739</v>
      </c>
      <c r="C3680" t="s">
        <v>73740</v>
      </c>
      <c r="D3680" t="s">
        <v>73741</v>
      </c>
      <c r="E3680" t="s">
        <v>73742</v>
      </c>
      <c r="F3680" t="s">
        <v>73743</v>
      </c>
      <c r="G3680" t="s">
        <v>73744</v>
      </c>
      <c r="H3680" t="s">
        <v>73745</v>
      </c>
      <c r="I3680" t="s">
        <v>73746</v>
      </c>
      <c r="J3680" t="s">
        <v>73747</v>
      </c>
      <c r="K3680" t="s">
        <v>73748</v>
      </c>
      <c r="L3680" t="s">
        <v>73749</v>
      </c>
      <c r="M3680" t="s">
        <v>73750</v>
      </c>
      <c r="N3680" t="s">
        <v>73751</v>
      </c>
      <c r="O3680">
        <f>-547.323552382914 -128.292208882779 -741.84700147066</f>
        <v>-1417.4627627363529</v>
      </c>
      <c r="P3680">
        <f>-573.154420650146 -125.725123745196 -426.391201765068</f>
        <v>-1125.27074616041</v>
      </c>
      <c r="Q3680">
        <f>-341.195633780335 -13.2942417204075 -460.98114607525</f>
        <v>-815.47102157599261</v>
      </c>
      <c r="R3680" t="s">
        <v>73752</v>
      </c>
      <c r="S3680" t="s">
        <v>73753</v>
      </c>
      <c r="T3680" t="s">
        <v>73754</v>
      </c>
      <c r="U3680" t="s">
        <v>73755</v>
      </c>
      <c r="V3680" t="s">
        <v>73756</v>
      </c>
      <c r="W3680" t="s">
        <v>73757</v>
      </c>
      <c r="X3680" t="s">
        <v>73758</v>
      </c>
      <c r="Y3680" t="s">
        <v>73759</v>
      </c>
    </row>
    <row r="3681" spans="1:25" x14ac:dyDescent="0.3">
      <c r="A3681">
        <v>184000</v>
      </c>
      <c r="B3681" t="s">
        <v>73760</v>
      </c>
      <c r="C3681" t="s">
        <v>73761</v>
      </c>
      <c r="D3681" t="s">
        <v>73762</v>
      </c>
      <c r="E3681" t="s">
        <v>73763</v>
      </c>
      <c r="F3681" t="s">
        <v>73764</v>
      </c>
      <c r="G3681" t="s">
        <v>73765</v>
      </c>
      <c r="H3681" t="s">
        <v>73766</v>
      </c>
      <c r="I3681" t="s">
        <v>73767</v>
      </c>
      <c r="J3681" t="s">
        <v>73768</v>
      </c>
      <c r="K3681" t="s">
        <v>73769</v>
      </c>
      <c r="L3681" t="s">
        <v>73770</v>
      </c>
      <c r="M3681" t="s">
        <v>73771</v>
      </c>
      <c r="N3681" t="s">
        <v>73772</v>
      </c>
      <c r="O3681">
        <f>-547.253988166261 -129.457232514614 -741.706874217383</f>
        <v>-1418.418094898258</v>
      </c>
      <c r="P3681">
        <f>-573.084912831399 -126.72934938731 -426.252309989272</f>
        <v>-1126.0665722079812</v>
      </c>
      <c r="Q3681">
        <f>-341.291572786985 -13.9279846091059 -460.744962384839</f>
        <v>-815.96451978093</v>
      </c>
      <c r="R3681" t="s">
        <v>73773</v>
      </c>
      <c r="S3681" t="s">
        <v>73774</v>
      </c>
      <c r="T3681" t="s">
        <v>73775</v>
      </c>
      <c r="U3681" t="s">
        <v>73776</v>
      </c>
      <c r="V3681" t="s">
        <v>73777</v>
      </c>
      <c r="W3681" t="s">
        <v>73778</v>
      </c>
      <c r="X3681" t="s">
        <v>73779</v>
      </c>
      <c r="Y3681" t="s">
        <v>73780</v>
      </c>
    </row>
    <row r="3682" spans="1:25" x14ac:dyDescent="0.3">
      <c r="A3682">
        <v>184050</v>
      </c>
      <c r="B3682" t="s">
        <v>73781</v>
      </c>
      <c r="C3682" t="s">
        <v>73782</v>
      </c>
      <c r="D3682" t="s">
        <v>73783</v>
      </c>
      <c r="E3682" t="s">
        <v>73784</v>
      </c>
      <c r="F3682" t="s">
        <v>73785</v>
      </c>
      <c r="G3682" t="s">
        <v>73786</v>
      </c>
      <c r="H3682" t="s">
        <v>73787</v>
      </c>
      <c r="I3682" t="s">
        <v>73788</v>
      </c>
      <c r="J3682" t="s">
        <v>73789</v>
      </c>
      <c r="K3682" t="s">
        <v>73790</v>
      </c>
      <c r="L3682" t="s">
        <v>73791</v>
      </c>
      <c r="M3682" t="s">
        <v>73792</v>
      </c>
      <c r="N3682" t="s">
        <v>73793</v>
      </c>
      <c r="O3682">
        <f>-547.289546892473 -131.197521569698 -741.571755905451</f>
        <v>-1420.058824367622</v>
      </c>
      <c r="P3682">
        <f>-573.10672247714 -128.482078721434 -426.116024416884</f>
        <v>-1127.704825615458</v>
      </c>
      <c r="Q3682">
        <f>-341.732434026314 -14.8670371623448 -460.751840284867</f>
        <v>-817.35131147352581</v>
      </c>
      <c r="R3682" t="s">
        <v>73794</v>
      </c>
      <c r="S3682" t="s">
        <v>73795</v>
      </c>
      <c r="T3682" t="s">
        <v>73796</v>
      </c>
      <c r="U3682" t="s">
        <v>73797</v>
      </c>
      <c r="V3682" t="s">
        <v>73798</v>
      </c>
      <c r="W3682" t="s">
        <v>73799</v>
      </c>
      <c r="X3682" t="s">
        <v>73800</v>
      </c>
      <c r="Y3682" t="s">
        <v>73801</v>
      </c>
    </row>
    <row r="3683" spans="1:25" x14ac:dyDescent="0.3">
      <c r="A3683">
        <v>184100</v>
      </c>
      <c r="B3683" t="s">
        <v>73802</v>
      </c>
      <c r="C3683" t="s">
        <v>73803</v>
      </c>
      <c r="D3683" t="s">
        <v>73804</v>
      </c>
      <c r="E3683" t="s">
        <v>73805</v>
      </c>
      <c r="F3683" t="s">
        <v>73806</v>
      </c>
      <c r="G3683" t="s">
        <v>73807</v>
      </c>
      <c r="H3683" t="s">
        <v>73808</v>
      </c>
      <c r="I3683" t="s">
        <v>73809</v>
      </c>
      <c r="J3683" t="s">
        <v>73810</v>
      </c>
      <c r="K3683" t="s">
        <v>73811</v>
      </c>
      <c r="L3683" t="s">
        <v>73812</v>
      </c>
      <c r="M3683" t="s">
        <v>73813</v>
      </c>
      <c r="N3683" t="s">
        <v>73814</v>
      </c>
      <c r="O3683">
        <f>-547.287023340356 -131.63882067973 -741.542866007125</f>
        <v>-1420.4687100272108</v>
      </c>
      <c r="P3683">
        <f>-573.046315434939 -128.986803463699 -426.081866237088</f>
        <v>-1128.1149851357259</v>
      </c>
      <c r="Q3683">
        <f>-341.89841150302 -14.923183524872 -460.75456663777</f>
        <v>-817.57616166566197</v>
      </c>
      <c r="R3683" t="s">
        <v>73815</v>
      </c>
      <c r="S3683" t="s">
        <v>73816</v>
      </c>
      <c r="T3683" t="s">
        <v>73817</v>
      </c>
      <c r="U3683" t="s">
        <v>73818</v>
      </c>
      <c r="V3683" t="s">
        <v>73819</v>
      </c>
      <c r="W3683" t="s">
        <v>73820</v>
      </c>
      <c r="X3683" t="s">
        <v>73821</v>
      </c>
      <c r="Y3683" t="s">
        <v>73822</v>
      </c>
    </row>
    <row r="3684" spans="1:25" x14ac:dyDescent="0.3">
      <c r="A3684">
        <v>184150</v>
      </c>
      <c r="B3684" t="s">
        <v>73823</v>
      </c>
      <c r="C3684" t="s">
        <v>73824</v>
      </c>
      <c r="D3684" t="s">
        <v>73825</v>
      </c>
      <c r="E3684" t="s">
        <v>73826</v>
      </c>
      <c r="F3684" t="s">
        <v>73827</v>
      </c>
      <c r="G3684" t="s">
        <v>73828</v>
      </c>
      <c r="H3684" t="s">
        <v>73829</v>
      </c>
      <c r="I3684" t="s">
        <v>73830</v>
      </c>
      <c r="J3684" t="s">
        <v>73831</v>
      </c>
      <c r="K3684" t="s">
        <v>73832</v>
      </c>
      <c r="L3684" t="s">
        <v>73833</v>
      </c>
      <c r="M3684" t="s">
        <v>73834</v>
      </c>
      <c r="N3684" t="s">
        <v>73835</v>
      </c>
      <c r="O3684">
        <f>-546.51604460703 -133.029409630764 -741.436158745167</f>
        <v>-1420.981612982961</v>
      </c>
      <c r="P3684">
        <f>-572.363981350575 -130.678169504152 -425.979991523977</f>
        <v>-1129.0221423787041</v>
      </c>
      <c r="Q3684">
        <f>-341.70133970936 -15.7185977397117 -460.924207106927</f>
        <v>-818.3441445559987</v>
      </c>
      <c r="R3684" t="s">
        <v>73836</v>
      </c>
      <c r="S3684" t="s">
        <v>73837</v>
      </c>
      <c r="T3684" t="s">
        <v>73838</v>
      </c>
      <c r="U3684" t="s">
        <v>73839</v>
      </c>
      <c r="V3684" t="s">
        <v>73840</v>
      </c>
      <c r="W3684" t="s">
        <v>73841</v>
      </c>
      <c r="X3684" t="s">
        <v>73842</v>
      </c>
      <c r="Y3684" t="s">
        <v>73843</v>
      </c>
    </row>
    <row r="3685" spans="1:25" x14ac:dyDescent="0.3">
      <c r="A3685">
        <v>184200</v>
      </c>
      <c r="B3685" t="s">
        <v>73844</v>
      </c>
      <c r="C3685" t="s">
        <v>73845</v>
      </c>
      <c r="D3685" t="s">
        <v>73846</v>
      </c>
      <c r="E3685" t="s">
        <v>73847</v>
      </c>
      <c r="F3685" t="s">
        <v>73848</v>
      </c>
      <c r="G3685" t="s">
        <v>73849</v>
      </c>
      <c r="H3685" t="s">
        <v>73850</v>
      </c>
      <c r="I3685" t="s">
        <v>73851</v>
      </c>
      <c r="J3685" t="s">
        <v>73852</v>
      </c>
      <c r="K3685" t="s">
        <v>73853</v>
      </c>
      <c r="L3685" t="s">
        <v>73854</v>
      </c>
      <c r="M3685" t="s">
        <v>73855</v>
      </c>
      <c r="N3685" t="s">
        <v>73856</v>
      </c>
      <c r="O3685">
        <f>-546.011355464587 -133.617782861772 -741.361112223203</f>
        <v>-1420.990250549562</v>
      </c>
      <c r="P3685">
        <f>-571.866978834738 -131.240416329131 -425.905802940072</f>
        <v>-1129.013198103941</v>
      </c>
      <c r="Q3685">
        <f>-341.38916466831 -15.9290799949077 -460.910672317266</f>
        <v>-818.22891698048375</v>
      </c>
      <c r="R3685" t="s">
        <v>73857</v>
      </c>
      <c r="S3685" t="s">
        <v>73858</v>
      </c>
      <c r="T3685" t="s">
        <v>73859</v>
      </c>
      <c r="U3685" t="s">
        <v>73860</v>
      </c>
      <c r="V3685">
        <f>-528.952926246339 -0.31018650422179 -229.125013139552</f>
        <v>-758.38812589011275</v>
      </c>
      <c r="W3685" t="s">
        <v>73861</v>
      </c>
      <c r="X3685" t="s">
        <v>73862</v>
      </c>
      <c r="Y3685" t="s">
        <v>73863</v>
      </c>
    </row>
    <row r="3686" spans="1:25" x14ac:dyDescent="0.3">
      <c r="A3686">
        <v>184250</v>
      </c>
      <c r="B3686" t="s">
        <v>73864</v>
      </c>
      <c r="C3686" t="s">
        <v>73865</v>
      </c>
      <c r="D3686" t="s">
        <v>73866</v>
      </c>
      <c r="E3686" t="s">
        <v>73867</v>
      </c>
      <c r="F3686" t="s">
        <v>73868</v>
      </c>
      <c r="G3686" t="s">
        <v>73869</v>
      </c>
      <c r="H3686" t="s">
        <v>73870</v>
      </c>
      <c r="I3686" t="s">
        <v>73871</v>
      </c>
      <c r="J3686" t="s">
        <v>73872</v>
      </c>
      <c r="K3686" t="s">
        <v>73873</v>
      </c>
      <c r="L3686" t="s">
        <v>73874</v>
      </c>
      <c r="M3686" t="s">
        <v>73875</v>
      </c>
      <c r="N3686" t="s">
        <v>73876</v>
      </c>
      <c r="O3686">
        <f>-545.056868799409 -134.138338535587 -741.209847549908</f>
        <v>-1420.4050548849041</v>
      </c>
      <c r="P3686">
        <f>-571.029099009797 -131.737227313889 -425.764361141344</f>
        <v>-1128.53068746503</v>
      </c>
      <c r="Q3686">
        <f>-340.904440340419 -15.7517815964534 -460.864982756576</f>
        <v>-817.52120469344845</v>
      </c>
      <c r="R3686" t="s">
        <v>73877</v>
      </c>
      <c r="S3686" t="s">
        <v>73878</v>
      </c>
      <c r="T3686" t="s">
        <v>73879</v>
      </c>
      <c r="U3686" t="s">
        <v>73880</v>
      </c>
      <c r="V3686">
        <f>-528.890338154928 -0.563932272255848 -228.988927795797</f>
        <v>-758.44319822298098</v>
      </c>
      <c r="W3686" t="s">
        <v>73881</v>
      </c>
      <c r="X3686" t="s">
        <v>73882</v>
      </c>
      <c r="Y3686" t="s">
        <v>73883</v>
      </c>
    </row>
    <row r="3687" spans="1:25" x14ac:dyDescent="0.3">
      <c r="A3687">
        <v>184300</v>
      </c>
      <c r="B3687" t="s">
        <v>73884</v>
      </c>
      <c r="C3687" t="s">
        <v>73885</v>
      </c>
      <c r="D3687" t="s">
        <v>73886</v>
      </c>
      <c r="E3687" t="s">
        <v>73887</v>
      </c>
      <c r="F3687" t="s">
        <v>73888</v>
      </c>
      <c r="G3687" t="s">
        <v>73889</v>
      </c>
      <c r="H3687" t="s">
        <v>73890</v>
      </c>
      <c r="I3687" t="s">
        <v>73891</v>
      </c>
      <c r="J3687" t="s">
        <v>73892</v>
      </c>
      <c r="K3687" t="s">
        <v>73893</v>
      </c>
      <c r="L3687" t="s">
        <v>73894</v>
      </c>
      <c r="M3687" t="s">
        <v>73895</v>
      </c>
      <c r="N3687" t="s">
        <v>73896</v>
      </c>
      <c r="O3687">
        <f>-544.670697195448 -134.434959488597 -741.12189849748</f>
        <v>-1420.2275551815251</v>
      </c>
      <c r="P3687">
        <f>-570.789044685071 -132.087802278208 -425.687949882961</f>
        <v>-1128.5647968462399</v>
      </c>
      <c r="Q3687">
        <f>-340.835370188779 -15.7272507421239 -460.667617990472</f>
        <v>-817.23023892137485</v>
      </c>
      <c r="R3687" t="s">
        <v>73897</v>
      </c>
      <c r="S3687" t="s">
        <v>73898</v>
      </c>
      <c r="T3687" t="s">
        <v>73899</v>
      </c>
      <c r="U3687" t="s">
        <v>73900</v>
      </c>
      <c r="V3687">
        <f>-528.837517513501 -0.662914847122067 -228.895255053795</f>
        <v>-758.39568741441803</v>
      </c>
      <c r="W3687" t="s">
        <v>73901</v>
      </c>
      <c r="X3687" t="s">
        <v>73902</v>
      </c>
      <c r="Y3687" t="s">
        <v>73903</v>
      </c>
    </row>
    <row r="3688" spans="1:25" x14ac:dyDescent="0.3">
      <c r="A3688">
        <v>184350</v>
      </c>
      <c r="B3688" t="s">
        <v>73904</v>
      </c>
      <c r="C3688" t="s">
        <v>73905</v>
      </c>
      <c r="D3688" t="s">
        <v>73906</v>
      </c>
      <c r="E3688" t="s">
        <v>73907</v>
      </c>
      <c r="F3688" t="s">
        <v>73908</v>
      </c>
      <c r="G3688" t="s">
        <v>73909</v>
      </c>
      <c r="H3688" t="s">
        <v>73910</v>
      </c>
      <c r="I3688" t="s">
        <v>73911</v>
      </c>
      <c r="J3688" t="s">
        <v>73912</v>
      </c>
      <c r="K3688" t="s">
        <v>73913</v>
      </c>
      <c r="L3688" t="s">
        <v>73914</v>
      </c>
      <c r="M3688" t="s">
        <v>73915</v>
      </c>
      <c r="N3688" t="s">
        <v>73916</v>
      </c>
      <c r="O3688">
        <f>-544.042540443044 -134.665626114831 -741.163752632257</f>
        <v>-1419.8719191901321</v>
      </c>
      <c r="P3688">
        <f>-570.500536554366 -132.354579468557 -425.757985002812</f>
        <v>-1128.613101025735</v>
      </c>
      <c r="Q3688">
        <f>-340.865599511267 -15.2371838185545 -460.302818254012</f>
        <v>-816.40560158383346</v>
      </c>
      <c r="R3688" t="s">
        <v>73917</v>
      </c>
      <c r="S3688" t="s">
        <v>73918</v>
      </c>
      <c r="T3688" t="s">
        <v>73919</v>
      </c>
      <c r="U3688" t="s">
        <v>73920</v>
      </c>
      <c r="V3688">
        <f>-528.810584758072 -0.976697719049568 -228.979744254039</f>
        <v>-758.76702673116051</v>
      </c>
      <c r="W3688" t="s">
        <v>73921</v>
      </c>
      <c r="X3688" t="s">
        <v>73922</v>
      </c>
      <c r="Y3688" t="s">
        <v>73923</v>
      </c>
    </row>
    <row r="3689" spans="1:25" x14ac:dyDescent="0.3">
      <c r="A3689">
        <v>184400</v>
      </c>
      <c r="B3689" t="s">
        <v>73924</v>
      </c>
      <c r="C3689" t="s">
        <v>73925</v>
      </c>
      <c r="D3689" t="s">
        <v>73926</v>
      </c>
      <c r="E3689" t="s">
        <v>73927</v>
      </c>
      <c r="F3689" t="s">
        <v>73928</v>
      </c>
      <c r="G3689" t="s">
        <v>73929</v>
      </c>
      <c r="H3689" t="s">
        <v>73930</v>
      </c>
      <c r="I3689" t="s">
        <v>73931</v>
      </c>
      <c r="J3689" t="s">
        <v>73932</v>
      </c>
      <c r="K3689" t="s">
        <v>73933</v>
      </c>
      <c r="L3689" t="s">
        <v>73934</v>
      </c>
      <c r="M3689" t="s">
        <v>73935</v>
      </c>
      <c r="N3689" t="s">
        <v>73936</v>
      </c>
      <c r="O3689">
        <f>-543.508669977671 -134.707581374217 -741.23184398768</f>
        <v>-1419.4480953395682</v>
      </c>
      <c r="P3689">
        <f>-570.222501110736 -132.404336886263 -425.847491670345</f>
        <v>-1128.4743296673439</v>
      </c>
      <c r="Q3689">
        <f>-340.681337409264 -15.0293546119854 -460.140833152261</f>
        <v>-815.85152517351048</v>
      </c>
      <c r="R3689" t="s">
        <v>73937</v>
      </c>
      <c r="S3689" t="s">
        <v>73938</v>
      </c>
      <c r="T3689" t="s">
        <v>73939</v>
      </c>
      <c r="U3689" t="s">
        <v>73940</v>
      </c>
      <c r="V3689">
        <f>-528.739289008241 -1.00669247367743 -229.051879613657</f>
        <v>-758.7978610955754</v>
      </c>
      <c r="W3689" t="s">
        <v>73941</v>
      </c>
      <c r="X3689" t="s">
        <v>73942</v>
      </c>
      <c r="Y3689" t="s">
        <v>73943</v>
      </c>
    </row>
    <row r="3690" spans="1:25" x14ac:dyDescent="0.3">
      <c r="A3690">
        <v>184450</v>
      </c>
      <c r="B3690" t="s">
        <v>73944</v>
      </c>
      <c r="C3690" t="s">
        <v>73945</v>
      </c>
      <c r="D3690" t="s">
        <v>73946</v>
      </c>
      <c r="E3690" t="s">
        <v>73947</v>
      </c>
      <c r="F3690" t="s">
        <v>73948</v>
      </c>
      <c r="G3690" t="s">
        <v>73949</v>
      </c>
      <c r="H3690" t="s">
        <v>73950</v>
      </c>
      <c r="I3690" t="s">
        <v>73951</v>
      </c>
      <c r="J3690" t="s">
        <v>73952</v>
      </c>
      <c r="K3690" t="s">
        <v>73953</v>
      </c>
      <c r="L3690" t="s">
        <v>73954</v>
      </c>
      <c r="M3690" t="s">
        <v>73955</v>
      </c>
      <c r="N3690" t="s">
        <v>73956</v>
      </c>
      <c r="O3690">
        <f>-542.693026436363 -134.407869543508 -741.320565663318</f>
        <v>-1418.4214616431891</v>
      </c>
      <c r="P3690">
        <f>-569.726393376503 -131.952276828453 -425.964688389979</f>
        <v>-1127.6433585949351</v>
      </c>
      <c r="Q3690">
        <f>-340.255479922742 -14.3451132288749 -459.930865358718</f>
        <v>-814.53145851033491</v>
      </c>
      <c r="R3690" t="s">
        <v>73957</v>
      </c>
      <c r="S3690" t="s">
        <v>73958</v>
      </c>
      <c r="T3690" t="s">
        <v>73959</v>
      </c>
      <c r="U3690" t="s">
        <v>73960</v>
      </c>
      <c r="V3690">
        <f>-528.721007545964 -0.912710940685088 -229.231731027951</f>
        <v>-758.86544951460007</v>
      </c>
      <c r="W3690" t="s">
        <v>73961</v>
      </c>
      <c r="X3690" t="s">
        <v>73962</v>
      </c>
      <c r="Y3690" t="s">
        <v>73963</v>
      </c>
    </row>
    <row r="3691" spans="1:25" x14ac:dyDescent="0.3">
      <c r="A3691">
        <v>184500</v>
      </c>
      <c r="B3691" t="s">
        <v>73964</v>
      </c>
      <c r="C3691" t="s">
        <v>73965</v>
      </c>
      <c r="D3691" t="s">
        <v>73966</v>
      </c>
      <c r="E3691" t="s">
        <v>73967</v>
      </c>
      <c r="F3691" t="s">
        <v>73968</v>
      </c>
      <c r="G3691" t="s">
        <v>73969</v>
      </c>
      <c r="H3691" t="s">
        <v>73970</v>
      </c>
      <c r="I3691" t="s">
        <v>73971</v>
      </c>
      <c r="J3691" t="s">
        <v>73972</v>
      </c>
      <c r="K3691" t="s">
        <v>73973</v>
      </c>
      <c r="L3691" t="s">
        <v>73974</v>
      </c>
      <c r="M3691" t="s">
        <v>73975</v>
      </c>
      <c r="N3691" t="s">
        <v>73976</v>
      </c>
      <c r="O3691">
        <f>-542.412503506722 -134.16784951483 -741.340137045221</f>
        <v>-1417.920490066773</v>
      </c>
      <c r="P3691">
        <f>-569.606873379638 -131.577234114937 -425.999279856551</f>
        <v>-1127.1833873511262</v>
      </c>
      <c r="Q3691">
        <f>-340.170570508516 -13.8781537692766 -459.880964525042</f>
        <v>-813.92968880283456</v>
      </c>
      <c r="R3691" t="s">
        <v>73977</v>
      </c>
      <c r="S3691" t="s">
        <v>73978</v>
      </c>
      <c r="T3691" t="s">
        <v>73979</v>
      </c>
      <c r="U3691" t="s">
        <v>73980</v>
      </c>
      <c r="V3691">
        <f>-528.674924756762 -0.665049419571581 -229.265167463441</f>
        <v>-758.60514163977462</v>
      </c>
      <c r="W3691" t="s">
        <v>73981</v>
      </c>
      <c r="X3691" t="s">
        <v>73982</v>
      </c>
      <c r="Y3691" t="s">
        <v>73983</v>
      </c>
    </row>
    <row r="3692" spans="1:25" x14ac:dyDescent="0.3">
      <c r="A3692">
        <v>184550</v>
      </c>
      <c r="B3692" t="s">
        <v>73984</v>
      </c>
      <c r="C3692" t="s">
        <v>73985</v>
      </c>
      <c r="D3692" t="s">
        <v>73986</v>
      </c>
      <c r="E3692" t="s">
        <v>73987</v>
      </c>
      <c r="F3692" t="s">
        <v>73988</v>
      </c>
      <c r="G3692" t="s">
        <v>73989</v>
      </c>
      <c r="H3692" t="s">
        <v>73990</v>
      </c>
      <c r="I3692" t="s">
        <v>73991</v>
      </c>
      <c r="J3692" t="s">
        <v>73992</v>
      </c>
      <c r="K3692" t="s">
        <v>73993</v>
      </c>
      <c r="L3692" t="s">
        <v>73994</v>
      </c>
      <c r="M3692" t="s">
        <v>73995</v>
      </c>
      <c r="N3692" t="s">
        <v>73996</v>
      </c>
      <c r="O3692">
        <f>-542.043406013717 -133.678110496552 -741.148362641442</f>
        <v>-1416.8698791517108</v>
      </c>
      <c r="P3692">
        <f>-569.395224048286 -130.990933978321 -425.821832999427</f>
        <v>-1126.2079910260341</v>
      </c>
      <c r="Q3692">
        <f>-340.082507299447 -13.076867219733 -459.792295808396</f>
        <v>-812.95167032757604</v>
      </c>
      <c r="R3692" t="s">
        <v>73997</v>
      </c>
      <c r="S3692" t="s">
        <v>73998</v>
      </c>
      <c r="T3692" t="s">
        <v>73999</v>
      </c>
      <c r="U3692" t="s">
        <v>74000</v>
      </c>
      <c r="V3692">
        <f>-528.750208805139 -0.157356647860077 -229.149572883694</f>
        <v>-758.05713833669301</v>
      </c>
      <c r="W3692" t="s">
        <v>74001</v>
      </c>
      <c r="X3692" t="s">
        <v>74002</v>
      </c>
      <c r="Y3692" t="s">
        <v>74003</v>
      </c>
    </row>
    <row r="3693" spans="1:25" x14ac:dyDescent="0.3">
      <c r="A3693">
        <v>184600</v>
      </c>
      <c r="B3693" t="s">
        <v>74004</v>
      </c>
      <c r="C3693" t="s">
        <v>74005</v>
      </c>
      <c r="D3693" t="s">
        <v>74006</v>
      </c>
      <c r="E3693" t="s">
        <v>74007</v>
      </c>
      <c r="F3693" t="s">
        <v>74008</v>
      </c>
      <c r="G3693" t="s">
        <v>74009</v>
      </c>
      <c r="H3693" t="s">
        <v>74010</v>
      </c>
      <c r="I3693" t="s">
        <v>74011</v>
      </c>
      <c r="J3693" t="s">
        <v>74012</v>
      </c>
      <c r="K3693" t="s">
        <v>74013</v>
      </c>
      <c r="L3693" t="s">
        <v>74014</v>
      </c>
      <c r="M3693" t="s">
        <v>74015</v>
      </c>
      <c r="N3693" t="s">
        <v>74016</v>
      </c>
      <c r="O3693">
        <f>-541.74973238128 -133.119611460898 -741.08282191121</f>
        <v>-1415.9521657533878</v>
      </c>
      <c r="P3693">
        <f>-569.067514712669 -130.434829063219 -425.753146774692</f>
        <v>-1125.2554905505799</v>
      </c>
      <c r="Q3693">
        <f>-339.805213041672 -12.4396360579436 -459.782108839356</f>
        <v>-812.02695793897158</v>
      </c>
      <c r="R3693" t="s">
        <v>74017</v>
      </c>
      <c r="S3693" t="s">
        <v>74018</v>
      </c>
      <c r="T3693" t="s">
        <v>74019</v>
      </c>
      <c r="U3693" t="s">
        <v>74020</v>
      </c>
      <c r="V3693" t="s">
        <v>74021</v>
      </c>
      <c r="W3693" t="s">
        <v>74022</v>
      </c>
      <c r="X3693" t="s">
        <v>74023</v>
      </c>
      <c r="Y3693" t="s">
        <v>74024</v>
      </c>
    </row>
    <row r="3694" spans="1:25" x14ac:dyDescent="0.3">
      <c r="A3694">
        <v>184650</v>
      </c>
      <c r="B3694" t="s">
        <v>74025</v>
      </c>
      <c r="C3694" t="s">
        <v>74026</v>
      </c>
      <c r="D3694" t="s">
        <v>74027</v>
      </c>
      <c r="E3694" t="s">
        <v>74028</v>
      </c>
      <c r="F3694" t="s">
        <v>74029</v>
      </c>
      <c r="G3694" t="s">
        <v>74030</v>
      </c>
      <c r="H3694" t="s">
        <v>74031</v>
      </c>
      <c r="I3694" t="s">
        <v>74032</v>
      </c>
      <c r="J3694" t="s">
        <v>74033</v>
      </c>
      <c r="K3694" t="s">
        <v>74034</v>
      </c>
      <c r="L3694" t="s">
        <v>74035</v>
      </c>
      <c r="M3694" t="s">
        <v>74036</v>
      </c>
      <c r="N3694" t="s">
        <v>74037</v>
      </c>
      <c r="O3694">
        <f>-541.344650030775 -132.682120755683 -740.927805939794</f>
        <v>-1414.9545767262521</v>
      </c>
      <c r="P3694">
        <f>-568.942556953327 -129.952002975606 -425.623049111197</f>
        <v>-1124.5176090401301</v>
      </c>
      <c r="Q3694">
        <f>-339.68691399915 -11.9836997712791 -459.790042042143</f>
        <v>-811.4606558125721</v>
      </c>
      <c r="R3694" t="s">
        <v>74038</v>
      </c>
      <c r="S3694" t="s">
        <v>74039</v>
      </c>
      <c r="T3694" t="s">
        <v>74040</v>
      </c>
      <c r="U3694" t="s">
        <v>74041</v>
      </c>
      <c r="V3694" t="s">
        <v>74042</v>
      </c>
      <c r="W3694" t="s">
        <v>74043</v>
      </c>
      <c r="X3694" t="s">
        <v>74044</v>
      </c>
      <c r="Y3694" t="s">
        <v>74045</v>
      </c>
    </row>
    <row r="3695" spans="1:25" x14ac:dyDescent="0.3">
      <c r="A3695">
        <v>184700</v>
      </c>
      <c r="B3695" t="s">
        <v>74046</v>
      </c>
      <c r="C3695" t="s">
        <v>74047</v>
      </c>
      <c r="D3695" t="s">
        <v>74048</v>
      </c>
      <c r="E3695" t="s">
        <v>74049</v>
      </c>
      <c r="F3695" t="s">
        <v>74050</v>
      </c>
      <c r="G3695" t="s">
        <v>74051</v>
      </c>
      <c r="H3695" t="s">
        <v>74052</v>
      </c>
      <c r="I3695" t="s">
        <v>74053</v>
      </c>
      <c r="J3695" t="s">
        <v>74054</v>
      </c>
      <c r="K3695" t="s">
        <v>74055</v>
      </c>
      <c r="L3695" t="s">
        <v>74056</v>
      </c>
      <c r="M3695" t="s">
        <v>74057</v>
      </c>
      <c r="N3695" t="s">
        <v>74058</v>
      </c>
      <c r="O3695">
        <f>-541.19977377888 -132.386332784057 -740.861893170295</f>
        <v>-1414.4479997332319</v>
      </c>
      <c r="P3695">
        <f>-568.914870069425 -129.605594030229 -425.567961514178</f>
        <v>-1124.088425613832</v>
      </c>
      <c r="Q3695">
        <f>-339.636050998685 -11.6741371902164 -459.706885289641</f>
        <v>-811.01707347854244</v>
      </c>
      <c r="R3695" t="s">
        <v>74059</v>
      </c>
      <c r="S3695" t="s">
        <v>74060</v>
      </c>
      <c r="T3695" t="s">
        <v>74061</v>
      </c>
      <c r="U3695" t="s">
        <v>74062</v>
      </c>
      <c r="V3695" t="s">
        <v>74063</v>
      </c>
      <c r="W3695" t="s">
        <v>74064</v>
      </c>
      <c r="X3695" t="s">
        <v>74065</v>
      </c>
      <c r="Y3695" t="s">
        <v>74066</v>
      </c>
    </row>
    <row r="3696" spans="1:25" x14ac:dyDescent="0.3">
      <c r="A3696">
        <v>184750</v>
      </c>
      <c r="B3696" t="s">
        <v>74067</v>
      </c>
      <c r="C3696" t="s">
        <v>74068</v>
      </c>
      <c r="D3696" t="s">
        <v>74069</v>
      </c>
      <c r="E3696" t="s">
        <v>74070</v>
      </c>
      <c r="F3696" t="s">
        <v>74071</v>
      </c>
      <c r="G3696" t="s">
        <v>74072</v>
      </c>
      <c r="H3696" t="s">
        <v>74073</v>
      </c>
      <c r="I3696" t="s">
        <v>74074</v>
      </c>
      <c r="J3696" t="s">
        <v>74075</v>
      </c>
      <c r="K3696" t="s">
        <v>74076</v>
      </c>
      <c r="L3696" t="s">
        <v>74077</v>
      </c>
      <c r="M3696" t="s">
        <v>74078</v>
      </c>
      <c r="N3696" t="s">
        <v>74079</v>
      </c>
      <c r="O3696">
        <f>-541.212012090323 -131.958451762352 -740.708310481215</f>
        <v>-1413.8787743338901</v>
      </c>
      <c r="P3696">
        <f>-569.007024478536 -128.870688150947 -425.424213121345</f>
        <v>-1123.3019257508281</v>
      </c>
      <c r="Q3696">
        <f>-339.620485646515 -11.1454054692193 -459.551237965379</f>
        <v>-810.31712908111331</v>
      </c>
      <c r="R3696" t="s">
        <v>74080</v>
      </c>
      <c r="S3696" t="s">
        <v>74081</v>
      </c>
      <c r="T3696" t="s">
        <v>74082</v>
      </c>
      <c r="U3696" t="s">
        <v>74083</v>
      </c>
      <c r="V3696" t="s">
        <v>74084</v>
      </c>
      <c r="W3696" t="s">
        <v>74085</v>
      </c>
      <c r="X3696" t="s">
        <v>74086</v>
      </c>
      <c r="Y3696" t="s">
        <v>74087</v>
      </c>
    </row>
    <row r="3697" spans="1:25" x14ac:dyDescent="0.3">
      <c r="A3697">
        <v>184800</v>
      </c>
      <c r="B3697" t="s">
        <v>74088</v>
      </c>
      <c r="C3697" t="s">
        <v>74089</v>
      </c>
      <c r="D3697" t="s">
        <v>74090</v>
      </c>
      <c r="E3697" t="s">
        <v>74091</v>
      </c>
      <c r="F3697" t="s">
        <v>74092</v>
      </c>
      <c r="G3697" t="s">
        <v>74093</v>
      </c>
      <c r="H3697" t="s">
        <v>74094</v>
      </c>
      <c r="I3697" t="s">
        <v>74095</v>
      </c>
      <c r="J3697" t="s">
        <v>74096</v>
      </c>
      <c r="K3697" t="s">
        <v>74097</v>
      </c>
      <c r="L3697" t="s">
        <v>74098</v>
      </c>
      <c r="M3697" t="s">
        <v>74099</v>
      </c>
      <c r="N3697" t="s">
        <v>74100</v>
      </c>
      <c r="O3697">
        <f>-541.075538573151 -131.764915440646 -740.570209012714</f>
        <v>-1413.410663026511</v>
      </c>
      <c r="P3697">
        <f>-568.915125565127 -128.481079824161 -425.292028641401</f>
        <v>-1122.688234030689</v>
      </c>
      <c r="Q3697">
        <f>-339.50106145788 -10.7854854755938 -459.336207340986</f>
        <v>-809.62275427445979</v>
      </c>
      <c r="R3697" t="s">
        <v>74101</v>
      </c>
      <c r="S3697" t="s">
        <v>74102</v>
      </c>
      <c r="T3697" t="s">
        <v>74103</v>
      </c>
      <c r="U3697" t="s">
        <v>74104</v>
      </c>
      <c r="V3697" t="s">
        <v>74105</v>
      </c>
      <c r="W3697" t="s">
        <v>74106</v>
      </c>
      <c r="X3697" t="s">
        <v>74107</v>
      </c>
      <c r="Y3697" t="s">
        <v>74108</v>
      </c>
    </row>
    <row r="3698" spans="1:25" x14ac:dyDescent="0.3">
      <c r="A3698">
        <v>184850</v>
      </c>
      <c r="B3698" t="s">
        <v>74109</v>
      </c>
      <c r="C3698" t="s">
        <v>74110</v>
      </c>
      <c r="D3698" t="s">
        <v>74111</v>
      </c>
      <c r="E3698" t="s">
        <v>74112</v>
      </c>
      <c r="F3698" t="s">
        <v>74113</v>
      </c>
      <c r="G3698" t="s">
        <v>74114</v>
      </c>
      <c r="H3698" t="s">
        <v>74115</v>
      </c>
      <c r="I3698" t="s">
        <v>74116</v>
      </c>
      <c r="J3698" t="s">
        <v>74117</v>
      </c>
      <c r="K3698" t="s">
        <v>74118</v>
      </c>
      <c r="L3698" t="s">
        <v>74119</v>
      </c>
      <c r="M3698" t="s">
        <v>74120</v>
      </c>
      <c r="N3698" t="s">
        <v>74121</v>
      </c>
      <c r="O3698">
        <f>-541.04461045908 -130.924960185118 -740.217920532104</f>
        <v>-1412.187491176302</v>
      </c>
      <c r="P3698">
        <f>-568.902020465148 -127.262267263228 -424.945433775299</f>
        <v>-1121.109721503675</v>
      </c>
      <c r="Q3698">
        <f>-339.476246532999 -9.57785015302234 -458.949184639375</f>
        <v>-808.0032813253963</v>
      </c>
      <c r="R3698" t="s">
        <v>74122</v>
      </c>
      <c r="S3698" t="s">
        <v>74123</v>
      </c>
      <c r="T3698" t="s">
        <v>74124</v>
      </c>
      <c r="U3698" t="s">
        <v>74125</v>
      </c>
      <c r="V3698" t="s">
        <v>74126</v>
      </c>
      <c r="W3698" t="s">
        <v>74127</v>
      </c>
      <c r="X3698" t="s">
        <v>74128</v>
      </c>
      <c r="Y3698" t="s">
        <v>74129</v>
      </c>
    </row>
    <row r="3699" spans="1:25" x14ac:dyDescent="0.3">
      <c r="A3699">
        <v>184900</v>
      </c>
      <c r="B3699" t="s">
        <v>74130</v>
      </c>
      <c r="C3699" t="s">
        <v>74131</v>
      </c>
      <c r="D3699" t="s">
        <v>74132</v>
      </c>
      <c r="E3699" t="s">
        <v>74133</v>
      </c>
      <c r="F3699" t="s">
        <v>74134</v>
      </c>
      <c r="G3699" t="s">
        <v>74135</v>
      </c>
      <c r="H3699" t="s">
        <v>74136</v>
      </c>
      <c r="I3699" t="s">
        <v>74137</v>
      </c>
      <c r="J3699" t="s">
        <v>74138</v>
      </c>
      <c r="K3699" t="s">
        <v>74139</v>
      </c>
      <c r="L3699" t="s">
        <v>74140</v>
      </c>
      <c r="M3699" t="s">
        <v>74141</v>
      </c>
      <c r="N3699" t="s">
        <v>74142</v>
      </c>
      <c r="O3699">
        <f>-541.044443258198 -130.473708171146 -739.978104512369</f>
        <v>-1411.4962559417131</v>
      </c>
      <c r="P3699">
        <f>-568.626372691161 -126.459576668192 -424.685702599018</f>
        <v>-1119.771651958371</v>
      </c>
      <c r="Q3699">
        <f>-339.133576125001 -8.88823927730336 -458.628310838635</f>
        <v>-806.65012624093936</v>
      </c>
      <c r="R3699" t="s">
        <v>74143</v>
      </c>
      <c r="S3699" t="s">
        <v>74144</v>
      </c>
      <c r="T3699" t="s">
        <v>74145</v>
      </c>
      <c r="U3699" t="s">
        <v>74146</v>
      </c>
      <c r="V3699" t="s">
        <v>74147</v>
      </c>
      <c r="W3699" t="s">
        <v>74148</v>
      </c>
      <c r="X3699" t="s">
        <v>74149</v>
      </c>
      <c r="Y3699" t="s">
        <v>74150</v>
      </c>
    </row>
    <row r="3700" spans="1:25" x14ac:dyDescent="0.3">
      <c r="A3700">
        <v>184950</v>
      </c>
      <c r="B3700" t="s">
        <v>74151</v>
      </c>
      <c r="C3700" t="s">
        <v>74152</v>
      </c>
      <c r="D3700" t="s">
        <v>74153</v>
      </c>
      <c r="E3700" t="s">
        <v>74154</v>
      </c>
      <c r="F3700" t="s">
        <v>74155</v>
      </c>
      <c r="G3700" t="s">
        <v>74156</v>
      </c>
      <c r="H3700" t="s">
        <v>74157</v>
      </c>
      <c r="I3700" t="s">
        <v>74158</v>
      </c>
      <c r="J3700" t="s">
        <v>74159</v>
      </c>
      <c r="K3700" t="s">
        <v>74160</v>
      </c>
      <c r="L3700" t="s">
        <v>74161</v>
      </c>
      <c r="M3700" t="s">
        <v>74162</v>
      </c>
      <c r="N3700" t="s">
        <v>74163</v>
      </c>
      <c r="O3700">
        <f>-540.573591410388 -129.96326358888 -739.601132511238</f>
        <v>-1410.1379875105058</v>
      </c>
      <c r="P3700">
        <f>-567.840478190234 -125.187300867041 -424.291908109301</f>
        <v>-1117.3196871665759</v>
      </c>
      <c r="Q3700">
        <f>-338.241820748799 -7.84911879875213 -458.325014691805</f>
        <v>-804.4159542393561</v>
      </c>
      <c r="R3700" t="s">
        <v>74164</v>
      </c>
      <c r="S3700" t="s">
        <v>74165</v>
      </c>
      <c r="T3700" t="s">
        <v>74166</v>
      </c>
      <c r="U3700" t="s">
        <v>74167</v>
      </c>
      <c r="V3700" t="s">
        <v>74168</v>
      </c>
      <c r="W3700" t="s">
        <v>74169</v>
      </c>
      <c r="X3700" t="s">
        <v>74170</v>
      </c>
      <c r="Y3700" t="s">
        <v>74171</v>
      </c>
    </row>
    <row r="3701" spans="1:25" x14ac:dyDescent="0.3">
      <c r="A3701">
        <v>185000</v>
      </c>
      <c r="B3701" t="s">
        <v>74172</v>
      </c>
      <c r="C3701" t="s">
        <v>74173</v>
      </c>
      <c r="D3701" t="s">
        <v>74174</v>
      </c>
      <c r="E3701" t="s">
        <v>74175</v>
      </c>
      <c r="F3701" t="s">
        <v>74176</v>
      </c>
      <c r="G3701" t="s">
        <v>74177</v>
      </c>
      <c r="H3701" t="s">
        <v>74178</v>
      </c>
      <c r="I3701" t="s">
        <v>74179</v>
      </c>
      <c r="J3701" t="s">
        <v>74180</v>
      </c>
      <c r="K3701" t="s">
        <v>74181</v>
      </c>
      <c r="L3701" t="s">
        <v>74182</v>
      </c>
      <c r="M3701" t="s">
        <v>74183</v>
      </c>
      <c r="N3701" t="s">
        <v>74184</v>
      </c>
      <c r="O3701">
        <f>-540.111254911434 -129.676072319309 -739.483668152893</f>
        <v>-1409.2709953836361</v>
      </c>
      <c r="P3701">
        <f>-567.268275787684 -124.647760254708 -424.168926134894</f>
        <v>-1116.0849621772861</v>
      </c>
      <c r="Q3701">
        <f>-337.635513713219 -7.40715773801533 -458.308117343228</f>
        <v>-803.35078879446223</v>
      </c>
      <c r="R3701" t="s">
        <v>74185</v>
      </c>
      <c r="S3701" t="s">
        <v>74186</v>
      </c>
      <c r="T3701" t="s">
        <v>74187</v>
      </c>
      <c r="U3701" t="s">
        <v>74188</v>
      </c>
      <c r="V3701" t="s">
        <v>74189</v>
      </c>
      <c r="W3701" t="s">
        <v>74190</v>
      </c>
      <c r="X3701" t="s">
        <v>74191</v>
      </c>
      <c r="Y3701" t="s">
        <v>74192</v>
      </c>
    </row>
    <row r="3702" spans="1:25" x14ac:dyDescent="0.3">
      <c r="A3702">
        <v>185050</v>
      </c>
      <c r="B3702" t="s">
        <v>74193</v>
      </c>
      <c r="C3702" t="s">
        <v>74194</v>
      </c>
      <c r="D3702" t="s">
        <v>74195</v>
      </c>
      <c r="E3702" t="s">
        <v>74196</v>
      </c>
      <c r="F3702" t="s">
        <v>74197</v>
      </c>
      <c r="G3702" t="s">
        <v>74198</v>
      </c>
      <c r="H3702" t="s">
        <v>74199</v>
      </c>
      <c r="I3702" t="s">
        <v>74200</v>
      </c>
      <c r="J3702" t="s">
        <v>74201</v>
      </c>
      <c r="K3702" t="s">
        <v>74202</v>
      </c>
      <c r="L3702" t="s">
        <v>74203</v>
      </c>
      <c r="M3702" t="s">
        <v>74204</v>
      </c>
      <c r="N3702" t="s">
        <v>74205</v>
      </c>
      <c r="O3702">
        <f>-539.585562497639 -129.29595635481 -739.22199163361</f>
        <v>-1408.1035104860589</v>
      </c>
      <c r="P3702">
        <f>-566.660810530916 -123.932889648401 -423.905694401338</f>
        <v>-1114.499394580655</v>
      </c>
      <c r="Q3702">
        <f>-337.006499712409 -6.83375840879067 -458.3835591083</f>
        <v>-802.22381722949967</v>
      </c>
      <c r="R3702" t="s">
        <v>74206</v>
      </c>
      <c r="S3702" t="s">
        <v>74207</v>
      </c>
      <c r="T3702" t="s">
        <v>74208</v>
      </c>
      <c r="U3702" t="s">
        <v>74209</v>
      </c>
      <c r="V3702" t="s">
        <v>74210</v>
      </c>
      <c r="W3702" t="s">
        <v>74211</v>
      </c>
      <c r="X3702" t="s">
        <v>74212</v>
      </c>
      <c r="Y3702" t="s">
        <v>74213</v>
      </c>
    </row>
    <row r="3703" spans="1:25" x14ac:dyDescent="0.3">
      <c r="A3703">
        <v>185100</v>
      </c>
      <c r="B3703" t="s">
        <v>74214</v>
      </c>
      <c r="C3703" t="s">
        <v>74215</v>
      </c>
      <c r="D3703" t="s">
        <v>74216</v>
      </c>
      <c r="E3703" t="s">
        <v>74217</v>
      </c>
      <c r="F3703" t="s">
        <v>74218</v>
      </c>
      <c r="G3703" t="s">
        <v>74219</v>
      </c>
      <c r="H3703" t="s">
        <v>74220</v>
      </c>
      <c r="I3703" t="s">
        <v>74221</v>
      </c>
      <c r="J3703" t="s">
        <v>74222</v>
      </c>
      <c r="K3703" t="s">
        <v>74223</v>
      </c>
      <c r="L3703" t="s">
        <v>74224</v>
      </c>
      <c r="M3703" t="s">
        <v>74225</v>
      </c>
      <c r="N3703" t="s">
        <v>74226</v>
      </c>
      <c r="O3703">
        <f>-539.486055400698 -129.373268160235 -739.123392756144</f>
        <v>-1407.9827163170771</v>
      </c>
      <c r="P3703">
        <f>-566.382389113816 -123.832348711291 -423.794841134722</f>
        <v>-1114.009578959829</v>
      </c>
      <c r="Q3703">
        <f>-336.740608976019 -6.73477720425804 -458.361422158156</f>
        <v>-801.836808338433</v>
      </c>
      <c r="R3703" t="s">
        <v>74227</v>
      </c>
      <c r="S3703" t="s">
        <v>74228</v>
      </c>
      <c r="T3703" t="s">
        <v>74229</v>
      </c>
      <c r="U3703" t="s">
        <v>74230</v>
      </c>
      <c r="V3703" t="s">
        <v>74231</v>
      </c>
      <c r="W3703" t="s">
        <v>74232</v>
      </c>
      <c r="X3703" t="s">
        <v>74233</v>
      </c>
      <c r="Y3703" t="s">
        <v>74234</v>
      </c>
    </row>
    <row r="3704" spans="1:25" x14ac:dyDescent="0.3">
      <c r="A3704">
        <v>185150</v>
      </c>
      <c r="B3704" t="s">
        <v>74235</v>
      </c>
      <c r="C3704" t="s">
        <v>74236</v>
      </c>
      <c r="D3704" t="s">
        <v>74237</v>
      </c>
      <c r="E3704" t="s">
        <v>74238</v>
      </c>
      <c r="F3704" t="s">
        <v>74239</v>
      </c>
      <c r="G3704" t="s">
        <v>74240</v>
      </c>
      <c r="H3704" t="s">
        <v>74241</v>
      </c>
      <c r="I3704" t="s">
        <v>74242</v>
      </c>
      <c r="J3704" t="s">
        <v>74243</v>
      </c>
      <c r="K3704" t="s">
        <v>74244</v>
      </c>
      <c r="L3704" t="s">
        <v>74245</v>
      </c>
      <c r="M3704" t="s">
        <v>74246</v>
      </c>
      <c r="N3704" t="s">
        <v>74247</v>
      </c>
      <c r="O3704">
        <f>-539.440912529475 -129.581267958699 -738.865389071938</f>
        <v>-1407.8875695601118</v>
      </c>
      <c r="P3704">
        <f>-566.268590959092 -123.615671890797 -423.538851787425</f>
        <v>-1113.423114637314</v>
      </c>
      <c r="Q3704">
        <f>-336.207054817748 -7.17255751443705 -457.520341806218</f>
        <v>-800.89995413840302</v>
      </c>
      <c r="R3704" t="s">
        <v>74248</v>
      </c>
      <c r="S3704" t="s">
        <v>74249</v>
      </c>
      <c r="T3704" t="s">
        <v>74250</v>
      </c>
      <c r="U3704" t="s">
        <v>74251</v>
      </c>
      <c r="V3704" t="s">
        <v>74252</v>
      </c>
      <c r="W3704" t="s">
        <v>74253</v>
      </c>
      <c r="X3704" t="s">
        <v>74254</v>
      </c>
      <c r="Y3704" t="s">
        <v>74255</v>
      </c>
    </row>
    <row r="3705" spans="1:25" x14ac:dyDescent="0.3">
      <c r="A3705">
        <v>185200</v>
      </c>
      <c r="B3705" t="s">
        <v>74256</v>
      </c>
      <c r="C3705" t="s">
        <v>74257</v>
      </c>
      <c r="D3705" t="s">
        <v>74258</v>
      </c>
      <c r="E3705" t="s">
        <v>74259</v>
      </c>
      <c r="F3705" t="s">
        <v>74260</v>
      </c>
      <c r="G3705" t="s">
        <v>74261</v>
      </c>
      <c r="H3705" t="s">
        <v>74262</v>
      </c>
      <c r="I3705" t="s">
        <v>74263</v>
      </c>
      <c r="J3705" t="s">
        <v>74264</v>
      </c>
      <c r="K3705" t="s">
        <v>74265</v>
      </c>
      <c r="L3705" t="s">
        <v>74266</v>
      </c>
      <c r="M3705" t="s">
        <v>74267</v>
      </c>
      <c r="N3705" t="s">
        <v>74268</v>
      </c>
      <c r="O3705">
        <f>-539.19505693355 -129.47605406035 -738.741171655059</f>
        <v>-1407.4122826489588</v>
      </c>
      <c r="P3705">
        <f>-566.258332817357 -123.334975198237 -423.437932332161</f>
        <v>-1113.0312403477549</v>
      </c>
      <c r="Q3705">
        <f>-336.050865147746 -7.07660525735373 -457.062265107634</f>
        <v>-800.18973551273371</v>
      </c>
      <c r="R3705" t="s">
        <v>74269</v>
      </c>
      <c r="S3705" t="s">
        <v>74270</v>
      </c>
      <c r="T3705" t="s">
        <v>74271</v>
      </c>
      <c r="U3705" t="s">
        <v>74272</v>
      </c>
      <c r="V3705" t="s">
        <v>74273</v>
      </c>
      <c r="W3705" t="s">
        <v>74274</v>
      </c>
      <c r="X3705" t="s">
        <v>74275</v>
      </c>
      <c r="Y3705" t="s">
        <v>74276</v>
      </c>
    </row>
    <row r="3706" spans="1:25" x14ac:dyDescent="0.3">
      <c r="A3706">
        <v>185250</v>
      </c>
      <c r="B3706" t="s">
        <v>74277</v>
      </c>
      <c r="C3706" t="s">
        <v>74278</v>
      </c>
      <c r="D3706" t="s">
        <v>74279</v>
      </c>
      <c r="E3706" t="s">
        <v>74280</v>
      </c>
      <c r="F3706" t="s">
        <v>74281</v>
      </c>
      <c r="G3706" t="s">
        <v>74282</v>
      </c>
      <c r="H3706" t="s">
        <v>74283</v>
      </c>
      <c r="I3706" t="s">
        <v>74284</v>
      </c>
      <c r="J3706" t="s">
        <v>74285</v>
      </c>
      <c r="K3706" t="s">
        <v>74286</v>
      </c>
      <c r="L3706" t="s">
        <v>74287</v>
      </c>
      <c r="M3706" t="s">
        <v>74288</v>
      </c>
      <c r="N3706" t="s">
        <v>74289</v>
      </c>
      <c r="O3706">
        <f>-538.296666076011 -129.554256588967 -738.523359896285</f>
        <v>-1406.374282561263</v>
      </c>
      <c r="P3706">
        <f>-566.1991667871 -122.926761803331 -423.303225557527</f>
        <v>-1112.4291541479581</v>
      </c>
      <c r="Q3706">
        <f>-335.63750451443 -6.86546148238695 -455.132951771769</f>
        <v>-797.63591776858595</v>
      </c>
      <c r="R3706" t="s">
        <v>74290</v>
      </c>
      <c r="S3706" t="s">
        <v>74291</v>
      </c>
      <c r="T3706" t="s">
        <v>74292</v>
      </c>
      <c r="U3706" t="s">
        <v>74293</v>
      </c>
      <c r="V3706" t="s">
        <v>74294</v>
      </c>
      <c r="W3706" t="s">
        <v>74295</v>
      </c>
      <c r="X3706" t="s">
        <v>74296</v>
      </c>
      <c r="Y3706" t="s">
        <v>74297</v>
      </c>
    </row>
    <row r="3707" spans="1:25" x14ac:dyDescent="0.3">
      <c r="A3707">
        <v>185300</v>
      </c>
      <c r="B3707" t="s">
        <v>74298</v>
      </c>
      <c r="C3707" t="s">
        <v>74299</v>
      </c>
      <c r="D3707" t="s">
        <v>74300</v>
      </c>
      <c r="E3707" t="s">
        <v>74301</v>
      </c>
      <c r="F3707" t="s">
        <v>74302</v>
      </c>
      <c r="G3707" t="s">
        <v>74303</v>
      </c>
      <c r="H3707" t="s">
        <v>74304</v>
      </c>
      <c r="I3707" t="s">
        <v>74305</v>
      </c>
      <c r="J3707" t="s">
        <v>74306</v>
      </c>
      <c r="K3707" t="s">
        <v>74307</v>
      </c>
      <c r="L3707" t="s">
        <v>74308</v>
      </c>
      <c r="M3707" t="s">
        <v>74309</v>
      </c>
      <c r="N3707" t="s">
        <v>74310</v>
      </c>
      <c r="O3707">
        <f>-537.482375390921 -129.748202056068 -738.235272276664</f>
        <v>-1405.4658497236528</v>
      </c>
      <c r="P3707">
        <f>-565.94164080067 -122.994477871695 -423.067797092328</f>
        <v>-1112.0039157646931</v>
      </c>
      <c r="Q3707">
        <f>-335.31625042742 -6.9729389692348 -454.579153548626</f>
        <v>-796.8683429452808</v>
      </c>
      <c r="R3707" t="s">
        <v>74311</v>
      </c>
      <c r="S3707" t="s">
        <v>74312</v>
      </c>
      <c r="T3707" t="s">
        <v>74313</v>
      </c>
      <c r="U3707" t="s">
        <v>74314</v>
      </c>
      <c r="V3707" t="s">
        <v>74315</v>
      </c>
      <c r="W3707" t="s">
        <v>74316</v>
      </c>
      <c r="X3707" t="s">
        <v>74317</v>
      </c>
      <c r="Y3707" t="s">
        <v>74318</v>
      </c>
    </row>
    <row r="3708" spans="1:25" x14ac:dyDescent="0.3">
      <c r="A3708">
        <v>185350</v>
      </c>
      <c r="B3708" t="s">
        <v>74319</v>
      </c>
      <c r="C3708" t="s">
        <v>74320</v>
      </c>
      <c r="D3708" t="s">
        <v>74321</v>
      </c>
      <c r="E3708" t="s">
        <v>74322</v>
      </c>
      <c r="F3708" t="s">
        <v>74323</v>
      </c>
      <c r="G3708" t="s">
        <v>74324</v>
      </c>
      <c r="H3708" t="s">
        <v>74325</v>
      </c>
      <c r="I3708" t="s">
        <v>74326</v>
      </c>
      <c r="J3708" t="s">
        <v>74327</v>
      </c>
      <c r="K3708" t="s">
        <v>74328</v>
      </c>
      <c r="L3708" t="s">
        <v>74329</v>
      </c>
      <c r="M3708" t="s">
        <v>74330</v>
      </c>
      <c r="N3708" t="s">
        <v>74331</v>
      </c>
      <c r="O3708">
        <f>-536.22754815909 -129.667083424592 -738.136070299231</f>
        <v>-1404.030701882913</v>
      </c>
      <c r="P3708">
        <f>-565.915632233913 -122.780543950714 -423.08468043706</f>
        <v>-1111.780856621687</v>
      </c>
      <c r="Q3708">
        <f>-335.583697134942 -6.61561952881821 -456.174828095154</f>
        <v>-798.37414475891421</v>
      </c>
      <c r="R3708" t="s">
        <v>74332</v>
      </c>
      <c r="S3708" t="s">
        <v>74333</v>
      </c>
      <c r="T3708" t="s">
        <v>74334</v>
      </c>
      <c r="U3708" t="s">
        <v>74335</v>
      </c>
      <c r="V3708" t="s">
        <v>74336</v>
      </c>
      <c r="W3708" t="s">
        <v>74337</v>
      </c>
      <c r="X3708" t="s">
        <v>74338</v>
      </c>
      <c r="Y3708" t="s">
        <v>74339</v>
      </c>
    </row>
    <row r="3709" spans="1:25" x14ac:dyDescent="0.3">
      <c r="A3709">
        <v>185400</v>
      </c>
      <c r="B3709" t="s">
        <v>74340</v>
      </c>
      <c r="C3709" t="s">
        <v>74341</v>
      </c>
      <c r="D3709" t="s">
        <v>74342</v>
      </c>
      <c r="E3709" t="s">
        <v>74343</v>
      </c>
      <c r="F3709" t="s">
        <v>74344</v>
      </c>
      <c r="G3709" t="s">
        <v>74345</v>
      </c>
      <c r="H3709" t="s">
        <v>74346</v>
      </c>
      <c r="I3709" t="s">
        <v>74347</v>
      </c>
      <c r="J3709" t="s">
        <v>74348</v>
      </c>
      <c r="K3709" t="s">
        <v>74349</v>
      </c>
      <c r="L3709" t="s">
        <v>74350</v>
      </c>
      <c r="M3709" t="s">
        <v>74351</v>
      </c>
      <c r="N3709" t="s">
        <v>74352</v>
      </c>
      <c r="O3709">
        <f>-536.030159162773 -129.763645481389 -738.212819332081</f>
        <v>-1404.0066239762432</v>
      </c>
      <c r="P3709">
        <f>-565.379867056223 -123.096493771692 -423.125011846234</f>
        <v>-1111.6013726741489</v>
      </c>
      <c r="Q3709">
        <f>-335.293277081661 -6.81338119040789 -457.483210353241</f>
        <v>-799.58986862530992</v>
      </c>
      <c r="R3709" t="s">
        <v>74353</v>
      </c>
      <c r="S3709" t="s">
        <v>74354</v>
      </c>
      <c r="T3709" t="s">
        <v>74355</v>
      </c>
      <c r="U3709" t="s">
        <v>74356</v>
      </c>
      <c r="V3709" t="s">
        <v>74357</v>
      </c>
      <c r="W3709" t="s">
        <v>74358</v>
      </c>
      <c r="X3709" t="s">
        <v>74359</v>
      </c>
      <c r="Y3709" t="s">
        <v>74360</v>
      </c>
    </row>
    <row r="3710" spans="1:25" x14ac:dyDescent="0.3">
      <c r="A3710">
        <v>185450</v>
      </c>
      <c r="B3710" t="s">
        <v>74361</v>
      </c>
      <c r="C3710" t="s">
        <v>74362</v>
      </c>
      <c r="D3710" t="s">
        <v>74363</v>
      </c>
      <c r="E3710" t="s">
        <v>74364</v>
      </c>
      <c r="F3710" t="s">
        <v>74365</v>
      </c>
      <c r="G3710" t="s">
        <v>74366</v>
      </c>
      <c r="H3710" t="s">
        <v>74367</v>
      </c>
      <c r="I3710" t="s">
        <v>74368</v>
      </c>
      <c r="J3710" t="s">
        <v>74369</v>
      </c>
      <c r="K3710" t="s">
        <v>74370</v>
      </c>
      <c r="L3710" t="s">
        <v>74371</v>
      </c>
      <c r="M3710" t="s">
        <v>74372</v>
      </c>
      <c r="N3710" t="s">
        <v>74373</v>
      </c>
      <c r="O3710">
        <f>-537.297290960916 -129.62025593594 -738.192813858709</f>
        <v>-1405.1103607555651</v>
      </c>
      <c r="P3710">
        <f>-566.050400630846 -123.551068643878 -423.037824486314</f>
        <v>-1112.6392937610381</v>
      </c>
      <c r="Q3710">
        <f>-336.18902466885 -7.34200791532487 -459.110688384551</f>
        <v>-802.64172096872585</v>
      </c>
      <c r="R3710" t="s">
        <v>74374</v>
      </c>
      <c r="S3710" t="s">
        <v>74375</v>
      </c>
      <c r="T3710" t="s">
        <v>74376</v>
      </c>
      <c r="U3710" t="s">
        <v>74377</v>
      </c>
      <c r="V3710" t="s">
        <v>74378</v>
      </c>
      <c r="W3710" t="s">
        <v>74379</v>
      </c>
      <c r="X3710" t="s">
        <v>74380</v>
      </c>
      <c r="Y3710" t="s">
        <v>74381</v>
      </c>
    </row>
    <row r="3711" spans="1:25" x14ac:dyDescent="0.3">
      <c r="A3711">
        <v>185500</v>
      </c>
      <c r="B3711" t="s">
        <v>74382</v>
      </c>
      <c r="C3711" t="s">
        <v>74383</v>
      </c>
      <c r="D3711" t="s">
        <v>74384</v>
      </c>
      <c r="E3711" t="s">
        <v>74385</v>
      </c>
      <c r="F3711" t="s">
        <v>74386</v>
      </c>
      <c r="G3711" t="s">
        <v>74387</v>
      </c>
      <c r="H3711" t="s">
        <v>74388</v>
      </c>
      <c r="I3711" t="s">
        <v>74389</v>
      </c>
      <c r="J3711" t="s">
        <v>74390</v>
      </c>
      <c r="K3711" t="s">
        <v>74391</v>
      </c>
      <c r="L3711" t="s">
        <v>74392</v>
      </c>
      <c r="M3711" t="s">
        <v>74393</v>
      </c>
      <c r="N3711" t="s">
        <v>74394</v>
      </c>
      <c r="O3711">
        <f>-538.649964859523 -129.477293039703 -738.395355336289</f>
        <v>-1406.5226132355151</v>
      </c>
      <c r="P3711">
        <f>-566.897986206396 -123.353760860626 -423.195807477659</f>
        <v>-1113.447554544681</v>
      </c>
      <c r="Q3711">
        <f>-337.019332429822 -7.19116484369555 -459.308216219575</f>
        <v>-803.51871349309249</v>
      </c>
      <c r="R3711" t="s">
        <v>74395</v>
      </c>
      <c r="S3711" t="s">
        <v>74396</v>
      </c>
      <c r="T3711" t="s">
        <v>74397</v>
      </c>
      <c r="U3711" t="s">
        <v>74398</v>
      </c>
      <c r="V3711" t="s">
        <v>74399</v>
      </c>
      <c r="W3711" t="s">
        <v>74400</v>
      </c>
      <c r="X3711" t="s">
        <v>74401</v>
      </c>
      <c r="Y3711" t="s">
        <v>74402</v>
      </c>
    </row>
    <row r="3712" spans="1:25" x14ac:dyDescent="0.3">
      <c r="A3712">
        <v>185550</v>
      </c>
      <c r="B3712" t="s">
        <v>74403</v>
      </c>
      <c r="C3712" t="s">
        <v>74404</v>
      </c>
      <c r="D3712" t="s">
        <v>74405</v>
      </c>
      <c r="E3712" t="s">
        <v>74406</v>
      </c>
      <c r="F3712" t="s">
        <v>74407</v>
      </c>
      <c r="G3712" t="s">
        <v>74408</v>
      </c>
      <c r="H3712" t="s">
        <v>74409</v>
      </c>
      <c r="I3712" t="s">
        <v>74410</v>
      </c>
      <c r="J3712" t="s">
        <v>74411</v>
      </c>
      <c r="K3712" t="s">
        <v>74412</v>
      </c>
      <c r="L3712" t="s">
        <v>74413</v>
      </c>
      <c r="M3712" t="s">
        <v>74414</v>
      </c>
      <c r="N3712" t="s">
        <v>74415</v>
      </c>
      <c r="O3712">
        <f>-541.077154151672 -128.141722138314 -738.907135788522</f>
        <v>-1408.126012078508</v>
      </c>
      <c r="P3712">
        <f>-568.788217081387 -122.106499699627 -423.658216926394</f>
        <v>-1114.5529337074079</v>
      </c>
      <c r="Q3712">
        <f>-339.102863955984 -5.50265255899617 -459.578053693103</f>
        <v>-804.18357020808321</v>
      </c>
      <c r="R3712" t="s">
        <v>74416</v>
      </c>
      <c r="S3712" t="s">
        <v>74417</v>
      </c>
      <c r="T3712" t="s">
        <v>74418</v>
      </c>
      <c r="U3712" t="s">
        <v>74419</v>
      </c>
      <c r="V3712" t="s">
        <v>74420</v>
      </c>
      <c r="W3712" t="s">
        <v>74421</v>
      </c>
      <c r="X3712" t="s">
        <v>74422</v>
      </c>
      <c r="Y3712" t="s">
        <v>74423</v>
      </c>
    </row>
    <row r="3713" spans="1:25" x14ac:dyDescent="0.3">
      <c r="A3713">
        <v>185600</v>
      </c>
      <c r="B3713" t="s">
        <v>74424</v>
      </c>
      <c r="C3713" t="s">
        <v>74425</v>
      </c>
      <c r="D3713" t="s">
        <v>74426</v>
      </c>
      <c r="E3713" t="s">
        <v>74427</v>
      </c>
      <c r="F3713" t="s">
        <v>74428</v>
      </c>
      <c r="G3713" t="s">
        <v>74429</v>
      </c>
      <c r="H3713" t="s">
        <v>74430</v>
      </c>
      <c r="I3713" t="s">
        <v>74431</v>
      </c>
      <c r="J3713" t="s">
        <v>74432</v>
      </c>
      <c r="K3713" t="s">
        <v>74433</v>
      </c>
      <c r="L3713" t="s">
        <v>74434</v>
      </c>
      <c r="M3713" t="s">
        <v>74435</v>
      </c>
      <c r="N3713" t="s">
        <v>74436</v>
      </c>
      <c r="O3713">
        <f>-542.782877229139 -127.160299679773 -739.335658506783</f>
        <v>-1409.2788354156951</v>
      </c>
      <c r="P3713">
        <f>-570.38366552358 -121.389945205923 -424.072275329965</f>
        <v>-1115.8458860594681</v>
      </c>
      <c r="Q3713">
        <f>-340.991477930118 -4.28825894075284 -460.244859436993</f>
        <v>-805.52459630786382</v>
      </c>
      <c r="R3713" t="s">
        <v>74437</v>
      </c>
      <c r="S3713" t="s">
        <v>74438</v>
      </c>
      <c r="T3713" t="s">
        <v>74439</v>
      </c>
      <c r="U3713" t="s">
        <v>74440</v>
      </c>
      <c r="V3713" t="s">
        <v>74441</v>
      </c>
      <c r="W3713" t="s">
        <v>74442</v>
      </c>
      <c r="X3713" t="s">
        <v>74443</v>
      </c>
      <c r="Y3713" t="s">
        <v>74444</v>
      </c>
    </row>
    <row r="3714" spans="1:25" x14ac:dyDescent="0.3">
      <c r="A3714">
        <v>185650</v>
      </c>
      <c r="B3714" t="s">
        <v>74445</v>
      </c>
      <c r="C3714" t="s">
        <v>74446</v>
      </c>
      <c r="D3714" t="s">
        <v>74447</v>
      </c>
      <c r="E3714" t="s">
        <v>74448</v>
      </c>
      <c r="F3714" t="s">
        <v>74449</v>
      </c>
      <c r="G3714" t="s">
        <v>74450</v>
      </c>
      <c r="H3714" t="s">
        <v>74451</v>
      </c>
      <c r="I3714" t="s">
        <v>74452</v>
      </c>
      <c r="J3714" t="s">
        <v>74453</v>
      </c>
      <c r="K3714" t="s">
        <v>74454</v>
      </c>
      <c r="L3714" t="s">
        <v>74455</v>
      </c>
      <c r="M3714" t="s">
        <v>74456</v>
      </c>
      <c r="N3714" t="s">
        <v>74457</v>
      </c>
      <c r="O3714">
        <f>-547.398471472997 -125.098893271317 -740.123466287657</f>
        <v>-1412.6208310319712</v>
      </c>
      <c r="P3714">
        <f>-573.907171471928 -119.423405794145 -424.764460542857</f>
        <v>-1118.0950378089301</v>
      </c>
      <c r="Q3714">
        <f>-344.477323863717 -2.64669243798895 -461.740366181119</f>
        <v>-808.86438248282502</v>
      </c>
      <c r="R3714" t="s">
        <v>74458</v>
      </c>
      <c r="S3714" t="s">
        <v>74459</v>
      </c>
      <c r="T3714" t="s">
        <v>74460</v>
      </c>
      <c r="U3714" t="s">
        <v>74461</v>
      </c>
      <c r="V3714" t="s">
        <v>74462</v>
      </c>
      <c r="W3714" t="s">
        <v>74463</v>
      </c>
      <c r="X3714" t="s">
        <v>74464</v>
      </c>
      <c r="Y3714" t="s">
        <v>74465</v>
      </c>
    </row>
    <row r="3715" spans="1:25" x14ac:dyDescent="0.3">
      <c r="A3715">
        <v>185700</v>
      </c>
      <c r="B3715" t="s">
        <v>74466</v>
      </c>
      <c r="C3715" t="s">
        <v>74467</v>
      </c>
      <c r="D3715" t="s">
        <v>74468</v>
      </c>
      <c r="E3715" t="s">
        <v>74469</v>
      </c>
      <c r="F3715" t="s">
        <v>74470</v>
      </c>
      <c r="G3715" t="s">
        <v>74471</v>
      </c>
      <c r="H3715" t="s">
        <v>74472</v>
      </c>
      <c r="I3715" t="s">
        <v>74473</v>
      </c>
      <c r="J3715" t="s">
        <v>74474</v>
      </c>
      <c r="K3715" t="s">
        <v>74475</v>
      </c>
      <c r="L3715" t="s">
        <v>74476</v>
      </c>
      <c r="M3715" t="s">
        <v>74477</v>
      </c>
      <c r="N3715" t="s">
        <v>74478</v>
      </c>
      <c r="O3715">
        <f>-550.152648400199 -123.976369975573 -740.291052332344</f>
        <v>-1414.4200707081159</v>
      </c>
      <c r="P3715">
        <f>-575.968074713352 -118.580773237364 -424.869776422331</f>
        <v>-1119.4186243730471</v>
      </c>
      <c r="Q3715">
        <f>-346.316318255254 -2.23399288475427 -461.822780601492</f>
        <v>-810.37309174150028</v>
      </c>
      <c r="R3715" t="s">
        <v>74479</v>
      </c>
      <c r="S3715" t="s">
        <v>74480</v>
      </c>
      <c r="T3715" t="s">
        <v>74481</v>
      </c>
      <c r="U3715" t="s">
        <v>74482</v>
      </c>
      <c r="V3715" t="s">
        <v>74483</v>
      </c>
      <c r="W3715" t="s">
        <v>74484</v>
      </c>
      <c r="X3715" t="s">
        <v>74485</v>
      </c>
      <c r="Y3715" t="s">
        <v>74486</v>
      </c>
    </row>
    <row r="3716" spans="1:25" x14ac:dyDescent="0.3">
      <c r="A3716">
        <v>185750</v>
      </c>
      <c r="B3716" t="s">
        <v>74487</v>
      </c>
      <c r="C3716" t="s">
        <v>74488</v>
      </c>
      <c r="D3716" t="s">
        <v>74489</v>
      </c>
      <c r="E3716" t="s">
        <v>74490</v>
      </c>
      <c r="F3716" t="s">
        <v>74491</v>
      </c>
      <c r="G3716" t="s">
        <v>74492</v>
      </c>
      <c r="H3716" t="s">
        <v>74493</v>
      </c>
      <c r="I3716" t="s">
        <v>74494</v>
      </c>
      <c r="J3716" t="s">
        <v>74495</v>
      </c>
      <c r="K3716" t="s">
        <v>74496</v>
      </c>
      <c r="L3716" t="s">
        <v>74497</v>
      </c>
      <c r="M3716" t="s">
        <v>74498</v>
      </c>
      <c r="N3716" t="s">
        <v>74499</v>
      </c>
      <c r="O3716">
        <f>-555.261449153843 -121.959345810853 -740.344194652056</f>
        <v>-1417.564989616752</v>
      </c>
      <c r="P3716">
        <f>-580.225327239038 -116.804326211794 -424.850277813373</f>
        <v>-1121.879931264205</v>
      </c>
      <c r="Q3716">
        <f>-349.57454299189 -2.24552952024159 -461.16176565179</f>
        <v>-812.98183816392157</v>
      </c>
      <c r="R3716" t="s">
        <v>74500</v>
      </c>
      <c r="S3716" t="s">
        <v>74501</v>
      </c>
      <c r="T3716" t="s">
        <v>74502</v>
      </c>
      <c r="U3716" t="s">
        <v>74503</v>
      </c>
      <c r="V3716" t="s">
        <v>74504</v>
      </c>
      <c r="W3716" t="s">
        <v>74505</v>
      </c>
      <c r="X3716" t="s">
        <v>74506</v>
      </c>
      <c r="Y3716" t="s">
        <v>74507</v>
      </c>
    </row>
    <row r="3717" spans="1:25" x14ac:dyDescent="0.3">
      <c r="A3717">
        <v>185800</v>
      </c>
      <c r="B3717" t="s">
        <v>74508</v>
      </c>
      <c r="C3717" t="s">
        <v>74509</v>
      </c>
      <c r="D3717" t="s">
        <v>74510</v>
      </c>
      <c r="E3717" t="s">
        <v>74511</v>
      </c>
      <c r="F3717" t="s">
        <v>74512</v>
      </c>
      <c r="G3717" t="s">
        <v>74513</v>
      </c>
      <c r="H3717" t="s">
        <v>74514</v>
      </c>
      <c r="I3717" t="s">
        <v>74515</v>
      </c>
      <c r="J3717" t="s">
        <v>74516</v>
      </c>
      <c r="K3717" t="s">
        <v>74517</v>
      </c>
      <c r="L3717" t="s">
        <v>74518</v>
      </c>
      <c r="M3717" t="s">
        <v>74519</v>
      </c>
      <c r="N3717" t="s">
        <v>74520</v>
      </c>
      <c r="O3717">
        <f>-557.43598385338 -120.529289050608 -740.525980294443</f>
        <v>-1418.491253198431</v>
      </c>
      <c r="P3717">
        <f>-581.899995122353 -115.623925659729 -424.988820404358</f>
        <v>-1122.5127411864401</v>
      </c>
      <c r="Q3717">
        <f>-350.797881524738 -1.78008695163741 -460.674401566234</f>
        <v>-813.25237004260941</v>
      </c>
      <c r="R3717" t="s">
        <v>74521</v>
      </c>
      <c r="S3717" t="s">
        <v>74522</v>
      </c>
      <c r="T3717" t="s">
        <v>74523</v>
      </c>
      <c r="U3717" t="s">
        <v>74524</v>
      </c>
      <c r="V3717" t="s">
        <v>74525</v>
      </c>
      <c r="W3717" t="s">
        <v>74526</v>
      </c>
      <c r="X3717" t="s">
        <v>74527</v>
      </c>
      <c r="Y3717" t="s">
        <v>74528</v>
      </c>
    </row>
    <row r="3718" spans="1:25" x14ac:dyDescent="0.3">
      <c r="A3718">
        <v>185850</v>
      </c>
      <c r="B3718" t="s">
        <v>74529</v>
      </c>
      <c r="C3718" t="s">
        <v>74530</v>
      </c>
      <c r="D3718" t="s">
        <v>74531</v>
      </c>
      <c r="E3718" t="s">
        <v>74532</v>
      </c>
      <c r="F3718" t="s">
        <v>74533</v>
      </c>
      <c r="G3718" t="s">
        <v>74534</v>
      </c>
      <c r="H3718" t="s">
        <v>74535</v>
      </c>
      <c r="I3718" t="s">
        <v>74536</v>
      </c>
      <c r="J3718" t="s">
        <v>74537</v>
      </c>
      <c r="K3718" t="s">
        <v>74538</v>
      </c>
      <c r="L3718" t="s">
        <v>74539</v>
      </c>
      <c r="M3718" t="s">
        <v>74540</v>
      </c>
      <c r="N3718" t="s">
        <v>74541</v>
      </c>
      <c r="O3718">
        <f>-559.09208745922 -119.276815565423 -740.633819932516</f>
        <v>-1419.002722957159</v>
      </c>
      <c r="P3718">
        <f>-583.326318282895 -114.377509651492 -425.079005402091</f>
        <v>-1122.782833336478</v>
      </c>
      <c r="Q3718">
        <f>-351.637777552454 -1.59817979322809 -460.339398491055</f>
        <v>-813.57535583673712</v>
      </c>
      <c r="R3718" t="s">
        <v>74542</v>
      </c>
      <c r="S3718" t="s">
        <v>74543</v>
      </c>
      <c r="T3718" t="s">
        <v>74544</v>
      </c>
      <c r="U3718" t="s">
        <v>74545</v>
      </c>
      <c r="V3718" t="s">
        <v>74546</v>
      </c>
      <c r="W3718" t="s">
        <v>74547</v>
      </c>
      <c r="X3718" t="s">
        <v>74548</v>
      </c>
      <c r="Y3718" t="s">
        <v>74549</v>
      </c>
    </row>
    <row r="3719" spans="1:25" x14ac:dyDescent="0.3">
      <c r="A3719">
        <v>185900</v>
      </c>
      <c r="B3719" t="s">
        <v>74550</v>
      </c>
      <c r="C3719" t="s">
        <v>74551</v>
      </c>
      <c r="D3719" t="s">
        <v>74552</v>
      </c>
      <c r="E3719" t="s">
        <v>74553</v>
      </c>
      <c r="F3719" t="s">
        <v>74554</v>
      </c>
      <c r="G3719" t="s">
        <v>74555</v>
      </c>
      <c r="H3719" t="s">
        <v>74556</v>
      </c>
      <c r="I3719" t="s">
        <v>74557</v>
      </c>
      <c r="J3719" t="s">
        <v>74558</v>
      </c>
      <c r="K3719" t="s">
        <v>74559</v>
      </c>
      <c r="L3719" t="s">
        <v>74560</v>
      </c>
      <c r="M3719" t="s">
        <v>74561</v>
      </c>
      <c r="N3719" t="s">
        <v>74562</v>
      </c>
      <c r="O3719">
        <f>-562.570215252605 -116.085119507362 -740.66118912233</f>
        <v>-1419.3165238822971</v>
      </c>
      <c r="P3719">
        <f>-586.78177785396 -111.574171065445 -425.098785643572</f>
        <v>-1123.4547345629769</v>
      </c>
      <c r="Q3719">
        <f>-353.462486782285 -1.76471106306259 -458.95177235363</f>
        <v>-814.17897019897759</v>
      </c>
      <c r="R3719" t="s">
        <v>74563</v>
      </c>
      <c r="S3719" t="s">
        <v>74564</v>
      </c>
      <c r="T3719" t="s">
        <v>74565</v>
      </c>
      <c r="U3719" t="s">
        <v>74566</v>
      </c>
      <c r="V3719" t="s">
        <v>74567</v>
      </c>
      <c r="W3719" t="s">
        <v>74568</v>
      </c>
      <c r="X3719" t="s">
        <v>74569</v>
      </c>
      <c r="Y3719" t="s">
        <v>74570</v>
      </c>
    </row>
    <row r="3720" spans="1:25" x14ac:dyDescent="0.3">
      <c r="A3720">
        <v>185950</v>
      </c>
      <c r="B3720" t="s">
        <v>74571</v>
      </c>
      <c r="C3720" t="s">
        <v>74572</v>
      </c>
      <c r="D3720" t="s">
        <v>74573</v>
      </c>
      <c r="E3720" t="s">
        <v>74574</v>
      </c>
      <c r="F3720" t="s">
        <v>74575</v>
      </c>
      <c r="G3720" t="s">
        <v>74576</v>
      </c>
      <c r="H3720" t="s">
        <v>74577</v>
      </c>
      <c r="I3720" t="s">
        <v>74578</v>
      </c>
      <c r="J3720" t="s">
        <v>74579</v>
      </c>
      <c r="K3720" t="s">
        <v>74580</v>
      </c>
      <c r="L3720" t="s">
        <v>74581</v>
      </c>
      <c r="M3720" t="s">
        <v>74582</v>
      </c>
      <c r="N3720" t="s">
        <v>74583</v>
      </c>
      <c r="O3720">
        <f>-563.392341499066 -115.033494655745 -740.7636989976</f>
        <v>-1419.1895351524111</v>
      </c>
      <c r="P3720">
        <f>-587.596667516824 -110.661504090675 -425.19864483932</f>
        <v>-1123.4568164468189</v>
      </c>
      <c r="Q3720">
        <f>-354.014013963567 -1.22927484591789 -458.45232646763</f>
        <v>-813.69561527711483</v>
      </c>
      <c r="R3720" t="s">
        <v>74584</v>
      </c>
      <c r="S3720" t="s">
        <v>74585</v>
      </c>
      <c r="T3720" t="s">
        <v>74586</v>
      </c>
      <c r="U3720" t="s">
        <v>74587</v>
      </c>
      <c r="V3720" t="s">
        <v>74588</v>
      </c>
      <c r="W3720" t="s">
        <v>74589</v>
      </c>
      <c r="X3720" t="s">
        <v>74590</v>
      </c>
      <c r="Y3720" t="s">
        <v>74591</v>
      </c>
    </row>
    <row r="3721" spans="1:25" x14ac:dyDescent="0.3">
      <c r="A3721">
        <v>186000</v>
      </c>
      <c r="B3721" t="s">
        <v>74592</v>
      </c>
      <c r="C3721" t="s">
        <v>74593</v>
      </c>
      <c r="D3721" t="s">
        <v>74594</v>
      </c>
      <c r="E3721" t="s">
        <v>74595</v>
      </c>
      <c r="F3721" t="s">
        <v>74596</v>
      </c>
      <c r="G3721" t="s">
        <v>74597</v>
      </c>
      <c r="H3721" t="s">
        <v>74598</v>
      </c>
      <c r="I3721" t="s">
        <v>74599</v>
      </c>
      <c r="J3721" t="s">
        <v>74600</v>
      </c>
      <c r="K3721" t="s">
        <v>74601</v>
      </c>
      <c r="L3721" t="s">
        <v>74602</v>
      </c>
      <c r="M3721" t="s">
        <v>74603</v>
      </c>
      <c r="N3721" t="s">
        <v>74604</v>
      </c>
      <c r="O3721">
        <f>-564.206428411363 -114.041519819077 -740.924535823076</f>
        <v>-1419.172484053516</v>
      </c>
      <c r="P3721">
        <f>-588.526715451899 -109.604236412042 -425.369486119783</f>
        <v>-1123.5004379837242</v>
      </c>
      <c r="Q3721">
        <f>-354.903145864872 -0.214784035495825 -458.476080519161</f>
        <v>-813.59401041952879</v>
      </c>
      <c r="R3721" t="s">
        <v>74605</v>
      </c>
      <c r="S3721" t="s">
        <v>74606</v>
      </c>
      <c r="T3721" t="s">
        <v>74607</v>
      </c>
      <c r="U3721" t="s">
        <v>74608</v>
      </c>
      <c r="V3721" t="s">
        <v>74609</v>
      </c>
      <c r="W3721" t="s">
        <v>74610</v>
      </c>
      <c r="X3721" t="s">
        <v>74611</v>
      </c>
      <c r="Y3721" t="s">
        <v>74612</v>
      </c>
    </row>
    <row r="3722" spans="1:25" x14ac:dyDescent="0.3">
      <c r="A3722">
        <v>186050</v>
      </c>
      <c r="B3722" t="s">
        <v>74613</v>
      </c>
      <c r="C3722" t="s">
        <v>74614</v>
      </c>
      <c r="D3722" t="s">
        <v>74615</v>
      </c>
      <c r="E3722" t="s">
        <v>74616</v>
      </c>
      <c r="F3722" t="s">
        <v>74617</v>
      </c>
      <c r="G3722" t="s">
        <v>74618</v>
      </c>
      <c r="H3722" t="s">
        <v>74619</v>
      </c>
      <c r="I3722" t="s">
        <v>74620</v>
      </c>
      <c r="J3722" t="s">
        <v>74621</v>
      </c>
      <c r="K3722" t="s">
        <v>74622</v>
      </c>
      <c r="L3722" t="s">
        <v>74623</v>
      </c>
      <c r="M3722" t="s">
        <v>74624</v>
      </c>
      <c r="N3722" t="s">
        <v>74625</v>
      </c>
      <c r="O3722">
        <f>-565.118771273982 -111.498518416834 -741.37137432851</f>
        <v>-1417.9886640193261</v>
      </c>
      <c r="P3722">
        <f>-589.398464915771 -107.810030886777 -425.803495278174</f>
        <v>-1123.0119910807221</v>
      </c>
      <c r="Q3722" t="s">
        <v>74626</v>
      </c>
      <c r="R3722" t="s">
        <v>74627</v>
      </c>
      <c r="S3722" t="s">
        <v>74628</v>
      </c>
      <c r="T3722" t="s">
        <v>74629</v>
      </c>
      <c r="U3722" t="s">
        <v>74630</v>
      </c>
      <c r="V3722" t="s">
        <v>74631</v>
      </c>
      <c r="W3722" t="s">
        <v>74632</v>
      </c>
      <c r="X3722" t="s">
        <v>74633</v>
      </c>
      <c r="Y3722" t="s">
        <v>74634</v>
      </c>
    </row>
    <row r="3723" spans="1:25" x14ac:dyDescent="0.3">
      <c r="A3723">
        <v>186100</v>
      </c>
      <c r="B3723" t="s">
        <v>74635</v>
      </c>
      <c r="C3723" t="s">
        <v>74636</v>
      </c>
      <c r="D3723" t="s">
        <v>74637</v>
      </c>
      <c r="E3723" t="s">
        <v>74638</v>
      </c>
      <c r="F3723" t="s">
        <v>74639</v>
      </c>
      <c r="G3723" t="s">
        <v>74640</v>
      </c>
      <c r="H3723" t="s">
        <v>74641</v>
      </c>
      <c r="I3723" t="s">
        <v>74642</v>
      </c>
      <c r="J3723" t="s">
        <v>74643</v>
      </c>
      <c r="K3723" t="s">
        <v>74644</v>
      </c>
      <c r="L3723" t="s">
        <v>74645</v>
      </c>
      <c r="M3723" t="s">
        <v>74646</v>
      </c>
      <c r="N3723" t="s">
        <v>74647</v>
      </c>
      <c r="O3723">
        <f>-565.4396255777 -109.967980499736 -741.702368682494</f>
        <v>-1417.1099747599301</v>
      </c>
      <c r="P3723">
        <f>-589.36474862588 -106.85309416496 -426.101231416734</f>
        <v>-1122.319074207574</v>
      </c>
      <c r="Q3723" t="s">
        <v>74648</v>
      </c>
      <c r="R3723" t="s">
        <v>74649</v>
      </c>
      <c r="S3723" t="s">
        <v>74650</v>
      </c>
      <c r="T3723" t="s">
        <v>74651</v>
      </c>
      <c r="U3723" t="s">
        <v>74652</v>
      </c>
      <c r="V3723" t="s">
        <v>74653</v>
      </c>
      <c r="W3723" t="s">
        <v>74654</v>
      </c>
      <c r="X3723" t="s">
        <v>74655</v>
      </c>
      <c r="Y3723" t="s">
        <v>74656</v>
      </c>
    </row>
    <row r="3724" spans="1:25" x14ac:dyDescent="0.3">
      <c r="A3724">
        <v>186150</v>
      </c>
      <c r="B3724" t="s">
        <v>74657</v>
      </c>
      <c r="C3724" t="s">
        <v>74658</v>
      </c>
      <c r="D3724" t="s">
        <v>74659</v>
      </c>
      <c r="E3724" t="s">
        <v>74660</v>
      </c>
      <c r="F3724" t="s">
        <v>74661</v>
      </c>
      <c r="G3724" t="s">
        <v>74662</v>
      </c>
      <c r="H3724" t="s">
        <v>74663</v>
      </c>
      <c r="I3724" t="s">
        <v>74664</v>
      </c>
      <c r="J3724" t="s">
        <v>74665</v>
      </c>
      <c r="K3724" t="s">
        <v>74666</v>
      </c>
      <c r="L3724" t="s">
        <v>74667</v>
      </c>
      <c r="M3724" t="s">
        <v>74668</v>
      </c>
      <c r="N3724" t="s">
        <v>74669</v>
      </c>
      <c r="O3724">
        <f>-565.198392271934 -107.951997066892 -742.712414708982</f>
        <v>-1415.8628040478079</v>
      </c>
      <c r="P3724">
        <f>-588.677825058367 -106.119846384957 -427.067801435417</f>
        <v>-1121.865472878741</v>
      </c>
      <c r="Q3724" t="s">
        <v>74670</v>
      </c>
      <c r="R3724" t="s">
        <v>74671</v>
      </c>
      <c r="S3724" t="s">
        <v>74672</v>
      </c>
      <c r="T3724" t="s">
        <v>74673</v>
      </c>
      <c r="U3724" t="s">
        <v>74674</v>
      </c>
      <c r="V3724" t="s">
        <v>74675</v>
      </c>
      <c r="W3724" t="s">
        <v>74676</v>
      </c>
      <c r="X3724" t="s">
        <v>74677</v>
      </c>
      <c r="Y3724" t="s">
        <v>74678</v>
      </c>
    </row>
    <row r="3725" spans="1:25" x14ac:dyDescent="0.3">
      <c r="A3725">
        <v>186200</v>
      </c>
      <c r="B3725" t="s">
        <v>74679</v>
      </c>
      <c r="C3725" t="s">
        <v>74680</v>
      </c>
      <c r="D3725" t="s">
        <v>74681</v>
      </c>
      <c r="E3725" t="s">
        <v>74682</v>
      </c>
      <c r="F3725" t="s">
        <v>74683</v>
      </c>
      <c r="G3725" t="s">
        <v>74684</v>
      </c>
      <c r="H3725" t="s">
        <v>74685</v>
      </c>
      <c r="I3725" t="s">
        <v>74686</v>
      </c>
      <c r="J3725" t="s">
        <v>74687</v>
      </c>
      <c r="K3725" t="s">
        <v>74688</v>
      </c>
      <c r="L3725" t="s">
        <v>74689</v>
      </c>
      <c r="M3725" t="s">
        <v>74690</v>
      </c>
      <c r="N3725" t="s">
        <v>74691</v>
      </c>
      <c r="O3725">
        <f>-565.005775454426 -106.928103230088 -743.319247440425</f>
        <v>-1415.2531261249392</v>
      </c>
      <c r="P3725">
        <f>-588.039210726152 -105.346588364703 -427.640358997297</f>
        <v>-1121.026158088152</v>
      </c>
      <c r="Q3725" t="s">
        <v>74692</v>
      </c>
      <c r="R3725" t="s">
        <v>74693</v>
      </c>
      <c r="S3725" t="s">
        <v>74694</v>
      </c>
      <c r="T3725" t="s">
        <v>74695</v>
      </c>
      <c r="U3725" t="s">
        <v>74696</v>
      </c>
      <c r="V3725" t="s">
        <v>74697</v>
      </c>
      <c r="W3725" t="s">
        <v>74698</v>
      </c>
      <c r="X3725" t="s">
        <v>74699</v>
      </c>
      <c r="Y3725" t="s">
        <v>74700</v>
      </c>
    </row>
    <row r="3726" spans="1:25" x14ac:dyDescent="0.3">
      <c r="A3726">
        <v>186250</v>
      </c>
      <c r="B3726" t="s">
        <v>74701</v>
      </c>
      <c r="C3726" t="s">
        <v>74702</v>
      </c>
      <c r="D3726" t="s">
        <v>74703</v>
      </c>
      <c r="E3726" t="s">
        <v>74704</v>
      </c>
      <c r="F3726" t="s">
        <v>74705</v>
      </c>
      <c r="G3726" t="s">
        <v>74706</v>
      </c>
      <c r="H3726" t="s">
        <v>74707</v>
      </c>
      <c r="I3726" t="s">
        <v>74708</v>
      </c>
      <c r="J3726" t="s">
        <v>74709</v>
      </c>
      <c r="K3726" t="s">
        <v>74710</v>
      </c>
      <c r="L3726" t="s">
        <v>74711</v>
      </c>
      <c r="M3726" t="s">
        <v>74712</v>
      </c>
      <c r="N3726" t="s">
        <v>74713</v>
      </c>
      <c r="O3726">
        <f>-564.039369609518 -105.163489905643 -744.129792019334</f>
        <v>-1413.332651534495</v>
      </c>
      <c r="P3726">
        <f>-586.558153536663 -103.869623668127 -428.412503443924</f>
        <v>-1118.840280648714</v>
      </c>
      <c r="Q3726" t="s">
        <v>74714</v>
      </c>
      <c r="R3726" t="s">
        <v>74715</v>
      </c>
      <c r="S3726" t="s">
        <v>74716</v>
      </c>
      <c r="T3726" t="s">
        <v>74717</v>
      </c>
      <c r="U3726" t="s">
        <v>74718</v>
      </c>
      <c r="V3726" t="s">
        <v>74719</v>
      </c>
      <c r="W3726" t="s">
        <v>74720</v>
      </c>
      <c r="X3726" t="s">
        <v>74721</v>
      </c>
      <c r="Y3726" t="s">
        <v>74722</v>
      </c>
    </row>
    <row r="3727" spans="1:25" x14ac:dyDescent="0.3">
      <c r="A3727">
        <v>186300</v>
      </c>
      <c r="B3727" t="s">
        <v>74723</v>
      </c>
      <c r="C3727" t="s">
        <v>74724</v>
      </c>
      <c r="D3727" t="s">
        <v>74725</v>
      </c>
      <c r="E3727" t="s">
        <v>74726</v>
      </c>
      <c r="F3727" t="s">
        <v>74727</v>
      </c>
      <c r="G3727" t="s">
        <v>74728</v>
      </c>
      <c r="H3727" t="s">
        <v>74729</v>
      </c>
      <c r="I3727" t="s">
        <v>74730</v>
      </c>
      <c r="J3727" t="s">
        <v>74731</v>
      </c>
      <c r="K3727" t="s">
        <v>74732</v>
      </c>
      <c r="L3727" t="s">
        <v>74733</v>
      </c>
      <c r="M3727" t="s">
        <v>74734</v>
      </c>
      <c r="N3727" t="s">
        <v>74735</v>
      </c>
      <c r="O3727">
        <f>-563.538372340993 -104.309721204064 -744.260875982689</f>
        <v>-1412.108969527746</v>
      </c>
      <c r="P3727">
        <f>-585.998362650535 -103.111062904937 -428.53904122562</f>
        <v>-1117.6484667810919</v>
      </c>
      <c r="Q3727" t="s">
        <v>74736</v>
      </c>
      <c r="R3727" t="s">
        <v>74737</v>
      </c>
      <c r="S3727" t="s">
        <v>74738</v>
      </c>
      <c r="T3727" t="s">
        <v>74739</v>
      </c>
      <c r="U3727" t="s">
        <v>74740</v>
      </c>
      <c r="V3727" t="s">
        <v>74741</v>
      </c>
      <c r="W3727" t="s">
        <v>74742</v>
      </c>
      <c r="X3727" t="s">
        <v>74743</v>
      </c>
      <c r="Y3727" t="s">
        <v>74744</v>
      </c>
    </row>
    <row r="3728" spans="1:25" x14ac:dyDescent="0.3">
      <c r="A3728">
        <v>186350</v>
      </c>
      <c r="B3728" t="s">
        <v>74745</v>
      </c>
      <c r="C3728" t="s">
        <v>74746</v>
      </c>
      <c r="D3728" t="s">
        <v>74747</v>
      </c>
      <c r="E3728" t="s">
        <v>74748</v>
      </c>
      <c r="F3728" t="s">
        <v>74749</v>
      </c>
      <c r="G3728" t="s">
        <v>74750</v>
      </c>
      <c r="H3728" t="s">
        <v>74751</v>
      </c>
      <c r="I3728" t="s">
        <v>74752</v>
      </c>
      <c r="J3728" t="s">
        <v>74753</v>
      </c>
      <c r="K3728" t="s">
        <v>74754</v>
      </c>
      <c r="L3728" t="s">
        <v>74755</v>
      </c>
      <c r="M3728" t="s">
        <v>74756</v>
      </c>
      <c r="N3728" t="s">
        <v>74757</v>
      </c>
      <c r="O3728">
        <f>-562.795614884075 -103.085540152275 -744.284336722081</f>
        <v>-1410.165491758431</v>
      </c>
      <c r="P3728">
        <f>-585.11081270988 -101.957645046735 -428.552027416628</f>
        <v>-1115.620485173243</v>
      </c>
      <c r="Q3728" t="s">
        <v>74758</v>
      </c>
      <c r="R3728" t="s">
        <v>74759</v>
      </c>
      <c r="S3728" t="s">
        <v>74760</v>
      </c>
      <c r="T3728" t="s">
        <v>74761</v>
      </c>
      <c r="U3728" t="s">
        <v>74762</v>
      </c>
      <c r="V3728" t="s">
        <v>74763</v>
      </c>
      <c r="W3728" t="s">
        <v>74764</v>
      </c>
      <c r="X3728" t="s">
        <v>74765</v>
      </c>
      <c r="Y3728" t="s">
        <v>74766</v>
      </c>
    </row>
    <row r="3729" spans="1:25" x14ac:dyDescent="0.3">
      <c r="A3729">
        <v>186400</v>
      </c>
      <c r="B3729" t="s">
        <v>74767</v>
      </c>
      <c r="C3729" t="s">
        <v>74768</v>
      </c>
      <c r="D3729" t="s">
        <v>74769</v>
      </c>
      <c r="E3729" t="s">
        <v>74770</v>
      </c>
      <c r="F3729" t="s">
        <v>74771</v>
      </c>
      <c r="G3729" t="s">
        <v>74772</v>
      </c>
      <c r="H3729" t="s">
        <v>74773</v>
      </c>
      <c r="I3729" t="s">
        <v>74774</v>
      </c>
      <c r="J3729" t="s">
        <v>74775</v>
      </c>
      <c r="K3729" t="s">
        <v>74776</v>
      </c>
      <c r="L3729" t="s">
        <v>74777</v>
      </c>
      <c r="M3729" t="s">
        <v>74778</v>
      </c>
      <c r="N3729" t="s">
        <v>74779</v>
      </c>
      <c r="O3729">
        <f>-562.445473843326 -102.183232330793 -744.1454681401</f>
        <v>-1408.774174314219</v>
      </c>
      <c r="P3729">
        <f>-584.618039643577 -100.926470567798 -428.403450221314</f>
        <v>-1113.9479604326891</v>
      </c>
      <c r="Q3729" t="s">
        <v>74780</v>
      </c>
      <c r="R3729" t="s">
        <v>74781</v>
      </c>
      <c r="S3729" t="s">
        <v>74782</v>
      </c>
      <c r="T3729" t="s">
        <v>74783</v>
      </c>
      <c r="U3729" t="s">
        <v>74784</v>
      </c>
      <c r="V3729" t="s">
        <v>74785</v>
      </c>
      <c r="W3729" t="s">
        <v>74786</v>
      </c>
      <c r="X3729" t="s">
        <v>74787</v>
      </c>
      <c r="Y3729" t="s">
        <v>74788</v>
      </c>
    </row>
    <row r="3730" spans="1:25" x14ac:dyDescent="0.3">
      <c r="A3730">
        <v>186450</v>
      </c>
      <c r="B3730" t="s">
        <v>74789</v>
      </c>
      <c r="C3730" t="s">
        <v>74790</v>
      </c>
      <c r="D3730" t="s">
        <v>74791</v>
      </c>
      <c r="E3730" t="s">
        <v>74792</v>
      </c>
      <c r="F3730" t="s">
        <v>74793</v>
      </c>
      <c r="G3730" t="s">
        <v>74794</v>
      </c>
      <c r="H3730" t="s">
        <v>74795</v>
      </c>
      <c r="I3730" t="s">
        <v>74796</v>
      </c>
      <c r="J3730" t="s">
        <v>74797</v>
      </c>
      <c r="K3730" t="s">
        <v>74798</v>
      </c>
      <c r="L3730" t="s">
        <v>74799</v>
      </c>
      <c r="M3730" t="s">
        <v>74800</v>
      </c>
      <c r="N3730" t="s">
        <v>74801</v>
      </c>
      <c r="O3730">
        <f>-561.781218175344 -100.057919487321 -743.927694216557</f>
        <v>-1405.7668318792221</v>
      </c>
      <c r="P3730">
        <f>-583.241761048125 -98.7971338564691 -428.136490411571</f>
        <v>-1110.1753853161651</v>
      </c>
      <c r="Q3730" t="s">
        <v>74802</v>
      </c>
      <c r="R3730" t="s">
        <v>74803</v>
      </c>
      <c r="S3730" t="s">
        <v>74804</v>
      </c>
      <c r="T3730" t="s">
        <v>74805</v>
      </c>
      <c r="U3730" t="s">
        <v>74806</v>
      </c>
      <c r="V3730" t="s">
        <v>74807</v>
      </c>
      <c r="W3730" t="s">
        <v>74808</v>
      </c>
      <c r="X3730" t="s">
        <v>74809</v>
      </c>
      <c r="Y3730" t="s">
        <v>74810</v>
      </c>
    </row>
    <row r="3731" spans="1:25" x14ac:dyDescent="0.3">
      <c r="A3731">
        <v>186500</v>
      </c>
      <c r="B3731" t="s">
        <v>74811</v>
      </c>
      <c r="C3731" t="s">
        <v>74812</v>
      </c>
      <c r="D3731" t="s">
        <v>74813</v>
      </c>
      <c r="E3731" t="s">
        <v>74814</v>
      </c>
      <c r="F3731" t="s">
        <v>74815</v>
      </c>
      <c r="G3731" t="s">
        <v>74816</v>
      </c>
      <c r="H3731" t="s">
        <v>74817</v>
      </c>
      <c r="I3731" t="s">
        <v>74818</v>
      </c>
      <c r="J3731" t="s">
        <v>74819</v>
      </c>
      <c r="K3731" t="s">
        <v>74820</v>
      </c>
      <c r="L3731" t="s">
        <v>74821</v>
      </c>
      <c r="M3731" t="s">
        <v>74822</v>
      </c>
      <c r="N3731" t="s">
        <v>74823</v>
      </c>
      <c r="O3731">
        <f>-561.441176960942 -99.3236436397935 -743.955790856428</f>
        <v>-1404.7206114571636</v>
      </c>
      <c r="P3731">
        <f>-582.835552012035 -98.3132648546396 -428.159319961699</f>
        <v>-1109.3081368283736</v>
      </c>
      <c r="Q3731" t="s">
        <v>74824</v>
      </c>
      <c r="R3731" t="s">
        <v>74825</v>
      </c>
      <c r="S3731" t="s">
        <v>74826</v>
      </c>
      <c r="T3731" t="s">
        <v>74827</v>
      </c>
      <c r="U3731" t="s">
        <v>74828</v>
      </c>
      <c r="V3731" t="s">
        <v>74829</v>
      </c>
      <c r="W3731" t="s">
        <v>74830</v>
      </c>
      <c r="X3731" t="s">
        <v>74831</v>
      </c>
      <c r="Y3731" t="s">
        <v>74832</v>
      </c>
    </row>
    <row r="3732" spans="1:25" x14ac:dyDescent="0.3">
      <c r="A3732">
        <v>186550</v>
      </c>
      <c r="B3732" t="s">
        <v>74833</v>
      </c>
      <c r="C3732" t="s">
        <v>74834</v>
      </c>
      <c r="D3732" t="s">
        <v>74835</v>
      </c>
      <c r="E3732" t="s">
        <v>74836</v>
      </c>
      <c r="F3732" t="s">
        <v>74837</v>
      </c>
      <c r="G3732" t="s">
        <v>74838</v>
      </c>
      <c r="H3732" t="s">
        <v>74839</v>
      </c>
      <c r="I3732" t="s">
        <v>74840</v>
      </c>
      <c r="J3732" t="s">
        <v>74841</v>
      </c>
      <c r="K3732" t="s">
        <v>74842</v>
      </c>
      <c r="L3732" t="s">
        <v>74843</v>
      </c>
      <c r="M3732" t="s">
        <v>74844</v>
      </c>
      <c r="N3732" t="s">
        <v>74845</v>
      </c>
      <c r="O3732">
        <f>-561.023353859549 -98.3749948570214 -744.299246500365</f>
        <v>-1403.6975952169355</v>
      </c>
      <c r="P3732">
        <f>-581.675534451277 -98.2487391675984 -428.451778259325</f>
        <v>-1108.3760518782005</v>
      </c>
      <c r="Q3732" t="s">
        <v>74846</v>
      </c>
      <c r="R3732" t="s">
        <v>74847</v>
      </c>
      <c r="S3732" t="s">
        <v>74848</v>
      </c>
      <c r="T3732" t="s">
        <v>74849</v>
      </c>
      <c r="U3732" t="s">
        <v>74850</v>
      </c>
      <c r="V3732" t="s">
        <v>74851</v>
      </c>
      <c r="W3732" t="s">
        <v>74852</v>
      </c>
      <c r="X3732" t="s">
        <v>74853</v>
      </c>
      <c r="Y3732" t="s">
        <v>74854</v>
      </c>
    </row>
    <row r="3733" spans="1:25" x14ac:dyDescent="0.3">
      <c r="A3733">
        <v>186600</v>
      </c>
      <c r="B3733" t="s">
        <v>74855</v>
      </c>
      <c r="C3733" t="s">
        <v>74856</v>
      </c>
      <c r="D3733" t="s">
        <v>74857</v>
      </c>
      <c r="E3733" t="s">
        <v>74858</v>
      </c>
      <c r="F3733" t="s">
        <v>74859</v>
      </c>
      <c r="G3733" t="s">
        <v>74860</v>
      </c>
      <c r="H3733" t="s">
        <v>74861</v>
      </c>
      <c r="I3733" t="s">
        <v>74862</v>
      </c>
      <c r="J3733" t="s">
        <v>74863</v>
      </c>
      <c r="K3733" t="s">
        <v>74864</v>
      </c>
      <c r="L3733" t="s">
        <v>74865</v>
      </c>
      <c r="M3733" t="s">
        <v>74866</v>
      </c>
      <c r="N3733" t="s">
        <v>74867</v>
      </c>
      <c r="O3733">
        <f>-560.588052421855 -98.3382059827751 -744.450731833144</f>
        <v>-1403.376990237774</v>
      </c>
      <c r="P3733">
        <f>-581.266748760805 -98.0418551886432 -428.605023289017</f>
        <v>-1107.9136272384653</v>
      </c>
      <c r="Q3733" t="s">
        <v>74868</v>
      </c>
      <c r="R3733" t="s">
        <v>74869</v>
      </c>
      <c r="S3733" t="s">
        <v>74870</v>
      </c>
      <c r="T3733" t="s">
        <v>74871</v>
      </c>
      <c r="U3733" t="s">
        <v>74872</v>
      </c>
      <c r="V3733" t="s">
        <v>74873</v>
      </c>
      <c r="W3733" t="s">
        <v>74874</v>
      </c>
      <c r="X3733" t="s">
        <v>74875</v>
      </c>
      <c r="Y3733" t="s">
        <v>74876</v>
      </c>
    </row>
    <row r="3734" spans="1:25" x14ac:dyDescent="0.3">
      <c r="A3734">
        <v>186650</v>
      </c>
      <c r="B3734" t="s">
        <v>74877</v>
      </c>
      <c r="C3734" t="s">
        <v>74878</v>
      </c>
      <c r="D3734" t="s">
        <v>74879</v>
      </c>
      <c r="E3734" t="s">
        <v>74880</v>
      </c>
      <c r="F3734" t="s">
        <v>74881</v>
      </c>
      <c r="G3734" t="s">
        <v>74882</v>
      </c>
      <c r="H3734" t="s">
        <v>74883</v>
      </c>
      <c r="I3734" t="s">
        <v>74884</v>
      </c>
      <c r="J3734" t="s">
        <v>74885</v>
      </c>
      <c r="K3734" t="s">
        <v>74886</v>
      </c>
      <c r="L3734" t="s">
        <v>74887</v>
      </c>
      <c r="M3734" t="s">
        <v>74888</v>
      </c>
      <c r="N3734" t="s">
        <v>74889</v>
      </c>
      <c r="O3734">
        <f>-559.837159241179 -98.7027213231914 -744.274414141391</f>
        <v>-1402.8142947057615</v>
      </c>
      <c r="P3734">
        <f>-580.921610554291 -97.6979705214466 -428.457112619694</f>
        <v>-1107.0766936954315</v>
      </c>
      <c r="Q3734" t="s">
        <v>74890</v>
      </c>
      <c r="R3734" t="s">
        <v>74891</v>
      </c>
      <c r="S3734" t="s">
        <v>74892</v>
      </c>
      <c r="T3734" t="s">
        <v>74893</v>
      </c>
      <c r="U3734" t="s">
        <v>74894</v>
      </c>
      <c r="V3734" t="s">
        <v>74895</v>
      </c>
      <c r="W3734" t="s">
        <v>74896</v>
      </c>
      <c r="X3734" t="s">
        <v>74897</v>
      </c>
      <c r="Y3734" t="s">
        <v>74898</v>
      </c>
    </row>
    <row r="3735" spans="1:25" x14ac:dyDescent="0.3">
      <c r="A3735">
        <v>186700</v>
      </c>
      <c r="B3735" t="s">
        <v>74899</v>
      </c>
      <c r="C3735" t="s">
        <v>74900</v>
      </c>
      <c r="D3735" t="s">
        <v>74901</v>
      </c>
      <c r="E3735" t="s">
        <v>74902</v>
      </c>
      <c r="F3735" t="s">
        <v>74903</v>
      </c>
      <c r="G3735" t="s">
        <v>74904</v>
      </c>
      <c r="H3735" t="s">
        <v>74905</v>
      </c>
      <c r="I3735" t="s">
        <v>74906</v>
      </c>
      <c r="J3735" t="s">
        <v>74907</v>
      </c>
      <c r="K3735" t="s">
        <v>74908</v>
      </c>
      <c r="L3735" t="s">
        <v>74909</v>
      </c>
      <c r="M3735" t="s">
        <v>74910</v>
      </c>
      <c r="N3735" t="s">
        <v>74911</v>
      </c>
      <c r="O3735">
        <f>-559.648361229736 -98.960917684091 -744.107686424797</f>
        <v>-1402.716965338624</v>
      </c>
      <c r="P3735">
        <f>-580.919351113912 -97.8911334789128 -428.303048478838</f>
        <v>-1107.1135330716627</v>
      </c>
      <c r="Q3735" t="s">
        <v>74912</v>
      </c>
      <c r="R3735" t="s">
        <v>74913</v>
      </c>
      <c r="S3735" t="s">
        <v>74914</v>
      </c>
      <c r="T3735" t="s">
        <v>74915</v>
      </c>
      <c r="U3735" t="s">
        <v>74916</v>
      </c>
      <c r="V3735" t="s">
        <v>74917</v>
      </c>
      <c r="W3735" t="s">
        <v>74918</v>
      </c>
      <c r="X3735" t="s">
        <v>74919</v>
      </c>
      <c r="Y3735" t="s">
        <v>74920</v>
      </c>
    </row>
    <row r="3736" spans="1:25" x14ac:dyDescent="0.3">
      <c r="A3736">
        <v>186750</v>
      </c>
      <c r="B3736" t="s">
        <v>74921</v>
      </c>
      <c r="C3736" t="s">
        <v>74922</v>
      </c>
      <c r="D3736" t="s">
        <v>74923</v>
      </c>
      <c r="E3736" t="s">
        <v>74924</v>
      </c>
      <c r="F3736" t="s">
        <v>74925</v>
      </c>
      <c r="G3736" t="s">
        <v>74926</v>
      </c>
      <c r="H3736" t="s">
        <v>74927</v>
      </c>
      <c r="I3736" t="s">
        <v>74928</v>
      </c>
      <c r="J3736" t="s">
        <v>74929</v>
      </c>
      <c r="K3736" t="s">
        <v>74930</v>
      </c>
      <c r="L3736" t="s">
        <v>74931</v>
      </c>
      <c r="M3736" t="s">
        <v>74932</v>
      </c>
      <c r="N3736" t="s">
        <v>74933</v>
      </c>
      <c r="O3736">
        <f>-559.740646531288 -99.1429261048672 -744.034773781692</f>
        <v>-1402.9183464178473</v>
      </c>
      <c r="P3736">
        <f>-581.24167133347 -98.0016921859426 -428.245834699317</f>
        <v>-1107.4891982187296</v>
      </c>
      <c r="Q3736" t="s">
        <v>74934</v>
      </c>
      <c r="R3736" t="s">
        <v>74935</v>
      </c>
      <c r="S3736" t="s">
        <v>74936</v>
      </c>
      <c r="T3736" t="s">
        <v>74937</v>
      </c>
      <c r="U3736" t="s">
        <v>74938</v>
      </c>
      <c r="V3736" t="s">
        <v>74939</v>
      </c>
      <c r="W3736" t="s">
        <v>74940</v>
      </c>
      <c r="X3736" t="s">
        <v>74941</v>
      </c>
      <c r="Y3736" t="s">
        <v>74942</v>
      </c>
    </row>
    <row r="3737" spans="1:25" x14ac:dyDescent="0.3">
      <c r="A3737">
        <v>186800</v>
      </c>
      <c r="B3737" t="s">
        <v>74943</v>
      </c>
      <c r="C3737" t="s">
        <v>74944</v>
      </c>
      <c r="D3737" t="s">
        <v>74945</v>
      </c>
      <c r="E3737" t="s">
        <v>74946</v>
      </c>
      <c r="F3737" t="s">
        <v>74947</v>
      </c>
      <c r="G3737" t="s">
        <v>74948</v>
      </c>
      <c r="H3737" t="s">
        <v>74949</v>
      </c>
      <c r="I3737" t="s">
        <v>74950</v>
      </c>
      <c r="J3737" t="s">
        <v>74951</v>
      </c>
      <c r="K3737" t="s">
        <v>74952</v>
      </c>
      <c r="L3737" t="s">
        <v>74953</v>
      </c>
      <c r="M3737" t="s">
        <v>74954</v>
      </c>
      <c r="N3737" t="s">
        <v>74955</v>
      </c>
      <c r="O3737">
        <f>-559.649612150237 -99.2579852452608 -743.949741271046</f>
        <v>-1402.8573386665439</v>
      </c>
      <c r="P3737">
        <f>-581.03235293734 -97.5775279568473 -428.155251080604</f>
        <v>-1106.7651319747913</v>
      </c>
      <c r="Q3737" t="s">
        <v>74956</v>
      </c>
      <c r="R3737" t="s">
        <v>74957</v>
      </c>
      <c r="S3737" t="s">
        <v>74958</v>
      </c>
      <c r="T3737" t="s">
        <v>74959</v>
      </c>
      <c r="U3737" t="s">
        <v>74960</v>
      </c>
      <c r="V3737" t="s">
        <v>74961</v>
      </c>
      <c r="W3737" t="s">
        <v>74962</v>
      </c>
      <c r="X3737" t="s">
        <v>74963</v>
      </c>
      <c r="Y3737" t="s">
        <v>74964</v>
      </c>
    </row>
    <row r="3738" spans="1:25" x14ac:dyDescent="0.3">
      <c r="A3738">
        <v>186850</v>
      </c>
      <c r="B3738" t="s">
        <v>74965</v>
      </c>
      <c r="C3738" t="s">
        <v>74966</v>
      </c>
      <c r="D3738" t="s">
        <v>74967</v>
      </c>
      <c r="E3738" t="s">
        <v>74968</v>
      </c>
      <c r="F3738" t="s">
        <v>74969</v>
      </c>
      <c r="G3738" t="s">
        <v>74970</v>
      </c>
      <c r="H3738" t="s">
        <v>74971</v>
      </c>
      <c r="I3738" t="s">
        <v>74972</v>
      </c>
      <c r="J3738" t="s">
        <v>74973</v>
      </c>
      <c r="K3738" t="s">
        <v>74974</v>
      </c>
      <c r="L3738" t="s">
        <v>74975</v>
      </c>
      <c r="M3738" t="s">
        <v>74976</v>
      </c>
      <c r="N3738" t="s">
        <v>74977</v>
      </c>
      <c r="O3738">
        <f>-558.785224423715 -99.7825155712 -743.503829223437</f>
        <v>-1402.0715692183521</v>
      </c>
      <c r="P3738">
        <f>-580.384666797749 -97.3201870138894 -427.729162463808</f>
        <v>-1105.4340162754463</v>
      </c>
      <c r="Q3738" t="s">
        <v>74978</v>
      </c>
      <c r="R3738" t="s">
        <v>74979</v>
      </c>
      <c r="S3738" t="s">
        <v>74980</v>
      </c>
      <c r="T3738" t="s">
        <v>74981</v>
      </c>
      <c r="U3738" t="s">
        <v>74982</v>
      </c>
      <c r="V3738" t="s">
        <v>74983</v>
      </c>
      <c r="W3738" t="s">
        <v>74984</v>
      </c>
      <c r="X3738" t="s">
        <v>74985</v>
      </c>
      <c r="Y3738" t="s">
        <v>74986</v>
      </c>
    </row>
    <row r="3739" spans="1:25" x14ac:dyDescent="0.3">
      <c r="A3739">
        <v>186900</v>
      </c>
      <c r="B3739" t="s">
        <v>74987</v>
      </c>
      <c r="C3739" t="s">
        <v>74988</v>
      </c>
      <c r="D3739" t="s">
        <v>74989</v>
      </c>
      <c r="E3739" t="s">
        <v>74990</v>
      </c>
      <c r="F3739" t="s">
        <v>74991</v>
      </c>
      <c r="G3739" t="s">
        <v>74992</v>
      </c>
      <c r="H3739" t="s">
        <v>74993</v>
      </c>
      <c r="I3739" t="s">
        <v>74994</v>
      </c>
      <c r="J3739" t="s">
        <v>74995</v>
      </c>
      <c r="K3739" t="s">
        <v>74996</v>
      </c>
      <c r="L3739" t="s">
        <v>74997</v>
      </c>
      <c r="M3739" t="s">
        <v>74998</v>
      </c>
      <c r="N3739" t="s">
        <v>74999</v>
      </c>
      <c r="O3739">
        <f>-558.751748310929 -100.257767948962 -743.291675909401</f>
        <v>-1402.3011921692919</v>
      </c>
      <c r="P3739">
        <f>-580.465529522332 -98.0453845009563 -427.523040068881</f>
        <v>-1106.0339540921693</v>
      </c>
      <c r="Q3739" t="s">
        <v>75000</v>
      </c>
      <c r="R3739" t="s">
        <v>75001</v>
      </c>
      <c r="S3739" t="s">
        <v>75002</v>
      </c>
      <c r="T3739" t="s">
        <v>75003</v>
      </c>
      <c r="U3739" t="s">
        <v>75004</v>
      </c>
      <c r="V3739" t="s">
        <v>75005</v>
      </c>
      <c r="W3739" t="s">
        <v>75006</v>
      </c>
      <c r="X3739" t="s">
        <v>75007</v>
      </c>
      <c r="Y3739" t="s">
        <v>75008</v>
      </c>
    </row>
    <row r="3740" spans="1:25" x14ac:dyDescent="0.3">
      <c r="A3740">
        <v>186950</v>
      </c>
      <c r="B3740" t="s">
        <v>75009</v>
      </c>
      <c r="C3740" t="s">
        <v>75010</v>
      </c>
      <c r="D3740" t="s">
        <v>75011</v>
      </c>
      <c r="E3740" t="s">
        <v>75012</v>
      </c>
      <c r="F3740" t="s">
        <v>75013</v>
      </c>
      <c r="G3740" t="s">
        <v>75014</v>
      </c>
      <c r="H3740" t="s">
        <v>75015</v>
      </c>
      <c r="I3740" t="s">
        <v>75016</v>
      </c>
      <c r="J3740" t="s">
        <v>75017</v>
      </c>
      <c r="K3740" t="s">
        <v>75018</v>
      </c>
      <c r="L3740" t="s">
        <v>75019</v>
      </c>
      <c r="M3740" t="s">
        <v>75020</v>
      </c>
      <c r="N3740" t="s">
        <v>75021</v>
      </c>
      <c r="O3740">
        <f>-559.390409014768 -101.211839393239 -743.048012874199</f>
        <v>-1403.650261282206</v>
      </c>
      <c r="P3740">
        <f>-580.785732626521 -100.291249155414 -427.251149615275</f>
        <v>-1108.32813139721</v>
      </c>
      <c r="Q3740" t="s">
        <v>75022</v>
      </c>
      <c r="R3740" t="s">
        <v>75023</v>
      </c>
      <c r="S3740" t="s">
        <v>75024</v>
      </c>
      <c r="T3740" t="s">
        <v>75025</v>
      </c>
      <c r="U3740" t="s">
        <v>75026</v>
      </c>
      <c r="V3740" t="s">
        <v>75027</v>
      </c>
      <c r="W3740" t="s">
        <v>75028</v>
      </c>
      <c r="X3740" t="s">
        <v>75029</v>
      </c>
      <c r="Y3740" t="s">
        <v>75030</v>
      </c>
    </row>
    <row r="3741" spans="1:25" x14ac:dyDescent="0.3">
      <c r="A3741">
        <v>187000</v>
      </c>
      <c r="B3741" t="s">
        <v>75031</v>
      </c>
      <c r="C3741" t="s">
        <v>75032</v>
      </c>
      <c r="D3741" t="s">
        <v>75033</v>
      </c>
      <c r="E3741" t="s">
        <v>75034</v>
      </c>
      <c r="F3741" t="s">
        <v>75035</v>
      </c>
      <c r="G3741" t="s">
        <v>75036</v>
      </c>
      <c r="H3741" t="s">
        <v>75037</v>
      </c>
      <c r="I3741" t="s">
        <v>75038</v>
      </c>
      <c r="J3741" t="s">
        <v>75039</v>
      </c>
      <c r="K3741" t="s">
        <v>75040</v>
      </c>
      <c r="L3741" t="s">
        <v>75041</v>
      </c>
      <c r="M3741" t="s">
        <v>75042</v>
      </c>
      <c r="N3741" t="s">
        <v>75043</v>
      </c>
      <c r="O3741">
        <f>-560.218231690392 -101.659432609631 -743.058620779024</f>
        <v>-1404.9362850790471</v>
      </c>
      <c r="P3741">
        <f>-581.184861740084 -101.40697798581 -427.231836080166</f>
        <v>-1109.82367580606</v>
      </c>
      <c r="Q3741" t="s">
        <v>75044</v>
      </c>
      <c r="R3741" t="s">
        <v>75045</v>
      </c>
      <c r="S3741" t="s">
        <v>75046</v>
      </c>
      <c r="T3741" t="s">
        <v>75047</v>
      </c>
      <c r="U3741" t="s">
        <v>75048</v>
      </c>
      <c r="V3741" t="s">
        <v>75049</v>
      </c>
      <c r="W3741" t="s">
        <v>75050</v>
      </c>
      <c r="X3741" t="s">
        <v>75051</v>
      </c>
      <c r="Y3741" t="s">
        <v>75052</v>
      </c>
    </row>
    <row r="3742" spans="1:25" x14ac:dyDescent="0.3">
      <c r="A3742">
        <v>187050</v>
      </c>
      <c r="B3742" t="s">
        <v>75053</v>
      </c>
      <c r="C3742" t="s">
        <v>75054</v>
      </c>
      <c r="D3742" t="s">
        <v>75055</v>
      </c>
      <c r="E3742" t="s">
        <v>75056</v>
      </c>
      <c r="F3742" t="s">
        <v>75057</v>
      </c>
      <c r="G3742" t="s">
        <v>75058</v>
      </c>
      <c r="H3742" t="s">
        <v>75059</v>
      </c>
      <c r="I3742" t="s">
        <v>75060</v>
      </c>
      <c r="J3742" t="s">
        <v>75061</v>
      </c>
      <c r="K3742" t="s">
        <v>75062</v>
      </c>
      <c r="L3742" t="s">
        <v>75063</v>
      </c>
      <c r="M3742" t="s">
        <v>75064</v>
      </c>
      <c r="N3742" t="s">
        <v>75065</v>
      </c>
      <c r="O3742">
        <f>-560.760262073424 -103.425489384802 -743.104820058962</f>
        <v>-1407.2905715171878</v>
      </c>
      <c r="P3742">
        <f>-581.646044459901 -105.262061313502 -427.278002007781</f>
        <v>-1114.1861077811841</v>
      </c>
      <c r="Q3742">
        <f>-348.017457029103 -0.656185155921037 -473.292505637479</f>
        <v>-821.96614782250299</v>
      </c>
      <c r="R3742" t="s">
        <v>75066</v>
      </c>
      <c r="S3742" t="s">
        <v>75067</v>
      </c>
      <c r="T3742" t="s">
        <v>75068</v>
      </c>
      <c r="U3742" t="s">
        <v>75069</v>
      </c>
      <c r="V3742" t="s">
        <v>75070</v>
      </c>
      <c r="W3742" t="s">
        <v>75071</v>
      </c>
      <c r="X3742" t="s">
        <v>75072</v>
      </c>
      <c r="Y3742" t="s">
        <v>75073</v>
      </c>
    </row>
    <row r="3743" spans="1:25" x14ac:dyDescent="0.3">
      <c r="A3743">
        <v>187100</v>
      </c>
      <c r="B3743" t="s">
        <v>75074</v>
      </c>
      <c r="C3743" t="s">
        <v>75075</v>
      </c>
      <c r="D3743" t="s">
        <v>75076</v>
      </c>
      <c r="E3743" t="s">
        <v>75077</v>
      </c>
      <c r="F3743" t="s">
        <v>75078</v>
      </c>
      <c r="G3743" t="s">
        <v>75079</v>
      </c>
      <c r="H3743" t="s">
        <v>75080</v>
      </c>
      <c r="I3743" t="s">
        <v>75081</v>
      </c>
      <c r="J3743" t="s">
        <v>75082</v>
      </c>
      <c r="K3743" t="s">
        <v>75083</v>
      </c>
      <c r="L3743" t="s">
        <v>75084</v>
      </c>
      <c r="M3743" t="s">
        <v>75085</v>
      </c>
      <c r="N3743" t="s">
        <v>75086</v>
      </c>
      <c r="O3743">
        <f>-561.319661028656 -103.995577944791 -743.252550812341</f>
        <v>-1408.5677897857881</v>
      </c>
      <c r="P3743">
        <f>-581.846912927452 -105.763440905227 -427.401695339736</f>
        <v>-1115.0120491724149</v>
      </c>
      <c r="Q3743">
        <f>-348.097774516869 -1.86535542275057 -474.397076315595</f>
        <v>-824.36020625521451</v>
      </c>
      <c r="R3743" t="s">
        <v>75087</v>
      </c>
      <c r="S3743" t="s">
        <v>75088</v>
      </c>
      <c r="T3743" t="s">
        <v>75089</v>
      </c>
      <c r="U3743" t="s">
        <v>75090</v>
      </c>
      <c r="V3743" t="s">
        <v>75091</v>
      </c>
      <c r="W3743" t="s">
        <v>75092</v>
      </c>
      <c r="X3743" t="s">
        <v>75093</v>
      </c>
      <c r="Y3743" t="s">
        <v>75094</v>
      </c>
    </row>
    <row r="3744" spans="1:25" x14ac:dyDescent="0.3">
      <c r="A3744">
        <v>187150</v>
      </c>
      <c r="B3744" t="s">
        <v>75095</v>
      </c>
      <c r="C3744" t="s">
        <v>75096</v>
      </c>
      <c r="D3744" t="s">
        <v>75097</v>
      </c>
      <c r="E3744" t="s">
        <v>75098</v>
      </c>
      <c r="F3744" t="s">
        <v>75099</v>
      </c>
      <c r="G3744" t="s">
        <v>75100</v>
      </c>
      <c r="H3744" t="s">
        <v>75101</v>
      </c>
      <c r="I3744" t="s">
        <v>75102</v>
      </c>
      <c r="J3744" t="s">
        <v>75103</v>
      </c>
      <c r="K3744" t="s">
        <v>75104</v>
      </c>
      <c r="L3744" t="s">
        <v>75105</v>
      </c>
      <c r="M3744" t="s">
        <v>75106</v>
      </c>
      <c r="N3744" t="s">
        <v>75107</v>
      </c>
      <c r="O3744">
        <f>-561.747376632642 -105.628165681958 -743.335448466943</f>
        <v>-1410.7109907815429</v>
      </c>
      <c r="P3744">
        <f>-581.646539110655 -106.9013198232 -427.442131523514</f>
        <v>-1115.989990457369</v>
      </c>
      <c r="Q3744">
        <f>-347.212261345404 -4.84482353831822 -475.056114078559</f>
        <v>-827.11319896228122</v>
      </c>
      <c r="R3744" t="s">
        <v>75108</v>
      </c>
      <c r="S3744" t="s">
        <v>75109</v>
      </c>
      <c r="T3744" t="s">
        <v>75110</v>
      </c>
      <c r="U3744" t="s">
        <v>75111</v>
      </c>
      <c r="V3744" t="s">
        <v>75112</v>
      </c>
      <c r="W3744" t="s">
        <v>75113</v>
      </c>
      <c r="X3744" t="s">
        <v>75114</v>
      </c>
      <c r="Y3744" t="s">
        <v>75115</v>
      </c>
    </row>
    <row r="3745" spans="1:25" x14ac:dyDescent="0.3">
      <c r="A3745">
        <v>187200</v>
      </c>
      <c r="B3745" t="s">
        <v>75116</v>
      </c>
      <c r="C3745" t="s">
        <v>75117</v>
      </c>
      <c r="D3745" t="s">
        <v>75118</v>
      </c>
      <c r="E3745" t="s">
        <v>75119</v>
      </c>
      <c r="F3745" t="s">
        <v>75120</v>
      </c>
      <c r="G3745" t="s">
        <v>75121</v>
      </c>
      <c r="H3745" t="s">
        <v>75122</v>
      </c>
      <c r="I3745" t="s">
        <v>75123</v>
      </c>
      <c r="J3745" t="s">
        <v>75124</v>
      </c>
      <c r="K3745" t="s">
        <v>75125</v>
      </c>
      <c r="L3745" t="s">
        <v>75126</v>
      </c>
      <c r="M3745" t="s">
        <v>75127</v>
      </c>
      <c r="N3745" t="s">
        <v>75128</v>
      </c>
      <c r="O3745">
        <f>-561.884891922133 -106.367157434126 -743.434417538435</f>
        <v>-1411.6864668946941</v>
      </c>
      <c r="P3745">
        <f>-581.787812721165 -106.867544972931 -427.539185591632</f>
        <v>-1116.1945432857281</v>
      </c>
      <c r="Q3745">
        <f>-347.117727626591 -5.536780529144 -475.540168984698</f>
        <v>-828.19467714043299</v>
      </c>
      <c r="R3745" t="s">
        <v>75129</v>
      </c>
      <c r="S3745" t="s">
        <v>75130</v>
      </c>
      <c r="T3745" t="s">
        <v>75131</v>
      </c>
      <c r="U3745" t="s">
        <v>75132</v>
      </c>
      <c r="V3745" t="s">
        <v>75133</v>
      </c>
      <c r="W3745" t="s">
        <v>75134</v>
      </c>
      <c r="X3745" t="s">
        <v>75135</v>
      </c>
      <c r="Y3745" t="s">
        <v>75136</v>
      </c>
    </row>
    <row r="3746" spans="1:25" x14ac:dyDescent="0.3">
      <c r="A3746">
        <v>187250</v>
      </c>
      <c r="B3746" t="s">
        <v>75137</v>
      </c>
      <c r="C3746" t="s">
        <v>75138</v>
      </c>
      <c r="D3746" t="s">
        <v>75139</v>
      </c>
      <c r="E3746" t="s">
        <v>75140</v>
      </c>
      <c r="F3746" t="s">
        <v>75141</v>
      </c>
      <c r="G3746" t="s">
        <v>75142</v>
      </c>
      <c r="H3746" t="s">
        <v>75143</v>
      </c>
      <c r="I3746" t="s">
        <v>75144</v>
      </c>
      <c r="J3746" t="s">
        <v>75145</v>
      </c>
      <c r="K3746" t="s">
        <v>75146</v>
      </c>
      <c r="L3746" t="s">
        <v>75147</v>
      </c>
      <c r="M3746" t="s">
        <v>75148</v>
      </c>
      <c r="N3746" t="s">
        <v>75149</v>
      </c>
      <c r="O3746">
        <f>-561.1193956462 -107.584695022805 -743.808127610045</f>
        <v>-1412.5122182790501</v>
      </c>
      <c r="P3746">
        <f>-583.226430321839 -107.232171701253 -428.059154077693</f>
        <v>-1118.5177561007849</v>
      </c>
      <c r="Q3746">
        <f>-347.265032510662 -5.93418994004021 -469.326581228969</f>
        <v>-822.5258036796713</v>
      </c>
      <c r="R3746" t="s">
        <v>75150</v>
      </c>
      <c r="S3746" t="s">
        <v>75151</v>
      </c>
      <c r="T3746" t="s">
        <v>75152</v>
      </c>
      <c r="U3746" t="s">
        <v>75153</v>
      </c>
      <c r="V3746" t="s">
        <v>75154</v>
      </c>
      <c r="W3746" t="s">
        <v>75155</v>
      </c>
      <c r="X3746" t="s">
        <v>75156</v>
      </c>
      <c r="Y3746" t="s">
        <v>75157</v>
      </c>
    </row>
    <row r="3747" spans="1:25" x14ac:dyDescent="0.3">
      <c r="A3747">
        <v>187300</v>
      </c>
      <c r="B3747" t="s">
        <v>75158</v>
      </c>
      <c r="C3747" t="s">
        <v>75159</v>
      </c>
      <c r="D3747" t="s">
        <v>75160</v>
      </c>
      <c r="E3747" t="s">
        <v>75161</v>
      </c>
      <c r="F3747" t="s">
        <v>75162</v>
      </c>
      <c r="G3747" t="s">
        <v>75163</v>
      </c>
      <c r="H3747" t="s">
        <v>75164</v>
      </c>
      <c r="I3747" t="s">
        <v>75165</v>
      </c>
      <c r="J3747" t="s">
        <v>75166</v>
      </c>
      <c r="K3747" t="s">
        <v>75167</v>
      </c>
      <c r="L3747" t="s">
        <v>75168</v>
      </c>
      <c r="M3747" t="s">
        <v>75169</v>
      </c>
      <c r="N3747" t="s">
        <v>75170</v>
      </c>
      <c r="O3747">
        <f>-560.571188656403 -108.085851699567 -744.04010667566</f>
        <v>-1412.69714703163</v>
      </c>
      <c r="P3747">
        <f>-584.888101332572 -107.143554293707 -428.454836084095</f>
        <v>-1120.4864917103739</v>
      </c>
      <c r="Q3747">
        <f>-348.902287813187 -4.19918978410961 -465.268385559468</f>
        <v>-818.36986315676461</v>
      </c>
      <c r="R3747" t="s">
        <v>75171</v>
      </c>
      <c r="S3747" t="s">
        <v>75172</v>
      </c>
      <c r="T3747" t="s">
        <v>75173</v>
      </c>
      <c r="U3747" t="s">
        <v>75174</v>
      </c>
      <c r="V3747" t="s">
        <v>75175</v>
      </c>
      <c r="W3747" t="s">
        <v>75176</v>
      </c>
      <c r="X3747" t="s">
        <v>75177</v>
      </c>
      <c r="Y3747" t="s">
        <v>75178</v>
      </c>
    </row>
    <row r="3748" spans="1:25" x14ac:dyDescent="0.3">
      <c r="A3748">
        <v>187350</v>
      </c>
      <c r="B3748" t="s">
        <v>75179</v>
      </c>
      <c r="C3748" t="s">
        <v>75180</v>
      </c>
      <c r="D3748" t="s">
        <v>75181</v>
      </c>
      <c r="E3748" t="s">
        <v>75182</v>
      </c>
      <c r="F3748" t="s">
        <v>75183</v>
      </c>
      <c r="G3748" t="s">
        <v>75184</v>
      </c>
      <c r="H3748" t="s">
        <v>75185</v>
      </c>
      <c r="I3748" t="s">
        <v>75186</v>
      </c>
      <c r="J3748" t="s">
        <v>75187</v>
      </c>
      <c r="K3748" t="s">
        <v>75188</v>
      </c>
      <c r="L3748" t="s">
        <v>75189</v>
      </c>
      <c r="M3748" t="s">
        <v>75190</v>
      </c>
      <c r="N3748" t="s">
        <v>75191</v>
      </c>
      <c r="O3748">
        <f>-559.107147504571 -109.5329614024 -744.193024022093</f>
        <v>-1412.833132929064</v>
      </c>
      <c r="P3748">
        <f>-584.320561690248 -106.70292060711 -428.689344520427</f>
        <v>-1119.7128268177851</v>
      </c>
      <c r="Q3748" t="s">
        <v>75192</v>
      </c>
      <c r="R3748" t="s">
        <v>75193</v>
      </c>
      <c r="S3748" t="s">
        <v>75194</v>
      </c>
      <c r="T3748" t="s">
        <v>75195</v>
      </c>
      <c r="U3748" t="s">
        <v>75196</v>
      </c>
      <c r="V3748" t="s">
        <v>75197</v>
      </c>
      <c r="W3748" t="s">
        <v>75198</v>
      </c>
      <c r="X3748" t="s">
        <v>75199</v>
      </c>
      <c r="Y3748" t="s">
        <v>75200</v>
      </c>
    </row>
    <row r="3749" spans="1:25" x14ac:dyDescent="0.3">
      <c r="A3749">
        <v>187400</v>
      </c>
      <c r="B3749" t="s">
        <v>75201</v>
      </c>
      <c r="C3749" t="s">
        <v>75202</v>
      </c>
      <c r="D3749" t="s">
        <v>75203</v>
      </c>
      <c r="E3749" t="s">
        <v>75204</v>
      </c>
      <c r="F3749" t="s">
        <v>75205</v>
      </c>
      <c r="G3749" t="s">
        <v>75206</v>
      </c>
      <c r="H3749" t="s">
        <v>75207</v>
      </c>
      <c r="I3749" t="s">
        <v>75208</v>
      </c>
      <c r="J3749" t="s">
        <v>75209</v>
      </c>
      <c r="K3749" t="s">
        <v>75210</v>
      </c>
      <c r="L3749" t="s">
        <v>75211</v>
      </c>
      <c r="M3749" t="s">
        <v>75212</v>
      </c>
      <c r="N3749" t="s">
        <v>75213</v>
      </c>
      <c r="O3749">
        <f>-559.542256871448 -110.016890861277 -744.350133443276</f>
        <v>-1413.9092811760011</v>
      </c>
      <c r="P3749">
        <f>-583.493109087789 -106.282971686644 -428.757710941707</f>
        <v>-1118.5337917161401</v>
      </c>
      <c r="Q3749" t="s">
        <v>75214</v>
      </c>
      <c r="R3749" t="s">
        <v>75215</v>
      </c>
      <c r="S3749" t="s">
        <v>75216</v>
      </c>
      <c r="T3749" t="s">
        <v>75217</v>
      </c>
      <c r="U3749" t="s">
        <v>75218</v>
      </c>
      <c r="V3749" t="s">
        <v>75219</v>
      </c>
      <c r="W3749" t="s">
        <v>75220</v>
      </c>
      <c r="X3749" t="s">
        <v>75221</v>
      </c>
      <c r="Y3749" t="s">
        <v>75222</v>
      </c>
    </row>
    <row r="3750" spans="1:25" x14ac:dyDescent="0.3">
      <c r="A3750">
        <v>187450</v>
      </c>
      <c r="B3750" t="s">
        <v>75223</v>
      </c>
      <c r="C3750" t="s">
        <v>75224</v>
      </c>
      <c r="D3750" t="s">
        <v>75225</v>
      </c>
      <c r="E3750" t="s">
        <v>75226</v>
      </c>
      <c r="F3750" t="s">
        <v>75227</v>
      </c>
      <c r="G3750" t="s">
        <v>75228</v>
      </c>
      <c r="H3750" t="s">
        <v>75229</v>
      </c>
      <c r="I3750" t="s">
        <v>75230</v>
      </c>
      <c r="J3750" t="s">
        <v>75231</v>
      </c>
      <c r="K3750" t="s">
        <v>75232</v>
      </c>
      <c r="L3750" t="s">
        <v>75233</v>
      </c>
      <c r="M3750" t="s">
        <v>75234</v>
      </c>
      <c r="N3750" t="s">
        <v>75235</v>
      </c>
      <c r="O3750">
        <f>-560.043801335224 -110.998859321513 -744.442302408149</f>
        <v>-1415.484963064886</v>
      </c>
      <c r="P3750">
        <f>-582.529460692594 -106.032789828013 -428.759003630989</f>
        <v>-1117.3212541515959</v>
      </c>
      <c r="Q3750" t="s">
        <v>75236</v>
      </c>
      <c r="R3750" t="s">
        <v>75237</v>
      </c>
      <c r="S3750" t="s">
        <v>75238</v>
      </c>
      <c r="T3750" t="s">
        <v>75239</v>
      </c>
      <c r="U3750" t="s">
        <v>75240</v>
      </c>
      <c r="V3750" t="s">
        <v>75241</v>
      </c>
      <c r="W3750" t="s">
        <v>75242</v>
      </c>
      <c r="X3750" t="s">
        <v>75243</v>
      </c>
      <c r="Y3750" t="s">
        <v>75244</v>
      </c>
    </row>
    <row r="3751" spans="1:25" x14ac:dyDescent="0.3">
      <c r="A3751">
        <v>187500</v>
      </c>
      <c r="B3751" t="s">
        <v>75245</v>
      </c>
      <c r="C3751" t="s">
        <v>75246</v>
      </c>
      <c r="D3751" t="s">
        <v>75247</v>
      </c>
      <c r="E3751" t="s">
        <v>75248</v>
      </c>
      <c r="F3751" t="s">
        <v>75249</v>
      </c>
      <c r="G3751" t="s">
        <v>75250</v>
      </c>
      <c r="H3751" t="s">
        <v>75251</v>
      </c>
      <c r="I3751" t="s">
        <v>75252</v>
      </c>
      <c r="J3751" t="s">
        <v>75253</v>
      </c>
      <c r="K3751" t="s">
        <v>75254</v>
      </c>
      <c r="L3751" t="s">
        <v>75255</v>
      </c>
      <c r="M3751" t="s">
        <v>75256</v>
      </c>
      <c r="N3751" t="s">
        <v>75257</v>
      </c>
      <c r="O3751">
        <f>-559.565642334875 -111.340549616424 -744.214615055747</f>
        <v>-1415.1208070070461</v>
      </c>
      <c r="P3751">
        <f>-583.171285927721 -108.398747082764 -428.587671285948</f>
        <v>-1120.1577042964329</v>
      </c>
      <c r="Q3751" t="s">
        <v>75258</v>
      </c>
      <c r="R3751" t="s">
        <v>75259</v>
      </c>
      <c r="S3751" t="s">
        <v>75260</v>
      </c>
      <c r="T3751" t="s">
        <v>75261</v>
      </c>
      <c r="U3751" t="s">
        <v>75262</v>
      </c>
      <c r="V3751" t="s">
        <v>75263</v>
      </c>
      <c r="W3751" t="s">
        <v>75264</v>
      </c>
      <c r="X3751" t="s">
        <v>75265</v>
      </c>
      <c r="Y3751" t="s">
        <v>75266</v>
      </c>
    </row>
    <row r="3752" spans="1:25" x14ac:dyDescent="0.3">
      <c r="A3752">
        <v>187550</v>
      </c>
      <c r="B3752" t="s">
        <v>75267</v>
      </c>
      <c r="C3752" t="s">
        <v>75268</v>
      </c>
      <c r="D3752" t="s">
        <v>75269</v>
      </c>
      <c r="E3752" t="s">
        <v>75270</v>
      </c>
      <c r="F3752" t="s">
        <v>75271</v>
      </c>
      <c r="G3752" t="s">
        <v>75272</v>
      </c>
      <c r="H3752" t="s">
        <v>75273</v>
      </c>
      <c r="I3752" t="s">
        <v>75274</v>
      </c>
      <c r="J3752" t="s">
        <v>75275</v>
      </c>
      <c r="K3752" t="s">
        <v>75276</v>
      </c>
      <c r="L3752" t="s">
        <v>75277</v>
      </c>
      <c r="M3752" t="s">
        <v>75278</v>
      </c>
      <c r="N3752" t="s">
        <v>75279</v>
      </c>
      <c r="O3752">
        <f>-558.975499528738 -111.275940926018 -744.160450124347</f>
        <v>-1414.4118905791029</v>
      </c>
      <c r="P3752">
        <f>-582.476683908547 -109.227018844807 -428.518658128043</f>
        <v>-1120.222360881397</v>
      </c>
      <c r="Q3752" t="s">
        <v>75280</v>
      </c>
      <c r="R3752" t="s">
        <v>75281</v>
      </c>
      <c r="S3752" t="s">
        <v>75282</v>
      </c>
      <c r="T3752" t="s">
        <v>75283</v>
      </c>
      <c r="U3752" t="s">
        <v>75284</v>
      </c>
      <c r="V3752" t="s">
        <v>75285</v>
      </c>
      <c r="W3752" t="s">
        <v>75286</v>
      </c>
      <c r="X3752" t="s">
        <v>75287</v>
      </c>
      <c r="Y3752" t="s">
        <v>75288</v>
      </c>
    </row>
    <row r="3753" spans="1:25" x14ac:dyDescent="0.3">
      <c r="A3753">
        <v>187600</v>
      </c>
      <c r="B3753" t="s">
        <v>75289</v>
      </c>
      <c r="C3753" t="s">
        <v>75290</v>
      </c>
      <c r="D3753" t="s">
        <v>75291</v>
      </c>
      <c r="E3753" t="s">
        <v>75292</v>
      </c>
      <c r="F3753" t="s">
        <v>75293</v>
      </c>
      <c r="G3753" t="s">
        <v>75294</v>
      </c>
      <c r="H3753" t="s">
        <v>75295</v>
      </c>
      <c r="I3753" t="s">
        <v>75296</v>
      </c>
      <c r="J3753" t="s">
        <v>75297</v>
      </c>
      <c r="K3753" t="s">
        <v>75298</v>
      </c>
      <c r="L3753" t="s">
        <v>75299</v>
      </c>
      <c r="M3753" t="s">
        <v>75300</v>
      </c>
      <c r="N3753" t="s">
        <v>75301</v>
      </c>
      <c r="O3753">
        <f>-558.578814989681 -111.296637822584 -743.933720031078</f>
        <v>-1413.8091728433428</v>
      </c>
      <c r="P3753">
        <f>-581.1288086728 -109.06836222773 -428.223856707626</f>
        <v>-1118.421027608156</v>
      </c>
      <c r="Q3753" t="s">
        <v>75302</v>
      </c>
      <c r="R3753" t="s">
        <v>75303</v>
      </c>
      <c r="S3753" t="s">
        <v>75304</v>
      </c>
      <c r="T3753" t="s">
        <v>75305</v>
      </c>
      <c r="U3753" t="s">
        <v>75306</v>
      </c>
      <c r="V3753" t="s">
        <v>75307</v>
      </c>
      <c r="W3753" t="s">
        <v>75308</v>
      </c>
      <c r="X3753" t="s">
        <v>75309</v>
      </c>
      <c r="Y3753" t="s">
        <v>75310</v>
      </c>
    </row>
    <row r="3754" spans="1:25" x14ac:dyDescent="0.3">
      <c r="A3754">
        <v>187650</v>
      </c>
      <c r="B3754" t="s">
        <v>75311</v>
      </c>
      <c r="C3754" t="s">
        <v>75312</v>
      </c>
      <c r="D3754" t="s">
        <v>75313</v>
      </c>
      <c r="E3754" t="s">
        <v>75314</v>
      </c>
      <c r="F3754" t="s">
        <v>75315</v>
      </c>
      <c r="G3754" t="s">
        <v>75316</v>
      </c>
      <c r="H3754" t="s">
        <v>75317</v>
      </c>
      <c r="I3754" t="s">
        <v>75318</v>
      </c>
      <c r="J3754" t="s">
        <v>75319</v>
      </c>
      <c r="K3754" t="s">
        <v>75320</v>
      </c>
      <c r="L3754" t="s">
        <v>75321</v>
      </c>
      <c r="M3754" t="s">
        <v>75322</v>
      </c>
      <c r="N3754" t="s">
        <v>75323</v>
      </c>
      <c r="O3754">
        <f>-557.382269053864 -112.168699661578 -743.43936995455</f>
        <v>-1412.9903386699921</v>
      </c>
      <c r="P3754">
        <f>-580.614279315343 -110.914020062089 -427.773665705823</f>
        <v>-1119.301965083255</v>
      </c>
      <c r="Q3754" t="s">
        <v>75324</v>
      </c>
      <c r="R3754" t="s">
        <v>75325</v>
      </c>
      <c r="S3754" t="s">
        <v>75326</v>
      </c>
      <c r="T3754" t="s">
        <v>75327</v>
      </c>
      <c r="U3754" t="s">
        <v>75328</v>
      </c>
      <c r="V3754" t="s">
        <v>75329</v>
      </c>
      <c r="W3754" t="s">
        <v>75330</v>
      </c>
      <c r="X3754" t="s">
        <v>75331</v>
      </c>
      <c r="Y3754" t="s">
        <v>75332</v>
      </c>
    </row>
    <row r="3755" spans="1:25" x14ac:dyDescent="0.3">
      <c r="A3755">
        <v>187700</v>
      </c>
      <c r="B3755" t="s">
        <v>75333</v>
      </c>
      <c r="C3755" t="s">
        <v>75334</v>
      </c>
      <c r="D3755" t="s">
        <v>75335</v>
      </c>
      <c r="E3755" t="s">
        <v>75336</v>
      </c>
      <c r="F3755" t="s">
        <v>75337</v>
      </c>
      <c r="G3755" t="s">
        <v>75338</v>
      </c>
      <c r="H3755" t="s">
        <v>75339</v>
      </c>
      <c r="I3755" t="s">
        <v>75340</v>
      </c>
      <c r="J3755" t="s">
        <v>75341</v>
      </c>
      <c r="K3755" t="s">
        <v>75342</v>
      </c>
      <c r="L3755" t="s">
        <v>75343</v>
      </c>
      <c r="M3755" t="s">
        <v>75344</v>
      </c>
      <c r="N3755" t="s">
        <v>75345</v>
      </c>
      <c r="O3755">
        <f>-556.775207655756 -112.405538822692 -743.320278961962</f>
        <v>-1412.5010254404101</v>
      </c>
      <c r="P3755">
        <f>-580.068084857055 -111.274770969768 -427.658586499333</f>
        <v>-1119.0014423261562</v>
      </c>
      <c r="Q3755" t="s">
        <v>75346</v>
      </c>
      <c r="R3755" t="s">
        <v>75347</v>
      </c>
      <c r="S3755" t="s">
        <v>75348</v>
      </c>
      <c r="T3755" t="s">
        <v>75349</v>
      </c>
      <c r="U3755" t="s">
        <v>75350</v>
      </c>
      <c r="V3755" t="s">
        <v>75351</v>
      </c>
      <c r="W3755" t="s">
        <v>75352</v>
      </c>
      <c r="X3755" t="s">
        <v>75353</v>
      </c>
      <c r="Y3755" t="s">
        <v>75354</v>
      </c>
    </row>
    <row r="3756" spans="1:25" x14ac:dyDescent="0.3">
      <c r="A3756">
        <v>187750</v>
      </c>
      <c r="B3756" t="s">
        <v>75355</v>
      </c>
      <c r="C3756" t="s">
        <v>75356</v>
      </c>
      <c r="D3756" t="s">
        <v>75357</v>
      </c>
      <c r="E3756" t="s">
        <v>75358</v>
      </c>
      <c r="F3756" t="s">
        <v>75359</v>
      </c>
      <c r="G3756" t="s">
        <v>75360</v>
      </c>
      <c r="H3756" t="s">
        <v>75361</v>
      </c>
      <c r="I3756" t="s">
        <v>75362</v>
      </c>
      <c r="J3756" t="s">
        <v>75363</v>
      </c>
      <c r="K3756" t="s">
        <v>75364</v>
      </c>
      <c r="L3756" t="s">
        <v>75365</v>
      </c>
      <c r="M3756" t="s">
        <v>75366</v>
      </c>
      <c r="N3756" t="s">
        <v>75367</v>
      </c>
      <c r="O3756">
        <f>-556.37486852721 -112.666255545249 -743.032835634135</f>
        <v>-1412.073959706594</v>
      </c>
      <c r="P3756">
        <f>-579.178500960537 -111.770906352337 -427.334718674272</f>
        <v>-1118.2841259871459</v>
      </c>
      <c r="Q3756" t="s">
        <v>75368</v>
      </c>
      <c r="R3756" t="s">
        <v>75369</v>
      </c>
      <c r="S3756" t="s">
        <v>75370</v>
      </c>
      <c r="T3756" t="s">
        <v>75371</v>
      </c>
      <c r="U3756" t="s">
        <v>75372</v>
      </c>
      <c r="V3756" t="s">
        <v>75373</v>
      </c>
      <c r="W3756" t="s">
        <v>75374</v>
      </c>
      <c r="X3756" t="s">
        <v>75375</v>
      </c>
      <c r="Y3756" t="s">
        <v>75376</v>
      </c>
    </row>
    <row r="3757" spans="1:25" x14ac:dyDescent="0.3">
      <c r="A3757">
        <v>187800</v>
      </c>
      <c r="B3757" t="s">
        <v>75377</v>
      </c>
      <c r="C3757" t="s">
        <v>75378</v>
      </c>
      <c r="D3757" t="s">
        <v>75379</v>
      </c>
      <c r="E3757" t="s">
        <v>75380</v>
      </c>
      <c r="F3757" t="s">
        <v>75381</v>
      </c>
      <c r="G3757" t="s">
        <v>75382</v>
      </c>
      <c r="H3757" t="s">
        <v>75383</v>
      </c>
      <c r="I3757" t="s">
        <v>75384</v>
      </c>
      <c r="J3757" t="s">
        <v>75385</v>
      </c>
      <c r="K3757" t="s">
        <v>75386</v>
      </c>
      <c r="L3757" t="s">
        <v>75387</v>
      </c>
      <c r="M3757" t="s">
        <v>75388</v>
      </c>
      <c r="N3757" t="s">
        <v>75389</v>
      </c>
      <c r="O3757">
        <f>-556.158276138424 -112.704456356353 -742.981679654757</f>
        <v>-1411.844412149534</v>
      </c>
      <c r="P3757">
        <f>-579.035425594347 -111.852868235069 -427.288600385904</f>
        <v>-1118.1768942153199</v>
      </c>
      <c r="Q3757" t="s">
        <v>75390</v>
      </c>
      <c r="R3757" t="s">
        <v>75391</v>
      </c>
      <c r="S3757" t="s">
        <v>75392</v>
      </c>
      <c r="T3757" t="s">
        <v>75393</v>
      </c>
      <c r="U3757" t="s">
        <v>75394</v>
      </c>
      <c r="V3757" t="s">
        <v>75395</v>
      </c>
      <c r="W3757" t="s">
        <v>75396</v>
      </c>
      <c r="X3757" t="s">
        <v>75397</v>
      </c>
      <c r="Y3757" t="s">
        <v>75398</v>
      </c>
    </row>
    <row r="3758" spans="1:25" x14ac:dyDescent="0.3">
      <c r="A3758">
        <v>187850</v>
      </c>
      <c r="B3758" t="s">
        <v>75399</v>
      </c>
      <c r="C3758" t="s">
        <v>75400</v>
      </c>
      <c r="D3758" t="s">
        <v>75401</v>
      </c>
      <c r="E3758" t="s">
        <v>75402</v>
      </c>
      <c r="F3758" t="s">
        <v>75403</v>
      </c>
      <c r="G3758" t="s">
        <v>75404</v>
      </c>
      <c r="H3758" t="s">
        <v>75405</v>
      </c>
      <c r="I3758" t="s">
        <v>75406</v>
      </c>
      <c r="J3758" t="s">
        <v>75407</v>
      </c>
      <c r="K3758" t="s">
        <v>75408</v>
      </c>
      <c r="L3758" t="s">
        <v>75409</v>
      </c>
      <c r="M3758" t="s">
        <v>75410</v>
      </c>
      <c r="N3758" t="s">
        <v>75411</v>
      </c>
      <c r="O3758">
        <f>-555.939355814525 -112.9287698711 -742.980432213257</f>
        <v>-1411.8485578988821</v>
      </c>
      <c r="P3758">
        <f>-578.170503967993 -112.553802612781 -427.240376594923</f>
        <v>-1117.964683175697</v>
      </c>
      <c r="Q3758" t="s">
        <v>75412</v>
      </c>
      <c r="R3758" t="s">
        <v>75413</v>
      </c>
      <c r="S3758" t="s">
        <v>75414</v>
      </c>
      <c r="T3758" t="s">
        <v>75415</v>
      </c>
      <c r="U3758" t="s">
        <v>75416</v>
      </c>
      <c r="V3758" t="s">
        <v>75417</v>
      </c>
      <c r="W3758" t="s">
        <v>75418</v>
      </c>
      <c r="X3758" t="s">
        <v>75419</v>
      </c>
      <c r="Y3758" t="s">
        <v>75420</v>
      </c>
    </row>
    <row r="3759" spans="1:25" x14ac:dyDescent="0.3">
      <c r="A3759">
        <v>187900</v>
      </c>
      <c r="B3759" t="s">
        <v>75421</v>
      </c>
      <c r="C3759" t="s">
        <v>75422</v>
      </c>
      <c r="D3759" t="s">
        <v>75423</v>
      </c>
      <c r="E3759" t="s">
        <v>75424</v>
      </c>
      <c r="F3759" t="s">
        <v>75425</v>
      </c>
      <c r="G3759" t="s">
        <v>75426</v>
      </c>
      <c r="H3759" t="s">
        <v>75427</v>
      </c>
      <c r="I3759" t="s">
        <v>75428</v>
      </c>
      <c r="J3759" t="s">
        <v>75429</v>
      </c>
      <c r="K3759" t="s">
        <v>75430</v>
      </c>
      <c r="L3759" t="s">
        <v>75431</v>
      </c>
      <c r="M3759" t="s">
        <v>75432</v>
      </c>
      <c r="N3759" t="s">
        <v>75433</v>
      </c>
      <c r="O3759">
        <f>-555.797283507356 -112.932795964778 -742.946566858574</f>
        <v>-1411.6766463307081</v>
      </c>
      <c r="P3759">
        <f>-578.173029832326 -112.441598417895 -427.216758537718</f>
        <v>-1117.831386787939</v>
      </c>
      <c r="Q3759" t="s">
        <v>75434</v>
      </c>
      <c r="R3759" t="s">
        <v>75435</v>
      </c>
      <c r="S3759" t="s">
        <v>75436</v>
      </c>
      <c r="T3759" t="s">
        <v>75437</v>
      </c>
      <c r="U3759" t="s">
        <v>75438</v>
      </c>
      <c r="V3759" t="s">
        <v>75439</v>
      </c>
      <c r="W3759" t="s">
        <v>75440</v>
      </c>
      <c r="X3759" t="s">
        <v>75441</v>
      </c>
      <c r="Y3759" t="s">
        <v>75442</v>
      </c>
    </row>
    <row r="3760" spans="1:25" x14ac:dyDescent="0.3">
      <c r="A3760">
        <v>187950</v>
      </c>
      <c r="B3760" t="s">
        <v>75443</v>
      </c>
      <c r="C3760" t="s">
        <v>75444</v>
      </c>
      <c r="D3760" t="s">
        <v>75445</v>
      </c>
      <c r="E3760" t="s">
        <v>75446</v>
      </c>
      <c r="F3760" t="s">
        <v>75447</v>
      </c>
      <c r="G3760" t="s">
        <v>75448</v>
      </c>
      <c r="H3760" t="s">
        <v>75449</v>
      </c>
      <c r="I3760" t="s">
        <v>75450</v>
      </c>
      <c r="J3760" t="s">
        <v>75451</v>
      </c>
      <c r="K3760" t="s">
        <v>75452</v>
      </c>
      <c r="L3760" t="s">
        <v>75453</v>
      </c>
      <c r="M3760" t="s">
        <v>75454</v>
      </c>
      <c r="N3760" t="s">
        <v>75455</v>
      </c>
      <c r="O3760">
        <f>-555.639863792014 -112.965336109738 -742.693104328021</f>
        <v>-1411.2983042297731</v>
      </c>
      <c r="P3760">
        <f>-578.313655949705 -111.785363208543 -426.98643489174</f>
        <v>-1117.0854540499879</v>
      </c>
      <c r="Q3760" t="s">
        <v>75456</v>
      </c>
      <c r="R3760" t="s">
        <v>75457</v>
      </c>
      <c r="S3760" t="s">
        <v>75458</v>
      </c>
      <c r="T3760" t="s">
        <v>75459</v>
      </c>
      <c r="U3760" t="s">
        <v>75460</v>
      </c>
      <c r="V3760" t="s">
        <v>75461</v>
      </c>
      <c r="W3760" t="s">
        <v>75462</v>
      </c>
      <c r="X3760" t="s">
        <v>75463</v>
      </c>
      <c r="Y3760" t="s">
        <v>75464</v>
      </c>
    </row>
    <row r="3761" spans="1:25" x14ac:dyDescent="0.3">
      <c r="A3761">
        <v>188000</v>
      </c>
      <c r="B3761" t="s">
        <v>75465</v>
      </c>
      <c r="C3761" t="s">
        <v>75466</v>
      </c>
      <c r="D3761" t="s">
        <v>75467</v>
      </c>
      <c r="E3761" t="s">
        <v>75468</v>
      </c>
      <c r="F3761" t="s">
        <v>75469</v>
      </c>
      <c r="G3761" t="s">
        <v>75470</v>
      </c>
      <c r="H3761" t="s">
        <v>75471</v>
      </c>
      <c r="I3761" t="s">
        <v>75472</v>
      </c>
      <c r="J3761" t="s">
        <v>75473</v>
      </c>
      <c r="K3761" t="s">
        <v>75474</v>
      </c>
      <c r="L3761" t="s">
        <v>75475</v>
      </c>
      <c r="M3761" t="s">
        <v>75476</v>
      </c>
      <c r="N3761" t="s">
        <v>75477</v>
      </c>
      <c r="O3761">
        <f>-555.93074894277 -112.98411780931 -742.429688759353</f>
        <v>-1411.3445555114331</v>
      </c>
      <c r="P3761">
        <f>-578.490938302129 -111.408046104648 -426.716620821947</f>
        <v>-1116.615605228724</v>
      </c>
      <c r="Q3761" t="s">
        <v>75478</v>
      </c>
      <c r="R3761" t="s">
        <v>75479</v>
      </c>
      <c r="S3761" t="s">
        <v>75480</v>
      </c>
      <c r="T3761" t="s">
        <v>75481</v>
      </c>
      <c r="U3761" t="s">
        <v>75482</v>
      </c>
      <c r="V3761" t="s">
        <v>75483</v>
      </c>
      <c r="W3761" t="s">
        <v>75484</v>
      </c>
      <c r="X3761" t="s">
        <v>75485</v>
      </c>
      <c r="Y3761" t="s">
        <v>75486</v>
      </c>
    </row>
    <row r="3762" spans="1:25" x14ac:dyDescent="0.3">
      <c r="A3762">
        <v>188050</v>
      </c>
      <c r="B3762" t="s">
        <v>75487</v>
      </c>
      <c r="C3762" t="s">
        <v>75488</v>
      </c>
      <c r="D3762" t="s">
        <v>75489</v>
      </c>
      <c r="E3762" t="s">
        <v>75490</v>
      </c>
      <c r="F3762" t="s">
        <v>75491</v>
      </c>
      <c r="G3762" t="s">
        <v>75492</v>
      </c>
      <c r="H3762" t="s">
        <v>75493</v>
      </c>
      <c r="I3762" t="s">
        <v>75494</v>
      </c>
      <c r="J3762" t="s">
        <v>75495</v>
      </c>
      <c r="K3762" t="s">
        <v>75496</v>
      </c>
      <c r="L3762" t="s">
        <v>75497</v>
      </c>
      <c r="M3762" t="s">
        <v>75498</v>
      </c>
      <c r="N3762" t="s">
        <v>75499</v>
      </c>
      <c r="O3762">
        <f>-556.280442629724 -113.129266996081 -741.725679715084</f>
        <v>-1411.1353893408891</v>
      </c>
      <c r="P3762">
        <f>-579.31490893583 -111.141500275564 -426.049219698366</f>
        <v>-1116.5056289097599</v>
      </c>
      <c r="Q3762" t="s">
        <v>75500</v>
      </c>
      <c r="R3762" t="s">
        <v>75501</v>
      </c>
      <c r="S3762" t="s">
        <v>75502</v>
      </c>
      <c r="T3762" t="s">
        <v>75503</v>
      </c>
      <c r="U3762" t="s">
        <v>75504</v>
      </c>
      <c r="V3762" t="s">
        <v>75505</v>
      </c>
      <c r="W3762" t="s">
        <v>75506</v>
      </c>
      <c r="X3762" t="s">
        <v>75507</v>
      </c>
      <c r="Y3762" t="s">
        <v>75508</v>
      </c>
    </row>
    <row r="3763" spans="1:25" x14ac:dyDescent="0.3">
      <c r="A3763">
        <v>188100</v>
      </c>
      <c r="B3763" t="s">
        <v>75509</v>
      </c>
      <c r="C3763" t="s">
        <v>75510</v>
      </c>
      <c r="D3763" t="s">
        <v>75511</v>
      </c>
      <c r="E3763" t="s">
        <v>75512</v>
      </c>
      <c r="F3763" t="s">
        <v>75513</v>
      </c>
      <c r="G3763" t="s">
        <v>75514</v>
      </c>
      <c r="H3763" t="s">
        <v>75515</v>
      </c>
      <c r="I3763" t="s">
        <v>75516</v>
      </c>
      <c r="J3763" t="s">
        <v>75517</v>
      </c>
      <c r="K3763" t="s">
        <v>75518</v>
      </c>
      <c r="L3763" t="s">
        <v>75519</v>
      </c>
      <c r="M3763" t="s">
        <v>75520</v>
      </c>
      <c r="N3763" t="s">
        <v>75521</v>
      </c>
      <c r="O3763">
        <f>-556.227224598908 -112.912063622091 -741.426900076521</f>
        <v>-1410.5661882975201</v>
      </c>
      <c r="P3763">
        <f>-579.167728253417 -110.721440120036 -425.744869058321</f>
        <v>-1115.634037431774</v>
      </c>
      <c r="Q3763" t="s">
        <v>75522</v>
      </c>
      <c r="R3763" t="s">
        <v>75523</v>
      </c>
      <c r="S3763" t="s">
        <v>75524</v>
      </c>
      <c r="T3763" t="s">
        <v>75525</v>
      </c>
      <c r="U3763" t="s">
        <v>75526</v>
      </c>
      <c r="V3763" t="s">
        <v>75527</v>
      </c>
      <c r="W3763" t="s">
        <v>75528</v>
      </c>
      <c r="X3763" t="s">
        <v>75529</v>
      </c>
      <c r="Y3763" t="s">
        <v>75530</v>
      </c>
    </row>
    <row r="3764" spans="1:25" x14ac:dyDescent="0.3">
      <c r="A3764">
        <v>188150</v>
      </c>
      <c r="B3764" t="s">
        <v>75531</v>
      </c>
      <c r="C3764" t="s">
        <v>75532</v>
      </c>
      <c r="D3764" t="s">
        <v>75533</v>
      </c>
      <c r="E3764" t="s">
        <v>75534</v>
      </c>
      <c r="F3764" t="s">
        <v>75535</v>
      </c>
      <c r="G3764" t="s">
        <v>75536</v>
      </c>
      <c r="H3764" t="s">
        <v>75537</v>
      </c>
      <c r="I3764" t="s">
        <v>75538</v>
      </c>
      <c r="J3764" t="s">
        <v>75539</v>
      </c>
      <c r="K3764" t="s">
        <v>75540</v>
      </c>
      <c r="L3764" t="s">
        <v>75541</v>
      </c>
      <c r="M3764" t="s">
        <v>75542</v>
      </c>
      <c r="N3764" t="s">
        <v>75543</v>
      </c>
      <c r="O3764">
        <f>-555.802691313541 -112.925010295047 -740.881950738061</f>
        <v>-1409.609652346649</v>
      </c>
      <c r="P3764">
        <f>-579.306189396556 -110.171896891056 -425.245905911131</f>
        <v>-1114.723992198743</v>
      </c>
      <c r="Q3764" t="s">
        <v>75544</v>
      </c>
      <c r="R3764" t="s">
        <v>75545</v>
      </c>
      <c r="S3764" t="s">
        <v>75546</v>
      </c>
      <c r="T3764" t="s">
        <v>75547</v>
      </c>
      <c r="U3764" t="s">
        <v>75548</v>
      </c>
      <c r="V3764" t="s">
        <v>75549</v>
      </c>
      <c r="W3764" t="s">
        <v>75550</v>
      </c>
      <c r="X3764" t="s">
        <v>75551</v>
      </c>
      <c r="Y3764" t="s">
        <v>75552</v>
      </c>
    </row>
    <row r="3765" spans="1:25" x14ac:dyDescent="0.3">
      <c r="A3765">
        <v>188200</v>
      </c>
      <c r="B3765" t="s">
        <v>75553</v>
      </c>
      <c r="C3765" t="s">
        <v>75554</v>
      </c>
      <c r="D3765" t="s">
        <v>75555</v>
      </c>
      <c r="E3765" t="s">
        <v>75556</v>
      </c>
      <c r="F3765" t="s">
        <v>75557</v>
      </c>
      <c r="G3765" t="s">
        <v>75558</v>
      </c>
      <c r="H3765" t="s">
        <v>75559</v>
      </c>
      <c r="I3765" t="s">
        <v>75560</v>
      </c>
      <c r="J3765" t="s">
        <v>75561</v>
      </c>
      <c r="K3765" t="s">
        <v>75562</v>
      </c>
      <c r="L3765" t="s">
        <v>75563</v>
      </c>
      <c r="M3765" t="s">
        <v>75564</v>
      </c>
      <c r="N3765" t="s">
        <v>75565</v>
      </c>
      <c r="O3765">
        <f>-555.676908305571 -112.895976393481 -740.724187204827</f>
        <v>-1409.297071903879</v>
      </c>
      <c r="P3765">
        <f>-578.872870438541 -109.94760666555 -425.06712291729</f>
        <v>-1113.8876000213809</v>
      </c>
      <c r="Q3765" t="s">
        <v>75566</v>
      </c>
      <c r="R3765" t="s">
        <v>75567</v>
      </c>
      <c r="S3765" t="s">
        <v>75568</v>
      </c>
      <c r="T3765" t="s">
        <v>75569</v>
      </c>
      <c r="U3765" t="s">
        <v>75570</v>
      </c>
      <c r="V3765" t="s">
        <v>75571</v>
      </c>
      <c r="W3765" t="s">
        <v>75572</v>
      </c>
      <c r="X3765" t="s">
        <v>75573</v>
      </c>
      <c r="Y3765" t="s">
        <v>75574</v>
      </c>
    </row>
    <row r="3766" spans="1:25" x14ac:dyDescent="0.3">
      <c r="A3766">
        <v>188250</v>
      </c>
      <c r="B3766" t="s">
        <v>75575</v>
      </c>
      <c r="C3766" t="s">
        <v>75576</v>
      </c>
      <c r="D3766" t="s">
        <v>75577</v>
      </c>
      <c r="E3766" t="s">
        <v>75578</v>
      </c>
      <c r="F3766" t="s">
        <v>75579</v>
      </c>
      <c r="G3766" t="s">
        <v>75580</v>
      </c>
      <c r="H3766" t="s">
        <v>75581</v>
      </c>
      <c r="I3766" t="s">
        <v>75582</v>
      </c>
      <c r="J3766" t="s">
        <v>75583</v>
      </c>
      <c r="K3766" t="s">
        <v>75584</v>
      </c>
      <c r="L3766" t="s">
        <v>75585</v>
      </c>
      <c r="M3766" t="s">
        <v>75586</v>
      </c>
      <c r="N3766" t="s">
        <v>75587</v>
      </c>
      <c r="O3766">
        <f>-555.858992675384 -113.651174891667 -740.610807324076</f>
        <v>-1410.1209748911269</v>
      </c>
      <c r="P3766">
        <f>-578.667639106652 -110.576071528356 -424.926629799813</f>
        <v>-1114.1703404348209</v>
      </c>
      <c r="Q3766" t="s">
        <v>75588</v>
      </c>
      <c r="R3766" t="s">
        <v>75589</v>
      </c>
      <c r="S3766" t="s">
        <v>75590</v>
      </c>
      <c r="T3766" t="s">
        <v>75591</v>
      </c>
      <c r="U3766" t="s">
        <v>75592</v>
      </c>
      <c r="V3766" t="s">
        <v>75593</v>
      </c>
      <c r="W3766" t="s">
        <v>75594</v>
      </c>
      <c r="X3766" t="s">
        <v>75595</v>
      </c>
      <c r="Y3766" t="s">
        <v>75596</v>
      </c>
    </row>
    <row r="3767" spans="1:25" x14ac:dyDescent="0.3">
      <c r="A3767">
        <v>188300</v>
      </c>
      <c r="B3767" t="s">
        <v>75597</v>
      </c>
      <c r="C3767" t="s">
        <v>75598</v>
      </c>
      <c r="D3767" t="s">
        <v>75599</v>
      </c>
      <c r="E3767" t="s">
        <v>75600</v>
      </c>
      <c r="F3767" t="s">
        <v>75601</v>
      </c>
      <c r="G3767" t="s">
        <v>75602</v>
      </c>
      <c r="H3767" t="s">
        <v>75603</v>
      </c>
      <c r="I3767" t="s">
        <v>75604</v>
      </c>
      <c r="J3767" t="s">
        <v>75605</v>
      </c>
      <c r="K3767" t="s">
        <v>75606</v>
      </c>
      <c r="L3767" t="s">
        <v>75607</v>
      </c>
      <c r="M3767" t="s">
        <v>75608</v>
      </c>
      <c r="N3767" t="s">
        <v>75609</v>
      </c>
      <c r="O3767">
        <f>-555.92505598904 -113.934170219134 -740.642276693841</f>
        <v>-1410.5015029020151</v>
      </c>
      <c r="P3767">
        <f>-578.373820352568 -111.167041311929 -424.929434005215</f>
        <v>-1114.470295669712</v>
      </c>
      <c r="Q3767" t="s">
        <v>75610</v>
      </c>
      <c r="R3767" t="s">
        <v>75611</v>
      </c>
      <c r="S3767" t="s">
        <v>75612</v>
      </c>
      <c r="T3767" t="s">
        <v>75613</v>
      </c>
      <c r="U3767" t="s">
        <v>75614</v>
      </c>
      <c r="V3767" t="s">
        <v>75615</v>
      </c>
      <c r="W3767" t="s">
        <v>75616</v>
      </c>
      <c r="X3767" t="s">
        <v>75617</v>
      </c>
      <c r="Y3767" t="s">
        <v>75618</v>
      </c>
    </row>
    <row r="3768" spans="1:25" x14ac:dyDescent="0.3">
      <c r="A3768">
        <v>188350</v>
      </c>
      <c r="B3768" t="s">
        <v>75619</v>
      </c>
      <c r="C3768" t="s">
        <v>75620</v>
      </c>
      <c r="D3768" t="s">
        <v>75621</v>
      </c>
      <c r="E3768" t="s">
        <v>75622</v>
      </c>
      <c r="F3768" t="s">
        <v>75623</v>
      </c>
      <c r="G3768" t="s">
        <v>75624</v>
      </c>
      <c r="H3768" t="s">
        <v>75625</v>
      </c>
      <c r="I3768" t="s">
        <v>75626</v>
      </c>
      <c r="J3768" t="s">
        <v>75627</v>
      </c>
      <c r="K3768" t="s">
        <v>75628</v>
      </c>
      <c r="L3768" t="s">
        <v>75629</v>
      </c>
      <c r="M3768" t="s">
        <v>75630</v>
      </c>
      <c r="N3768" t="s">
        <v>75631</v>
      </c>
      <c r="O3768">
        <f>-555.549721512921 -114.851639229825 -740.779489577698</f>
        <v>-1411.1808503204438</v>
      </c>
      <c r="P3768">
        <f>-577.932683879725 -111.817337006021 -425.064472159677</f>
        <v>-1114.814493045423</v>
      </c>
      <c r="Q3768" t="s">
        <v>75632</v>
      </c>
      <c r="R3768" t="s">
        <v>75633</v>
      </c>
      <c r="S3768" t="s">
        <v>75634</v>
      </c>
      <c r="T3768" t="s">
        <v>75635</v>
      </c>
      <c r="U3768" t="s">
        <v>75636</v>
      </c>
      <c r="V3768" t="s">
        <v>75637</v>
      </c>
      <c r="W3768" t="s">
        <v>75638</v>
      </c>
      <c r="X3768" t="s">
        <v>75639</v>
      </c>
      <c r="Y3768" t="s">
        <v>75640</v>
      </c>
    </row>
    <row r="3769" spans="1:25" x14ac:dyDescent="0.3">
      <c r="A3769">
        <v>188400</v>
      </c>
      <c r="B3769" t="s">
        <v>75641</v>
      </c>
      <c r="C3769" t="s">
        <v>75642</v>
      </c>
      <c r="D3769" t="s">
        <v>75643</v>
      </c>
      <c r="E3769" t="s">
        <v>75644</v>
      </c>
      <c r="F3769" t="s">
        <v>75645</v>
      </c>
      <c r="G3769" t="s">
        <v>75646</v>
      </c>
      <c r="H3769" t="s">
        <v>75647</v>
      </c>
      <c r="I3769" t="s">
        <v>75648</v>
      </c>
      <c r="J3769" t="s">
        <v>75649</v>
      </c>
      <c r="K3769" t="s">
        <v>75650</v>
      </c>
      <c r="L3769" t="s">
        <v>75651</v>
      </c>
      <c r="M3769" t="s">
        <v>75652</v>
      </c>
      <c r="N3769" t="s">
        <v>75653</v>
      </c>
      <c r="O3769">
        <f>-555.495892083333 -115.0297906304 -740.779709428175</f>
        <v>-1411.3053921419082</v>
      </c>
      <c r="P3769">
        <f>-577.915528965377 -111.897863278243 -425.068115198468</f>
        <v>-1114.8815074420879</v>
      </c>
      <c r="Q3769" t="s">
        <v>75654</v>
      </c>
      <c r="R3769" t="s">
        <v>75655</v>
      </c>
      <c r="S3769" t="s">
        <v>75656</v>
      </c>
      <c r="T3769" t="s">
        <v>75657</v>
      </c>
      <c r="U3769" t="s">
        <v>75658</v>
      </c>
      <c r="V3769" t="s">
        <v>75659</v>
      </c>
      <c r="W3769" t="s">
        <v>75660</v>
      </c>
      <c r="X3769" t="s">
        <v>75661</v>
      </c>
      <c r="Y3769" t="s">
        <v>75662</v>
      </c>
    </row>
    <row r="3770" spans="1:25" x14ac:dyDescent="0.3">
      <c r="A3770">
        <v>188450</v>
      </c>
      <c r="B3770" t="s">
        <v>75663</v>
      </c>
      <c r="C3770" t="s">
        <v>75664</v>
      </c>
      <c r="D3770" t="s">
        <v>75665</v>
      </c>
      <c r="E3770" t="s">
        <v>75666</v>
      </c>
      <c r="F3770" t="s">
        <v>75667</v>
      </c>
      <c r="G3770" t="s">
        <v>75668</v>
      </c>
      <c r="H3770" t="s">
        <v>75669</v>
      </c>
      <c r="I3770" t="s">
        <v>75670</v>
      </c>
      <c r="J3770" t="s">
        <v>75671</v>
      </c>
      <c r="K3770" t="s">
        <v>75672</v>
      </c>
      <c r="L3770" t="s">
        <v>75673</v>
      </c>
      <c r="M3770" t="s">
        <v>75674</v>
      </c>
      <c r="N3770" t="s">
        <v>75675</v>
      </c>
      <c r="O3770">
        <f>-555.973617521972 -115.956722808994 -740.64264313084</f>
        <v>-1412.572983461806</v>
      </c>
      <c r="P3770">
        <f>-578.023334447671 -112.599224725075 -424.907451181738</f>
        <v>-1115.5300103544841</v>
      </c>
      <c r="Q3770" t="s">
        <v>75676</v>
      </c>
      <c r="R3770" t="s">
        <v>75677</v>
      </c>
      <c r="S3770" t="s">
        <v>75678</v>
      </c>
      <c r="T3770" t="s">
        <v>75679</v>
      </c>
      <c r="U3770" t="s">
        <v>75680</v>
      </c>
      <c r="V3770" t="s">
        <v>75681</v>
      </c>
      <c r="W3770" t="s">
        <v>75682</v>
      </c>
      <c r="X3770" t="s">
        <v>75683</v>
      </c>
      <c r="Y3770" t="s">
        <v>75684</v>
      </c>
    </row>
    <row r="3771" spans="1:25" x14ac:dyDescent="0.3">
      <c r="A3771">
        <v>188500</v>
      </c>
      <c r="B3771" t="s">
        <v>75685</v>
      </c>
      <c r="C3771" t="s">
        <v>75686</v>
      </c>
      <c r="D3771" t="s">
        <v>75687</v>
      </c>
      <c r="E3771" t="s">
        <v>75688</v>
      </c>
      <c r="F3771" t="s">
        <v>75689</v>
      </c>
      <c r="G3771" t="s">
        <v>75690</v>
      </c>
      <c r="H3771" t="s">
        <v>75691</v>
      </c>
      <c r="I3771" t="s">
        <v>75692</v>
      </c>
      <c r="J3771" t="s">
        <v>75693</v>
      </c>
      <c r="K3771" t="s">
        <v>75694</v>
      </c>
      <c r="L3771" t="s">
        <v>75695</v>
      </c>
      <c r="M3771" t="s">
        <v>75696</v>
      </c>
      <c r="N3771" t="s">
        <v>75697</v>
      </c>
      <c r="O3771">
        <f>-556.007319299157 -116.227044258927 -740.447684828786</f>
        <v>-1412.6820483868701</v>
      </c>
      <c r="P3771">
        <f>-578.025050134224 -112.830119193808 -424.71054107431</f>
        <v>-1115.5657104023419</v>
      </c>
      <c r="Q3771" t="s">
        <v>75698</v>
      </c>
      <c r="R3771" t="s">
        <v>75699</v>
      </c>
      <c r="S3771" t="s">
        <v>75700</v>
      </c>
      <c r="T3771" t="s">
        <v>75701</v>
      </c>
      <c r="U3771" t="s">
        <v>75702</v>
      </c>
      <c r="V3771" t="s">
        <v>75703</v>
      </c>
      <c r="W3771" t="s">
        <v>75704</v>
      </c>
      <c r="X3771" t="s">
        <v>75705</v>
      </c>
      <c r="Y3771" t="s">
        <v>75706</v>
      </c>
    </row>
    <row r="3772" spans="1:25" x14ac:dyDescent="0.3">
      <c r="A3772">
        <v>188550</v>
      </c>
      <c r="B3772" t="s">
        <v>75707</v>
      </c>
      <c r="C3772" t="s">
        <v>75708</v>
      </c>
      <c r="D3772" t="s">
        <v>75709</v>
      </c>
      <c r="E3772" t="s">
        <v>75710</v>
      </c>
      <c r="F3772" t="s">
        <v>75711</v>
      </c>
      <c r="G3772" t="s">
        <v>75712</v>
      </c>
      <c r="H3772" t="s">
        <v>75713</v>
      </c>
      <c r="I3772" t="s">
        <v>75714</v>
      </c>
      <c r="J3772" t="s">
        <v>75715</v>
      </c>
      <c r="K3772" t="s">
        <v>75716</v>
      </c>
      <c r="L3772" t="s">
        <v>75717</v>
      </c>
      <c r="M3772" t="s">
        <v>75718</v>
      </c>
      <c r="N3772" t="s">
        <v>75719</v>
      </c>
      <c r="O3772">
        <f>-556.106984064546 -116.304012946014 -740.159107393003</f>
        <v>-1412.5701044035632</v>
      </c>
      <c r="P3772">
        <f>-578.395502292018 -112.647748935468 -424.444002010427</f>
        <v>-1115.4872532379131</v>
      </c>
      <c r="Q3772" t="s">
        <v>75720</v>
      </c>
      <c r="R3772" t="s">
        <v>75721</v>
      </c>
      <c r="S3772" t="s">
        <v>75722</v>
      </c>
      <c r="T3772" t="s">
        <v>75723</v>
      </c>
      <c r="U3772" t="s">
        <v>75724</v>
      </c>
      <c r="V3772" t="s">
        <v>75725</v>
      </c>
      <c r="W3772" t="s">
        <v>75726</v>
      </c>
      <c r="X3772" t="s">
        <v>75727</v>
      </c>
      <c r="Y3772" t="s">
        <v>75728</v>
      </c>
    </row>
    <row r="3773" spans="1:25" x14ac:dyDescent="0.3">
      <c r="A3773">
        <v>188600</v>
      </c>
      <c r="B3773" t="s">
        <v>75729</v>
      </c>
      <c r="C3773" t="s">
        <v>75730</v>
      </c>
      <c r="D3773" t="s">
        <v>75731</v>
      </c>
      <c r="E3773" t="s">
        <v>75732</v>
      </c>
      <c r="F3773" t="s">
        <v>75733</v>
      </c>
      <c r="G3773" t="s">
        <v>75734</v>
      </c>
      <c r="H3773" t="s">
        <v>75735</v>
      </c>
      <c r="I3773" t="s">
        <v>75736</v>
      </c>
      <c r="J3773" t="s">
        <v>75737</v>
      </c>
      <c r="K3773" t="s">
        <v>75738</v>
      </c>
      <c r="L3773" t="s">
        <v>75739</v>
      </c>
      <c r="M3773" t="s">
        <v>75740</v>
      </c>
      <c r="N3773" t="s">
        <v>75741</v>
      </c>
      <c r="O3773">
        <f>-556.098893773313 -116.372862156833 -740.066073457504</f>
        <v>-1412.5378293876499</v>
      </c>
      <c r="P3773">
        <f>-578.403512788561 -112.602701771175 -424.353430297596</f>
        <v>-1115.3596448573321</v>
      </c>
      <c r="Q3773" t="s">
        <v>75742</v>
      </c>
      <c r="R3773" t="s">
        <v>75743</v>
      </c>
      <c r="S3773" t="s">
        <v>75744</v>
      </c>
      <c r="T3773" t="s">
        <v>75745</v>
      </c>
      <c r="U3773" t="s">
        <v>75746</v>
      </c>
      <c r="V3773" t="s">
        <v>75747</v>
      </c>
      <c r="W3773" t="s">
        <v>75748</v>
      </c>
      <c r="X3773" t="s">
        <v>75749</v>
      </c>
      <c r="Y3773" t="s">
        <v>75750</v>
      </c>
    </row>
    <row r="3774" spans="1:25" x14ac:dyDescent="0.3">
      <c r="A3774">
        <v>188650</v>
      </c>
      <c r="B3774" t="s">
        <v>75751</v>
      </c>
      <c r="C3774" t="s">
        <v>75752</v>
      </c>
      <c r="D3774" t="s">
        <v>75753</v>
      </c>
      <c r="E3774" t="s">
        <v>75754</v>
      </c>
      <c r="F3774" t="s">
        <v>75755</v>
      </c>
      <c r="G3774" t="s">
        <v>75756</v>
      </c>
      <c r="H3774" t="s">
        <v>75757</v>
      </c>
      <c r="I3774" t="s">
        <v>75758</v>
      </c>
      <c r="J3774" t="s">
        <v>75759</v>
      </c>
      <c r="K3774" t="s">
        <v>75760</v>
      </c>
      <c r="L3774" t="s">
        <v>75761</v>
      </c>
      <c r="M3774" t="s">
        <v>75762</v>
      </c>
      <c r="N3774" t="s">
        <v>75763</v>
      </c>
      <c r="O3774">
        <f>-556.574825850558 -117.171773115204 -739.777635939013</f>
        <v>-1413.5242349047749</v>
      </c>
      <c r="P3774">
        <f>-578.453718878772 -113.454763927621 -424.034463763846</f>
        <v>-1115.942946570239</v>
      </c>
      <c r="Q3774" t="s">
        <v>75764</v>
      </c>
      <c r="R3774" t="s">
        <v>75765</v>
      </c>
      <c r="S3774" t="s">
        <v>75766</v>
      </c>
      <c r="T3774" t="s">
        <v>75767</v>
      </c>
      <c r="U3774" t="s">
        <v>75768</v>
      </c>
      <c r="V3774" t="s">
        <v>75769</v>
      </c>
      <c r="W3774" t="s">
        <v>75770</v>
      </c>
      <c r="X3774" t="s">
        <v>75771</v>
      </c>
      <c r="Y3774" t="s">
        <v>75772</v>
      </c>
    </row>
    <row r="3775" spans="1:25" x14ac:dyDescent="0.3">
      <c r="A3775">
        <v>188700</v>
      </c>
      <c r="B3775" t="s">
        <v>75773</v>
      </c>
      <c r="C3775" t="s">
        <v>75774</v>
      </c>
      <c r="D3775" t="s">
        <v>75775</v>
      </c>
      <c r="E3775" t="s">
        <v>75776</v>
      </c>
      <c r="F3775" t="s">
        <v>75777</v>
      </c>
      <c r="G3775" t="s">
        <v>75778</v>
      </c>
      <c r="H3775" t="s">
        <v>75779</v>
      </c>
      <c r="I3775" t="s">
        <v>75780</v>
      </c>
      <c r="J3775" t="s">
        <v>75781</v>
      </c>
      <c r="K3775" t="s">
        <v>75782</v>
      </c>
      <c r="L3775" t="s">
        <v>75783</v>
      </c>
      <c r="M3775" t="s">
        <v>75784</v>
      </c>
      <c r="N3775" t="s">
        <v>75785</v>
      </c>
      <c r="O3775">
        <f>-556.742597856187 -117.107705498776 -739.665573818997</f>
        <v>-1413.51587717396</v>
      </c>
      <c r="P3775">
        <f>-578.320643580094 -113.389665016434 -423.901782974921</f>
        <v>-1115.6120915714491</v>
      </c>
      <c r="Q3775" t="s">
        <v>75786</v>
      </c>
      <c r="R3775" t="s">
        <v>75787</v>
      </c>
      <c r="S3775" t="s">
        <v>75788</v>
      </c>
      <c r="T3775" t="s">
        <v>75789</v>
      </c>
      <c r="U3775" t="s">
        <v>75790</v>
      </c>
      <c r="V3775" t="s">
        <v>75791</v>
      </c>
      <c r="W3775" t="s">
        <v>75792</v>
      </c>
      <c r="X3775" t="s">
        <v>75793</v>
      </c>
      <c r="Y3775" t="s">
        <v>75794</v>
      </c>
    </row>
    <row r="3776" spans="1:25" x14ac:dyDescent="0.3">
      <c r="A3776">
        <v>188750</v>
      </c>
      <c r="B3776" t="s">
        <v>75795</v>
      </c>
      <c r="C3776" t="s">
        <v>75796</v>
      </c>
      <c r="D3776" t="s">
        <v>75797</v>
      </c>
      <c r="E3776" t="s">
        <v>75798</v>
      </c>
      <c r="F3776" t="s">
        <v>75799</v>
      </c>
      <c r="G3776" t="s">
        <v>75800</v>
      </c>
      <c r="H3776" t="s">
        <v>75801</v>
      </c>
      <c r="I3776" t="s">
        <v>75802</v>
      </c>
      <c r="J3776" t="s">
        <v>75803</v>
      </c>
      <c r="K3776" t="s">
        <v>75804</v>
      </c>
      <c r="L3776" t="s">
        <v>75805</v>
      </c>
      <c r="M3776" t="s">
        <v>75806</v>
      </c>
      <c r="N3776" t="s">
        <v>75807</v>
      </c>
      <c r="O3776">
        <f>-556.64855915629 -117.488630876802 -739.536157564888</f>
        <v>-1413.67334759798</v>
      </c>
      <c r="P3776">
        <f>-577.935627749259 -113.82506763779 -423.752002976258</f>
        <v>-1115.512698363307</v>
      </c>
      <c r="Q3776" t="s">
        <v>75808</v>
      </c>
      <c r="R3776" t="s">
        <v>75809</v>
      </c>
      <c r="S3776" t="s">
        <v>75810</v>
      </c>
      <c r="T3776" t="s">
        <v>75811</v>
      </c>
      <c r="U3776" t="s">
        <v>75812</v>
      </c>
      <c r="V3776" t="s">
        <v>75813</v>
      </c>
      <c r="W3776" t="s">
        <v>75814</v>
      </c>
      <c r="X3776" t="s">
        <v>75815</v>
      </c>
      <c r="Y3776" t="s">
        <v>75816</v>
      </c>
    </row>
    <row r="3777" spans="1:25" x14ac:dyDescent="0.3">
      <c r="A3777">
        <v>188800</v>
      </c>
      <c r="B3777" t="s">
        <v>75817</v>
      </c>
      <c r="C3777" t="s">
        <v>75818</v>
      </c>
      <c r="D3777" t="s">
        <v>75819</v>
      </c>
      <c r="E3777" t="s">
        <v>75820</v>
      </c>
      <c r="F3777" t="s">
        <v>75821</v>
      </c>
      <c r="G3777" t="s">
        <v>75822</v>
      </c>
      <c r="H3777" t="s">
        <v>75823</v>
      </c>
      <c r="I3777" t="s">
        <v>75824</v>
      </c>
      <c r="J3777" t="s">
        <v>75825</v>
      </c>
      <c r="K3777" t="s">
        <v>75826</v>
      </c>
      <c r="L3777" t="s">
        <v>75827</v>
      </c>
      <c r="M3777" t="s">
        <v>75828</v>
      </c>
      <c r="N3777" t="s">
        <v>75829</v>
      </c>
      <c r="O3777">
        <f>-556.671017379055 -117.886319704861 -739.464573777835</f>
        <v>-1414.0219108617509</v>
      </c>
      <c r="P3777">
        <f>-577.915173622359 -114.173673661987 -423.678107445063</f>
        <v>-1115.766954729409</v>
      </c>
      <c r="Q3777" t="s">
        <v>75830</v>
      </c>
      <c r="R3777" t="s">
        <v>75831</v>
      </c>
      <c r="S3777" t="s">
        <v>75832</v>
      </c>
      <c r="T3777" t="s">
        <v>75833</v>
      </c>
      <c r="U3777" t="s">
        <v>75834</v>
      </c>
      <c r="V3777" t="s">
        <v>75835</v>
      </c>
      <c r="W3777" t="s">
        <v>75836</v>
      </c>
      <c r="X3777" t="s">
        <v>75837</v>
      </c>
      <c r="Y3777" t="s">
        <v>75838</v>
      </c>
    </row>
    <row r="3778" spans="1:25" x14ac:dyDescent="0.3">
      <c r="A3778">
        <v>188850</v>
      </c>
      <c r="B3778" t="s">
        <v>75839</v>
      </c>
      <c r="C3778" t="s">
        <v>75840</v>
      </c>
      <c r="D3778" t="s">
        <v>75841</v>
      </c>
      <c r="E3778" t="s">
        <v>75842</v>
      </c>
      <c r="F3778" t="s">
        <v>75843</v>
      </c>
      <c r="G3778" t="s">
        <v>75844</v>
      </c>
      <c r="H3778" t="s">
        <v>75845</v>
      </c>
      <c r="I3778" t="s">
        <v>75846</v>
      </c>
      <c r="J3778" t="s">
        <v>75847</v>
      </c>
      <c r="K3778" t="s">
        <v>75848</v>
      </c>
      <c r="L3778" t="s">
        <v>75849</v>
      </c>
      <c r="M3778" t="s">
        <v>75850</v>
      </c>
      <c r="N3778" t="s">
        <v>75851</v>
      </c>
      <c r="O3778">
        <f>-556.386541678849 -117.98447874792 -739.405529053446</f>
        <v>-1413.776549480215</v>
      </c>
      <c r="P3778">
        <f>-577.608318833038 -114.33533265158 -423.616828353825</f>
        <v>-1115.5604798384429</v>
      </c>
      <c r="Q3778" t="s">
        <v>75852</v>
      </c>
      <c r="R3778" t="s">
        <v>75853</v>
      </c>
      <c r="S3778" t="s">
        <v>75854</v>
      </c>
      <c r="T3778" t="s">
        <v>75855</v>
      </c>
      <c r="U3778" t="s">
        <v>75856</v>
      </c>
      <c r="V3778" t="s">
        <v>75857</v>
      </c>
      <c r="W3778" t="s">
        <v>75858</v>
      </c>
      <c r="X3778" t="s">
        <v>75859</v>
      </c>
      <c r="Y3778" t="s">
        <v>75860</v>
      </c>
    </row>
    <row r="3779" spans="1:25" x14ac:dyDescent="0.3">
      <c r="A3779">
        <v>188900</v>
      </c>
      <c r="B3779" t="s">
        <v>75861</v>
      </c>
      <c r="C3779" t="s">
        <v>75862</v>
      </c>
      <c r="D3779" t="s">
        <v>75863</v>
      </c>
      <c r="E3779" t="s">
        <v>75864</v>
      </c>
      <c r="F3779" t="s">
        <v>75865</v>
      </c>
      <c r="G3779" t="s">
        <v>75866</v>
      </c>
      <c r="H3779" t="s">
        <v>75867</v>
      </c>
      <c r="I3779" t="s">
        <v>75868</v>
      </c>
      <c r="J3779" t="s">
        <v>75869</v>
      </c>
      <c r="K3779" t="s">
        <v>75870</v>
      </c>
      <c r="L3779" t="s">
        <v>75871</v>
      </c>
      <c r="M3779" t="s">
        <v>75872</v>
      </c>
      <c r="N3779" t="s">
        <v>75873</v>
      </c>
      <c r="O3779">
        <f>-556.220735896378 -117.995041698272 -739.347775013172</f>
        <v>-1413.563552607822</v>
      </c>
      <c r="P3779">
        <f>-577.38264006982 -114.298169939644 -423.55561154885</f>
        <v>-1115.2364215583141</v>
      </c>
      <c r="Q3779" t="s">
        <v>75874</v>
      </c>
      <c r="R3779" t="s">
        <v>75875</v>
      </c>
      <c r="S3779" t="s">
        <v>75876</v>
      </c>
      <c r="T3779" t="s">
        <v>75877</v>
      </c>
      <c r="U3779" t="s">
        <v>75878</v>
      </c>
      <c r="V3779" t="s">
        <v>75879</v>
      </c>
      <c r="W3779" t="s">
        <v>75880</v>
      </c>
      <c r="X3779" t="s">
        <v>75881</v>
      </c>
      <c r="Y3779" t="s">
        <v>75882</v>
      </c>
    </row>
    <row r="3780" spans="1:25" x14ac:dyDescent="0.3">
      <c r="A3780">
        <v>188950</v>
      </c>
      <c r="B3780" t="s">
        <v>75883</v>
      </c>
      <c r="C3780" t="s">
        <v>75884</v>
      </c>
      <c r="D3780" t="s">
        <v>75885</v>
      </c>
      <c r="E3780" t="s">
        <v>75886</v>
      </c>
      <c r="F3780" t="s">
        <v>75887</v>
      </c>
      <c r="G3780" t="s">
        <v>75888</v>
      </c>
      <c r="H3780" t="s">
        <v>75889</v>
      </c>
      <c r="I3780" t="s">
        <v>75890</v>
      </c>
      <c r="J3780" t="s">
        <v>75891</v>
      </c>
      <c r="K3780" t="s">
        <v>75892</v>
      </c>
      <c r="L3780" t="s">
        <v>75893</v>
      </c>
      <c r="M3780" t="s">
        <v>75894</v>
      </c>
      <c r="N3780" t="s">
        <v>75895</v>
      </c>
      <c r="O3780">
        <f>-555.911557160899 -118.140295275468 -739.20303916249</f>
        <v>-1413.2548915988568</v>
      </c>
      <c r="P3780">
        <f>-577.061861530267 -114.606257669929 -423.408161151285</f>
        <v>-1115.076280351481</v>
      </c>
      <c r="Q3780">
        <f>-350.08760610968 -0.0456547494685466 -478.18585445215</f>
        <v>-828.31911531129856</v>
      </c>
      <c r="R3780" t="s">
        <v>75896</v>
      </c>
      <c r="S3780" t="s">
        <v>75897</v>
      </c>
      <c r="T3780" t="s">
        <v>75898</v>
      </c>
      <c r="U3780" t="s">
        <v>75899</v>
      </c>
      <c r="V3780" t="s">
        <v>75900</v>
      </c>
      <c r="W3780" t="s">
        <v>75901</v>
      </c>
      <c r="X3780" t="s">
        <v>75902</v>
      </c>
      <c r="Y3780" t="s">
        <v>75903</v>
      </c>
    </row>
    <row r="3781" spans="1:25" x14ac:dyDescent="0.3">
      <c r="A3781">
        <v>189000</v>
      </c>
      <c r="B3781" t="s">
        <v>75904</v>
      </c>
      <c r="C3781" t="s">
        <v>75905</v>
      </c>
      <c r="D3781" t="s">
        <v>75906</v>
      </c>
      <c r="E3781" t="s">
        <v>75907</v>
      </c>
      <c r="F3781" t="s">
        <v>75908</v>
      </c>
      <c r="G3781" t="s">
        <v>75909</v>
      </c>
      <c r="H3781" t="s">
        <v>75910</v>
      </c>
      <c r="I3781" t="s">
        <v>75911</v>
      </c>
      <c r="J3781" t="s">
        <v>75912</v>
      </c>
      <c r="K3781" t="s">
        <v>75913</v>
      </c>
      <c r="L3781" t="s">
        <v>75914</v>
      </c>
      <c r="M3781" t="s">
        <v>75915</v>
      </c>
      <c r="N3781" t="s">
        <v>75916</v>
      </c>
      <c r="O3781">
        <f>-555.680424791392 -118.138672559471 -739.169124795728</f>
        <v>-1412.9882221465909</v>
      </c>
      <c r="P3781">
        <f>-576.792828973459 -114.555407435852 -423.372374341594</f>
        <v>-1114.7206107509051</v>
      </c>
      <c r="Q3781" t="s">
        <v>75917</v>
      </c>
      <c r="R3781" t="s">
        <v>75918</v>
      </c>
      <c r="S3781" t="s">
        <v>75919</v>
      </c>
      <c r="T3781" t="s">
        <v>75920</v>
      </c>
      <c r="U3781" t="s">
        <v>75921</v>
      </c>
      <c r="V3781" t="s">
        <v>75922</v>
      </c>
      <c r="W3781" t="s">
        <v>75923</v>
      </c>
      <c r="X3781" t="s">
        <v>75924</v>
      </c>
      <c r="Y3781" t="s">
        <v>75925</v>
      </c>
    </row>
    <row r="3782" spans="1:25" x14ac:dyDescent="0.3">
      <c r="A3782">
        <v>189050</v>
      </c>
      <c r="B3782" t="s">
        <v>75926</v>
      </c>
      <c r="C3782" t="s">
        <v>75927</v>
      </c>
      <c r="D3782" t="s">
        <v>75928</v>
      </c>
      <c r="E3782" t="s">
        <v>75929</v>
      </c>
      <c r="F3782" t="s">
        <v>75930</v>
      </c>
      <c r="G3782" t="s">
        <v>75931</v>
      </c>
      <c r="H3782" t="s">
        <v>75932</v>
      </c>
      <c r="I3782" t="s">
        <v>75933</v>
      </c>
      <c r="J3782" t="s">
        <v>75934</v>
      </c>
      <c r="K3782" t="s">
        <v>75935</v>
      </c>
      <c r="L3782" t="s">
        <v>75936</v>
      </c>
      <c r="M3782" t="s">
        <v>75937</v>
      </c>
      <c r="N3782" t="s">
        <v>75938</v>
      </c>
      <c r="O3782">
        <f>-555.159867902666 -118.166998017057 -739.136039856875</f>
        <v>-1412.4629057765978</v>
      </c>
      <c r="P3782">
        <f>-576.295689895734 -114.385291675109 -423.34307115198</f>
        <v>-1114.0240527228229</v>
      </c>
      <c r="Q3782" t="s">
        <v>75939</v>
      </c>
      <c r="R3782" t="s">
        <v>75940</v>
      </c>
      <c r="S3782" t="s">
        <v>75941</v>
      </c>
      <c r="T3782" t="s">
        <v>75942</v>
      </c>
      <c r="U3782" t="s">
        <v>75943</v>
      </c>
      <c r="V3782" t="s">
        <v>75944</v>
      </c>
      <c r="W3782" t="s">
        <v>75945</v>
      </c>
      <c r="X3782" t="s">
        <v>75946</v>
      </c>
      <c r="Y3782" t="s">
        <v>75947</v>
      </c>
    </row>
    <row r="3783" spans="1:25" x14ac:dyDescent="0.3">
      <c r="A3783">
        <v>189100</v>
      </c>
      <c r="B3783" t="s">
        <v>75948</v>
      </c>
      <c r="C3783" t="s">
        <v>75949</v>
      </c>
      <c r="D3783" t="s">
        <v>75950</v>
      </c>
      <c r="E3783" t="s">
        <v>75951</v>
      </c>
      <c r="F3783" t="s">
        <v>75952</v>
      </c>
      <c r="G3783" t="s">
        <v>75953</v>
      </c>
      <c r="H3783" t="s">
        <v>75954</v>
      </c>
      <c r="I3783" t="s">
        <v>75955</v>
      </c>
      <c r="J3783" t="s">
        <v>75956</v>
      </c>
      <c r="K3783" t="s">
        <v>75957</v>
      </c>
      <c r="L3783" t="s">
        <v>75958</v>
      </c>
      <c r="M3783" t="s">
        <v>75959</v>
      </c>
      <c r="N3783" t="s">
        <v>75960</v>
      </c>
      <c r="O3783">
        <f>-554.829031315912 -118.366327612184 -739.105102235067</f>
        <v>-1412.3004611631629</v>
      </c>
      <c r="P3783">
        <f>-575.962085338299 -114.640412326665 -423.311356991798</f>
        <v>-1113.9138546567619</v>
      </c>
      <c r="Q3783">
        <f>-348.999050310332 -0.0135296391362658 -477.99680767308</f>
        <v>-827.00938762254827</v>
      </c>
      <c r="R3783" t="s">
        <v>75961</v>
      </c>
      <c r="S3783" t="s">
        <v>75962</v>
      </c>
      <c r="T3783" t="s">
        <v>75963</v>
      </c>
      <c r="U3783" t="s">
        <v>75964</v>
      </c>
      <c r="V3783" t="s">
        <v>75965</v>
      </c>
      <c r="W3783" t="s">
        <v>75966</v>
      </c>
      <c r="X3783" t="s">
        <v>75967</v>
      </c>
      <c r="Y3783" t="s">
        <v>75968</v>
      </c>
    </row>
    <row r="3784" spans="1:25" x14ac:dyDescent="0.3">
      <c r="A3784">
        <v>189150</v>
      </c>
      <c r="B3784" t="s">
        <v>75969</v>
      </c>
      <c r="C3784" t="s">
        <v>75970</v>
      </c>
      <c r="D3784" t="s">
        <v>75971</v>
      </c>
      <c r="E3784" t="s">
        <v>75972</v>
      </c>
      <c r="F3784" t="s">
        <v>75973</v>
      </c>
      <c r="G3784" t="s">
        <v>75974</v>
      </c>
      <c r="H3784" t="s">
        <v>75975</v>
      </c>
      <c r="I3784" t="s">
        <v>75976</v>
      </c>
      <c r="J3784" t="s">
        <v>75977</v>
      </c>
      <c r="K3784" t="s">
        <v>75978</v>
      </c>
      <c r="L3784" t="s">
        <v>75979</v>
      </c>
      <c r="M3784" t="s">
        <v>75980</v>
      </c>
      <c r="N3784" t="s">
        <v>75981</v>
      </c>
      <c r="O3784">
        <f>-554.169751717475 -118.331323579417 -739.105901384835</f>
        <v>-1411.606976681727</v>
      </c>
      <c r="P3784">
        <f>-575.171018579926 -114.831121910567 -423.300743364569</f>
        <v>-1113.302883855062</v>
      </c>
      <c r="Q3784" t="s">
        <v>75982</v>
      </c>
      <c r="R3784" t="s">
        <v>75983</v>
      </c>
      <c r="S3784" t="s">
        <v>75984</v>
      </c>
      <c r="T3784" t="s">
        <v>75985</v>
      </c>
      <c r="U3784" t="s">
        <v>75986</v>
      </c>
      <c r="V3784" t="s">
        <v>75987</v>
      </c>
      <c r="W3784" t="s">
        <v>75988</v>
      </c>
      <c r="X3784" t="s">
        <v>75989</v>
      </c>
      <c r="Y3784" t="s">
        <v>75990</v>
      </c>
    </row>
    <row r="3785" spans="1:25" x14ac:dyDescent="0.3">
      <c r="A3785">
        <v>189200</v>
      </c>
      <c r="B3785" t="s">
        <v>75991</v>
      </c>
      <c r="C3785" t="s">
        <v>75992</v>
      </c>
      <c r="D3785" t="s">
        <v>75993</v>
      </c>
      <c r="E3785" t="s">
        <v>75994</v>
      </c>
      <c r="F3785" t="s">
        <v>75995</v>
      </c>
      <c r="G3785" t="s">
        <v>75996</v>
      </c>
      <c r="H3785" t="s">
        <v>75997</v>
      </c>
      <c r="I3785" t="s">
        <v>75998</v>
      </c>
      <c r="J3785" t="s">
        <v>75999</v>
      </c>
      <c r="K3785" t="s">
        <v>76000</v>
      </c>
      <c r="L3785" t="s">
        <v>76001</v>
      </c>
      <c r="M3785" t="s">
        <v>76002</v>
      </c>
      <c r="N3785" t="s">
        <v>76003</v>
      </c>
      <c r="O3785">
        <f>-553.694502799495 -118.456747484053 -739.142782487052</f>
        <v>-1411.2940327706001</v>
      </c>
      <c r="P3785">
        <f>-574.589112836445 -115.061719354388 -423.329498034419</f>
        <v>-1112.9803302252519</v>
      </c>
      <c r="Q3785">
        <f>-347.835929997819 -0.0513911109974288 -478.080266552356</f>
        <v>-825.9675876611725</v>
      </c>
      <c r="R3785" t="s">
        <v>76004</v>
      </c>
      <c r="S3785" t="s">
        <v>76005</v>
      </c>
      <c r="T3785" t="s">
        <v>76006</v>
      </c>
      <c r="U3785" t="s">
        <v>76007</v>
      </c>
      <c r="V3785" t="s">
        <v>76008</v>
      </c>
      <c r="W3785" t="s">
        <v>76009</v>
      </c>
      <c r="X3785" t="s">
        <v>76010</v>
      </c>
      <c r="Y3785" t="s">
        <v>76011</v>
      </c>
    </row>
    <row r="3786" spans="1:25" x14ac:dyDescent="0.3">
      <c r="A3786">
        <v>189250</v>
      </c>
      <c r="B3786" t="s">
        <v>76012</v>
      </c>
      <c r="C3786" t="s">
        <v>76013</v>
      </c>
      <c r="D3786" t="s">
        <v>76014</v>
      </c>
      <c r="E3786" t="s">
        <v>76015</v>
      </c>
      <c r="F3786" t="s">
        <v>76016</v>
      </c>
      <c r="G3786" t="s">
        <v>76017</v>
      </c>
      <c r="H3786" t="s">
        <v>76018</v>
      </c>
      <c r="I3786" t="s">
        <v>76019</v>
      </c>
      <c r="J3786" t="s">
        <v>76020</v>
      </c>
      <c r="K3786" t="s">
        <v>76021</v>
      </c>
      <c r="L3786" t="s">
        <v>76022</v>
      </c>
      <c r="M3786" t="s">
        <v>76023</v>
      </c>
      <c r="N3786" t="s">
        <v>76024</v>
      </c>
      <c r="O3786">
        <f>-552.944234400579 -118.464703531206 -739.108813550695</f>
        <v>-1410.51775148248</v>
      </c>
      <c r="P3786">
        <f>-573.79873115042 -114.987893583833 -423.293673440484</f>
        <v>-1112.080298174737</v>
      </c>
      <c r="Q3786" t="s">
        <v>76025</v>
      </c>
      <c r="R3786" t="s">
        <v>76026</v>
      </c>
      <c r="S3786" t="s">
        <v>76027</v>
      </c>
      <c r="T3786" t="s">
        <v>76028</v>
      </c>
      <c r="U3786" t="s">
        <v>76029</v>
      </c>
      <c r="V3786" t="s">
        <v>76030</v>
      </c>
      <c r="W3786" t="s">
        <v>76031</v>
      </c>
      <c r="X3786" t="s">
        <v>76032</v>
      </c>
      <c r="Y3786" t="s">
        <v>76033</v>
      </c>
    </row>
    <row r="3787" spans="1:25" x14ac:dyDescent="0.3">
      <c r="A3787">
        <v>189300</v>
      </c>
      <c r="B3787" t="s">
        <v>76034</v>
      </c>
      <c r="C3787" t="s">
        <v>76035</v>
      </c>
      <c r="D3787" t="s">
        <v>76036</v>
      </c>
      <c r="E3787" t="s">
        <v>76037</v>
      </c>
      <c r="F3787" t="s">
        <v>76038</v>
      </c>
      <c r="G3787" t="s">
        <v>76039</v>
      </c>
      <c r="H3787" t="s">
        <v>76040</v>
      </c>
      <c r="I3787" t="s">
        <v>76041</v>
      </c>
      <c r="J3787" t="s">
        <v>76042</v>
      </c>
      <c r="K3787" t="s">
        <v>76043</v>
      </c>
      <c r="L3787" t="s">
        <v>76044</v>
      </c>
      <c r="M3787" t="s">
        <v>76045</v>
      </c>
      <c r="N3787" t="s">
        <v>76046</v>
      </c>
      <c r="O3787">
        <f>-552.610040129955 -118.398777463308 -739.054045622013</f>
        <v>-1410.0628632152759</v>
      </c>
      <c r="P3787">
        <f>-573.425882721687 -114.878232665423 -423.236925326348</f>
        <v>-1111.541040713458</v>
      </c>
      <c r="Q3787" t="s">
        <v>76047</v>
      </c>
      <c r="R3787" t="s">
        <v>76048</v>
      </c>
      <c r="S3787" t="s">
        <v>76049</v>
      </c>
      <c r="T3787" t="s">
        <v>76050</v>
      </c>
      <c r="U3787" t="s">
        <v>76051</v>
      </c>
      <c r="V3787" t="s">
        <v>76052</v>
      </c>
      <c r="W3787" t="s">
        <v>76053</v>
      </c>
      <c r="X3787" t="s">
        <v>76054</v>
      </c>
      <c r="Y3787" t="s">
        <v>76055</v>
      </c>
    </row>
    <row r="3788" spans="1:25" x14ac:dyDescent="0.3">
      <c r="A3788">
        <v>189350</v>
      </c>
      <c r="B3788" t="s">
        <v>76056</v>
      </c>
      <c r="C3788" t="s">
        <v>76057</v>
      </c>
      <c r="D3788" t="s">
        <v>76058</v>
      </c>
      <c r="E3788" t="s">
        <v>76059</v>
      </c>
      <c r="F3788" t="s">
        <v>76060</v>
      </c>
      <c r="G3788" t="s">
        <v>76061</v>
      </c>
      <c r="H3788" t="s">
        <v>76062</v>
      </c>
      <c r="I3788" t="s">
        <v>76063</v>
      </c>
      <c r="J3788" t="s">
        <v>76064</v>
      </c>
      <c r="K3788" t="s">
        <v>76065</v>
      </c>
      <c r="L3788" t="s">
        <v>76066</v>
      </c>
      <c r="M3788" t="s">
        <v>76067</v>
      </c>
      <c r="N3788" t="s">
        <v>76068</v>
      </c>
      <c r="O3788">
        <f>-551.910592632674 -118.505915159173 -739.012947286736</f>
        <v>-1409.429455078583</v>
      </c>
      <c r="P3788">
        <f>-572.629865823049 -114.96374321596 -423.189466114273</f>
        <v>-1110.783075153282</v>
      </c>
      <c r="Q3788" t="s">
        <v>76069</v>
      </c>
      <c r="R3788" t="s">
        <v>76070</v>
      </c>
      <c r="S3788" t="s">
        <v>76071</v>
      </c>
      <c r="T3788" t="s">
        <v>76072</v>
      </c>
      <c r="U3788" t="s">
        <v>76073</v>
      </c>
      <c r="V3788" t="s">
        <v>76074</v>
      </c>
      <c r="W3788" t="s">
        <v>76075</v>
      </c>
      <c r="X3788" t="s">
        <v>76076</v>
      </c>
      <c r="Y3788" t="s">
        <v>76077</v>
      </c>
    </row>
    <row r="3789" spans="1:25" x14ac:dyDescent="0.3">
      <c r="A3789">
        <v>189400</v>
      </c>
      <c r="B3789" t="s">
        <v>76078</v>
      </c>
      <c r="C3789" t="s">
        <v>76079</v>
      </c>
      <c r="D3789" t="s">
        <v>76080</v>
      </c>
      <c r="E3789" t="s">
        <v>76081</v>
      </c>
      <c r="F3789" t="s">
        <v>76082</v>
      </c>
      <c r="G3789" t="s">
        <v>76083</v>
      </c>
      <c r="H3789" t="s">
        <v>76084</v>
      </c>
      <c r="I3789" t="s">
        <v>76085</v>
      </c>
      <c r="J3789" t="s">
        <v>76086</v>
      </c>
      <c r="K3789" t="s">
        <v>76087</v>
      </c>
      <c r="L3789" t="s">
        <v>76088</v>
      </c>
      <c r="M3789" t="s">
        <v>76089</v>
      </c>
      <c r="N3789" t="s">
        <v>76090</v>
      </c>
      <c r="O3789">
        <f>-551.55711932811 -118.546025369757 -738.984488283516</f>
        <v>-1409.0876329813832</v>
      </c>
      <c r="P3789">
        <f>-572.230333386072 -115.047969272155 -423.157751950253</f>
        <v>-1110.4360546084799</v>
      </c>
      <c r="Q3789" t="s">
        <v>76091</v>
      </c>
      <c r="R3789" t="s">
        <v>76092</v>
      </c>
      <c r="S3789" t="s">
        <v>76093</v>
      </c>
      <c r="T3789" t="s">
        <v>76094</v>
      </c>
      <c r="U3789" t="s">
        <v>76095</v>
      </c>
      <c r="V3789" t="s">
        <v>76096</v>
      </c>
      <c r="W3789" t="s">
        <v>76097</v>
      </c>
      <c r="X3789" t="s">
        <v>76098</v>
      </c>
      <c r="Y3789" t="s">
        <v>76099</v>
      </c>
    </row>
    <row r="3790" spans="1:25" x14ac:dyDescent="0.3">
      <c r="A3790">
        <v>189450</v>
      </c>
      <c r="B3790" t="s">
        <v>76100</v>
      </c>
      <c r="C3790" t="s">
        <v>76101</v>
      </c>
      <c r="D3790" t="s">
        <v>76102</v>
      </c>
      <c r="E3790" t="s">
        <v>76103</v>
      </c>
      <c r="F3790" t="s">
        <v>76104</v>
      </c>
      <c r="G3790" t="s">
        <v>76105</v>
      </c>
      <c r="H3790" t="s">
        <v>76106</v>
      </c>
      <c r="I3790" t="s">
        <v>76107</v>
      </c>
      <c r="J3790" t="s">
        <v>76108</v>
      </c>
      <c r="K3790" t="s">
        <v>76109</v>
      </c>
      <c r="L3790" t="s">
        <v>76110</v>
      </c>
      <c r="M3790" t="s">
        <v>76111</v>
      </c>
      <c r="N3790" t="s">
        <v>76112</v>
      </c>
      <c r="O3790">
        <f>-550.686841106104 -118.505992704262 -738.987895761797</f>
        <v>-1408.1807295721628</v>
      </c>
      <c r="P3790">
        <f>-571.338192662028 -115.060925147698 -423.15916361745</f>
        <v>-1109.5582814271759</v>
      </c>
      <c r="Q3790" t="s">
        <v>76113</v>
      </c>
      <c r="R3790" t="s">
        <v>76114</v>
      </c>
      <c r="S3790" t="s">
        <v>76115</v>
      </c>
      <c r="T3790" t="s">
        <v>76116</v>
      </c>
      <c r="U3790" t="s">
        <v>76117</v>
      </c>
      <c r="V3790" t="s">
        <v>76118</v>
      </c>
      <c r="W3790" t="s">
        <v>76119</v>
      </c>
      <c r="X3790" t="s">
        <v>76120</v>
      </c>
      <c r="Y3790" t="s">
        <v>76121</v>
      </c>
    </row>
    <row r="3791" spans="1:25" x14ac:dyDescent="0.3">
      <c r="A3791">
        <v>189500</v>
      </c>
      <c r="B3791" t="s">
        <v>76122</v>
      </c>
      <c r="C3791" t="s">
        <v>76123</v>
      </c>
      <c r="D3791" t="s">
        <v>76124</v>
      </c>
      <c r="E3791" t="s">
        <v>76125</v>
      </c>
      <c r="F3791" t="s">
        <v>76126</v>
      </c>
      <c r="G3791" t="s">
        <v>76127</v>
      </c>
      <c r="H3791" t="s">
        <v>76128</v>
      </c>
      <c r="I3791" t="s">
        <v>76129</v>
      </c>
      <c r="J3791" t="s">
        <v>76130</v>
      </c>
      <c r="K3791" t="s">
        <v>76131</v>
      </c>
      <c r="L3791" t="s">
        <v>76132</v>
      </c>
      <c r="M3791" t="s">
        <v>76133</v>
      </c>
      <c r="N3791" t="s">
        <v>76134</v>
      </c>
      <c r="O3791">
        <f>-550.227907635356 -118.357496008635 -738.910789688753</f>
        <v>-1407.496193332744</v>
      </c>
      <c r="P3791">
        <f>-570.8700165764 -114.979840296581 -423.080612651278</f>
        <v>-1108.930469524259</v>
      </c>
      <c r="Q3791" t="s">
        <v>76135</v>
      </c>
      <c r="R3791" t="s">
        <v>76136</v>
      </c>
      <c r="S3791" t="s">
        <v>76137</v>
      </c>
      <c r="T3791" t="s">
        <v>76138</v>
      </c>
      <c r="U3791" t="s">
        <v>76139</v>
      </c>
      <c r="V3791" t="s">
        <v>76140</v>
      </c>
      <c r="W3791" t="s">
        <v>76141</v>
      </c>
      <c r="X3791" t="s">
        <v>76142</v>
      </c>
      <c r="Y3791" t="s">
        <v>76143</v>
      </c>
    </row>
    <row r="3792" spans="1:25" x14ac:dyDescent="0.3">
      <c r="A3792">
        <v>189550</v>
      </c>
      <c r="B3792" t="s">
        <v>76144</v>
      </c>
      <c r="C3792" t="s">
        <v>76145</v>
      </c>
      <c r="D3792" t="s">
        <v>76146</v>
      </c>
      <c r="E3792" t="s">
        <v>76147</v>
      </c>
      <c r="F3792" t="s">
        <v>76148</v>
      </c>
      <c r="G3792" t="s">
        <v>76149</v>
      </c>
      <c r="H3792" t="s">
        <v>76150</v>
      </c>
      <c r="I3792" t="s">
        <v>76151</v>
      </c>
      <c r="J3792" t="s">
        <v>76152</v>
      </c>
      <c r="K3792" t="s">
        <v>76153</v>
      </c>
      <c r="L3792" t="s">
        <v>76154</v>
      </c>
      <c r="M3792" t="s">
        <v>76155</v>
      </c>
      <c r="N3792" t="s">
        <v>76156</v>
      </c>
      <c r="O3792">
        <f>-549.498829185954 -118.170390476557 -738.811076764756</f>
        <v>-1406.4802964272671</v>
      </c>
      <c r="P3792">
        <f>-570.089511512181 -114.812208613203 -422.977334054695</f>
        <v>-1107.879054180079</v>
      </c>
      <c r="Q3792" t="s">
        <v>76157</v>
      </c>
      <c r="R3792" t="s">
        <v>76158</v>
      </c>
      <c r="S3792" t="s">
        <v>76159</v>
      </c>
      <c r="T3792" t="s">
        <v>76160</v>
      </c>
      <c r="U3792" t="s">
        <v>76161</v>
      </c>
      <c r="V3792" t="s">
        <v>76162</v>
      </c>
      <c r="W3792" t="s">
        <v>76163</v>
      </c>
      <c r="X3792" t="s">
        <v>76164</v>
      </c>
      <c r="Y3792" t="s">
        <v>76165</v>
      </c>
    </row>
    <row r="3793" spans="1:25" x14ac:dyDescent="0.3">
      <c r="A3793">
        <v>189600</v>
      </c>
      <c r="B3793" t="s">
        <v>76166</v>
      </c>
      <c r="C3793" t="s">
        <v>76167</v>
      </c>
      <c r="D3793" t="s">
        <v>76168</v>
      </c>
      <c r="E3793" t="s">
        <v>76169</v>
      </c>
      <c r="F3793" t="s">
        <v>76170</v>
      </c>
      <c r="G3793" t="s">
        <v>76171</v>
      </c>
      <c r="H3793" t="s">
        <v>76172</v>
      </c>
      <c r="I3793" t="s">
        <v>76173</v>
      </c>
      <c r="J3793" t="s">
        <v>76174</v>
      </c>
      <c r="K3793" t="s">
        <v>76175</v>
      </c>
      <c r="L3793" t="s">
        <v>76176</v>
      </c>
      <c r="M3793" t="s">
        <v>76177</v>
      </c>
      <c r="N3793" t="s">
        <v>76178</v>
      </c>
      <c r="O3793">
        <f>-548.913879017997 -118.01144645997 -738.823056250414</f>
        <v>-1405.748381728381</v>
      </c>
      <c r="P3793">
        <f>-569.555031905274 -114.686949807151 -422.992347976872</f>
        <v>-1107.2343296892968</v>
      </c>
      <c r="Q3793" t="s">
        <v>76179</v>
      </c>
      <c r="R3793" t="s">
        <v>76180</v>
      </c>
      <c r="S3793" t="s">
        <v>76181</v>
      </c>
      <c r="T3793" t="s">
        <v>76182</v>
      </c>
      <c r="U3793" t="s">
        <v>76183</v>
      </c>
      <c r="V3793" t="s">
        <v>76184</v>
      </c>
      <c r="W3793" t="s">
        <v>76185</v>
      </c>
      <c r="X3793" t="s">
        <v>76186</v>
      </c>
      <c r="Y3793" t="s">
        <v>76187</v>
      </c>
    </row>
    <row r="3794" spans="1:25" x14ac:dyDescent="0.3">
      <c r="A3794">
        <v>189650</v>
      </c>
      <c r="B3794" t="s">
        <v>76188</v>
      </c>
      <c r="C3794" t="s">
        <v>76189</v>
      </c>
      <c r="D3794" t="s">
        <v>76190</v>
      </c>
      <c r="E3794" t="s">
        <v>76191</v>
      </c>
      <c r="F3794" t="s">
        <v>76192</v>
      </c>
      <c r="G3794" t="s">
        <v>76193</v>
      </c>
      <c r="H3794" t="s">
        <v>76194</v>
      </c>
      <c r="I3794" t="s">
        <v>76195</v>
      </c>
      <c r="J3794" t="s">
        <v>76196</v>
      </c>
      <c r="K3794" t="s">
        <v>76197</v>
      </c>
      <c r="L3794" t="s">
        <v>76198</v>
      </c>
      <c r="M3794" t="s">
        <v>76199</v>
      </c>
      <c r="N3794" t="s">
        <v>76200</v>
      </c>
      <c r="O3794">
        <f>-547.756878223203 -117.95310647981 -738.857822426125</f>
        <v>-1404.5678071291381</v>
      </c>
      <c r="P3794">
        <f>-568.23946377964 -115.070939546386 -423.012448694626</f>
        <v>-1106.3228520206521</v>
      </c>
      <c r="Q3794" t="s">
        <v>76201</v>
      </c>
      <c r="R3794" t="s">
        <v>76202</v>
      </c>
      <c r="S3794" t="s">
        <v>76203</v>
      </c>
      <c r="T3794" t="s">
        <v>76204</v>
      </c>
      <c r="U3794" t="s">
        <v>76205</v>
      </c>
      <c r="V3794" t="s">
        <v>76206</v>
      </c>
      <c r="W3794" t="s">
        <v>76207</v>
      </c>
      <c r="X3794" t="s">
        <v>76208</v>
      </c>
      <c r="Y3794" t="s">
        <v>76209</v>
      </c>
    </row>
    <row r="3795" spans="1:25" x14ac:dyDescent="0.3">
      <c r="A3795">
        <v>189700</v>
      </c>
      <c r="B3795" t="s">
        <v>76210</v>
      </c>
      <c r="C3795" t="s">
        <v>76211</v>
      </c>
      <c r="D3795" t="s">
        <v>76212</v>
      </c>
      <c r="E3795" t="s">
        <v>76213</v>
      </c>
      <c r="F3795" t="s">
        <v>76214</v>
      </c>
      <c r="G3795" t="s">
        <v>76215</v>
      </c>
      <c r="H3795" t="s">
        <v>76216</v>
      </c>
      <c r="I3795" t="s">
        <v>76217</v>
      </c>
      <c r="J3795" t="s">
        <v>76218</v>
      </c>
      <c r="K3795" t="s">
        <v>76219</v>
      </c>
      <c r="L3795" t="s">
        <v>76220</v>
      </c>
      <c r="M3795" t="s">
        <v>76221</v>
      </c>
      <c r="N3795" t="s">
        <v>76222</v>
      </c>
      <c r="O3795">
        <f>-547.46436153536 -118.034868159973 -738.854807034574</f>
        <v>-1404.354036729907</v>
      </c>
      <c r="P3795">
        <f>-567.859577205776 -115.329991777177 -423.00204911203</f>
        <v>-1106.1916180949829</v>
      </c>
      <c r="Q3795" t="s">
        <v>76223</v>
      </c>
      <c r="R3795" t="s">
        <v>76224</v>
      </c>
      <c r="S3795" t="s">
        <v>76225</v>
      </c>
      <c r="T3795" t="s">
        <v>76226</v>
      </c>
      <c r="U3795" t="s">
        <v>76227</v>
      </c>
      <c r="V3795" t="s">
        <v>76228</v>
      </c>
      <c r="W3795" t="s">
        <v>76229</v>
      </c>
      <c r="X3795" t="s">
        <v>76230</v>
      </c>
      <c r="Y3795" t="s">
        <v>76231</v>
      </c>
    </row>
    <row r="3796" spans="1:25" x14ac:dyDescent="0.3">
      <c r="A3796">
        <v>189750</v>
      </c>
      <c r="B3796" t="s">
        <v>76232</v>
      </c>
      <c r="C3796" t="s">
        <v>76233</v>
      </c>
      <c r="D3796" t="s">
        <v>76234</v>
      </c>
      <c r="E3796" t="s">
        <v>76235</v>
      </c>
      <c r="F3796" t="s">
        <v>76236</v>
      </c>
      <c r="G3796" t="s">
        <v>76237</v>
      </c>
      <c r="H3796" t="s">
        <v>76238</v>
      </c>
      <c r="I3796" t="s">
        <v>76239</v>
      </c>
      <c r="J3796" t="s">
        <v>76240</v>
      </c>
      <c r="K3796" t="s">
        <v>76241</v>
      </c>
      <c r="L3796" t="s">
        <v>76242</v>
      </c>
      <c r="M3796" t="s">
        <v>76243</v>
      </c>
      <c r="N3796" t="s">
        <v>76244</v>
      </c>
      <c r="O3796">
        <f>-547.110547566519 -117.846276466432 -738.905984835335</f>
        <v>-1403.8628088682858</v>
      </c>
      <c r="P3796">
        <f>-566.689706916988 -116.147939009873 -422.994735535251</f>
        <v>-1105.8323814621119</v>
      </c>
      <c r="Q3796">
        <f>-340.745338259671 -0.282260364937706 -479.265021014612</f>
        <v>-820.29261963922067</v>
      </c>
      <c r="R3796" t="s">
        <v>76245</v>
      </c>
      <c r="S3796" t="s">
        <v>76246</v>
      </c>
      <c r="T3796" t="s">
        <v>76247</v>
      </c>
      <c r="U3796" t="s">
        <v>76248</v>
      </c>
      <c r="V3796" t="s">
        <v>76249</v>
      </c>
      <c r="W3796" t="s">
        <v>76250</v>
      </c>
      <c r="X3796" t="s">
        <v>76251</v>
      </c>
      <c r="Y3796" t="s">
        <v>76252</v>
      </c>
    </row>
    <row r="3797" spans="1:25" x14ac:dyDescent="0.3">
      <c r="A3797">
        <v>189800</v>
      </c>
      <c r="B3797" t="s">
        <v>76253</v>
      </c>
      <c r="C3797" t="s">
        <v>76254</v>
      </c>
      <c r="D3797" t="s">
        <v>76255</v>
      </c>
      <c r="E3797" t="s">
        <v>76256</v>
      </c>
      <c r="F3797" t="s">
        <v>76257</v>
      </c>
      <c r="G3797" t="s">
        <v>76258</v>
      </c>
      <c r="H3797" t="s">
        <v>76259</v>
      </c>
      <c r="I3797" t="s">
        <v>76260</v>
      </c>
      <c r="J3797" t="s">
        <v>76261</v>
      </c>
      <c r="K3797" t="s">
        <v>76262</v>
      </c>
      <c r="L3797" t="s">
        <v>76263</v>
      </c>
      <c r="M3797" t="s">
        <v>76264</v>
      </c>
      <c r="N3797" t="s">
        <v>76265</v>
      </c>
      <c r="O3797">
        <f>-546.831254902134 -117.789502095466 -738.997769565777</f>
        <v>-1403.6185265633771</v>
      </c>
      <c r="P3797">
        <f>-566.176476241928 -116.322684011343 -423.070715567117</f>
        <v>-1105.569875820388</v>
      </c>
      <c r="Q3797">
        <f>-340.358638295254 -0.208596671387653 -479.337023620791</f>
        <v>-819.90425858743265</v>
      </c>
      <c r="R3797" t="s">
        <v>76266</v>
      </c>
      <c r="S3797" t="s">
        <v>76267</v>
      </c>
      <c r="T3797" t="s">
        <v>76268</v>
      </c>
      <c r="U3797" t="s">
        <v>76269</v>
      </c>
      <c r="V3797" t="s">
        <v>76270</v>
      </c>
      <c r="W3797" t="s">
        <v>76271</v>
      </c>
      <c r="X3797" t="s">
        <v>76272</v>
      </c>
      <c r="Y3797" t="s">
        <v>76273</v>
      </c>
    </row>
    <row r="3798" spans="1:25" x14ac:dyDescent="0.3">
      <c r="A3798">
        <v>189850</v>
      </c>
      <c r="B3798" t="s">
        <v>76274</v>
      </c>
      <c r="C3798" t="s">
        <v>76275</v>
      </c>
      <c r="D3798" t="s">
        <v>76276</v>
      </c>
      <c r="E3798" t="s">
        <v>76277</v>
      </c>
      <c r="F3798" t="s">
        <v>76278</v>
      </c>
      <c r="G3798" t="s">
        <v>76279</v>
      </c>
      <c r="H3798" t="s">
        <v>76280</v>
      </c>
      <c r="I3798" t="s">
        <v>76281</v>
      </c>
      <c r="J3798" t="s">
        <v>76282</v>
      </c>
      <c r="K3798" t="s">
        <v>76283</v>
      </c>
      <c r="L3798" t="s">
        <v>76284</v>
      </c>
      <c r="M3798" t="s">
        <v>76285</v>
      </c>
      <c r="N3798" t="s">
        <v>76286</v>
      </c>
      <c r="O3798">
        <f>-546.196030499688 -117.485698390118 -739.051452087725</f>
        <v>-1402.733180977531</v>
      </c>
      <c r="P3798">
        <f>-566.108027766312 -115.770898085069 -423.160985964028</f>
        <v>-1105.0399118154091</v>
      </c>
      <c r="Q3798" t="s">
        <v>76287</v>
      </c>
      <c r="R3798" t="s">
        <v>76288</v>
      </c>
      <c r="S3798" t="s">
        <v>76289</v>
      </c>
      <c r="T3798" t="s">
        <v>76290</v>
      </c>
      <c r="U3798" t="s">
        <v>76291</v>
      </c>
      <c r="V3798" t="s">
        <v>76292</v>
      </c>
      <c r="W3798" t="s">
        <v>76293</v>
      </c>
      <c r="X3798" t="s">
        <v>76294</v>
      </c>
      <c r="Y3798" t="s">
        <v>76295</v>
      </c>
    </row>
    <row r="3799" spans="1:25" x14ac:dyDescent="0.3">
      <c r="A3799">
        <v>189900</v>
      </c>
      <c r="B3799" t="s">
        <v>76296</v>
      </c>
      <c r="C3799" t="s">
        <v>76297</v>
      </c>
      <c r="D3799" t="s">
        <v>76298</v>
      </c>
      <c r="E3799" t="s">
        <v>76299</v>
      </c>
      <c r="F3799" t="s">
        <v>76300</v>
      </c>
      <c r="G3799" t="s">
        <v>76301</v>
      </c>
      <c r="H3799" t="s">
        <v>76302</v>
      </c>
      <c r="I3799" t="s">
        <v>76303</v>
      </c>
      <c r="J3799" t="s">
        <v>76304</v>
      </c>
      <c r="K3799" t="s">
        <v>76305</v>
      </c>
      <c r="L3799" t="s">
        <v>76306</v>
      </c>
      <c r="M3799" t="s">
        <v>76307</v>
      </c>
      <c r="N3799" t="s">
        <v>76308</v>
      </c>
      <c r="O3799">
        <f>-546.065942513136 -117.316450921006 -739.074180221758</f>
        <v>-1402.4565736558998</v>
      </c>
      <c r="P3799">
        <f>-566.131483912748 -115.44584000609 -423.194492863274</f>
        <v>-1104.771816782112</v>
      </c>
      <c r="Q3799" t="s">
        <v>76309</v>
      </c>
      <c r="R3799" t="s">
        <v>76310</v>
      </c>
      <c r="S3799" t="s">
        <v>76311</v>
      </c>
      <c r="T3799" t="s">
        <v>76312</v>
      </c>
      <c r="U3799" t="s">
        <v>76313</v>
      </c>
      <c r="V3799" t="s">
        <v>76314</v>
      </c>
      <c r="W3799" t="s">
        <v>76315</v>
      </c>
      <c r="X3799" t="s">
        <v>76316</v>
      </c>
      <c r="Y3799" t="s">
        <v>76317</v>
      </c>
    </row>
    <row r="3800" spans="1:25" x14ac:dyDescent="0.3">
      <c r="A3800">
        <v>189950</v>
      </c>
      <c r="B3800" t="s">
        <v>76318</v>
      </c>
      <c r="C3800" t="s">
        <v>76319</v>
      </c>
      <c r="D3800" t="s">
        <v>76320</v>
      </c>
      <c r="E3800" t="s">
        <v>76321</v>
      </c>
      <c r="F3800" t="s">
        <v>76322</v>
      </c>
      <c r="G3800" t="s">
        <v>76323</v>
      </c>
      <c r="H3800" t="s">
        <v>76324</v>
      </c>
      <c r="I3800" t="s">
        <v>76325</v>
      </c>
      <c r="J3800" t="s">
        <v>76326</v>
      </c>
      <c r="K3800" t="s">
        <v>76327</v>
      </c>
      <c r="L3800" t="s">
        <v>76328</v>
      </c>
      <c r="M3800" t="s">
        <v>76329</v>
      </c>
      <c r="N3800" t="s">
        <v>76330</v>
      </c>
      <c r="O3800">
        <f>-546.020606600599 -117.328689134286 -739.103811637993</f>
        <v>-1402.4531073728781</v>
      </c>
      <c r="P3800">
        <f>-566.423735589977 -115.481232970998 -423.245484873735</f>
        <v>-1105.15045343471</v>
      </c>
      <c r="Q3800" t="s">
        <v>76331</v>
      </c>
      <c r="R3800" t="s">
        <v>76332</v>
      </c>
      <c r="S3800" t="s">
        <v>76333</v>
      </c>
      <c r="T3800" t="s">
        <v>76334</v>
      </c>
      <c r="U3800" t="s">
        <v>76335</v>
      </c>
      <c r="V3800" t="s">
        <v>76336</v>
      </c>
      <c r="W3800" t="s">
        <v>76337</v>
      </c>
      <c r="X3800" t="s">
        <v>76338</v>
      </c>
      <c r="Y3800" t="s">
        <v>76339</v>
      </c>
    </row>
    <row r="3801" spans="1:25" x14ac:dyDescent="0.3">
      <c r="A3801">
        <v>190000</v>
      </c>
      <c r="B3801" t="s">
        <v>76340</v>
      </c>
      <c r="C3801" t="s">
        <v>76341</v>
      </c>
      <c r="D3801" t="s">
        <v>76342</v>
      </c>
      <c r="E3801" t="s">
        <v>76343</v>
      </c>
      <c r="F3801" t="s">
        <v>76344</v>
      </c>
      <c r="G3801" t="s">
        <v>76345</v>
      </c>
      <c r="H3801" t="s">
        <v>76346</v>
      </c>
      <c r="I3801" t="s">
        <v>76347</v>
      </c>
      <c r="J3801" t="s">
        <v>76348</v>
      </c>
      <c r="K3801" t="s">
        <v>76349</v>
      </c>
      <c r="L3801" t="s">
        <v>76350</v>
      </c>
      <c r="M3801" t="s">
        <v>76351</v>
      </c>
      <c r="N3801" t="s">
        <v>76352</v>
      </c>
      <c r="O3801">
        <f>-545.985965315248 -117.208945381979 -739.192005936865</f>
        <v>-1402.3869166340919</v>
      </c>
      <c r="P3801">
        <f>-566.508137765513 -115.438961311068 -423.340945980683</f>
        <v>-1105.2880450572641</v>
      </c>
      <c r="Q3801" t="s">
        <v>76353</v>
      </c>
      <c r="R3801" t="s">
        <v>76354</v>
      </c>
      <c r="S3801" t="s">
        <v>76355</v>
      </c>
      <c r="T3801" t="s">
        <v>76356</v>
      </c>
      <c r="U3801" t="s">
        <v>76357</v>
      </c>
      <c r="V3801" t="s">
        <v>76358</v>
      </c>
      <c r="W3801" t="s">
        <v>76359</v>
      </c>
      <c r="X3801" t="s">
        <v>76360</v>
      </c>
      <c r="Y3801" t="s">
        <v>76361</v>
      </c>
    </row>
    <row r="3802" spans="1:25" x14ac:dyDescent="0.3">
      <c r="A3802">
        <v>190050</v>
      </c>
      <c r="B3802" t="s">
        <v>76362</v>
      </c>
      <c r="C3802" t="s">
        <v>76363</v>
      </c>
      <c r="D3802" t="s">
        <v>76364</v>
      </c>
      <c r="E3802" t="s">
        <v>76365</v>
      </c>
      <c r="F3802" t="s">
        <v>76366</v>
      </c>
      <c r="G3802" t="s">
        <v>76367</v>
      </c>
      <c r="H3802" t="s">
        <v>76368</v>
      </c>
      <c r="I3802" t="s">
        <v>76369</v>
      </c>
      <c r="J3802" t="s">
        <v>76370</v>
      </c>
      <c r="K3802" t="s">
        <v>76371</v>
      </c>
      <c r="L3802" t="s">
        <v>76372</v>
      </c>
      <c r="M3802" t="s">
        <v>76373</v>
      </c>
      <c r="N3802" t="s">
        <v>76374</v>
      </c>
      <c r="O3802">
        <f>-546.429513750978 -116.591500315474 -739.392446276708</f>
        <v>-1402.4134603431601</v>
      </c>
      <c r="P3802">
        <f>-566.824380643403 -115.045710757532 -423.532053290778</f>
        <v>-1105.4021446917129</v>
      </c>
      <c r="Q3802" t="s">
        <v>76375</v>
      </c>
      <c r="R3802" t="s">
        <v>76376</v>
      </c>
      <c r="S3802" t="s">
        <v>76377</v>
      </c>
      <c r="T3802" t="s">
        <v>76378</v>
      </c>
      <c r="U3802" t="s">
        <v>76379</v>
      </c>
      <c r="V3802" t="s">
        <v>76380</v>
      </c>
      <c r="W3802" t="s">
        <v>76381</v>
      </c>
      <c r="X3802" t="s">
        <v>76382</v>
      </c>
      <c r="Y3802" t="s">
        <v>76383</v>
      </c>
    </row>
    <row r="3803" spans="1:25" x14ac:dyDescent="0.3">
      <c r="A3803">
        <v>190100</v>
      </c>
      <c r="B3803" t="s">
        <v>76384</v>
      </c>
      <c r="C3803" t="s">
        <v>76385</v>
      </c>
      <c r="D3803" t="s">
        <v>76386</v>
      </c>
      <c r="E3803" t="s">
        <v>76387</v>
      </c>
      <c r="F3803" t="s">
        <v>76388</v>
      </c>
      <c r="G3803" t="s">
        <v>76389</v>
      </c>
      <c r="H3803" t="s">
        <v>76390</v>
      </c>
      <c r="I3803" t="s">
        <v>76391</v>
      </c>
      <c r="J3803" t="s">
        <v>76392</v>
      </c>
      <c r="K3803" t="s">
        <v>76393</v>
      </c>
      <c r="L3803" t="s">
        <v>76394</v>
      </c>
      <c r="M3803" t="s">
        <v>76395</v>
      </c>
      <c r="N3803" t="s">
        <v>76396</v>
      </c>
      <c r="O3803">
        <f>-546.544262389838 -116.442985931601 -739.467325832518</f>
        <v>-1402.4545741539569</v>
      </c>
      <c r="P3803">
        <f>-566.745355277867 -115.049441950867 -423.593737046016</f>
        <v>-1105.3885342747501</v>
      </c>
      <c r="Q3803" t="s">
        <v>76397</v>
      </c>
      <c r="R3803" t="s">
        <v>76398</v>
      </c>
      <c r="S3803" t="s">
        <v>76399</v>
      </c>
      <c r="T3803" t="s">
        <v>76400</v>
      </c>
      <c r="U3803" t="s">
        <v>76401</v>
      </c>
      <c r="V3803" t="s">
        <v>76402</v>
      </c>
      <c r="W3803" t="s">
        <v>76403</v>
      </c>
      <c r="X3803" t="s">
        <v>76404</v>
      </c>
      <c r="Y3803" t="s">
        <v>76405</v>
      </c>
    </row>
    <row r="3804" spans="1:25" x14ac:dyDescent="0.3">
      <c r="A3804">
        <v>190150</v>
      </c>
      <c r="B3804" t="s">
        <v>76406</v>
      </c>
      <c r="C3804" t="s">
        <v>76407</v>
      </c>
      <c r="D3804" t="s">
        <v>76408</v>
      </c>
      <c r="E3804" t="s">
        <v>76409</v>
      </c>
      <c r="F3804" t="s">
        <v>76410</v>
      </c>
      <c r="G3804" t="s">
        <v>76411</v>
      </c>
      <c r="H3804" t="s">
        <v>76412</v>
      </c>
      <c r="I3804" t="s">
        <v>76413</v>
      </c>
      <c r="J3804" t="s">
        <v>76414</v>
      </c>
      <c r="K3804" t="s">
        <v>76415</v>
      </c>
      <c r="L3804" t="s">
        <v>76416</v>
      </c>
      <c r="M3804" t="s">
        <v>76417</v>
      </c>
      <c r="N3804" t="s">
        <v>76418</v>
      </c>
      <c r="O3804">
        <f>-546.625410505664 -116.243315463194 -739.626245320928</f>
        <v>-1402.494971289786</v>
      </c>
      <c r="P3804">
        <f>-566.660753136676 -114.944715232772 -423.741590914894</f>
        <v>-1105.3470592843419</v>
      </c>
      <c r="Q3804" t="s">
        <v>76419</v>
      </c>
      <c r="R3804" t="s">
        <v>76420</v>
      </c>
      <c r="S3804" t="s">
        <v>76421</v>
      </c>
      <c r="T3804" t="s">
        <v>76422</v>
      </c>
      <c r="U3804" t="s">
        <v>76423</v>
      </c>
      <c r="V3804" t="s">
        <v>76424</v>
      </c>
      <c r="W3804" t="s">
        <v>76425</v>
      </c>
      <c r="X3804" t="s">
        <v>76426</v>
      </c>
      <c r="Y3804" t="s">
        <v>76427</v>
      </c>
    </row>
    <row r="3805" spans="1:25" x14ac:dyDescent="0.3">
      <c r="A3805">
        <v>190200</v>
      </c>
      <c r="B3805" t="s">
        <v>76428</v>
      </c>
      <c r="C3805" t="s">
        <v>76429</v>
      </c>
      <c r="D3805" t="s">
        <v>76430</v>
      </c>
      <c r="E3805" t="s">
        <v>76431</v>
      </c>
      <c r="F3805" t="s">
        <v>76432</v>
      </c>
      <c r="G3805" t="s">
        <v>76433</v>
      </c>
      <c r="H3805" t="s">
        <v>76434</v>
      </c>
      <c r="I3805" t="s">
        <v>76435</v>
      </c>
      <c r="J3805" t="s">
        <v>76436</v>
      </c>
      <c r="K3805" t="s">
        <v>76437</v>
      </c>
      <c r="L3805" t="s">
        <v>76438</v>
      </c>
      <c r="M3805" t="s">
        <v>76439</v>
      </c>
      <c r="N3805" t="s">
        <v>76440</v>
      </c>
      <c r="O3805">
        <f>-546.596256353163 -116.093351388928 -739.732213173915</f>
        <v>-1402.421820916006</v>
      </c>
      <c r="P3805">
        <f>-566.74252030383 -114.917829088243 -423.854240406922</f>
        <v>-1105.5145897989951</v>
      </c>
      <c r="Q3805" t="s">
        <v>76441</v>
      </c>
      <c r="R3805" t="s">
        <v>76442</v>
      </c>
      <c r="S3805" t="s">
        <v>76443</v>
      </c>
      <c r="T3805" t="s">
        <v>76444</v>
      </c>
      <c r="U3805" t="s">
        <v>76445</v>
      </c>
      <c r="V3805" t="s">
        <v>76446</v>
      </c>
      <c r="W3805" t="s">
        <v>76447</v>
      </c>
      <c r="X3805" t="s">
        <v>76448</v>
      </c>
      <c r="Y3805" t="s">
        <v>76449</v>
      </c>
    </row>
    <row r="3806" spans="1:25" x14ac:dyDescent="0.3">
      <c r="A3806">
        <v>190250</v>
      </c>
      <c r="B3806" t="s">
        <v>76450</v>
      </c>
      <c r="C3806" t="s">
        <v>76451</v>
      </c>
      <c r="D3806" t="s">
        <v>76452</v>
      </c>
      <c r="E3806" t="s">
        <v>76453</v>
      </c>
      <c r="F3806" t="s">
        <v>76454</v>
      </c>
      <c r="G3806" t="s">
        <v>76455</v>
      </c>
      <c r="H3806" t="s">
        <v>76456</v>
      </c>
      <c r="I3806" t="s">
        <v>76457</v>
      </c>
      <c r="J3806" t="s">
        <v>76458</v>
      </c>
      <c r="K3806" t="s">
        <v>76459</v>
      </c>
      <c r="L3806" t="s">
        <v>76460</v>
      </c>
      <c r="M3806" t="s">
        <v>76461</v>
      </c>
      <c r="N3806" t="s">
        <v>76462</v>
      </c>
      <c r="O3806">
        <f>-546.493156442129 -115.827514519714 -739.939017070653</f>
        <v>-1402.2596880324959</v>
      </c>
      <c r="P3806">
        <f>-566.415088728217 -115.121581357389 -424.045323366465</f>
        <v>-1105.5819934520709</v>
      </c>
      <c r="Q3806" t="s">
        <v>76463</v>
      </c>
      <c r="R3806" t="s">
        <v>76464</v>
      </c>
      <c r="S3806" t="s">
        <v>76465</v>
      </c>
      <c r="T3806" t="s">
        <v>76466</v>
      </c>
      <c r="U3806" t="s">
        <v>76467</v>
      </c>
      <c r="V3806" t="s">
        <v>76468</v>
      </c>
      <c r="W3806" t="s">
        <v>76469</v>
      </c>
      <c r="X3806" t="s">
        <v>76470</v>
      </c>
      <c r="Y3806" t="s">
        <v>76471</v>
      </c>
    </row>
    <row r="3807" spans="1:25" x14ac:dyDescent="0.3">
      <c r="A3807">
        <v>190300</v>
      </c>
      <c r="B3807" t="s">
        <v>76472</v>
      </c>
      <c r="C3807" t="s">
        <v>76473</v>
      </c>
      <c r="D3807" t="s">
        <v>76474</v>
      </c>
      <c r="E3807" t="s">
        <v>76475</v>
      </c>
      <c r="F3807" t="s">
        <v>76476</v>
      </c>
      <c r="G3807" t="s">
        <v>76477</v>
      </c>
      <c r="H3807" t="s">
        <v>76478</v>
      </c>
      <c r="I3807" t="s">
        <v>76479</v>
      </c>
      <c r="J3807" t="s">
        <v>76480</v>
      </c>
      <c r="K3807" t="s">
        <v>76481</v>
      </c>
      <c r="L3807" t="s">
        <v>76482</v>
      </c>
      <c r="M3807" t="s">
        <v>76483</v>
      </c>
      <c r="N3807" t="s">
        <v>76484</v>
      </c>
      <c r="O3807">
        <f>-546.404021373556 -115.501767311214 -740.027302371291</f>
        <v>-1401.9330910560609</v>
      </c>
      <c r="P3807">
        <f>-566.207723628453 -114.918686459095 -424.126065959221</f>
        <v>-1105.2524760467691</v>
      </c>
      <c r="Q3807" t="s">
        <v>76485</v>
      </c>
      <c r="R3807" t="s">
        <v>76486</v>
      </c>
      <c r="S3807" t="s">
        <v>76487</v>
      </c>
      <c r="T3807" t="s">
        <v>76488</v>
      </c>
      <c r="U3807" t="s">
        <v>76489</v>
      </c>
      <c r="V3807" t="s">
        <v>76490</v>
      </c>
      <c r="W3807" t="s">
        <v>76491</v>
      </c>
      <c r="X3807" t="s">
        <v>76492</v>
      </c>
      <c r="Y3807" t="s">
        <v>76493</v>
      </c>
    </row>
    <row r="3808" spans="1:25" x14ac:dyDescent="0.3">
      <c r="A3808">
        <v>190350</v>
      </c>
      <c r="B3808" t="s">
        <v>76494</v>
      </c>
      <c r="C3808" t="s">
        <v>76495</v>
      </c>
      <c r="D3808" t="s">
        <v>76496</v>
      </c>
      <c r="E3808" t="s">
        <v>76497</v>
      </c>
      <c r="F3808" t="s">
        <v>76498</v>
      </c>
      <c r="G3808" t="s">
        <v>76499</v>
      </c>
      <c r="H3808" t="s">
        <v>76500</v>
      </c>
      <c r="I3808" t="s">
        <v>76501</v>
      </c>
      <c r="J3808" t="s">
        <v>76502</v>
      </c>
      <c r="K3808" t="s">
        <v>76503</v>
      </c>
      <c r="L3808" t="s">
        <v>76504</v>
      </c>
      <c r="M3808" t="s">
        <v>76505</v>
      </c>
      <c r="N3808" t="s">
        <v>76506</v>
      </c>
      <c r="O3808">
        <f>-545.851842120144 -115.452046256788 -740.111222705057</f>
        <v>-1401.4151110819889</v>
      </c>
      <c r="P3808">
        <f>-565.247947309881 -114.964888305784 -424.18449962038</f>
        <v>-1104.3973352360451</v>
      </c>
      <c r="Q3808" t="s">
        <v>76507</v>
      </c>
      <c r="R3808" t="s">
        <v>76508</v>
      </c>
      <c r="S3808" t="s">
        <v>76509</v>
      </c>
      <c r="T3808" t="s">
        <v>76510</v>
      </c>
      <c r="U3808" t="s">
        <v>76511</v>
      </c>
      <c r="V3808" t="s">
        <v>76512</v>
      </c>
      <c r="W3808" t="s">
        <v>76513</v>
      </c>
      <c r="X3808" t="s">
        <v>76514</v>
      </c>
      <c r="Y3808" t="s">
        <v>76515</v>
      </c>
    </row>
    <row r="3809" spans="1:25" x14ac:dyDescent="0.3">
      <c r="A3809">
        <v>190400</v>
      </c>
      <c r="B3809" t="s">
        <v>76516</v>
      </c>
      <c r="C3809" t="s">
        <v>76517</v>
      </c>
      <c r="D3809" t="s">
        <v>76518</v>
      </c>
      <c r="E3809" t="s">
        <v>76519</v>
      </c>
      <c r="F3809" t="s">
        <v>76520</v>
      </c>
      <c r="G3809" t="s">
        <v>76521</v>
      </c>
      <c r="H3809" t="s">
        <v>76522</v>
      </c>
      <c r="I3809" t="s">
        <v>76523</v>
      </c>
      <c r="J3809" t="s">
        <v>76524</v>
      </c>
      <c r="K3809" t="s">
        <v>76525</v>
      </c>
      <c r="L3809" t="s">
        <v>76526</v>
      </c>
      <c r="M3809" t="s">
        <v>76527</v>
      </c>
      <c r="N3809" t="s">
        <v>76528</v>
      </c>
      <c r="O3809">
        <f>-545.577340611984 -115.20360618231 -740.096211967483</f>
        <v>-1400.8771587617771</v>
      </c>
      <c r="P3809">
        <f>-564.776519040522 -114.825166726193 -424.157221477155</f>
        <v>-1103.75890724387</v>
      </c>
      <c r="Q3809" t="s">
        <v>76529</v>
      </c>
      <c r="R3809" t="s">
        <v>76530</v>
      </c>
      <c r="S3809" t="s">
        <v>76531</v>
      </c>
      <c r="T3809" t="s">
        <v>76532</v>
      </c>
      <c r="U3809" t="s">
        <v>76533</v>
      </c>
      <c r="V3809" t="s">
        <v>76534</v>
      </c>
      <c r="W3809" t="s">
        <v>76535</v>
      </c>
      <c r="X3809" t="s">
        <v>76536</v>
      </c>
      <c r="Y3809" t="s">
        <v>76537</v>
      </c>
    </row>
    <row r="3810" spans="1:25" x14ac:dyDescent="0.3">
      <c r="A3810">
        <v>190450</v>
      </c>
      <c r="B3810" t="s">
        <v>76538</v>
      </c>
      <c r="C3810" t="s">
        <v>76539</v>
      </c>
      <c r="D3810" t="s">
        <v>76540</v>
      </c>
      <c r="E3810" t="s">
        <v>76541</v>
      </c>
      <c r="F3810" t="s">
        <v>76542</v>
      </c>
      <c r="G3810" t="s">
        <v>76543</v>
      </c>
      <c r="H3810" t="s">
        <v>76544</v>
      </c>
      <c r="I3810" t="s">
        <v>76545</v>
      </c>
      <c r="J3810" t="s">
        <v>76546</v>
      </c>
      <c r="K3810" t="s">
        <v>76547</v>
      </c>
      <c r="L3810" t="s">
        <v>76548</v>
      </c>
      <c r="M3810" t="s">
        <v>76549</v>
      </c>
      <c r="N3810" t="s">
        <v>76550</v>
      </c>
      <c r="O3810">
        <f>-545.338506753868 -115.229347046436 -739.998853226452</f>
        <v>-1400.5667070267559</v>
      </c>
      <c r="P3810">
        <f>-564.430693739935 -114.750873129266 -424.0534586848</f>
        <v>-1103.2350255540009</v>
      </c>
      <c r="Q3810" t="s">
        <v>76551</v>
      </c>
      <c r="R3810" t="s">
        <v>76552</v>
      </c>
      <c r="S3810" t="s">
        <v>76553</v>
      </c>
      <c r="T3810" t="s">
        <v>76554</v>
      </c>
      <c r="U3810" t="s">
        <v>76555</v>
      </c>
      <c r="V3810" t="s">
        <v>76556</v>
      </c>
      <c r="W3810" t="s">
        <v>76557</v>
      </c>
      <c r="X3810" t="s">
        <v>76558</v>
      </c>
      <c r="Y3810" t="s">
        <v>76559</v>
      </c>
    </row>
    <row r="3811" spans="1:25" x14ac:dyDescent="0.3">
      <c r="A3811">
        <v>190500</v>
      </c>
      <c r="B3811" t="s">
        <v>76560</v>
      </c>
      <c r="C3811" t="s">
        <v>76561</v>
      </c>
      <c r="D3811" t="s">
        <v>76562</v>
      </c>
      <c r="E3811" t="s">
        <v>76563</v>
      </c>
      <c r="F3811" t="s">
        <v>76564</v>
      </c>
      <c r="G3811" t="s">
        <v>76565</v>
      </c>
      <c r="H3811" t="s">
        <v>76566</v>
      </c>
      <c r="I3811" t="s">
        <v>76567</v>
      </c>
      <c r="J3811" t="s">
        <v>76568</v>
      </c>
      <c r="K3811" t="s">
        <v>76569</v>
      </c>
      <c r="L3811" t="s">
        <v>76570</v>
      </c>
      <c r="M3811" t="s">
        <v>76571</v>
      </c>
      <c r="N3811" t="s">
        <v>76572</v>
      </c>
      <c r="O3811">
        <f>-545.118621930882 -115.362808090169 -739.932902121087</f>
        <v>-1400.4143321421379</v>
      </c>
      <c r="P3811">
        <f>-564.227383137872 -114.769144504147 -423.98864083858</f>
        <v>-1102.985168480599</v>
      </c>
      <c r="Q3811" t="s">
        <v>76573</v>
      </c>
      <c r="R3811" t="s">
        <v>76574</v>
      </c>
      <c r="S3811" t="s">
        <v>76575</v>
      </c>
      <c r="T3811" t="s">
        <v>76576</v>
      </c>
      <c r="U3811" t="s">
        <v>76577</v>
      </c>
      <c r="V3811" t="s">
        <v>76578</v>
      </c>
      <c r="W3811" t="s">
        <v>76579</v>
      </c>
      <c r="X3811" t="s">
        <v>76580</v>
      </c>
      <c r="Y3811" t="s">
        <v>76581</v>
      </c>
    </row>
    <row r="3812" spans="1:25" x14ac:dyDescent="0.3">
      <c r="A3812">
        <v>190550</v>
      </c>
      <c r="B3812" t="s">
        <v>76582</v>
      </c>
      <c r="C3812" t="s">
        <v>76583</v>
      </c>
      <c r="D3812" t="s">
        <v>76584</v>
      </c>
      <c r="E3812" t="s">
        <v>76585</v>
      </c>
      <c r="F3812" t="s">
        <v>76586</v>
      </c>
      <c r="G3812" t="s">
        <v>76587</v>
      </c>
      <c r="H3812" t="s">
        <v>76588</v>
      </c>
      <c r="I3812" t="s">
        <v>76589</v>
      </c>
      <c r="J3812" t="s">
        <v>76590</v>
      </c>
      <c r="K3812" t="s">
        <v>76591</v>
      </c>
      <c r="L3812" t="s">
        <v>76592</v>
      </c>
      <c r="M3812" t="s">
        <v>76593</v>
      </c>
      <c r="N3812" t="s">
        <v>76594</v>
      </c>
      <c r="O3812">
        <f>-545.396069654199 -115.299756300869 -739.702010390529</f>
        <v>-1400.3978363455972</v>
      </c>
      <c r="P3812">
        <f>-564.101300712444 -114.557343012553 -423.734183528202</f>
        <v>-1102.3928272531989</v>
      </c>
      <c r="Q3812" t="s">
        <v>76595</v>
      </c>
      <c r="R3812" t="s">
        <v>76596</v>
      </c>
      <c r="S3812" t="s">
        <v>76597</v>
      </c>
      <c r="T3812" t="s">
        <v>76598</v>
      </c>
      <c r="U3812" t="s">
        <v>76599</v>
      </c>
      <c r="V3812" t="s">
        <v>76600</v>
      </c>
      <c r="W3812" t="s">
        <v>76601</v>
      </c>
      <c r="X3812" t="s">
        <v>76602</v>
      </c>
      <c r="Y3812" t="s">
        <v>76603</v>
      </c>
    </row>
    <row r="3813" spans="1:25" x14ac:dyDescent="0.3">
      <c r="A3813">
        <v>190600</v>
      </c>
      <c r="B3813" t="s">
        <v>76604</v>
      </c>
      <c r="C3813" t="s">
        <v>76605</v>
      </c>
      <c r="D3813" t="s">
        <v>76606</v>
      </c>
      <c r="E3813" t="s">
        <v>76607</v>
      </c>
      <c r="F3813" t="s">
        <v>76608</v>
      </c>
      <c r="G3813" t="s">
        <v>76609</v>
      </c>
      <c r="H3813" t="s">
        <v>76610</v>
      </c>
      <c r="I3813" t="s">
        <v>76611</v>
      </c>
      <c r="J3813" t="s">
        <v>76612</v>
      </c>
      <c r="K3813" t="s">
        <v>76613</v>
      </c>
      <c r="L3813" t="s">
        <v>76614</v>
      </c>
      <c r="M3813" t="s">
        <v>76615</v>
      </c>
      <c r="N3813" t="s">
        <v>76616</v>
      </c>
      <c r="O3813">
        <f>-545.595008209976 -115.416712448907 -739.597879972049</f>
        <v>-1400.6096006309319</v>
      </c>
      <c r="P3813">
        <f>-564.037437283756 -114.667907065615 -423.614467151111</f>
        <v>-1102.319811500482</v>
      </c>
      <c r="Q3813" t="s">
        <v>76617</v>
      </c>
      <c r="R3813" t="s">
        <v>76618</v>
      </c>
      <c r="S3813" t="s">
        <v>76619</v>
      </c>
      <c r="T3813" t="s">
        <v>76620</v>
      </c>
      <c r="U3813" t="s">
        <v>76621</v>
      </c>
      <c r="V3813" t="s">
        <v>76622</v>
      </c>
      <c r="W3813" t="s">
        <v>76623</v>
      </c>
      <c r="X3813" t="s">
        <v>76624</v>
      </c>
      <c r="Y3813" t="s">
        <v>76625</v>
      </c>
    </row>
    <row r="3814" spans="1:25" x14ac:dyDescent="0.3">
      <c r="A3814">
        <v>190650</v>
      </c>
      <c r="B3814" t="s">
        <v>76626</v>
      </c>
      <c r="C3814" t="s">
        <v>76627</v>
      </c>
      <c r="D3814" t="s">
        <v>76628</v>
      </c>
      <c r="E3814" t="s">
        <v>76629</v>
      </c>
      <c r="F3814" t="s">
        <v>76630</v>
      </c>
      <c r="G3814" t="s">
        <v>76631</v>
      </c>
      <c r="H3814" t="s">
        <v>76632</v>
      </c>
      <c r="I3814" t="s">
        <v>76633</v>
      </c>
      <c r="J3814" t="s">
        <v>76634</v>
      </c>
      <c r="K3814" t="s">
        <v>76635</v>
      </c>
      <c r="L3814" t="s">
        <v>76636</v>
      </c>
      <c r="M3814" t="s">
        <v>76637</v>
      </c>
      <c r="N3814" t="s">
        <v>76638</v>
      </c>
      <c r="O3814">
        <f>-545.67866555992 -115.366200232968 -739.322381914347</f>
        <v>-1400.367247707235</v>
      </c>
      <c r="P3814">
        <f>-563.765134816535 -114.090581739903 -423.320160483458</f>
        <v>-1101.175877039896</v>
      </c>
      <c r="Q3814" t="s">
        <v>76639</v>
      </c>
      <c r="R3814" t="s">
        <v>76640</v>
      </c>
      <c r="S3814" t="s">
        <v>76641</v>
      </c>
      <c r="T3814" t="s">
        <v>76642</v>
      </c>
      <c r="U3814" t="s">
        <v>76643</v>
      </c>
      <c r="V3814" t="s">
        <v>76644</v>
      </c>
      <c r="W3814" t="s">
        <v>76645</v>
      </c>
      <c r="X3814" t="s">
        <v>76646</v>
      </c>
      <c r="Y3814" t="s">
        <v>76647</v>
      </c>
    </row>
    <row r="3815" spans="1:25" x14ac:dyDescent="0.3">
      <c r="A3815">
        <v>190700</v>
      </c>
      <c r="B3815" t="s">
        <v>76648</v>
      </c>
      <c r="C3815" t="s">
        <v>76649</v>
      </c>
      <c r="D3815" t="s">
        <v>76650</v>
      </c>
      <c r="E3815" t="s">
        <v>76651</v>
      </c>
      <c r="F3815" t="s">
        <v>76652</v>
      </c>
      <c r="G3815" t="s">
        <v>76653</v>
      </c>
      <c r="H3815" t="s">
        <v>76654</v>
      </c>
      <c r="I3815" t="s">
        <v>76655</v>
      </c>
      <c r="J3815" t="s">
        <v>76656</v>
      </c>
      <c r="K3815" t="s">
        <v>76657</v>
      </c>
      <c r="L3815" t="s">
        <v>76658</v>
      </c>
      <c r="M3815" t="s">
        <v>76659</v>
      </c>
      <c r="N3815" t="s">
        <v>76660</v>
      </c>
      <c r="O3815">
        <f>-545.749757961132 -115.497872895234 -739.14611845161</f>
        <v>-1400.3937493079761</v>
      </c>
      <c r="P3815">
        <f>-563.680392301006 -114.148553411191 -423.135135750895</f>
        <v>-1100.964081463092</v>
      </c>
      <c r="Q3815" t="s">
        <v>76661</v>
      </c>
      <c r="R3815" t="s">
        <v>76662</v>
      </c>
      <c r="S3815" t="s">
        <v>76663</v>
      </c>
      <c r="T3815" t="s">
        <v>76664</v>
      </c>
      <c r="U3815" t="s">
        <v>76665</v>
      </c>
      <c r="V3815" t="s">
        <v>76666</v>
      </c>
      <c r="W3815" t="s">
        <v>76667</v>
      </c>
      <c r="X3815" t="s">
        <v>76668</v>
      </c>
      <c r="Y3815" t="s">
        <v>76669</v>
      </c>
    </row>
    <row r="3816" spans="1:25" x14ac:dyDescent="0.3">
      <c r="A3816">
        <v>190750</v>
      </c>
      <c r="B3816" t="s">
        <v>76670</v>
      </c>
      <c r="C3816" t="s">
        <v>76671</v>
      </c>
      <c r="D3816" t="s">
        <v>76672</v>
      </c>
      <c r="E3816" t="s">
        <v>76673</v>
      </c>
      <c r="F3816" t="s">
        <v>76674</v>
      </c>
      <c r="G3816" t="s">
        <v>76675</v>
      </c>
      <c r="H3816" t="s">
        <v>76676</v>
      </c>
      <c r="I3816" t="s">
        <v>76677</v>
      </c>
      <c r="J3816" t="s">
        <v>76678</v>
      </c>
      <c r="K3816" t="s">
        <v>76679</v>
      </c>
      <c r="L3816" t="s">
        <v>76680</v>
      </c>
      <c r="M3816" t="s">
        <v>76681</v>
      </c>
      <c r="N3816" t="s">
        <v>76682</v>
      </c>
      <c r="O3816">
        <f>-546.055706520694 -115.594493878874 -738.815153743748</f>
        <v>-1400.4653541433161</v>
      </c>
      <c r="P3816">
        <f>-564.06929813927 -113.957360731538 -422.810253375111</f>
        <v>-1100.8369122459189</v>
      </c>
      <c r="Q3816" t="s">
        <v>76683</v>
      </c>
      <c r="R3816" t="s">
        <v>76684</v>
      </c>
      <c r="S3816" t="s">
        <v>76685</v>
      </c>
      <c r="T3816" t="s">
        <v>76686</v>
      </c>
      <c r="U3816" t="s">
        <v>76687</v>
      </c>
      <c r="V3816" t="s">
        <v>76688</v>
      </c>
      <c r="W3816" t="s">
        <v>76689</v>
      </c>
      <c r="X3816" t="s">
        <v>76690</v>
      </c>
      <c r="Y3816" t="s">
        <v>76691</v>
      </c>
    </row>
    <row r="3817" spans="1:25" x14ac:dyDescent="0.3">
      <c r="A3817">
        <v>190800</v>
      </c>
      <c r="B3817" t="s">
        <v>76692</v>
      </c>
      <c r="C3817" t="s">
        <v>76693</v>
      </c>
      <c r="D3817" t="s">
        <v>76694</v>
      </c>
      <c r="E3817" t="s">
        <v>76695</v>
      </c>
      <c r="F3817" t="s">
        <v>76696</v>
      </c>
      <c r="G3817" t="s">
        <v>76697</v>
      </c>
      <c r="H3817" t="s">
        <v>76698</v>
      </c>
      <c r="I3817" t="s">
        <v>76699</v>
      </c>
      <c r="J3817" t="s">
        <v>76700</v>
      </c>
      <c r="K3817" t="s">
        <v>76701</v>
      </c>
      <c r="L3817" t="s">
        <v>76702</v>
      </c>
      <c r="M3817" t="s">
        <v>76703</v>
      </c>
      <c r="N3817" t="s">
        <v>76704</v>
      </c>
      <c r="O3817">
        <f>-546.386561703072 -115.449706702559 -738.640227954949</f>
        <v>-1400.4764963605799</v>
      </c>
      <c r="P3817">
        <f>-564.201658612331 -113.382388579692 -422.626618479665</f>
        <v>-1100.210665671688</v>
      </c>
      <c r="Q3817" t="s">
        <v>76705</v>
      </c>
      <c r="R3817" t="s">
        <v>76706</v>
      </c>
      <c r="S3817" t="s">
        <v>76707</v>
      </c>
      <c r="T3817" t="s">
        <v>76708</v>
      </c>
      <c r="U3817" t="s">
        <v>76709</v>
      </c>
      <c r="V3817" t="s">
        <v>76710</v>
      </c>
      <c r="W3817" t="s">
        <v>76711</v>
      </c>
      <c r="X3817" t="s">
        <v>76712</v>
      </c>
      <c r="Y3817" t="s">
        <v>76713</v>
      </c>
    </row>
    <row r="3818" spans="1:25" x14ac:dyDescent="0.3">
      <c r="A3818">
        <v>190850</v>
      </c>
      <c r="B3818" t="s">
        <v>76714</v>
      </c>
      <c r="C3818" t="s">
        <v>76715</v>
      </c>
      <c r="D3818" t="s">
        <v>76716</v>
      </c>
      <c r="E3818" t="s">
        <v>76717</v>
      </c>
      <c r="F3818" t="s">
        <v>76718</v>
      </c>
      <c r="G3818" t="s">
        <v>76719</v>
      </c>
      <c r="H3818" t="s">
        <v>76720</v>
      </c>
      <c r="I3818" t="s">
        <v>76721</v>
      </c>
      <c r="J3818" t="s">
        <v>76722</v>
      </c>
      <c r="K3818" t="s">
        <v>76723</v>
      </c>
      <c r="L3818" t="s">
        <v>76724</v>
      </c>
      <c r="M3818" t="s">
        <v>76725</v>
      </c>
      <c r="N3818" t="s">
        <v>76726</v>
      </c>
      <c r="O3818">
        <f>-546.78712104546 -115.618209779236 -738.287830236084</f>
        <v>-1400.6931610607799</v>
      </c>
      <c r="P3818">
        <f>-564.574560004207 -113.005432927061 -422.27677365778</f>
        <v>-1099.856766589048</v>
      </c>
      <c r="Q3818" t="s">
        <v>76727</v>
      </c>
      <c r="R3818" t="s">
        <v>76728</v>
      </c>
      <c r="S3818" t="s">
        <v>76729</v>
      </c>
      <c r="T3818" t="s">
        <v>76730</v>
      </c>
      <c r="U3818" t="s">
        <v>76731</v>
      </c>
      <c r="V3818" t="s">
        <v>76732</v>
      </c>
      <c r="W3818" t="s">
        <v>76733</v>
      </c>
      <c r="X3818" t="s">
        <v>76734</v>
      </c>
      <c r="Y3818" t="s">
        <v>76735</v>
      </c>
    </row>
    <row r="3819" spans="1:25" x14ac:dyDescent="0.3">
      <c r="A3819">
        <v>190900</v>
      </c>
      <c r="B3819" t="s">
        <v>76736</v>
      </c>
      <c r="C3819" t="s">
        <v>76737</v>
      </c>
      <c r="D3819" t="s">
        <v>76738</v>
      </c>
      <c r="E3819" t="s">
        <v>76739</v>
      </c>
      <c r="F3819" t="s">
        <v>76740</v>
      </c>
      <c r="G3819" t="s">
        <v>76741</v>
      </c>
      <c r="H3819" t="s">
        <v>76742</v>
      </c>
      <c r="I3819" t="s">
        <v>76743</v>
      </c>
      <c r="J3819" t="s">
        <v>76744</v>
      </c>
      <c r="K3819" t="s">
        <v>76745</v>
      </c>
      <c r="L3819" t="s">
        <v>76746</v>
      </c>
      <c r="M3819" t="s">
        <v>76747</v>
      </c>
      <c r="N3819" t="s">
        <v>76748</v>
      </c>
      <c r="O3819">
        <f>-546.931147483416 -115.636865789786 -738.156495567302</f>
        <v>-1400.7245088405041</v>
      </c>
      <c r="P3819">
        <f>-564.769194969894 -112.903303312796 -422.149429411828</f>
        <v>-1099.8219276945179</v>
      </c>
      <c r="Q3819" t="s">
        <v>76749</v>
      </c>
      <c r="R3819" t="s">
        <v>76750</v>
      </c>
      <c r="S3819" t="s">
        <v>76751</v>
      </c>
      <c r="T3819" t="s">
        <v>76752</v>
      </c>
      <c r="U3819" t="s">
        <v>76753</v>
      </c>
      <c r="V3819" t="s">
        <v>76754</v>
      </c>
      <c r="W3819" t="s">
        <v>76755</v>
      </c>
      <c r="X3819" t="s">
        <v>76756</v>
      </c>
      <c r="Y3819" t="s">
        <v>76757</v>
      </c>
    </row>
    <row r="3820" spans="1:25" x14ac:dyDescent="0.3">
      <c r="A3820">
        <v>190950</v>
      </c>
      <c r="B3820" t="s">
        <v>76758</v>
      </c>
      <c r="C3820" t="s">
        <v>76759</v>
      </c>
      <c r="D3820" t="s">
        <v>76760</v>
      </c>
      <c r="E3820" t="s">
        <v>76761</v>
      </c>
      <c r="F3820" t="s">
        <v>76762</v>
      </c>
      <c r="G3820" t="s">
        <v>76763</v>
      </c>
      <c r="H3820" t="s">
        <v>76764</v>
      </c>
      <c r="I3820" t="s">
        <v>76765</v>
      </c>
      <c r="J3820" t="s">
        <v>76766</v>
      </c>
      <c r="K3820" t="s">
        <v>76767</v>
      </c>
      <c r="L3820" t="s">
        <v>76768</v>
      </c>
      <c r="M3820" t="s">
        <v>76769</v>
      </c>
      <c r="N3820" t="s">
        <v>76770</v>
      </c>
      <c r="O3820">
        <f>-547.265061745648 -115.600570964798 -737.864941508904</f>
        <v>-1400.73057421935</v>
      </c>
      <c r="P3820">
        <f>-565.326370739105 -112.600916208681 -421.872820036728</f>
        <v>-1099.8001069845141</v>
      </c>
      <c r="Q3820" t="s">
        <v>76771</v>
      </c>
      <c r="R3820" t="s">
        <v>76772</v>
      </c>
      <c r="S3820" t="s">
        <v>76773</v>
      </c>
      <c r="T3820" t="s">
        <v>76774</v>
      </c>
      <c r="U3820" t="s">
        <v>76775</v>
      </c>
      <c r="V3820" t="s">
        <v>76776</v>
      </c>
      <c r="W3820" t="s">
        <v>76777</v>
      </c>
      <c r="X3820" t="s">
        <v>76778</v>
      </c>
      <c r="Y3820" t="s">
        <v>76779</v>
      </c>
    </row>
    <row r="3821" spans="1:25" x14ac:dyDescent="0.3">
      <c r="A3821">
        <v>191000</v>
      </c>
      <c r="B3821" t="s">
        <v>76780</v>
      </c>
      <c r="C3821" t="s">
        <v>76781</v>
      </c>
      <c r="D3821" t="s">
        <v>76782</v>
      </c>
      <c r="E3821" t="s">
        <v>76783</v>
      </c>
      <c r="F3821" t="s">
        <v>76784</v>
      </c>
      <c r="G3821" t="s">
        <v>76785</v>
      </c>
      <c r="H3821" t="s">
        <v>76786</v>
      </c>
      <c r="I3821" t="s">
        <v>76787</v>
      </c>
      <c r="J3821" t="s">
        <v>76788</v>
      </c>
      <c r="K3821" t="s">
        <v>76789</v>
      </c>
      <c r="L3821" t="s">
        <v>76790</v>
      </c>
      <c r="M3821" t="s">
        <v>76791</v>
      </c>
      <c r="N3821" t="s">
        <v>76792</v>
      </c>
      <c r="O3821">
        <f>-547.241489894557 -115.806447358201 -737.745522437985</f>
        <v>-1400.793459690743</v>
      </c>
      <c r="P3821">
        <f>-565.249779567311 -112.813899479445 -421.750437213684</f>
        <v>-1099.81411626044</v>
      </c>
      <c r="Q3821" t="s">
        <v>76793</v>
      </c>
      <c r="R3821" t="s">
        <v>76794</v>
      </c>
      <c r="S3821" t="s">
        <v>76795</v>
      </c>
      <c r="T3821" t="s">
        <v>76796</v>
      </c>
      <c r="U3821" t="s">
        <v>76797</v>
      </c>
      <c r="V3821" t="s">
        <v>76798</v>
      </c>
      <c r="W3821" t="s">
        <v>76799</v>
      </c>
      <c r="X3821" t="s">
        <v>76800</v>
      </c>
      <c r="Y3821" t="s">
        <v>76801</v>
      </c>
    </row>
    <row r="3822" spans="1:25" x14ac:dyDescent="0.3">
      <c r="A3822">
        <v>191050</v>
      </c>
      <c r="B3822" t="s">
        <v>76802</v>
      </c>
      <c r="C3822" t="s">
        <v>76803</v>
      </c>
      <c r="D3822" t="s">
        <v>76804</v>
      </c>
      <c r="E3822" t="s">
        <v>76805</v>
      </c>
      <c r="F3822" t="s">
        <v>76806</v>
      </c>
      <c r="G3822" t="s">
        <v>76807</v>
      </c>
      <c r="H3822" t="s">
        <v>76808</v>
      </c>
      <c r="I3822" t="s">
        <v>76809</v>
      </c>
      <c r="J3822" t="s">
        <v>76810</v>
      </c>
      <c r="K3822" t="s">
        <v>76811</v>
      </c>
      <c r="L3822" t="s">
        <v>76812</v>
      </c>
      <c r="M3822" t="s">
        <v>76813</v>
      </c>
      <c r="N3822" t="s">
        <v>76814</v>
      </c>
      <c r="O3822">
        <f>-547.519101528441 -115.719325581425 -737.637760283894</f>
        <v>-1400.8761873937599</v>
      </c>
      <c r="P3822">
        <f>-565.637938164474 -112.617723270326 -421.649905033955</f>
        <v>-1099.9055664687551</v>
      </c>
      <c r="Q3822" t="s">
        <v>76815</v>
      </c>
      <c r="R3822" t="s">
        <v>76816</v>
      </c>
      <c r="S3822" t="s">
        <v>76817</v>
      </c>
      <c r="T3822" t="s">
        <v>76818</v>
      </c>
      <c r="U3822" t="s">
        <v>76819</v>
      </c>
      <c r="V3822" t="s">
        <v>76820</v>
      </c>
      <c r="W3822" t="s">
        <v>76821</v>
      </c>
      <c r="X3822" t="s">
        <v>76822</v>
      </c>
      <c r="Y3822" t="s">
        <v>76823</v>
      </c>
    </row>
    <row r="3823" spans="1:25" x14ac:dyDescent="0.3">
      <c r="A3823">
        <v>191100</v>
      </c>
      <c r="B3823" t="s">
        <v>76824</v>
      </c>
      <c r="C3823" t="s">
        <v>76825</v>
      </c>
      <c r="D3823" t="s">
        <v>76826</v>
      </c>
      <c r="E3823" t="s">
        <v>76827</v>
      </c>
      <c r="F3823" t="s">
        <v>76828</v>
      </c>
      <c r="G3823" t="s">
        <v>76829</v>
      </c>
      <c r="H3823" t="s">
        <v>76830</v>
      </c>
      <c r="I3823" t="s">
        <v>76831</v>
      </c>
      <c r="J3823" t="s">
        <v>76832</v>
      </c>
      <c r="K3823" t="s">
        <v>76833</v>
      </c>
      <c r="L3823" t="s">
        <v>76834</v>
      </c>
      <c r="M3823" t="s">
        <v>76835</v>
      </c>
      <c r="N3823" t="s">
        <v>76836</v>
      </c>
      <c r="O3823">
        <f>-547.174160033367 -115.912027277624 -737.637167345798</f>
        <v>-1400.7233546567891</v>
      </c>
      <c r="P3823">
        <f>-565.402716914649 -112.747408932405 -421.656302327045</f>
        <v>-1099.806428174099</v>
      </c>
      <c r="Q3823" t="s">
        <v>76837</v>
      </c>
      <c r="R3823" t="s">
        <v>76838</v>
      </c>
      <c r="S3823" t="s">
        <v>76839</v>
      </c>
      <c r="T3823" t="s">
        <v>76840</v>
      </c>
      <c r="U3823" t="s">
        <v>76841</v>
      </c>
      <c r="V3823" t="s">
        <v>76842</v>
      </c>
      <c r="W3823" t="s">
        <v>76843</v>
      </c>
      <c r="X3823" t="s">
        <v>76844</v>
      </c>
      <c r="Y3823" t="s">
        <v>76845</v>
      </c>
    </row>
    <row r="3824" spans="1:25" x14ac:dyDescent="0.3">
      <c r="A3824">
        <v>191150</v>
      </c>
      <c r="B3824" t="s">
        <v>76846</v>
      </c>
      <c r="C3824" t="s">
        <v>76847</v>
      </c>
      <c r="D3824" t="s">
        <v>76848</v>
      </c>
      <c r="E3824" t="s">
        <v>76849</v>
      </c>
      <c r="F3824" t="s">
        <v>76850</v>
      </c>
      <c r="G3824" t="s">
        <v>76851</v>
      </c>
      <c r="H3824" t="s">
        <v>76852</v>
      </c>
      <c r="I3824" t="s">
        <v>76853</v>
      </c>
      <c r="J3824" t="s">
        <v>76854</v>
      </c>
      <c r="K3824" t="s">
        <v>76855</v>
      </c>
      <c r="L3824" t="s">
        <v>76856</v>
      </c>
      <c r="M3824" t="s">
        <v>76857</v>
      </c>
      <c r="N3824" t="s">
        <v>76858</v>
      </c>
      <c r="O3824">
        <f>-546.832908962877 -115.897681443405 -737.615108811766</f>
        <v>-1400.3456992180481</v>
      </c>
      <c r="P3824">
        <f>-565.363621130348 -112.652166688039 -421.652662634404</f>
        <v>-1099.6684504527909</v>
      </c>
      <c r="Q3824" t="s">
        <v>76859</v>
      </c>
      <c r="R3824" t="s">
        <v>76860</v>
      </c>
      <c r="S3824" t="s">
        <v>76861</v>
      </c>
      <c r="T3824" t="s">
        <v>76862</v>
      </c>
      <c r="U3824" t="s">
        <v>76863</v>
      </c>
      <c r="V3824" t="s">
        <v>76864</v>
      </c>
      <c r="W3824" t="s">
        <v>76865</v>
      </c>
      <c r="X3824" t="s">
        <v>76866</v>
      </c>
      <c r="Y3824" t="s">
        <v>76867</v>
      </c>
    </row>
    <row r="3825" spans="1:25" x14ac:dyDescent="0.3">
      <c r="A3825">
        <v>191200</v>
      </c>
      <c r="B3825" t="s">
        <v>76868</v>
      </c>
      <c r="C3825" t="s">
        <v>76869</v>
      </c>
      <c r="D3825" t="s">
        <v>76870</v>
      </c>
      <c r="E3825" t="s">
        <v>76871</v>
      </c>
      <c r="F3825" t="s">
        <v>76872</v>
      </c>
      <c r="G3825" t="s">
        <v>76873</v>
      </c>
      <c r="H3825" t="s">
        <v>76874</v>
      </c>
      <c r="I3825" t="s">
        <v>76875</v>
      </c>
      <c r="J3825" t="s">
        <v>76876</v>
      </c>
      <c r="K3825" t="s">
        <v>76877</v>
      </c>
      <c r="L3825" t="s">
        <v>76878</v>
      </c>
      <c r="M3825" t="s">
        <v>76879</v>
      </c>
      <c r="N3825" t="s">
        <v>76880</v>
      </c>
      <c r="O3825">
        <f>-546.710794372606 -115.865194301368 -737.6050184173</f>
        <v>-1400.1810070912738</v>
      </c>
      <c r="P3825">
        <f>-565.413725677304 -112.591312550271 -421.653008346898</f>
        <v>-1099.658046574473</v>
      </c>
      <c r="Q3825" t="s">
        <v>76881</v>
      </c>
      <c r="R3825" t="s">
        <v>76882</v>
      </c>
      <c r="S3825" t="s">
        <v>76883</v>
      </c>
      <c r="T3825" t="s">
        <v>76884</v>
      </c>
      <c r="U3825" t="s">
        <v>76885</v>
      </c>
      <c r="V3825" t="s">
        <v>76886</v>
      </c>
      <c r="W3825" t="s">
        <v>76887</v>
      </c>
      <c r="X3825" t="s">
        <v>76888</v>
      </c>
      <c r="Y3825" t="s">
        <v>76889</v>
      </c>
    </row>
    <row r="3826" spans="1:25" x14ac:dyDescent="0.3">
      <c r="A3826">
        <v>191250</v>
      </c>
      <c r="B3826" t="s">
        <v>76890</v>
      </c>
      <c r="C3826" t="s">
        <v>76891</v>
      </c>
      <c r="D3826" t="s">
        <v>76892</v>
      </c>
      <c r="E3826" t="s">
        <v>76893</v>
      </c>
      <c r="F3826" t="s">
        <v>76894</v>
      </c>
      <c r="G3826" t="s">
        <v>76895</v>
      </c>
      <c r="H3826" t="s">
        <v>76896</v>
      </c>
      <c r="I3826" t="s">
        <v>76897</v>
      </c>
      <c r="J3826" t="s">
        <v>76898</v>
      </c>
      <c r="K3826" t="s">
        <v>76899</v>
      </c>
      <c r="L3826" t="s">
        <v>76900</v>
      </c>
      <c r="M3826" t="s">
        <v>76901</v>
      </c>
      <c r="N3826" t="s">
        <v>76902</v>
      </c>
      <c r="O3826">
        <f>-546.614120498157 -116.031604652527 -737.673121990771</f>
        <v>-1400.3188471414551</v>
      </c>
      <c r="P3826">
        <f>-565.371050175106 -112.571237124245 -421.726221235811</f>
        <v>-1099.6685085351621</v>
      </c>
      <c r="Q3826" t="s">
        <v>76903</v>
      </c>
      <c r="R3826" t="s">
        <v>76904</v>
      </c>
      <c r="S3826" t="s">
        <v>76905</v>
      </c>
      <c r="T3826" t="s">
        <v>76906</v>
      </c>
      <c r="U3826" t="s">
        <v>76907</v>
      </c>
      <c r="V3826" t="s">
        <v>76908</v>
      </c>
      <c r="W3826" t="s">
        <v>76909</v>
      </c>
      <c r="X3826" t="s">
        <v>76910</v>
      </c>
      <c r="Y3826" t="s">
        <v>76911</v>
      </c>
    </row>
    <row r="3827" spans="1:25" x14ac:dyDescent="0.3">
      <c r="A3827">
        <v>191300</v>
      </c>
      <c r="B3827" t="s">
        <v>76912</v>
      </c>
      <c r="C3827" t="s">
        <v>76913</v>
      </c>
      <c r="D3827" t="s">
        <v>76914</v>
      </c>
      <c r="E3827" t="s">
        <v>76915</v>
      </c>
      <c r="F3827" t="s">
        <v>76916</v>
      </c>
      <c r="G3827" t="s">
        <v>76917</v>
      </c>
      <c r="H3827" t="s">
        <v>76918</v>
      </c>
      <c r="I3827" t="s">
        <v>76919</v>
      </c>
      <c r="J3827" t="s">
        <v>76920</v>
      </c>
      <c r="K3827" t="s">
        <v>76921</v>
      </c>
      <c r="L3827" t="s">
        <v>76922</v>
      </c>
      <c r="M3827" t="s">
        <v>76923</v>
      </c>
      <c r="N3827" t="s">
        <v>76924</v>
      </c>
      <c r="O3827">
        <f>-546.352478900447 -115.969032103679 -737.714825944981</f>
        <v>-1400.036336949107</v>
      </c>
      <c r="P3827">
        <f>-565.28366208242 -112.384908843204 -421.779763592507</f>
        <v>-1099.4483345181311</v>
      </c>
      <c r="Q3827" t="s">
        <v>76925</v>
      </c>
      <c r="R3827" t="s">
        <v>76926</v>
      </c>
      <c r="S3827" t="s">
        <v>76927</v>
      </c>
      <c r="T3827" t="s">
        <v>76928</v>
      </c>
      <c r="U3827" t="s">
        <v>76929</v>
      </c>
      <c r="V3827" t="s">
        <v>76930</v>
      </c>
      <c r="W3827" t="s">
        <v>76931</v>
      </c>
      <c r="X3827" t="s">
        <v>76932</v>
      </c>
      <c r="Y3827" t="s">
        <v>76933</v>
      </c>
    </row>
    <row r="3828" spans="1:25" x14ac:dyDescent="0.3">
      <c r="A3828">
        <v>191350</v>
      </c>
      <c r="B3828" t="s">
        <v>76934</v>
      </c>
      <c r="C3828" t="s">
        <v>76935</v>
      </c>
      <c r="D3828" t="s">
        <v>76936</v>
      </c>
      <c r="E3828" t="s">
        <v>76937</v>
      </c>
      <c r="F3828" t="s">
        <v>76938</v>
      </c>
      <c r="G3828" t="s">
        <v>76939</v>
      </c>
      <c r="H3828" t="s">
        <v>76940</v>
      </c>
      <c r="I3828" t="s">
        <v>76941</v>
      </c>
      <c r="J3828" t="s">
        <v>76942</v>
      </c>
      <c r="K3828" t="s">
        <v>76943</v>
      </c>
      <c r="L3828" t="s">
        <v>76944</v>
      </c>
      <c r="M3828" t="s">
        <v>76945</v>
      </c>
      <c r="N3828" t="s">
        <v>76946</v>
      </c>
      <c r="O3828">
        <f>-546.16087055574 -115.838593022978 -737.860570969889</f>
        <v>-1399.860034548607</v>
      </c>
      <c r="P3828">
        <f>-565.48082607834 -112.284787074256 -421.948693451621</f>
        <v>-1099.714306604217</v>
      </c>
      <c r="Q3828" t="s">
        <v>76947</v>
      </c>
      <c r="R3828" t="s">
        <v>76948</v>
      </c>
      <c r="S3828" t="s">
        <v>76949</v>
      </c>
      <c r="T3828" t="s">
        <v>76950</v>
      </c>
      <c r="U3828" t="s">
        <v>76951</v>
      </c>
      <c r="V3828" t="s">
        <v>76952</v>
      </c>
      <c r="W3828" t="s">
        <v>76953</v>
      </c>
      <c r="X3828" t="s">
        <v>76954</v>
      </c>
      <c r="Y3828" t="s">
        <v>76955</v>
      </c>
    </row>
    <row r="3829" spans="1:25" x14ac:dyDescent="0.3">
      <c r="A3829">
        <v>191400</v>
      </c>
      <c r="B3829" t="s">
        <v>76956</v>
      </c>
      <c r="C3829" t="s">
        <v>76957</v>
      </c>
      <c r="D3829" t="s">
        <v>76958</v>
      </c>
      <c r="E3829" t="s">
        <v>76959</v>
      </c>
      <c r="F3829" t="s">
        <v>76960</v>
      </c>
      <c r="G3829" t="s">
        <v>76961</v>
      </c>
      <c r="H3829" t="s">
        <v>76962</v>
      </c>
      <c r="I3829" t="s">
        <v>76963</v>
      </c>
      <c r="J3829" t="s">
        <v>76964</v>
      </c>
      <c r="K3829" t="s">
        <v>76965</v>
      </c>
      <c r="L3829" t="s">
        <v>76966</v>
      </c>
      <c r="M3829" t="s">
        <v>76967</v>
      </c>
      <c r="N3829" t="s">
        <v>76968</v>
      </c>
      <c r="O3829">
        <f>-546.186157377483 -115.895953548157 -737.949189870955</f>
        <v>-1400.0313007965951</v>
      </c>
      <c r="P3829">
        <f>-565.289744330985 -112.535512452803 -422.022191713736</f>
        <v>-1099.8474484975241</v>
      </c>
      <c r="Q3829" t="s">
        <v>76969</v>
      </c>
      <c r="R3829" t="s">
        <v>76970</v>
      </c>
      <c r="S3829" t="s">
        <v>76971</v>
      </c>
      <c r="T3829" t="s">
        <v>76972</v>
      </c>
      <c r="U3829" t="s">
        <v>76973</v>
      </c>
      <c r="V3829" t="s">
        <v>76974</v>
      </c>
      <c r="W3829" t="s">
        <v>76975</v>
      </c>
      <c r="X3829" t="s">
        <v>76976</v>
      </c>
      <c r="Y3829" t="s">
        <v>76977</v>
      </c>
    </row>
    <row r="3830" spans="1:25" x14ac:dyDescent="0.3">
      <c r="A3830">
        <v>191450</v>
      </c>
      <c r="B3830" t="s">
        <v>76978</v>
      </c>
      <c r="C3830" t="s">
        <v>76979</v>
      </c>
      <c r="D3830" t="s">
        <v>76980</v>
      </c>
      <c r="E3830" t="s">
        <v>76981</v>
      </c>
      <c r="F3830" t="s">
        <v>76982</v>
      </c>
      <c r="G3830" t="s">
        <v>76983</v>
      </c>
      <c r="H3830" t="s">
        <v>76984</v>
      </c>
      <c r="I3830" t="s">
        <v>76985</v>
      </c>
      <c r="J3830" t="s">
        <v>76986</v>
      </c>
      <c r="K3830" t="s">
        <v>76987</v>
      </c>
      <c r="L3830" t="s">
        <v>76988</v>
      </c>
      <c r="M3830" t="s">
        <v>76989</v>
      </c>
      <c r="N3830" t="s">
        <v>76990</v>
      </c>
      <c r="O3830">
        <f>-546.636714834011 -115.392058572987 -738.056810138193</f>
        <v>-1400.085583545191</v>
      </c>
      <c r="P3830">
        <f>-565.256401549444 -112.341774016692 -422.09772963638</f>
        <v>-1099.6959052025159</v>
      </c>
      <c r="Q3830" t="s">
        <v>76991</v>
      </c>
      <c r="R3830" t="s">
        <v>76992</v>
      </c>
      <c r="S3830" t="s">
        <v>76993</v>
      </c>
      <c r="T3830" t="s">
        <v>76994</v>
      </c>
      <c r="U3830" t="s">
        <v>76995</v>
      </c>
      <c r="V3830" t="s">
        <v>76996</v>
      </c>
      <c r="W3830" t="s">
        <v>76997</v>
      </c>
      <c r="X3830" t="s">
        <v>76998</v>
      </c>
      <c r="Y3830" t="s">
        <v>76999</v>
      </c>
    </row>
    <row r="3831" spans="1:25" x14ac:dyDescent="0.3">
      <c r="A3831">
        <v>191500</v>
      </c>
      <c r="B3831" t="s">
        <v>77000</v>
      </c>
      <c r="C3831" t="s">
        <v>77001</v>
      </c>
      <c r="D3831" t="s">
        <v>77002</v>
      </c>
      <c r="E3831" t="s">
        <v>77003</v>
      </c>
      <c r="F3831" t="s">
        <v>77004</v>
      </c>
      <c r="G3831" t="s">
        <v>77005</v>
      </c>
      <c r="H3831" t="s">
        <v>77006</v>
      </c>
      <c r="I3831" t="s">
        <v>77007</v>
      </c>
      <c r="J3831" t="s">
        <v>77008</v>
      </c>
      <c r="K3831" t="s">
        <v>77009</v>
      </c>
      <c r="L3831" t="s">
        <v>77010</v>
      </c>
      <c r="M3831" t="s">
        <v>77011</v>
      </c>
      <c r="N3831" t="s">
        <v>77012</v>
      </c>
      <c r="O3831">
        <f>-546.807514662253 -115.340072697507 -738.332761180864</f>
        <v>-1400.4803485406242</v>
      </c>
      <c r="P3831">
        <f>-565.28222724508 -112.242462496252 -422.365606562354</f>
        <v>-1099.890296303686</v>
      </c>
      <c r="Q3831" t="s">
        <v>77013</v>
      </c>
      <c r="R3831" t="s">
        <v>77014</v>
      </c>
      <c r="S3831" t="s">
        <v>77015</v>
      </c>
      <c r="T3831" t="s">
        <v>77016</v>
      </c>
      <c r="U3831" t="s">
        <v>77017</v>
      </c>
      <c r="V3831" t="s">
        <v>77018</v>
      </c>
      <c r="W3831" t="s">
        <v>77019</v>
      </c>
      <c r="X3831" t="s">
        <v>77020</v>
      </c>
      <c r="Y3831" t="s">
        <v>77021</v>
      </c>
    </row>
    <row r="3832" spans="1:25" x14ac:dyDescent="0.3">
      <c r="A3832">
        <v>191550</v>
      </c>
      <c r="B3832" t="s">
        <v>77022</v>
      </c>
      <c r="C3832" t="s">
        <v>77023</v>
      </c>
      <c r="D3832" t="s">
        <v>77024</v>
      </c>
      <c r="E3832" t="s">
        <v>77025</v>
      </c>
      <c r="F3832" t="s">
        <v>77026</v>
      </c>
      <c r="G3832" t="s">
        <v>77027</v>
      </c>
      <c r="H3832" t="s">
        <v>77028</v>
      </c>
      <c r="I3832" t="s">
        <v>77029</v>
      </c>
      <c r="J3832" t="s">
        <v>77030</v>
      </c>
      <c r="K3832" t="s">
        <v>77031</v>
      </c>
      <c r="L3832" t="s">
        <v>77032</v>
      </c>
      <c r="M3832" t="s">
        <v>77033</v>
      </c>
      <c r="N3832" t="s">
        <v>77034</v>
      </c>
      <c r="O3832">
        <f>-547.512549653589 -115.64386823801 -738.528943596449</f>
        <v>-1401.6853614880479</v>
      </c>
      <c r="P3832">
        <f>-565.25447767493 -113.125931445176 -422.514474042525</f>
        <v>-1100.894883162631</v>
      </c>
      <c r="Q3832" t="s">
        <v>77035</v>
      </c>
      <c r="R3832" t="s">
        <v>77036</v>
      </c>
      <c r="S3832" t="s">
        <v>77037</v>
      </c>
      <c r="T3832" t="s">
        <v>77038</v>
      </c>
      <c r="U3832" t="s">
        <v>77039</v>
      </c>
      <c r="V3832" t="s">
        <v>77040</v>
      </c>
      <c r="W3832" t="s">
        <v>77041</v>
      </c>
      <c r="X3832" t="s">
        <v>77042</v>
      </c>
      <c r="Y3832" t="s">
        <v>77043</v>
      </c>
    </row>
    <row r="3833" spans="1:25" x14ac:dyDescent="0.3">
      <c r="A3833">
        <v>191600</v>
      </c>
      <c r="B3833" t="s">
        <v>77044</v>
      </c>
      <c r="C3833" t="s">
        <v>77045</v>
      </c>
      <c r="D3833" t="s">
        <v>77046</v>
      </c>
      <c r="E3833" t="s">
        <v>77047</v>
      </c>
      <c r="F3833" t="s">
        <v>77048</v>
      </c>
      <c r="G3833" t="s">
        <v>77049</v>
      </c>
      <c r="H3833" t="s">
        <v>77050</v>
      </c>
      <c r="I3833" t="s">
        <v>77051</v>
      </c>
      <c r="J3833" t="s">
        <v>77052</v>
      </c>
      <c r="K3833" t="s">
        <v>77053</v>
      </c>
      <c r="L3833" t="s">
        <v>77054</v>
      </c>
      <c r="M3833" t="s">
        <v>77055</v>
      </c>
      <c r="N3833" t="s">
        <v>77056</v>
      </c>
      <c r="O3833">
        <f>-547.802135689406 -115.562272234839 -738.59937916628</f>
        <v>-1401.9637870905249</v>
      </c>
      <c r="P3833">
        <f>-565.410225342176 -113.113068323142 -422.57703421226</f>
        <v>-1101.1003278775779</v>
      </c>
      <c r="Q3833" t="s">
        <v>77057</v>
      </c>
      <c r="R3833" t="s">
        <v>77058</v>
      </c>
      <c r="S3833" t="s">
        <v>77059</v>
      </c>
      <c r="T3833" t="s">
        <v>77060</v>
      </c>
      <c r="U3833" t="s">
        <v>77061</v>
      </c>
      <c r="V3833" t="s">
        <v>77062</v>
      </c>
      <c r="W3833" t="s">
        <v>77063</v>
      </c>
      <c r="X3833" t="s">
        <v>77064</v>
      </c>
      <c r="Y3833" t="s">
        <v>77065</v>
      </c>
    </row>
    <row r="3834" spans="1:25" x14ac:dyDescent="0.3">
      <c r="A3834">
        <v>191650</v>
      </c>
      <c r="B3834" t="s">
        <v>77066</v>
      </c>
      <c r="C3834" t="s">
        <v>77067</v>
      </c>
      <c r="D3834" t="s">
        <v>77068</v>
      </c>
      <c r="E3834" t="s">
        <v>77069</v>
      </c>
      <c r="F3834" t="s">
        <v>77070</v>
      </c>
      <c r="G3834" t="s">
        <v>77071</v>
      </c>
      <c r="H3834" t="s">
        <v>77072</v>
      </c>
      <c r="I3834" t="s">
        <v>77073</v>
      </c>
      <c r="J3834" t="s">
        <v>77074</v>
      </c>
      <c r="K3834" t="s">
        <v>77075</v>
      </c>
      <c r="L3834" t="s">
        <v>77076</v>
      </c>
      <c r="M3834" t="s">
        <v>77077</v>
      </c>
      <c r="N3834" t="s">
        <v>77078</v>
      </c>
      <c r="O3834">
        <f>-548.771412300562 -115.859196923767 -738.444388812382</f>
        <v>-1403.0749980367109</v>
      </c>
      <c r="P3834">
        <f>-565.848779583842 -113.417648092356 -422.392873265085</f>
        <v>-1101.6593009412829</v>
      </c>
      <c r="Q3834" t="s">
        <v>77079</v>
      </c>
      <c r="R3834" t="s">
        <v>77080</v>
      </c>
      <c r="S3834" t="s">
        <v>77081</v>
      </c>
      <c r="T3834" t="s">
        <v>77082</v>
      </c>
      <c r="U3834" t="s">
        <v>77083</v>
      </c>
      <c r="V3834" t="s">
        <v>77084</v>
      </c>
      <c r="W3834" t="s">
        <v>77085</v>
      </c>
      <c r="X3834" t="s">
        <v>77086</v>
      </c>
      <c r="Y3834" t="s">
        <v>77087</v>
      </c>
    </row>
    <row r="3835" spans="1:25" x14ac:dyDescent="0.3">
      <c r="A3835">
        <v>191700</v>
      </c>
      <c r="B3835" t="s">
        <v>77088</v>
      </c>
      <c r="C3835" t="s">
        <v>77089</v>
      </c>
      <c r="D3835" t="s">
        <v>77090</v>
      </c>
      <c r="E3835" t="s">
        <v>77091</v>
      </c>
      <c r="F3835" t="s">
        <v>77092</v>
      </c>
      <c r="G3835" t="s">
        <v>77093</v>
      </c>
      <c r="H3835" t="s">
        <v>77094</v>
      </c>
      <c r="I3835" t="s">
        <v>77095</v>
      </c>
      <c r="J3835" t="s">
        <v>77096</v>
      </c>
      <c r="K3835" t="s">
        <v>77097</v>
      </c>
      <c r="L3835" t="s">
        <v>77098</v>
      </c>
      <c r="M3835" t="s">
        <v>77099</v>
      </c>
      <c r="N3835" t="s">
        <v>77100</v>
      </c>
      <c r="O3835">
        <f>-548.784108047729 -115.903837179023 -738.381642663773</f>
        <v>-1403.0695878905249</v>
      </c>
      <c r="P3835">
        <f>-565.739753362968 -113.37913684569 -422.324069998265</f>
        <v>-1101.4429602069231</v>
      </c>
      <c r="Q3835" t="s">
        <v>77101</v>
      </c>
      <c r="R3835" t="s">
        <v>77102</v>
      </c>
      <c r="S3835" t="s">
        <v>77103</v>
      </c>
      <c r="T3835" t="s">
        <v>77104</v>
      </c>
      <c r="U3835" t="s">
        <v>77105</v>
      </c>
      <c r="V3835" t="s">
        <v>77106</v>
      </c>
      <c r="W3835" t="s">
        <v>77107</v>
      </c>
      <c r="X3835" t="s">
        <v>77108</v>
      </c>
      <c r="Y3835" t="s">
        <v>77109</v>
      </c>
    </row>
    <row r="3836" spans="1:25" x14ac:dyDescent="0.3">
      <c r="A3836">
        <v>191750</v>
      </c>
      <c r="B3836" t="s">
        <v>77110</v>
      </c>
      <c r="C3836" t="s">
        <v>77111</v>
      </c>
      <c r="D3836" t="s">
        <v>77112</v>
      </c>
      <c r="E3836" t="s">
        <v>77113</v>
      </c>
      <c r="F3836" t="s">
        <v>77114</v>
      </c>
      <c r="G3836" t="s">
        <v>77115</v>
      </c>
      <c r="H3836" t="s">
        <v>77116</v>
      </c>
      <c r="I3836" t="s">
        <v>77117</v>
      </c>
      <c r="J3836" t="s">
        <v>77118</v>
      </c>
      <c r="K3836" t="s">
        <v>77119</v>
      </c>
      <c r="L3836" t="s">
        <v>77120</v>
      </c>
      <c r="M3836" t="s">
        <v>77121</v>
      </c>
      <c r="N3836" t="s">
        <v>77122</v>
      </c>
      <c r="O3836">
        <f>-549.037447722149 -115.825115723849 -738.35161987301</f>
        <v>-1403.214183319008</v>
      </c>
      <c r="P3836">
        <f>-566.015417693378 -113.078322925711 -422.297222721801</f>
        <v>-1101.39096334089</v>
      </c>
      <c r="Q3836" t="s">
        <v>77123</v>
      </c>
      <c r="R3836" t="s">
        <v>77124</v>
      </c>
      <c r="S3836" t="s">
        <v>77125</v>
      </c>
      <c r="T3836" t="s">
        <v>77126</v>
      </c>
      <c r="U3836" t="s">
        <v>77127</v>
      </c>
      <c r="V3836" t="s">
        <v>77128</v>
      </c>
      <c r="W3836" t="s">
        <v>77129</v>
      </c>
      <c r="X3836" t="s">
        <v>77130</v>
      </c>
      <c r="Y3836" t="s">
        <v>77131</v>
      </c>
    </row>
    <row r="3837" spans="1:25" x14ac:dyDescent="0.3">
      <c r="A3837">
        <v>191800</v>
      </c>
      <c r="B3837" t="s">
        <v>77132</v>
      </c>
      <c r="C3837" t="s">
        <v>77133</v>
      </c>
      <c r="D3837" t="s">
        <v>77134</v>
      </c>
      <c r="E3837" t="s">
        <v>77135</v>
      </c>
      <c r="F3837" t="s">
        <v>77136</v>
      </c>
      <c r="G3837" t="s">
        <v>77137</v>
      </c>
      <c r="H3837" t="s">
        <v>77138</v>
      </c>
      <c r="I3837" t="s">
        <v>77139</v>
      </c>
      <c r="J3837" t="s">
        <v>77140</v>
      </c>
      <c r="K3837" t="s">
        <v>77141</v>
      </c>
      <c r="L3837" t="s">
        <v>77142</v>
      </c>
      <c r="M3837" t="s">
        <v>77143</v>
      </c>
      <c r="N3837" t="s">
        <v>77144</v>
      </c>
      <c r="O3837">
        <f>-549.785030926904 -115.751533580252 -738.160027758871</f>
        <v>-1403.696592266027</v>
      </c>
      <c r="P3837">
        <f>-566.374813998237 -113.091110036901 -422.084219624237</f>
        <v>-1101.550143659375</v>
      </c>
      <c r="Q3837" t="s">
        <v>77145</v>
      </c>
      <c r="R3837" t="s">
        <v>77146</v>
      </c>
      <c r="S3837" t="s">
        <v>77147</v>
      </c>
      <c r="T3837" t="s">
        <v>77148</v>
      </c>
      <c r="U3837" t="s">
        <v>77149</v>
      </c>
      <c r="V3837" t="s">
        <v>77150</v>
      </c>
      <c r="W3837" t="s">
        <v>77151</v>
      </c>
      <c r="X3837" t="s">
        <v>77152</v>
      </c>
      <c r="Y3837" t="s">
        <v>77153</v>
      </c>
    </row>
    <row r="3838" spans="1:25" x14ac:dyDescent="0.3">
      <c r="A3838">
        <v>191850</v>
      </c>
      <c r="B3838" t="s">
        <v>77154</v>
      </c>
      <c r="C3838" t="s">
        <v>77155</v>
      </c>
      <c r="D3838" t="s">
        <v>77156</v>
      </c>
      <c r="E3838" t="s">
        <v>77157</v>
      </c>
      <c r="F3838" t="s">
        <v>77158</v>
      </c>
      <c r="G3838" t="s">
        <v>77159</v>
      </c>
      <c r="H3838" t="s">
        <v>77160</v>
      </c>
      <c r="I3838" t="s">
        <v>77161</v>
      </c>
      <c r="J3838" t="s">
        <v>77162</v>
      </c>
      <c r="K3838" t="s">
        <v>77163</v>
      </c>
      <c r="L3838" t="s">
        <v>77164</v>
      </c>
      <c r="M3838" t="s">
        <v>77165</v>
      </c>
      <c r="N3838" t="s">
        <v>77166</v>
      </c>
      <c r="O3838">
        <f>-550.095600854694 -115.616925717295 -738.062292055461</f>
        <v>-1403.7748186274498</v>
      </c>
      <c r="P3838">
        <f>-566.485228017177 -112.82045193224 -421.97725016546</f>
        <v>-1101.282930114877</v>
      </c>
      <c r="Q3838" t="s">
        <v>77167</v>
      </c>
      <c r="R3838" t="s">
        <v>77168</v>
      </c>
      <c r="S3838" t="s">
        <v>77169</v>
      </c>
      <c r="T3838" t="s">
        <v>77170</v>
      </c>
      <c r="U3838" t="s">
        <v>77171</v>
      </c>
      <c r="V3838" t="s">
        <v>77172</v>
      </c>
      <c r="W3838" t="s">
        <v>77173</v>
      </c>
      <c r="X3838" t="s">
        <v>77174</v>
      </c>
      <c r="Y3838" t="s">
        <v>77175</v>
      </c>
    </row>
    <row r="3839" spans="1:25" x14ac:dyDescent="0.3">
      <c r="A3839">
        <v>191900</v>
      </c>
      <c r="B3839" t="s">
        <v>77176</v>
      </c>
      <c r="C3839" t="s">
        <v>77177</v>
      </c>
      <c r="D3839" t="s">
        <v>77178</v>
      </c>
      <c r="E3839" t="s">
        <v>77179</v>
      </c>
      <c r="F3839" t="s">
        <v>77180</v>
      </c>
      <c r="G3839" t="s">
        <v>77181</v>
      </c>
      <c r="H3839" t="s">
        <v>77182</v>
      </c>
      <c r="I3839" t="s">
        <v>77183</v>
      </c>
      <c r="J3839" t="s">
        <v>77184</v>
      </c>
      <c r="K3839" t="s">
        <v>77185</v>
      </c>
      <c r="L3839" t="s">
        <v>77186</v>
      </c>
      <c r="M3839" t="s">
        <v>77187</v>
      </c>
      <c r="N3839" t="s">
        <v>77188</v>
      </c>
      <c r="O3839">
        <f>-550.027349237086 -115.419704211567 -738.01597620056</f>
        <v>-1403.463029649213</v>
      </c>
      <c r="P3839">
        <f>-566.350198586254 -112.634030058055 -421.927505897877</f>
        <v>-1100.911734542186</v>
      </c>
      <c r="Q3839" t="s">
        <v>77189</v>
      </c>
      <c r="R3839" t="s">
        <v>77190</v>
      </c>
      <c r="S3839" t="s">
        <v>77191</v>
      </c>
      <c r="T3839" t="s">
        <v>77192</v>
      </c>
      <c r="U3839" t="s">
        <v>77193</v>
      </c>
      <c r="V3839" t="s">
        <v>77194</v>
      </c>
      <c r="W3839" t="s">
        <v>77195</v>
      </c>
      <c r="X3839" t="s">
        <v>77196</v>
      </c>
      <c r="Y3839" t="s">
        <v>77197</v>
      </c>
    </row>
    <row r="3840" spans="1:25" x14ac:dyDescent="0.3">
      <c r="A3840">
        <v>191950</v>
      </c>
      <c r="B3840" t="s">
        <v>77198</v>
      </c>
      <c r="C3840" t="s">
        <v>77199</v>
      </c>
      <c r="D3840" t="s">
        <v>77200</v>
      </c>
      <c r="E3840" t="s">
        <v>77201</v>
      </c>
      <c r="F3840" t="s">
        <v>77202</v>
      </c>
      <c r="G3840" t="s">
        <v>77203</v>
      </c>
      <c r="H3840" t="s">
        <v>77204</v>
      </c>
      <c r="I3840" t="s">
        <v>77205</v>
      </c>
      <c r="J3840" t="s">
        <v>77206</v>
      </c>
      <c r="K3840" t="s">
        <v>77207</v>
      </c>
      <c r="L3840" t="s">
        <v>77208</v>
      </c>
      <c r="M3840" t="s">
        <v>77209</v>
      </c>
      <c r="N3840" t="s">
        <v>77210</v>
      </c>
      <c r="O3840">
        <f>-550.317171456473 -115.174006359545 -737.898951729645</f>
        <v>-1403.3901295456631</v>
      </c>
      <c r="P3840">
        <f>-566.37321121772 -112.5427111681 -421.795509249497</f>
        <v>-1100.711431635317</v>
      </c>
      <c r="Q3840" t="s">
        <v>77211</v>
      </c>
      <c r="R3840" t="s">
        <v>77212</v>
      </c>
      <c r="S3840" t="s">
        <v>77213</v>
      </c>
      <c r="T3840" t="s">
        <v>77214</v>
      </c>
      <c r="U3840" t="s">
        <v>77215</v>
      </c>
      <c r="V3840" t="s">
        <v>77216</v>
      </c>
      <c r="W3840" t="s">
        <v>77217</v>
      </c>
      <c r="X3840" t="s">
        <v>77218</v>
      </c>
      <c r="Y3840" t="s">
        <v>77219</v>
      </c>
    </row>
    <row r="3841" spans="1:25" x14ac:dyDescent="0.3">
      <c r="A3841">
        <v>192000</v>
      </c>
      <c r="B3841" t="s">
        <v>77220</v>
      </c>
      <c r="C3841" t="s">
        <v>77221</v>
      </c>
      <c r="D3841" t="s">
        <v>77222</v>
      </c>
      <c r="E3841" t="s">
        <v>77223</v>
      </c>
      <c r="F3841" t="s">
        <v>77224</v>
      </c>
      <c r="G3841" t="s">
        <v>77225</v>
      </c>
      <c r="H3841" t="s">
        <v>77226</v>
      </c>
      <c r="I3841" t="s">
        <v>77227</v>
      </c>
      <c r="J3841" t="s">
        <v>77228</v>
      </c>
      <c r="K3841" t="s">
        <v>77229</v>
      </c>
      <c r="L3841" t="s">
        <v>77230</v>
      </c>
      <c r="M3841" t="s">
        <v>77231</v>
      </c>
      <c r="N3841" t="s">
        <v>77232</v>
      </c>
      <c r="O3841">
        <f>-550.567973259871 -115.01804889771 -737.881655061683</f>
        <v>-1403.467677219264</v>
      </c>
      <c r="P3841">
        <f>-566.476352196833 -112.4191595205 -421.770240822235</f>
        <v>-1100.6657525395681</v>
      </c>
      <c r="Q3841" t="s">
        <v>77233</v>
      </c>
      <c r="R3841" t="s">
        <v>77234</v>
      </c>
      <c r="S3841" t="s">
        <v>77235</v>
      </c>
      <c r="T3841" t="s">
        <v>77236</v>
      </c>
      <c r="U3841" t="s">
        <v>77237</v>
      </c>
      <c r="V3841" t="s">
        <v>77238</v>
      </c>
      <c r="W3841" t="s">
        <v>77239</v>
      </c>
      <c r="X3841" t="s">
        <v>77240</v>
      </c>
      <c r="Y3841" t="s">
        <v>77241</v>
      </c>
    </row>
    <row r="3842" spans="1:25" x14ac:dyDescent="0.3">
      <c r="A3842">
        <v>192050</v>
      </c>
      <c r="B3842" t="s">
        <v>77242</v>
      </c>
      <c r="C3842" t="s">
        <v>77243</v>
      </c>
      <c r="D3842" t="s">
        <v>77244</v>
      </c>
      <c r="E3842" t="s">
        <v>77245</v>
      </c>
      <c r="F3842" t="s">
        <v>77246</v>
      </c>
      <c r="G3842" t="s">
        <v>77247</v>
      </c>
      <c r="H3842" t="s">
        <v>77248</v>
      </c>
      <c r="I3842" t="s">
        <v>77249</v>
      </c>
      <c r="J3842" t="s">
        <v>77250</v>
      </c>
      <c r="K3842" t="s">
        <v>77251</v>
      </c>
      <c r="L3842" t="s">
        <v>77252</v>
      </c>
      <c r="M3842" t="s">
        <v>77253</v>
      </c>
      <c r="N3842" t="s">
        <v>77254</v>
      </c>
      <c r="O3842">
        <f>-550.988665885909 -115.357317159084 -737.763004884517</f>
        <v>-1404.10898792951</v>
      </c>
      <c r="P3842">
        <f>-567.002339336042 -112.232845574435 -421.661841645395</f>
        <v>-1100.8970265558721</v>
      </c>
      <c r="Q3842" t="s">
        <v>77255</v>
      </c>
      <c r="R3842" t="s">
        <v>77256</v>
      </c>
      <c r="S3842" t="s">
        <v>77257</v>
      </c>
      <c r="T3842" t="s">
        <v>77258</v>
      </c>
      <c r="U3842" t="s">
        <v>77259</v>
      </c>
      <c r="V3842" t="s">
        <v>77260</v>
      </c>
      <c r="W3842" t="s">
        <v>77261</v>
      </c>
      <c r="X3842" t="s">
        <v>77262</v>
      </c>
      <c r="Y3842" t="s">
        <v>77263</v>
      </c>
    </row>
    <row r="3843" spans="1:25" x14ac:dyDescent="0.3">
      <c r="A3843">
        <v>192100</v>
      </c>
      <c r="B3843" t="s">
        <v>77264</v>
      </c>
      <c r="C3843" t="s">
        <v>77265</v>
      </c>
      <c r="D3843" t="s">
        <v>77266</v>
      </c>
      <c r="E3843" t="s">
        <v>77267</v>
      </c>
      <c r="F3843" t="s">
        <v>77268</v>
      </c>
      <c r="G3843" t="s">
        <v>77269</v>
      </c>
      <c r="H3843" t="s">
        <v>77270</v>
      </c>
      <c r="I3843" t="s">
        <v>77271</v>
      </c>
      <c r="J3843" t="s">
        <v>77272</v>
      </c>
      <c r="K3843" t="s">
        <v>77273</v>
      </c>
      <c r="L3843" t="s">
        <v>77274</v>
      </c>
      <c r="M3843" t="s">
        <v>77275</v>
      </c>
      <c r="N3843" t="s">
        <v>77276</v>
      </c>
      <c r="O3843">
        <f>-551.409874209337 -115.449637135025 -737.689829754374</f>
        <v>-1404.549341098736</v>
      </c>
      <c r="P3843">
        <f>-567.623163267045 -112.033770283624 -421.601756255336</f>
        <v>-1101.2586898060049</v>
      </c>
      <c r="Q3843" t="s">
        <v>77277</v>
      </c>
      <c r="R3843" t="s">
        <v>77278</v>
      </c>
      <c r="S3843" t="s">
        <v>77279</v>
      </c>
      <c r="T3843" t="s">
        <v>77280</v>
      </c>
      <c r="U3843" t="s">
        <v>77281</v>
      </c>
      <c r="V3843" t="s">
        <v>77282</v>
      </c>
      <c r="W3843" t="s">
        <v>77283</v>
      </c>
      <c r="X3843" t="s">
        <v>77284</v>
      </c>
      <c r="Y3843" t="s">
        <v>77285</v>
      </c>
    </row>
    <row r="3844" spans="1:25" x14ac:dyDescent="0.3">
      <c r="A3844">
        <v>192150</v>
      </c>
      <c r="B3844" t="s">
        <v>77286</v>
      </c>
      <c r="C3844" t="s">
        <v>77287</v>
      </c>
      <c r="D3844" t="s">
        <v>77288</v>
      </c>
      <c r="E3844" t="s">
        <v>77289</v>
      </c>
      <c r="F3844" t="s">
        <v>77290</v>
      </c>
      <c r="G3844" t="s">
        <v>77291</v>
      </c>
      <c r="H3844" t="s">
        <v>77292</v>
      </c>
      <c r="I3844" t="s">
        <v>77293</v>
      </c>
      <c r="J3844" t="s">
        <v>77294</v>
      </c>
      <c r="K3844" t="s">
        <v>77295</v>
      </c>
      <c r="L3844" t="s">
        <v>77296</v>
      </c>
      <c r="M3844" t="s">
        <v>77297</v>
      </c>
      <c r="N3844" t="s">
        <v>77298</v>
      </c>
      <c r="O3844">
        <f>-552.009446170651 -115.569802374775 -737.6378440589</f>
        <v>-1405.2170926043259</v>
      </c>
      <c r="P3844">
        <f>-568.549842991468 -111.947307113087 -421.569042902613</f>
        <v>-1102.0661930071681</v>
      </c>
      <c r="Q3844" t="s">
        <v>77299</v>
      </c>
      <c r="R3844" t="s">
        <v>77300</v>
      </c>
      <c r="S3844" t="s">
        <v>77301</v>
      </c>
      <c r="T3844" t="s">
        <v>77302</v>
      </c>
      <c r="U3844" t="s">
        <v>77303</v>
      </c>
      <c r="V3844" t="s">
        <v>77304</v>
      </c>
      <c r="W3844" t="s">
        <v>77305</v>
      </c>
      <c r="X3844" t="s">
        <v>77306</v>
      </c>
      <c r="Y3844" t="s">
        <v>77307</v>
      </c>
    </row>
    <row r="3845" spans="1:25" x14ac:dyDescent="0.3">
      <c r="A3845">
        <v>192200</v>
      </c>
      <c r="B3845" t="s">
        <v>77308</v>
      </c>
      <c r="C3845" t="s">
        <v>77309</v>
      </c>
      <c r="D3845" t="s">
        <v>77310</v>
      </c>
      <c r="E3845" t="s">
        <v>77311</v>
      </c>
      <c r="F3845" t="s">
        <v>77312</v>
      </c>
      <c r="G3845" t="s">
        <v>77313</v>
      </c>
      <c r="H3845" t="s">
        <v>77314</v>
      </c>
      <c r="I3845" t="s">
        <v>77315</v>
      </c>
      <c r="J3845" t="s">
        <v>77316</v>
      </c>
      <c r="K3845" t="s">
        <v>77317</v>
      </c>
      <c r="L3845" t="s">
        <v>77318</v>
      </c>
      <c r="M3845" t="s">
        <v>77319</v>
      </c>
      <c r="N3845" t="s">
        <v>77320</v>
      </c>
      <c r="O3845">
        <f>-552.546449006596 -115.550252386305 -737.637762099918</f>
        <v>-1405.734463492819</v>
      </c>
      <c r="P3845">
        <f>-569.045923039433 -112.045464225597 -421.56556249872</f>
        <v>-1102.6569497637499</v>
      </c>
      <c r="Q3845" t="s">
        <v>77321</v>
      </c>
      <c r="R3845" t="s">
        <v>77322</v>
      </c>
      <c r="S3845" t="s">
        <v>77323</v>
      </c>
      <c r="T3845" t="s">
        <v>77324</v>
      </c>
      <c r="U3845" t="s">
        <v>77325</v>
      </c>
      <c r="V3845" t="s">
        <v>77326</v>
      </c>
      <c r="W3845" t="s">
        <v>77327</v>
      </c>
      <c r="X3845" t="s">
        <v>77328</v>
      </c>
      <c r="Y3845" t="s">
        <v>77329</v>
      </c>
    </row>
    <row r="3846" spans="1:25" x14ac:dyDescent="0.3">
      <c r="A3846">
        <v>192250</v>
      </c>
      <c r="B3846" t="s">
        <v>77330</v>
      </c>
      <c r="C3846" t="s">
        <v>77331</v>
      </c>
      <c r="D3846" t="s">
        <v>77332</v>
      </c>
      <c r="E3846" t="s">
        <v>77333</v>
      </c>
      <c r="F3846" t="s">
        <v>77334</v>
      </c>
      <c r="G3846" t="s">
        <v>77335</v>
      </c>
      <c r="H3846" t="s">
        <v>77336</v>
      </c>
      <c r="I3846" t="s">
        <v>77337</v>
      </c>
      <c r="J3846" t="s">
        <v>77338</v>
      </c>
      <c r="K3846" t="s">
        <v>77339</v>
      </c>
      <c r="L3846" t="s">
        <v>77340</v>
      </c>
      <c r="M3846" t="s">
        <v>77341</v>
      </c>
      <c r="N3846" t="s">
        <v>77342</v>
      </c>
      <c r="O3846">
        <f>-553.414328438568 -115.359975927734 -737.775193156886</f>
        <v>-1406.5494975231879</v>
      </c>
      <c r="P3846">
        <f>-570.168503248941 -111.917230993561 -421.715671306272</f>
        <v>-1103.801405548774</v>
      </c>
      <c r="Q3846">
        <f>-342.367824895248 -0.220622259445278 -478.924172482885</f>
        <v>-821.51261963757838</v>
      </c>
      <c r="R3846" t="s">
        <v>77343</v>
      </c>
      <c r="S3846" t="s">
        <v>77344</v>
      </c>
      <c r="T3846" t="s">
        <v>77345</v>
      </c>
      <c r="U3846" t="s">
        <v>77346</v>
      </c>
      <c r="V3846" t="s">
        <v>77347</v>
      </c>
      <c r="W3846" t="s">
        <v>77348</v>
      </c>
      <c r="X3846" t="s">
        <v>77349</v>
      </c>
      <c r="Y3846" t="s">
        <v>77350</v>
      </c>
    </row>
    <row r="3847" spans="1:25" x14ac:dyDescent="0.3">
      <c r="A3847">
        <v>192300</v>
      </c>
      <c r="B3847" t="s">
        <v>77351</v>
      </c>
      <c r="C3847" t="s">
        <v>77352</v>
      </c>
      <c r="D3847" t="s">
        <v>77353</v>
      </c>
      <c r="E3847" t="s">
        <v>77354</v>
      </c>
      <c r="F3847" t="s">
        <v>77355</v>
      </c>
      <c r="G3847" t="s">
        <v>77356</v>
      </c>
      <c r="H3847" t="s">
        <v>77357</v>
      </c>
      <c r="I3847" t="s">
        <v>77358</v>
      </c>
      <c r="J3847" t="s">
        <v>77359</v>
      </c>
      <c r="K3847" t="s">
        <v>77360</v>
      </c>
      <c r="L3847" t="s">
        <v>77361</v>
      </c>
      <c r="M3847" t="s">
        <v>77362</v>
      </c>
      <c r="N3847" t="s">
        <v>77363</v>
      </c>
      <c r="O3847">
        <f>-554.001975922311 -115.054601420085 -737.867189959456</f>
        <v>-1406.923767301852</v>
      </c>
      <c r="P3847">
        <f>-570.839377890989 -111.774628832285 -421.810316443995</f>
        <v>-1104.424323167269</v>
      </c>
      <c r="Q3847">
        <f>-343.023743716628 -0.104723995857235 -479.010990899982</f>
        <v>-822.13945861246725</v>
      </c>
      <c r="R3847" t="s">
        <v>77364</v>
      </c>
      <c r="S3847" t="s">
        <v>77365</v>
      </c>
      <c r="T3847" t="s">
        <v>77366</v>
      </c>
      <c r="U3847" t="s">
        <v>77367</v>
      </c>
      <c r="V3847" t="s">
        <v>77368</v>
      </c>
      <c r="W3847" t="s">
        <v>77369</v>
      </c>
      <c r="X3847" t="s">
        <v>77370</v>
      </c>
      <c r="Y3847" t="s">
        <v>77371</v>
      </c>
    </row>
    <row r="3848" spans="1:25" x14ac:dyDescent="0.3">
      <c r="A3848">
        <v>192350</v>
      </c>
      <c r="B3848" t="s">
        <v>77372</v>
      </c>
      <c r="C3848" t="s">
        <v>77373</v>
      </c>
      <c r="D3848" t="s">
        <v>77374</v>
      </c>
      <c r="E3848" t="s">
        <v>77375</v>
      </c>
      <c r="F3848" t="s">
        <v>77376</v>
      </c>
      <c r="G3848" t="s">
        <v>77377</v>
      </c>
      <c r="H3848" t="s">
        <v>77378</v>
      </c>
      <c r="I3848" t="s">
        <v>77379</v>
      </c>
      <c r="J3848" t="s">
        <v>77380</v>
      </c>
      <c r="K3848" t="s">
        <v>77381</v>
      </c>
      <c r="L3848" t="s">
        <v>77382</v>
      </c>
      <c r="M3848" t="s">
        <v>77383</v>
      </c>
      <c r="N3848" t="s">
        <v>77384</v>
      </c>
      <c r="O3848">
        <f>-555.108179663655 -114.246967374461 -738.094325441935</f>
        <v>-1407.4494724800511</v>
      </c>
      <c r="P3848">
        <f>-572.117042120616 -111.025283407135 -422.046043450067</f>
        <v>-1105.1883689778181</v>
      </c>
      <c r="Q3848" t="s">
        <v>77385</v>
      </c>
      <c r="R3848" t="s">
        <v>77386</v>
      </c>
      <c r="S3848" t="s">
        <v>77387</v>
      </c>
      <c r="T3848" t="s">
        <v>77388</v>
      </c>
      <c r="U3848" t="s">
        <v>77389</v>
      </c>
      <c r="V3848" t="s">
        <v>77390</v>
      </c>
      <c r="W3848" t="s">
        <v>77391</v>
      </c>
      <c r="X3848" t="s">
        <v>77392</v>
      </c>
      <c r="Y3848" t="s">
        <v>77393</v>
      </c>
    </row>
    <row r="3849" spans="1:25" x14ac:dyDescent="0.3">
      <c r="A3849">
        <v>192400</v>
      </c>
      <c r="B3849" t="s">
        <v>77394</v>
      </c>
      <c r="C3849" t="s">
        <v>77395</v>
      </c>
      <c r="D3849" t="s">
        <v>77396</v>
      </c>
      <c r="E3849" t="s">
        <v>77397</v>
      </c>
      <c r="F3849" t="s">
        <v>77398</v>
      </c>
      <c r="G3849" t="s">
        <v>77399</v>
      </c>
      <c r="H3849" t="s">
        <v>77400</v>
      </c>
      <c r="I3849" t="s">
        <v>77401</v>
      </c>
      <c r="J3849" t="s">
        <v>77402</v>
      </c>
      <c r="K3849" t="s">
        <v>77403</v>
      </c>
      <c r="L3849" t="s">
        <v>77404</v>
      </c>
      <c r="M3849" t="s">
        <v>77405</v>
      </c>
      <c r="N3849" t="s">
        <v>77406</v>
      </c>
      <c r="O3849">
        <f>-555.528510649274 -113.728411683559 -738.201771442327</f>
        <v>-1407.4586937751601</v>
      </c>
      <c r="P3849">
        <f>-572.632756868227 -110.590764226094 -422.157879481533</f>
        <v>-1105.3814005758541</v>
      </c>
      <c r="Q3849" t="s">
        <v>77407</v>
      </c>
      <c r="R3849" t="s">
        <v>77408</v>
      </c>
      <c r="S3849" t="s">
        <v>77409</v>
      </c>
      <c r="T3849" t="s">
        <v>77410</v>
      </c>
      <c r="U3849" t="s">
        <v>77411</v>
      </c>
      <c r="V3849" t="s">
        <v>77412</v>
      </c>
      <c r="W3849" t="s">
        <v>77413</v>
      </c>
      <c r="X3849" t="s">
        <v>77414</v>
      </c>
      <c r="Y3849" t="s">
        <v>77415</v>
      </c>
    </row>
    <row r="3850" spans="1:25" x14ac:dyDescent="0.3">
      <c r="A3850">
        <v>192450</v>
      </c>
      <c r="B3850" t="s">
        <v>77416</v>
      </c>
      <c r="C3850" t="s">
        <v>77417</v>
      </c>
      <c r="D3850" t="s">
        <v>77418</v>
      </c>
      <c r="E3850" t="s">
        <v>77419</v>
      </c>
      <c r="F3850" t="s">
        <v>77420</v>
      </c>
      <c r="G3850" t="s">
        <v>77421</v>
      </c>
      <c r="H3850" t="s">
        <v>77422</v>
      </c>
      <c r="I3850" t="s">
        <v>77423</v>
      </c>
      <c r="J3850" t="s">
        <v>77424</v>
      </c>
      <c r="K3850" t="s">
        <v>77425</v>
      </c>
      <c r="L3850" t="s">
        <v>77426</v>
      </c>
      <c r="M3850" t="s">
        <v>77427</v>
      </c>
      <c r="N3850" t="s">
        <v>77428</v>
      </c>
      <c r="O3850">
        <f>-555.208262760633 -113.236831109521 -738.309267263205</f>
        <v>-1406.754361133359</v>
      </c>
      <c r="P3850">
        <f>-572.486145561724 -110.08874627148 -422.274835454237</f>
        <v>-1104.8497272874411</v>
      </c>
      <c r="Q3850" t="s">
        <v>77429</v>
      </c>
      <c r="R3850" t="s">
        <v>77430</v>
      </c>
      <c r="S3850" t="s">
        <v>77431</v>
      </c>
      <c r="T3850" t="s">
        <v>77432</v>
      </c>
      <c r="U3850" t="s">
        <v>77433</v>
      </c>
      <c r="V3850" t="s">
        <v>77434</v>
      </c>
      <c r="W3850" t="s">
        <v>77435</v>
      </c>
      <c r="X3850" t="s">
        <v>77436</v>
      </c>
      <c r="Y3850" t="s">
        <v>77437</v>
      </c>
    </row>
    <row r="3851" spans="1:25" x14ac:dyDescent="0.3">
      <c r="A3851">
        <v>192500</v>
      </c>
      <c r="B3851" t="s">
        <v>77438</v>
      </c>
      <c r="C3851" t="s">
        <v>77439</v>
      </c>
      <c r="D3851" t="s">
        <v>77440</v>
      </c>
      <c r="E3851" t="s">
        <v>77441</v>
      </c>
      <c r="F3851" t="s">
        <v>77442</v>
      </c>
      <c r="G3851" t="s">
        <v>77443</v>
      </c>
      <c r="H3851" t="s">
        <v>77444</v>
      </c>
      <c r="I3851" t="s">
        <v>77445</v>
      </c>
      <c r="J3851" t="s">
        <v>77446</v>
      </c>
      <c r="K3851" t="s">
        <v>77447</v>
      </c>
      <c r="L3851" t="s">
        <v>77448</v>
      </c>
      <c r="M3851" t="s">
        <v>77449</v>
      </c>
      <c r="N3851" t="s">
        <v>77450</v>
      </c>
      <c r="O3851">
        <f>-554.923973380572 -112.741647198821 -738.337520809508</f>
        <v>-1406.003141388901</v>
      </c>
      <c r="P3851">
        <f>-572.392425675252 -109.550649837412 -422.314094257101</f>
        <v>-1104.2571697697649</v>
      </c>
      <c r="Q3851" t="s">
        <v>77451</v>
      </c>
      <c r="R3851" t="s">
        <v>77452</v>
      </c>
      <c r="S3851" t="s">
        <v>77453</v>
      </c>
      <c r="T3851" t="s">
        <v>77454</v>
      </c>
      <c r="U3851" t="s">
        <v>77455</v>
      </c>
      <c r="V3851" t="s">
        <v>77456</v>
      </c>
      <c r="W3851" t="s">
        <v>77457</v>
      </c>
      <c r="X3851" t="s">
        <v>77458</v>
      </c>
      <c r="Y3851" t="s">
        <v>77459</v>
      </c>
    </row>
    <row r="3852" spans="1:25" x14ac:dyDescent="0.3">
      <c r="A3852">
        <v>192550</v>
      </c>
      <c r="B3852" t="s">
        <v>77460</v>
      </c>
      <c r="C3852" t="s">
        <v>77461</v>
      </c>
      <c r="D3852" t="s">
        <v>77462</v>
      </c>
      <c r="E3852" t="s">
        <v>77463</v>
      </c>
      <c r="F3852" t="s">
        <v>77464</v>
      </c>
      <c r="G3852" t="s">
        <v>77465</v>
      </c>
      <c r="H3852" t="s">
        <v>77466</v>
      </c>
      <c r="I3852" t="s">
        <v>77467</v>
      </c>
      <c r="J3852" t="s">
        <v>77468</v>
      </c>
      <c r="K3852" t="s">
        <v>77469</v>
      </c>
      <c r="L3852" t="s">
        <v>77470</v>
      </c>
      <c r="M3852" t="s">
        <v>77471</v>
      </c>
      <c r="N3852" t="s">
        <v>77472</v>
      </c>
      <c r="O3852">
        <f>-554.393822913354 -112.027718979131 -738.370908339248</f>
        <v>-1404.792450231733</v>
      </c>
      <c r="P3852">
        <f>-572.086118957573 -109.049444006866 -422.35780371001</f>
        <v>-1103.4933666744491</v>
      </c>
      <c r="Q3852" t="s">
        <v>77473</v>
      </c>
      <c r="R3852" t="s">
        <v>77474</v>
      </c>
      <c r="S3852" t="s">
        <v>77475</v>
      </c>
      <c r="T3852" t="s">
        <v>77476</v>
      </c>
      <c r="U3852" t="s">
        <v>77477</v>
      </c>
      <c r="V3852" t="s">
        <v>77478</v>
      </c>
      <c r="W3852" t="s">
        <v>77479</v>
      </c>
      <c r="X3852" t="s">
        <v>77480</v>
      </c>
      <c r="Y3852" t="s">
        <v>77481</v>
      </c>
    </row>
    <row r="3853" spans="1:25" x14ac:dyDescent="0.3">
      <c r="A3853">
        <v>192600</v>
      </c>
      <c r="B3853" t="s">
        <v>77482</v>
      </c>
      <c r="C3853" t="s">
        <v>77483</v>
      </c>
      <c r="D3853" t="s">
        <v>77484</v>
      </c>
      <c r="E3853" t="s">
        <v>77485</v>
      </c>
      <c r="F3853" t="s">
        <v>77486</v>
      </c>
      <c r="G3853" t="s">
        <v>77487</v>
      </c>
      <c r="H3853" t="s">
        <v>77488</v>
      </c>
      <c r="I3853" t="s">
        <v>77489</v>
      </c>
      <c r="J3853" t="s">
        <v>77490</v>
      </c>
      <c r="K3853" t="s">
        <v>77491</v>
      </c>
      <c r="L3853" t="s">
        <v>77492</v>
      </c>
      <c r="M3853" t="s">
        <v>77493</v>
      </c>
      <c r="N3853" t="s">
        <v>77494</v>
      </c>
      <c r="O3853">
        <f>-554.489260339113 -111.692566119779 -738.476921339323</f>
        <v>-1404.658747798215</v>
      </c>
      <c r="P3853">
        <f>-572.179778444982 -109.043505448378 -422.460729234664</f>
        <v>-1103.6840131280242</v>
      </c>
      <c r="Q3853" t="s">
        <v>77495</v>
      </c>
      <c r="R3853" t="s">
        <v>77496</v>
      </c>
      <c r="S3853" t="s">
        <v>77497</v>
      </c>
      <c r="T3853" t="s">
        <v>77498</v>
      </c>
      <c r="U3853" t="s">
        <v>77499</v>
      </c>
      <c r="V3853" t="s">
        <v>77500</v>
      </c>
      <c r="W3853" t="s">
        <v>77501</v>
      </c>
      <c r="X3853" t="s">
        <v>77502</v>
      </c>
      <c r="Y3853" t="s">
        <v>77503</v>
      </c>
    </row>
    <row r="3854" spans="1:25" x14ac:dyDescent="0.3">
      <c r="A3854">
        <v>192650</v>
      </c>
      <c r="B3854" t="s">
        <v>77504</v>
      </c>
      <c r="C3854" t="s">
        <v>77505</v>
      </c>
      <c r="D3854" t="s">
        <v>77506</v>
      </c>
      <c r="E3854" t="s">
        <v>77507</v>
      </c>
      <c r="F3854" t="s">
        <v>77508</v>
      </c>
      <c r="G3854" t="s">
        <v>77509</v>
      </c>
      <c r="H3854" t="s">
        <v>77510</v>
      </c>
      <c r="I3854" t="s">
        <v>77511</v>
      </c>
      <c r="J3854" t="s">
        <v>77512</v>
      </c>
      <c r="K3854" t="s">
        <v>77513</v>
      </c>
      <c r="L3854" t="s">
        <v>77514</v>
      </c>
      <c r="M3854" t="s">
        <v>77515</v>
      </c>
      <c r="N3854" t="s">
        <v>77516</v>
      </c>
      <c r="O3854">
        <f>-554.786207691442 -111.672589584315 -738.672297281186</f>
        <v>-1405.131094556943</v>
      </c>
      <c r="P3854">
        <f>-572.447641871128 -109.700153443372 -422.649644949287</f>
        <v>-1104.7974402637869</v>
      </c>
      <c r="Q3854" t="s">
        <v>77517</v>
      </c>
      <c r="R3854" t="s">
        <v>77518</v>
      </c>
      <c r="S3854" t="s">
        <v>77519</v>
      </c>
      <c r="T3854" t="s">
        <v>77520</v>
      </c>
      <c r="U3854" t="s">
        <v>77521</v>
      </c>
      <c r="V3854" t="s">
        <v>77522</v>
      </c>
      <c r="W3854" t="s">
        <v>77523</v>
      </c>
      <c r="X3854" t="s">
        <v>77524</v>
      </c>
      <c r="Y3854" t="s">
        <v>77525</v>
      </c>
    </row>
    <row r="3855" spans="1:25" x14ac:dyDescent="0.3">
      <c r="A3855">
        <v>192700</v>
      </c>
      <c r="B3855" t="s">
        <v>77526</v>
      </c>
      <c r="C3855" t="s">
        <v>77527</v>
      </c>
      <c r="D3855" t="s">
        <v>77528</v>
      </c>
      <c r="E3855" t="s">
        <v>77529</v>
      </c>
      <c r="F3855" t="s">
        <v>77530</v>
      </c>
      <c r="G3855" t="s">
        <v>77531</v>
      </c>
      <c r="H3855" t="s">
        <v>77532</v>
      </c>
      <c r="I3855" t="s">
        <v>77533</v>
      </c>
      <c r="J3855" t="s">
        <v>77534</v>
      </c>
      <c r="K3855" t="s">
        <v>77535</v>
      </c>
      <c r="L3855" t="s">
        <v>77536</v>
      </c>
      <c r="M3855" t="s">
        <v>77537</v>
      </c>
      <c r="N3855" t="s">
        <v>77538</v>
      </c>
      <c r="O3855">
        <f>-555.089538697525 -111.545092580642 -738.762189010849</f>
        <v>-1405.396820289016</v>
      </c>
      <c r="P3855">
        <f>-572.434768790858 -110.209584669559 -422.718664534924</f>
        <v>-1105.3630179953411</v>
      </c>
      <c r="Q3855" t="s">
        <v>77539</v>
      </c>
      <c r="R3855" t="s">
        <v>77540</v>
      </c>
      <c r="S3855" t="s">
        <v>77541</v>
      </c>
      <c r="T3855" t="s">
        <v>77542</v>
      </c>
      <c r="U3855" t="s">
        <v>77543</v>
      </c>
      <c r="V3855" t="s">
        <v>77544</v>
      </c>
      <c r="W3855" t="s">
        <v>77545</v>
      </c>
      <c r="X3855" t="s">
        <v>77546</v>
      </c>
      <c r="Y3855" t="s">
        <v>77547</v>
      </c>
    </row>
    <row r="3856" spans="1:25" x14ac:dyDescent="0.3">
      <c r="A3856">
        <v>192750</v>
      </c>
      <c r="B3856" t="s">
        <v>77548</v>
      </c>
      <c r="C3856" t="s">
        <v>77549</v>
      </c>
      <c r="D3856" t="s">
        <v>77550</v>
      </c>
      <c r="E3856" t="s">
        <v>77551</v>
      </c>
      <c r="F3856" t="s">
        <v>77552</v>
      </c>
      <c r="G3856" t="s">
        <v>77553</v>
      </c>
      <c r="H3856" t="s">
        <v>77554</v>
      </c>
      <c r="I3856" t="s">
        <v>77555</v>
      </c>
      <c r="J3856" t="s">
        <v>77556</v>
      </c>
      <c r="K3856" t="s">
        <v>77557</v>
      </c>
      <c r="L3856" t="s">
        <v>77558</v>
      </c>
      <c r="M3856" t="s">
        <v>77559</v>
      </c>
      <c r="N3856" t="s">
        <v>77560</v>
      </c>
      <c r="O3856">
        <f>-555.991802998896 -111.60327240909 -738.925953027892</f>
        <v>-1406.521028435878</v>
      </c>
      <c r="P3856">
        <f>-572.735711915679 -111.4146317593 -422.847096615423</f>
        <v>-1106.997440290402</v>
      </c>
      <c r="Q3856" t="s">
        <v>77561</v>
      </c>
      <c r="R3856" t="s">
        <v>77562</v>
      </c>
      <c r="S3856" t="s">
        <v>77563</v>
      </c>
      <c r="T3856" t="s">
        <v>77564</v>
      </c>
      <c r="U3856" t="s">
        <v>77565</v>
      </c>
      <c r="V3856" t="s">
        <v>77566</v>
      </c>
      <c r="W3856" t="s">
        <v>77567</v>
      </c>
      <c r="X3856" t="s">
        <v>77568</v>
      </c>
      <c r="Y3856" t="s">
        <v>77569</v>
      </c>
    </row>
    <row r="3857" spans="1:25" x14ac:dyDescent="0.3">
      <c r="A3857">
        <v>192800</v>
      </c>
      <c r="B3857" t="s">
        <v>77570</v>
      </c>
      <c r="C3857" t="s">
        <v>77571</v>
      </c>
      <c r="D3857" t="s">
        <v>77572</v>
      </c>
      <c r="E3857" t="s">
        <v>77573</v>
      </c>
      <c r="F3857" t="s">
        <v>77574</v>
      </c>
      <c r="G3857" t="s">
        <v>77575</v>
      </c>
      <c r="H3857" t="s">
        <v>77576</v>
      </c>
      <c r="I3857" t="s">
        <v>77577</v>
      </c>
      <c r="J3857" t="s">
        <v>77578</v>
      </c>
      <c r="K3857" t="s">
        <v>77579</v>
      </c>
      <c r="L3857" t="s">
        <v>77580</v>
      </c>
      <c r="M3857" t="s">
        <v>77581</v>
      </c>
      <c r="N3857" t="s">
        <v>77582</v>
      </c>
      <c r="O3857">
        <f>-556.408724315689 -111.692462166345 -739.06352224878</f>
        <v>-1407.164708730814</v>
      </c>
      <c r="P3857">
        <f>-572.855204951251 -111.856104749891 -422.969108982157</f>
        <v>-1107.680418683299</v>
      </c>
      <c r="Q3857" t="s">
        <v>77583</v>
      </c>
      <c r="R3857" t="s">
        <v>77584</v>
      </c>
      <c r="S3857" t="s">
        <v>77585</v>
      </c>
      <c r="T3857" t="s">
        <v>77586</v>
      </c>
      <c r="U3857" t="s">
        <v>77587</v>
      </c>
      <c r="V3857" t="s">
        <v>77588</v>
      </c>
      <c r="W3857" t="s">
        <v>77589</v>
      </c>
      <c r="X3857" t="s">
        <v>77590</v>
      </c>
      <c r="Y3857" t="s">
        <v>77591</v>
      </c>
    </row>
    <row r="3858" spans="1:25" x14ac:dyDescent="0.3">
      <c r="A3858">
        <v>192850</v>
      </c>
      <c r="B3858" t="s">
        <v>77592</v>
      </c>
      <c r="C3858" t="s">
        <v>77593</v>
      </c>
      <c r="D3858" t="s">
        <v>77594</v>
      </c>
      <c r="E3858" t="s">
        <v>77595</v>
      </c>
      <c r="F3858" t="s">
        <v>77596</v>
      </c>
      <c r="G3858" t="s">
        <v>77597</v>
      </c>
      <c r="H3858" t="s">
        <v>77598</v>
      </c>
      <c r="I3858" t="s">
        <v>77599</v>
      </c>
      <c r="J3858" t="s">
        <v>77600</v>
      </c>
      <c r="K3858" t="s">
        <v>77601</v>
      </c>
      <c r="L3858" t="s">
        <v>77602</v>
      </c>
      <c r="M3858" t="s">
        <v>77603</v>
      </c>
      <c r="N3858" t="s">
        <v>77604</v>
      </c>
      <c r="O3858">
        <f>-557.542565712976 -111.669112498439 -739.376965680655</f>
        <v>-1408.5886438920702</v>
      </c>
      <c r="P3858">
        <f>-573.177922373323 -112.927936653299 -423.243961696552</f>
        <v>-1109.3498207231739</v>
      </c>
      <c r="Q3858" t="s">
        <v>77605</v>
      </c>
      <c r="R3858" t="s">
        <v>77606</v>
      </c>
      <c r="S3858" t="s">
        <v>77607</v>
      </c>
      <c r="T3858" t="s">
        <v>77608</v>
      </c>
      <c r="U3858" t="s">
        <v>77609</v>
      </c>
      <c r="V3858" t="s">
        <v>77610</v>
      </c>
      <c r="W3858" t="s">
        <v>77611</v>
      </c>
      <c r="X3858" t="s">
        <v>77612</v>
      </c>
      <c r="Y3858" t="s">
        <v>77613</v>
      </c>
    </row>
    <row r="3859" spans="1:25" x14ac:dyDescent="0.3">
      <c r="A3859">
        <v>192900</v>
      </c>
      <c r="B3859" t="s">
        <v>77614</v>
      </c>
      <c r="C3859" t="s">
        <v>77615</v>
      </c>
      <c r="D3859" t="s">
        <v>77616</v>
      </c>
      <c r="E3859" t="s">
        <v>77617</v>
      </c>
      <c r="F3859" t="s">
        <v>77618</v>
      </c>
      <c r="G3859" t="s">
        <v>77619</v>
      </c>
      <c r="H3859" t="s">
        <v>77620</v>
      </c>
      <c r="I3859" t="s">
        <v>77621</v>
      </c>
      <c r="J3859" t="s">
        <v>77622</v>
      </c>
      <c r="K3859" t="s">
        <v>77623</v>
      </c>
      <c r="L3859" t="s">
        <v>77624</v>
      </c>
      <c r="M3859" t="s">
        <v>77625</v>
      </c>
      <c r="N3859" t="s">
        <v>77626</v>
      </c>
      <c r="O3859">
        <f>-558.194648591558 -111.619279404292 -739.624073193005</f>
        <v>-1409.438001188855</v>
      </c>
      <c r="P3859">
        <f>-573.544820786808 -113.316073566587 -423.479101780228</f>
        <v>-1110.3399961336231</v>
      </c>
      <c r="Q3859" t="s">
        <v>77627</v>
      </c>
      <c r="R3859" t="s">
        <v>77628</v>
      </c>
      <c r="S3859" t="s">
        <v>77629</v>
      </c>
      <c r="T3859" t="s">
        <v>77630</v>
      </c>
      <c r="U3859" t="s">
        <v>77631</v>
      </c>
      <c r="V3859" t="s">
        <v>77632</v>
      </c>
      <c r="W3859" t="s">
        <v>77633</v>
      </c>
      <c r="X3859" t="s">
        <v>77634</v>
      </c>
      <c r="Y3859" t="s">
        <v>77635</v>
      </c>
    </row>
    <row r="3860" spans="1:25" x14ac:dyDescent="0.3">
      <c r="A3860">
        <v>192950</v>
      </c>
      <c r="B3860" t="s">
        <v>77636</v>
      </c>
      <c r="C3860" t="s">
        <v>77637</v>
      </c>
      <c r="D3860" t="s">
        <v>77638</v>
      </c>
      <c r="E3860" t="s">
        <v>77639</v>
      </c>
      <c r="F3860" t="s">
        <v>77640</v>
      </c>
      <c r="G3860" t="s">
        <v>77641</v>
      </c>
      <c r="H3860" t="s">
        <v>77642</v>
      </c>
      <c r="I3860" t="s">
        <v>77643</v>
      </c>
      <c r="J3860" t="s">
        <v>77644</v>
      </c>
      <c r="K3860" t="s">
        <v>77645</v>
      </c>
      <c r="L3860" t="s">
        <v>77646</v>
      </c>
      <c r="M3860" t="s">
        <v>77647</v>
      </c>
      <c r="N3860" t="s">
        <v>77648</v>
      </c>
      <c r="O3860">
        <f>-559.087298515408 -111.39996366589 -740.006443025308</f>
        <v>-1410.4937052066061</v>
      </c>
      <c r="P3860">
        <f>-574.642203656734 -113.394720141534 -423.8731905866</f>
        <v>-1111.9101143848679</v>
      </c>
      <c r="Q3860" t="s">
        <v>77649</v>
      </c>
      <c r="R3860" t="s">
        <v>77650</v>
      </c>
      <c r="S3860" t="s">
        <v>77651</v>
      </c>
      <c r="T3860" t="s">
        <v>77652</v>
      </c>
      <c r="U3860" t="s">
        <v>77653</v>
      </c>
      <c r="V3860" t="s">
        <v>77654</v>
      </c>
      <c r="W3860" t="s">
        <v>77655</v>
      </c>
      <c r="X3860" t="s">
        <v>77656</v>
      </c>
      <c r="Y3860" t="s">
        <v>77657</v>
      </c>
    </row>
    <row r="3861" spans="1:25" x14ac:dyDescent="0.3">
      <c r="A3861">
        <v>193000</v>
      </c>
      <c r="B3861" t="s">
        <v>77658</v>
      </c>
      <c r="C3861" t="s">
        <v>77659</v>
      </c>
      <c r="D3861" t="s">
        <v>77660</v>
      </c>
      <c r="E3861" t="s">
        <v>77661</v>
      </c>
      <c r="F3861" t="s">
        <v>77662</v>
      </c>
      <c r="G3861" t="s">
        <v>77663</v>
      </c>
      <c r="H3861" t="s">
        <v>77664</v>
      </c>
      <c r="I3861" t="s">
        <v>77665</v>
      </c>
      <c r="J3861" t="s">
        <v>77666</v>
      </c>
      <c r="K3861" t="s">
        <v>77667</v>
      </c>
      <c r="L3861" t="s">
        <v>77668</v>
      </c>
      <c r="M3861" t="s">
        <v>77669</v>
      </c>
      <c r="N3861" t="s">
        <v>77670</v>
      </c>
      <c r="O3861">
        <f>-559.722583707004 -111.115722375848 -740.170301122153</f>
        <v>-1411.0086072050049</v>
      </c>
      <c r="P3861">
        <f>-575.54023755456 -113.041955117711 -424.049700299179</f>
        <v>-1112.63189297145</v>
      </c>
      <c r="Q3861" t="s">
        <v>77671</v>
      </c>
      <c r="R3861" t="s">
        <v>77672</v>
      </c>
      <c r="S3861" t="s">
        <v>77673</v>
      </c>
      <c r="T3861" t="s">
        <v>77674</v>
      </c>
      <c r="U3861" t="s">
        <v>77675</v>
      </c>
      <c r="V3861" t="s">
        <v>77676</v>
      </c>
      <c r="W3861" t="s">
        <v>77677</v>
      </c>
      <c r="X3861" t="s">
        <v>77678</v>
      </c>
      <c r="Y3861" t="s">
        <v>77679</v>
      </c>
    </row>
    <row r="3862" spans="1:25" x14ac:dyDescent="0.3">
      <c r="A3862">
        <v>193050</v>
      </c>
      <c r="B3862" t="s">
        <v>77680</v>
      </c>
      <c r="C3862" t="s">
        <v>77681</v>
      </c>
      <c r="D3862" t="s">
        <v>77682</v>
      </c>
      <c r="E3862" t="s">
        <v>77683</v>
      </c>
      <c r="F3862" t="s">
        <v>77684</v>
      </c>
      <c r="G3862" t="s">
        <v>77685</v>
      </c>
      <c r="H3862" t="s">
        <v>77686</v>
      </c>
      <c r="I3862" t="s">
        <v>77687</v>
      </c>
      <c r="J3862" t="s">
        <v>77688</v>
      </c>
      <c r="K3862" t="s">
        <v>77689</v>
      </c>
      <c r="L3862" t="s">
        <v>77690</v>
      </c>
      <c r="M3862" t="s">
        <v>77691</v>
      </c>
      <c r="N3862" t="s">
        <v>77692</v>
      </c>
      <c r="O3862">
        <f>-560.613505936356 -111.023199108674 -740.513959142039</f>
        <v>-1412.150664187069</v>
      </c>
      <c r="P3862">
        <f>-576.814432561159 -113.0825016319 -424.413493820232</f>
        <v>-1114.3104280132911</v>
      </c>
      <c r="Q3862" t="s">
        <v>77693</v>
      </c>
      <c r="R3862" t="s">
        <v>77694</v>
      </c>
      <c r="S3862" t="s">
        <v>77695</v>
      </c>
      <c r="T3862" t="s">
        <v>77696</v>
      </c>
      <c r="U3862" t="s">
        <v>77697</v>
      </c>
      <c r="V3862" t="s">
        <v>77698</v>
      </c>
      <c r="W3862" t="s">
        <v>77699</v>
      </c>
      <c r="X3862" t="s">
        <v>77700</v>
      </c>
      <c r="Y3862" t="s">
        <v>77701</v>
      </c>
    </row>
    <row r="3863" spans="1:25" x14ac:dyDescent="0.3">
      <c r="A3863">
        <v>193100</v>
      </c>
      <c r="B3863" t="s">
        <v>77702</v>
      </c>
      <c r="C3863" t="s">
        <v>77703</v>
      </c>
      <c r="D3863" t="s">
        <v>77704</v>
      </c>
      <c r="E3863" t="s">
        <v>77705</v>
      </c>
      <c r="F3863" t="s">
        <v>77706</v>
      </c>
      <c r="G3863" t="s">
        <v>77707</v>
      </c>
      <c r="H3863" t="s">
        <v>77708</v>
      </c>
      <c r="I3863" t="s">
        <v>77709</v>
      </c>
      <c r="J3863" t="s">
        <v>77710</v>
      </c>
      <c r="K3863" t="s">
        <v>77711</v>
      </c>
      <c r="L3863" t="s">
        <v>77712</v>
      </c>
      <c r="M3863" t="s">
        <v>77713</v>
      </c>
      <c r="N3863" t="s">
        <v>77714</v>
      </c>
      <c r="O3863">
        <f>-561.060868007398 -110.959645829084 -740.624381279237</f>
        <v>-1412.644895115719</v>
      </c>
      <c r="P3863">
        <f>-577.260296391394 -113.085596468846 -424.524296180666</f>
        <v>-1114.8701890409061</v>
      </c>
      <c r="Q3863" t="s">
        <v>77715</v>
      </c>
      <c r="R3863" t="s">
        <v>77716</v>
      </c>
      <c r="S3863" t="s">
        <v>77717</v>
      </c>
      <c r="T3863" t="s">
        <v>77718</v>
      </c>
      <c r="U3863" t="s">
        <v>77719</v>
      </c>
      <c r="V3863" t="s">
        <v>77720</v>
      </c>
      <c r="W3863" t="s">
        <v>77721</v>
      </c>
      <c r="X3863" t="s">
        <v>77722</v>
      </c>
      <c r="Y3863" t="s">
        <v>77723</v>
      </c>
    </row>
    <row r="3864" spans="1:25" x14ac:dyDescent="0.3">
      <c r="A3864">
        <v>193150</v>
      </c>
      <c r="B3864" t="s">
        <v>77724</v>
      </c>
      <c r="C3864" t="s">
        <v>77725</v>
      </c>
      <c r="D3864" t="s">
        <v>77726</v>
      </c>
      <c r="E3864" t="s">
        <v>77727</v>
      </c>
      <c r="F3864" t="s">
        <v>77728</v>
      </c>
      <c r="G3864" t="s">
        <v>77729</v>
      </c>
      <c r="H3864" t="s">
        <v>77730</v>
      </c>
      <c r="I3864" t="s">
        <v>77731</v>
      </c>
      <c r="J3864" t="s">
        <v>77732</v>
      </c>
      <c r="K3864" t="s">
        <v>77733</v>
      </c>
      <c r="L3864" t="s">
        <v>77734</v>
      </c>
      <c r="M3864" t="s">
        <v>77735</v>
      </c>
      <c r="N3864" t="s">
        <v>77736</v>
      </c>
      <c r="O3864">
        <f>-561.289981746529 -111.091778176624 -740.778583124457</f>
        <v>-1413.1603430476098</v>
      </c>
      <c r="P3864">
        <f>-577.441731322184 -113.421184541856 -424.677396499383</f>
        <v>-1115.5403123634228</v>
      </c>
      <c r="Q3864" t="s">
        <v>77737</v>
      </c>
      <c r="R3864" t="s">
        <v>77738</v>
      </c>
      <c r="S3864" t="s">
        <v>77739</v>
      </c>
      <c r="T3864" t="s">
        <v>77740</v>
      </c>
      <c r="U3864" t="s">
        <v>77741</v>
      </c>
      <c r="V3864" t="s">
        <v>77742</v>
      </c>
      <c r="W3864" t="s">
        <v>77743</v>
      </c>
      <c r="X3864" t="s">
        <v>77744</v>
      </c>
      <c r="Y3864" t="s">
        <v>77745</v>
      </c>
    </row>
    <row r="3865" spans="1:25" x14ac:dyDescent="0.3">
      <c r="A3865">
        <v>193200</v>
      </c>
      <c r="B3865" t="s">
        <v>77746</v>
      </c>
      <c r="C3865" t="s">
        <v>77747</v>
      </c>
      <c r="D3865" t="s">
        <v>77748</v>
      </c>
      <c r="E3865" t="s">
        <v>77749</v>
      </c>
      <c r="F3865" t="s">
        <v>77750</v>
      </c>
      <c r="G3865" t="s">
        <v>77751</v>
      </c>
      <c r="H3865" t="s">
        <v>77752</v>
      </c>
      <c r="I3865" t="s">
        <v>77753</v>
      </c>
      <c r="J3865" t="s">
        <v>77754</v>
      </c>
      <c r="K3865" t="s">
        <v>77755</v>
      </c>
      <c r="L3865" t="s">
        <v>77756</v>
      </c>
      <c r="M3865" t="s">
        <v>77757</v>
      </c>
      <c r="N3865" t="s">
        <v>77758</v>
      </c>
      <c r="O3865">
        <f>-561.146359004306 -111.237862900635 -740.817667205596</f>
        <v>-1413.201889110537</v>
      </c>
      <c r="P3865">
        <f>-577.38855600064 -113.556011870234 -424.721292354351</f>
        <v>-1115.6658602252251</v>
      </c>
      <c r="Q3865" t="s">
        <v>77759</v>
      </c>
      <c r="R3865" t="s">
        <v>77760</v>
      </c>
      <c r="S3865" t="s">
        <v>77761</v>
      </c>
      <c r="T3865" t="s">
        <v>77762</v>
      </c>
      <c r="U3865" t="s">
        <v>77763</v>
      </c>
      <c r="V3865" t="s">
        <v>77764</v>
      </c>
      <c r="W3865" t="s">
        <v>77765</v>
      </c>
      <c r="X3865" t="s">
        <v>77766</v>
      </c>
      <c r="Y3865" t="s">
        <v>77767</v>
      </c>
    </row>
    <row r="3866" spans="1:25" x14ac:dyDescent="0.3">
      <c r="A3866">
        <v>193250</v>
      </c>
      <c r="B3866" t="s">
        <v>77768</v>
      </c>
      <c r="C3866" t="s">
        <v>77769</v>
      </c>
      <c r="D3866" t="s">
        <v>77770</v>
      </c>
      <c r="E3866" t="s">
        <v>77771</v>
      </c>
      <c r="F3866" t="s">
        <v>77772</v>
      </c>
      <c r="G3866" t="s">
        <v>77773</v>
      </c>
      <c r="H3866" t="s">
        <v>77774</v>
      </c>
      <c r="I3866" t="s">
        <v>77775</v>
      </c>
      <c r="J3866" t="s">
        <v>77776</v>
      </c>
      <c r="K3866" t="s">
        <v>77777</v>
      </c>
      <c r="L3866" t="s">
        <v>77778</v>
      </c>
      <c r="M3866" t="s">
        <v>77779</v>
      </c>
      <c r="N3866" t="s">
        <v>77780</v>
      </c>
      <c r="O3866">
        <f>-560.881929742596 -111.263399327065 -740.966303227008</f>
        <v>-1413.1116322966691</v>
      </c>
      <c r="P3866">
        <f>-577.534613131759 -113.110188912747 -424.888107045584</f>
        <v>-1115.53290909009</v>
      </c>
      <c r="Q3866" t="s">
        <v>77781</v>
      </c>
      <c r="R3866" t="s">
        <v>77782</v>
      </c>
      <c r="S3866" t="s">
        <v>77783</v>
      </c>
      <c r="T3866" t="s">
        <v>77784</v>
      </c>
      <c r="U3866" t="s">
        <v>77785</v>
      </c>
      <c r="V3866" t="s">
        <v>77786</v>
      </c>
      <c r="W3866" t="s">
        <v>77787</v>
      </c>
      <c r="X3866" t="s">
        <v>77788</v>
      </c>
      <c r="Y3866" t="s">
        <v>77789</v>
      </c>
    </row>
    <row r="3867" spans="1:25" x14ac:dyDescent="0.3">
      <c r="A3867">
        <v>193300</v>
      </c>
      <c r="B3867" t="s">
        <v>77790</v>
      </c>
      <c r="C3867" t="s">
        <v>77791</v>
      </c>
      <c r="D3867" t="s">
        <v>77792</v>
      </c>
      <c r="E3867" t="s">
        <v>77793</v>
      </c>
      <c r="F3867" t="s">
        <v>77794</v>
      </c>
      <c r="G3867" t="s">
        <v>77795</v>
      </c>
      <c r="H3867" t="s">
        <v>77796</v>
      </c>
      <c r="I3867" t="s">
        <v>77797</v>
      </c>
      <c r="J3867" t="s">
        <v>77798</v>
      </c>
      <c r="K3867" t="s">
        <v>77799</v>
      </c>
      <c r="L3867" t="s">
        <v>77800</v>
      </c>
      <c r="M3867" t="s">
        <v>77801</v>
      </c>
      <c r="N3867" t="s">
        <v>77802</v>
      </c>
      <c r="O3867">
        <f>-560.758725617539 -110.978658563539 -741.036084209815</f>
        <v>-1412.773468390893</v>
      </c>
      <c r="P3867">
        <f>-577.516486401257 -112.511025876137 -424.961769923961</f>
        <v>-1114.9892822013549</v>
      </c>
      <c r="Q3867" t="s">
        <v>77803</v>
      </c>
      <c r="R3867" t="s">
        <v>77804</v>
      </c>
      <c r="S3867" t="s">
        <v>77805</v>
      </c>
      <c r="T3867" t="s">
        <v>77806</v>
      </c>
      <c r="U3867" t="s">
        <v>77807</v>
      </c>
      <c r="V3867" t="s">
        <v>77808</v>
      </c>
      <c r="W3867" t="s">
        <v>77809</v>
      </c>
      <c r="X3867" t="s">
        <v>77810</v>
      </c>
      <c r="Y3867" t="s">
        <v>77811</v>
      </c>
    </row>
    <row r="3868" spans="1:25" x14ac:dyDescent="0.3">
      <c r="A3868">
        <v>193350</v>
      </c>
      <c r="B3868" t="s">
        <v>77812</v>
      </c>
      <c r="C3868" t="s">
        <v>77813</v>
      </c>
      <c r="D3868" t="s">
        <v>77814</v>
      </c>
      <c r="E3868" t="s">
        <v>77815</v>
      </c>
      <c r="F3868" t="s">
        <v>77816</v>
      </c>
      <c r="G3868" t="s">
        <v>77817</v>
      </c>
      <c r="H3868" t="s">
        <v>77818</v>
      </c>
      <c r="I3868" t="s">
        <v>77819</v>
      </c>
      <c r="J3868" t="s">
        <v>77820</v>
      </c>
      <c r="K3868" t="s">
        <v>77821</v>
      </c>
      <c r="L3868" t="s">
        <v>77822</v>
      </c>
      <c r="M3868" t="s">
        <v>77823</v>
      </c>
      <c r="N3868" t="s">
        <v>77824</v>
      </c>
      <c r="O3868">
        <f>-560.767439082923 -110.443561331493 -741.178599034424</f>
        <v>-1412.38959944884</v>
      </c>
      <c r="P3868">
        <f>-577.42463639553 -111.966676296776 -425.098860968779</f>
        <v>-1114.490173661085</v>
      </c>
      <c r="Q3868" t="s">
        <v>77825</v>
      </c>
      <c r="R3868" t="s">
        <v>77826</v>
      </c>
      <c r="S3868" t="s">
        <v>77827</v>
      </c>
      <c r="T3868" t="s">
        <v>77828</v>
      </c>
      <c r="U3868" t="s">
        <v>77829</v>
      </c>
      <c r="V3868" t="s">
        <v>77830</v>
      </c>
      <c r="W3868" t="s">
        <v>77831</v>
      </c>
      <c r="X3868" t="s">
        <v>77832</v>
      </c>
      <c r="Y3868" t="s">
        <v>77833</v>
      </c>
    </row>
    <row r="3869" spans="1:25" x14ac:dyDescent="0.3">
      <c r="A3869">
        <v>193400</v>
      </c>
      <c r="B3869" t="s">
        <v>77834</v>
      </c>
      <c r="C3869" t="s">
        <v>77835</v>
      </c>
      <c r="D3869" t="s">
        <v>77836</v>
      </c>
      <c r="E3869" t="s">
        <v>77837</v>
      </c>
      <c r="F3869" t="s">
        <v>77838</v>
      </c>
      <c r="G3869" t="s">
        <v>77839</v>
      </c>
      <c r="H3869" t="s">
        <v>77840</v>
      </c>
      <c r="I3869" t="s">
        <v>77841</v>
      </c>
      <c r="J3869" t="s">
        <v>77842</v>
      </c>
      <c r="K3869" t="s">
        <v>77843</v>
      </c>
      <c r="L3869" t="s">
        <v>77844</v>
      </c>
      <c r="M3869" t="s">
        <v>77845</v>
      </c>
      <c r="N3869" t="s">
        <v>77846</v>
      </c>
      <c r="O3869">
        <f>-560.779109471254 -110.483943515967 -741.234752749783</f>
        <v>-1412.497805737004</v>
      </c>
      <c r="P3869">
        <f>-577.396774787185 -112.115351888693 -425.153507986783</f>
        <v>-1114.665634662661</v>
      </c>
      <c r="Q3869" t="s">
        <v>77847</v>
      </c>
      <c r="R3869" t="s">
        <v>77848</v>
      </c>
      <c r="S3869" t="s">
        <v>77849</v>
      </c>
      <c r="T3869" t="s">
        <v>77850</v>
      </c>
      <c r="U3869" t="s">
        <v>77851</v>
      </c>
      <c r="V3869" t="s">
        <v>77852</v>
      </c>
      <c r="W3869" t="s">
        <v>77853</v>
      </c>
      <c r="X3869" t="s">
        <v>77854</v>
      </c>
      <c r="Y3869" t="s">
        <v>77855</v>
      </c>
    </row>
    <row r="3870" spans="1:25" x14ac:dyDescent="0.3">
      <c r="A3870">
        <v>193450</v>
      </c>
      <c r="B3870" t="s">
        <v>77856</v>
      </c>
      <c r="C3870" t="s">
        <v>77857</v>
      </c>
      <c r="D3870" t="s">
        <v>77858</v>
      </c>
      <c r="E3870" t="s">
        <v>77859</v>
      </c>
      <c r="F3870" t="s">
        <v>77860</v>
      </c>
      <c r="G3870" t="s">
        <v>77861</v>
      </c>
      <c r="H3870" t="s">
        <v>77862</v>
      </c>
      <c r="I3870" t="s">
        <v>77863</v>
      </c>
      <c r="J3870" t="s">
        <v>77864</v>
      </c>
      <c r="K3870" t="s">
        <v>77865</v>
      </c>
      <c r="L3870" t="s">
        <v>77866</v>
      </c>
      <c r="M3870" t="s">
        <v>77867</v>
      </c>
      <c r="N3870" t="s">
        <v>77868</v>
      </c>
      <c r="O3870">
        <f>-560.852549036689 -110.342417436132 -741.308461523903</f>
        <v>-1412.503427996724</v>
      </c>
      <c r="P3870">
        <f>-576.950866461646 -112.266593337223 -425.201929157944</f>
        <v>-1114.419388956813</v>
      </c>
      <c r="Q3870" t="s">
        <v>77869</v>
      </c>
      <c r="R3870" t="s">
        <v>77870</v>
      </c>
      <c r="S3870" t="s">
        <v>77871</v>
      </c>
      <c r="T3870" t="s">
        <v>77872</v>
      </c>
      <c r="U3870" t="s">
        <v>77873</v>
      </c>
      <c r="V3870" t="s">
        <v>77874</v>
      </c>
      <c r="W3870" t="s">
        <v>77875</v>
      </c>
      <c r="X3870" t="s">
        <v>77876</v>
      </c>
      <c r="Y3870" t="s">
        <v>77877</v>
      </c>
    </row>
    <row r="3871" spans="1:25" x14ac:dyDescent="0.3">
      <c r="A3871">
        <v>193500</v>
      </c>
      <c r="B3871" t="s">
        <v>77878</v>
      </c>
      <c r="C3871" t="s">
        <v>77879</v>
      </c>
      <c r="D3871" t="s">
        <v>77880</v>
      </c>
      <c r="E3871" t="s">
        <v>77881</v>
      </c>
      <c r="F3871" t="s">
        <v>77882</v>
      </c>
      <c r="G3871" t="s">
        <v>77883</v>
      </c>
      <c r="H3871" t="s">
        <v>77884</v>
      </c>
      <c r="I3871" t="s">
        <v>77885</v>
      </c>
      <c r="J3871" t="s">
        <v>77886</v>
      </c>
      <c r="K3871" t="s">
        <v>77887</v>
      </c>
      <c r="L3871" t="s">
        <v>77888</v>
      </c>
      <c r="M3871" t="s">
        <v>77889</v>
      </c>
      <c r="N3871" t="s">
        <v>77890</v>
      </c>
      <c r="O3871">
        <f>-561.080158666741 -110.141417724307 -741.277435640302</f>
        <v>-1412.49901203135</v>
      </c>
      <c r="P3871">
        <f>-576.996136175672 -111.764169582345 -425.16007469583</f>
        <v>-1113.920380453847</v>
      </c>
      <c r="Q3871" t="s">
        <v>77891</v>
      </c>
      <c r="R3871" t="s">
        <v>77892</v>
      </c>
      <c r="S3871" t="s">
        <v>77893</v>
      </c>
      <c r="T3871" t="s">
        <v>77894</v>
      </c>
      <c r="U3871" t="s">
        <v>77895</v>
      </c>
      <c r="V3871" t="s">
        <v>77896</v>
      </c>
      <c r="W3871" t="s">
        <v>77897</v>
      </c>
      <c r="X3871" t="s">
        <v>77898</v>
      </c>
      <c r="Y3871" t="s">
        <v>77899</v>
      </c>
    </row>
    <row r="3872" spans="1:25" x14ac:dyDescent="0.3">
      <c r="A3872">
        <v>193550</v>
      </c>
      <c r="B3872" t="s">
        <v>77900</v>
      </c>
      <c r="C3872" t="s">
        <v>77901</v>
      </c>
      <c r="D3872" t="s">
        <v>77902</v>
      </c>
      <c r="E3872" t="s">
        <v>77903</v>
      </c>
      <c r="F3872" t="s">
        <v>77904</v>
      </c>
      <c r="G3872" t="s">
        <v>77905</v>
      </c>
      <c r="H3872" t="s">
        <v>77906</v>
      </c>
      <c r="I3872" t="s">
        <v>77907</v>
      </c>
      <c r="J3872" t="s">
        <v>77908</v>
      </c>
      <c r="K3872" t="s">
        <v>77909</v>
      </c>
      <c r="L3872" t="s">
        <v>77910</v>
      </c>
      <c r="M3872" t="s">
        <v>77911</v>
      </c>
      <c r="N3872" t="s">
        <v>77912</v>
      </c>
      <c r="O3872">
        <f>-561.210805437488 -110.242540162081 -741.166670092607</f>
        <v>-1412.6200156921759</v>
      </c>
      <c r="P3872">
        <f>-576.849150983711 -111.502104233338 -425.033787968749</f>
        <v>-1113.3850431857979</v>
      </c>
      <c r="Q3872" t="s">
        <v>77913</v>
      </c>
      <c r="R3872" t="s">
        <v>77914</v>
      </c>
      <c r="S3872" t="s">
        <v>77915</v>
      </c>
      <c r="T3872" t="s">
        <v>77916</v>
      </c>
      <c r="U3872" t="s">
        <v>77917</v>
      </c>
      <c r="V3872" t="s">
        <v>77918</v>
      </c>
      <c r="W3872" t="s">
        <v>77919</v>
      </c>
      <c r="X3872" t="s">
        <v>77920</v>
      </c>
      <c r="Y3872" t="s">
        <v>77921</v>
      </c>
    </row>
    <row r="3873" spans="1:25" x14ac:dyDescent="0.3">
      <c r="A3873">
        <v>193600</v>
      </c>
      <c r="B3873" t="s">
        <v>77922</v>
      </c>
      <c r="C3873" t="s">
        <v>77923</v>
      </c>
      <c r="D3873" t="s">
        <v>77924</v>
      </c>
      <c r="E3873" t="s">
        <v>77925</v>
      </c>
      <c r="F3873" t="s">
        <v>77926</v>
      </c>
      <c r="G3873" t="s">
        <v>77927</v>
      </c>
      <c r="H3873" t="s">
        <v>77928</v>
      </c>
      <c r="I3873" t="s">
        <v>77929</v>
      </c>
      <c r="J3873" t="s">
        <v>77930</v>
      </c>
      <c r="K3873" t="s">
        <v>77931</v>
      </c>
      <c r="L3873" t="s">
        <v>77932</v>
      </c>
      <c r="M3873" t="s">
        <v>77933</v>
      </c>
      <c r="N3873" t="s">
        <v>77934</v>
      </c>
      <c r="O3873">
        <f>-561.571966447446 -110.424067484683 -741.127381778475</f>
        <v>-1413.1234157106039</v>
      </c>
      <c r="P3873">
        <f>-577.130165961293 -111.625698780227 -424.990283922517</f>
        <v>-1113.746148664037</v>
      </c>
      <c r="Q3873" t="s">
        <v>77935</v>
      </c>
      <c r="R3873" t="s">
        <v>77936</v>
      </c>
      <c r="S3873" t="s">
        <v>77937</v>
      </c>
      <c r="T3873" t="s">
        <v>77938</v>
      </c>
      <c r="U3873" t="s">
        <v>77939</v>
      </c>
      <c r="V3873" t="s">
        <v>77940</v>
      </c>
      <c r="W3873" t="s">
        <v>77941</v>
      </c>
      <c r="X3873" t="s">
        <v>77942</v>
      </c>
      <c r="Y3873" t="s">
        <v>77943</v>
      </c>
    </row>
    <row r="3874" spans="1:25" x14ac:dyDescent="0.3">
      <c r="A3874">
        <v>193650</v>
      </c>
      <c r="B3874" t="s">
        <v>77944</v>
      </c>
      <c r="C3874" t="s">
        <v>77945</v>
      </c>
      <c r="D3874" t="s">
        <v>77946</v>
      </c>
      <c r="E3874" t="s">
        <v>77947</v>
      </c>
      <c r="F3874" t="s">
        <v>77948</v>
      </c>
      <c r="G3874" t="s">
        <v>77949</v>
      </c>
      <c r="H3874" t="s">
        <v>77950</v>
      </c>
      <c r="I3874" t="s">
        <v>77951</v>
      </c>
      <c r="J3874" t="s">
        <v>77952</v>
      </c>
      <c r="K3874" t="s">
        <v>77953</v>
      </c>
      <c r="L3874" t="s">
        <v>77954</v>
      </c>
      <c r="M3874" t="s">
        <v>77955</v>
      </c>
      <c r="N3874" t="s">
        <v>77956</v>
      </c>
      <c r="O3874">
        <f>-561.977266965238 -110.592231477039 -741.09200895759</f>
        <v>-1413.6615073998669</v>
      </c>
      <c r="P3874">
        <f>-577.561680890522 -111.90768869014 -424.956592334364</f>
        <v>-1114.4259619150262</v>
      </c>
      <c r="Q3874" t="s">
        <v>77957</v>
      </c>
      <c r="R3874" t="s">
        <v>77958</v>
      </c>
      <c r="S3874" t="s">
        <v>77959</v>
      </c>
      <c r="T3874" t="s">
        <v>77960</v>
      </c>
      <c r="U3874" t="s">
        <v>77961</v>
      </c>
      <c r="V3874" t="s">
        <v>77962</v>
      </c>
      <c r="W3874" t="s">
        <v>77963</v>
      </c>
      <c r="X3874" t="s">
        <v>77964</v>
      </c>
      <c r="Y3874" t="s">
        <v>77965</v>
      </c>
    </row>
    <row r="3875" spans="1:25" x14ac:dyDescent="0.3">
      <c r="A3875">
        <v>193700</v>
      </c>
      <c r="B3875" t="s">
        <v>77966</v>
      </c>
      <c r="C3875" t="s">
        <v>77967</v>
      </c>
      <c r="D3875" t="s">
        <v>77968</v>
      </c>
      <c r="E3875" t="s">
        <v>77969</v>
      </c>
      <c r="F3875" t="s">
        <v>77970</v>
      </c>
      <c r="G3875" t="s">
        <v>77971</v>
      </c>
      <c r="H3875" t="s">
        <v>77972</v>
      </c>
      <c r="I3875" t="s">
        <v>77973</v>
      </c>
      <c r="J3875" t="s">
        <v>77974</v>
      </c>
      <c r="K3875" t="s">
        <v>77975</v>
      </c>
      <c r="L3875" t="s">
        <v>77976</v>
      </c>
      <c r="M3875" t="s">
        <v>77977</v>
      </c>
      <c r="N3875" t="s">
        <v>77978</v>
      </c>
      <c r="O3875">
        <f>-562.349469487598 -110.374432676878 -741.101547771582</f>
        <v>-1413.8254499360578</v>
      </c>
      <c r="P3875">
        <f>-577.847888070367 -111.810954450036 -424.962392969843</f>
        <v>-1114.6212354902459</v>
      </c>
      <c r="Q3875" t="s">
        <v>77979</v>
      </c>
      <c r="R3875" t="s">
        <v>77980</v>
      </c>
      <c r="S3875" t="s">
        <v>77981</v>
      </c>
      <c r="T3875" t="s">
        <v>77982</v>
      </c>
      <c r="U3875" t="s">
        <v>77983</v>
      </c>
      <c r="V3875" t="s">
        <v>77984</v>
      </c>
      <c r="W3875" t="s">
        <v>77985</v>
      </c>
      <c r="X3875" t="s">
        <v>77986</v>
      </c>
      <c r="Y3875" t="s">
        <v>77987</v>
      </c>
    </row>
    <row r="3876" spans="1:25" x14ac:dyDescent="0.3">
      <c r="A3876">
        <v>193750</v>
      </c>
      <c r="B3876" t="s">
        <v>77988</v>
      </c>
      <c r="C3876" t="s">
        <v>77989</v>
      </c>
      <c r="D3876" t="s">
        <v>77990</v>
      </c>
      <c r="E3876" t="s">
        <v>77991</v>
      </c>
      <c r="F3876" t="s">
        <v>77992</v>
      </c>
      <c r="G3876" t="s">
        <v>77993</v>
      </c>
      <c r="H3876" t="s">
        <v>77994</v>
      </c>
      <c r="I3876" t="s">
        <v>77995</v>
      </c>
      <c r="J3876" t="s">
        <v>77996</v>
      </c>
      <c r="K3876" t="s">
        <v>77997</v>
      </c>
      <c r="L3876" t="s">
        <v>77998</v>
      </c>
      <c r="M3876" t="s">
        <v>77999</v>
      </c>
      <c r="N3876" t="s">
        <v>78000</v>
      </c>
      <c r="O3876">
        <f>-563.030134163425 -110.463222786564 -741.185803503738</f>
        <v>-1414.679160453727</v>
      </c>
      <c r="P3876">
        <f>-578.332611674241 -111.937453596178 -425.037424344203</f>
        <v>-1115.307489614622</v>
      </c>
      <c r="Q3876" t="s">
        <v>78001</v>
      </c>
      <c r="R3876" t="s">
        <v>78002</v>
      </c>
      <c r="S3876" t="s">
        <v>78003</v>
      </c>
      <c r="T3876" t="s">
        <v>78004</v>
      </c>
      <c r="U3876" t="s">
        <v>78005</v>
      </c>
      <c r="V3876" t="s">
        <v>78006</v>
      </c>
      <c r="W3876" t="s">
        <v>78007</v>
      </c>
      <c r="X3876" t="s">
        <v>78008</v>
      </c>
      <c r="Y3876" t="s">
        <v>78009</v>
      </c>
    </row>
    <row r="3877" spans="1:25" x14ac:dyDescent="0.3">
      <c r="A3877">
        <v>193800</v>
      </c>
      <c r="B3877" t="s">
        <v>78010</v>
      </c>
      <c r="C3877" t="s">
        <v>78011</v>
      </c>
      <c r="D3877" t="s">
        <v>78012</v>
      </c>
      <c r="E3877" t="s">
        <v>78013</v>
      </c>
      <c r="F3877" t="s">
        <v>78014</v>
      </c>
      <c r="G3877" t="s">
        <v>78015</v>
      </c>
      <c r="H3877" t="s">
        <v>78016</v>
      </c>
      <c r="I3877" t="s">
        <v>78017</v>
      </c>
      <c r="J3877" t="s">
        <v>78018</v>
      </c>
      <c r="K3877" t="s">
        <v>78019</v>
      </c>
      <c r="L3877" t="s">
        <v>78020</v>
      </c>
      <c r="M3877" t="s">
        <v>78021</v>
      </c>
      <c r="N3877" t="s">
        <v>78022</v>
      </c>
      <c r="O3877">
        <f>-563.090210210524 -110.121916948794 -741.330101035801</f>
        <v>-1414.5422281951192</v>
      </c>
      <c r="P3877">
        <f>-578.570365609214 -111.678060099948 -425.190619071791</f>
        <v>-1115.4390447809531</v>
      </c>
      <c r="Q3877" t="s">
        <v>78023</v>
      </c>
      <c r="R3877" t="s">
        <v>78024</v>
      </c>
      <c r="S3877" t="s">
        <v>78025</v>
      </c>
      <c r="T3877" t="s">
        <v>78026</v>
      </c>
      <c r="U3877" t="s">
        <v>78027</v>
      </c>
      <c r="V3877" t="s">
        <v>78028</v>
      </c>
      <c r="W3877" t="s">
        <v>78029</v>
      </c>
      <c r="X3877" t="s">
        <v>78030</v>
      </c>
      <c r="Y3877" t="s">
        <v>78031</v>
      </c>
    </row>
    <row r="3878" spans="1:25" x14ac:dyDescent="0.3">
      <c r="A3878">
        <v>193850</v>
      </c>
      <c r="B3878" t="s">
        <v>78032</v>
      </c>
      <c r="C3878" t="s">
        <v>78033</v>
      </c>
      <c r="D3878" t="s">
        <v>78034</v>
      </c>
      <c r="E3878" t="s">
        <v>78035</v>
      </c>
      <c r="F3878" t="s">
        <v>78036</v>
      </c>
      <c r="G3878" t="s">
        <v>78037</v>
      </c>
      <c r="H3878" t="s">
        <v>78038</v>
      </c>
      <c r="I3878" t="s">
        <v>78039</v>
      </c>
      <c r="J3878" t="s">
        <v>78040</v>
      </c>
      <c r="K3878" t="s">
        <v>78041</v>
      </c>
      <c r="L3878" t="s">
        <v>78042</v>
      </c>
      <c r="M3878" t="s">
        <v>78043</v>
      </c>
      <c r="N3878" t="s">
        <v>78044</v>
      </c>
      <c r="O3878">
        <f>-563.632549872632 -109.530977929003 -741.995495763436</f>
        <v>-1415.159023565071</v>
      </c>
      <c r="P3878">
        <f>-579.398812019375 -111.318700618115 -425.871519348684</f>
        <v>-1116.5890319861739</v>
      </c>
      <c r="Q3878" t="s">
        <v>78045</v>
      </c>
      <c r="R3878" t="s">
        <v>78046</v>
      </c>
      <c r="S3878" t="s">
        <v>78047</v>
      </c>
      <c r="T3878" t="s">
        <v>78048</v>
      </c>
      <c r="U3878" t="s">
        <v>78049</v>
      </c>
      <c r="V3878" t="s">
        <v>78050</v>
      </c>
      <c r="W3878" t="s">
        <v>78051</v>
      </c>
      <c r="X3878" t="s">
        <v>78052</v>
      </c>
      <c r="Y3878" t="s">
        <v>78053</v>
      </c>
    </row>
    <row r="3879" spans="1:25" x14ac:dyDescent="0.3">
      <c r="A3879">
        <v>193900</v>
      </c>
      <c r="B3879" t="s">
        <v>78054</v>
      </c>
      <c r="C3879" t="s">
        <v>78055</v>
      </c>
      <c r="D3879" t="s">
        <v>78056</v>
      </c>
      <c r="E3879" t="s">
        <v>78057</v>
      </c>
      <c r="F3879" t="s">
        <v>78058</v>
      </c>
      <c r="G3879" t="s">
        <v>78059</v>
      </c>
      <c r="H3879" t="s">
        <v>78060</v>
      </c>
      <c r="I3879" t="s">
        <v>78061</v>
      </c>
      <c r="J3879" t="s">
        <v>78062</v>
      </c>
      <c r="K3879" t="s">
        <v>78063</v>
      </c>
      <c r="L3879" t="s">
        <v>78064</v>
      </c>
      <c r="M3879" t="s">
        <v>78065</v>
      </c>
      <c r="N3879" t="s">
        <v>78066</v>
      </c>
      <c r="O3879">
        <f>-563.870199821996 -109.078591323356 -742.361724388085</f>
        <v>-1415.310515533437</v>
      </c>
      <c r="P3879">
        <f>-579.540109479353 -111.323865179824 -426.235809630362</f>
        <v>-1117.099784289539</v>
      </c>
      <c r="Q3879" t="s">
        <v>78067</v>
      </c>
      <c r="R3879" t="s">
        <v>78068</v>
      </c>
      <c r="S3879" t="s">
        <v>78069</v>
      </c>
      <c r="T3879" t="s">
        <v>78070</v>
      </c>
      <c r="U3879" t="s">
        <v>78071</v>
      </c>
      <c r="V3879" t="s">
        <v>78072</v>
      </c>
      <c r="W3879" t="s">
        <v>78073</v>
      </c>
      <c r="X3879" t="s">
        <v>78074</v>
      </c>
      <c r="Y3879" t="s">
        <v>78075</v>
      </c>
    </row>
    <row r="3880" spans="1:25" x14ac:dyDescent="0.3">
      <c r="A3880">
        <v>193950</v>
      </c>
      <c r="B3880" t="s">
        <v>78076</v>
      </c>
      <c r="C3880" t="s">
        <v>78077</v>
      </c>
      <c r="D3880" t="s">
        <v>78078</v>
      </c>
      <c r="E3880" t="s">
        <v>78079</v>
      </c>
      <c r="F3880" t="s">
        <v>78080</v>
      </c>
      <c r="G3880" t="s">
        <v>78081</v>
      </c>
      <c r="H3880" t="s">
        <v>78082</v>
      </c>
      <c r="I3880" t="s">
        <v>78083</v>
      </c>
      <c r="J3880" t="s">
        <v>78084</v>
      </c>
      <c r="K3880" t="s">
        <v>78085</v>
      </c>
      <c r="L3880" t="s">
        <v>78086</v>
      </c>
      <c r="M3880" t="s">
        <v>78087</v>
      </c>
      <c r="N3880" t="s">
        <v>78088</v>
      </c>
      <c r="O3880">
        <f>-565.432743014855 -108.585843497181 -742.92847175737</f>
        <v>-1416.9470582694059</v>
      </c>
      <c r="P3880">
        <f>-580.929858478842 -111.577164679278 -426.800278869849</f>
        <v>-1119.3073020279689</v>
      </c>
      <c r="Q3880" t="s">
        <v>78089</v>
      </c>
      <c r="R3880" t="s">
        <v>78090</v>
      </c>
      <c r="S3880" t="s">
        <v>78091</v>
      </c>
      <c r="T3880" t="s">
        <v>78092</v>
      </c>
      <c r="U3880" t="s">
        <v>78093</v>
      </c>
      <c r="V3880" t="s">
        <v>78094</v>
      </c>
      <c r="W3880" t="s">
        <v>78095</v>
      </c>
      <c r="X3880" t="s">
        <v>78096</v>
      </c>
      <c r="Y3880" t="s">
        <v>78097</v>
      </c>
    </row>
    <row r="3881" spans="1:25" x14ac:dyDescent="0.3">
      <c r="A3881">
        <v>194000</v>
      </c>
      <c r="B3881" t="s">
        <v>78098</v>
      </c>
      <c r="C3881" t="s">
        <v>78099</v>
      </c>
      <c r="D3881" t="s">
        <v>78100</v>
      </c>
      <c r="E3881" t="s">
        <v>78101</v>
      </c>
      <c r="F3881" t="s">
        <v>78102</v>
      </c>
      <c r="G3881" t="s">
        <v>78103</v>
      </c>
      <c r="H3881" t="s">
        <v>78104</v>
      </c>
      <c r="I3881" t="s">
        <v>78105</v>
      </c>
      <c r="J3881" t="s">
        <v>78106</v>
      </c>
      <c r="K3881" t="s">
        <v>78107</v>
      </c>
      <c r="L3881" t="s">
        <v>78108</v>
      </c>
      <c r="M3881" t="s">
        <v>78109</v>
      </c>
      <c r="N3881" t="s">
        <v>78110</v>
      </c>
      <c r="O3881">
        <f>-566.02868288379 -108.635464263016 -743.228872867433</f>
        <v>-1417.893020014239</v>
      </c>
      <c r="P3881">
        <f>-581.360900208942 -111.850565322838 -427.094747729977</f>
        <v>-1120.306213261757</v>
      </c>
      <c r="Q3881" t="s">
        <v>78111</v>
      </c>
      <c r="R3881" t="s">
        <v>78112</v>
      </c>
      <c r="S3881" t="s">
        <v>78113</v>
      </c>
      <c r="T3881" t="s">
        <v>78114</v>
      </c>
      <c r="U3881" t="s">
        <v>78115</v>
      </c>
      <c r="V3881" t="s">
        <v>78116</v>
      </c>
      <c r="W3881" t="s">
        <v>78117</v>
      </c>
      <c r="X3881" t="s">
        <v>78118</v>
      </c>
      <c r="Y3881" t="s">
        <v>78119</v>
      </c>
    </row>
    <row r="3882" spans="1:25" x14ac:dyDescent="0.3">
      <c r="A3882">
        <v>194050</v>
      </c>
      <c r="B3882" t="s">
        <v>78120</v>
      </c>
      <c r="C3882" t="s">
        <v>78121</v>
      </c>
      <c r="D3882" t="s">
        <v>78122</v>
      </c>
      <c r="E3882" t="s">
        <v>78123</v>
      </c>
      <c r="F3882" t="s">
        <v>78124</v>
      </c>
      <c r="G3882" t="s">
        <v>78125</v>
      </c>
      <c r="H3882" t="s">
        <v>78126</v>
      </c>
      <c r="I3882" t="s">
        <v>78127</v>
      </c>
      <c r="J3882" t="s">
        <v>78128</v>
      </c>
      <c r="K3882" t="s">
        <v>78129</v>
      </c>
      <c r="L3882" t="s">
        <v>78130</v>
      </c>
      <c r="M3882" t="s">
        <v>78131</v>
      </c>
      <c r="N3882" t="s">
        <v>78132</v>
      </c>
      <c r="O3882">
        <f>-566.588514831511 -108.701419027448 -743.540277965006</f>
        <v>-1418.8302118239649</v>
      </c>
      <c r="P3882">
        <f>-581.745529011916 -112.119549553204 -427.399743230642</f>
        <v>-1121.2648217957621</v>
      </c>
      <c r="Q3882" t="s">
        <v>78133</v>
      </c>
      <c r="R3882" t="s">
        <v>78134</v>
      </c>
      <c r="S3882" t="s">
        <v>78135</v>
      </c>
      <c r="T3882" t="s">
        <v>78136</v>
      </c>
      <c r="U3882" t="s">
        <v>78137</v>
      </c>
      <c r="V3882" t="s">
        <v>78138</v>
      </c>
      <c r="W3882" t="s">
        <v>78139</v>
      </c>
      <c r="X3882" t="s">
        <v>78140</v>
      </c>
      <c r="Y3882" t="s">
        <v>78141</v>
      </c>
    </row>
    <row r="3883" spans="1:25" x14ac:dyDescent="0.3">
      <c r="A3883">
        <v>194100</v>
      </c>
      <c r="B3883" t="s">
        <v>78142</v>
      </c>
      <c r="C3883" t="s">
        <v>78143</v>
      </c>
      <c r="D3883" t="s">
        <v>78144</v>
      </c>
      <c r="E3883" t="s">
        <v>78145</v>
      </c>
      <c r="F3883" t="s">
        <v>78146</v>
      </c>
      <c r="G3883" t="s">
        <v>78147</v>
      </c>
      <c r="H3883" t="s">
        <v>78148</v>
      </c>
      <c r="I3883" t="s">
        <v>78149</v>
      </c>
      <c r="J3883" t="s">
        <v>78150</v>
      </c>
      <c r="K3883" t="s">
        <v>78151</v>
      </c>
      <c r="L3883" t="s">
        <v>78152</v>
      </c>
      <c r="M3883" t="s">
        <v>78153</v>
      </c>
      <c r="N3883" t="s">
        <v>78154</v>
      </c>
      <c r="O3883">
        <f>-567.329226743434 -108.651426969228 -743.91013903364</f>
        <v>-1419.8907927463019</v>
      </c>
      <c r="P3883">
        <f>-582.501574136457 -112.032401934505 -427.770097749183</f>
        <v>-1122.3040738201448</v>
      </c>
      <c r="Q3883" t="s">
        <v>78155</v>
      </c>
      <c r="R3883" t="s">
        <v>78156</v>
      </c>
      <c r="S3883" t="s">
        <v>78157</v>
      </c>
      <c r="T3883" t="s">
        <v>78158</v>
      </c>
      <c r="U3883" t="s">
        <v>78159</v>
      </c>
      <c r="V3883" t="s">
        <v>78160</v>
      </c>
      <c r="W3883" t="s">
        <v>78161</v>
      </c>
      <c r="X3883" t="s">
        <v>78162</v>
      </c>
      <c r="Y3883" t="s">
        <v>78163</v>
      </c>
    </row>
    <row r="3884" spans="1:25" x14ac:dyDescent="0.3">
      <c r="A3884">
        <v>194150</v>
      </c>
      <c r="B3884" t="s">
        <v>78164</v>
      </c>
      <c r="C3884" t="s">
        <v>78165</v>
      </c>
      <c r="D3884" t="s">
        <v>78166</v>
      </c>
      <c r="E3884" t="s">
        <v>78167</v>
      </c>
      <c r="F3884" t="s">
        <v>78168</v>
      </c>
      <c r="G3884" t="s">
        <v>78169</v>
      </c>
      <c r="H3884" t="s">
        <v>78170</v>
      </c>
      <c r="I3884" t="s">
        <v>78171</v>
      </c>
      <c r="J3884" t="s">
        <v>78172</v>
      </c>
      <c r="K3884" t="s">
        <v>78173</v>
      </c>
      <c r="L3884" t="s">
        <v>78174</v>
      </c>
      <c r="M3884" t="s">
        <v>78175</v>
      </c>
      <c r="N3884" t="s">
        <v>78176</v>
      </c>
      <c r="O3884">
        <f>-570.524481665559 -108.017540590244 -744.916404069455</f>
        <v>-1423.4584263252582</v>
      </c>
      <c r="P3884">
        <f>-586.246285425512 -111.350314336051 -428.802691876546</f>
        <v>-1126.3992916381092</v>
      </c>
      <c r="Q3884">
        <f>-357.67290695088 -0.344415035884481 -484.246161311223</f>
        <v>-842.26348329798748</v>
      </c>
      <c r="R3884" t="s">
        <v>78177</v>
      </c>
      <c r="S3884" t="s">
        <v>78178</v>
      </c>
      <c r="T3884" t="s">
        <v>78179</v>
      </c>
      <c r="U3884" t="s">
        <v>78180</v>
      </c>
      <c r="V3884" t="s">
        <v>78181</v>
      </c>
      <c r="W3884" t="s">
        <v>78182</v>
      </c>
      <c r="X3884" t="s">
        <v>78183</v>
      </c>
      <c r="Y3884" t="s">
        <v>78184</v>
      </c>
    </row>
    <row r="3885" spans="1:25" x14ac:dyDescent="0.3">
      <c r="A3885">
        <v>194200</v>
      </c>
      <c r="B3885" t="s">
        <v>78185</v>
      </c>
      <c r="C3885" t="s">
        <v>78186</v>
      </c>
      <c r="D3885" t="s">
        <v>78187</v>
      </c>
      <c r="E3885" t="s">
        <v>78188</v>
      </c>
      <c r="F3885" t="s">
        <v>78189</v>
      </c>
      <c r="G3885" t="s">
        <v>78190</v>
      </c>
      <c r="H3885" t="s">
        <v>78191</v>
      </c>
      <c r="I3885" t="s">
        <v>78192</v>
      </c>
      <c r="J3885" t="s">
        <v>78193</v>
      </c>
      <c r="K3885" t="s">
        <v>78194</v>
      </c>
      <c r="L3885" t="s">
        <v>78195</v>
      </c>
      <c r="M3885" t="s">
        <v>78196</v>
      </c>
      <c r="N3885" t="s">
        <v>78197</v>
      </c>
      <c r="O3885">
        <f>-571.880523798851 -107.622655122865 -745.197309084377</f>
        <v>-1424.7004880060931</v>
      </c>
      <c r="P3885">
        <f>-587.848323271254 -110.83702714336 -429.094752638842</f>
        <v>-1127.7801030534561</v>
      </c>
      <c r="Q3885">
        <f>-358.766663155129 -0.623705734672491 -484.018708186266</f>
        <v>-843.40907707606743</v>
      </c>
      <c r="R3885" t="s">
        <v>78198</v>
      </c>
      <c r="S3885" t="s">
        <v>78199</v>
      </c>
      <c r="T3885" t="s">
        <v>78200</v>
      </c>
      <c r="U3885" t="s">
        <v>78201</v>
      </c>
      <c r="V3885" t="s">
        <v>78202</v>
      </c>
      <c r="W3885" t="s">
        <v>78203</v>
      </c>
      <c r="X3885" t="s">
        <v>78204</v>
      </c>
      <c r="Y3885" t="s">
        <v>78205</v>
      </c>
    </row>
    <row r="3886" spans="1:25" x14ac:dyDescent="0.3">
      <c r="A3886">
        <v>194250</v>
      </c>
      <c r="B3886" t="s">
        <v>78206</v>
      </c>
      <c r="C3886" t="s">
        <v>78207</v>
      </c>
      <c r="D3886" t="s">
        <v>78208</v>
      </c>
      <c r="E3886" t="s">
        <v>78209</v>
      </c>
      <c r="F3886" t="s">
        <v>78210</v>
      </c>
      <c r="G3886" t="s">
        <v>78211</v>
      </c>
      <c r="H3886" t="s">
        <v>78212</v>
      </c>
      <c r="I3886" t="s">
        <v>78213</v>
      </c>
      <c r="J3886" t="s">
        <v>78214</v>
      </c>
      <c r="K3886" t="s">
        <v>78215</v>
      </c>
      <c r="L3886" t="s">
        <v>78216</v>
      </c>
      <c r="M3886" t="s">
        <v>78217</v>
      </c>
      <c r="N3886" t="s">
        <v>78218</v>
      </c>
      <c r="O3886">
        <f>-573.31037450329 -107.118838471227 -745.386169701571</f>
        <v>-1425.8153826760881</v>
      </c>
      <c r="P3886">
        <f>-589.537759834686 -110.417168586335 -429.297662399193</f>
        <v>-1129.252590820214</v>
      </c>
      <c r="Q3886">
        <f>-359.936619994816 -1.05792348965409 -483.757808274903</f>
        <v>-844.75235175937314</v>
      </c>
      <c r="R3886" t="s">
        <v>78219</v>
      </c>
      <c r="S3886" t="s">
        <v>78220</v>
      </c>
      <c r="T3886" t="s">
        <v>78221</v>
      </c>
      <c r="U3886" t="s">
        <v>78222</v>
      </c>
      <c r="V3886" t="s">
        <v>78223</v>
      </c>
      <c r="W3886" t="s">
        <v>78224</v>
      </c>
      <c r="X3886" t="s">
        <v>78225</v>
      </c>
      <c r="Y3886" t="s">
        <v>78226</v>
      </c>
    </row>
    <row r="3887" spans="1:25" x14ac:dyDescent="0.3">
      <c r="A3887">
        <v>194300</v>
      </c>
      <c r="B3887" t="s">
        <v>78227</v>
      </c>
      <c r="C3887" t="s">
        <v>78228</v>
      </c>
      <c r="D3887" t="s">
        <v>78229</v>
      </c>
      <c r="E3887" t="s">
        <v>78230</v>
      </c>
      <c r="F3887" t="s">
        <v>78231</v>
      </c>
      <c r="G3887" t="s">
        <v>78232</v>
      </c>
      <c r="H3887" t="s">
        <v>78233</v>
      </c>
      <c r="I3887" t="s">
        <v>78234</v>
      </c>
      <c r="J3887" t="s">
        <v>78235</v>
      </c>
      <c r="K3887" t="s">
        <v>78236</v>
      </c>
      <c r="L3887" t="s">
        <v>78237</v>
      </c>
      <c r="M3887" t="s">
        <v>78238</v>
      </c>
      <c r="N3887" t="s">
        <v>78239</v>
      </c>
      <c r="O3887">
        <f>-576.212428866566 -106.71209196272 -745.522806532904</f>
        <v>-1428.4473273621902</v>
      </c>
      <c r="P3887">
        <f>-592.962698250545 -110.115315302626 -429.462584516674</f>
        <v>-1132.5405980698449</v>
      </c>
      <c r="Q3887">
        <f>-362.162260464666 -2.9310906688185 -483.172588138001</f>
        <v>-848.26593927148554</v>
      </c>
      <c r="R3887" t="s">
        <v>78240</v>
      </c>
      <c r="S3887" t="s">
        <v>78241</v>
      </c>
      <c r="T3887" t="s">
        <v>78242</v>
      </c>
      <c r="U3887" t="s">
        <v>78243</v>
      </c>
      <c r="V3887" t="s">
        <v>78244</v>
      </c>
      <c r="W3887" t="s">
        <v>78245</v>
      </c>
      <c r="X3887" t="s">
        <v>78246</v>
      </c>
      <c r="Y3887" t="s">
        <v>78247</v>
      </c>
    </row>
    <row r="3888" spans="1:25" x14ac:dyDescent="0.3">
      <c r="A3888">
        <v>194350</v>
      </c>
      <c r="B3888" t="s">
        <v>78248</v>
      </c>
      <c r="C3888" t="s">
        <v>78249</v>
      </c>
      <c r="D3888" t="s">
        <v>78250</v>
      </c>
      <c r="E3888" t="s">
        <v>78251</v>
      </c>
      <c r="F3888" t="s">
        <v>78252</v>
      </c>
      <c r="G3888" t="s">
        <v>78253</v>
      </c>
      <c r="H3888" t="s">
        <v>78254</v>
      </c>
      <c r="I3888" t="s">
        <v>78255</v>
      </c>
      <c r="J3888" t="s">
        <v>78256</v>
      </c>
      <c r="K3888" t="s">
        <v>78257</v>
      </c>
      <c r="L3888" t="s">
        <v>78258</v>
      </c>
      <c r="M3888" t="s">
        <v>78259</v>
      </c>
      <c r="N3888" t="s">
        <v>78260</v>
      </c>
      <c r="O3888">
        <f>-578.836026037846 -106.658053992718 -745.057721116939</f>
        <v>-1430.5518011475028</v>
      </c>
      <c r="P3888">
        <f>-596.045662180461 -109.701871188882 -429.01856761337</f>
        <v>-1134.7661009827129</v>
      </c>
      <c r="Q3888">
        <f>-363.905319189961 -5.32764469136985 -482.487477409571</f>
        <v>-851.72044129090182</v>
      </c>
      <c r="R3888" t="s">
        <v>78261</v>
      </c>
      <c r="S3888" t="s">
        <v>78262</v>
      </c>
      <c r="T3888" t="s">
        <v>78263</v>
      </c>
      <c r="U3888" t="s">
        <v>78264</v>
      </c>
      <c r="V3888" t="s">
        <v>78265</v>
      </c>
      <c r="W3888" t="s">
        <v>78266</v>
      </c>
      <c r="X3888" t="s">
        <v>78267</v>
      </c>
      <c r="Y3888" t="s">
        <v>78268</v>
      </c>
    </row>
    <row r="3889" spans="1:25" x14ac:dyDescent="0.3">
      <c r="A3889">
        <v>194400</v>
      </c>
      <c r="B3889" t="s">
        <v>78269</v>
      </c>
      <c r="C3889" t="s">
        <v>78270</v>
      </c>
      <c r="D3889" t="s">
        <v>78271</v>
      </c>
      <c r="E3889" t="s">
        <v>78272</v>
      </c>
      <c r="F3889" t="s">
        <v>78273</v>
      </c>
      <c r="G3889" t="s">
        <v>78274</v>
      </c>
      <c r="H3889" t="s">
        <v>78275</v>
      </c>
      <c r="I3889" t="s">
        <v>78276</v>
      </c>
      <c r="J3889" t="s">
        <v>78277</v>
      </c>
      <c r="K3889" t="s">
        <v>78278</v>
      </c>
      <c r="L3889" t="s">
        <v>78279</v>
      </c>
      <c r="M3889" t="s">
        <v>78280</v>
      </c>
      <c r="N3889" t="s">
        <v>78281</v>
      </c>
      <c r="O3889">
        <f>-579.305326514132 -106.423814727219 -744.826381719346</f>
        <v>-1430.5555229606971</v>
      </c>
      <c r="P3889">
        <f>-596.623794997811 -109.20203977301 -428.790642121304</f>
        <v>-1134.6164768921251</v>
      </c>
      <c r="Q3889">
        <f>-363.863500152089 -6.33593724575359 -482.486927539194</f>
        <v>-852.68636493703661</v>
      </c>
      <c r="R3889" t="s">
        <v>78282</v>
      </c>
      <c r="S3889" t="s">
        <v>78283</v>
      </c>
      <c r="T3889" t="s">
        <v>78284</v>
      </c>
      <c r="U3889" t="s">
        <v>78285</v>
      </c>
      <c r="V3889" t="s">
        <v>78286</v>
      </c>
      <c r="W3889" t="s">
        <v>78287</v>
      </c>
      <c r="X3889" t="s">
        <v>78288</v>
      </c>
      <c r="Y3889" t="s">
        <v>78289</v>
      </c>
    </row>
    <row r="3890" spans="1:25" x14ac:dyDescent="0.3">
      <c r="A3890">
        <v>194450</v>
      </c>
      <c r="B3890" t="s">
        <v>78290</v>
      </c>
      <c r="C3890" t="s">
        <v>78291</v>
      </c>
      <c r="D3890" t="s">
        <v>78292</v>
      </c>
      <c r="E3890" t="s">
        <v>78293</v>
      </c>
      <c r="F3890" t="s">
        <v>78294</v>
      </c>
      <c r="G3890" t="s">
        <v>78295</v>
      </c>
      <c r="H3890" t="s">
        <v>78296</v>
      </c>
      <c r="I3890" t="s">
        <v>78297</v>
      </c>
      <c r="J3890" t="s">
        <v>78298</v>
      </c>
      <c r="K3890" t="s">
        <v>78299</v>
      </c>
      <c r="L3890" t="s">
        <v>78300</v>
      </c>
      <c r="M3890" t="s">
        <v>78301</v>
      </c>
      <c r="N3890" t="s">
        <v>78302</v>
      </c>
      <c r="O3890">
        <f>-579.920529222217 -104.833116282033 -744.45469266016</f>
        <v>-1429.2083381644102</v>
      </c>
      <c r="P3890">
        <f>-597.742377468508 -107.334377716199 -428.444657184903</f>
        <v>-1133.5214123696101</v>
      </c>
      <c r="Q3890">
        <f>-363.893361445288 -6.98584647669573 -482.174217807743</f>
        <v>-853.05342572972677</v>
      </c>
      <c r="R3890" t="s">
        <v>78303</v>
      </c>
      <c r="S3890" t="s">
        <v>78304</v>
      </c>
      <c r="T3890" t="s">
        <v>78305</v>
      </c>
      <c r="U3890" t="s">
        <v>78306</v>
      </c>
      <c r="V3890" t="s">
        <v>78307</v>
      </c>
      <c r="W3890" t="s">
        <v>78308</v>
      </c>
      <c r="X3890" t="s">
        <v>78309</v>
      </c>
      <c r="Y3890" t="s">
        <v>78310</v>
      </c>
    </row>
    <row r="3891" spans="1:25" x14ac:dyDescent="0.3">
      <c r="A3891">
        <v>194500</v>
      </c>
      <c r="B3891" t="s">
        <v>78311</v>
      </c>
      <c r="C3891" t="s">
        <v>78312</v>
      </c>
      <c r="D3891" t="s">
        <v>78313</v>
      </c>
      <c r="E3891" t="s">
        <v>78314</v>
      </c>
      <c r="F3891" t="s">
        <v>78315</v>
      </c>
      <c r="G3891" t="s">
        <v>78316</v>
      </c>
      <c r="H3891" t="s">
        <v>78317</v>
      </c>
      <c r="I3891" t="s">
        <v>78318</v>
      </c>
      <c r="J3891" t="s">
        <v>78319</v>
      </c>
      <c r="K3891" t="s">
        <v>78320</v>
      </c>
      <c r="L3891" t="s">
        <v>78321</v>
      </c>
      <c r="M3891" t="s">
        <v>78322</v>
      </c>
      <c r="N3891" t="s">
        <v>78323</v>
      </c>
      <c r="O3891">
        <f>-580.234491973478 -104.285280832632 -744.257085338194</f>
        <v>-1428.776858144304</v>
      </c>
      <c r="P3891">
        <f>-598.441755741989 -106.921115225786 -428.270250505534</f>
        <v>-1133.6331214733091</v>
      </c>
      <c r="Q3891">
        <f>-364.277785310431 -7.17626855553249 -481.751472463698</f>
        <v>-853.20552632966155</v>
      </c>
      <c r="R3891" t="s">
        <v>78324</v>
      </c>
      <c r="S3891" t="s">
        <v>78325</v>
      </c>
      <c r="T3891" t="s">
        <v>78326</v>
      </c>
      <c r="U3891" t="s">
        <v>78327</v>
      </c>
      <c r="V3891" t="s">
        <v>78328</v>
      </c>
      <c r="W3891" t="s">
        <v>78329</v>
      </c>
      <c r="X3891" t="s">
        <v>78330</v>
      </c>
      <c r="Y3891" t="s">
        <v>78331</v>
      </c>
    </row>
    <row r="3892" spans="1:25" x14ac:dyDescent="0.3">
      <c r="A3892">
        <v>194550</v>
      </c>
      <c r="B3892" t="s">
        <v>78332</v>
      </c>
      <c r="C3892" t="s">
        <v>78333</v>
      </c>
      <c r="D3892" t="s">
        <v>78334</v>
      </c>
      <c r="E3892" t="s">
        <v>78335</v>
      </c>
      <c r="F3892" t="s">
        <v>78336</v>
      </c>
      <c r="G3892" t="s">
        <v>78337</v>
      </c>
      <c r="H3892" t="s">
        <v>78338</v>
      </c>
      <c r="I3892" t="s">
        <v>78339</v>
      </c>
      <c r="J3892" t="s">
        <v>78340</v>
      </c>
      <c r="K3892" t="s">
        <v>78341</v>
      </c>
      <c r="L3892" t="s">
        <v>78342</v>
      </c>
      <c r="M3892" t="s">
        <v>78343</v>
      </c>
      <c r="N3892" t="s">
        <v>78344</v>
      </c>
      <c r="O3892">
        <f>-579.722891752821 -103.324504982455 -744.103904170874</f>
        <v>-1427.15130090615</v>
      </c>
      <c r="P3892">
        <f>-598.334235616193 -106.46271768029 -428.145178412407</f>
        <v>-1132.94213170889</v>
      </c>
      <c r="Q3892">
        <f>-363.762416747431 -7.3014415295079 -480.919831719876</f>
        <v>-851.98368999681497</v>
      </c>
      <c r="R3892" t="s">
        <v>78345</v>
      </c>
      <c r="S3892" t="s">
        <v>78346</v>
      </c>
      <c r="T3892" t="s">
        <v>78347</v>
      </c>
      <c r="U3892" t="s">
        <v>78348</v>
      </c>
      <c r="V3892" t="s">
        <v>78349</v>
      </c>
      <c r="W3892" t="s">
        <v>78350</v>
      </c>
      <c r="X3892" t="s">
        <v>78351</v>
      </c>
      <c r="Y3892" t="s">
        <v>78352</v>
      </c>
    </row>
    <row r="3893" spans="1:25" x14ac:dyDescent="0.3">
      <c r="A3893">
        <v>194600</v>
      </c>
      <c r="B3893" t="s">
        <v>78353</v>
      </c>
      <c r="C3893" t="s">
        <v>78354</v>
      </c>
      <c r="D3893" t="s">
        <v>78355</v>
      </c>
      <c r="E3893" t="s">
        <v>78356</v>
      </c>
      <c r="F3893" t="s">
        <v>78357</v>
      </c>
      <c r="G3893" t="s">
        <v>78358</v>
      </c>
      <c r="H3893" t="s">
        <v>78359</v>
      </c>
      <c r="I3893" t="s">
        <v>78360</v>
      </c>
      <c r="J3893" t="s">
        <v>78361</v>
      </c>
      <c r="K3893" t="s">
        <v>78362</v>
      </c>
      <c r="L3893" t="s">
        <v>78363</v>
      </c>
      <c r="M3893" t="s">
        <v>78364</v>
      </c>
      <c r="N3893" t="s">
        <v>78365</v>
      </c>
      <c r="O3893">
        <f>-578.842139800822 -102.450298556442 -744.198417996522</f>
        <v>-1425.4908563537861</v>
      </c>
      <c r="P3893">
        <f>-597.997890053373 -105.592145401894 -428.272263242215</f>
        <v>-1131.8622986974819</v>
      </c>
      <c r="Q3893">
        <f>-363.2864144808 -6.52631529190528 -480.603383041346</f>
        <v>-850.4161128140513</v>
      </c>
      <c r="R3893" t="s">
        <v>78366</v>
      </c>
      <c r="S3893" t="s">
        <v>78367</v>
      </c>
      <c r="T3893" t="s">
        <v>78368</v>
      </c>
      <c r="U3893" t="s">
        <v>78369</v>
      </c>
      <c r="V3893" t="s">
        <v>78370</v>
      </c>
      <c r="W3893" t="s">
        <v>78371</v>
      </c>
      <c r="X3893" t="s">
        <v>78372</v>
      </c>
      <c r="Y3893" t="s">
        <v>78373</v>
      </c>
    </row>
    <row r="3894" spans="1:25" x14ac:dyDescent="0.3">
      <c r="A3894">
        <v>194650</v>
      </c>
      <c r="B3894" t="s">
        <v>78374</v>
      </c>
      <c r="C3894" t="s">
        <v>78375</v>
      </c>
      <c r="D3894" t="s">
        <v>78376</v>
      </c>
      <c r="E3894" t="s">
        <v>78377</v>
      </c>
      <c r="F3894" t="s">
        <v>78378</v>
      </c>
      <c r="G3894" t="s">
        <v>78379</v>
      </c>
      <c r="H3894" t="s">
        <v>78380</v>
      </c>
      <c r="I3894" t="s">
        <v>78381</v>
      </c>
      <c r="J3894" t="s">
        <v>78382</v>
      </c>
      <c r="K3894" t="s">
        <v>78383</v>
      </c>
      <c r="L3894" t="s">
        <v>78384</v>
      </c>
      <c r="M3894" t="s">
        <v>78385</v>
      </c>
      <c r="N3894" t="s">
        <v>78386</v>
      </c>
      <c r="O3894">
        <f>-575.846686852367 -101.325180083911 -744.552922879819</f>
        <v>-1421.7247898160972</v>
      </c>
      <c r="P3894">
        <f>-596.780162926282 -103.937975837957 -428.734690254004</f>
        <v>-1129.4528290182429</v>
      </c>
      <c r="Q3894">
        <f>-362.004135530094 -4.52645944500809 -480.112128731114</f>
        <v>-846.64272370621609</v>
      </c>
      <c r="R3894" t="s">
        <v>78387</v>
      </c>
      <c r="S3894" t="s">
        <v>78388</v>
      </c>
      <c r="T3894" t="s">
        <v>78389</v>
      </c>
      <c r="U3894" t="s">
        <v>78390</v>
      </c>
      <c r="V3894" t="s">
        <v>78391</v>
      </c>
      <c r="W3894" t="s">
        <v>78392</v>
      </c>
      <c r="X3894" t="s">
        <v>78393</v>
      </c>
      <c r="Y3894" t="s">
        <v>78394</v>
      </c>
    </row>
    <row r="3895" spans="1:25" x14ac:dyDescent="0.3">
      <c r="A3895">
        <v>194700</v>
      </c>
      <c r="B3895" t="s">
        <v>78395</v>
      </c>
      <c r="C3895" t="s">
        <v>78396</v>
      </c>
      <c r="D3895" t="s">
        <v>78397</v>
      </c>
      <c r="E3895" t="s">
        <v>78398</v>
      </c>
      <c r="F3895" t="s">
        <v>78399</v>
      </c>
      <c r="G3895" t="s">
        <v>78400</v>
      </c>
      <c r="H3895" t="s">
        <v>78401</v>
      </c>
      <c r="I3895" t="s">
        <v>78402</v>
      </c>
      <c r="J3895" t="s">
        <v>78403</v>
      </c>
      <c r="K3895" t="s">
        <v>78404</v>
      </c>
      <c r="L3895" t="s">
        <v>78405</v>
      </c>
      <c r="M3895" t="s">
        <v>78406</v>
      </c>
      <c r="N3895" t="s">
        <v>78407</v>
      </c>
      <c r="O3895">
        <f>-574.411953080237 -100.5661603327 -744.711266350935</f>
        <v>-1419.689379763872</v>
      </c>
      <c r="P3895">
        <f>-595.9369696587 -103.14068266014 -428.932433853504</f>
        <v>-1128.010086172344</v>
      </c>
      <c r="Q3895">
        <f>-361.296664471303 -3.1894285704886 -479.880653136816</f>
        <v>-844.36674617860763</v>
      </c>
      <c r="R3895" t="s">
        <v>78408</v>
      </c>
      <c r="S3895" t="s">
        <v>78409</v>
      </c>
      <c r="T3895" t="s">
        <v>78410</v>
      </c>
      <c r="U3895" t="s">
        <v>78411</v>
      </c>
      <c r="V3895" t="s">
        <v>78412</v>
      </c>
      <c r="W3895" t="s">
        <v>78413</v>
      </c>
      <c r="X3895" t="s">
        <v>78414</v>
      </c>
      <c r="Y3895" t="s">
        <v>78415</v>
      </c>
    </row>
    <row r="3896" spans="1:25" x14ac:dyDescent="0.3">
      <c r="A3896">
        <v>194750</v>
      </c>
      <c r="B3896" t="s">
        <v>78416</v>
      </c>
      <c r="C3896" t="s">
        <v>78417</v>
      </c>
      <c r="D3896" t="s">
        <v>78418</v>
      </c>
      <c r="E3896" t="s">
        <v>78419</v>
      </c>
      <c r="F3896" t="s">
        <v>78420</v>
      </c>
      <c r="G3896" t="s">
        <v>78421</v>
      </c>
      <c r="H3896" t="s">
        <v>78422</v>
      </c>
      <c r="I3896" t="s">
        <v>78423</v>
      </c>
      <c r="J3896" t="s">
        <v>78424</v>
      </c>
      <c r="K3896" t="s">
        <v>78425</v>
      </c>
      <c r="L3896" t="s">
        <v>78426</v>
      </c>
      <c r="M3896" t="s">
        <v>78427</v>
      </c>
      <c r="N3896" t="s">
        <v>78428</v>
      </c>
      <c r="O3896">
        <f>-571.169489706326 -99.2515488048367 -745.152459210731</f>
        <v>-1415.5734977218935</v>
      </c>
      <c r="P3896">
        <f>-593.284378379026 -102.181529816249 -429.417524103936</f>
        <v>-1124.8834322992111</v>
      </c>
      <c r="Q3896">
        <f>-359.086364533756 -0.900814145339055 -479.771837926952</f>
        <v>-839.759016606047</v>
      </c>
      <c r="R3896" t="s">
        <v>78429</v>
      </c>
      <c r="S3896" t="s">
        <v>78430</v>
      </c>
      <c r="T3896" t="s">
        <v>78431</v>
      </c>
      <c r="U3896" t="s">
        <v>78432</v>
      </c>
      <c r="V3896" t="s">
        <v>78433</v>
      </c>
      <c r="W3896" t="s">
        <v>78434</v>
      </c>
      <c r="X3896" t="s">
        <v>78435</v>
      </c>
      <c r="Y3896" t="s">
        <v>78436</v>
      </c>
    </row>
    <row r="3897" spans="1:25" x14ac:dyDescent="0.3">
      <c r="A3897">
        <v>194800</v>
      </c>
      <c r="B3897" t="s">
        <v>78437</v>
      </c>
      <c r="C3897" t="s">
        <v>78438</v>
      </c>
      <c r="D3897" t="s">
        <v>78439</v>
      </c>
      <c r="E3897" t="s">
        <v>78440</v>
      </c>
      <c r="F3897" t="s">
        <v>78441</v>
      </c>
      <c r="G3897" t="s">
        <v>78442</v>
      </c>
      <c r="H3897" t="s">
        <v>78443</v>
      </c>
      <c r="I3897" t="s">
        <v>78444</v>
      </c>
      <c r="J3897" t="s">
        <v>78445</v>
      </c>
      <c r="K3897" t="s">
        <v>78446</v>
      </c>
      <c r="L3897" t="s">
        <v>78447</v>
      </c>
      <c r="M3897" t="s">
        <v>78448</v>
      </c>
      <c r="N3897" t="s">
        <v>78449</v>
      </c>
      <c r="O3897">
        <f>-569.440023450771 -98.6164354634754 -745.395783753565</f>
        <v>-1413.4522426678113</v>
      </c>
      <c r="P3897">
        <f>-592.018990326989 -101.684216611575 -429.694906127596</f>
        <v>-1123.39811306616</v>
      </c>
      <c r="Q3897" t="s">
        <v>78450</v>
      </c>
      <c r="R3897" t="s">
        <v>78451</v>
      </c>
      <c r="S3897" t="s">
        <v>78452</v>
      </c>
      <c r="T3897" t="s">
        <v>78453</v>
      </c>
      <c r="U3897" t="s">
        <v>78454</v>
      </c>
      <c r="V3897" t="s">
        <v>78455</v>
      </c>
      <c r="W3897" t="s">
        <v>78456</v>
      </c>
      <c r="X3897" t="s">
        <v>78457</v>
      </c>
      <c r="Y3897" t="s">
        <v>78458</v>
      </c>
    </row>
    <row r="3898" spans="1:25" x14ac:dyDescent="0.3">
      <c r="A3898">
        <v>194850</v>
      </c>
      <c r="B3898" t="s">
        <v>78459</v>
      </c>
      <c r="C3898" t="s">
        <v>78460</v>
      </c>
      <c r="D3898" t="s">
        <v>78461</v>
      </c>
      <c r="E3898" t="s">
        <v>78462</v>
      </c>
      <c r="F3898" t="s">
        <v>78463</v>
      </c>
      <c r="G3898" t="s">
        <v>78464</v>
      </c>
      <c r="H3898" t="s">
        <v>78465</v>
      </c>
      <c r="I3898" t="s">
        <v>78466</v>
      </c>
      <c r="J3898" t="s">
        <v>78467</v>
      </c>
      <c r="K3898" t="s">
        <v>78468</v>
      </c>
      <c r="L3898" t="s">
        <v>78469</v>
      </c>
      <c r="M3898" t="s">
        <v>78470</v>
      </c>
      <c r="N3898" t="s">
        <v>78471</v>
      </c>
      <c r="O3898">
        <f>-565.8294804896 -96.9043287770714 -745.992475061043</f>
        <v>-1408.7262843277144</v>
      </c>
      <c r="P3898">
        <f>-589.453688207627 -100.125587826429 -430.369843119525</f>
        <v>-1119.949119153581</v>
      </c>
      <c r="Q3898" t="s">
        <v>78472</v>
      </c>
      <c r="R3898" t="s">
        <v>78473</v>
      </c>
      <c r="S3898" t="s">
        <v>78474</v>
      </c>
      <c r="T3898" t="s">
        <v>78475</v>
      </c>
      <c r="U3898" t="s">
        <v>78476</v>
      </c>
      <c r="V3898" t="s">
        <v>78477</v>
      </c>
      <c r="W3898" t="s">
        <v>78478</v>
      </c>
      <c r="X3898" t="s">
        <v>78479</v>
      </c>
      <c r="Y3898" t="s">
        <v>78480</v>
      </c>
    </row>
    <row r="3899" spans="1:25" x14ac:dyDescent="0.3">
      <c r="A3899">
        <v>194900</v>
      </c>
      <c r="B3899" t="s">
        <v>78459</v>
      </c>
      <c r="C3899" t="s">
        <v>78460</v>
      </c>
      <c r="D3899" t="s">
        <v>78461</v>
      </c>
      <c r="E3899" t="s">
        <v>78462</v>
      </c>
      <c r="F3899" t="s">
        <v>78463</v>
      </c>
      <c r="G3899" t="s">
        <v>78464</v>
      </c>
      <c r="H3899" t="s">
        <v>78465</v>
      </c>
      <c r="I3899" t="s">
        <v>78466</v>
      </c>
      <c r="J3899" t="s">
        <v>78467</v>
      </c>
      <c r="K3899" t="s">
        <v>78468</v>
      </c>
      <c r="L3899" t="s">
        <v>78469</v>
      </c>
      <c r="M3899" t="s">
        <v>78470</v>
      </c>
      <c r="N3899" t="s">
        <v>78471</v>
      </c>
      <c r="O3899">
        <f>-565.8294804896 -96.9043287770714 -745.992475061043</f>
        <v>-1408.7262843277144</v>
      </c>
      <c r="P3899">
        <f>-589.453688207627 -100.125587826429 -430.369843119525</f>
        <v>-1119.949119153581</v>
      </c>
      <c r="Q3899" t="s">
        <v>78472</v>
      </c>
      <c r="R3899" t="s">
        <v>78473</v>
      </c>
      <c r="S3899" t="s">
        <v>78474</v>
      </c>
      <c r="T3899" t="s">
        <v>78475</v>
      </c>
      <c r="U3899" t="s">
        <v>78476</v>
      </c>
      <c r="V3899" t="s">
        <v>78477</v>
      </c>
      <c r="W3899" t="s">
        <v>78478</v>
      </c>
      <c r="X3899" t="s">
        <v>78479</v>
      </c>
      <c r="Y3899" t="s">
        <v>78480</v>
      </c>
    </row>
    <row r="3900" spans="1:25" x14ac:dyDescent="0.3">
      <c r="A3900">
        <v>194950</v>
      </c>
      <c r="B3900" t="s">
        <v>78481</v>
      </c>
      <c r="C3900" t="s">
        <v>78482</v>
      </c>
      <c r="D3900" t="s">
        <v>78483</v>
      </c>
      <c r="E3900" t="s">
        <v>78484</v>
      </c>
      <c r="F3900" t="s">
        <v>78485</v>
      </c>
      <c r="G3900" t="s">
        <v>78486</v>
      </c>
      <c r="H3900" t="s">
        <v>78487</v>
      </c>
      <c r="I3900" t="s">
        <v>78488</v>
      </c>
      <c r="J3900" t="s">
        <v>78489</v>
      </c>
      <c r="K3900" t="s">
        <v>78490</v>
      </c>
      <c r="L3900" t="s">
        <v>78491</v>
      </c>
      <c r="M3900" t="s">
        <v>78492</v>
      </c>
      <c r="N3900" t="s">
        <v>78493</v>
      </c>
      <c r="O3900">
        <f>-564.234691305416 -95.997560608669 -746.217931999084</f>
        <v>-1406.450183913169</v>
      </c>
      <c r="P3900">
        <f>-588.261063967113 -99.2372060669538 -430.625761231384</f>
        <v>-1118.1240312654509</v>
      </c>
      <c r="Q3900" t="s">
        <v>78494</v>
      </c>
      <c r="R3900" t="s">
        <v>78495</v>
      </c>
      <c r="S3900" t="s">
        <v>78496</v>
      </c>
      <c r="T3900" t="s">
        <v>78497</v>
      </c>
      <c r="U3900" t="s">
        <v>78498</v>
      </c>
      <c r="V3900" t="s">
        <v>78499</v>
      </c>
      <c r="W3900" t="s">
        <v>78500</v>
      </c>
      <c r="X3900" t="s">
        <v>78501</v>
      </c>
      <c r="Y3900" t="s">
        <v>78502</v>
      </c>
    </row>
    <row r="3901" spans="1:25" x14ac:dyDescent="0.3">
      <c r="A3901">
        <v>195000</v>
      </c>
      <c r="B3901" t="s">
        <v>78503</v>
      </c>
      <c r="C3901" t="s">
        <v>78504</v>
      </c>
      <c r="D3901" t="s">
        <v>78505</v>
      </c>
      <c r="E3901" t="s">
        <v>78506</v>
      </c>
      <c r="F3901" t="s">
        <v>78507</v>
      </c>
      <c r="G3901" t="s">
        <v>78508</v>
      </c>
      <c r="H3901" t="s">
        <v>78509</v>
      </c>
      <c r="I3901" t="s">
        <v>78510</v>
      </c>
      <c r="J3901" t="s">
        <v>78511</v>
      </c>
      <c r="K3901" t="s">
        <v>78512</v>
      </c>
      <c r="L3901" t="s">
        <v>78513</v>
      </c>
      <c r="M3901" t="s">
        <v>78514</v>
      </c>
      <c r="N3901" t="s">
        <v>78515</v>
      </c>
      <c r="O3901">
        <f>-561.734250381615 -93.7505798563865 -746.376773996884</f>
        <v>-1401.8616042348854</v>
      </c>
      <c r="P3901">
        <f>-585.562311921403 -96.8297276568708 -430.767960052417</f>
        <v>-1113.1599996306907</v>
      </c>
      <c r="Q3901" t="s">
        <v>78516</v>
      </c>
      <c r="R3901" t="s">
        <v>78517</v>
      </c>
      <c r="S3901" t="s">
        <v>78518</v>
      </c>
      <c r="T3901" t="s">
        <v>78519</v>
      </c>
      <c r="U3901" t="s">
        <v>78520</v>
      </c>
      <c r="V3901" t="s">
        <v>78521</v>
      </c>
      <c r="W3901" t="s">
        <v>78522</v>
      </c>
      <c r="X3901" t="s">
        <v>78523</v>
      </c>
      <c r="Y3901" t="s">
        <v>78524</v>
      </c>
    </row>
    <row r="3902" spans="1:25" x14ac:dyDescent="0.3">
      <c r="A3902">
        <v>195050</v>
      </c>
      <c r="B3902" t="s">
        <v>78525</v>
      </c>
      <c r="C3902" t="s">
        <v>78526</v>
      </c>
      <c r="D3902" t="s">
        <v>78527</v>
      </c>
      <c r="E3902" t="s">
        <v>78528</v>
      </c>
      <c r="F3902" t="s">
        <v>78529</v>
      </c>
      <c r="G3902" t="s">
        <v>78530</v>
      </c>
      <c r="H3902" t="s">
        <v>78531</v>
      </c>
      <c r="I3902" t="s">
        <v>78532</v>
      </c>
      <c r="J3902" t="s">
        <v>78533</v>
      </c>
      <c r="K3902" t="s">
        <v>78534</v>
      </c>
      <c r="L3902" t="s">
        <v>78535</v>
      </c>
      <c r="M3902" t="s">
        <v>78536</v>
      </c>
      <c r="N3902" t="s">
        <v>78537</v>
      </c>
      <c r="O3902">
        <f>-561.530746967476 -92.2343886879861 -746.546378532006</f>
        <v>-1400.3115141874682</v>
      </c>
      <c r="P3902">
        <f>-584.530292114034 -95.7455613280309 -430.880582549264</f>
        <v>-1111.1564359913289</v>
      </c>
      <c r="Q3902" t="s">
        <v>78538</v>
      </c>
      <c r="R3902" t="s">
        <v>78539</v>
      </c>
      <c r="S3902" t="s">
        <v>78540</v>
      </c>
      <c r="T3902" t="s">
        <v>78541</v>
      </c>
      <c r="U3902" t="s">
        <v>78542</v>
      </c>
      <c r="V3902" t="s">
        <v>78543</v>
      </c>
      <c r="W3902" t="s">
        <v>78544</v>
      </c>
      <c r="X3902" t="s">
        <v>78545</v>
      </c>
      <c r="Y3902" t="s">
        <v>78546</v>
      </c>
    </row>
    <row r="3903" spans="1:25" x14ac:dyDescent="0.3">
      <c r="A3903">
        <v>195100</v>
      </c>
      <c r="B3903" t="s">
        <v>78547</v>
      </c>
      <c r="C3903" t="s">
        <v>78548</v>
      </c>
      <c r="D3903" t="s">
        <v>78549</v>
      </c>
      <c r="E3903" t="s">
        <v>78550</v>
      </c>
      <c r="F3903" t="s">
        <v>78551</v>
      </c>
      <c r="G3903" t="s">
        <v>78552</v>
      </c>
      <c r="H3903" t="s">
        <v>78553</v>
      </c>
      <c r="I3903" t="s">
        <v>78554</v>
      </c>
      <c r="J3903" t="s">
        <v>78555</v>
      </c>
      <c r="K3903" t="s">
        <v>78556</v>
      </c>
      <c r="L3903" t="s">
        <v>78557</v>
      </c>
      <c r="M3903" t="s">
        <v>78558</v>
      </c>
      <c r="N3903" t="s">
        <v>78559</v>
      </c>
      <c r="O3903">
        <f>-561.546348798793 -91.879090047386 -746.507955967425</f>
        <v>-1399.9333948136041</v>
      </c>
      <c r="P3903">
        <f>-584.097820013708 -95.5212126322462 -430.811245709913</f>
        <v>-1110.4302783558671</v>
      </c>
      <c r="Q3903" t="s">
        <v>78560</v>
      </c>
      <c r="R3903" t="s">
        <v>78561</v>
      </c>
      <c r="S3903" t="s">
        <v>78562</v>
      </c>
      <c r="T3903" t="s">
        <v>78563</v>
      </c>
      <c r="U3903" t="s">
        <v>78564</v>
      </c>
      <c r="V3903" t="s">
        <v>78565</v>
      </c>
      <c r="W3903" t="s">
        <v>78566</v>
      </c>
      <c r="X3903" t="s">
        <v>78567</v>
      </c>
      <c r="Y3903" t="s">
        <v>78568</v>
      </c>
    </row>
    <row r="3904" spans="1:25" x14ac:dyDescent="0.3">
      <c r="A3904">
        <v>195150</v>
      </c>
      <c r="B3904" t="s">
        <v>78569</v>
      </c>
      <c r="C3904" t="s">
        <v>78570</v>
      </c>
      <c r="D3904" t="s">
        <v>78571</v>
      </c>
      <c r="E3904" t="s">
        <v>78572</v>
      </c>
      <c r="F3904" t="s">
        <v>78573</v>
      </c>
      <c r="G3904" t="s">
        <v>78574</v>
      </c>
      <c r="H3904" t="s">
        <v>78575</v>
      </c>
      <c r="I3904" t="s">
        <v>78576</v>
      </c>
      <c r="J3904" t="s">
        <v>78577</v>
      </c>
      <c r="K3904" t="s">
        <v>78578</v>
      </c>
      <c r="L3904" t="s">
        <v>78579</v>
      </c>
      <c r="M3904" t="s">
        <v>78580</v>
      </c>
      <c r="N3904" t="s">
        <v>78581</v>
      </c>
      <c r="O3904">
        <f>-561.430524229707 -91.1927274733032 -746.194593319829</f>
        <v>-1398.8178450228393</v>
      </c>
      <c r="P3904">
        <f>-583.135239251401 -94.7254663761738 -430.437405619683</f>
        <v>-1108.2981112472578</v>
      </c>
      <c r="Q3904" t="s">
        <v>78582</v>
      </c>
      <c r="R3904" t="s">
        <v>78583</v>
      </c>
      <c r="S3904" t="s">
        <v>78584</v>
      </c>
      <c r="T3904" t="s">
        <v>78585</v>
      </c>
      <c r="U3904" t="s">
        <v>78586</v>
      </c>
      <c r="V3904" t="s">
        <v>78587</v>
      </c>
      <c r="W3904" t="s">
        <v>78588</v>
      </c>
      <c r="X3904" t="s">
        <v>78589</v>
      </c>
      <c r="Y3904" t="s">
        <v>78590</v>
      </c>
    </row>
    <row r="3905" spans="1:25" x14ac:dyDescent="0.3">
      <c r="A3905">
        <v>195200</v>
      </c>
      <c r="B3905" t="s">
        <v>78591</v>
      </c>
      <c r="C3905" t="s">
        <v>78592</v>
      </c>
      <c r="D3905" t="s">
        <v>78593</v>
      </c>
      <c r="E3905" t="s">
        <v>78594</v>
      </c>
      <c r="F3905" t="s">
        <v>78595</v>
      </c>
      <c r="G3905" t="s">
        <v>78596</v>
      </c>
      <c r="H3905" t="s">
        <v>78597</v>
      </c>
      <c r="I3905" t="s">
        <v>78598</v>
      </c>
      <c r="J3905" t="s">
        <v>78599</v>
      </c>
      <c r="K3905" t="s">
        <v>78600</v>
      </c>
      <c r="L3905" t="s">
        <v>78601</v>
      </c>
      <c r="M3905" t="s">
        <v>78602</v>
      </c>
      <c r="N3905" t="s">
        <v>78603</v>
      </c>
      <c r="O3905">
        <f>-561.225147780283 -90.6003546746148 -746.013532266132</f>
        <v>-1397.8390347210297</v>
      </c>
      <c r="P3905">
        <f>-582.752279837156 -93.9814580512076 -430.242548367784</f>
        <v>-1106.9762862561477</v>
      </c>
      <c r="Q3905" t="s">
        <v>78604</v>
      </c>
      <c r="R3905" t="s">
        <v>78605</v>
      </c>
      <c r="S3905" t="s">
        <v>78606</v>
      </c>
      <c r="T3905" t="s">
        <v>78607</v>
      </c>
      <c r="U3905" t="s">
        <v>78608</v>
      </c>
      <c r="V3905" t="s">
        <v>78609</v>
      </c>
      <c r="W3905" t="s">
        <v>78610</v>
      </c>
      <c r="X3905" t="s">
        <v>78611</v>
      </c>
      <c r="Y3905" t="s">
        <v>78612</v>
      </c>
    </row>
    <row r="3906" spans="1:25" x14ac:dyDescent="0.3">
      <c r="A3906">
        <v>195250</v>
      </c>
      <c r="B3906" t="s">
        <v>78613</v>
      </c>
      <c r="C3906" t="s">
        <v>78614</v>
      </c>
      <c r="D3906" t="s">
        <v>78615</v>
      </c>
      <c r="E3906" t="s">
        <v>78616</v>
      </c>
      <c r="F3906" t="s">
        <v>78617</v>
      </c>
      <c r="G3906" t="s">
        <v>78618</v>
      </c>
      <c r="H3906" t="s">
        <v>78619</v>
      </c>
      <c r="I3906" t="s">
        <v>78620</v>
      </c>
      <c r="J3906" t="s">
        <v>78621</v>
      </c>
      <c r="K3906" t="s">
        <v>78622</v>
      </c>
      <c r="L3906" t="s">
        <v>78623</v>
      </c>
      <c r="M3906" t="s">
        <v>78624</v>
      </c>
      <c r="N3906" t="s">
        <v>78625</v>
      </c>
      <c r="O3906">
        <f>-561.507041274494 -89.9777225642573 -745.795901417109</f>
        <v>-1397.2806652558602</v>
      </c>
      <c r="P3906">
        <f>-583.047384623701 -93.2324608221285 -430.024486205807</f>
        <v>-1106.3043316516364</v>
      </c>
      <c r="Q3906" t="s">
        <v>78626</v>
      </c>
      <c r="R3906" t="s">
        <v>78627</v>
      </c>
      <c r="S3906" t="s">
        <v>78628</v>
      </c>
      <c r="T3906" t="s">
        <v>78629</v>
      </c>
      <c r="U3906" t="s">
        <v>78630</v>
      </c>
      <c r="V3906" t="s">
        <v>78631</v>
      </c>
      <c r="W3906" t="s">
        <v>78632</v>
      </c>
      <c r="X3906" t="s">
        <v>78633</v>
      </c>
      <c r="Y3906" t="s">
        <v>78634</v>
      </c>
    </row>
    <row r="3907" spans="1:25" x14ac:dyDescent="0.3">
      <c r="A3907">
        <v>195300</v>
      </c>
      <c r="B3907" t="s">
        <v>78635</v>
      </c>
      <c r="C3907" t="s">
        <v>78636</v>
      </c>
      <c r="D3907" t="s">
        <v>78637</v>
      </c>
      <c r="E3907" t="s">
        <v>78638</v>
      </c>
      <c r="F3907" t="s">
        <v>78639</v>
      </c>
      <c r="G3907" t="s">
        <v>78640</v>
      </c>
      <c r="H3907" t="s">
        <v>78641</v>
      </c>
      <c r="I3907" t="s">
        <v>78642</v>
      </c>
      <c r="J3907" t="s">
        <v>78643</v>
      </c>
      <c r="K3907" t="s">
        <v>78644</v>
      </c>
      <c r="L3907" t="s">
        <v>78645</v>
      </c>
      <c r="M3907" t="s">
        <v>78646</v>
      </c>
      <c r="N3907" t="s">
        <v>78647</v>
      </c>
      <c r="O3907">
        <f>-562.06936410122 -89.9382017838243 -745.766220948998</f>
        <v>-1397.7737868340423</v>
      </c>
      <c r="P3907">
        <f>-583.551492042773 -93.4435632422582 -429.993531829762</f>
        <v>-1106.9885871147931</v>
      </c>
      <c r="Q3907" t="s">
        <v>78648</v>
      </c>
      <c r="R3907" t="s">
        <v>78649</v>
      </c>
      <c r="S3907" t="s">
        <v>78650</v>
      </c>
      <c r="T3907" t="s">
        <v>78651</v>
      </c>
      <c r="U3907" t="s">
        <v>78652</v>
      </c>
      <c r="V3907" t="s">
        <v>78653</v>
      </c>
      <c r="W3907" t="s">
        <v>78654</v>
      </c>
      <c r="X3907" t="s">
        <v>78655</v>
      </c>
      <c r="Y3907" t="s">
        <v>78656</v>
      </c>
    </row>
    <row r="3908" spans="1:25" x14ac:dyDescent="0.3">
      <c r="A3908">
        <v>195350</v>
      </c>
      <c r="B3908" t="s">
        <v>78657</v>
      </c>
      <c r="C3908" t="s">
        <v>78658</v>
      </c>
      <c r="D3908" t="s">
        <v>78659</v>
      </c>
      <c r="E3908" t="s">
        <v>78660</v>
      </c>
      <c r="F3908" t="s">
        <v>78661</v>
      </c>
      <c r="G3908" t="s">
        <v>78662</v>
      </c>
      <c r="H3908" t="s">
        <v>78663</v>
      </c>
      <c r="I3908" t="s">
        <v>78664</v>
      </c>
      <c r="J3908" t="s">
        <v>78665</v>
      </c>
      <c r="K3908" t="s">
        <v>78666</v>
      </c>
      <c r="L3908" t="s">
        <v>78667</v>
      </c>
      <c r="M3908" t="s">
        <v>78668</v>
      </c>
      <c r="N3908" t="s">
        <v>78669</v>
      </c>
      <c r="O3908">
        <f>-563.127388905369 -89.3977679313542 -746.002567810052</f>
        <v>-1398.5277246467754</v>
      </c>
      <c r="P3908">
        <f>-584.436541260226 -92.77811739724 -430.216737734118</f>
        <v>-1107.431396391584</v>
      </c>
      <c r="Q3908" t="s">
        <v>78670</v>
      </c>
      <c r="R3908" t="s">
        <v>78671</v>
      </c>
      <c r="S3908" t="s">
        <v>78672</v>
      </c>
      <c r="T3908" t="s">
        <v>78673</v>
      </c>
      <c r="U3908" t="s">
        <v>78674</v>
      </c>
      <c r="V3908" t="s">
        <v>78675</v>
      </c>
      <c r="W3908" t="s">
        <v>78676</v>
      </c>
      <c r="X3908" t="s">
        <v>78677</v>
      </c>
      <c r="Y3908" t="s">
        <v>78678</v>
      </c>
    </row>
    <row r="3909" spans="1:25" x14ac:dyDescent="0.3">
      <c r="A3909">
        <v>195400</v>
      </c>
      <c r="B3909" t="s">
        <v>78679</v>
      </c>
      <c r="C3909" t="s">
        <v>78680</v>
      </c>
      <c r="D3909" t="s">
        <v>78681</v>
      </c>
      <c r="E3909" t="s">
        <v>78682</v>
      </c>
      <c r="F3909" t="s">
        <v>78683</v>
      </c>
      <c r="G3909" t="s">
        <v>78684</v>
      </c>
      <c r="H3909" t="s">
        <v>78685</v>
      </c>
      <c r="I3909" t="s">
        <v>78686</v>
      </c>
      <c r="J3909" t="s">
        <v>78687</v>
      </c>
      <c r="K3909" t="s">
        <v>78688</v>
      </c>
      <c r="L3909" t="s">
        <v>78689</v>
      </c>
      <c r="M3909" t="s">
        <v>78690</v>
      </c>
      <c r="N3909" t="s">
        <v>78691</v>
      </c>
      <c r="O3909">
        <f>-563.723652071657 -89.0169807824062 -746.058228388989</f>
        <v>-1398.7988612430522</v>
      </c>
      <c r="P3909">
        <f>-585.064530026445 -92.4179002883623 -430.274697378993</f>
        <v>-1107.7571276938002</v>
      </c>
      <c r="Q3909" t="s">
        <v>78692</v>
      </c>
      <c r="R3909" t="s">
        <v>78693</v>
      </c>
      <c r="S3909" t="s">
        <v>78694</v>
      </c>
      <c r="T3909" t="s">
        <v>78695</v>
      </c>
      <c r="U3909" t="s">
        <v>78696</v>
      </c>
      <c r="V3909" t="s">
        <v>78697</v>
      </c>
      <c r="W3909" t="s">
        <v>78698</v>
      </c>
      <c r="X3909" t="s">
        <v>78699</v>
      </c>
      <c r="Y3909" t="s">
        <v>78700</v>
      </c>
    </row>
    <row r="3910" spans="1:25" x14ac:dyDescent="0.3">
      <c r="A3910">
        <v>195450</v>
      </c>
      <c r="B3910" t="s">
        <v>78701</v>
      </c>
      <c r="C3910" t="s">
        <v>78702</v>
      </c>
      <c r="D3910" t="s">
        <v>78703</v>
      </c>
      <c r="E3910" t="s">
        <v>78704</v>
      </c>
      <c r="F3910" t="s">
        <v>78705</v>
      </c>
      <c r="G3910" t="s">
        <v>78706</v>
      </c>
      <c r="H3910" t="s">
        <v>78707</v>
      </c>
      <c r="I3910" t="s">
        <v>78708</v>
      </c>
      <c r="J3910" t="s">
        <v>78709</v>
      </c>
      <c r="K3910" t="s">
        <v>78710</v>
      </c>
      <c r="L3910" t="s">
        <v>78711</v>
      </c>
      <c r="M3910" t="s">
        <v>78712</v>
      </c>
      <c r="N3910" t="s">
        <v>78713</v>
      </c>
      <c r="O3910">
        <f>-564.716560969797 -88.6762059846604 -746.113591951148</f>
        <v>-1399.5063589056053</v>
      </c>
      <c r="P3910">
        <f>-586.517855975034 -92.2075614354198 -430.363082135162</f>
        <v>-1109.0884995456158</v>
      </c>
      <c r="Q3910" t="s">
        <v>78714</v>
      </c>
      <c r="R3910" t="s">
        <v>78715</v>
      </c>
      <c r="S3910" t="s">
        <v>78716</v>
      </c>
      <c r="T3910" t="s">
        <v>78717</v>
      </c>
      <c r="U3910" t="s">
        <v>78718</v>
      </c>
      <c r="V3910" t="s">
        <v>78719</v>
      </c>
      <c r="W3910" t="s">
        <v>78720</v>
      </c>
      <c r="X3910" t="s">
        <v>78721</v>
      </c>
      <c r="Y3910" t="s">
        <v>78722</v>
      </c>
    </row>
    <row r="3911" spans="1:25" x14ac:dyDescent="0.3">
      <c r="A3911">
        <v>195500</v>
      </c>
      <c r="B3911" t="s">
        <v>78723</v>
      </c>
      <c r="C3911" t="s">
        <v>78724</v>
      </c>
      <c r="D3911" t="s">
        <v>78725</v>
      </c>
      <c r="E3911" t="s">
        <v>78726</v>
      </c>
      <c r="F3911" t="s">
        <v>78727</v>
      </c>
      <c r="G3911" t="s">
        <v>78728</v>
      </c>
      <c r="H3911" t="s">
        <v>78729</v>
      </c>
      <c r="I3911" t="s">
        <v>78730</v>
      </c>
      <c r="J3911" t="s">
        <v>78731</v>
      </c>
      <c r="K3911" t="s">
        <v>78732</v>
      </c>
      <c r="L3911" t="s">
        <v>78733</v>
      </c>
      <c r="M3911" t="s">
        <v>78734</v>
      </c>
      <c r="N3911" t="s">
        <v>78735</v>
      </c>
      <c r="O3911">
        <f>-565.095915406797 -88.5718503291539 -746.02383270885</f>
        <v>-1399.691598444801</v>
      </c>
      <c r="P3911">
        <f>-587.180418449803 -92.3895550858169 -430.296389722825</f>
        <v>-1109.8663632584448</v>
      </c>
      <c r="Q3911" t="s">
        <v>78736</v>
      </c>
      <c r="R3911" t="s">
        <v>78737</v>
      </c>
      <c r="S3911" t="s">
        <v>78738</v>
      </c>
      <c r="T3911" t="s">
        <v>78739</v>
      </c>
      <c r="U3911" t="s">
        <v>78740</v>
      </c>
      <c r="V3911" t="s">
        <v>78741</v>
      </c>
      <c r="W3911" t="s">
        <v>78742</v>
      </c>
      <c r="X3911" t="s">
        <v>78743</v>
      </c>
      <c r="Y3911" t="s">
        <v>78744</v>
      </c>
    </row>
    <row r="3912" spans="1:25" x14ac:dyDescent="0.3">
      <c r="A3912">
        <v>195550</v>
      </c>
      <c r="B3912" t="s">
        <v>78745</v>
      </c>
      <c r="C3912" t="s">
        <v>78746</v>
      </c>
      <c r="D3912" t="s">
        <v>78747</v>
      </c>
      <c r="E3912" t="s">
        <v>78748</v>
      </c>
      <c r="F3912" t="s">
        <v>78749</v>
      </c>
      <c r="G3912" t="s">
        <v>78750</v>
      </c>
      <c r="H3912" t="s">
        <v>78751</v>
      </c>
      <c r="I3912" t="s">
        <v>78752</v>
      </c>
      <c r="J3912" t="s">
        <v>78753</v>
      </c>
      <c r="K3912" t="s">
        <v>78754</v>
      </c>
      <c r="L3912" t="s">
        <v>78755</v>
      </c>
      <c r="M3912" t="s">
        <v>78756</v>
      </c>
      <c r="N3912" t="s">
        <v>78757</v>
      </c>
      <c r="O3912">
        <f>-565.925884457103 -88.472187087224 -745.64208390378</f>
        <v>-1400.040155448107</v>
      </c>
      <c r="P3912">
        <f>-588.960767131269 -92.0296688733777 -429.979542965135</f>
        <v>-1110.9699789697816</v>
      </c>
      <c r="Q3912" t="s">
        <v>78758</v>
      </c>
      <c r="R3912" t="s">
        <v>78759</v>
      </c>
      <c r="S3912" t="s">
        <v>78760</v>
      </c>
      <c r="T3912" t="s">
        <v>78761</v>
      </c>
      <c r="U3912" t="s">
        <v>78762</v>
      </c>
      <c r="V3912" t="s">
        <v>78763</v>
      </c>
      <c r="W3912" t="s">
        <v>78764</v>
      </c>
      <c r="X3912" t="s">
        <v>78765</v>
      </c>
      <c r="Y3912" t="s">
        <v>78766</v>
      </c>
    </row>
    <row r="3913" spans="1:25" x14ac:dyDescent="0.3">
      <c r="A3913">
        <v>195600</v>
      </c>
      <c r="B3913" t="s">
        <v>78767</v>
      </c>
      <c r="C3913" t="s">
        <v>78768</v>
      </c>
      <c r="D3913" t="s">
        <v>78769</v>
      </c>
      <c r="E3913" t="s">
        <v>78770</v>
      </c>
      <c r="F3913" t="s">
        <v>78771</v>
      </c>
      <c r="G3913" t="s">
        <v>78772</v>
      </c>
      <c r="H3913" t="s">
        <v>78773</v>
      </c>
      <c r="I3913" t="s">
        <v>78774</v>
      </c>
      <c r="J3913" t="s">
        <v>78775</v>
      </c>
      <c r="K3913" t="s">
        <v>78776</v>
      </c>
      <c r="L3913" t="s">
        <v>78777</v>
      </c>
      <c r="M3913" t="s">
        <v>78778</v>
      </c>
      <c r="N3913" t="s">
        <v>78779</v>
      </c>
      <c r="O3913">
        <f>-566.279986500305 -88.5080899000938 -745.395712582654</f>
        <v>-1400.1837889830526</v>
      </c>
      <c r="P3913">
        <f>-589.81852430249 -91.8840209480196 -429.768144116218</f>
        <v>-1111.4706893667276</v>
      </c>
      <c r="Q3913" t="s">
        <v>78780</v>
      </c>
      <c r="R3913" t="s">
        <v>78781</v>
      </c>
      <c r="S3913" t="s">
        <v>78782</v>
      </c>
      <c r="T3913" t="s">
        <v>78783</v>
      </c>
      <c r="U3913" t="s">
        <v>78784</v>
      </c>
      <c r="V3913" t="s">
        <v>78785</v>
      </c>
      <c r="W3913" t="s">
        <v>78786</v>
      </c>
      <c r="X3913" t="s">
        <v>78787</v>
      </c>
      <c r="Y3913" t="s">
        <v>78788</v>
      </c>
    </row>
    <row r="3914" spans="1:25" x14ac:dyDescent="0.3">
      <c r="A3914">
        <v>195650</v>
      </c>
      <c r="B3914" t="s">
        <v>78789</v>
      </c>
      <c r="C3914" t="s">
        <v>78790</v>
      </c>
      <c r="D3914" t="s">
        <v>78791</v>
      </c>
      <c r="E3914" t="s">
        <v>78792</v>
      </c>
      <c r="F3914" t="s">
        <v>78793</v>
      </c>
      <c r="G3914" t="s">
        <v>78794</v>
      </c>
      <c r="H3914" t="s">
        <v>78795</v>
      </c>
      <c r="I3914" t="s">
        <v>78796</v>
      </c>
      <c r="J3914" t="s">
        <v>78797</v>
      </c>
      <c r="K3914" t="s">
        <v>78798</v>
      </c>
      <c r="L3914" t="s">
        <v>78799</v>
      </c>
      <c r="M3914" t="s">
        <v>78800</v>
      </c>
      <c r="N3914" t="s">
        <v>78801</v>
      </c>
      <c r="O3914">
        <f>-566.776069594502 -88.9306446788621 -744.997487260446</f>
        <v>-1400.7042015338102</v>
      </c>
      <c r="P3914">
        <f>-591.616574312472 -91.7314003847546 -429.46419055466</f>
        <v>-1112.8121652518867</v>
      </c>
      <c r="Q3914" t="s">
        <v>78802</v>
      </c>
      <c r="R3914" t="s">
        <v>78803</v>
      </c>
      <c r="S3914" t="s">
        <v>78804</v>
      </c>
      <c r="T3914" t="s">
        <v>78805</v>
      </c>
      <c r="U3914" t="s">
        <v>78806</v>
      </c>
      <c r="V3914" t="s">
        <v>78807</v>
      </c>
      <c r="W3914" t="s">
        <v>78808</v>
      </c>
      <c r="X3914" t="s">
        <v>78809</v>
      </c>
      <c r="Y3914" t="s">
        <v>78810</v>
      </c>
    </row>
    <row r="3915" spans="1:25" x14ac:dyDescent="0.3">
      <c r="A3915">
        <v>195700</v>
      </c>
      <c r="B3915" t="s">
        <v>78811</v>
      </c>
      <c r="C3915" t="s">
        <v>78812</v>
      </c>
      <c r="D3915" t="s">
        <v>78813</v>
      </c>
      <c r="E3915" t="s">
        <v>78814</v>
      </c>
      <c r="F3915" t="s">
        <v>78815</v>
      </c>
      <c r="G3915" t="s">
        <v>78816</v>
      </c>
      <c r="H3915" t="s">
        <v>78817</v>
      </c>
      <c r="I3915" t="s">
        <v>78818</v>
      </c>
      <c r="J3915" t="s">
        <v>78819</v>
      </c>
      <c r="K3915" t="s">
        <v>78820</v>
      </c>
      <c r="L3915" t="s">
        <v>78821</v>
      </c>
      <c r="M3915" t="s">
        <v>78822</v>
      </c>
      <c r="N3915" t="s">
        <v>78823</v>
      </c>
      <c r="O3915">
        <f>-566.830322232177 -88.9821558888197 -744.755592051987</f>
        <v>-1400.5680701729839</v>
      </c>
      <c r="P3915">
        <f>-592.190556708339 -91.4581929355325 -429.260812081574</f>
        <v>-1112.9095617254454</v>
      </c>
      <c r="Q3915" t="s">
        <v>78824</v>
      </c>
      <c r="R3915" t="s">
        <v>78825</v>
      </c>
      <c r="S3915" t="s">
        <v>78826</v>
      </c>
      <c r="T3915" t="s">
        <v>78827</v>
      </c>
      <c r="U3915" t="s">
        <v>78828</v>
      </c>
      <c r="V3915" t="s">
        <v>78829</v>
      </c>
      <c r="W3915" t="s">
        <v>78830</v>
      </c>
      <c r="X3915" t="s">
        <v>78831</v>
      </c>
      <c r="Y3915" t="s">
        <v>78832</v>
      </c>
    </row>
    <row r="3916" spans="1:25" x14ac:dyDescent="0.3">
      <c r="A3916">
        <v>195750</v>
      </c>
      <c r="B3916" t="s">
        <v>78833</v>
      </c>
      <c r="C3916" t="s">
        <v>78834</v>
      </c>
      <c r="D3916" t="s">
        <v>78835</v>
      </c>
      <c r="E3916" t="s">
        <v>78836</v>
      </c>
      <c r="F3916" t="s">
        <v>78837</v>
      </c>
      <c r="G3916" t="s">
        <v>78838</v>
      </c>
      <c r="H3916" t="s">
        <v>78839</v>
      </c>
      <c r="I3916" t="s">
        <v>78840</v>
      </c>
      <c r="J3916" t="s">
        <v>78841</v>
      </c>
      <c r="K3916" t="s">
        <v>78842</v>
      </c>
      <c r="L3916" t="s">
        <v>78843</v>
      </c>
      <c r="M3916" t="s">
        <v>78844</v>
      </c>
      <c r="N3916" t="s">
        <v>78845</v>
      </c>
      <c r="O3916">
        <f>-567.163169287989 -89.5897583673692 -744.243336346071</f>
        <v>-1400.9962640014292</v>
      </c>
      <c r="P3916">
        <f>-593.223293684297 -91.386398475831 -428.801043557792</f>
        <v>-1113.41073571792</v>
      </c>
      <c r="Q3916" t="s">
        <v>78846</v>
      </c>
      <c r="R3916" t="s">
        <v>78847</v>
      </c>
      <c r="S3916" t="s">
        <v>78848</v>
      </c>
      <c r="T3916" t="s">
        <v>78849</v>
      </c>
      <c r="U3916" t="s">
        <v>78850</v>
      </c>
      <c r="V3916" t="s">
        <v>78851</v>
      </c>
      <c r="W3916" t="s">
        <v>78852</v>
      </c>
      <c r="X3916" t="s">
        <v>78853</v>
      </c>
      <c r="Y3916" t="s">
        <v>78854</v>
      </c>
    </row>
    <row r="3917" spans="1:25" x14ac:dyDescent="0.3">
      <c r="A3917">
        <v>195800</v>
      </c>
      <c r="B3917" t="s">
        <v>78855</v>
      </c>
      <c r="C3917" t="s">
        <v>78856</v>
      </c>
      <c r="D3917" t="s">
        <v>78857</v>
      </c>
      <c r="E3917" t="s">
        <v>78858</v>
      </c>
      <c r="F3917" t="s">
        <v>78859</v>
      </c>
      <c r="G3917" t="s">
        <v>78860</v>
      </c>
      <c r="H3917" t="s">
        <v>78861</v>
      </c>
      <c r="I3917" t="s">
        <v>78862</v>
      </c>
      <c r="J3917" t="s">
        <v>78863</v>
      </c>
      <c r="K3917" t="s">
        <v>78864</v>
      </c>
      <c r="L3917" t="s">
        <v>78865</v>
      </c>
      <c r="M3917" t="s">
        <v>78866</v>
      </c>
      <c r="N3917" t="s">
        <v>78867</v>
      </c>
      <c r="O3917">
        <f>-567.268160348224 -90.1042748108511 -743.927274652738</f>
        <v>-1401.299709811813</v>
      </c>
      <c r="P3917">
        <f>-593.35360397701 -91.5923083927871 -428.485521855896</f>
        <v>-1113.4314342256932</v>
      </c>
      <c r="Q3917" t="s">
        <v>78868</v>
      </c>
      <c r="R3917" t="s">
        <v>78869</v>
      </c>
      <c r="S3917" t="s">
        <v>78870</v>
      </c>
      <c r="T3917" t="s">
        <v>78871</v>
      </c>
      <c r="U3917" t="s">
        <v>78872</v>
      </c>
      <c r="V3917" t="s">
        <v>78873</v>
      </c>
      <c r="W3917" t="s">
        <v>78874</v>
      </c>
      <c r="X3917" t="s">
        <v>78875</v>
      </c>
      <c r="Y3917" t="s">
        <v>78876</v>
      </c>
    </row>
    <row r="3918" spans="1:25" x14ac:dyDescent="0.3">
      <c r="A3918">
        <v>195850</v>
      </c>
      <c r="B3918" t="s">
        <v>78877</v>
      </c>
      <c r="C3918" t="s">
        <v>78878</v>
      </c>
      <c r="D3918" t="s">
        <v>78879</v>
      </c>
      <c r="E3918" t="s">
        <v>78880</v>
      </c>
      <c r="F3918" t="s">
        <v>78881</v>
      </c>
      <c r="G3918" t="s">
        <v>78882</v>
      </c>
      <c r="H3918" t="s">
        <v>78883</v>
      </c>
      <c r="I3918" t="s">
        <v>78884</v>
      </c>
      <c r="J3918" t="s">
        <v>78885</v>
      </c>
      <c r="K3918" t="s">
        <v>78886</v>
      </c>
      <c r="L3918" t="s">
        <v>78887</v>
      </c>
      <c r="M3918" t="s">
        <v>78888</v>
      </c>
      <c r="N3918" t="s">
        <v>78889</v>
      </c>
      <c r="O3918">
        <f>-567.301062478786 -91.4917943053561 -743.398762857983</f>
        <v>-1402.191619642125</v>
      </c>
      <c r="P3918">
        <f>-593.157549205514 -92.1528860327668 -427.93534794486</f>
        <v>-1113.2457831831407</v>
      </c>
      <c r="Q3918" t="s">
        <v>78890</v>
      </c>
      <c r="R3918" t="s">
        <v>78891</v>
      </c>
      <c r="S3918" t="s">
        <v>78892</v>
      </c>
      <c r="T3918" t="s">
        <v>78893</v>
      </c>
      <c r="U3918" t="s">
        <v>78894</v>
      </c>
      <c r="V3918" t="s">
        <v>78895</v>
      </c>
      <c r="W3918" t="s">
        <v>78896</v>
      </c>
      <c r="X3918" t="s">
        <v>78897</v>
      </c>
      <c r="Y3918" t="s">
        <v>78898</v>
      </c>
    </row>
    <row r="3919" spans="1:25" x14ac:dyDescent="0.3">
      <c r="A3919">
        <v>195900</v>
      </c>
      <c r="B3919" t="s">
        <v>78899</v>
      </c>
      <c r="C3919" t="s">
        <v>78900</v>
      </c>
      <c r="D3919" t="s">
        <v>78901</v>
      </c>
      <c r="E3919" t="s">
        <v>78902</v>
      </c>
      <c r="F3919" t="s">
        <v>78903</v>
      </c>
      <c r="G3919" t="s">
        <v>78904</v>
      </c>
      <c r="H3919" t="s">
        <v>78905</v>
      </c>
      <c r="I3919" t="s">
        <v>78906</v>
      </c>
      <c r="J3919" t="s">
        <v>78907</v>
      </c>
      <c r="K3919" t="s">
        <v>78908</v>
      </c>
      <c r="L3919" t="s">
        <v>78909</v>
      </c>
      <c r="M3919" t="s">
        <v>78910</v>
      </c>
      <c r="N3919" t="s">
        <v>78911</v>
      </c>
      <c r="O3919">
        <f>-567.344754844491 -91.9361874627413 -743.099383978761</f>
        <v>-1402.3803262859933</v>
      </c>
      <c r="P3919">
        <f>-593.084976095254 -92.3686361063494 -427.62606436617</f>
        <v>-1113.0796765677733</v>
      </c>
      <c r="Q3919" t="s">
        <v>78912</v>
      </c>
      <c r="R3919" t="s">
        <v>78913</v>
      </c>
      <c r="S3919" t="s">
        <v>78914</v>
      </c>
      <c r="T3919" t="s">
        <v>78915</v>
      </c>
      <c r="U3919" t="s">
        <v>78916</v>
      </c>
      <c r="V3919" t="s">
        <v>78917</v>
      </c>
      <c r="W3919" t="s">
        <v>78918</v>
      </c>
      <c r="X3919" t="s">
        <v>78919</v>
      </c>
      <c r="Y3919" t="s">
        <v>78920</v>
      </c>
    </row>
    <row r="3920" spans="1:25" x14ac:dyDescent="0.3">
      <c r="A3920">
        <v>195950</v>
      </c>
      <c r="B3920" t="s">
        <v>78921</v>
      </c>
      <c r="C3920" t="s">
        <v>78922</v>
      </c>
      <c r="D3920" t="s">
        <v>78923</v>
      </c>
      <c r="E3920" t="s">
        <v>78924</v>
      </c>
      <c r="F3920" t="s">
        <v>78925</v>
      </c>
      <c r="G3920" t="s">
        <v>78926</v>
      </c>
      <c r="H3920" t="s">
        <v>78927</v>
      </c>
      <c r="I3920" t="s">
        <v>78928</v>
      </c>
      <c r="J3920" t="s">
        <v>78929</v>
      </c>
      <c r="K3920" t="s">
        <v>78930</v>
      </c>
      <c r="L3920" t="s">
        <v>78931</v>
      </c>
      <c r="M3920" t="s">
        <v>78932</v>
      </c>
      <c r="N3920" t="s">
        <v>78933</v>
      </c>
      <c r="O3920">
        <f>-566.957878574535 -92.515676466161 -742.619805646478</f>
        <v>-1402.093360687174</v>
      </c>
      <c r="P3920">
        <f>-592.781502943707 -92.2131174306168 -427.153206562335</f>
        <v>-1112.1478269366587</v>
      </c>
      <c r="Q3920" t="s">
        <v>78934</v>
      </c>
      <c r="R3920" t="s">
        <v>78935</v>
      </c>
      <c r="S3920" t="s">
        <v>78936</v>
      </c>
      <c r="T3920" t="s">
        <v>78937</v>
      </c>
      <c r="U3920" t="s">
        <v>78938</v>
      </c>
      <c r="V3920" t="s">
        <v>78939</v>
      </c>
      <c r="W3920" t="s">
        <v>78940</v>
      </c>
      <c r="X3920" t="s">
        <v>78941</v>
      </c>
      <c r="Y3920" t="s">
        <v>78942</v>
      </c>
    </row>
    <row r="3921" spans="1:25" x14ac:dyDescent="0.3">
      <c r="A3921">
        <v>196000</v>
      </c>
      <c r="B3921" t="s">
        <v>78943</v>
      </c>
      <c r="C3921" t="s">
        <v>78944</v>
      </c>
      <c r="D3921" t="s">
        <v>78945</v>
      </c>
      <c r="E3921" t="s">
        <v>78946</v>
      </c>
      <c r="F3921" t="s">
        <v>78947</v>
      </c>
      <c r="G3921" t="s">
        <v>78948</v>
      </c>
      <c r="H3921" t="s">
        <v>78949</v>
      </c>
      <c r="I3921" t="s">
        <v>78950</v>
      </c>
      <c r="J3921" t="s">
        <v>78951</v>
      </c>
      <c r="K3921" t="s">
        <v>78952</v>
      </c>
      <c r="L3921" t="s">
        <v>78953</v>
      </c>
      <c r="M3921" t="s">
        <v>78954</v>
      </c>
      <c r="N3921" t="s">
        <v>78955</v>
      </c>
      <c r="O3921">
        <f>-566.474821753086 -92.6953268926552 -742.491424309554</f>
        <v>-1401.661572955295</v>
      </c>
      <c r="P3921">
        <f>-592.422384015054 -92.1556633303042 -427.035324178594</f>
        <v>-1111.6133715239521</v>
      </c>
      <c r="Q3921" t="s">
        <v>78956</v>
      </c>
      <c r="R3921" t="s">
        <v>78957</v>
      </c>
      <c r="S3921" t="s">
        <v>78958</v>
      </c>
      <c r="T3921" t="s">
        <v>78959</v>
      </c>
      <c r="U3921" t="s">
        <v>78960</v>
      </c>
      <c r="V3921" t="s">
        <v>78961</v>
      </c>
      <c r="W3921" t="s">
        <v>78962</v>
      </c>
      <c r="X3921" t="s">
        <v>78963</v>
      </c>
      <c r="Y3921" t="s">
        <v>78964</v>
      </c>
    </row>
    <row r="3922" spans="1:25" x14ac:dyDescent="0.3">
      <c r="A3922">
        <v>196050</v>
      </c>
      <c r="B3922" t="s">
        <v>78965</v>
      </c>
      <c r="C3922" t="s">
        <v>78966</v>
      </c>
      <c r="D3922" t="s">
        <v>78967</v>
      </c>
      <c r="E3922" t="s">
        <v>78968</v>
      </c>
      <c r="F3922" t="s">
        <v>78969</v>
      </c>
      <c r="G3922" t="s">
        <v>78970</v>
      </c>
      <c r="H3922" t="s">
        <v>78971</v>
      </c>
      <c r="I3922" t="s">
        <v>78972</v>
      </c>
      <c r="J3922" t="s">
        <v>78973</v>
      </c>
      <c r="K3922" t="s">
        <v>78974</v>
      </c>
      <c r="L3922" t="s">
        <v>78975</v>
      </c>
      <c r="M3922" t="s">
        <v>78976</v>
      </c>
      <c r="N3922" t="s">
        <v>78977</v>
      </c>
      <c r="O3922">
        <f>-566.053108877732 -93.3751870405261 -742.110190618077</f>
        <v>-1401.5384865363351</v>
      </c>
      <c r="P3922">
        <f>-592.21346191249 -92.035720612719 -426.673877415504</f>
        <v>-1110.9230599407131</v>
      </c>
      <c r="Q3922" t="s">
        <v>78978</v>
      </c>
      <c r="R3922" t="s">
        <v>78979</v>
      </c>
      <c r="S3922" t="s">
        <v>78980</v>
      </c>
      <c r="T3922" t="s">
        <v>78981</v>
      </c>
      <c r="U3922" t="s">
        <v>78982</v>
      </c>
      <c r="V3922" t="s">
        <v>78983</v>
      </c>
      <c r="W3922" t="s">
        <v>78984</v>
      </c>
      <c r="X3922" t="s">
        <v>78985</v>
      </c>
      <c r="Y3922" t="s">
        <v>78986</v>
      </c>
    </row>
    <row r="3923" spans="1:25" x14ac:dyDescent="0.3">
      <c r="A3923">
        <v>196100</v>
      </c>
      <c r="B3923" t="s">
        <v>78987</v>
      </c>
      <c r="C3923" t="s">
        <v>78988</v>
      </c>
      <c r="D3923" t="s">
        <v>78989</v>
      </c>
      <c r="E3923" t="s">
        <v>78990</v>
      </c>
      <c r="F3923" t="s">
        <v>78991</v>
      </c>
      <c r="G3923" t="s">
        <v>78992</v>
      </c>
      <c r="H3923" t="s">
        <v>78993</v>
      </c>
      <c r="I3923" t="s">
        <v>78994</v>
      </c>
      <c r="J3923" t="s">
        <v>78995</v>
      </c>
      <c r="K3923" t="s">
        <v>78996</v>
      </c>
      <c r="L3923" t="s">
        <v>78997</v>
      </c>
      <c r="M3923" t="s">
        <v>78998</v>
      </c>
      <c r="N3923" t="s">
        <v>78999</v>
      </c>
      <c r="O3923">
        <f>-565.801913302518 -93.5126890116301 -741.907781136239</f>
        <v>-1401.222383450387</v>
      </c>
      <c r="P3923">
        <f>-592.03669032932 -91.631897744646 -426.480616134543</f>
        <v>-1110.149204208509</v>
      </c>
      <c r="Q3923" t="s">
        <v>79000</v>
      </c>
      <c r="R3923" t="s">
        <v>79001</v>
      </c>
      <c r="S3923" t="s">
        <v>79002</v>
      </c>
      <c r="T3923" t="s">
        <v>79003</v>
      </c>
      <c r="U3923" t="s">
        <v>79004</v>
      </c>
      <c r="V3923" t="s">
        <v>79005</v>
      </c>
      <c r="W3923" t="s">
        <v>79006</v>
      </c>
      <c r="X3923" t="s">
        <v>79007</v>
      </c>
      <c r="Y3923" t="s">
        <v>79008</v>
      </c>
    </row>
    <row r="3924" spans="1:25" x14ac:dyDescent="0.3">
      <c r="A3924">
        <v>196150</v>
      </c>
      <c r="B3924" t="s">
        <v>79009</v>
      </c>
      <c r="C3924" t="s">
        <v>79010</v>
      </c>
      <c r="D3924" t="s">
        <v>79011</v>
      </c>
      <c r="E3924" t="s">
        <v>79012</v>
      </c>
      <c r="F3924" t="s">
        <v>79013</v>
      </c>
      <c r="G3924" t="s">
        <v>79014</v>
      </c>
      <c r="H3924" t="s">
        <v>79015</v>
      </c>
      <c r="I3924" t="s">
        <v>79016</v>
      </c>
      <c r="J3924" t="s">
        <v>79017</v>
      </c>
      <c r="K3924" t="s">
        <v>79018</v>
      </c>
      <c r="L3924" t="s">
        <v>79019</v>
      </c>
      <c r="M3924" t="s">
        <v>79020</v>
      </c>
      <c r="N3924" t="s">
        <v>79021</v>
      </c>
      <c r="O3924">
        <f>-565.149086723458 -94.2154296216496 -741.480915763673</f>
        <v>-1400.8454321087806</v>
      </c>
      <c r="P3924">
        <f>-591.501733835157 -91.3068127089177 -426.071302508089</f>
        <v>-1108.8798490521638</v>
      </c>
      <c r="Q3924" t="s">
        <v>79022</v>
      </c>
      <c r="R3924" t="s">
        <v>79023</v>
      </c>
      <c r="S3924" t="s">
        <v>79024</v>
      </c>
      <c r="T3924" t="s">
        <v>79025</v>
      </c>
      <c r="U3924" t="s">
        <v>79026</v>
      </c>
      <c r="V3924" t="s">
        <v>79027</v>
      </c>
      <c r="W3924" t="s">
        <v>79028</v>
      </c>
      <c r="X3924" t="s">
        <v>79029</v>
      </c>
      <c r="Y3924" t="s">
        <v>79030</v>
      </c>
    </row>
    <row r="3925" spans="1:25" x14ac:dyDescent="0.3">
      <c r="A3925">
        <v>196200</v>
      </c>
      <c r="B3925" t="s">
        <v>79031</v>
      </c>
      <c r="C3925" t="s">
        <v>79032</v>
      </c>
      <c r="D3925" t="s">
        <v>79033</v>
      </c>
      <c r="E3925" t="s">
        <v>79034</v>
      </c>
      <c r="F3925" t="s">
        <v>79035</v>
      </c>
      <c r="G3925" t="s">
        <v>79036</v>
      </c>
      <c r="H3925" t="s">
        <v>79037</v>
      </c>
      <c r="I3925" t="s">
        <v>79038</v>
      </c>
      <c r="J3925" t="s">
        <v>79039</v>
      </c>
      <c r="K3925" t="s">
        <v>79040</v>
      </c>
      <c r="L3925" t="s">
        <v>79041</v>
      </c>
      <c r="M3925" t="s">
        <v>79042</v>
      </c>
      <c r="N3925" t="s">
        <v>79043</v>
      </c>
      <c r="O3925">
        <f>-564.877806117295 -94.1623891953547 -741.281782583162</f>
        <v>-1400.3219778958119</v>
      </c>
      <c r="P3925">
        <f>-591.2386308819 -90.949738341448 -425.875640284573</f>
        <v>-1108.0640095079211</v>
      </c>
      <c r="Q3925" t="s">
        <v>79044</v>
      </c>
      <c r="R3925" t="s">
        <v>79045</v>
      </c>
      <c r="S3925" t="s">
        <v>79046</v>
      </c>
      <c r="T3925" t="s">
        <v>79047</v>
      </c>
      <c r="U3925" t="s">
        <v>79048</v>
      </c>
      <c r="V3925" t="s">
        <v>79049</v>
      </c>
      <c r="W3925" t="s">
        <v>79050</v>
      </c>
      <c r="X3925" t="s">
        <v>79051</v>
      </c>
      <c r="Y3925" t="s">
        <v>79052</v>
      </c>
    </row>
    <row r="3926" spans="1:25" x14ac:dyDescent="0.3">
      <c r="A3926">
        <v>196250</v>
      </c>
      <c r="B3926" t="s">
        <v>79053</v>
      </c>
      <c r="C3926" t="s">
        <v>79054</v>
      </c>
      <c r="D3926" t="s">
        <v>79055</v>
      </c>
      <c r="E3926" t="s">
        <v>79056</v>
      </c>
      <c r="F3926" t="s">
        <v>79057</v>
      </c>
      <c r="G3926" t="s">
        <v>79058</v>
      </c>
      <c r="H3926" t="s">
        <v>79059</v>
      </c>
      <c r="I3926" t="s">
        <v>79060</v>
      </c>
      <c r="J3926" t="s">
        <v>79061</v>
      </c>
      <c r="K3926" t="s">
        <v>79062</v>
      </c>
      <c r="L3926" t="s">
        <v>79063</v>
      </c>
      <c r="M3926" t="s">
        <v>79064</v>
      </c>
      <c r="N3926" t="s">
        <v>79065</v>
      </c>
      <c r="O3926">
        <f>-564.599498882131 -93.8361252771895 -740.808181709635</f>
        <v>-1399.2438058689554</v>
      </c>
      <c r="P3926">
        <f>-590.908615757739 -90.3955543894628 -425.400246656752</f>
        <v>-1106.7044168039538</v>
      </c>
      <c r="Q3926" t="s">
        <v>79066</v>
      </c>
      <c r="R3926" t="s">
        <v>79067</v>
      </c>
      <c r="S3926" t="s">
        <v>79068</v>
      </c>
      <c r="T3926" t="s">
        <v>79069</v>
      </c>
      <c r="U3926" t="s">
        <v>79070</v>
      </c>
      <c r="V3926" t="s">
        <v>79071</v>
      </c>
      <c r="W3926" t="s">
        <v>79072</v>
      </c>
      <c r="X3926" t="s">
        <v>79073</v>
      </c>
      <c r="Y3926" t="s">
        <v>79074</v>
      </c>
    </row>
    <row r="3927" spans="1:25" x14ac:dyDescent="0.3">
      <c r="A3927">
        <v>196300</v>
      </c>
      <c r="B3927" t="s">
        <v>79075</v>
      </c>
      <c r="C3927" t="s">
        <v>79076</v>
      </c>
      <c r="D3927" t="s">
        <v>79077</v>
      </c>
      <c r="E3927" t="s">
        <v>79078</v>
      </c>
      <c r="F3927" t="s">
        <v>79079</v>
      </c>
      <c r="G3927" t="s">
        <v>79080</v>
      </c>
      <c r="H3927" t="s">
        <v>79081</v>
      </c>
      <c r="I3927" t="s">
        <v>79082</v>
      </c>
      <c r="J3927" t="s">
        <v>79083</v>
      </c>
      <c r="K3927" t="s">
        <v>79084</v>
      </c>
      <c r="L3927" t="s">
        <v>79085</v>
      </c>
      <c r="M3927" t="s">
        <v>79086</v>
      </c>
      <c r="N3927" t="s">
        <v>79087</v>
      </c>
      <c r="O3927">
        <f>-564.525460921031 -93.8763825676281 -740.547951786619</f>
        <v>-1398.9497952752781</v>
      </c>
      <c r="P3927">
        <f>-590.676630117753 -90.4510603796021 -425.1267142077</f>
        <v>-1106.2544047050551</v>
      </c>
      <c r="Q3927" t="s">
        <v>79088</v>
      </c>
      <c r="R3927" t="s">
        <v>79089</v>
      </c>
      <c r="S3927" t="s">
        <v>79090</v>
      </c>
      <c r="T3927" t="s">
        <v>79091</v>
      </c>
      <c r="U3927" t="s">
        <v>79092</v>
      </c>
      <c r="V3927" t="s">
        <v>79093</v>
      </c>
      <c r="W3927" t="s">
        <v>79094</v>
      </c>
      <c r="X3927" t="s">
        <v>79095</v>
      </c>
      <c r="Y3927" t="s">
        <v>79096</v>
      </c>
    </row>
    <row r="3928" spans="1:25" x14ac:dyDescent="0.3">
      <c r="A3928">
        <v>196350</v>
      </c>
      <c r="B3928" t="s">
        <v>79097</v>
      </c>
      <c r="C3928" t="s">
        <v>79098</v>
      </c>
      <c r="D3928" t="s">
        <v>79099</v>
      </c>
      <c r="E3928" t="s">
        <v>79100</v>
      </c>
      <c r="F3928" t="s">
        <v>79101</v>
      </c>
      <c r="G3928" t="s">
        <v>79102</v>
      </c>
      <c r="H3928" t="s">
        <v>79103</v>
      </c>
      <c r="I3928" t="s">
        <v>79104</v>
      </c>
      <c r="J3928" t="s">
        <v>79105</v>
      </c>
      <c r="K3928" t="s">
        <v>79106</v>
      </c>
      <c r="L3928" t="s">
        <v>79107</v>
      </c>
      <c r="M3928" t="s">
        <v>79108</v>
      </c>
      <c r="N3928" t="s">
        <v>79109</v>
      </c>
      <c r="O3928">
        <f>-564.446497352797 -93.4380024886049 -740.039577064398</f>
        <v>-1397.9240769057999</v>
      </c>
      <c r="P3928">
        <f>-590.264712706338 -89.8646695876985 -424.59253411658</f>
        <v>-1104.7219164106164</v>
      </c>
      <c r="Q3928" t="s">
        <v>79110</v>
      </c>
      <c r="R3928" t="s">
        <v>79111</v>
      </c>
      <c r="S3928" t="s">
        <v>79112</v>
      </c>
      <c r="T3928" t="s">
        <v>79113</v>
      </c>
      <c r="U3928" t="s">
        <v>79114</v>
      </c>
      <c r="V3928" t="s">
        <v>79115</v>
      </c>
      <c r="W3928" t="s">
        <v>79116</v>
      </c>
      <c r="X3928" t="s">
        <v>79117</v>
      </c>
      <c r="Y3928" t="s">
        <v>79118</v>
      </c>
    </row>
    <row r="3929" spans="1:25" x14ac:dyDescent="0.3">
      <c r="A3929">
        <v>196400</v>
      </c>
      <c r="B3929" t="s">
        <v>79119</v>
      </c>
      <c r="C3929" t="s">
        <v>79120</v>
      </c>
      <c r="D3929" t="s">
        <v>79121</v>
      </c>
      <c r="E3929" t="s">
        <v>79122</v>
      </c>
      <c r="F3929" t="s">
        <v>79123</v>
      </c>
      <c r="G3929" t="s">
        <v>79124</v>
      </c>
      <c r="H3929" t="s">
        <v>79125</v>
      </c>
      <c r="I3929" t="s">
        <v>79126</v>
      </c>
      <c r="J3929" t="s">
        <v>79127</v>
      </c>
      <c r="K3929" t="s">
        <v>79128</v>
      </c>
      <c r="L3929" t="s">
        <v>79129</v>
      </c>
      <c r="M3929" t="s">
        <v>79130</v>
      </c>
      <c r="N3929" t="s">
        <v>79131</v>
      </c>
      <c r="O3929">
        <f>-564.308797659542 -93.3066647654452 -739.761813145764</f>
        <v>-1397.3772755707514</v>
      </c>
      <c r="P3929">
        <f>-589.960555902811 -89.7145829812381 -424.301495338104</f>
        <v>-1103.9766342221533</v>
      </c>
      <c r="Q3929" t="s">
        <v>79132</v>
      </c>
      <c r="R3929" t="s">
        <v>79133</v>
      </c>
      <c r="S3929" t="s">
        <v>79134</v>
      </c>
      <c r="T3929" t="s">
        <v>79135</v>
      </c>
      <c r="U3929" t="s">
        <v>79136</v>
      </c>
      <c r="V3929" t="s">
        <v>79137</v>
      </c>
      <c r="W3929" t="s">
        <v>79138</v>
      </c>
      <c r="X3929" t="s">
        <v>79139</v>
      </c>
      <c r="Y3929" t="s">
        <v>79140</v>
      </c>
    </row>
    <row r="3930" spans="1:25" x14ac:dyDescent="0.3">
      <c r="A3930">
        <v>196450</v>
      </c>
      <c r="B3930" t="s">
        <v>79141</v>
      </c>
      <c r="C3930" t="s">
        <v>79142</v>
      </c>
      <c r="D3930" t="s">
        <v>79143</v>
      </c>
      <c r="E3930" t="s">
        <v>79144</v>
      </c>
      <c r="F3930" t="s">
        <v>79145</v>
      </c>
      <c r="G3930" t="s">
        <v>79146</v>
      </c>
      <c r="H3930" t="s">
        <v>79147</v>
      </c>
      <c r="I3930" t="s">
        <v>79148</v>
      </c>
      <c r="J3930" t="s">
        <v>79149</v>
      </c>
      <c r="K3930" t="s">
        <v>79150</v>
      </c>
      <c r="L3930" t="s">
        <v>79151</v>
      </c>
      <c r="M3930" t="s">
        <v>79152</v>
      </c>
      <c r="N3930" t="s">
        <v>79153</v>
      </c>
      <c r="O3930">
        <f>-564.67841036089 -92.9328083986112 -739.215906818377</f>
        <v>-1396.8271255778782</v>
      </c>
      <c r="P3930">
        <f>-589.975166335702 -89.1964652636577 -423.7285076397</f>
        <v>-1102.9001392390599</v>
      </c>
      <c r="Q3930" t="s">
        <v>79154</v>
      </c>
      <c r="R3930" t="s">
        <v>79155</v>
      </c>
      <c r="S3930" t="s">
        <v>79156</v>
      </c>
      <c r="T3930" t="s">
        <v>79157</v>
      </c>
      <c r="U3930" t="s">
        <v>79158</v>
      </c>
      <c r="V3930" t="s">
        <v>79159</v>
      </c>
      <c r="W3930" t="s">
        <v>79160</v>
      </c>
      <c r="X3930" t="s">
        <v>79161</v>
      </c>
      <c r="Y3930" t="s">
        <v>79162</v>
      </c>
    </row>
    <row r="3931" spans="1:25" x14ac:dyDescent="0.3">
      <c r="A3931">
        <v>196500</v>
      </c>
      <c r="B3931" t="s">
        <v>79163</v>
      </c>
      <c r="C3931" t="s">
        <v>79164</v>
      </c>
      <c r="D3931" t="s">
        <v>79165</v>
      </c>
      <c r="E3931" t="s">
        <v>79166</v>
      </c>
      <c r="F3931" t="s">
        <v>79167</v>
      </c>
      <c r="G3931" t="s">
        <v>79168</v>
      </c>
      <c r="H3931" t="s">
        <v>79169</v>
      </c>
      <c r="I3931" t="s">
        <v>79170</v>
      </c>
      <c r="J3931" t="s">
        <v>79171</v>
      </c>
      <c r="K3931" t="s">
        <v>79172</v>
      </c>
      <c r="L3931" t="s">
        <v>79173</v>
      </c>
      <c r="M3931" t="s">
        <v>79174</v>
      </c>
      <c r="N3931" t="s">
        <v>79175</v>
      </c>
      <c r="O3931">
        <f>-564.702932123046 -92.6349461992803 -739.030130477611</f>
        <v>-1396.3680087999373</v>
      </c>
      <c r="P3931">
        <f>-589.805527106991 -88.8202508308983 -423.52809191468</f>
        <v>-1102.1538698525692</v>
      </c>
      <c r="Q3931" t="s">
        <v>79176</v>
      </c>
      <c r="R3931" t="s">
        <v>79177</v>
      </c>
      <c r="S3931" t="s">
        <v>79178</v>
      </c>
      <c r="T3931" t="s">
        <v>79179</v>
      </c>
      <c r="U3931" t="s">
        <v>79180</v>
      </c>
      <c r="V3931" t="s">
        <v>79181</v>
      </c>
      <c r="W3931" t="s">
        <v>79182</v>
      </c>
      <c r="X3931" t="s">
        <v>79183</v>
      </c>
      <c r="Y3931" t="s">
        <v>79184</v>
      </c>
    </row>
    <row r="3932" spans="1:25" x14ac:dyDescent="0.3">
      <c r="A3932">
        <v>196550</v>
      </c>
      <c r="B3932" t="s">
        <v>79185</v>
      </c>
      <c r="C3932" t="s">
        <v>79186</v>
      </c>
      <c r="D3932" t="s">
        <v>79187</v>
      </c>
      <c r="E3932" t="s">
        <v>79188</v>
      </c>
      <c r="F3932" t="s">
        <v>79189</v>
      </c>
      <c r="G3932" t="s">
        <v>79190</v>
      </c>
      <c r="H3932" t="s">
        <v>79191</v>
      </c>
      <c r="I3932" t="s">
        <v>79192</v>
      </c>
      <c r="J3932" t="s">
        <v>79193</v>
      </c>
      <c r="K3932" t="s">
        <v>79194</v>
      </c>
      <c r="L3932" t="s">
        <v>79195</v>
      </c>
      <c r="M3932" t="s">
        <v>79196</v>
      </c>
      <c r="N3932" t="s">
        <v>79197</v>
      </c>
      <c r="O3932">
        <f>-564.825442882978 -92.1780839245713 -738.797038867864</f>
        <v>-1395.8005656754133</v>
      </c>
      <c r="P3932">
        <f>-589.672010230457 -88.2920963922157 -423.275508197836</f>
        <v>-1101.2396148205087</v>
      </c>
      <c r="Q3932" t="s">
        <v>79198</v>
      </c>
      <c r="R3932" t="s">
        <v>79199</v>
      </c>
      <c r="S3932" t="s">
        <v>79200</v>
      </c>
      <c r="T3932" t="s">
        <v>79201</v>
      </c>
      <c r="U3932" t="s">
        <v>79202</v>
      </c>
      <c r="V3932" t="s">
        <v>79203</v>
      </c>
      <c r="W3932" t="s">
        <v>79204</v>
      </c>
      <c r="X3932" t="s">
        <v>79205</v>
      </c>
      <c r="Y3932" t="s">
        <v>79206</v>
      </c>
    </row>
    <row r="3933" spans="1:25" x14ac:dyDescent="0.3">
      <c r="A3933">
        <v>196600</v>
      </c>
      <c r="B3933" t="s">
        <v>79207</v>
      </c>
      <c r="C3933" t="s">
        <v>79208</v>
      </c>
      <c r="D3933" t="s">
        <v>79209</v>
      </c>
      <c r="E3933" t="s">
        <v>79210</v>
      </c>
      <c r="F3933" t="s">
        <v>79211</v>
      </c>
      <c r="G3933" t="s">
        <v>79212</v>
      </c>
      <c r="H3933" t="s">
        <v>79213</v>
      </c>
      <c r="I3933" t="s">
        <v>79214</v>
      </c>
      <c r="J3933" t="s">
        <v>79215</v>
      </c>
      <c r="K3933" t="s">
        <v>79216</v>
      </c>
      <c r="L3933" t="s">
        <v>79217</v>
      </c>
      <c r="M3933" t="s">
        <v>79218</v>
      </c>
      <c r="N3933" t="s">
        <v>79219</v>
      </c>
      <c r="O3933">
        <f>-564.835285063669 -92.1871251740732 -738.680524320999</f>
        <v>-1395.7029345587412</v>
      </c>
      <c r="P3933">
        <f>-589.603454112543 -88.2766554437005 -423.15328934053</f>
        <v>-1101.0333988967736</v>
      </c>
      <c r="Q3933" t="s">
        <v>79220</v>
      </c>
      <c r="R3933" t="s">
        <v>79221</v>
      </c>
      <c r="S3933" t="s">
        <v>79222</v>
      </c>
      <c r="T3933" t="s">
        <v>79223</v>
      </c>
      <c r="U3933" t="s">
        <v>79224</v>
      </c>
      <c r="V3933" t="s">
        <v>79225</v>
      </c>
      <c r="W3933" t="s">
        <v>79226</v>
      </c>
      <c r="X3933" t="s">
        <v>79227</v>
      </c>
      <c r="Y3933" t="s">
        <v>79228</v>
      </c>
    </row>
    <row r="3934" spans="1:25" x14ac:dyDescent="0.3">
      <c r="A3934">
        <v>196650</v>
      </c>
      <c r="B3934" t="s">
        <v>79229</v>
      </c>
      <c r="C3934" t="s">
        <v>79230</v>
      </c>
      <c r="D3934" t="s">
        <v>79231</v>
      </c>
      <c r="E3934" t="s">
        <v>79232</v>
      </c>
      <c r="F3934" t="s">
        <v>79233</v>
      </c>
      <c r="G3934" t="s">
        <v>79234</v>
      </c>
      <c r="H3934" t="s">
        <v>79235</v>
      </c>
      <c r="I3934" t="s">
        <v>79236</v>
      </c>
      <c r="J3934" t="s">
        <v>79237</v>
      </c>
      <c r="K3934" t="s">
        <v>79238</v>
      </c>
      <c r="L3934" t="s">
        <v>79239</v>
      </c>
      <c r="M3934" t="s">
        <v>79240</v>
      </c>
      <c r="N3934" t="s">
        <v>79241</v>
      </c>
      <c r="O3934">
        <f>-565.093938151568 -92.155379773918 -738.437673491144</f>
        <v>-1395.68699141663</v>
      </c>
      <c r="P3934">
        <f>-589.582798689576 -88.0954315687132 -422.890614066389</f>
        <v>-1100.5688443246781</v>
      </c>
      <c r="Q3934" t="s">
        <v>79242</v>
      </c>
      <c r="R3934" t="s">
        <v>79243</v>
      </c>
      <c r="S3934" t="s">
        <v>79244</v>
      </c>
      <c r="T3934" t="s">
        <v>79245</v>
      </c>
      <c r="U3934" t="s">
        <v>79246</v>
      </c>
      <c r="V3934" t="s">
        <v>79247</v>
      </c>
      <c r="W3934" t="s">
        <v>79248</v>
      </c>
      <c r="X3934" t="s">
        <v>79249</v>
      </c>
      <c r="Y3934" t="s">
        <v>79250</v>
      </c>
    </row>
    <row r="3935" spans="1:25" x14ac:dyDescent="0.3">
      <c r="A3935">
        <v>196700</v>
      </c>
      <c r="B3935" t="s">
        <v>79251</v>
      </c>
      <c r="C3935" t="s">
        <v>79252</v>
      </c>
      <c r="D3935" t="s">
        <v>79253</v>
      </c>
      <c r="E3935" t="s">
        <v>79254</v>
      </c>
      <c r="F3935" t="s">
        <v>79255</v>
      </c>
      <c r="G3935" t="s">
        <v>79256</v>
      </c>
      <c r="H3935" t="s">
        <v>79257</v>
      </c>
      <c r="I3935" t="s">
        <v>79258</v>
      </c>
      <c r="J3935" t="s">
        <v>79259</v>
      </c>
      <c r="K3935" t="s">
        <v>79260</v>
      </c>
      <c r="L3935" t="s">
        <v>79261</v>
      </c>
      <c r="M3935" t="s">
        <v>79262</v>
      </c>
      <c r="N3935" t="s">
        <v>79263</v>
      </c>
      <c r="O3935">
        <f>-565.325895759005 -92.0626801295268 -738.293766610671</f>
        <v>-1395.6823424992028</v>
      </c>
      <c r="P3935">
        <f>-589.565032280391 -88.0616645986464 -422.726503724629</f>
        <v>-1100.3532006036664</v>
      </c>
      <c r="Q3935" t="s">
        <v>79264</v>
      </c>
      <c r="R3935" t="s">
        <v>79265</v>
      </c>
      <c r="S3935" t="s">
        <v>79266</v>
      </c>
      <c r="T3935" t="s">
        <v>79267</v>
      </c>
      <c r="U3935" t="s">
        <v>79268</v>
      </c>
      <c r="V3935" t="s">
        <v>79269</v>
      </c>
      <c r="W3935" t="s">
        <v>79270</v>
      </c>
      <c r="X3935" t="s">
        <v>79271</v>
      </c>
      <c r="Y3935" t="s">
        <v>79272</v>
      </c>
    </row>
    <row r="3936" spans="1:25" x14ac:dyDescent="0.3">
      <c r="A3936">
        <v>196750</v>
      </c>
      <c r="B3936" t="s">
        <v>79273</v>
      </c>
      <c r="C3936" t="s">
        <v>79274</v>
      </c>
      <c r="D3936" t="s">
        <v>79275</v>
      </c>
      <c r="E3936" t="s">
        <v>79276</v>
      </c>
      <c r="F3936" t="s">
        <v>79277</v>
      </c>
      <c r="G3936" t="s">
        <v>79278</v>
      </c>
      <c r="H3936" t="s">
        <v>79279</v>
      </c>
      <c r="I3936" t="s">
        <v>79280</v>
      </c>
      <c r="J3936" t="s">
        <v>79281</v>
      </c>
      <c r="K3936" t="s">
        <v>79282</v>
      </c>
      <c r="L3936" t="s">
        <v>79283</v>
      </c>
      <c r="M3936" t="s">
        <v>79284</v>
      </c>
      <c r="N3936" t="s">
        <v>79285</v>
      </c>
      <c r="O3936">
        <f>-565.48556769616 -91.8845538102335 -738.096801517244</f>
        <v>-1395.4669230236375</v>
      </c>
      <c r="P3936">
        <f>-589.50588946294 -87.8370509675234 -422.513394462458</f>
        <v>-1099.8563348929215</v>
      </c>
      <c r="Q3936" t="s">
        <v>79286</v>
      </c>
      <c r="R3936" t="s">
        <v>79287</v>
      </c>
      <c r="S3936" t="s">
        <v>79288</v>
      </c>
      <c r="T3936" t="s">
        <v>79289</v>
      </c>
      <c r="U3936" t="s">
        <v>79290</v>
      </c>
      <c r="V3936" t="s">
        <v>79291</v>
      </c>
      <c r="W3936" t="s">
        <v>79292</v>
      </c>
      <c r="X3936" t="s">
        <v>79293</v>
      </c>
      <c r="Y3936" t="s">
        <v>79294</v>
      </c>
    </row>
    <row r="3937" spans="1:25" x14ac:dyDescent="0.3">
      <c r="A3937">
        <v>196800</v>
      </c>
      <c r="B3937" t="s">
        <v>79295</v>
      </c>
      <c r="C3937" t="s">
        <v>79296</v>
      </c>
      <c r="D3937" t="s">
        <v>79297</v>
      </c>
      <c r="E3937" t="s">
        <v>79298</v>
      </c>
      <c r="F3937" t="s">
        <v>79299</v>
      </c>
      <c r="G3937" t="s">
        <v>79300</v>
      </c>
      <c r="H3937" t="s">
        <v>79301</v>
      </c>
      <c r="I3937" t="s">
        <v>79302</v>
      </c>
      <c r="J3937" t="s">
        <v>79303</v>
      </c>
      <c r="K3937" t="s">
        <v>79304</v>
      </c>
      <c r="L3937" t="s">
        <v>79305</v>
      </c>
      <c r="M3937" t="s">
        <v>79306</v>
      </c>
      <c r="N3937" t="s">
        <v>79307</v>
      </c>
      <c r="O3937">
        <f>-565.440343770759 -91.8323275736271 -738.044919551727</f>
        <v>-1395.3175908961132</v>
      </c>
      <c r="P3937">
        <f>-589.303122308758 -87.8857013539029 -422.448304732768</f>
        <v>-1099.637128395429</v>
      </c>
      <c r="Q3937" t="s">
        <v>79308</v>
      </c>
      <c r="R3937" t="s">
        <v>79309</v>
      </c>
      <c r="S3937" t="s">
        <v>79310</v>
      </c>
      <c r="T3937" t="s">
        <v>79311</v>
      </c>
      <c r="U3937" t="s">
        <v>79312</v>
      </c>
      <c r="V3937" t="s">
        <v>79313</v>
      </c>
      <c r="W3937" t="s">
        <v>79314</v>
      </c>
      <c r="X3937" t="s">
        <v>79315</v>
      </c>
      <c r="Y3937" t="s">
        <v>79316</v>
      </c>
    </row>
    <row r="3938" spans="1:25" x14ac:dyDescent="0.3">
      <c r="A3938">
        <v>196850</v>
      </c>
      <c r="B3938" t="s">
        <v>79317</v>
      </c>
      <c r="C3938" t="s">
        <v>79318</v>
      </c>
      <c r="D3938" t="s">
        <v>79319</v>
      </c>
      <c r="E3938" t="s">
        <v>79320</v>
      </c>
      <c r="F3938" t="s">
        <v>79321</v>
      </c>
      <c r="G3938" t="s">
        <v>79322</v>
      </c>
      <c r="H3938" t="s">
        <v>79323</v>
      </c>
      <c r="I3938" t="s">
        <v>79324</v>
      </c>
      <c r="J3938" t="s">
        <v>79325</v>
      </c>
      <c r="K3938" t="s">
        <v>79326</v>
      </c>
      <c r="L3938" t="s">
        <v>79327</v>
      </c>
      <c r="M3938" t="s">
        <v>79328</v>
      </c>
      <c r="N3938" t="s">
        <v>79329</v>
      </c>
      <c r="O3938">
        <f>-565.421252930789 -90.8086993748795 -738.010951249949</f>
        <v>-1394.2409035556175</v>
      </c>
      <c r="P3938">
        <f>-589.18665890002 -86.927271849498 -422.406372733197</f>
        <v>-1098.520303482715</v>
      </c>
      <c r="Q3938" t="s">
        <v>79330</v>
      </c>
      <c r="R3938" t="s">
        <v>79331</v>
      </c>
      <c r="S3938" t="s">
        <v>79332</v>
      </c>
      <c r="T3938" t="s">
        <v>79333</v>
      </c>
      <c r="U3938" t="s">
        <v>79334</v>
      </c>
      <c r="V3938" t="s">
        <v>79335</v>
      </c>
      <c r="W3938" t="s">
        <v>79336</v>
      </c>
      <c r="X3938" t="s">
        <v>79337</v>
      </c>
      <c r="Y3938" t="s">
        <v>79338</v>
      </c>
    </row>
    <row r="3939" spans="1:25" x14ac:dyDescent="0.3">
      <c r="A3939">
        <v>196900</v>
      </c>
      <c r="B3939" t="s">
        <v>79339</v>
      </c>
      <c r="C3939" t="s">
        <v>79340</v>
      </c>
      <c r="D3939" t="s">
        <v>79341</v>
      </c>
      <c r="E3939" t="s">
        <v>79342</v>
      </c>
      <c r="F3939" t="s">
        <v>79343</v>
      </c>
      <c r="G3939" t="s">
        <v>79344</v>
      </c>
      <c r="H3939" t="s">
        <v>79345</v>
      </c>
      <c r="I3939" t="s">
        <v>79346</v>
      </c>
      <c r="J3939" t="s">
        <v>79347</v>
      </c>
      <c r="K3939" t="s">
        <v>79348</v>
      </c>
      <c r="L3939" t="s">
        <v>79349</v>
      </c>
      <c r="M3939" t="s">
        <v>79350</v>
      </c>
      <c r="N3939" t="s">
        <v>79351</v>
      </c>
      <c r="O3939">
        <f>-565.399023385641 -90.6012602361727 -738.008117190066</f>
        <v>-1394.0084008118797</v>
      </c>
      <c r="P3939">
        <f>-589.079168898036 -86.8360904579153 -422.395615820419</f>
        <v>-1098.3108751763702</v>
      </c>
      <c r="Q3939" t="s">
        <v>79352</v>
      </c>
      <c r="R3939" t="s">
        <v>79353</v>
      </c>
      <c r="S3939" t="s">
        <v>79354</v>
      </c>
      <c r="T3939" t="s">
        <v>79355</v>
      </c>
      <c r="U3939" t="s">
        <v>79356</v>
      </c>
      <c r="V3939" t="s">
        <v>79357</v>
      </c>
      <c r="W3939" t="s">
        <v>79358</v>
      </c>
      <c r="X3939" t="s">
        <v>79359</v>
      </c>
      <c r="Y3939" t="s">
        <v>79360</v>
      </c>
    </row>
    <row r="3940" spans="1:25" x14ac:dyDescent="0.3">
      <c r="A3940">
        <v>196950</v>
      </c>
      <c r="B3940" t="s">
        <v>79361</v>
      </c>
      <c r="C3940" t="s">
        <v>79362</v>
      </c>
      <c r="D3940" t="s">
        <v>79363</v>
      </c>
      <c r="E3940" t="s">
        <v>79364</v>
      </c>
      <c r="F3940" t="s">
        <v>79365</v>
      </c>
      <c r="G3940" t="s">
        <v>79366</v>
      </c>
      <c r="H3940" t="s">
        <v>79367</v>
      </c>
      <c r="I3940" t="s">
        <v>79368</v>
      </c>
      <c r="J3940" t="s">
        <v>79369</v>
      </c>
      <c r="K3940" t="s">
        <v>79370</v>
      </c>
      <c r="L3940" t="s">
        <v>79371</v>
      </c>
      <c r="M3940" t="s">
        <v>79372</v>
      </c>
      <c r="N3940" t="s">
        <v>79373</v>
      </c>
      <c r="O3940">
        <f>-565.053119885223 -90.1832531401228 -738.101029100899</f>
        <v>-1393.3374021262448</v>
      </c>
      <c r="P3940">
        <f>-588.502539712611 -86.6433306152888 -422.468731924071</f>
        <v>-1097.6146022519708</v>
      </c>
      <c r="Q3940" t="s">
        <v>79374</v>
      </c>
      <c r="R3940" t="s">
        <v>79375</v>
      </c>
      <c r="S3940" t="s">
        <v>79376</v>
      </c>
      <c r="T3940" t="s">
        <v>79377</v>
      </c>
      <c r="U3940" t="s">
        <v>79378</v>
      </c>
      <c r="V3940" t="s">
        <v>79379</v>
      </c>
      <c r="W3940" t="s">
        <v>79380</v>
      </c>
      <c r="X3940" t="s">
        <v>79381</v>
      </c>
      <c r="Y3940" t="s">
        <v>79382</v>
      </c>
    </row>
    <row r="3941" spans="1:25" x14ac:dyDescent="0.3">
      <c r="A3941">
        <v>197000</v>
      </c>
      <c r="B3941" t="s">
        <v>79383</v>
      </c>
      <c r="C3941" t="s">
        <v>79384</v>
      </c>
      <c r="D3941" t="s">
        <v>79385</v>
      </c>
      <c r="E3941" t="s">
        <v>79386</v>
      </c>
      <c r="F3941" t="s">
        <v>79387</v>
      </c>
      <c r="G3941" t="s">
        <v>79388</v>
      </c>
      <c r="H3941" t="s">
        <v>79389</v>
      </c>
      <c r="I3941" t="s">
        <v>79390</v>
      </c>
      <c r="J3941" t="s">
        <v>79391</v>
      </c>
      <c r="K3941" t="s">
        <v>79392</v>
      </c>
      <c r="L3941" t="s">
        <v>79393</v>
      </c>
      <c r="M3941" t="s">
        <v>79394</v>
      </c>
      <c r="N3941" t="s">
        <v>79395</v>
      </c>
      <c r="O3941">
        <f>-564.779280838394 -89.9021145741758 -738.116605660377</f>
        <v>-1392.7980010729468</v>
      </c>
      <c r="P3941">
        <f>-588.172448493228 -86.4685506220926 -422.478912561282</f>
        <v>-1097.1199116766027</v>
      </c>
      <c r="Q3941" t="s">
        <v>79396</v>
      </c>
      <c r="R3941" t="s">
        <v>79397</v>
      </c>
      <c r="S3941" t="s">
        <v>79398</v>
      </c>
      <c r="T3941" t="s">
        <v>79399</v>
      </c>
      <c r="U3941" t="s">
        <v>79400</v>
      </c>
      <c r="V3941" t="s">
        <v>79401</v>
      </c>
      <c r="W3941" t="s">
        <v>79402</v>
      </c>
      <c r="X3941" t="s">
        <v>79403</v>
      </c>
      <c r="Y3941" t="s">
        <v>79404</v>
      </c>
    </row>
    <row r="3942" spans="1:25" x14ac:dyDescent="0.3">
      <c r="A3942">
        <v>197050</v>
      </c>
      <c r="B3942" t="s">
        <v>79405</v>
      </c>
      <c r="C3942" t="s">
        <v>79406</v>
      </c>
      <c r="D3942" t="s">
        <v>79407</v>
      </c>
      <c r="E3942" t="s">
        <v>79408</v>
      </c>
      <c r="F3942" t="s">
        <v>79409</v>
      </c>
      <c r="G3942" t="s">
        <v>79410</v>
      </c>
      <c r="H3942" t="s">
        <v>79411</v>
      </c>
      <c r="I3942" t="s">
        <v>79412</v>
      </c>
      <c r="J3942" t="s">
        <v>79413</v>
      </c>
      <c r="K3942" t="s">
        <v>79414</v>
      </c>
      <c r="L3942" t="s">
        <v>79415</v>
      </c>
      <c r="M3942" t="s">
        <v>79416</v>
      </c>
      <c r="N3942" t="s">
        <v>79417</v>
      </c>
      <c r="O3942">
        <f>-564.167357279472 -89.7155054413618 -738.194470319286</f>
        <v>-1392.0773330401198</v>
      </c>
      <c r="P3942">
        <f>-587.241972629526 -86.5143779924723 -422.530955562728</f>
        <v>-1096.2873061847263</v>
      </c>
      <c r="Q3942" t="s">
        <v>79418</v>
      </c>
      <c r="R3942" t="s">
        <v>79419</v>
      </c>
      <c r="S3942" t="s">
        <v>79420</v>
      </c>
      <c r="T3942" t="s">
        <v>79421</v>
      </c>
      <c r="U3942" t="s">
        <v>79422</v>
      </c>
      <c r="V3942" t="s">
        <v>79423</v>
      </c>
      <c r="W3942" t="s">
        <v>79424</v>
      </c>
      <c r="X3942" t="s">
        <v>79425</v>
      </c>
      <c r="Y3942" t="s">
        <v>79426</v>
      </c>
    </row>
    <row r="3943" spans="1:25" x14ac:dyDescent="0.3">
      <c r="A3943">
        <v>197100</v>
      </c>
      <c r="B3943" t="s">
        <v>79427</v>
      </c>
      <c r="C3943" t="s">
        <v>79428</v>
      </c>
      <c r="D3943" t="s">
        <v>79429</v>
      </c>
      <c r="E3943" t="s">
        <v>79430</v>
      </c>
      <c r="F3943" t="s">
        <v>79431</v>
      </c>
      <c r="G3943" t="s">
        <v>79432</v>
      </c>
      <c r="H3943" t="s">
        <v>79433</v>
      </c>
      <c r="I3943" t="s">
        <v>79434</v>
      </c>
      <c r="J3943" t="s">
        <v>79435</v>
      </c>
      <c r="K3943" t="s">
        <v>79436</v>
      </c>
      <c r="L3943" t="s">
        <v>79437</v>
      </c>
      <c r="M3943" t="s">
        <v>79438</v>
      </c>
      <c r="N3943" t="s">
        <v>79439</v>
      </c>
      <c r="O3943">
        <f>-563.973970371188 -89.3245937397274 -738.197941732481</f>
        <v>-1391.4965058433963</v>
      </c>
      <c r="P3943">
        <f>-586.924190369313 -86.2262421070523 -422.524290919845</f>
        <v>-1095.6747233962103</v>
      </c>
      <c r="Q3943" t="s">
        <v>79440</v>
      </c>
      <c r="R3943" t="s">
        <v>79441</v>
      </c>
      <c r="S3943" t="s">
        <v>79442</v>
      </c>
      <c r="T3943" t="s">
        <v>79443</v>
      </c>
      <c r="U3943" t="s">
        <v>79444</v>
      </c>
      <c r="V3943" t="s">
        <v>79445</v>
      </c>
      <c r="W3943" t="s">
        <v>79446</v>
      </c>
      <c r="X3943" t="s">
        <v>79447</v>
      </c>
      <c r="Y3943" t="s">
        <v>79448</v>
      </c>
    </row>
    <row r="3944" spans="1:25" x14ac:dyDescent="0.3">
      <c r="A3944">
        <v>197150</v>
      </c>
      <c r="B3944" t="s">
        <v>79449</v>
      </c>
      <c r="C3944" t="s">
        <v>79450</v>
      </c>
      <c r="D3944" t="s">
        <v>79451</v>
      </c>
      <c r="E3944" t="s">
        <v>79452</v>
      </c>
      <c r="F3944" t="s">
        <v>79453</v>
      </c>
      <c r="G3944" t="s">
        <v>79454</v>
      </c>
      <c r="H3944" t="s">
        <v>79455</v>
      </c>
      <c r="I3944" t="s">
        <v>79456</v>
      </c>
      <c r="J3944" t="s">
        <v>79457</v>
      </c>
      <c r="K3944" t="s">
        <v>79458</v>
      </c>
      <c r="L3944" t="s">
        <v>79459</v>
      </c>
      <c r="M3944" t="s">
        <v>79460</v>
      </c>
      <c r="N3944" t="s">
        <v>79461</v>
      </c>
      <c r="O3944">
        <f>-563.399211906011 -89.1608805372324 -738.207482260273</f>
        <v>-1390.7675747035164</v>
      </c>
      <c r="P3944">
        <f>-586.153246792832 -86.1911731173456 -422.518241529513</f>
        <v>-1094.8626614396906</v>
      </c>
      <c r="Q3944" t="s">
        <v>79462</v>
      </c>
      <c r="R3944" t="s">
        <v>79463</v>
      </c>
      <c r="S3944" t="s">
        <v>79464</v>
      </c>
      <c r="T3944" t="s">
        <v>79465</v>
      </c>
      <c r="U3944" t="s">
        <v>79466</v>
      </c>
      <c r="V3944" t="s">
        <v>79467</v>
      </c>
      <c r="W3944" t="s">
        <v>79468</v>
      </c>
      <c r="X3944" t="s">
        <v>79469</v>
      </c>
      <c r="Y3944" t="s">
        <v>79470</v>
      </c>
    </row>
    <row r="3945" spans="1:25" x14ac:dyDescent="0.3">
      <c r="A3945">
        <v>197200</v>
      </c>
      <c r="B3945" t="s">
        <v>79471</v>
      </c>
      <c r="C3945" t="s">
        <v>79472</v>
      </c>
      <c r="D3945" t="s">
        <v>79473</v>
      </c>
      <c r="E3945" t="s">
        <v>79474</v>
      </c>
      <c r="F3945" t="s">
        <v>79475</v>
      </c>
      <c r="G3945" t="s">
        <v>79476</v>
      </c>
      <c r="H3945" t="s">
        <v>79477</v>
      </c>
      <c r="I3945" t="s">
        <v>79478</v>
      </c>
      <c r="J3945" t="s">
        <v>79479</v>
      </c>
      <c r="K3945" t="s">
        <v>79480</v>
      </c>
      <c r="L3945" t="s">
        <v>79481</v>
      </c>
      <c r="M3945" t="s">
        <v>79482</v>
      </c>
      <c r="N3945" t="s">
        <v>79483</v>
      </c>
      <c r="O3945">
        <f>-563.151358905339 -89.0088490043314 -738.223153174803</f>
        <v>-1390.3833610844733</v>
      </c>
      <c r="P3945">
        <f>-585.835172194058 -86.0655186584258 -422.528635730936</f>
        <v>-1094.4293265834199</v>
      </c>
      <c r="Q3945" t="s">
        <v>79484</v>
      </c>
      <c r="R3945" t="s">
        <v>79485</v>
      </c>
      <c r="S3945" t="s">
        <v>79486</v>
      </c>
      <c r="T3945" t="s">
        <v>79487</v>
      </c>
      <c r="U3945" t="s">
        <v>79488</v>
      </c>
      <c r="V3945" t="s">
        <v>79489</v>
      </c>
      <c r="W3945" t="s">
        <v>79490</v>
      </c>
      <c r="X3945" t="s">
        <v>79491</v>
      </c>
      <c r="Y3945" t="s">
        <v>79492</v>
      </c>
    </row>
    <row r="3946" spans="1:25" x14ac:dyDescent="0.3">
      <c r="A3946">
        <v>197250</v>
      </c>
      <c r="B3946" t="s">
        <v>79493</v>
      </c>
      <c r="C3946" t="s">
        <v>79494</v>
      </c>
      <c r="D3946" t="s">
        <v>79495</v>
      </c>
      <c r="E3946" t="s">
        <v>79496</v>
      </c>
      <c r="F3946" t="s">
        <v>79497</v>
      </c>
      <c r="G3946" t="s">
        <v>79498</v>
      </c>
      <c r="H3946" t="s">
        <v>79499</v>
      </c>
      <c r="I3946" t="s">
        <v>79500</v>
      </c>
      <c r="J3946" t="s">
        <v>79501</v>
      </c>
      <c r="K3946" t="s">
        <v>79502</v>
      </c>
      <c r="L3946" t="s">
        <v>79503</v>
      </c>
      <c r="M3946" t="s">
        <v>79504</v>
      </c>
      <c r="N3946" t="s">
        <v>79505</v>
      </c>
      <c r="O3946">
        <f>-562.589663155761 -88.9570048309868 -738.179045470503</f>
        <v>-1389.7257134572505</v>
      </c>
      <c r="P3946">
        <f>-585.235685936188 -86.0799409721898 -422.481298461704</f>
        <v>-1093.7969253700817</v>
      </c>
      <c r="Q3946" t="s">
        <v>79506</v>
      </c>
      <c r="R3946" t="s">
        <v>79507</v>
      </c>
      <c r="S3946" t="s">
        <v>79508</v>
      </c>
      <c r="T3946" t="s">
        <v>79509</v>
      </c>
      <c r="U3946" t="s">
        <v>79510</v>
      </c>
      <c r="V3946" t="s">
        <v>79511</v>
      </c>
      <c r="W3946" t="s">
        <v>79512</v>
      </c>
      <c r="X3946" t="s">
        <v>79513</v>
      </c>
      <c r="Y3946" t="s">
        <v>79514</v>
      </c>
    </row>
    <row r="3947" spans="1:25" x14ac:dyDescent="0.3">
      <c r="A3947">
        <v>197300</v>
      </c>
      <c r="B3947" t="s">
        <v>79515</v>
      </c>
      <c r="C3947" t="s">
        <v>79516</v>
      </c>
      <c r="D3947" t="s">
        <v>79517</v>
      </c>
      <c r="E3947" t="s">
        <v>79518</v>
      </c>
      <c r="F3947" t="s">
        <v>79519</v>
      </c>
      <c r="G3947" t="s">
        <v>79520</v>
      </c>
      <c r="H3947" t="s">
        <v>79521</v>
      </c>
      <c r="I3947" t="s">
        <v>79522</v>
      </c>
      <c r="J3947" t="s">
        <v>79523</v>
      </c>
      <c r="K3947" t="s">
        <v>79524</v>
      </c>
      <c r="L3947" t="s">
        <v>79525</v>
      </c>
      <c r="M3947" t="s">
        <v>79526</v>
      </c>
      <c r="N3947" t="s">
        <v>79527</v>
      </c>
      <c r="O3947">
        <f>-562.144988591202 -89.0020135144969 -738.168804146521</f>
        <v>-1389.3158062522198</v>
      </c>
      <c r="P3947">
        <f>-584.806618984648 -86.1919069047598 -422.471565180375</f>
        <v>-1093.4700910697829</v>
      </c>
      <c r="Q3947" t="s">
        <v>79528</v>
      </c>
      <c r="R3947" t="s">
        <v>79529</v>
      </c>
      <c r="S3947" t="s">
        <v>79530</v>
      </c>
      <c r="T3947" t="s">
        <v>79531</v>
      </c>
      <c r="U3947" t="s">
        <v>79532</v>
      </c>
      <c r="V3947" t="s">
        <v>79533</v>
      </c>
      <c r="W3947" t="s">
        <v>79534</v>
      </c>
      <c r="X3947" t="s">
        <v>79535</v>
      </c>
      <c r="Y3947" t="s">
        <v>79536</v>
      </c>
    </row>
    <row r="3948" spans="1:25" x14ac:dyDescent="0.3">
      <c r="A3948">
        <v>197350</v>
      </c>
      <c r="B3948" t="s">
        <v>79537</v>
      </c>
      <c r="C3948" t="s">
        <v>79538</v>
      </c>
      <c r="D3948" t="s">
        <v>79539</v>
      </c>
      <c r="E3948" t="s">
        <v>79540</v>
      </c>
      <c r="F3948" t="s">
        <v>79541</v>
      </c>
      <c r="G3948" t="s">
        <v>79542</v>
      </c>
      <c r="H3948" t="s">
        <v>79543</v>
      </c>
      <c r="I3948" t="s">
        <v>79544</v>
      </c>
      <c r="J3948" t="s">
        <v>79545</v>
      </c>
      <c r="K3948" t="s">
        <v>79546</v>
      </c>
      <c r="L3948" t="s">
        <v>79547</v>
      </c>
      <c r="M3948" t="s">
        <v>79548</v>
      </c>
      <c r="N3948" t="s">
        <v>79549</v>
      </c>
      <c r="O3948">
        <f>-561.583883562604 -89.0685585068595 -738.109201000886</f>
        <v>-1388.7616430703495</v>
      </c>
      <c r="P3948">
        <f>-584.338643331258 -86.1879506142865 -422.419225998845</f>
        <v>-1092.9458199443895</v>
      </c>
      <c r="Q3948" t="s">
        <v>79550</v>
      </c>
      <c r="R3948" t="s">
        <v>79551</v>
      </c>
      <c r="S3948" t="s">
        <v>79552</v>
      </c>
      <c r="T3948" t="s">
        <v>79553</v>
      </c>
      <c r="U3948" t="s">
        <v>79554</v>
      </c>
      <c r="V3948" t="s">
        <v>79555</v>
      </c>
      <c r="W3948" t="s">
        <v>79556</v>
      </c>
      <c r="X3948" t="s">
        <v>79557</v>
      </c>
      <c r="Y3948" t="s">
        <v>79558</v>
      </c>
    </row>
    <row r="3949" spans="1:25" x14ac:dyDescent="0.3">
      <c r="A3949">
        <v>197400</v>
      </c>
      <c r="B3949" t="s">
        <v>79559</v>
      </c>
      <c r="C3949" t="s">
        <v>79560</v>
      </c>
      <c r="D3949" t="s">
        <v>79561</v>
      </c>
      <c r="E3949" t="s">
        <v>79562</v>
      </c>
      <c r="F3949" t="s">
        <v>79563</v>
      </c>
      <c r="G3949" t="s">
        <v>79564</v>
      </c>
      <c r="H3949" t="s">
        <v>79565</v>
      </c>
      <c r="I3949" t="s">
        <v>79566</v>
      </c>
      <c r="J3949" t="s">
        <v>79567</v>
      </c>
      <c r="K3949" t="s">
        <v>79568</v>
      </c>
      <c r="L3949" t="s">
        <v>79569</v>
      </c>
      <c r="M3949" t="s">
        <v>79570</v>
      </c>
      <c r="N3949" t="s">
        <v>79571</v>
      </c>
      <c r="O3949">
        <f>-561.281133188212 -89.0280311897398 -738.132620782946</f>
        <v>-1388.4417851608978</v>
      </c>
      <c r="P3949">
        <f>-584.046880885998 -86.0977405861559 -422.443963424643</f>
        <v>-1092.5885848967969</v>
      </c>
      <c r="Q3949" t="s">
        <v>79572</v>
      </c>
      <c r="R3949" t="s">
        <v>79573</v>
      </c>
      <c r="S3949" t="s">
        <v>79574</v>
      </c>
      <c r="T3949" t="s">
        <v>79575</v>
      </c>
      <c r="U3949" t="s">
        <v>79576</v>
      </c>
      <c r="V3949" t="s">
        <v>79577</v>
      </c>
      <c r="W3949" t="s">
        <v>79578</v>
      </c>
      <c r="X3949" t="s">
        <v>79579</v>
      </c>
      <c r="Y3949" t="s">
        <v>79580</v>
      </c>
    </row>
    <row r="3950" spans="1:25" x14ac:dyDescent="0.3">
      <c r="A3950">
        <v>197450</v>
      </c>
      <c r="B3950" t="s">
        <v>79581</v>
      </c>
      <c r="C3950" t="s">
        <v>79582</v>
      </c>
      <c r="D3950" t="s">
        <v>79583</v>
      </c>
      <c r="E3950" t="s">
        <v>79584</v>
      </c>
      <c r="F3950" t="s">
        <v>79585</v>
      </c>
      <c r="G3950" t="s">
        <v>79586</v>
      </c>
      <c r="H3950" t="s">
        <v>79587</v>
      </c>
      <c r="I3950" t="s">
        <v>79588</v>
      </c>
      <c r="J3950" t="s">
        <v>79589</v>
      </c>
      <c r="K3950" t="s">
        <v>79590</v>
      </c>
      <c r="L3950" t="s">
        <v>79591</v>
      </c>
      <c r="M3950" t="s">
        <v>79592</v>
      </c>
      <c r="N3950" t="s">
        <v>79593</v>
      </c>
      <c r="O3950">
        <f>-561.041162054963 -89.3180430929043 -738.113644066369</f>
        <v>-1388.4728492142362</v>
      </c>
      <c r="P3950">
        <f>-583.732886331198 -86.3645540559521 -422.419831276004</f>
        <v>-1092.5172716631541</v>
      </c>
      <c r="Q3950" t="s">
        <v>79594</v>
      </c>
      <c r="R3950" t="s">
        <v>79595</v>
      </c>
      <c r="S3950" t="s">
        <v>79596</v>
      </c>
      <c r="T3950" t="s">
        <v>79597</v>
      </c>
      <c r="U3950" t="s">
        <v>79598</v>
      </c>
      <c r="V3950" t="s">
        <v>79599</v>
      </c>
      <c r="W3950" t="s">
        <v>79600</v>
      </c>
      <c r="X3950" t="s">
        <v>79601</v>
      </c>
      <c r="Y3950" t="s">
        <v>79602</v>
      </c>
    </row>
    <row r="3951" spans="1:25" x14ac:dyDescent="0.3">
      <c r="A3951">
        <v>197500</v>
      </c>
      <c r="B3951" t="s">
        <v>79603</v>
      </c>
      <c r="C3951" t="s">
        <v>79604</v>
      </c>
      <c r="D3951" t="s">
        <v>79605</v>
      </c>
      <c r="E3951" t="s">
        <v>79606</v>
      </c>
      <c r="F3951" t="s">
        <v>79607</v>
      </c>
      <c r="G3951" t="s">
        <v>79608</v>
      </c>
      <c r="H3951" t="s">
        <v>79609</v>
      </c>
      <c r="I3951" t="s">
        <v>79610</v>
      </c>
      <c r="J3951" t="s">
        <v>79611</v>
      </c>
      <c r="K3951" t="s">
        <v>79612</v>
      </c>
      <c r="L3951" t="s">
        <v>79613</v>
      </c>
      <c r="M3951" t="s">
        <v>79614</v>
      </c>
      <c r="N3951" t="s">
        <v>79615</v>
      </c>
      <c r="O3951">
        <f>-560.926439604026 -89.3469003980075 -738.089335340737</f>
        <v>-1388.3626753427704</v>
      </c>
      <c r="P3951">
        <f>-583.582695409787 -86.490178346708 -422.392078169023</f>
        <v>-1092.4649519255181</v>
      </c>
      <c r="Q3951" t="s">
        <v>79616</v>
      </c>
      <c r="R3951" t="s">
        <v>79617</v>
      </c>
      <c r="S3951" t="s">
        <v>79618</v>
      </c>
      <c r="T3951" t="s">
        <v>79619</v>
      </c>
      <c r="U3951" t="s">
        <v>79620</v>
      </c>
      <c r="V3951" t="s">
        <v>79621</v>
      </c>
      <c r="W3951" t="s">
        <v>79622</v>
      </c>
      <c r="X3951" t="s">
        <v>79623</v>
      </c>
      <c r="Y3951" t="s">
        <v>79624</v>
      </c>
    </row>
    <row r="3952" spans="1:25" x14ac:dyDescent="0.3">
      <c r="A3952">
        <v>197550</v>
      </c>
      <c r="B3952" t="s">
        <v>79625</v>
      </c>
      <c r="C3952" t="s">
        <v>79626</v>
      </c>
      <c r="D3952" t="s">
        <v>79627</v>
      </c>
      <c r="E3952" t="s">
        <v>79628</v>
      </c>
      <c r="F3952" t="s">
        <v>79629</v>
      </c>
      <c r="G3952" t="s">
        <v>79630</v>
      </c>
      <c r="H3952" t="s">
        <v>79631</v>
      </c>
      <c r="I3952" t="s">
        <v>79632</v>
      </c>
      <c r="J3952" t="s">
        <v>79633</v>
      </c>
      <c r="K3952" t="s">
        <v>79634</v>
      </c>
      <c r="L3952" t="s">
        <v>79635</v>
      </c>
      <c r="M3952" t="s">
        <v>79636</v>
      </c>
      <c r="N3952" t="s">
        <v>79637</v>
      </c>
      <c r="O3952">
        <f>-560.792014284295 -89.1242487774641 -738.096291201681</f>
        <v>-1388.0125542634401</v>
      </c>
      <c r="P3952">
        <f>-583.309956581771 -86.4059581238828 -422.387902971569</f>
        <v>-1092.1038176772227</v>
      </c>
      <c r="Q3952" t="s">
        <v>79638</v>
      </c>
      <c r="R3952" t="s">
        <v>79639</v>
      </c>
      <c r="S3952" t="s">
        <v>79640</v>
      </c>
      <c r="T3952" t="s">
        <v>79641</v>
      </c>
      <c r="U3952" t="s">
        <v>79642</v>
      </c>
      <c r="V3952" t="s">
        <v>79643</v>
      </c>
      <c r="W3952" t="s">
        <v>79644</v>
      </c>
      <c r="X3952" t="s">
        <v>79645</v>
      </c>
      <c r="Y3952" t="s">
        <v>79646</v>
      </c>
    </row>
    <row r="3953" spans="1:25" x14ac:dyDescent="0.3">
      <c r="A3953">
        <v>197600</v>
      </c>
      <c r="B3953" t="s">
        <v>79647</v>
      </c>
      <c r="C3953" t="s">
        <v>79648</v>
      </c>
      <c r="D3953" t="s">
        <v>79649</v>
      </c>
      <c r="E3953" t="s">
        <v>79650</v>
      </c>
      <c r="F3953" t="s">
        <v>79651</v>
      </c>
      <c r="G3953" t="s">
        <v>79652</v>
      </c>
      <c r="H3953" t="s">
        <v>79653</v>
      </c>
      <c r="I3953" t="s">
        <v>79654</v>
      </c>
      <c r="J3953" t="s">
        <v>79655</v>
      </c>
      <c r="K3953" t="s">
        <v>79656</v>
      </c>
      <c r="L3953" t="s">
        <v>79657</v>
      </c>
      <c r="M3953" t="s">
        <v>79658</v>
      </c>
      <c r="N3953" t="s">
        <v>79659</v>
      </c>
      <c r="O3953">
        <f>-560.795856764923 -89.2303209041964 -738.124968039116</f>
        <v>-1388.1511457082354</v>
      </c>
      <c r="P3953">
        <f>-583.279415120522 -86.6249563396748 -422.41331395797</f>
        <v>-1092.3176854181668</v>
      </c>
      <c r="Q3953" t="s">
        <v>79660</v>
      </c>
      <c r="R3953" t="s">
        <v>79661</v>
      </c>
      <c r="S3953" t="s">
        <v>79662</v>
      </c>
      <c r="T3953" t="s">
        <v>79663</v>
      </c>
      <c r="U3953" t="s">
        <v>79664</v>
      </c>
      <c r="V3953" t="s">
        <v>79665</v>
      </c>
      <c r="W3953" t="s">
        <v>79666</v>
      </c>
      <c r="X3953" t="s">
        <v>79667</v>
      </c>
      <c r="Y3953" t="s">
        <v>79668</v>
      </c>
    </row>
    <row r="3954" spans="1:25" x14ac:dyDescent="0.3">
      <c r="A3954">
        <v>197650</v>
      </c>
      <c r="B3954" t="s">
        <v>79669</v>
      </c>
      <c r="C3954" t="s">
        <v>79670</v>
      </c>
      <c r="D3954" t="s">
        <v>79671</v>
      </c>
      <c r="E3954" t="s">
        <v>79672</v>
      </c>
      <c r="F3954" t="s">
        <v>79673</v>
      </c>
      <c r="G3954" t="s">
        <v>79674</v>
      </c>
      <c r="H3954" t="s">
        <v>79675</v>
      </c>
      <c r="I3954" t="s">
        <v>79676</v>
      </c>
      <c r="J3954" t="s">
        <v>79677</v>
      </c>
      <c r="K3954" t="s">
        <v>79678</v>
      </c>
      <c r="L3954" t="s">
        <v>79679</v>
      </c>
      <c r="M3954" t="s">
        <v>79680</v>
      </c>
      <c r="N3954" t="s">
        <v>79681</v>
      </c>
      <c r="O3954">
        <f>-560.859630821183 -89.0922588758685 -738.159587651765</f>
        <v>-1388.1114773488166</v>
      </c>
      <c r="P3954">
        <f>-583.376301740068 -86.5049610119276 -422.450000922341</f>
        <v>-1092.3312636743367</v>
      </c>
      <c r="Q3954" t="s">
        <v>79682</v>
      </c>
      <c r="R3954" t="s">
        <v>79683</v>
      </c>
      <c r="S3954" t="s">
        <v>79684</v>
      </c>
      <c r="T3954" t="s">
        <v>79685</v>
      </c>
      <c r="U3954" t="s">
        <v>79686</v>
      </c>
      <c r="V3954" t="s">
        <v>79687</v>
      </c>
      <c r="W3954" t="s">
        <v>79688</v>
      </c>
      <c r="X3954" t="s">
        <v>79689</v>
      </c>
      <c r="Y3954" t="s">
        <v>79690</v>
      </c>
    </row>
    <row r="3955" spans="1:25" x14ac:dyDescent="0.3">
      <c r="A3955">
        <v>197700</v>
      </c>
      <c r="B3955" t="s">
        <v>79691</v>
      </c>
      <c r="C3955" t="s">
        <v>79692</v>
      </c>
      <c r="D3955" t="s">
        <v>79693</v>
      </c>
      <c r="E3955" t="s">
        <v>79694</v>
      </c>
      <c r="F3955" t="s">
        <v>79695</v>
      </c>
      <c r="G3955" t="s">
        <v>79696</v>
      </c>
      <c r="H3955" t="s">
        <v>79697</v>
      </c>
      <c r="I3955" t="s">
        <v>79698</v>
      </c>
      <c r="J3955" t="s">
        <v>79699</v>
      </c>
      <c r="K3955" t="s">
        <v>79700</v>
      </c>
      <c r="L3955" t="s">
        <v>79701</v>
      </c>
      <c r="M3955" t="s">
        <v>79702</v>
      </c>
      <c r="N3955" t="s">
        <v>79703</v>
      </c>
      <c r="O3955">
        <f>-560.8971288912 -89.3601416569869 -738.174341281012</f>
        <v>-1388.431611829199</v>
      </c>
      <c r="P3955">
        <f>-583.412379459451 -86.7202757773917 -422.465110034119</f>
        <v>-1092.5977652709616</v>
      </c>
      <c r="Q3955" t="s">
        <v>79704</v>
      </c>
      <c r="R3955" t="s">
        <v>79705</v>
      </c>
      <c r="S3955" t="s">
        <v>79706</v>
      </c>
      <c r="T3955" t="s">
        <v>79707</v>
      </c>
      <c r="U3955" t="s">
        <v>79708</v>
      </c>
      <c r="V3955" t="s">
        <v>79709</v>
      </c>
      <c r="W3955" t="s">
        <v>79710</v>
      </c>
      <c r="X3955" t="s">
        <v>79711</v>
      </c>
      <c r="Y3955" t="s">
        <v>79712</v>
      </c>
    </row>
    <row r="3956" spans="1:25" x14ac:dyDescent="0.3">
      <c r="A3956">
        <v>197750</v>
      </c>
      <c r="B3956" t="s">
        <v>79713</v>
      </c>
      <c r="C3956" t="s">
        <v>79714</v>
      </c>
      <c r="D3956" t="s">
        <v>79715</v>
      </c>
      <c r="E3956" t="s">
        <v>79716</v>
      </c>
      <c r="F3956" t="s">
        <v>79717</v>
      </c>
      <c r="G3956" t="s">
        <v>79718</v>
      </c>
      <c r="H3956" t="s">
        <v>79719</v>
      </c>
      <c r="I3956" t="s">
        <v>79720</v>
      </c>
      <c r="J3956" t="s">
        <v>79721</v>
      </c>
      <c r="K3956" t="s">
        <v>79722</v>
      </c>
      <c r="L3956" t="s">
        <v>79723</v>
      </c>
      <c r="M3956" t="s">
        <v>79724</v>
      </c>
      <c r="N3956" t="s">
        <v>79725</v>
      </c>
      <c r="O3956">
        <f>-560.87033516377 -89.6689187401463 -738.226508727923</f>
        <v>-1388.7657626318394</v>
      </c>
      <c r="P3956">
        <f>-583.484134357551 -87.0288107412402 -422.524469619302</f>
        <v>-1093.0374147180933</v>
      </c>
      <c r="Q3956" t="s">
        <v>79726</v>
      </c>
      <c r="R3956" t="s">
        <v>79727</v>
      </c>
      <c r="S3956" t="s">
        <v>79728</v>
      </c>
      <c r="T3956" t="s">
        <v>79729</v>
      </c>
      <c r="U3956" t="s">
        <v>79730</v>
      </c>
      <c r="V3956" t="s">
        <v>79731</v>
      </c>
      <c r="W3956" t="s">
        <v>79732</v>
      </c>
      <c r="X3956" t="s">
        <v>79733</v>
      </c>
      <c r="Y3956" t="s">
        <v>79734</v>
      </c>
    </row>
    <row r="3957" spans="1:25" x14ac:dyDescent="0.3">
      <c r="A3957">
        <v>197800</v>
      </c>
      <c r="B3957" t="s">
        <v>79735</v>
      </c>
      <c r="C3957" t="s">
        <v>79736</v>
      </c>
      <c r="D3957" t="s">
        <v>79737</v>
      </c>
      <c r="E3957" t="s">
        <v>79738</v>
      </c>
      <c r="F3957" t="s">
        <v>79739</v>
      </c>
      <c r="G3957" t="s">
        <v>79740</v>
      </c>
      <c r="H3957" t="s">
        <v>79741</v>
      </c>
      <c r="I3957" t="s">
        <v>79742</v>
      </c>
      <c r="J3957" t="s">
        <v>79743</v>
      </c>
      <c r="K3957" t="s">
        <v>79744</v>
      </c>
      <c r="L3957" t="s">
        <v>79745</v>
      </c>
      <c r="M3957" t="s">
        <v>79746</v>
      </c>
      <c r="N3957" t="s">
        <v>79747</v>
      </c>
      <c r="O3957">
        <f>-560.968270009951 -89.7434636603165 -738.258776451515</f>
        <v>-1388.9705101217824</v>
      </c>
      <c r="P3957">
        <f>-583.603668138467 -87.1752916121407 -422.55764757978</f>
        <v>-1093.3366073303878</v>
      </c>
      <c r="Q3957" t="s">
        <v>79748</v>
      </c>
      <c r="R3957" t="s">
        <v>79749</v>
      </c>
      <c r="S3957" t="s">
        <v>79750</v>
      </c>
      <c r="T3957" t="s">
        <v>79751</v>
      </c>
      <c r="U3957" t="s">
        <v>79752</v>
      </c>
      <c r="V3957" t="s">
        <v>79753</v>
      </c>
      <c r="W3957" t="s">
        <v>79754</v>
      </c>
      <c r="X3957" t="s">
        <v>79755</v>
      </c>
      <c r="Y3957" t="s">
        <v>79756</v>
      </c>
    </row>
    <row r="3958" spans="1:25" x14ac:dyDescent="0.3">
      <c r="A3958">
        <v>197850</v>
      </c>
      <c r="B3958" t="s">
        <v>79757</v>
      </c>
      <c r="C3958" t="s">
        <v>79758</v>
      </c>
      <c r="D3958" t="s">
        <v>79759</v>
      </c>
      <c r="E3958" t="s">
        <v>79760</v>
      </c>
      <c r="F3958" t="s">
        <v>79761</v>
      </c>
      <c r="G3958" t="s">
        <v>79762</v>
      </c>
      <c r="H3958" t="s">
        <v>79763</v>
      </c>
      <c r="I3958" t="s">
        <v>79764</v>
      </c>
      <c r="J3958" t="s">
        <v>79765</v>
      </c>
      <c r="K3958" t="s">
        <v>79766</v>
      </c>
      <c r="L3958" t="s">
        <v>79767</v>
      </c>
      <c r="M3958" t="s">
        <v>79768</v>
      </c>
      <c r="N3958" t="s">
        <v>79769</v>
      </c>
      <c r="O3958">
        <f>-561.011388579625 -89.780336277519 -738.365843958303</f>
        <v>-1389.1575688154471</v>
      </c>
      <c r="P3958">
        <f>-583.636655074342 -87.3845284729944 -422.662571855756</f>
        <v>-1093.6837554030924</v>
      </c>
      <c r="Q3958" t="s">
        <v>79770</v>
      </c>
      <c r="R3958" t="s">
        <v>79771</v>
      </c>
      <c r="S3958" t="s">
        <v>79772</v>
      </c>
      <c r="T3958" t="s">
        <v>79773</v>
      </c>
      <c r="U3958" t="s">
        <v>79774</v>
      </c>
      <c r="V3958" t="s">
        <v>79775</v>
      </c>
      <c r="W3958" t="s">
        <v>79776</v>
      </c>
      <c r="X3958" t="s">
        <v>79777</v>
      </c>
      <c r="Y3958" t="s">
        <v>79778</v>
      </c>
    </row>
    <row r="3959" spans="1:25" x14ac:dyDescent="0.3">
      <c r="A3959">
        <v>197900</v>
      </c>
      <c r="B3959" t="s">
        <v>79779</v>
      </c>
      <c r="C3959" t="s">
        <v>79780</v>
      </c>
      <c r="D3959" t="s">
        <v>79781</v>
      </c>
      <c r="E3959" t="s">
        <v>79782</v>
      </c>
      <c r="F3959" t="s">
        <v>79783</v>
      </c>
      <c r="G3959" t="s">
        <v>79784</v>
      </c>
      <c r="H3959" t="s">
        <v>79785</v>
      </c>
      <c r="I3959" t="s">
        <v>79786</v>
      </c>
      <c r="J3959" t="s">
        <v>79787</v>
      </c>
      <c r="K3959" t="s">
        <v>79788</v>
      </c>
      <c r="L3959" t="s">
        <v>79789</v>
      </c>
      <c r="M3959" t="s">
        <v>79790</v>
      </c>
      <c r="N3959" t="s">
        <v>79791</v>
      </c>
      <c r="O3959">
        <f>-560.909319008892 -89.82696109413 -738.435349763703</f>
        <v>-1389.171629866725</v>
      </c>
      <c r="P3959">
        <f>-583.522756095175 -87.5603153969408 -422.730193146137</f>
        <v>-1093.8132646382528</v>
      </c>
      <c r="Q3959" t="s">
        <v>79792</v>
      </c>
      <c r="R3959" t="s">
        <v>79793</v>
      </c>
      <c r="S3959" t="s">
        <v>79794</v>
      </c>
      <c r="T3959" t="s">
        <v>79795</v>
      </c>
      <c r="U3959" t="s">
        <v>79796</v>
      </c>
      <c r="V3959" t="s">
        <v>79797</v>
      </c>
      <c r="W3959" t="s">
        <v>79798</v>
      </c>
      <c r="X3959" t="s">
        <v>79799</v>
      </c>
      <c r="Y3959" t="s">
        <v>79800</v>
      </c>
    </row>
    <row r="3960" spans="1:25" x14ac:dyDescent="0.3">
      <c r="A3960">
        <v>197950</v>
      </c>
      <c r="B3960" t="s">
        <v>79801</v>
      </c>
      <c r="C3960" t="s">
        <v>79802</v>
      </c>
      <c r="D3960" t="s">
        <v>79803</v>
      </c>
      <c r="E3960" t="s">
        <v>79804</v>
      </c>
      <c r="F3960" t="s">
        <v>79805</v>
      </c>
      <c r="G3960" t="s">
        <v>79806</v>
      </c>
      <c r="H3960" t="s">
        <v>79807</v>
      </c>
      <c r="I3960" t="s">
        <v>79808</v>
      </c>
      <c r="J3960" t="s">
        <v>79809</v>
      </c>
      <c r="K3960" t="s">
        <v>79810</v>
      </c>
      <c r="L3960" t="s">
        <v>79811</v>
      </c>
      <c r="M3960" t="s">
        <v>79812</v>
      </c>
      <c r="N3960" t="s">
        <v>79813</v>
      </c>
      <c r="O3960">
        <f>-560.900153329969 -89.8197036355728 -738.565725777766</f>
        <v>-1389.2855827433077</v>
      </c>
      <c r="P3960">
        <f>-583.465114451338 -87.7770704960553 -422.855694759409</f>
        <v>-1094.0978797068024</v>
      </c>
      <c r="Q3960" t="s">
        <v>79814</v>
      </c>
      <c r="R3960" t="s">
        <v>79815</v>
      </c>
      <c r="S3960" t="s">
        <v>79816</v>
      </c>
      <c r="T3960" t="s">
        <v>79817</v>
      </c>
      <c r="U3960" t="s">
        <v>79818</v>
      </c>
      <c r="V3960" t="s">
        <v>79819</v>
      </c>
      <c r="W3960" t="s">
        <v>79820</v>
      </c>
      <c r="X3960" t="s">
        <v>79821</v>
      </c>
      <c r="Y3960" t="s">
        <v>79822</v>
      </c>
    </row>
    <row r="3961" spans="1:25" x14ac:dyDescent="0.3">
      <c r="A3961">
        <v>198000</v>
      </c>
      <c r="B3961" t="s">
        <v>79823</v>
      </c>
      <c r="C3961" t="s">
        <v>79824</v>
      </c>
      <c r="D3961" t="s">
        <v>79825</v>
      </c>
      <c r="E3961" t="s">
        <v>79826</v>
      </c>
      <c r="F3961" t="s">
        <v>79827</v>
      </c>
      <c r="G3961" t="s">
        <v>79828</v>
      </c>
      <c r="H3961" t="s">
        <v>79829</v>
      </c>
      <c r="I3961" t="s">
        <v>79830</v>
      </c>
      <c r="J3961" t="s">
        <v>79831</v>
      </c>
      <c r="K3961" t="s">
        <v>79832</v>
      </c>
      <c r="L3961" t="s">
        <v>79833</v>
      </c>
      <c r="M3961" t="s">
        <v>79834</v>
      </c>
      <c r="N3961" t="s">
        <v>79835</v>
      </c>
      <c r="O3961">
        <f>-560.781047967685 -89.8165792262408 -738.648770735558</f>
        <v>-1389.2463979294839</v>
      </c>
      <c r="P3961">
        <f>-583.383152129461 -87.8531382026898 -422.940762382893</f>
        <v>-1094.1770527150438</v>
      </c>
      <c r="Q3961" t="s">
        <v>79836</v>
      </c>
      <c r="R3961" t="s">
        <v>79837</v>
      </c>
      <c r="S3961" t="s">
        <v>79838</v>
      </c>
      <c r="T3961" t="s">
        <v>79839</v>
      </c>
      <c r="U3961" t="s">
        <v>79840</v>
      </c>
      <c r="V3961" t="s">
        <v>79841</v>
      </c>
      <c r="W3961" t="s">
        <v>79842</v>
      </c>
      <c r="X3961" t="s">
        <v>79843</v>
      </c>
      <c r="Y3961" t="s">
        <v>79844</v>
      </c>
    </row>
    <row r="3962" spans="1:25" x14ac:dyDescent="0.3">
      <c r="A3962">
        <v>198050</v>
      </c>
      <c r="B3962" t="s">
        <v>79845</v>
      </c>
      <c r="C3962" t="s">
        <v>79846</v>
      </c>
      <c r="D3962" t="s">
        <v>79847</v>
      </c>
      <c r="E3962" t="s">
        <v>79848</v>
      </c>
      <c r="F3962" t="s">
        <v>79849</v>
      </c>
      <c r="G3962" t="s">
        <v>79850</v>
      </c>
      <c r="H3962" t="s">
        <v>79851</v>
      </c>
      <c r="I3962" t="s">
        <v>79852</v>
      </c>
      <c r="J3962" t="s">
        <v>79853</v>
      </c>
      <c r="K3962" t="s">
        <v>79854</v>
      </c>
      <c r="L3962" t="s">
        <v>79855</v>
      </c>
      <c r="M3962" t="s">
        <v>79856</v>
      </c>
      <c r="N3962" t="s">
        <v>79857</v>
      </c>
      <c r="O3962">
        <f>-560.671367487979 -89.7437442340489 -738.781694073805</f>
        <v>-1389.1968057958329</v>
      </c>
      <c r="P3962">
        <f>-583.277253081349 -87.9883143004342 -423.07287410068</f>
        <v>-1094.3384414824632</v>
      </c>
      <c r="Q3962" t="s">
        <v>79858</v>
      </c>
      <c r="R3962" t="s">
        <v>79859</v>
      </c>
      <c r="S3962" t="s">
        <v>79860</v>
      </c>
      <c r="T3962" t="s">
        <v>79861</v>
      </c>
      <c r="U3962" t="s">
        <v>79862</v>
      </c>
      <c r="V3962" t="s">
        <v>79863</v>
      </c>
      <c r="W3962" t="s">
        <v>79864</v>
      </c>
      <c r="X3962" t="s">
        <v>79865</v>
      </c>
      <c r="Y3962" t="s">
        <v>79866</v>
      </c>
    </row>
    <row r="3963" spans="1:25" x14ac:dyDescent="0.3">
      <c r="A3963">
        <v>198100</v>
      </c>
      <c r="B3963" t="s">
        <v>79867</v>
      </c>
      <c r="C3963" t="s">
        <v>79868</v>
      </c>
      <c r="D3963" t="s">
        <v>79869</v>
      </c>
      <c r="E3963" t="s">
        <v>79870</v>
      </c>
      <c r="F3963" t="s">
        <v>79871</v>
      </c>
      <c r="G3963" t="s">
        <v>79872</v>
      </c>
      <c r="H3963" t="s">
        <v>79873</v>
      </c>
      <c r="I3963" t="s">
        <v>79874</v>
      </c>
      <c r="J3963" t="s">
        <v>79875</v>
      </c>
      <c r="K3963" t="s">
        <v>79876</v>
      </c>
      <c r="L3963" t="s">
        <v>79877</v>
      </c>
      <c r="M3963" t="s">
        <v>79878</v>
      </c>
      <c r="N3963" t="s">
        <v>79879</v>
      </c>
      <c r="O3963">
        <f>-560.638484368536 -89.7071752395567 -738.824299966093</f>
        <v>-1389.1699595741857</v>
      </c>
      <c r="P3963">
        <f>-583.302099628157 -88.0532301942893 -423.119049261834</f>
        <v>-1094.4743790842804</v>
      </c>
      <c r="Q3963" t="s">
        <v>79880</v>
      </c>
      <c r="R3963" t="s">
        <v>79881</v>
      </c>
      <c r="S3963" t="s">
        <v>79882</v>
      </c>
      <c r="T3963" t="s">
        <v>79883</v>
      </c>
      <c r="U3963" t="s">
        <v>79884</v>
      </c>
      <c r="V3963" t="s">
        <v>79885</v>
      </c>
      <c r="W3963" t="s">
        <v>79886</v>
      </c>
      <c r="X3963" t="s">
        <v>79887</v>
      </c>
      <c r="Y3963" t="s">
        <v>79888</v>
      </c>
    </row>
    <row r="3964" spans="1:25" x14ac:dyDescent="0.3">
      <c r="A3964">
        <v>198150</v>
      </c>
      <c r="B3964" t="s">
        <v>79889</v>
      </c>
      <c r="C3964" t="s">
        <v>79890</v>
      </c>
      <c r="D3964" t="s">
        <v>79891</v>
      </c>
      <c r="E3964" t="s">
        <v>79892</v>
      </c>
      <c r="F3964" t="s">
        <v>79893</v>
      </c>
      <c r="G3964" t="s">
        <v>79894</v>
      </c>
      <c r="H3964" t="s">
        <v>79895</v>
      </c>
      <c r="I3964" t="s">
        <v>79896</v>
      </c>
      <c r="J3964" t="s">
        <v>79897</v>
      </c>
      <c r="K3964" t="s">
        <v>79898</v>
      </c>
      <c r="L3964" t="s">
        <v>79899</v>
      </c>
      <c r="M3964" t="s">
        <v>79900</v>
      </c>
      <c r="N3964" t="s">
        <v>79901</v>
      </c>
      <c r="O3964">
        <f>-560.503045136889 -90.0567782719991 -738.959662307286</f>
        <v>-1389.5194857161741</v>
      </c>
      <c r="P3964">
        <f>-583.334632914841 -88.4490860798273 -423.266351172383</f>
        <v>-1095.0500701670512</v>
      </c>
      <c r="Q3964" t="s">
        <v>79902</v>
      </c>
      <c r="R3964" t="s">
        <v>79903</v>
      </c>
      <c r="S3964" t="s">
        <v>79904</v>
      </c>
      <c r="T3964" t="s">
        <v>79905</v>
      </c>
      <c r="U3964" t="s">
        <v>79906</v>
      </c>
      <c r="V3964" t="s">
        <v>79907</v>
      </c>
      <c r="W3964" t="s">
        <v>79908</v>
      </c>
      <c r="X3964" t="s">
        <v>79909</v>
      </c>
      <c r="Y3964" t="s">
        <v>79910</v>
      </c>
    </row>
    <row r="3965" spans="1:25" x14ac:dyDescent="0.3">
      <c r="A3965">
        <v>198200</v>
      </c>
      <c r="B3965" t="s">
        <v>79911</v>
      </c>
      <c r="C3965" t="s">
        <v>79912</v>
      </c>
      <c r="D3965" t="s">
        <v>79913</v>
      </c>
      <c r="E3965" t="s">
        <v>79914</v>
      </c>
      <c r="F3965" t="s">
        <v>79915</v>
      </c>
      <c r="G3965" t="s">
        <v>79916</v>
      </c>
      <c r="H3965" t="s">
        <v>79917</v>
      </c>
      <c r="I3965" t="s">
        <v>79918</v>
      </c>
      <c r="J3965" t="s">
        <v>79919</v>
      </c>
      <c r="K3965" t="s">
        <v>79920</v>
      </c>
      <c r="L3965" t="s">
        <v>79921</v>
      </c>
      <c r="M3965" t="s">
        <v>79922</v>
      </c>
      <c r="N3965" t="s">
        <v>79923</v>
      </c>
      <c r="O3965">
        <f>-560.559160392751 -90.3295096442186 -738.968759794756</f>
        <v>-1389.8574298317258</v>
      </c>
      <c r="P3965">
        <f>-583.445228821173 -88.841730844793 -423.278803758094</f>
        <v>-1095.5657634240602</v>
      </c>
      <c r="Q3965" t="s">
        <v>79924</v>
      </c>
      <c r="R3965" t="s">
        <v>79925</v>
      </c>
      <c r="S3965" t="s">
        <v>79926</v>
      </c>
      <c r="T3965" t="s">
        <v>79927</v>
      </c>
      <c r="U3965" t="s">
        <v>79928</v>
      </c>
      <c r="V3965" t="s">
        <v>79929</v>
      </c>
      <c r="W3965" t="s">
        <v>79930</v>
      </c>
      <c r="X3965" t="s">
        <v>79931</v>
      </c>
      <c r="Y3965" t="s">
        <v>79932</v>
      </c>
    </row>
    <row r="3966" spans="1:25" x14ac:dyDescent="0.3">
      <c r="A3966">
        <v>198250</v>
      </c>
      <c r="B3966" t="s">
        <v>79933</v>
      </c>
      <c r="C3966" t="s">
        <v>79934</v>
      </c>
      <c r="D3966" t="s">
        <v>79935</v>
      </c>
      <c r="E3966" t="s">
        <v>79936</v>
      </c>
      <c r="F3966" t="s">
        <v>79937</v>
      </c>
      <c r="G3966" t="s">
        <v>79938</v>
      </c>
      <c r="H3966" t="s">
        <v>79939</v>
      </c>
      <c r="I3966" t="s">
        <v>79940</v>
      </c>
      <c r="J3966" t="s">
        <v>79941</v>
      </c>
      <c r="K3966" t="s">
        <v>79942</v>
      </c>
      <c r="L3966" t="s">
        <v>79943</v>
      </c>
      <c r="M3966" t="s">
        <v>79944</v>
      </c>
      <c r="N3966" t="s">
        <v>79945</v>
      </c>
      <c r="O3966">
        <f>-560.664815918609 -90.3593075185505 -738.973259721577</f>
        <v>-1389.9973831587365</v>
      </c>
      <c r="P3966">
        <f>-583.737361993106 -88.8708457072047 -423.296719896525</f>
        <v>-1095.9049275968357</v>
      </c>
      <c r="Q3966" t="s">
        <v>79946</v>
      </c>
      <c r="R3966" t="s">
        <v>79947</v>
      </c>
      <c r="S3966" t="s">
        <v>79948</v>
      </c>
      <c r="T3966" t="s">
        <v>79949</v>
      </c>
      <c r="U3966" t="s">
        <v>79950</v>
      </c>
      <c r="V3966" t="s">
        <v>79951</v>
      </c>
      <c r="W3966" t="s">
        <v>79952</v>
      </c>
      <c r="X3966" t="s">
        <v>79953</v>
      </c>
      <c r="Y3966" t="s">
        <v>79954</v>
      </c>
    </row>
    <row r="3967" spans="1:25" x14ac:dyDescent="0.3">
      <c r="A3967">
        <v>198300</v>
      </c>
      <c r="B3967" t="s">
        <v>79955</v>
      </c>
      <c r="C3967" t="s">
        <v>79956</v>
      </c>
      <c r="D3967" t="s">
        <v>79957</v>
      </c>
      <c r="E3967" t="s">
        <v>79958</v>
      </c>
      <c r="F3967" t="s">
        <v>79959</v>
      </c>
      <c r="G3967" t="s">
        <v>79960</v>
      </c>
      <c r="H3967" t="s">
        <v>79961</v>
      </c>
      <c r="I3967" t="s">
        <v>79962</v>
      </c>
      <c r="J3967" t="s">
        <v>79963</v>
      </c>
      <c r="K3967" t="s">
        <v>79964</v>
      </c>
      <c r="L3967" t="s">
        <v>79965</v>
      </c>
      <c r="M3967" t="s">
        <v>79966</v>
      </c>
      <c r="N3967" t="s">
        <v>79967</v>
      </c>
      <c r="O3967">
        <f>-560.652495170618 -90.3153809557944 -738.984414894905</f>
        <v>-1389.9522910213173</v>
      </c>
      <c r="P3967">
        <f>-583.780107020992 -88.8661823140359 -423.311834579482</f>
        <v>-1095.95812391451</v>
      </c>
      <c r="Q3967" t="s">
        <v>79968</v>
      </c>
      <c r="R3967" t="s">
        <v>79969</v>
      </c>
      <c r="S3967" t="s">
        <v>79970</v>
      </c>
      <c r="T3967" t="s">
        <v>79971</v>
      </c>
      <c r="U3967" t="s">
        <v>79972</v>
      </c>
      <c r="V3967" t="s">
        <v>79973</v>
      </c>
      <c r="W3967" t="s">
        <v>79974</v>
      </c>
      <c r="X3967" t="s">
        <v>79975</v>
      </c>
      <c r="Y3967" t="s">
        <v>79976</v>
      </c>
    </row>
    <row r="3968" spans="1:25" x14ac:dyDescent="0.3">
      <c r="A3968">
        <v>198350</v>
      </c>
      <c r="B3968" t="s">
        <v>79977</v>
      </c>
      <c r="C3968" t="s">
        <v>79978</v>
      </c>
      <c r="D3968" t="s">
        <v>79979</v>
      </c>
      <c r="E3968" t="s">
        <v>79980</v>
      </c>
      <c r="F3968" t="s">
        <v>79981</v>
      </c>
      <c r="G3968" t="s">
        <v>79982</v>
      </c>
      <c r="H3968" t="s">
        <v>79983</v>
      </c>
      <c r="I3968" t="s">
        <v>79984</v>
      </c>
      <c r="J3968" t="s">
        <v>79985</v>
      </c>
      <c r="K3968" t="s">
        <v>79986</v>
      </c>
      <c r="L3968" t="s">
        <v>79987</v>
      </c>
      <c r="M3968" t="s">
        <v>79988</v>
      </c>
      <c r="N3968" t="s">
        <v>79989</v>
      </c>
      <c r="O3968">
        <f>-560.717499682362 -90.9312666004772 -738.988367870542</f>
        <v>-1390.6371341533813</v>
      </c>
      <c r="P3968">
        <f>-584.12808305508 -89.4016351071325 -423.336942487977</f>
        <v>-1096.8666606501895</v>
      </c>
      <c r="Q3968" t="s">
        <v>79990</v>
      </c>
      <c r="R3968" t="s">
        <v>79991</v>
      </c>
      <c r="S3968" t="s">
        <v>79992</v>
      </c>
      <c r="T3968" t="s">
        <v>79993</v>
      </c>
      <c r="U3968" t="s">
        <v>79994</v>
      </c>
      <c r="V3968" t="s">
        <v>79995</v>
      </c>
      <c r="W3968" t="s">
        <v>79996</v>
      </c>
      <c r="X3968" t="s">
        <v>79997</v>
      </c>
      <c r="Y3968" t="s">
        <v>79998</v>
      </c>
    </row>
    <row r="3969" spans="1:25" x14ac:dyDescent="0.3">
      <c r="A3969">
        <v>198400</v>
      </c>
      <c r="B3969" t="s">
        <v>79999</v>
      </c>
      <c r="C3969" t="s">
        <v>80000</v>
      </c>
      <c r="D3969" t="s">
        <v>80001</v>
      </c>
      <c r="E3969" t="s">
        <v>80002</v>
      </c>
      <c r="F3969" t="s">
        <v>80003</v>
      </c>
      <c r="G3969" t="s">
        <v>80004</v>
      </c>
      <c r="H3969" t="s">
        <v>80005</v>
      </c>
      <c r="I3969" t="s">
        <v>80006</v>
      </c>
      <c r="J3969" t="s">
        <v>80007</v>
      </c>
      <c r="K3969" t="s">
        <v>80008</v>
      </c>
      <c r="L3969" t="s">
        <v>80009</v>
      </c>
      <c r="M3969" t="s">
        <v>80010</v>
      </c>
      <c r="N3969" t="s">
        <v>80011</v>
      </c>
      <c r="O3969">
        <f>-560.773541826225 -91.0696706802094 -739.005756565787</f>
        <v>-1390.8489690722213</v>
      </c>
      <c r="P3969">
        <f>-584.228350280667 -89.4587351772282 -423.358069550787</f>
        <v>-1097.0451550086821</v>
      </c>
      <c r="Q3969" t="s">
        <v>80012</v>
      </c>
      <c r="R3969" t="s">
        <v>80013</v>
      </c>
      <c r="S3969" t="s">
        <v>80014</v>
      </c>
      <c r="T3969" t="s">
        <v>80015</v>
      </c>
      <c r="U3969" t="s">
        <v>80016</v>
      </c>
      <c r="V3969" t="s">
        <v>80017</v>
      </c>
      <c r="W3969" t="s">
        <v>80018</v>
      </c>
      <c r="X3969" t="s">
        <v>80019</v>
      </c>
      <c r="Y3969" t="s">
        <v>80020</v>
      </c>
    </row>
    <row r="3970" spans="1:25" x14ac:dyDescent="0.3">
      <c r="A3970">
        <v>198450</v>
      </c>
      <c r="B3970" t="s">
        <v>80021</v>
      </c>
      <c r="C3970" t="s">
        <v>80022</v>
      </c>
      <c r="D3970" t="s">
        <v>80023</v>
      </c>
      <c r="E3970" t="s">
        <v>80024</v>
      </c>
      <c r="F3970" t="s">
        <v>80025</v>
      </c>
      <c r="G3970" t="s">
        <v>80026</v>
      </c>
      <c r="H3970" t="s">
        <v>80027</v>
      </c>
      <c r="I3970" t="s">
        <v>80028</v>
      </c>
      <c r="J3970" t="s">
        <v>80029</v>
      </c>
      <c r="K3970" t="s">
        <v>80030</v>
      </c>
      <c r="L3970" t="s">
        <v>80031</v>
      </c>
      <c r="M3970" t="s">
        <v>80032</v>
      </c>
      <c r="N3970" t="s">
        <v>80033</v>
      </c>
      <c r="O3970">
        <f>-560.943200316486 -91.4041583631891 -739.038213716964</f>
        <v>-1391.3855723966392</v>
      </c>
      <c r="P3970">
        <f>-584.610739789466 -89.6675070173174 -423.407055332178</f>
        <v>-1097.6853021389616</v>
      </c>
      <c r="Q3970" t="s">
        <v>80034</v>
      </c>
      <c r="R3970" t="s">
        <v>80035</v>
      </c>
      <c r="S3970" t="s">
        <v>80036</v>
      </c>
      <c r="T3970" t="s">
        <v>80037</v>
      </c>
      <c r="U3970" t="s">
        <v>80038</v>
      </c>
      <c r="V3970" t="s">
        <v>80039</v>
      </c>
      <c r="W3970" t="s">
        <v>80040</v>
      </c>
      <c r="X3970" t="s">
        <v>80041</v>
      </c>
      <c r="Y3970" t="s">
        <v>80042</v>
      </c>
    </row>
    <row r="3971" spans="1:25" x14ac:dyDescent="0.3">
      <c r="A3971">
        <v>198500</v>
      </c>
      <c r="B3971" t="s">
        <v>80043</v>
      </c>
      <c r="C3971" t="s">
        <v>80044</v>
      </c>
      <c r="D3971" t="s">
        <v>80045</v>
      </c>
      <c r="E3971" t="s">
        <v>80046</v>
      </c>
      <c r="F3971" t="s">
        <v>80047</v>
      </c>
      <c r="G3971" t="s">
        <v>80048</v>
      </c>
      <c r="H3971" t="s">
        <v>80049</v>
      </c>
      <c r="I3971" t="s">
        <v>80050</v>
      </c>
      <c r="J3971" t="s">
        <v>80051</v>
      </c>
      <c r="K3971" t="s">
        <v>80052</v>
      </c>
      <c r="L3971" t="s">
        <v>80053</v>
      </c>
      <c r="M3971" t="s">
        <v>80054</v>
      </c>
      <c r="N3971" t="s">
        <v>80055</v>
      </c>
      <c r="O3971">
        <f>-560.903644079162 -91.7015417640952 -739.035635016362</f>
        <v>-1391.640820859619</v>
      </c>
      <c r="P3971">
        <f>-584.743980118858 -89.8928219821805 -423.417914308828</f>
        <v>-1098.0547164098666</v>
      </c>
      <c r="Q3971" t="s">
        <v>80056</v>
      </c>
      <c r="R3971" t="s">
        <v>80057</v>
      </c>
      <c r="S3971" t="s">
        <v>80058</v>
      </c>
      <c r="T3971" t="s">
        <v>80059</v>
      </c>
      <c r="U3971" t="s">
        <v>80060</v>
      </c>
      <c r="V3971" t="s">
        <v>80061</v>
      </c>
      <c r="W3971" t="s">
        <v>80062</v>
      </c>
      <c r="X3971" t="s">
        <v>80063</v>
      </c>
      <c r="Y3971" t="s">
        <v>80064</v>
      </c>
    </row>
    <row r="3972" spans="1:25" x14ac:dyDescent="0.3">
      <c r="A3972">
        <v>198550</v>
      </c>
      <c r="B3972" t="s">
        <v>80065</v>
      </c>
      <c r="C3972" t="s">
        <v>80066</v>
      </c>
      <c r="D3972" t="s">
        <v>80067</v>
      </c>
      <c r="E3972" t="s">
        <v>80068</v>
      </c>
      <c r="F3972" t="s">
        <v>80069</v>
      </c>
      <c r="G3972" t="s">
        <v>80070</v>
      </c>
      <c r="H3972" t="s">
        <v>80071</v>
      </c>
      <c r="I3972" t="s">
        <v>80072</v>
      </c>
      <c r="J3972" t="s">
        <v>80073</v>
      </c>
      <c r="K3972" t="s">
        <v>80074</v>
      </c>
      <c r="L3972" t="s">
        <v>80075</v>
      </c>
      <c r="M3972" t="s">
        <v>80076</v>
      </c>
      <c r="N3972" t="s">
        <v>80077</v>
      </c>
      <c r="O3972">
        <f>-560.898984403838 -92.0739883660361 -739.105756803605</f>
        <v>-1392.078729573479</v>
      </c>
      <c r="P3972">
        <f>-585.031329010818 -90.2108352822173 -423.510561987838</f>
        <v>-1098.7527262808733</v>
      </c>
      <c r="Q3972" t="s">
        <v>80078</v>
      </c>
      <c r="R3972" t="s">
        <v>80079</v>
      </c>
      <c r="S3972" t="s">
        <v>80080</v>
      </c>
      <c r="T3972" t="s">
        <v>80081</v>
      </c>
      <c r="U3972" t="s">
        <v>80082</v>
      </c>
      <c r="V3972" t="s">
        <v>80083</v>
      </c>
      <c r="W3972" t="s">
        <v>80084</v>
      </c>
      <c r="X3972" t="s">
        <v>80085</v>
      </c>
      <c r="Y3972" t="s">
        <v>80086</v>
      </c>
    </row>
    <row r="3973" spans="1:25" x14ac:dyDescent="0.3">
      <c r="A3973">
        <v>198600</v>
      </c>
      <c r="B3973" t="s">
        <v>80087</v>
      </c>
      <c r="C3973" t="s">
        <v>80088</v>
      </c>
      <c r="D3973" t="s">
        <v>80089</v>
      </c>
      <c r="E3973" t="s">
        <v>80090</v>
      </c>
      <c r="F3973" t="s">
        <v>80091</v>
      </c>
      <c r="G3973" t="s">
        <v>80092</v>
      </c>
      <c r="H3973" t="s">
        <v>80093</v>
      </c>
      <c r="I3973" t="s">
        <v>80094</v>
      </c>
      <c r="J3973" t="s">
        <v>80095</v>
      </c>
      <c r="K3973" t="s">
        <v>80096</v>
      </c>
      <c r="L3973" t="s">
        <v>80097</v>
      </c>
      <c r="M3973" t="s">
        <v>80098</v>
      </c>
      <c r="N3973" t="s">
        <v>80099</v>
      </c>
      <c r="O3973">
        <f>-560.799969532997 -92.3560677410402 -739.123467789261</f>
        <v>-1392.2795050632981</v>
      </c>
      <c r="P3973">
        <f>-585.107851793004 -90.4160004810958 -423.542221890238</f>
        <v>-1099.0660741643378</v>
      </c>
      <c r="Q3973" t="s">
        <v>80100</v>
      </c>
      <c r="R3973" t="s">
        <v>80101</v>
      </c>
      <c r="S3973" t="s">
        <v>80102</v>
      </c>
      <c r="T3973" t="s">
        <v>80103</v>
      </c>
      <c r="U3973" t="s">
        <v>80104</v>
      </c>
      <c r="V3973" t="s">
        <v>80105</v>
      </c>
      <c r="W3973" t="s">
        <v>80106</v>
      </c>
      <c r="X3973" t="s">
        <v>80107</v>
      </c>
      <c r="Y3973" t="s">
        <v>80108</v>
      </c>
    </row>
    <row r="3974" spans="1:25" x14ac:dyDescent="0.3">
      <c r="A3974">
        <v>198650</v>
      </c>
      <c r="B3974" t="s">
        <v>80109</v>
      </c>
      <c r="C3974" t="s">
        <v>80110</v>
      </c>
      <c r="D3974" t="s">
        <v>80111</v>
      </c>
      <c r="E3974" t="s">
        <v>80112</v>
      </c>
      <c r="F3974" t="s">
        <v>80113</v>
      </c>
      <c r="G3974" t="s">
        <v>80114</v>
      </c>
      <c r="H3974" t="s">
        <v>80115</v>
      </c>
      <c r="I3974" t="s">
        <v>80116</v>
      </c>
      <c r="J3974" t="s">
        <v>80117</v>
      </c>
      <c r="K3974" t="s">
        <v>80118</v>
      </c>
      <c r="L3974" t="s">
        <v>80119</v>
      </c>
      <c r="M3974" t="s">
        <v>80120</v>
      </c>
      <c r="N3974" t="s">
        <v>80121</v>
      </c>
      <c r="O3974">
        <f>-560.578314735236 -93.099523083505 -739.146052485144</f>
        <v>-1392.823890303885</v>
      </c>
      <c r="P3974">
        <f>-584.988567379959 -91.0915443933981 -423.57315059634</f>
        <v>-1099.6532623696971</v>
      </c>
      <c r="Q3974" t="s">
        <v>80122</v>
      </c>
      <c r="R3974" t="s">
        <v>80123</v>
      </c>
      <c r="S3974" t="s">
        <v>80124</v>
      </c>
      <c r="T3974" t="s">
        <v>80125</v>
      </c>
      <c r="U3974" t="s">
        <v>80126</v>
      </c>
      <c r="V3974" t="s">
        <v>80127</v>
      </c>
      <c r="W3974" t="s">
        <v>80128</v>
      </c>
      <c r="X3974" t="s">
        <v>80129</v>
      </c>
      <c r="Y3974" t="s">
        <v>80130</v>
      </c>
    </row>
    <row r="3975" spans="1:25" x14ac:dyDescent="0.3">
      <c r="A3975">
        <v>198700</v>
      </c>
      <c r="B3975" t="s">
        <v>80131</v>
      </c>
      <c r="C3975" t="s">
        <v>80132</v>
      </c>
      <c r="D3975" t="s">
        <v>80133</v>
      </c>
      <c r="E3975" t="s">
        <v>80134</v>
      </c>
      <c r="F3975" t="s">
        <v>80135</v>
      </c>
      <c r="G3975" t="s">
        <v>80136</v>
      </c>
      <c r="H3975" t="s">
        <v>80137</v>
      </c>
      <c r="I3975" t="s">
        <v>80138</v>
      </c>
      <c r="J3975" t="s">
        <v>80139</v>
      </c>
      <c r="K3975" t="s">
        <v>80140</v>
      </c>
      <c r="L3975" t="s">
        <v>80141</v>
      </c>
      <c r="M3975" t="s">
        <v>80142</v>
      </c>
      <c r="N3975" t="s">
        <v>80143</v>
      </c>
      <c r="O3975">
        <f>-560.419438037721 -93.3960146278876 -739.144488199202</f>
        <v>-1392.9599408648105</v>
      </c>
      <c r="P3975">
        <f>-584.904550668757 -91.3787189261876 -423.577261922237</f>
        <v>-1099.8605315171817</v>
      </c>
      <c r="Q3975" t="s">
        <v>80144</v>
      </c>
      <c r="R3975" t="s">
        <v>80145</v>
      </c>
      <c r="S3975" t="s">
        <v>80146</v>
      </c>
      <c r="T3975" t="s">
        <v>80147</v>
      </c>
      <c r="U3975" t="s">
        <v>80148</v>
      </c>
      <c r="V3975" t="s">
        <v>80149</v>
      </c>
      <c r="W3975" t="s">
        <v>80150</v>
      </c>
      <c r="X3975" t="s">
        <v>80151</v>
      </c>
      <c r="Y3975" t="s">
        <v>80152</v>
      </c>
    </row>
    <row r="3976" spans="1:25" x14ac:dyDescent="0.3">
      <c r="A3976">
        <v>198750</v>
      </c>
      <c r="B3976" t="s">
        <v>80153</v>
      </c>
      <c r="C3976" t="s">
        <v>80154</v>
      </c>
      <c r="D3976" t="s">
        <v>80155</v>
      </c>
      <c r="E3976" t="s">
        <v>80156</v>
      </c>
      <c r="F3976" t="s">
        <v>80157</v>
      </c>
      <c r="G3976" t="s">
        <v>80158</v>
      </c>
      <c r="H3976" t="s">
        <v>80159</v>
      </c>
      <c r="I3976" t="s">
        <v>80160</v>
      </c>
      <c r="J3976" t="s">
        <v>80161</v>
      </c>
      <c r="K3976" t="s">
        <v>80162</v>
      </c>
      <c r="L3976" t="s">
        <v>80163</v>
      </c>
      <c r="M3976" t="s">
        <v>80164</v>
      </c>
      <c r="N3976" t="s">
        <v>80165</v>
      </c>
      <c r="O3976">
        <f>-559.808443336353 -94.1863646329489 -739.140068079764</f>
        <v>-1393.134876049066</v>
      </c>
      <c r="P3976">
        <f>-584.403834522942 -92.1979403742029 -423.581356965144</f>
        <v>-1100.183131862289</v>
      </c>
      <c r="Q3976" t="s">
        <v>80166</v>
      </c>
      <c r="R3976" t="s">
        <v>80167</v>
      </c>
      <c r="S3976" t="s">
        <v>80168</v>
      </c>
      <c r="T3976" t="s">
        <v>80169</v>
      </c>
      <c r="U3976" t="s">
        <v>80170</v>
      </c>
      <c r="V3976" t="s">
        <v>80171</v>
      </c>
      <c r="W3976" t="s">
        <v>80172</v>
      </c>
      <c r="X3976" t="s">
        <v>80173</v>
      </c>
      <c r="Y3976" t="s">
        <v>80174</v>
      </c>
    </row>
    <row r="3977" spans="1:25" x14ac:dyDescent="0.3">
      <c r="A3977">
        <v>198800</v>
      </c>
      <c r="B3977" t="s">
        <v>80175</v>
      </c>
      <c r="C3977" t="s">
        <v>80176</v>
      </c>
      <c r="D3977" t="s">
        <v>80177</v>
      </c>
      <c r="E3977" t="s">
        <v>80178</v>
      </c>
      <c r="F3977" t="s">
        <v>80179</v>
      </c>
      <c r="G3977" t="s">
        <v>80180</v>
      </c>
      <c r="H3977" t="s">
        <v>80181</v>
      </c>
      <c r="I3977" t="s">
        <v>80182</v>
      </c>
      <c r="J3977" t="s">
        <v>80183</v>
      </c>
      <c r="K3977" t="s">
        <v>80184</v>
      </c>
      <c r="L3977" t="s">
        <v>80185</v>
      </c>
      <c r="M3977" t="s">
        <v>80186</v>
      </c>
      <c r="N3977" t="s">
        <v>80187</v>
      </c>
      <c r="O3977">
        <f>-559.469931071101 -94.6232231245391 -739.109586937608</f>
        <v>-1393.2027411332481</v>
      </c>
      <c r="P3977">
        <f>-584.090407365608 -92.6583650923434 -423.552600693699</f>
        <v>-1100.3013731516503</v>
      </c>
      <c r="Q3977" t="s">
        <v>80188</v>
      </c>
      <c r="R3977" t="s">
        <v>80189</v>
      </c>
      <c r="S3977" t="s">
        <v>80190</v>
      </c>
      <c r="T3977" t="s">
        <v>80191</v>
      </c>
      <c r="U3977" t="s">
        <v>80192</v>
      </c>
      <c r="V3977" t="s">
        <v>80193</v>
      </c>
      <c r="W3977" t="s">
        <v>80194</v>
      </c>
      <c r="X3977" t="s">
        <v>80195</v>
      </c>
      <c r="Y3977" t="s">
        <v>80196</v>
      </c>
    </row>
    <row r="3978" spans="1:25" x14ac:dyDescent="0.3">
      <c r="A3978">
        <v>198850</v>
      </c>
      <c r="B3978" t="s">
        <v>80197</v>
      </c>
      <c r="C3978" t="s">
        <v>80198</v>
      </c>
      <c r="D3978" t="s">
        <v>80199</v>
      </c>
      <c r="E3978" t="s">
        <v>80200</v>
      </c>
      <c r="F3978" t="s">
        <v>80201</v>
      </c>
      <c r="G3978" t="s">
        <v>80202</v>
      </c>
      <c r="H3978" t="s">
        <v>80203</v>
      </c>
      <c r="I3978" t="s">
        <v>80204</v>
      </c>
      <c r="J3978" t="s">
        <v>80205</v>
      </c>
      <c r="K3978" t="s">
        <v>80206</v>
      </c>
      <c r="L3978" t="s">
        <v>80207</v>
      </c>
      <c r="M3978" t="s">
        <v>80208</v>
      </c>
      <c r="N3978" t="s">
        <v>80209</v>
      </c>
      <c r="O3978">
        <f>-559.266319039324 -95.0421283750868 -739.087048441068</f>
        <v>-1393.3954958554787</v>
      </c>
      <c r="P3978">
        <f>-584.004511258364 -93.0578473204625 -423.539496453837</f>
        <v>-1100.6018550326635</v>
      </c>
      <c r="Q3978" t="s">
        <v>80210</v>
      </c>
      <c r="R3978" t="s">
        <v>80211</v>
      </c>
      <c r="S3978" t="s">
        <v>80212</v>
      </c>
      <c r="T3978" t="s">
        <v>80213</v>
      </c>
      <c r="U3978" t="s">
        <v>80214</v>
      </c>
      <c r="V3978" t="s">
        <v>80215</v>
      </c>
      <c r="W3978" t="s">
        <v>80216</v>
      </c>
      <c r="X3978" t="s">
        <v>80217</v>
      </c>
      <c r="Y3978" t="s">
        <v>80218</v>
      </c>
    </row>
    <row r="3979" spans="1:25" x14ac:dyDescent="0.3">
      <c r="A3979">
        <v>198900</v>
      </c>
      <c r="B3979" t="s">
        <v>80219</v>
      </c>
      <c r="C3979" t="s">
        <v>80220</v>
      </c>
      <c r="D3979" t="s">
        <v>80221</v>
      </c>
      <c r="E3979" t="s">
        <v>80222</v>
      </c>
      <c r="F3979" t="s">
        <v>80223</v>
      </c>
      <c r="G3979" t="s">
        <v>80224</v>
      </c>
      <c r="H3979" t="s">
        <v>80225</v>
      </c>
      <c r="I3979" t="s">
        <v>80226</v>
      </c>
      <c r="J3979" t="s">
        <v>80227</v>
      </c>
      <c r="K3979" t="s">
        <v>80228</v>
      </c>
      <c r="L3979" t="s">
        <v>80229</v>
      </c>
      <c r="M3979" t="s">
        <v>80230</v>
      </c>
      <c r="N3979" t="s">
        <v>80231</v>
      </c>
      <c r="O3979">
        <f>-558.696812148974 -96.2315830388394 -739.093061674652</f>
        <v>-1394.0214568624654</v>
      </c>
      <c r="P3979">
        <f>-583.541467056966 -94.1153418769183 -423.554663366097</f>
        <v>-1101.2114722999813</v>
      </c>
      <c r="Q3979" t="s">
        <v>80232</v>
      </c>
      <c r="R3979" t="s">
        <v>80233</v>
      </c>
      <c r="S3979" t="s">
        <v>80234</v>
      </c>
      <c r="T3979" t="s">
        <v>80235</v>
      </c>
      <c r="U3979" t="s">
        <v>80236</v>
      </c>
      <c r="V3979" t="s">
        <v>80237</v>
      </c>
      <c r="W3979" t="s">
        <v>80238</v>
      </c>
      <c r="X3979" t="s">
        <v>80239</v>
      </c>
      <c r="Y3979" t="s">
        <v>80240</v>
      </c>
    </row>
    <row r="3980" spans="1:25" x14ac:dyDescent="0.3">
      <c r="A3980">
        <v>198950</v>
      </c>
      <c r="B3980" t="s">
        <v>80241</v>
      </c>
      <c r="C3980" t="s">
        <v>80242</v>
      </c>
      <c r="D3980" t="s">
        <v>80243</v>
      </c>
      <c r="E3980" t="s">
        <v>80244</v>
      </c>
      <c r="F3980" t="s">
        <v>80245</v>
      </c>
      <c r="G3980" t="s">
        <v>80246</v>
      </c>
      <c r="H3980" t="s">
        <v>80247</v>
      </c>
      <c r="I3980" t="s">
        <v>80248</v>
      </c>
      <c r="J3980" t="s">
        <v>80249</v>
      </c>
      <c r="K3980" t="s">
        <v>80250</v>
      </c>
      <c r="L3980" t="s">
        <v>80251</v>
      </c>
      <c r="M3980" t="s">
        <v>80252</v>
      </c>
      <c r="N3980" t="s">
        <v>80253</v>
      </c>
      <c r="O3980">
        <f>-558.255434455193 -97.6316119074765 -739.130265682754</f>
        <v>-1395.0173120454235</v>
      </c>
      <c r="P3980">
        <f>-583.065607223192 -95.5192823434512 -423.58918915897</f>
        <v>-1102.1740787256133</v>
      </c>
      <c r="Q3980" t="s">
        <v>80254</v>
      </c>
      <c r="R3980" t="s">
        <v>80255</v>
      </c>
      <c r="S3980" t="s">
        <v>80256</v>
      </c>
      <c r="T3980" t="s">
        <v>80257</v>
      </c>
      <c r="U3980" t="s">
        <v>80258</v>
      </c>
      <c r="V3980" t="s">
        <v>80259</v>
      </c>
      <c r="W3980" t="s">
        <v>80260</v>
      </c>
      <c r="X3980" t="s">
        <v>80261</v>
      </c>
      <c r="Y3980" t="s">
        <v>80262</v>
      </c>
    </row>
    <row r="3981" spans="1:25" x14ac:dyDescent="0.3">
      <c r="A3981">
        <v>199000</v>
      </c>
      <c r="B3981" t="s">
        <v>80263</v>
      </c>
      <c r="C3981" t="s">
        <v>80264</v>
      </c>
      <c r="D3981" t="s">
        <v>80265</v>
      </c>
      <c r="E3981" t="s">
        <v>80266</v>
      </c>
      <c r="F3981" t="s">
        <v>80267</v>
      </c>
      <c r="G3981" t="s">
        <v>80268</v>
      </c>
      <c r="H3981" t="s">
        <v>80269</v>
      </c>
      <c r="I3981" t="s">
        <v>80270</v>
      </c>
      <c r="J3981" t="s">
        <v>80271</v>
      </c>
      <c r="K3981" t="s">
        <v>80272</v>
      </c>
      <c r="L3981" t="s">
        <v>80273</v>
      </c>
      <c r="M3981" t="s">
        <v>80274</v>
      </c>
      <c r="N3981" t="s">
        <v>80275</v>
      </c>
      <c r="O3981">
        <f>-557.914979723 -98.8037762474223 -739.18856612907</f>
        <v>-1395.9073220994924</v>
      </c>
      <c r="P3981">
        <f>-582.736683039679 -96.6997167513695 -423.648350982642</f>
        <v>-1103.0847507736903</v>
      </c>
      <c r="Q3981" t="s">
        <v>80276</v>
      </c>
      <c r="R3981" t="s">
        <v>80277</v>
      </c>
      <c r="S3981" t="s">
        <v>80278</v>
      </c>
      <c r="T3981" t="s">
        <v>80279</v>
      </c>
      <c r="U3981" t="s">
        <v>80280</v>
      </c>
      <c r="V3981" t="s">
        <v>80281</v>
      </c>
      <c r="W3981" t="s">
        <v>80282</v>
      </c>
      <c r="X3981" t="s">
        <v>80283</v>
      </c>
      <c r="Y3981" t="s">
        <v>80284</v>
      </c>
    </row>
    <row r="3982" spans="1:25" x14ac:dyDescent="0.3">
      <c r="A3982">
        <v>199050</v>
      </c>
      <c r="B3982" t="s">
        <v>80285</v>
      </c>
      <c r="C3982" t="s">
        <v>80286</v>
      </c>
      <c r="D3982" t="s">
        <v>80287</v>
      </c>
      <c r="E3982" t="s">
        <v>80288</v>
      </c>
      <c r="F3982" t="s">
        <v>80289</v>
      </c>
      <c r="G3982" t="s">
        <v>80290</v>
      </c>
      <c r="H3982" t="s">
        <v>80291</v>
      </c>
      <c r="I3982" t="s">
        <v>80292</v>
      </c>
      <c r="J3982" t="s">
        <v>80293</v>
      </c>
      <c r="K3982" t="s">
        <v>80294</v>
      </c>
      <c r="L3982" t="s">
        <v>80295</v>
      </c>
      <c r="M3982" t="s">
        <v>80296</v>
      </c>
      <c r="N3982" t="s">
        <v>80297</v>
      </c>
      <c r="O3982">
        <f>-557.237940090322 -100.972327900597 -739.384464317937</f>
        <v>-1397.594732308856</v>
      </c>
      <c r="P3982">
        <f>-581.996874071912 -98.5292738808395 -423.841766888965</f>
        <v>-1104.3679148417164</v>
      </c>
      <c r="Q3982" t="s">
        <v>80298</v>
      </c>
      <c r="R3982" t="s">
        <v>80299</v>
      </c>
      <c r="S3982" t="s">
        <v>80300</v>
      </c>
      <c r="T3982" t="s">
        <v>80301</v>
      </c>
      <c r="U3982" t="s">
        <v>80302</v>
      </c>
      <c r="V3982" t="s">
        <v>80303</v>
      </c>
      <c r="W3982" t="s">
        <v>80304</v>
      </c>
      <c r="X3982" t="s">
        <v>80305</v>
      </c>
      <c r="Y3982" t="s">
        <v>80306</v>
      </c>
    </row>
    <row r="3983" spans="1:25" x14ac:dyDescent="0.3">
      <c r="A3983">
        <v>199100</v>
      </c>
      <c r="B3983" t="s">
        <v>80307</v>
      </c>
      <c r="C3983" t="s">
        <v>80308</v>
      </c>
      <c r="D3983" t="s">
        <v>80309</v>
      </c>
      <c r="E3983" t="s">
        <v>80310</v>
      </c>
      <c r="F3983" t="s">
        <v>80311</v>
      </c>
      <c r="G3983" t="s">
        <v>80312</v>
      </c>
      <c r="H3983" t="s">
        <v>80313</v>
      </c>
      <c r="I3983" t="s">
        <v>80314</v>
      </c>
      <c r="J3983" t="s">
        <v>80315</v>
      </c>
      <c r="K3983" t="s">
        <v>80316</v>
      </c>
      <c r="L3983" t="s">
        <v>80317</v>
      </c>
      <c r="M3983" t="s">
        <v>80318</v>
      </c>
      <c r="N3983" t="s">
        <v>80319</v>
      </c>
      <c r="O3983">
        <f>-556.95362793975 -102.398215974864 -739.444016996459</f>
        <v>-1398.7958609110731</v>
      </c>
      <c r="P3983">
        <f>-581.954757616848 -99.6605488802282 -423.922774500277</f>
        <v>-1105.5380809973533</v>
      </c>
      <c r="Q3983" t="s">
        <v>80320</v>
      </c>
      <c r="R3983" t="s">
        <v>80321</v>
      </c>
      <c r="S3983" t="s">
        <v>80322</v>
      </c>
      <c r="T3983" t="s">
        <v>80323</v>
      </c>
      <c r="U3983" t="s">
        <v>80324</v>
      </c>
      <c r="V3983" t="s">
        <v>80325</v>
      </c>
      <c r="W3983" t="s">
        <v>80326</v>
      </c>
      <c r="X3983" t="s">
        <v>80327</v>
      </c>
      <c r="Y3983" t="s">
        <v>80328</v>
      </c>
    </row>
    <row r="3984" spans="1:25" x14ac:dyDescent="0.3">
      <c r="A3984">
        <v>199150</v>
      </c>
      <c r="B3984" t="s">
        <v>80329</v>
      </c>
      <c r="C3984" t="s">
        <v>80330</v>
      </c>
      <c r="D3984" t="s">
        <v>80331</v>
      </c>
      <c r="E3984" t="s">
        <v>80332</v>
      </c>
      <c r="F3984" t="s">
        <v>80333</v>
      </c>
      <c r="G3984" t="s">
        <v>80334</v>
      </c>
      <c r="H3984" t="s">
        <v>80335</v>
      </c>
      <c r="I3984" t="s">
        <v>80336</v>
      </c>
      <c r="J3984" t="s">
        <v>80337</v>
      </c>
      <c r="K3984" t="s">
        <v>80338</v>
      </c>
      <c r="L3984" t="s">
        <v>80339</v>
      </c>
      <c r="M3984" t="s">
        <v>80340</v>
      </c>
      <c r="N3984" t="s">
        <v>80341</v>
      </c>
      <c r="O3984">
        <f>-556.269038335368 -105.433393656731 -739.774437181026</f>
        <v>-1401.4768691731251</v>
      </c>
      <c r="P3984">
        <f>-581.911889142578 -102.655768121136 -424.305055527156</f>
        <v>-1108.8727127908701</v>
      </c>
      <c r="Q3984" t="s">
        <v>80342</v>
      </c>
      <c r="R3984" t="s">
        <v>80343</v>
      </c>
      <c r="S3984" t="s">
        <v>80344</v>
      </c>
      <c r="T3984" t="s">
        <v>80345</v>
      </c>
      <c r="U3984" t="s">
        <v>80346</v>
      </c>
      <c r="V3984" t="s">
        <v>80347</v>
      </c>
      <c r="W3984" t="s">
        <v>80348</v>
      </c>
      <c r="X3984" t="s">
        <v>80349</v>
      </c>
      <c r="Y3984" t="s">
        <v>80350</v>
      </c>
    </row>
    <row r="3985" spans="1:25" x14ac:dyDescent="0.3">
      <c r="A3985">
        <v>199200</v>
      </c>
      <c r="B3985" t="s">
        <v>80351</v>
      </c>
      <c r="C3985" t="s">
        <v>80352</v>
      </c>
      <c r="D3985" t="s">
        <v>80353</v>
      </c>
      <c r="E3985" t="s">
        <v>80354</v>
      </c>
      <c r="F3985" t="s">
        <v>80355</v>
      </c>
      <c r="G3985" t="s">
        <v>80356</v>
      </c>
      <c r="H3985" t="s">
        <v>80357</v>
      </c>
      <c r="I3985" t="s">
        <v>80358</v>
      </c>
      <c r="J3985" t="s">
        <v>80359</v>
      </c>
      <c r="K3985" t="s">
        <v>80360</v>
      </c>
      <c r="L3985" t="s">
        <v>80361</v>
      </c>
      <c r="M3985" t="s">
        <v>80362</v>
      </c>
      <c r="N3985" t="s">
        <v>80363</v>
      </c>
      <c r="O3985">
        <f>-555.979839977398 -107.289811700393 -739.982608097194</f>
        <v>-1403.2522597749849</v>
      </c>
      <c r="P3985">
        <f>-581.907255883033 -104.762594815738 -424.534313078242</f>
        <v>-1111.204163777013</v>
      </c>
      <c r="Q3985" t="s">
        <v>80364</v>
      </c>
      <c r="R3985" t="s">
        <v>80365</v>
      </c>
      <c r="S3985" t="s">
        <v>80366</v>
      </c>
      <c r="T3985" t="s">
        <v>80367</v>
      </c>
      <c r="U3985" t="s">
        <v>80368</v>
      </c>
      <c r="V3985" t="s">
        <v>80369</v>
      </c>
      <c r="W3985" t="s">
        <v>80370</v>
      </c>
      <c r="X3985" t="s">
        <v>80371</v>
      </c>
      <c r="Y3985" t="s">
        <v>80372</v>
      </c>
    </row>
    <row r="3986" spans="1:25" x14ac:dyDescent="0.3">
      <c r="A3986">
        <v>199250</v>
      </c>
      <c r="B3986" t="s">
        <v>80373</v>
      </c>
      <c r="C3986" t="s">
        <v>80374</v>
      </c>
      <c r="D3986" t="s">
        <v>80375</v>
      </c>
      <c r="E3986" t="s">
        <v>80376</v>
      </c>
      <c r="F3986" t="s">
        <v>80377</v>
      </c>
      <c r="G3986" t="s">
        <v>80378</v>
      </c>
      <c r="H3986" t="s">
        <v>80379</v>
      </c>
      <c r="I3986" t="s">
        <v>80380</v>
      </c>
      <c r="J3986" t="s">
        <v>80381</v>
      </c>
      <c r="K3986" t="s">
        <v>80382</v>
      </c>
      <c r="L3986" t="s">
        <v>80383</v>
      </c>
      <c r="M3986" t="s">
        <v>80384</v>
      </c>
      <c r="N3986" t="s">
        <v>80385</v>
      </c>
      <c r="O3986">
        <f>-555.257495770431 -111.341049298348 -740.683210951202</f>
        <v>-1407.281756019981</v>
      </c>
      <c r="P3986">
        <f>-581.598906054093 -109.228355696389 -425.266167304466</f>
        <v>-1116.093429054948</v>
      </c>
      <c r="Q3986" t="s">
        <v>80386</v>
      </c>
      <c r="R3986" t="s">
        <v>80387</v>
      </c>
      <c r="S3986" t="s">
        <v>80388</v>
      </c>
      <c r="T3986" t="s">
        <v>80389</v>
      </c>
      <c r="U3986" t="s">
        <v>80390</v>
      </c>
      <c r="V3986" t="s">
        <v>80391</v>
      </c>
      <c r="W3986" t="s">
        <v>80392</v>
      </c>
      <c r="X3986" t="s">
        <v>80393</v>
      </c>
      <c r="Y3986" t="s">
        <v>80394</v>
      </c>
    </row>
    <row r="3987" spans="1:25" x14ac:dyDescent="0.3">
      <c r="A3987">
        <v>199300</v>
      </c>
      <c r="B3987" t="s">
        <v>80395</v>
      </c>
      <c r="C3987" t="s">
        <v>80396</v>
      </c>
      <c r="D3987" t="s">
        <v>80397</v>
      </c>
      <c r="E3987" t="s">
        <v>80398</v>
      </c>
      <c r="F3987" t="s">
        <v>80399</v>
      </c>
      <c r="G3987" t="s">
        <v>80400</v>
      </c>
      <c r="H3987" t="s">
        <v>80401</v>
      </c>
      <c r="I3987" t="s">
        <v>80402</v>
      </c>
      <c r="J3987" t="s">
        <v>80403</v>
      </c>
      <c r="K3987" t="s">
        <v>80404</v>
      </c>
      <c r="L3987" t="s">
        <v>80405</v>
      </c>
      <c r="M3987" t="s">
        <v>80406</v>
      </c>
      <c r="N3987" t="s">
        <v>80407</v>
      </c>
      <c r="O3987">
        <f>-554.977231462436 -113.44504759521 -741.069274897041</f>
        <v>-1409.4915539546869</v>
      </c>
      <c r="P3987">
        <f>-581.391295845643 -111.517755309727 -425.657262415592</f>
        <v>-1118.5663135709619</v>
      </c>
      <c r="Q3987" t="s">
        <v>80408</v>
      </c>
      <c r="R3987" t="s">
        <v>80409</v>
      </c>
      <c r="S3987" t="s">
        <v>80410</v>
      </c>
      <c r="T3987" t="s">
        <v>80411</v>
      </c>
      <c r="U3987" t="s">
        <v>80412</v>
      </c>
      <c r="V3987" t="s">
        <v>80413</v>
      </c>
      <c r="W3987" t="s">
        <v>80414</v>
      </c>
      <c r="X3987" t="s">
        <v>80415</v>
      </c>
      <c r="Y3987" t="s">
        <v>80416</v>
      </c>
    </row>
    <row r="3988" spans="1:25" x14ac:dyDescent="0.3">
      <c r="A3988">
        <v>199350</v>
      </c>
      <c r="B3988" t="s">
        <v>80417</v>
      </c>
      <c r="C3988" t="s">
        <v>80418</v>
      </c>
      <c r="D3988" t="s">
        <v>80419</v>
      </c>
      <c r="E3988" t="s">
        <v>80420</v>
      </c>
      <c r="F3988" t="s">
        <v>80421</v>
      </c>
      <c r="G3988" t="s">
        <v>80422</v>
      </c>
      <c r="H3988" t="s">
        <v>80423</v>
      </c>
      <c r="I3988" t="s">
        <v>80424</v>
      </c>
      <c r="J3988" t="s">
        <v>80425</v>
      </c>
      <c r="K3988" t="s">
        <v>80426</v>
      </c>
      <c r="L3988" t="s">
        <v>80427</v>
      </c>
      <c r="M3988" t="s">
        <v>80428</v>
      </c>
      <c r="N3988" t="s">
        <v>80429</v>
      </c>
      <c r="O3988">
        <f>-554.121467013299 -117.355241818009 -742.115813869385</f>
        <v>-1413.5925227006931</v>
      </c>
      <c r="P3988">
        <f>-580.971189868008 -116.116823635504 -426.737128384671</f>
        <v>-1123.825141888183</v>
      </c>
      <c r="Q3988" t="s">
        <v>80430</v>
      </c>
      <c r="R3988" t="s">
        <v>80431</v>
      </c>
      <c r="S3988" t="s">
        <v>80432</v>
      </c>
      <c r="T3988" t="s">
        <v>80433</v>
      </c>
      <c r="U3988" t="s">
        <v>80434</v>
      </c>
      <c r="V3988" t="s">
        <v>80435</v>
      </c>
      <c r="W3988" t="s">
        <v>80436</v>
      </c>
      <c r="X3988" t="s">
        <v>80437</v>
      </c>
      <c r="Y3988" t="s">
        <v>80438</v>
      </c>
    </row>
    <row r="3989" spans="1:25" x14ac:dyDescent="0.3">
      <c r="A3989">
        <v>199400</v>
      </c>
      <c r="B3989" t="s">
        <v>80439</v>
      </c>
      <c r="C3989" t="s">
        <v>80440</v>
      </c>
      <c r="D3989" t="s">
        <v>80441</v>
      </c>
      <c r="E3989" t="s">
        <v>80442</v>
      </c>
      <c r="F3989" t="s">
        <v>80443</v>
      </c>
      <c r="G3989" t="s">
        <v>80444</v>
      </c>
      <c r="H3989" t="s">
        <v>80445</v>
      </c>
      <c r="I3989" t="s">
        <v>80446</v>
      </c>
      <c r="J3989" t="s">
        <v>80447</v>
      </c>
      <c r="K3989" t="s">
        <v>80448</v>
      </c>
      <c r="L3989" t="s">
        <v>80449</v>
      </c>
      <c r="M3989" t="s">
        <v>80450</v>
      </c>
      <c r="N3989" t="s">
        <v>80451</v>
      </c>
      <c r="O3989">
        <f>-553.534357883761 -119.329684903595 -742.640265063254</f>
        <v>-1415.5043078506101</v>
      </c>
      <c r="P3989">
        <f>-580.797454000568 -118.451858320623 -427.295757600516</f>
        <v>-1126.5450699217072</v>
      </c>
      <c r="Q3989" t="s">
        <v>80452</v>
      </c>
      <c r="R3989" t="s">
        <v>80453</v>
      </c>
      <c r="S3989" t="s">
        <v>80454</v>
      </c>
      <c r="T3989" t="s">
        <v>80455</v>
      </c>
      <c r="U3989" t="s">
        <v>80456</v>
      </c>
      <c r="V3989" t="s">
        <v>80457</v>
      </c>
      <c r="W3989" t="s">
        <v>80458</v>
      </c>
      <c r="X3989" t="s">
        <v>80459</v>
      </c>
      <c r="Y3989" t="s">
        <v>80460</v>
      </c>
    </row>
    <row r="3990" spans="1:25" x14ac:dyDescent="0.3">
      <c r="A3990">
        <v>199450</v>
      </c>
      <c r="B3990" t="s">
        <v>80461</v>
      </c>
      <c r="C3990" t="s">
        <v>80462</v>
      </c>
      <c r="D3990" t="s">
        <v>80463</v>
      </c>
      <c r="E3990" t="s">
        <v>80464</v>
      </c>
      <c r="F3990" t="s">
        <v>80465</v>
      </c>
      <c r="G3990" t="s">
        <v>80466</v>
      </c>
      <c r="H3990" t="s">
        <v>80467</v>
      </c>
      <c r="I3990" t="s">
        <v>80468</v>
      </c>
      <c r="J3990" t="s">
        <v>80469</v>
      </c>
      <c r="K3990" t="s">
        <v>80470</v>
      </c>
      <c r="L3990" t="s">
        <v>80471</v>
      </c>
      <c r="M3990" t="s">
        <v>80472</v>
      </c>
      <c r="N3990" t="s">
        <v>80473</v>
      </c>
      <c r="O3990">
        <f>-552.173342048444 -123.719980618784 -743.59914766695</f>
        <v>-1419.4924703341781</v>
      </c>
      <c r="P3990">
        <f>-580.044643396422 -123.179470548884 -428.307136923463</f>
        <v>-1131.5312508687689</v>
      </c>
      <c r="Q3990">
        <f>-354.264808952983 -0.852561865857211 -469.558171543376</f>
        <v>-824.67554236221622</v>
      </c>
      <c r="R3990" t="s">
        <v>80474</v>
      </c>
      <c r="S3990" t="s">
        <v>80475</v>
      </c>
      <c r="T3990" t="s">
        <v>80476</v>
      </c>
      <c r="U3990" t="s">
        <v>80477</v>
      </c>
      <c r="V3990" t="s">
        <v>80478</v>
      </c>
      <c r="W3990" t="s">
        <v>80479</v>
      </c>
      <c r="X3990" t="s">
        <v>80480</v>
      </c>
      <c r="Y3990" t="s">
        <v>80481</v>
      </c>
    </row>
    <row r="3991" spans="1:25" x14ac:dyDescent="0.3">
      <c r="A3991">
        <v>199500</v>
      </c>
      <c r="B3991" t="s">
        <v>80482</v>
      </c>
      <c r="C3991" t="s">
        <v>80483</v>
      </c>
      <c r="D3991" t="s">
        <v>80484</v>
      </c>
      <c r="E3991" t="s">
        <v>80485</v>
      </c>
      <c r="F3991" t="s">
        <v>80486</v>
      </c>
      <c r="G3991" t="s">
        <v>80487</v>
      </c>
      <c r="H3991" t="s">
        <v>80488</v>
      </c>
      <c r="I3991" t="s">
        <v>80489</v>
      </c>
      <c r="J3991" t="s">
        <v>80490</v>
      </c>
      <c r="K3991" t="s">
        <v>80491</v>
      </c>
      <c r="L3991" t="s">
        <v>80492</v>
      </c>
      <c r="M3991" t="s">
        <v>80493</v>
      </c>
      <c r="N3991" t="s">
        <v>80494</v>
      </c>
      <c r="O3991">
        <f>-551.477706085412 -125.997744882989 -743.889308290167</f>
        <v>-1421.364759258568</v>
      </c>
      <c r="P3991">
        <f>-579.579405602133 -125.556250633472 -428.617497139922</f>
        <v>-1133.7531533755271</v>
      </c>
      <c r="Q3991">
        <f>-354.665115037645 -1.51252746162396 -469.468203872651</f>
        <v>-825.64584637192002</v>
      </c>
      <c r="R3991" t="s">
        <v>80495</v>
      </c>
      <c r="S3991" t="s">
        <v>80496</v>
      </c>
      <c r="T3991" t="s">
        <v>80497</v>
      </c>
      <c r="U3991" t="s">
        <v>80498</v>
      </c>
      <c r="V3991" t="s">
        <v>80499</v>
      </c>
      <c r="W3991" t="s">
        <v>80500</v>
      </c>
      <c r="X3991" t="s">
        <v>80501</v>
      </c>
      <c r="Y3991" t="s">
        <v>80502</v>
      </c>
    </row>
    <row r="3992" spans="1:25" x14ac:dyDescent="0.3">
      <c r="A3992">
        <v>199550</v>
      </c>
      <c r="B3992" t="s">
        <v>80503</v>
      </c>
      <c r="C3992" t="s">
        <v>80504</v>
      </c>
      <c r="D3992" t="s">
        <v>80505</v>
      </c>
      <c r="E3992" t="s">
        <v>80506</v>
      </c>
      <c r="F3992" t="s">
        <v>80507</v>
      </c>
      <c r="G3992" t="s">
        <v>80508</v>
      </c>
      <c r="H3992" t="s">
        <v>80509</v>
      </c>
      <c r="I3992" t="s">
        <v>80510</v>
      </c>
      <c r="J3992" t="s">
        <v>80511</v>
      </c>
      <c r="K3992" t="s">
        <v>80512</v>
      </c>
      <c r="L3992" t="s">
        <v>80513</v>
      </c>
      <c r="M3992" t="s">
        <v>80514</v>
      </c>
      <c r="N3992" t="s">
        <v>80515</v>
      </c>
      <c r="O3992">
        <f>-549.911252922158 -131.448524815786 -744.324383712965</f>
        <v>-1425.684161450909</v>
      </c>
      <c r="P3992">
        <f>-578.645649347337 -131.459918453684 -429.109333905192</f>
        <v>-1139.2149017062129</v>
      </c>
      <c r="Q3992">
        <f>-355.547433040427 -4.10836504691859 -469.739935943853</f>
        <v>-829.39573403119857</v>
      </c>
      <c r="R3992" t="s">
        <v>80516</v>
      </c>
      <c r="S3992" t="s">
        <v>80517</v>
      </c>
      <c r="T3992" t="s">
        <v>80518</v>
      </c>
      <c r="U3992" t="s">
        <v>80519</v>
      </c>
      <c r="V3992">
        <f>-534.94105071077 -3.45564055504543 -232.63350491974</f>
        <v>-771.0301961855555</v>
      </c>
      <c r="W3992" t="s">
        <v>80520</v>
      </c>
      <c r="X3992" t="s">
        <v>80521</v>
      </c>
      <c r="Y3992" t="s">
        <v>80522</v>
      </c>
    </row>
    <row r="3993" spans="1:25" x14ac:dyDescent="0.3">
      <c r="A3993">
        <v>199600</v>
      </c>
      <c r="B3993" t="s">
        <v>80523</v>
      </c>
      <c r="C3993" t="s">
        <v>80524</v>
      </c>
      <c r="D3993" t="s">
        <v>80525</v>
      </c>
      <c r="E3993" t="s">
        <v>80526</v>
      </c>
      <c r="F3993" t="s">
        <v>80527</v>
      </c>
      <c r="G3993" t="s">
        <v>80528</v>
      </c>
      <c r="H3993" t="s">
        <v>80529</v>
      </c>
      <c r="I3993" t="s">
        <v>80530</v>
      </c>
      <c r="J3993" t="s">
        <v>80531</v>
      </c>
      <c r="K3993" t="s">
        <v>80532</v>
      </c>
      <c r="L3993" t="s">
        <v>80533</v>
      </c>
      <c r="M3993" t="s">
        <v>80534</v>
      </c>
      <c r="N3993" t="s">
        <v>80535</v>
      </c>
      <c r="O3993">
        <f>-549.620129212929 -133.855953544178 -744.390147215461</f>
        <v>-1427.8662299725679</v>
      </c>
      <c r="P3993">
        <f>-578.700443171733 -134.269742099178 -429.207190916347</f>
        <v>-1142.177376187258</v>
      </c>
      <c r="Q3993">
        <f>-356.487766742897 -5.35311560464169 -469.754276282553</f>
        <v>-831.59515863009165</v>
      </c>
      <c r="R3993" t="s">
        <v>80536</v>
      </c>
      <c r="S3993" t="s">
        <v>80537</v>
      </c>
      <c r="T3993" t="s">
        <v>80538</v>
      </c>
      <c r="U3993" t="s">
        <v>80539</v>
      </c>
      <c r="V3993">
        <f>-535.926964004295 -6.20345786623092 -232.814762675686</f>
        <v>-774.94518454621186</v>
      </c>
      <c r="W3993" t="s">
        <v>80540</v>
      </c>
      <c r="X3993" t="s">
        <v>80541</v>
      </c>
      <c r="Y3993" t="s">
        <v>80542</v>
      </c>
    </row>
    <row r="3994" spans="1:25" x14ac:dyDescent="0.3">
      <c r="A3994">
        <v>199650</v>
      </c>
      <c r="B3994" t="s">
        <v>80543</v>
      </c>
      <c r="C3994" t="s">
        <v>80544</v>
      </c>
      <c r="D3994" t="s">
        <v>80545</v>
      </c>
      <c r="E3994" t="s">
        <v>80546</v>
      </c>
      <c r="F3994" t="s">
        <v>80547</v>
      </c>
      <c r="G3994" t="s">
        <v>80548</v>
      </c>
      <c r="H3994" t="s">
        <v>80549</v>
      </c>
      <c r="I3994" t="s">
        <v>80550</v>
      </c>
      <c r="J3994" t="s">
        <v>80551</v>
      </c>
      <c r="K3994" t="s">
        <v>80552</v>
      </c>
      <c r="L3994" t="s">
        <v>80553</v>
      </c>
      <c r="M3994" t="s">
        <v>80554</v>
      </c>
      <c r="N3994" t="s">
        <v>80555</v>
      </c>
      <c r="O3994">
        <f>-549.125483179549 -139.143286666489 -744.626694392237</f>
        <v>-1432.8954642382751</v>
      </c>
      <c r="P3994">
        <f>-578.877378350516 -140.030114676899 -429.507323639706</f>
        <v>-1148.4148166671209</v>
      </c>
      <c r="Q3994">
        <f>-358.327141661518 -8.16971602583673 -469.663030490615</f>
        <v>-836.15988817796972</v>
      </c>
      <c r="R3994" t="s">
        <v>80556</v>
      </c>
      <c r="S3994" t="s">
        <v>80557</v>
      </c>
      <c r="T3994" t="s">
        <v>80558</v>
      </c>
      <c r="U3994" t="s">
        <v>80559</v>
      </c>
      <c r="V3994">
        <f>-537.533115616683 -11.87982636852 -233.562694721258</f>
        <v>-782.97563670646093</v>
      </c>
      <c r="W3994" t="s">
        <v>80560</v>
      </c>
      <c r="X3994" t="s">
        <v>80561</v>
      </c>
      <c r="Y3994" t="s">
        <v>80562</v>
      </c>
    </row>
    <row r="3995" spans="1:25" x14ac:dyDescent="0.3">
      <c r="A3995">
        <v>199700</v>
      </c>
      <c r="B3995" t="s">
        <v>80563</v>
      </c>
      <c r="C3995" t="s">
        <v>80564</v>
      </c>
      <c r="D3995" t="s">
        <v>80565</v>
      </c>
      <c r="E3995" t="s">
        <v>80566</v>
      </c>
      <c r="F3995" t="s">
        <v>80567</v>
      </c>
      <c r="G3995" t="s">
        <v>80568</v>
      </c>
      <c r="H3995" t="s">
        <v>80569</v>
      </c>
      <c r="I3995" t="s">
        <v>80570</v>
      </c>
      <c r="J3995" t="s">
        <v>80571</v>
      </c>
      <c r="K3995" t="s">
        <v>80572</v>
      </c>
      <c r="L3995" t="s">
        <v>80573</v>
      </c>
      <c r="M3995" t="s">
        <v>80574</v>
      </c>
      <c r="N3995" t="s">
        <v>80575</v>
      </c>
      <c r="O3995">
        <f>-549.043740852751 -141.494149948489 -744.548213405709</f>
        <v>-1435.0861042069489</v>
      </c>
      <c r="P3995">
        <f>-579.105267448698 -142.276057558432 -429.457972136862</f>
        <v>-1150.8392971439921</v>
      </c>
      <c r="Q3995">
        <f>-359.087529978213 -9.35135622721661 -469.021388993588</f>
        <v>-837.46027519901759</v>
      </c>
      <c r="R3995" t="s">
        <v>80576</v>
      </c>
      <c r="S3995" t="s">
        <v>80577</v>
      </c>
      <c r="T3995" t="s">
        <v>80578</v>
      </c>
      <c r="U3995" t="s">
        <v>80579</v>
      </c>
      <c r="V3995">
        <f>-538.782027143068 -14.6779779400805 -233.86811644336</f>
        <v>-787.32812152650854</v>
      </c>
      <c r="W3995" t="s">
        <v>80580</v>
      </c>
      <c r="X3995" t="s">
        <v>80581</v>
      </c>
      <c r="Y3995" t="s">
        <v>80582</v>
      </c>
    </row>
    <row r="3996" spans="1:25" x14ac:dyDescent="0.3">
      <c r="A3996">
        <v>199750</v>
      </c>
      <c r="B3996" t="s">
        <v>80583</v>
      </c>
      <c r="C3996" t="s">
        <v>80584</v>
      </c>
      <c r="D3996" t="s">
        <v>80585</v>
      </c>
      <c r="E3996" t="s">
        <v>80586</v>
      </c>
      <c r="F3996" t="s">
        <v>80587</v>
      </c>
      <c r="G3996" t="s">
        <v>80588</v>
      </c>
      <c r="H3996" t="s">
        <v>80589</v>
      </c>
      <c r="I3996" t="s">
        <v>80590</v>
      </c>
      <c r="J3996" t="s">
        <v>80591</v>
      </c>
      <c r="K3996" t="s">
        <v>80592</v>
      </c>
      <c r="L3996" t="s">
        <v>80593</v>
      </c>
      <c r="M3996" t="s">
        <v>80594</v>
      </c>
      <c r="N3996">
        <f>-557.614214939252 -2.36985971730414 -775.800008182402</f>
        <v>-1335.7840828389581</v>
      </c>
      <c r="O3996">
        <f>-549.530362750724 -145.754324897545 -744.192865898972</f>
        <v>-1439.4775535472409</v>
      </c>
      <c r="P3996">
        <f>-579.88417834113 -145.676675435913 -429.129645106735</f>
        <v>-1154.690498883778</v>
      </c>
      <c r="Q3996">
        <f>-360.711644147033 -10.8245072457871 -466.817262945444</f>
        <v>-838.35341433826409</v>
      </c>
      <c r="R3996" t="s">
        <v>80595</v>
      </c>
      <c r="S3996" t="s">
        <v>80596</v>
      </c>
      <c r="T3996" t="s">
        <v>80597</v>
      </c>
      <c r="U3996" t="s">
        <v>80598</v>
      </c>
      <c r="V3996">
        <f>-541.521335563684 -20.0646166615582 -234.350099020565</f>
        <v>-795.93605124580722</v>
      </c>
      <c r="W3996" t="s">
        <v>80599</v>
      </c>
      <c r="X3996" t="s">
        <v>80600</v>
      </c>
      <c r="Y3996" t="s">
        <v>80601</v>
      </c>
    </row>
    <row r="3997" spans="1:25" x14ac:dyDescent="0.3">
      <c r="A3997">
        <v>199800</v>
      </c>
      <c r="B3997" t="s">
        <v>80602</v>
      </c>
      <c r="C3997" t="s">
        <v>80603</v>
      </c>
      <c r="D3997" t="s">
        <v>80604</v>
      </c>
      <c r="E3997" t="s">
        <v>80605</v>
      </c>
      <c r="F3997" t="s">
        <v>80606</v>
      </c>
      <c r="G3997" t="s">
        <v>80607</v>
      </c>
      <c r="H3997" t="s">
        <v>80608</v>
      </c>
      <c r="I3997" t="s">
        <v>80609</v>
      </c>
      <c r="J3997" t="s">
        <v>80610</v>
      </c>
      <c r="K3997" t="s">
        <v>80611</v>
      </c>
      <c r="L3997" t="s">
        <v>80612</v>
      </c>
      <c r="M3997" t="s">
        <v>80613</v>
      </c>
      <c r="N3997">
        <f>-558.238020919935 -4.85321067056284 -775.656496200712</f>
        <v>-1338.7477277912099</v>
      </c>
      <c r="O3997">
        <f>-549.360322853093 -148.12571271936 -743.871262888489</f>
        <v>-1441.3572984609418</v>
      </c>
      <c r="P3997">
        <f>-580.005560914904 -147.368453571179 -428.837175540104</f>
        <v>-1156.2111900261871</v>
      </c>
      <c r="Q3997">
        <f>-361.014916606342 -12.145625792592 -466.253189611848</f>
        <v>-839.41373201078204</v>
      </c>
      <c r="R3997" t="s">
        <v>80614</v>
      </c>
      <c r="S3997" t="s">
        <v>80615</v>
      </c>
      <c r="T3997" t="s">
        <v>80616</v>
      </c>
      <c r="U3997" t="s">
        <v>80617</v>
      </c>
      <c r="V3997">
        <f>-542.849384237731 -22.6854779150236 -234.405940170173</f>
        <v>-799.94080232292765</v>
      </c>
      <c r="W3997" t="s">
        <v>80618</v>
      </c>
      <c r="X3997" t="s">
        <v>80619</v>
      </c>
      <c r="Y3997" t="s">
        <v>80620</v>
      </c>
    </row>
    <row r="3998" spans="1:25" x14ac:dyDescent="0.3">
      <c r="A3998">
        <v>199850</v>
      </c>
      <c r="B3998" t="s">
        <v>80621</v>
      </c>
      <c r="C3998" t="s">
        <v>80622</v>
      </c>
      <c r="D3998" t="s">
        <v>80623</v>
      </c>
      <c r="E3998" t="s">
        <v>80624</v>
      </c>
      <c r="F3998" t="s">
        <v>80625</v>
      </c>
      <c r="G3998" t="s">
        <v>80626</v>
      </c>
      <c r="H3998" t="s">
        <v>80627</v>
      </c>
      <c r="I3998" t="s">
        <v>80628</v>
      </c>
      <c r="J3998" t="s">
        <v>80629</v>
      </c>
      <c r="K3998" t="s">
        <v>80630</v>
      </c>
      <c r="L3998" t="s">
        <v>80631</v>
      </c>
      <c r="M3998" t="s">
        <v>80632</v>
      </c>
      <c r="N3998">
        <f>-560.498489590859 -9.6217254736558 -775.239096691162</f>
        <v>-1345.3593117556768</v>
      </c>
      <c r="O3998">
        <f>-550.569289322874 -152.697833998136 -742.829390373733</f>
        <v>-1446.096513694743</v>
      </c>
      <c r="P3998">
        <f>-580.88393591579 -150.844163187687 -427.767887074539</f>
        <v>-1159.495986178016</v>
      </c>
      <c r="Q3998">
        <f>-362.338507199197 -15.0614535616926 -465.754919615356</f>
        <v>-843.15488037624561</v>
      </c>
      <c r="R3998" t="s">
        <v>80633</v>
      </c>
      <c r="S3998" t="s">
        <v>80634</v>
      </c>
      <c r="T3998" t="s">
        <v>80635</v>
      </c>
      <c r="U3998" t="s">
        <v>80636</v>
      </c>
      <c r="V3998">
        <f>-544.871551922337 -27.1996942227906 -234.730481004705</f>
        <v>-806.80172714983257</v>
      </c>
      <c r="W3998" t="s">
        <v>80637</v>
      </c>
      <c r="X3998" t="s">
        <v>80638</v>
      </c>
      <c r="Y3998" t="s">
        <v>80639</v>
      </c>
    </row>
    <row r="3999" spans="1:25" x14ac:dyDescent="0.3">
      <c r="A3999">
        <v>199900</v>
      </c>
      <c r="B3999" t="s">
        <v>80640</v>
      </c>
      <c r="C3999" t="s">
        <v>80641</v>
      </c>
      <c r="D3999" t="s">
        <v>80642</v>
      </c>
      <c r="E3999" t="s">
        <v>80643</v>
      </c>
      <c r="F3999" t="s">
        <v>80644</v>
      </c>
      <c r="G3999" t="s">
        <v>80645</v>
      </c>
      <c r="H3999" t="s">
        <v>80646</v>
      </c>
      <c r="I3999" t="s">
        <v>80647</v>
      </c>
      <c r="J3999" t="s">
        <v>80648</v>
      </c>
      <c r="K3999" t="s">
        <v>80649</v>
      </c>
      <c r="L3999" t="s">
        <v>80650</v>
      </c>
      <c r="M3999" t="s">
        <v>80651</v>
      </c>
      <c r="N3999">
        <f>-561.354780946875 -11.6706819736007 -775.123112758749</f>
        <v>-1348.1485756792249</v>
      </c>
      <c r="O3999">
        <f>-551.16997184642 -154.669990975349 -742.471420075366</f>
        <v>-1448.311382897135</v>
      </c>
      <c r="P3999">
        <f>-581.305923800979 -152.405877544273 -427.395390967497</f>
        <v>-1161.107192312749</v>
      </c>
      <c r="Q3999">
        <f>-363.192760662046 -16.1974776077175 -466.331090700466</f>
        <v>-845.72132897022948</v>
      </c>
      <c r="R3999" t="s">
        <v>80652</v>
      </c>
      <c r="S3999" t="s">
        <v>80653</v>
      </c>
      <c r="T3999" t="s">
        <v>80654</v>
      </c>
      <c r="U3999" t="s">
        <v>80655</v>
      </c>
      <c r="V3999">
        <f>-545.928017738279 -28.9343757192183 -234.802295071604</f>
        <v>-809.66468852910134</v>
      </c>
      <c r="W3999" t="s">
        <v>80656</v>
      </c>
      <c r="X3999" t="s">
        <v>80657</v>
      </c>
      <c r="Y3999" t="s">
        <v>80658</v>
      </c>
    </row>
    <row r="4000" spans="1:25" x14ac:dyDescent="0.3">
      <c r="A4000">
        <v>199950</v>
      </c>
      <c r="B4000" t="s">
        <v>80659</v>
      </c>
      <c r="C4000" t="s">
        <v>80660</v>
      </c>
      <c r="D4000" t="s">
        <v>80661</v>
      </c>
      <c r="E4000" t="s">
        <v>80662</v>
      </c>
      <c r="F4000" t="s">
        <v>80663</v>
      </c>
      <c r="G4000" t="s">
        <v>80664</v>
      </c>
      <c r="H4000" t="s">
        <v>80665</v>
      </c>
      <c r="I4000" t="s">
        <v>80666</v>
      </c>
      <c r="J4000" t="s">
        <v>80667</v>
      </c>
      <c r="K4000" t="s">
        <v>80668</v>
      </c>
      <c r="L4000" t="s">
        <v>80669</v>
      </c>
      <c r="M4000" t="s">
        <v>80670</v>
      </c>
      <c r="N4000">
        <f>-562.52127138065 -15.8858579068909 -774.604721333991</f>
        <v>-1353.0118506215319</v>
      </c>
      <c r="O4000">
        <f>-552.036299532286 -158.815205545701 -741.657328471636</f>
        <v>-1452.508833549623</v>
      </c>
      <c r="P4000">
        <f>-581.570222827607 -156.938605486309 -426.521644065263</f>
        <v>-1165.0304723791792</v>
      </c>
      <c r="Q4000">
        <f>-365.055883525865 -18.9920101923551 -468.167083784446</f>
        <v>-852.2149775026661</v>
      </c>
      <c r="R4000" t="s">
        <v>80671</v>
      </c>
      <c r="S4000" t="s">
        <v>80672</v>
      </c>
      <c r="T4000" t="s">
        <v>80673</v>
      </c>
      <c r="U4000" t="s">
        <v>80674</v>
      </c>
      <c r="V4000">
        <f>-548.026792531465 -32.1317334292357 -234.386870638928</f>
        <v>-814.54539659962882</v>
      </c>
      <c r="W4000" t="s">
        <v>80675</v>
      </c>
      <c r="X4000" t="s">
        <v>80676</v>
      </c>
      <c r="Y4000" t="s">
        <v>80677</v>
      </c>
    </row>
    <row r="4001" spans="1:25" x14ac:dyDescent="0.3">
      <c r="A4001">
        <v>200000</v>
      </c>
      <c r="B4001" t="s">
        <v>80678</v>
      </c>
      <c r="C4001" t="s">
        <v>80679</v>
      </c>
      <c r="D4001" t="s">
        <v>80680</v>
      </c>
      <c r="E4001" t="s">
        <v>80681</v>
      </c>
      <c r="F4001" t="s">
        <v>80682</v>
      </c>
      <c r="G4001" t="s">
        <v>80683</v>
      </c>
      <c r="H4001" t="s">
        <v>80684</v>
      </c>
      <c r="I4001" t="s">
        <v>80685</v>
      </c>
      <c r="J4001" t="s">
        <v>80686</v>
      </c>
      <c r="K4001" t="s">
        <v>80687</v>
      </c>
      <c r="L4001" t="s">
        <v>80688</v>
      </c>
      <c r="M4001" t="s">
        <v>80689</v>
      </c>
      <c r="N4001">
        <f>-563.418370961446 -17.1483498977059 -774.332158280917</f>
        <v>-1354.8988791400689</v>
      </c>
      <c r="O4001">
        <f>-553.016586114561 -160.07057674992 -741.292473703166</f>
        <v>-1454.3796365676471</v>
      </c>
      <c r="P4001">
        <f>-581.590089744361 -158.482150212983 -426.066752963198</f>
        <v>-1166.138992920542</v>
      </c>
      <c r="Q4001">
        <f>-365.140625383518 -20.6296564844014 -468.356043974837</f>
        <v>-854.12632584275639</v>
      </c>
      <c r="R4001" t="s">
        <v>80690</v>
      </c>
      <c r="S4001" t="s">
        <v>80691</v>
      </c>
      <c r="T4001" t="s">
        <v>80692</v>
      </c>
      <c r="U4001" t="s">
        <v>80693</v>
      </c>
      <c r="V4001">
        <f>-548.662232655235 -33.0071088839908 -234.070160959321</f>
        <v>-815.73950249854681</v>
      </c>
      <c r="W4001" t="s">
        <v>80694</v>
      </c>
      <c r="X4001" t="s">
        <v>80695</v>
      </c>
      <c r="Y4001" t="s">
        <v>80696</v>
      </c>
    </row>
    <row r="4002" spans="1:25" x14ac:dyDescent="0.3">
      <c r="A4002">
        <v>200050</v>
      </c>
      <c r="B4002" t="s">
        <v>80697</v>
      </c>
      <c r="C4002" t="s">
        <v>80698</v>
      </c>
      <c r="D4002" t="s">
        <v>80699</v>
      </c>
      <c r="E4002" t="s">
        <v>80700</v>
      </c>
      <c r="F4002" t="s">
        <v>80701</v>
      </c>
      <c r="G4002" t="s">
        <v>80702</v>
      </c>
      <c r="H4002" t="s">
        <v>80703</v>
      </c>
      <c r="I4002" t="s">
        <v>80704</v>
      </c>
      <c r="J4002" t="s">
        <v>80705</v>
      </c>
      <c r="K4002" t="s">
        <v>80706</v>
      </c>
      <c r="L4002" t="s">
        <v>80707</v>
      </c>
      <c r="M4002" t="s">
        <v>80708</v>
      </c>
      <c r="N4002">
        <f>-564.616302306366 -19.2320102620948 -773.462971579507</f>
        <v>-1357.3112841479679</v>
      </c>
      <c r="O4002">
        <f>-554.649706768354 -162.16251714451 -740.422906557464</f>
        <v>-1457.2351304703279</v>
      </c>
      <c r="P4002">
        <f>-582.004852637578 -161.460038224431 -425.086052488666</f>
        <v>-1168.550943350675</v>
      </c>
      <c r="Q4002">
        <f>-364.53441064458 -25.6954367260824 -468.865565174265</f>
        <v>-859.0954125449274</v>
      </c>
      <c r="R4002" t="s">
        <v>80709</v>
      </c>
      <c r="S4002" t="s">
        <v>80710</v>
      </c>
      <c r="T4002" t="s">
        <v>80711</v>
      </c>
      <c r="U4002" t="s">
        <v>80712</v>
      </c>
      <c r="V4002">
        <f>-549.323208334338 -34.3752442569162 -233.007198331514</f>
        <v>-816.7056509227682</v>
      </c>
      <c r="W4002" t="s">
        <v>80713</v>
      </c>
      <c r="X4002" t="s">
        <v>80714</v>
      </c>
      <c r="Y4002" t="s">
        <v>80715</v>
      </c>
    </row>
    <row r="4003" spans="1:25" x14ac:dyDescent="0.3">
      <c r="A4003">
        <v>200100</v>
      </c>
      <c r="B4003" t="s">
        <v>80716</v>
      </c>
      <c r="C4003" t="s">
        <v>80717</v>
      </c>
      <c r="D4003" t="s">
        <v>80718</v>
      </c>
      <c r="E4003" t="s">
        <v>80719</v>
      </c>
      <c r="F4003" t="s">
        <v>80720</v>
      </c>
      <c r="G4003" t="s">
        <v>80721</v>
      </c>
      <c r="H4003" t="s">
        <v>80722</v>
      </c>
      <c r="I4003" t="s">
        <v>80723</v>
      </c>
      <c r="J4003" t="s">
        <v>80724</v>
      </c>
      <c r="K4003" t="s">
        <v>80725</v>
      </c>
      <c r="L4003" t="s">
        <v>80726</v>
      </c>
      <c r="M4003" t="s">
        <v>80727</v>
      </c>
      <c r="N4003">
        <f>-565.114441010576 -19.5330315318995 -773.086579409889</f>
        <v>-1357.7340519523646</v>
      </c>
      <c r="O4003">
        <f>-555.56294029143 -162.536894517639 -740.125031741118</f>
        <v>-1458.224866550187</v>
      </c>
      <c r="P4003">
        <f>-582.479509463267 -162.411119518947 -424.749592956328</f>
        <v>-1169.640221938542</v>
      </c>
      <c r="Q4003">
        <f>-363.987986092346 -28.1423220068971 -468.055427795714</f>
        <v>-860.18573589495713</v>
      </c>
      <c r="R4003" t="s">
        <v>80728</v>
      </c>
      <c r="S4003" t="s">
        <v>80729</v>
      </c>
      <c r="T4003" t="s">
        <v>80730</v>
      </c>
      <c r="U4003" t="s">
        <v>80731</v>
      </c>
      <c r="V4003">
        <f>-549.236319860946 -34.1069231304088 -232.494826829769</f>
        <v>-815.83806982112378</v>
      </c>
      <c r="W4003" t="s">
        <v>80732</v>
      </c>
      <c r="X4003" t="s">
        <v>80733</v>
      </c>
      <c r="Y4003" t="s">
        <v>80734</v>
      </c>
    </row>
    <row r="4004" spans="1:25" x14ac:dyDescent="0.3">
      <c r="A4004">
        <v>200150</v>
      </c>
      <c r="B4004" t="s">
        <v>80735</v>
      </c>
      <c r="C4004" t="s">
        <v>80736</v>
      </c>
      <c r="D4004" t="s">
        <v>80737</v>
      </c>
      <c r="E4004" t="s">
        <v>80738</v>
      </c>
      <c r="F4004" t="s">
        <v>80739</v>
      </c>
      <c r="G4004" t="s">
        <v>80740</v>
      </c>
      <c r="H4004" t="s">
        <v>80741</v>
      </c>
      <c r="I4004" t="s">
        <v>80742</v>
      </c>
      <c r="J4004" t="s">
        <v>80743</v>
      </c>
      <c r="K4004" t="s">
        <v>80744</v>
      </c>
      <c r="L4004" t="s">
        <v>80745</v>
      </c>
      <c r="M4004" t="s">
        <v>80746</v>
      </c>
      <c r="N4004">
        <f>-564.835228629189 -19.987224600849 -772.398101089843</f>
        <v>-1357.2205543198811</v>
      </c>
      <c r="O4004">
        <f>-555.570915963087 -162.932925255567 -739.298792744536</f>
        <v>-1457.8026339631901</v>
      </c>
      <c r="P4004">
        <f>-582.706294525843 -162.366915612865 -423.94258322915</f>
        <v>-1169.0157933678579</v>
      </c>
      <c r="Q4004">
        <f>-360.642648603101 -33.4820936457904 -465.397355387972</f>
        <v>-859.52209763686346</v>
      </c>
      <c r="R4004" t="s">
        <v>80747</v>
      </c>
      <c r="S4004" t="s">
        <v>80748</v>
      </c>
      <c r="T4004" t="s">
        <v>80749</v>
      </c>
      <c r="U4004" t="s">
        <v>80750</v>
      </c>
      <c r="V4004">
        <f>-548.478542477372 -33.3012120408879 -231.536401146003</f>
        <v>-813.31615566426285</v>
      </c>
      <c r="W4004" t="s">
        <v>80751</v>
      </c>
      <c r="X4004" t="s">
        <v>80752</v>
      </c>
      <c r="Y4004" t="s">
        <v>80753</v>
      </c>
    </row>
    <row r="4005" spans="1:25" x14ac:dyDescent="0.3">
      <c r="A4005">
        <v>200200</v>
      </c>
      <c r="B4005" t="s">
        <v>80754</v>
      </c>
      <c r="C4005" t="s">
        <v>80755</v>
      </c>
      <c r="D4005" t="s">
        <v>80756</v>
      </c>
      <c r="E4005" t="s">
        <v>80757</v>
      </c>
      <c r="F4005" t="s">
        <v>80758</v>
      </c>
      <c r="G4005" t="s">
        <v>80759</v>
      </c>
      <c r="H4005" t="s">
        <v>80760</v>
      </c>
      <c r="I4005" t="s">
        <v>80761</v>
      </c>
      <c r="J4005" t="s">
        <v>80762</v>
      </c>
      <c r="K4005" t="s">
        <v>80763</v>
      </c>
      <c r="L4005" t="s">
        <v>80764</v>
      </c>
      <c r="M4005" t="s">
        <v>80765</v>
      </c>
      <c r="N4005">
        <f>-565.468798064746 -20.3036195972233 -771.927775625688</f>
        <v>-1357.7001932876574</v>
      </c>
      <c r="O4005">
        <f>-556.449683644442 -163.239409721002 -738.572480174723</f>
        <v>-1458.2615735401669</v>
      </c>
      <c r="P4005">
        <f>-583.016764771884 -161.637958135245 -423.171602650471</f>
        <v>-1167.8263255576001</v>
      </c>
      <c r="Q4005">
        <f>-357.819252978811 -38.1124300777657 -464.032140208328</f>
        <v>-859.9638232649047</v>
      </c>
      <c r="R4005" t="s">
        <v>80766</v>
      </c>
      <c r="S4005" t="s">
        <v>80767</v>
      </c>
      <c r="T4005" t="s">
        <v>80768</v>
      </c>
      <c r="U4005" t="s">
        <v>80769</v>
      </c>
      <c r="V4005">
        <f>-548.127683485126 -32.7428126454924 -231.133375831425</f>
        <v>-812.00387196204349</v>
      </c>
      <c r="W4005" t="s">
        <v>80770</v>
      </c>
      <c r="X4005" t="s">
        <v>80771</v>
      </c>
      <c r="Y4005" t="s">
        <v>80772</v>
      </c>
    </row>
    <row r="4006" spans="1:25" x14ac:dyDescent="0.3">
      <c r="A4006">
        <v>200250</v>
      </c>
      <c r="B4006" t="s">
        <v>80773</v>
      </c>
      <c r="C4006" t="s">
        <v>80774</v>
      </c>
      <c r="D4006" t="s">
        <v>80775</v>
      </c>
      <c r="E4006" t="s">
        <v>80776</v>
      </c>
      <c r="F4006" t="s">
        <v>80777</v>
      </c>
      <c r="G4006" t="s">
        <v>80778</v>
      </c>
      <c r="H4006" t="s">
        <v>80779</v>
      </c>
      <c r="I4006">
        <f>-502.918233929845 -0.839614525062522 -929.370631156825</f>
        <v>-1433.1284796117325</v>
      </c>
      <c r="J4006" t="s">
        <v>80780</v>
      </c>
      <c r="K4006" t="s">
        <v>80781</v>
      </c>
      <c r="L4006" t="s">
        <v>80782</v>
      </c>
      <c r="M4006" t="s">
        <v>80783</v>
      </c>
      <c r="N4006">
        <f>-565.790811647856 -20.93647459407 -771.468675164934</f>
        <v>-1358.1959614068601</v>
      </c>
      <c r="O4006">
        <f>-558.227958599464 -163.868281434373 -737.720850871582</f>
        <v>-1459.817090905419</v>
      </c>
      <c r="P4006">
        <f>-582.213363374728 -162.09865397704 -422.113967772936</f>
        <v>-1166.4259851247039</v>
      </c>
      <c r="Q4006">
        <f>-351.579700487818 -50.0780068198914 -465.720400548072</f>
        <v>-867.37810785578142</v>
      </c>
      <c r="R4006" t="s">
        <v>80784</v>
      </c>
      <c r="S4006" t="s">
        <v>80785</v>
      </c>
      <c r="T4006" t="s">
        <v>80786</v>
      </c>
      <c r="U4006" t="s">
        <v>80787</v>
      </c>
      <c r="V4006">
        <f>-547.011436307912 -31.7362931063776 -230.643409896161</f>
        <v>-809.39113931045063</v>
      </c>
      <c r="W4006" t="s">
        <v>80788</v>
      </c>
      <c r="X4006" t="s">
        <v>80789</v>
      </c>
      <c r="Y4006" t="s">
        <v>80790</v>
      </c>
    </row>
    <row r="4007" spans="1:25" x14ac:dyDescent="0.3">
      <c r="A4007">
        <v>200300</v>
      </c>
      <c r="B4007" t="s">
        <v>80791</v>
      </c>
      <c r="C4007" t="s">
        <v>80792</v>
      </c>
      <c r="D4007" t="s">
        <v>80793</v>
      </c>
      <c r="E4007" t="s">
        <v>80794</v>
      </c>
      <c r="F4007" t="s">
        <v>80795</v>
      </c>
      <c r="G4007" t="s">
        <v>80796</v>
      </c>
      <c r="H4007" t="s">
        <v>80797</v>
      </c>
      <c r="I4007">
        <f>-502.875000775607 -1.26031500377426 -929.00375862676</f>
        <v>-1433.1390744061414</v>
      </c>
      <c r="J4007" t="s">
        <v>80798</v>
      </c>
      <c r="K4007" t="s">
        <v>80799</v>
      </c>
      <c r="L4007" t="s">
        <v>80800</v>
      </c>
      <c r="M4007" t="s">
        <v>80801</v>
      </c>
      <c r="N4007">
        <f>-565.974911767643 -21.1419291173 -771.179142334569</f>
        <v>-1358.295983219512</v>
      </c>
      <c r="O4007">
        <f>-558.958869813698 -164.090438097821 -737.43452906582</f>
        <v>-1460.483836977339</v>
      </c>
      <c r="P4007">
        <f>-581.657609838558 -164.088473468255 -421.727431405543</f>
        <v>-1167.4735147123558</v>
      </c>
      <c r="Q4007">
        <f>-349.420246799231 -56.5593415472433 -468.045457632266</f>
        <v>-874.02504597874031</v>
      </c>
      <c r="R4007" t="s">
        <v>80802</v>
      </c>
      <c r="S4007" t="s">
        <v>80803</v>
      </c>
      <c r="T4007" t="s">
        <v>80804</v>
      </c>
      <c r="U4007" t="s">
        <v>80805</v>
      </c>
      <c r="V4007">
        <f>-546.869419692013 -31.1584858662263 -230.253598609724</f>
        <v>-808.28150416796336</v>
      </c>
      <c r="W4007" t="s">
        <v>80806</v>
      </c>
      <c r="X4007" t="s">
        <v>80807</v>
      </c>
      <c r="Y4007" t="s">
        <v>80808</v>
      </c>
    </row>
    <row r="4008" spans="1:25" x14ac:dyDescent="0.3">
      <c r="A4008">
        <v>200350</v>
      </c>
      <c r="B4008" t="s">
        <v>80809</v>
      </c>
      <c r="C4008" t="s">
        <v>80810</v>
      </c>
      <c r="D4008" t="s">
        <v>80811</v>
      </c>
      <c r="E4008" t="s">
        <v>80812</v>
      </c>
      <c r="F4008" t="s">
        <v>80813</v>
      </c>
      <c r="G4008" t="s">
        <v>80814</v>
      </c>
      <c r="H4008" t="s">
        <v>80815</v>
      </c>
      <c r="I4008">
        <f>-503.114917174676 -1.58322150135525 -928.854803754596</f>
        <v>-1433.5529424306274</v>
      </c>
      <c r="J4008" t="s">
        <v>80816</v>
      </c>
      <c r="K4008" t="s">
        <v>80817</v>
      </c>
      <c r="L4008" t="s">
        <v>80818</v>
      </c>
      <c r="M4008" t="s">
        <v>80819</v>
      </c>
      <c r="N4008">
        <f>-566.56444763907 -20.9716718625057 -771.117736178798</f>
        <v>-1358.6538556803737</v>
      </c>
      <c r="O4008">
        <f>-560.726284607017 -163.93030141033 -737.162985655362</f>
        <v>-1461.8195716727091</v>
      </c>
      <c r="P4008">
        <f>-581.030780199628 -168.316018718946 -421.323328058964</f>
        <v>-1170.6701269775381</v>
      </c>
      <c r="Q4008">
        <f>-345.919603241715 -68.0439320535287 -469.388898866456</f>
        <v>-883.35243416169965</v>
      </c>
      <c r="R4008" t="s">
        <v>80820</v>
      </c>
      <c r="S4008" t="s">
        <v>80821</v>
      </c>
      <c r="T4008" t="s">
        <v>80822</v>
      </c>
      <c r="U4008" t="s">
        <v>80823</v>
      </c>
      <c r="V4008">
        <f>-546.769264457758 -30.4856946382055 -230.282808368012</f>
        <v>-807.53776746397557</v>
      </c>
      <c r="W4008" t="s">
        <v>80824</v>
      </c>
      <c r="X4008" t="s">
        <v>80825</v>
      </c>
      <c r="Y4008" t="s">
        <v>80826</v>
      </c>
    </row>
    <row r="4009" spans="1:25" x14ac:dyDescent="0.3">
      <c r="A4009">
        <v>200400</v>
      </c>
      <c r="B4009" t="s">
        <v>80827</v>
      </c>
      <c r="C4009" t="s">
        <v>80828</v>
      </c>
      <c r="D4009" t="s">
        <v>80829</v>
      </c>
      <c r="E4009" t="s">
        <v>80830</v>
      </c>
      <c r="F4009" t="s">
        <v>80831</v>
      </c>
      <c r="G4009" t="s">
        <v>80832</v>
      </c>
      <c r="H4009" t="s">
        <v>80833</v>
      </c>
      <c r="I4009">
        <f>-502.67361538005 -1.85025607269762 -928.8814212981</f>
        <v>-1433.4052927508476</v>
      </c>
      <c r="J4009" t="s">
        <v>80834</v>
      </c>
      <c r="K4009" t="s">
        <v>80835</v>
      </c>
      <c r="L4009" t="s">
        <v>80836</v>
      </c>
      <c r="M4009" t="s">
        <v>80837</v>
      </c>
      <c r="N4009">
        <f>-566.198513514826 -20.9937715464956 -771.13804727849</f>
        <v>-1358.3303323398118</v>
      </c>
      <c r="O4009">
        <f>-560.263695406935 -163.887417783666 -736.937544770786</f>
        <v>-1461.0886579613871</v>
      </c>
      <c r="P4009">
        <f>-580.443713645894 -171.988577035712 -421.163405767854</f>
        <v>-1173.5956964494599</v>
      </c>
      <c r="Q4009">
        <f>-345.290096745206 -71.7663068516972 -469.125267235666</f>
        <v>-886.18167083256913</v>
      </c>
      <c r="R4009" t="s">
        <v>80838</v>
      </c>
      <c r="S4009" t="s">
        <v>80839</v>
      </c>
      <c r="T4009" t="s">
        <v>80840</v>
      </c>
      <c r="U4009" t="s">
        <v>80841</v>
      </c>
      <c r="V4009">
        <f>-546.82116035749 -30.284656738839 -230.300442333194</f>
        <v>-807.40625942952306</v>
      </c>
      <c r="W4009" t="s">
        <v>80842</v>
      </c>
      <c r="X4009" t="s">
        <v>80843</v>
      </c>
      <c r="Y4009" t="s">
        <v>80844</v>
      </c>
    </row>
    <row r="4010" spans="1:25" x14ac:dyDescent="0.3">
      <c r="A4010">
        <v>200450</v>
      </c>
      <c r="B4010" t="s">
        <v>80845</v>
      </c>
      <c r="C4010" t="s">
        <v>80846</v>
      </c>
      <c r="D4010" t="s">
        <v>80847</v>
      </c>
      <c r="E4010" t="s">
        <v>80848</v>
      </c>
      <c r="F4010" t="s">
        <v>80849</v>
      </c>
      <c r="G4010" t="s">
        <v>80850</v>
      </c>
      <c r="H4010" t="s">
        <v>80851</v>
      </c>
      <c r="I4010">
        <f>-502.541736346439 -1.64103085307764 -929.059014039943</f>
        <v>-1433.2417812394597</v>
      </c>
      <c r="J4010" t="s">
        <v>80852</v>
      </c>
      <c r="K4010" t="s">
        <v>80853</v>
      </c>
      <c r="L4010" t="s">
        <v>80854</v>
      </c>
      <c r="M4010" t="s">
        <v>80855</v>
      </c>
      <c r="N4010">
        <f>-566.201946868169 -20.6961437706879 -771.300485312219</f>
        <v>-1358.1985759510758</v>
      </c>
      <c r="O4010">
        <f>-560.273806085531 -163.562556162319 -736.961860886234</f>
        <v>-1460.7982231340839</v>
      </c>
      <c r="P4010">
        <f>-581.410576471226 -180.531817406521 -421.602588344614</f>
        <v>-1183.5449822223609</v>
      </c>
      <c r="Q4010">
        <f>-349.34048294635 -74.3591572390932 -471.731461428949</f>
        <v>-895.43110161439222</v>
      </c>
      <c r="R4010" t="s">
        <v>80856</v>
      </c>
      <c r="S4010" t="s">
        <v>80857</v>
      </c>
      <c r="T4010" t="s">
        <v>80858</v>
      </c>
      <c r="U4010" t="s">
        <v>80859</v>
      </c>
      <c r="V4010">
        <f>-547.246326335793 -30.2082104330233 -230.465286879974</f>
        <v>-807.91982364879027</v>
      </c>
      <c r="W4010" t="s">
        <v>80860</v>
      </c>
      <c r="X4010" t="s">
        <v>80861</v>
      </c>
      <c r="Y4010" t="s">
        <v>80862</v>
      </c>
    </row>
    <row r="4011" spans="1:25" x14ac:dyDescent="0.3">
      <c r="A4011">
        <v>200500</v>
      </c>
      <c r="B4011" t="s">
        <v>80863</v>
      </c>
      <c r="C4011" t="s">
        <v>80864</v>
      </c>
      <c r="D4011" t="s">
        <v>80865</v>
      </c>
      <c r="E4011" t="s">
        <v>80866</v>
      </c>
      <c r="F4011" t="s">
        <v>80867</v>
      </c>
      <c r="G4011" t="s">
        <v>80868</v>
      </c>
      <c r="H4011" t="s">
        <v>80869</v>
      </c>
      <c r="I4011">
        <f>-502.749250800924 -1.2038421742634 -929.239109666533</f>
        <v>-1433.1922026417203</v>
      </c>
      <c r="J4011" t="s">
        <v>80870</v>
      </c>
      <c r="K4011" t="s">
        <v>80871</v>
      </c>
      <c r="L4011" t="s">
        <v>80872</v>
      </c>
      <c r="M4011" t="s">
        <v>80873</v>
      </c>
      <c r="N4011">
        <f>-566.290439585061 -20.4147779106487 -771.433529584879</f>
        <v>-1358.1387470805887</v>
      </c>
      <c r="O4011">
        <f>-560.337215168771 -163.259905466187 -737.111451716735</f>
        <v>-1460.708572351693</v>
      </c>
      <c r="P4011">
        <f>-581.518315866475 -183.251179284082 -421.932214792649</f>
        <v>-1186.701709943206</v>
      </c>
      <c r="Q4011">
        <f>-350.811103826122 -74.7253309811277 -473.297366407202</f>
        <v>-898.83380121445168</v>
      </c>
      <c r="R4011" t="s">
        <v>80874</v>
      </c>
      <c r="S4011" t="s">
        <v>80875</v>
      </c>
      <c r="T4011" t="s">
        <v>80876</v>
      </c>
      <c r="U4011" t="s">
        <v>80877</v>
      </c>
      <c r="V4011">
        <f>-547.596559878592 -30.5524467514885 -230.550942892295</f>
        <v>-808.69994952237539</v>
      </c>
      <c r="W4011" t="s">
        <v>80878</v>
      </c>
      <c r="X4011" t="s">
        <v>80879</v>
      </c>
      <c r="Y4011" t="s">
        <v>80880</v>
      </c>
    </row>
    <row r="4012" spans="1:25" x14ac:dyDescent="0.3">
      <c r="A4012">
        <v>200550</v>
      </c>
      <c r="B4012" t="s">
        <v>80881</v>
      </c>
      <c r="C4012" t="s">
        <v>80882</v>
      </c>
      <c r="D4012" t="s">
        <v>80883</v>
      </c>
      <c r="E4012" t="s">
        <v>80884</v>
      </c>
      <c r="F4012" t="s">
        <v>80885</v>
      </c>
      <c r="G4012" t="s">
        <v>80886</v>
      </c>
      <c r="H4012" t="s">
        <v>80887</v>
      </c>
      <c r="I4012">
        <f>-503.357916259195 -0.779221699079173 -929.363095308894</f>
        <v>-1433.5002332671681</v>
      </c>
      <c r="J4012" t="s">
        <v>80888</v>
      </c>
      <c r="K4012" t="s">
        <v>80889</v>
      </c>
      <c r="L4012" t="s">
        <v>80890</v>
      </c>
      <c r="M4012" t="s">
        <v>80891</v>
      </c>
      <c r="N4012">
        <f>-566.662562973581 -20.5877467031708 -771.460778063451</f>
        <v>-1358.7110877402029</v>
      </c>
      <c r="O4012">
        <f>-560.135733124627 -163.453534905363 -737.194282460687</f>
        <v>-1460.783550490677</v>
      </c>
      <c r="P4012">
        <f>-582.400511067239 -189.060298196593 -422.496327686336</f>
        <v>-1193.957136950168</v>
      </c>
      <c r="Q4012">
        <f>-352.913253898102 -78.0673452788749 -474.054164121112</f>
        <v>-905.03476329808893</v>
      </c>
      <c r="R4012" t="s">
        <v>80892</v>
      </c>
      <c r="S4012" t="s">
        <v>80893</v>
      </c>
      <c r="T4012" t="s">
        <v>80894</v>
      </c>
      <c r="U4012" t="s">
        <v>80895</v>
      </c>
      <c r="V4012">
        <f>-548.05353025094 -31.1688394985416 -230.46586254533</f>
        <v>-809.68823229481154</v>
      </c>
      <c r="W4012" t="s">
        <v>80896</v>
      </c>
      <c r="X4012" t="s">
        <v>80897</v>
      </c>
      <c r="Y4012" t="s">
        <v>80898</v>
      </c>
    </row>
    <row r="4013" spans="1:25" x14ac:dyDescent="0.3">
      <c r="A4013">
        <v>200600</v>
      </c>
      <c r="B4013" t="s">
        <v>80899</v>
      </c>
      <c r="C4013" t="s">
        <v>80900</v>
      </c>
      <c r="D4013" t="s">
        <v>80901</v>
      </c>
      <c r="E4013" t="s">
        <v>80902</v>
      </c>
      <c r="F4013" t="s">
        <v>80903</v>
      </c>
      <c r="G4013" t="s">
        <v>80904</v>
      </c>
      <c r="H4013" t="s">
        <v>80905</v>
      </c>
      <c r="I4013" t="s">
        <v>80906</v>
      </c>
      <c r="J4013" t="s">
        <v>80907</v>
      </c>
      <c r="K4013" t="s">
        <v>80908</v>
      </c>
      <c r="L4013" t="s">
        <v>80909</v>
      </c>
      <c r="M4013" t="s">
        <v>80910</v>
      </c>
      <c r="N4013">
        <f>-566.914897802583 -20.1677983541504 -771.62715728933</f>
        <v>-1358.7098534460633</v>
      </c>
      <c r="O4013">
        <f>-560.27526868628 -163.075166030672 -737.580948407588</f>
        <v>-1460.9313831245399</v>
      </c>
      <c r="P4013">
        <f>-582.846348512396 -191.125744826342 -423.113197409594</f>
        <v>-1197.085290748332</v>
      </c>
      <c r="Q4013">
        <f>-353.342262085716 -80.2687056806772 -474.888352212575</f>
        <v>-908.49931997896829</v>
      </c>
      <c r="R4013" t="s">
        <v>80911</v>
      </c>
      <c r="S4013" t="s">
        <v>80912</v>
      </c>
      <c r="T4013" t="s">
        <v>80913</v>
      </c>
      <c r="U4013" t="s">
        <v>80914</v>
      </c>
      <c r="V4013">
        <f>-548.465754893948 -31.4649072481046 -230.522732122341</f>
        <v>-810.45339426439364</v>
      </c>
      <c r="W4013" t="s">
        <v>80915</v>
      </c>
      <c r="X4013" t="s">
        <v>80916</v>
      </c>
      <c r="Y4013" t="s">
        <v>80917</v>
      </c>
    </row>
    <row r="4014" spans="1:25" x14ac:dyDescent="0.3">
      <c r="A4014">
        <v>200650</v>
      </c>
      <c r="B4014" t="s">
        <v>80918</v>
      </c>
      <c r="C4014" t="s">
        <v>80919</v>
      </c>
      <c r="D4014" t="s">
        <v>80920</v>
      </c>
      <c r="E4014" t="s">
        <v>80921</v>
      </c>
      <c r="F4014" t="s">
        <v>80922</v>
      </c>
      <c r="G4014" t="s">
        <v>80923</v>
      </c>
      <c r="H4014" t="s">
        <v>80924</v>
      </c>
      <c r="I4014" t="s">
        <v>80925</v>
      </c>
      <c r="J4014" t="s">
        <v>80926</v>
      </c>
      <c r="K4014" t="s">
        <v>80927</v>
      </c>
      <c r="L4014" t="s">
        <v>80928</v>
      </c>
      <c r="M4014" t="s">
        <v>80929</v>
      </c>
      <c r="N4014">
        <f>-567.561793436366 -19.4183542663027 -767.115830145199</f>
        <v>-1354.0959778478677</v>
      </c>
      <c r="O4014">
        <f>-560.580964151668 -162.546116432218 -733.994599099029</f>
        <v>-1457.1216796829149</v>
      </c>
      <c r="P4014">
        <f>-585.02633972272 -197.521383692099 -420.36200468719</f>
        <v>-1202.909728102009</v>
      </c>
      <c r="Q4014">
        <f>-356.122780698451 -84.9528426403024 -471.091926499843</f>
        <v>-912.16754983859641</v>
      </c>
      <c r="R4014" t="s">
        <v>80930</v>
      </c>
      <c r="S4014" t="s">
        <v>80931</v>
      </c>
      <c r="T4014" t="s">
        <v>80932</v>
      </c>
      <c r="U4014" t="s">
        <v>80933</v>
      </c>
      <c r="V4014">
        <f>-549.232559124222 -32.4929471669668 -224.929986892464</f>
        <v>-806.65549318365288</v>
      </c>
      <c r="W4014" t="s">
        <v>80934</v>
      </c>
      <c r="X4014" t="s">
        <v>80935</v>
      </c>
      <c r="Y4014" t="s">
        <v>80936</v>
      </c>
    </row>
    <row r="4015" spans="1:25" x14ac:dyDescent="0.3">
      <c r="A4015">
        <v>200700</v>
      </c>
      <c r="B4015" t="s">
        <v>80937</v>
      </c>
      <c r="C4015" t="s">
        <v>80938</v>
      </c>
      <c r="D4015" t="s">
        <v>80939</v>
      </c>
      <c r="E4015" t="s">
        <v>80940</v>
      </c>
      <c r="F4015" t="s">
        <v>80941</v>
      </c>
      <c r="G4015" t="s">
        <v>80942</v>
      </c>
      <c r="H4015" t="s">
        <v>80943</v>
      </c>
      <c r="I4015" t="s">
        <v>80944</v>
      </c>
      <c r="J4015" t="s">
        <v>80945</v>
      </c>
      <c r="K4015" t="s">
        <v>80946</v>
      </c>
      <c r="L4015" t="s">
        <v>80947</v>
      </c>
      <c r="M4015" t="s">
        <v>80948</v>
      </c>
      <c r="N4015">
        <f>-567.621560788898 -18.5188529771181 -767.846428338141</f>
        <v>-1353.9868421041569</v>
      </c>
      <c r="O4015">
        <f>-560.27496491897 -161.839556132845 -735.595256044091</f>
        <v>-1457.709777095906</v>
      </c>
      <c r="P4015">
        <f>-585.24756240208 -199.956688117686 -422.370559174224</f>
        <v>-1207.5748096939901</v>
      </c>
      <c r="Q4015">
        <f>-356.900059344409 -85.963453423689 -472.42086449599</f>
        <v>-915.28437726408788</v>
      </c>
      <c r="R4015" t="s">
        <v>80949</v>
      </c>
      <c r="S4015" t="s">
        <v>80950</v>
      </c>
      <c r="T4015" t="s">
        <v>80951</v>
      </c>
      <c r="U4015" t="s">
        <v>80952</v>
      </c>
      <c r="V4015">
        <f>-549.975222522708 -33.35202322097 -225.707665092702</f>
        <v>-809.03491083637994</v>
      </c>
      <c r="W4015" t="s">
        <v>80953</v>
      </c>
      <c r="X4015" t="s">
        <v>80954</v>
      </c>
      <c r="Y4015" t="s">
        <v>80955</v>
      </c>
    </row>
    <row r="4016" spans="1:25" x14ac:dyDescent="0.3">
      <c r="A4016">
        <v>200750</v>
      </c>
      <c r="B4016" t="s">
        <v>80956</v>
      </c>
      <c r="C4016" t="s">
        <v>80957</v>
      </c>
      <c r="D4016" t="s">
        <v>80958</v>
      </c>
      <c r="E4016" t="s">
        <v>80959</v>
      </c>
      <c r="F4016" t="s">
        <v>80960</v>
      </c>
      <c r="G4016" t="s">
        <v>80961</v>
      </c>
      <c r="H4016" t="s">
        <v>80962</v>
      </c>
      <c r="I4016" t="s">
        <v>80963</v>
      </c>
      <c r="J4016" t="s">
        <v>80964</v>
      </c>
      <c r="K4016" t="s">
        <v>80965</v>
      </c>
      <c r="L4016" t="s">
        <v>80966</v>
      </c>
      <c r="M4016" t="s">
        <v>80967</v>
      </c>
      <c r="N4016">
        <f>-568.487813884067 -16.4627319702532 -765.17299229013</f>
        <v>-1350.1235381444503</v>
      </c>
      <c r="O4016">
        <f>-560.719557889303 -160.162858220653 -734.720910704335</f>
        <v>-1455.603326814291</v>
      </c>
      <c r="P4016">
        <f>-586.727106551632 -203.010829761238 -422.192741450475</f>
        <v>-1211.9306777633451</v>
      </c>
      <c r="Q4016">
        <f>-360.117047352306 -84.8026841395582 -470.325567843597</f>
        <v>-915.24529933546114</v>
      </c>
      <c r="R4016" t="s">
        <v>80968</v>
      </c>
      <c r="S4016" t="s">
        <v>80969</v>
      </c>
      <c r="T4016" t="s">
        <v>80970</v>
      </c>
      <c r="U4016" t="s">
        <v>80971</v>
      </c>
      <c r="V4016">
        <f>-552.04469334755 -34.7067132394032 -222.035874742343</f>
        <v>-808.78728132929621</v>
      </c>
      <c r="W4016" t="s">
        <v>80972</v>
      </c>
      <c r="X4016" t="s">
        <v>80973</v>
      </c>
      <c r="Y4016" t="s">
        <v>80974</v>
      </c>
    </row>
    <row r="4017" spans="1:25" x14ac:dyDescent="0.3">
      <c r="A4017">
        <v>200800</v>
      </c>
      <c r="B4017" t="s">
        <v>80975</v>
      </c>
      <c r="C4017" t="s">
        <v>80976</v>
      </c>
      <c r="D4017" t="s">
        <v>80977</v>
      </c>
      <c r="E4017" t="s">
        <v>80978</v>
      </c>
      <c r="F4017" t="s">
        <v>80979</v>
      </c>
      <c r="G4017" t="s">
        <v>80980</v>
      </c>
      <c r="H4017" t="s">
        <v>80981</v>
      </c>
      <c r="I4017" t="s">
        <v>80982</v>
      </c>
      <c r="J4017" t="s">
        <v>80983</v>
      </c>
      <c r="K4017" t="s">
        <v>80984</v>
      </c>
      <c r="L4017" t="s">
        <v>80985</v>
      </c>
      <c r="M4017" t="s">
        <v>80986</v>
      </c>
      <c r="N4017">
        <f>-568.482095279622 -15.2246903263476 -764.169885016611</f>
        <v>-1347.8766706225806</v>
      </c>
      <c r="O4017">
        <f>-560.364312722757 -159.101181331041 -734.739570559316</f>
        <v>-1454.205064613114</v>
      </c>
      <c r="P4017">
        <f>-586.475046460117 -203.096830565182 -422.379544613712</f>
        <v>-1211.9514216390112</v>
      </c>
      <c r="Q4017">
        <f>-360.746101858607 -82.7704983864682 -469.391020630807</f>
        <v>-912.90762087588223</v>
      </c>
      <c r="R4017" t="s">
        <v>80987</v>
      </c>
      <c r="S4017" t="s">
        <v>80988</v>
      </c>
      <c r="T4017" t="s">
        <v>80989</v>
      </c>
      <c r="U4017" t="s">
        <v>80990</v>
      </c>
      <c r="V4017">
        <f>-553.037552619694 -35.5348831748144 -220.574720274728</f>
        <v>-809.14715606923642</v>
      </c>
      <c r="W4017" t="s">
        <v>80991</v>
      </c>
      <c r="X4017" t="s">
        <v>80992</v>
      </c>
      <c r="Y4017" t="s">
        <v>80993</v>
      </c>
    </row>
    <row r="4018" spans="1:25" x14ac:dyDescent="0.3">
      <c r="A4018">
        <v>200850</v>
      </c>
      <c r="B4018" t="s">
        <v>80994</v>
      </c>
      <c r="C4018" t="s">
        <v>80995</v>
      </c>
      <c r="D4018" t="s">
        <v>80996</v>
      </c>
      <c r="E4018" t="s">
        <v>80997</v>
      </c>
      <c r="F4018" t="s">
        <v>80998</v>
      </c>
      <c r="G4018" t="s">
        <v>80999</v>
      </c>
      <c r="H4018" t="s">
        <v>81000</v>
      </c>
      <c r="I4018" t="s">
        <v>81001</v>
      </c>
      <c r="J4018" t="s">
        <v>81002</v>
      </c>
      <c r="K4018" t="s">
        <v>81003</v>
      </c>
      <c r="L4018" t="s">
        <v>81004</v>
      </c>
      <c r="M4018" t="s">
        <v>81005</v>
      </c>
      <c r="N4018">
        <f>-569.498643115025 -12.3873204278521 -765.823997304278</f>
        <v>-1347.7099608471549</v>
      </c>
      <c r="O4018">
        <f>-561.427533709819 -156.600284334205 -738.430861062427</f>
        <v>-1456.4586791064512</v>
      </c>
      <c r="P4018">
        <f>-588.250151200853 -200.223439011775 -426.078878873982</f>
        <v>-1214.55246908661</v>
      </c>
      <c r="Q4018">
        <f>-363.793234831499 -76.82417418403 -471.176166630244</f>
        <v>-911.79357564577299</v>
      </c>
      <c r="R4018" t="s">
        <v>81006</v>
      </c>
      <c r="S4018" t="s">
        <v>81007</v>
      </c>
      <c r="T4018" t="s">
        <v>81008</v>
      </c>
      <c r="U4018" t="s">
        <v>81009</v>
      </c>
      <c r="V4018">
        <f>-555.031917429114 -36.7092645736022 -221.755782990514</f>
        <v>-813.49696499323022</v>
      </c>
      <c r="W4018" t="s">
        <v>81010</v>
      </c>
      <c r="X4018" t="s">
        <v>81011</v>
      </c>
      <c r="Y4018" t="s">
        <v>81012</v>
      </c>
    </row>
    <row r="4019" spans="1:25" x14ac:dyDescent="0.3">
      <c r="A4019">
        <v>200900</v>
      </c>
      <c r="B4019" t="s">
        <v>81013</v>
      </c>
      <c r="C4019" t="s">
        <v>81014</v>
      </c>
      <c r="D4019" t="s">
        <v>81015</v>
      </c>
      <c r="E4019" t="s">
        <v>81016</v>
      </c>
      <c r="F4019" t="s">
        <v>81017</v>
      </c>
      <c r="G4019" t="s">
        <v>81018</v>
      </c>
      <c r="H4019" t="s">
        <v>81019</v>
      </c>
      <c r="I4019" t="s">
        <v>81020</v>
      </c>
      <c r="J4019" t="s">
        <v>81021</v>
      </c>
      <c r="K4019" t="s">
        <v>81022</v>
      </c>
      <c r="L4019" t="s">
        <v>81023</v>
      </c>
      <c r="M4019" t="s">
        <v>81024</v>
      </c>
      <c r="N4019">
        <f>-570.129678460087 -10.6733933910569 -766.901021673637</f>
        <v>-1347.704093524781</v>
      </c>
      <c r="O4019">
        <f>-562.7499032284 -155.166389783684 -740.618186497222</f>
        <v>-1458.534479509306</v>
      </c>
      <c r="P4019">
        <f>-589.424086755414 -199.016780327156 -428.285270434851</f>
        <v>-1216.726137517421</v>
      </c>
      <c r="Q4019">
        <f>-365.035052205227 -74.9548019373861 -471.876797458436</f>
        <v>-911.86665160104906</v>
      </c>
      <c r="R4019" t="s">
        <v>81025</v>
      </c>
      <c r="S4019" t="s">
        <v>81026</v>
      </c>
      <c r="T4019" t="s">
        <v>81027</v>
      </c>
      <c r="U4019" t="s">
        <v>81028</v>
      </c>
      <c r="V4019">
        <f>-555.710598358105 -36.9667683158451 -222.559912734446</f>
        <v>-815.23727940839615</v>
      </c>
      <c r="W4019" t="s">
        <v>81029</v>
      </c>
      <c r="X4019" t="s">
        <v>81030</v>
      </c>
      <c r="Y4019" t="s">
        <v>81031</v>
      </c>
    </row>
    <row r="4020" spans="1:25" x14ac:dyDescent="0.3">
      <c r="A4020">
        <v>200950</v>
      </c>
      <c r="B4020" t="s">
        <v>81032</v>
      </c>
      <c r="C4020" t="s">
        <v>81033</v>
      </c>
      <c r="D4020" t="s">
        <v>81034</v>
      </c>
      <c r="E4020" t="s">
        <v>81035</v>
      </c>
      <c r="F4020" t="s">
        <v>81036</v>
      </c>
      <c r="G4020" t="s">
        <v>81037</v>
      </c>
      <c r="H4020" t="s">
        <v>81038</v>
      </c>
      <c r="I4020" t="s">
        <v>81039</v>
      </c>
      <c r="J4020" t="s">
        <v>81040</v>
      </c>
      <c r="K4020" t="s">
        <v>81041</v>
      </c>
      <c r="L4020" t="s">
        <v>81042</v>
      </c>
      <c r="M4020" t="s">
        <v>81043</v>
      </c>
      <c r="N4020">
        <f>-571.501001058703 -6.81244879825523 -768.984362720131</f>
        <v>-1347.2978125770892</v>
      </c>
      <c r="O4020">
        <f>-566.204016249387 -151.670534781684 -744.526474027219</f>
        <v>-1462.4010250582901</v>
      </c>
      <c r="P4020">
        <f>-591.695504177398 -194.24397540348 -431.918329866585</f>
        <v>-1217.8578094474631</v>
      </c>
      <c r="Q4020">
        <f>-366.083802493589 -71.0390929129917 -471.440053657884</f>
        <v>-908.56294906446465</v>
      </c>
      <c r="R4020" t="s">
        <v>81044</v>
      </c>
      <c r="S4020" t="s">
        <v>81045</v>
      </c>
      <c r="T4020" t="s">
        <v>81046</v>
      </c>
      <c r="U4020" t="s">
        <v>81047</v>
      </c>
      <c r="V4020">
        <f>-556.562943479227 -37.004011267362 -223.738508521421</f>
        <v>-817.30546326801004</v>
      </c>
      <c r="W4020" t="s">
        <v>81048</v>
      </c>
      <c r="X4020" t="s">
        <v>81049</v>
      </c>
      <c r="Y4020" t="s">
        <v>81050</v>
      </c>
    </row>
    <row r="4021" spans="1:25" x14ac:dyDescent="0.3">
      <c r="A4021">
        <v>201000</v>
      </c>
      <c r="B4021" t="s">
        <v>81051</v>
      </c>
      <c r="C4021" t="s">
        <v>81052</v>
      </c>
      <c r="D4021" t="s">
        <v>81053</v>
      </c>
      <c r="E4021" t="s">
        <v>81054</v>
      </c>
      <c r="F4021" t="s">
        <v>81055</v>
      </c>
      <c r="G4021" t="s">
        <v>81056</v>
      </c>
      <c r="H4021" t="s">
        <v>81057</v>
      </c>
      <c r="I4021" t="s">
        <v>81058</v>
      </c>
      <c r="J4021" t="s">
        <v>81059</v>
      </c>
      <c r="K4021" t="s">
        <v>81060</v>
      </c>
      <c r="L4021" t="s">
        <v>81061</v>
      </c>
      <c r="M4021" t="s">
        <v>81062</v>
      </c>
      <c r="N4021">
        <f>-571.963391341837 -5.48020689687724 -769.622386358137</f>
        <v>-1347.0659845968512</v>
      </c>
      <c r="O4021">
        <f>-567.639406947721 -150.480585008773 -745.8133165242</f>
        <v>-1463.933308480694</v>
      </c>
      <c r="P4021">
        <f>-593.81460688707 -192.562866096461 -433.1951047765</f>
        <v>-1219.572577760031</v>
      </c>
      <c r="Q4021">
        <f>-367.370283132123 -70.2658627964169 -470.724508808976</f>
        <v>-908.36065473751592</v>
      </c>
      <c r="R4021" t="s">
        <v>81063</v>
      </c>
      <c r="S4021" t="s">
        <v>81064</v>
      </c>
      <c r="T4021" t="s">
        <v>81065</v>
      </c>
      <c r="U4021" t="s">
        <v>81066</v>
      </c>
      <c r="V4021">
        <f>-556.866800656965 -36.9276581054493 -223.992016805325</f>
        <v>-817.78647556773922</v>
      </c>
      <c r="W4021" t="s">
        <v>81067</v>
      </c>
      <c r="X4021" t="s">
        <v>81068</v>
      </c>
      <c r="Y4021" t="s">
        <v>81069</v>
      </c>
    </row>
    <row r="4022" spans="1:25" x14ac:dyDescent="0.3">
      <c r="A4022">
        <v>201050</v>
      </c>
      <c r="B4022" t="s">
        <v>81070</v>
      </c>
      <c r="C4022" t="s">
        <v>81071</v>
      </c>
      <c r="D4022" t="s">
        <v>81072</v>
      </c>
      <c r="E4022" t="s">
        <v>81073</v>
      </c>
      <c r="F4022" t="s">
        <v>81074</v>
      </c>
      <c r="G4022" t="s">
        <v>81075</v>
      </c>
      <c r="H4022" t="s">
        <v>81076</v>
      </c>
      <c r="I4022" t="s">
        <v>81077</v>
      </c>
      <c r="J4022" t="s">
        <v>81078</v>
      </c>
      <c r="K4022" t="s">
        <v>81079</v>
      </c>
      <c r="L4022" t="s">
        <v>81080</v>
      </c>
      <c r="M4022" t="s">
        <v>81081</v>
      </c>
      <c r="N4022">
        <f>-571.879727667906 -3.14024375898106 -770.543321882438</f>
        <v>-1345.5632933093252</v>
      </c>
      <c r="O4022">
        <f>-569.667490162142 -148.353785410551 -747.535696017463</f>
        <v>-1465.5569715901561</v>
      </c>
      <c r="P4022">
        <f>-597.760705185487 -188.681802079947 -434.852725388768</f>
        <v>-1221.2952326542022</v>
      </c>
      <c r="Q4022">
        <f>-369.338212015537 -69.0458580202944 -468.800883127793</f>
        <v>-907.18495316362441</v>
      </c>
      <c r="R4022" t="s">
        <v>81082</v>
      </c>
      <c r="S4022" t="s">
        <v>81083</v>
      </c>
      <c r="T4022" t="s">
        <v>81084</v>
      </c>
      <c r="U4022" t="s">
        <v>81085</v>
      </c>
      <c r="V4022">
        <f>-556.988875670956 -36.7925965372733 -224.422531115406</f>
        <v>-818.20400332363533</v>
      </c>
      <c r="W4022" t="s">
        <v>81086</v>
      </c>
      <c r="X4022" t="s">
        <v>81087</v>
      </c>
      <c r="Y4022" t="s">
        <v>81088</v>
      </c>
    </row>
    <row r="4023" spans="1:25" x14ac:dyDescent="0.3">
      <c r="A4023">
        <v>201100</v>
      </c>
      <c r="B4023" t="s">
        <v>81089</v>
      </c>
      <c r="C4023" t="s">
        <v>81090</v>
      </c>
      <c r="D4023" t="s">
        <v>81091</v>
      </c>
      <c r="E4023" t="s">
        <v>81092</v>
      </c>
      <c r="F4023" t="s">
        <v>81093</v>
      </c>
      <c r="G4023" t="s">
        <v>81094</v>
      </c>
      <c r="H4023" t="s">
        <v>81095</v>
      </c>
      <c r="I4023" t="s">
        <v>81096</v>
      </c>
      <c r="J4023" t="s">
        <v>81097</v>
      </c>
      <c r="K4023" t="s">
        <v>81098</v>
      </c>
      <c r="L4023" t="s">
        <v>81099</v>
      </c>
      <c r="M4023" t="s">
        <v>81100</v>
      </c>
      <c r="N4023">
        <f>-571.739131103064 -2.04384318592508 -770.951684744596</f>
        <v>-1344.7346590335851</v>
      </c>
      <c r="O4023">
        <f>-570.608232329795 -147.312588395305 -748.216732901268</f>
        <v>-1466.1375536263679</v>
      </c>
      <c r="P4023">
        <f>-599.933304849451 -187.249465733024 -435.596789808107</f>
        <v>-1222.779560390582</v>
      </c>
      <c r="Q4023">
        <f>-370.790562378748 -68.7684048277747 -468.73112742653</f>
        <v>-908.29009463305272</v>
      </c>
      <c r="R4023" t="s">
        <v>81101</v>
      </c>
      <c r="S4023" t="s">
        <v>81102</v>
      </c>
      <c r="T4023" t="s">
        <v>81103</v>
      </c>
      <c r="U4023" t="s">
        <v>81104</v>
      </c>
      <c r="V4023">
        <f>-556.976234799784 -36.2579600058881 -224.62094566</f>
        <v>-817.85514046567209</v>
      </c>
      <c r="W4023" t="s">
        <v>81105</v>
      </c>
      <c r="X4023" t="s">
        <v>81106</v>
      </c>
      <c r="Y4023" t="s">
        <v>81107</v>
      </c>
    </row>
    <row r="4024" spans="1:25" x14ac:dyDescent="0.3">
      <c r="A4024">
        <v>201150</v>
      </c>
      <c r="B4024" t="s">
        <v>81108</v>
      </c>
      <c r="C4024" t="s">
        <v>81109</v>
      </c>
      <c r="D4024" t="s">
        <v>81110</v>
      </c>
      <c r="E4024" t="s">
        <v>81111</v>
      </c>
      <c r="F4024" t="s">
        <v>81112</v>
      </c>
      <c r="G4024" t="s">
        <v>81113</v>
      </c>
      <c r="H4024" t="s">
        <v>81114</v>
      </c>
      <c r="I4024" t="s">
        <v>81115</v>
      </c>
      <c r="J4024" t="s">
        <v>81116</v>
      </c>
      <c r="K4024" t="s">
        <v>81117</v>
      </c>
      <c r="L4024" t="s">
        <v>81118</v>
      </c>
      <c r="M4024" t="s">
        <v>81119</v>
      </c>
      <c r="N4024">
        <f>-571.757607910107 -0.0995300065810483 -771.760547981447</f>
        <v>-1343.6176858981351</v>
      </c>
      <c r="O4024">
        <f>-573.118479502981 -145.434671393704 -749.497718148206</f>
        <v>-1468.050869044891</v>
      </c>
      <c r="P4024">
        <f>-603.586072892932 -185.767283867556 -437.037854645229</f>
        <v>-1226.3912114057171</v>
      </c>
      <c r="Q4024">
        <f>-373.257620569765 -69.2697833410266 -468.962571672462</f>
        <v>-911.48997558325357</v>
      </c>
      <c r="R4024" t="s">
        <v>81120</v>
      </c>
      <c r="S4024" t="s">
        <v>81121</v>
      </c>
      <c r="T4024" t="s">
        <v>81122</v>
      </c>
      <c r="U4024" t="s">
        <v>81123</v>
      </c>
      <c r="V4024">
        <f>-556.8018945274 -36.479025928263 -225.075788202129</f>
        <v>-818.35670865779207</v>
      </c>
      <c r="W4024" t="s">
        <v>81124</v>
      </c>
      <c r="X4024" t="s">
        <v>81125</v>
      </c>
      <c r="Y4024" t="s">
        <v>81126</v>
      </c>
    </row>
    <row r="4025" spans="1:25" x14ac:dyDescent="0.3">
      <c r="A4025">
        <v>201200</v>
      </c>
      <c r="B4025" t="s">
        <v>81127</v>
      </c>
      <c r="C4025" t="s">
        <v>81128</v>
      </c>
      <c r="D4025" t="s">
        <v>81129</v>
      </c>
      <c r="E4025" t="s">
        <v>81130</v>
      </c>
      <c r="F4025" t="s">
        <v>81131</v>
      </c>
      <c r="G4025" t="s">
        <v>81132</v>
      </c>
      <c r="H4025" t="s">
        <v>81133</v>
      </c>
      <c r="I4025" t="s">
        <v>81134</v>
      </c>
      <c r="J4025" t="s">
        <v>81135</v>
      </c>
      <c r="K4025" t="s">
        <v>81136</v>
      </c>
      <c r="L4025" t="s">
        <v>81137</v>
      </c>
      <c r="M4025" t="s">
        <v>81138</v>
      </c>
      <c r="N4025" t="s">
        <v>81139</v>
      </c>
      <c r="O4025">
        <f>-574.563852956287 -144.641130514485 -750.008580922006</f>
        <v>-1469.2135643927779</v>
      </c>
      <c r="P4025">
        <f>-605.14032148948 -185.06630855195 -437.571243713264</f>
        <v>-1227.7778737546939</v>
      </c>
      <c r="Q4025">
        <f>-374.284836128467 -69.5762519706792 -469.34976304372</f>
        <v>-913.2108511428662</v>
      </c>
      <c r="R4025" t="s">
        <v>81140</v>
      </c>
      <c r="S4025" t="s">
        <v>81141</v>
      </c>
      <c r="T4025" t="s">
        <v>81142</v>
      </c>
      <c r="U4025" t="s">
        <v>81143</v>
      </c>
      <c r="V4025">
        <f>-556.536135616287 -36.181477856262 -225.297541538431</f>
        <v>-818.01515501097992</v>
      </c>
      <c r="W4025" t="s">
        <v>81144</v>
      </c>
      <c r="X4025" t="s">
        <v>81145</v>
      </c>
      <c r="Y4025" t="s">
        <v>81146</v>
      </c>
    </row>
    <row r="4026" spans="1:25" x14ac:dyDescent="0.3">
      <c r="A4026">
        <v>201250</v>
      </c>
      <c r="B4026" t="s">
        <v>81147</v>
      </c>
      <c r="C4026" t="s">
        <v>81148</v>
      </c>
      <c r="D4026" t="s">
        <v>81149</v>
      </c>
      <c r="E4026" t="s">
        <v>81150</v>
      </c>
      <c r="F4026" t="s">
        <v>81151</v>
      </c>
      <c r="G4026" t="s">
        <v>81152</v>
      </c>
      <c r="H4026" t="s">
        <v>81153</v>
      </c>
      <c r="I4026" t="s">
        <v>81154</v>
      </c>
      <c r="J4026" t="s">
        <v>81155</v>
      </c>
      <c r="K4026" t="s">
        <v>81156</v>
      </c>
      <c r="L4026" t="s">
        <v>81157</v>
      </c>
      <c r="M4026" t="s">
        <v>81158</v>
      </c>
      <c r="N4026" t="s">
        <v>81159</v>
      </c>
      <c r="O4026">
        <f>-576.537574260218 -143.480464359819 -750.66047143812</f>
        <v>-1470.6785100581569</v>
      </c>
      <c r="P4026">
        <f>-606.768978171452 -183.576422337473 -438.147072058343</f>
        <v>-1228.4924725672679</v>
      </c>
      <c r="Q4026">
        <f>-374.42346884665 -71.1631461302125 -470.097913195651</f>
        <v>-915.68452817251352</v>
      </c>
      <c r="R4026" t="s">
        <v>81160</v>
      </c>
      <c r="S4026" t="s">
        <v>81161</v>
      </c>
      <c r="T4026" t="s">
        <v>81162</v>
      </c>
      <c r="U4026" t="s">
        <v>81163</v>
      </c>
      <c r="V4026">
        <f>-555.720583643703 -34.9560183972408 -225.664890174851</f>
        <v>-816.34149221579469</v>
      </c>
      <c r="W4026" t="s">
        <v>81164</v>
      </c>
      <c r="X4026" t="s">
        <v>81165</v>
      </c>
      <c r="Y4026" t="s">
        <v>81166</v>
      </c>
    </row>
    <row r="4027" spans="1:25" x14ac:dyDescent="0.3">
      <c r="A4027">
        <v>201300</v>
      </c>
      <c r="B4027" t="s">
        <v>81167</v>
      </c>
      <c r="C4027" t="s">
        <v>81168</v>
      </c>
      <c r="D4027" t="s">
        <v>81169</v>
      </c>
      <c r="E4027" t="s">
        <v>81170</v>
      </c>
      <c r="F4027" t="s">
        <v>81171</v>
      </c>
      <c r="G4027" t="s">
        <v>81172</v>
      </c>
      <c r="H4027" t="s">
        <v>81173</v>
      </c>
      <c r="I4027" t="s">
        <v>81174</v>
      </c>
      <c r="J4027" t="s">
        <v>81175</v>
      </c>
      <c r="K4027" t="s">
        <v>81176</v>
      </c>
      <c r="L4027" t="s">
        <v>81177</v>
      </c>
      <c r="M4027" t="s">
        <v>81178</v>
      </c>
      <c r="N4027" t="s">
        <v>81179</v>
      </c>
      <c r="O4027">
        <f>-576.581566865332 -143.0484122242 -750.815976782797</f>
        <v>-1470.4459558723288</v>
      </c>
      <c r="P4027">
        <f>-606.62953897751 -182.6853604509 -438.226479456421</f>
        <v>-1227.5413788848309</v>
      </c>
      <c r="Q4027">
        <f>-373.608806125538 -71.7909985350723 -470.565810541492</f>
        <v>-915.9656152021023</v>
      </c>
      <c r="R4027" t="s">
        <v>81180</v>
      </c>
      <c r="S4027" t="s">
        <v>81181</v>
      </c>
      <c r="T4027" t="s">
        <v>81182</v>
      </c>
      <c r="U4027" t="s">
        <v>81183</v>
      </c>
      <c r="V4027">
        <f>-555.147913240127 -34.6546665361395 -225.980177262842</f>
        <v>-815.78275703910845</v>
      </c>
      <c r="W4027" t="s">
        <v>81184</v>
      </c>
      <c r="X4027" t="s">
        <v>81185</v>
      </c>
      <c r="Y4027" t="s">
        <v>81186</v>
      </c>
    </row>
    <row r="4028" spans="1:25" x14ac:dyDescent="0.3">
      <c r="A4028">
        <v>201350</v>
      </c>
      <c r="B4028" t="s">
        <v>81187</v>
      </c>
      <c r="C4028" t="s">
        <v>81188</v>
      </c>
      <c r="D4028" t="s">
        <v>81189</v>
      </c>
      <c r="E4028" t="s">
        <v>81190</v>
      </c>
      <c r="F4028" t="s">
        <v>81191</v>
      </c>
      <c r="G4028" t="s">
        <v>81192</v>
      </c>
      <c r="H4028" t="s">
        <v>81193</v>
      </c>
      <c r="I4028" t="s">
        <v>81194</v>
      </c>
      <c r="J4028" t="s">
        <v>81195</v>
      </c>
      <c r="K4028" t="s">
        <v>81196</v>
      </c>
      <c r="L4028" t="s">
        <v>81197</v>
      </c>
      <c r="M4028" t="s">
        <v>81198</v>
      </c>
      <c r="N4028" t="s">
        <v>81199</v>
      </c>
      <c r="O4028">
        <f>-575.583835404552 -141.985876662654 -751.045388829254</f>
        <v>-1468.6151008964598</v>
      </c>
      <c r="P4028">
        <f>-605.760021605256 -180.757452364217 -438.359763827561</f>
        <v>-1224.877237797034</v>
      </c>
      <c r="Q4028">
        <f>-371.779562709461 -72.0364652558935 -471.146549635023</f>
        <v>-914.96257760037747</v>
      </c>
      <c r="R4028" t="s">
        <v>81200</v>
      </c>
      <c r="S4028" t="s">
        <v>81201</v>
      </c>
      <c r="T4028" t="s">
        <v>81202</v>
      </c>
      <c r="U4028" t="s">
        <v>81203</v>
      </c>
      <c r="V4028">
        <f>-553.945953091029 -33.7724942722034 -226.653640845933</f>
        <v>-814.37208820916544</v>
      </c>
      <c r="W4028" t="s">
        <v>81204</v>
      </c>
      <c r="X4028" t="s">
        <v>81205</v>
      </c>
      <c r="Y4028" t="s">
        <v>81206</v>
      </c>
    </row>
    <row r="4029" spans="1:25" x14ac:dyDescent="0.3">
      <c r="A4029">
        <v>201400</v>
      </c>
      <c r="B4029" t="s">
        <v>81207</v>
      </c>
      <c r="C4029" t="s">
        <v>81208</v>
      </c>
      <c r="D4029" t="s">
        <v>81209</v>
      </c>
      <c r="E4029" t="s">
        <v>81210</v>
      </c>
      <c r="F4029" t="s">
        <v>81211</v>
      </c>
      <c r="G4029" t="s">
        <v>81212</v>
      </c>
      <c r="H4029" t="s">
        <v>81213</v>
      </c>
      <c r="I4029" t="s">
        <v>81214</v>
      </c>
      <c r="J4029" t="s">
        <v>81215</v>
      </c>
      <c r="K4029" t="s">
        <v>81216</v>
      </c>
      <c r="L4029" t="s">
        <v>81217</v>
      </c>
      <c r="M4029" t="s">
        <v>81218</v>
      </c>
      <c r="N4029" t="s">
        <v>81219</v>
      </c>
      <c r="O4029">
        <f>-574.851853827656 -141.267728165909 -751.20249269009</f>
        <v>-1467.322074683655</v>
      </c>
      <c r="P4029">
        <f>-605.179464899483 -179.508424927965 -438.466011679039</f>
        <v>-1223.153901506487</v>
      </c>
      <c r="Q4029">
        <f>-370.968815189301 -71.2827548159163 -471.24728296958</f>
        <v>-913.49885297479727</v>
      </c>
      <c r="R4029" t="s">
        <v>81220</v>
      </c>
      <c r="S4029" t="s">
        <v>81221</v>
      </c>
      <c r="T4029" t="s">
        <v>81222</v>
      </c>
      <c r="U4029" t="s">
        <v>81223</v>
      </c>
      <c r="V4029">
        <f>-553.306792000459 -33.2344110631382 -226.977396961245</f>
        <v>-813.51860002484227</v>
      </c>
      <c r="W4029" t="s">
        <v>81224</v>
      </c>
      <c r="X4029" t="s">
        <v>81225</v>
      </c>
      <c r="Y4029" t="s">
        <v>81226</v>
      </c>
    </row>
    <row r="4030" spans="1:25" x14ac:dyDescent="0.3">
      <c r="A4030">
        <v>201450</v>
      </c>
      <c r="B4030" t="s">
        <v>81227</v>
      </c>
      <c r="C4030" t="s">
        <v>81228</v>
      </c>
      <c r="D4030" t="s">
        <v>81229</v>
      </c>
      <c r="E4030" t="s">
        <v>81230</v>
      </c>
      <c r="F4030" t="s">
        <v>81231</v>
      </c>
      <c r="G4030" t="s">
        <v>81232</v>
      </c>
      <c r="H4030" t="s">
        <v>81233</v>
      </c>
      <c r="I4030" t="s">
        <v>81234</v>
      </c>
      <c r="J4030" t="s">
        <v>81235</v>
      </c>
      <c r="K4030" t="s">
        <v>81236</v>
      </c>
      <c r="L4030" t="s">
        <v>81237</v>
      </c>
      <c r="M4030" t="s">
        <v>81238</v>
      </c>
      <c r="N4030" t="s">
        <v>81239</v>
      </c>
      <c r="O4030">
        <f>-572.966024461193 -140.419063565275 -751.383063328379</f>
        <v>-1464.7681513548469</v>
      </c>
      <c r="P4030">
        <f>-603.12411678921 -177.989021243762 -438.549020226181</f>
        <v>-1219.6621582591531</v>
      </c>
      <c r="Q4030">
        <f>-369.032582409617 -69.411639474576 -471.016922194904</f>
        <v>-909.46114407909704</v>
      </c>
      <c r="R4030" t="s">
        <v>81240</v>
      </c>
      <c r="S4030" t="s">
        <v>81241</v>
      </c>
      <c r="T4030" t="s">
        <v>81242</v>
      </c>
      <c r="U4030" t="s">
        <v>81243</v>
      </c>
      <c r="V4030">
        <f>-551.634891187265 -31.9707745005384 -227.666819328202</f>
        <v>-811.27248501600536</v>
      </c>
      <c r="W4030" t="s">
        <v>81244</v>
      </c>
      <c r="X4030" t="s">
        <v>81245</v>
      </c>
      <c r="Y4030" t="s">
        <v>81246</v>
      </c>
    </row>
    <row r="4031" spans="1:25" x14ac:dyDescent="0.3">
      <c r="A4031">
        <v>201500</v>
      </c>
      <c r="B4031" t="s">
        <v>81247</v>
      </c>
      <c r="C4031" t="s">
        <v>81248</v>
      </c>
      <c r="D4031" t="s">
        <v>81249</v>
      </c>
      <c r="E4031" t="s">
        <v>81250</v>
      </c>
      <c r="F4031" t="s">
        <v>81251</v>
      </c>
      <c r="G4031" t="s">
        <v>81252</v>
      </c>
      <c r="H4031" t="s">
        <v>81253</v>
      </c>
      <c r="I4031" t="s">
        <v>81254</v>
      </c>
      <c r="J4031" t="s">
        <v>81255</v>
      </c>
      <c r="K4031" t="s">
        <v>81256</v>
      </c>
      <c r="L4031" t="s">
        <v>81257</v>
      </c>
      <c r="M4031" t="s">
        <v>81258</v>
      </c>
      <c r="N4031" t="s">
        <v>81259</v>
      </c>
      <c r="O4031">
        <f>-571.542317345125 -139.95853252031 -751.373921777108</f>
        <v>-1462.8747716425428</v>
      </c>
      <c r="P4031">
        <f>-601.322866539378 -176.965283473113 -438.436452789773</f>
        <v>-1216.7246028022639</v>
      </c>
      <c r="Q4031">
        <f>-367.481023242781 -67.7968844533865 -470.721410258721</f>
        <v>-905.99931795488851</v>
      </c>
      <c r="R4031" t="s">
        <v>81260</v>
      </c>
      <c r="S4031" t="s">
        <v>81261</v>
      </c>
      <c r="T4031" t="s">
        <v>81262</v>
      </c>
      <c r="U4031" t="s">
        <v>81263</v>
      </c>
      <c r="V4031">
        <f>-550.761499393517 -30.9172213618491 -227.830088053664</f>
        <v>-809.50880880903014</v>
      </c>
      <c r="W4031" t="s">
        <v>81264</v>
      </c>
      <c r="X4031" t="s">
        <v>81265</v>
      </c>
      <c r="Y4031" t="s">
        <v>81266</v>
      </c>
    </row>
    <row r="4032" spans="1:25" x14ac:dyDescent="0.3">
      <c r="A4032">
        <v>201550</v>
      </c>
      <c r="B4032" t="s">
        <v>81267</v>
      </c>
      <c r="C4032" t="s">
        <v>81268</v>
      </c>
      <c r="D4032" t="s">
        <v>81269</v>
      </c>
      <c r="E4032" t="s">
        <v>81270</v>
      </c>
      <c r="F4032" t="s">
        <v>81271</v>
      </c>
      <c r="G4032" t="s">
        <v>81272</v>
      </c>
      <c r="H4032" t="s">
        <v>81273</v>
      </c>
      <c r="I4032" t="s">
        <v>81274</v>
      </c>
      <c r="J4032" t="s">
        <v>81275</v>
      </c>
      <c r="K4032" t="s">
        <v>81276</v>
      </c>
      <c r="L4032" t="s">
        <v>81277</v>
      </c>
      <c r="M4032" t="s">
        <v>81278</v>
      </c>
      <c r="N4032" t="s">
        <v>81279</v>
      </c>
      <c r="O4032">
        <f>-569.258180352234 -139.137802573812 -751.117490753821</f>
        <v>-1459.513473679867</v>
      </c>
      <c r="P4032">
        <f>-597.795491227393 -175.011518322447 -437.932475021002</f>
        <v>-1210.7394845708418</v>
      </c>
      <c r="Q4032">
        <f>-364.818288386657 -64.164420229816 -470.743927229037</f>
        <v>-899.72663584551003</v>
      </c>
      <c r="R4032" t="s">
        <v>81280</v>
      </c>
      <c r="S4032" t="s">
        <v>81281</v>
      </c>
      <c r="T4032" t="s">
        <v>81282</v>
      </c>
      <c r="U4032" t="s">
        <v>81283</v>
      </c>
      <c r="V4032">
        <f>-548.914345829639 -29.3489750882028 -228.129750375462</f>
        <v>-806.39307129330382</v>
      </c>
      <c r="W4032" t="s">
        <v>81284</v>
      </c>
      <c r="X4032" t="s">
        <v>81285</v>
      </c>
      <c r="Y4032" t="s">
        <v>81286</v>
      </c>
    </row>
    <row r="4033" spans="1:25" x14ac:dyDescent="0.3">
      <c r="A4033">
        <v>201600</v>
      </c>
      <c r="B4033" t="s">
        <v>81287</v>
      </c>
      <c r="C4033" t="s">
        <v>81288</v>
      </c>
      <c r="D4033" t="s">
        <v>81289</v>
      </c>
      <c r="E4033" t="s">
        <v>81290</v>
      </c>
      <c r="F4033" t="s">
        <v>81291</v>
      </c>
      <c r="G4033" t="s">
        <v>81292</v>
      </c>
      <c r="H4033" t="s">
        <v>81293</v>
      </c>
      <c r="I4033" t="s">
        <v>81294</v>
      </c>
      <c r="J4033" t="s">
        <v>81295</v>
      </c>
      <c r="K4033" t="s">
        <v>81296</v>
      </c>
      <c r="L4033" t="s">
        <v>81297</v>
      </c>
      <c r="M4033" t="s">
        <v>81298</v>
      </c>
      <c r="N4033" t="s">
        <v>81299</v>
      </c>
      <c r="O4033">
        <f>-568.20138539892 -138.569878526761 -750.930884075727</f>
        <v>-1457.7021480014082</v>
      </c>
      <c r="P4033">
        <f>-595.75998555237 -173.789372157579 -437.584053615583</f>
        <v>-1207.1334113255321</v>
      </c>
      <c r="Q4033">
        <f>-363.277106721821 -62.060241710818 -470.905839633461</f>
        <v>-896.24318806609995</v>
      </c>
      <c r="R4033" t="s">
        <v>81300</v>
      </c>
      <c r="S4033" t="s">
        <v>81301</v>
      </c>
      <c r="T4033" t="s">
        <v>81302</v>
      </c>
      <c r="U4033" t="s">
        <v>81303</v>
      </c>
      <c r="V4033">
        <f>-548.106721457822 -28.4242807219127 -228.157757815926</f>
        <v>-804.6887599956608</v>
      </c>
      <c r="W4033" t="s">
        <v>81304</v>
      </c>
      <c r="X4033" t="s">
        <v>81305</v>
      </c>
      <c r="Y4033" t="s">
        <v>81306</v>
      </c>
    </row>
    <row r="4034" spans="1:25" x14ac:dyDescent="0.3">
      <c r="A4034">
        <v>201650</v>
      </c>
      <c r="B4034" t="s">
        <v>81307</v>
      </c>
      <c r="C4034" t="s">
        <v>81308</v>
      </c>
      <c r="D4034" t="s">
        <v>81309</v>
      </c>
      <c r="E4034" t="s">
        <v>81310</v>
      </c>
      <c r="F4034" t="s">
        <v>81311</v>
      </c>
      <c r="G4034" t="s">
        <v>81312</v>
      </c>
      <c r="H4034" t="s">
        <v>81313</v>
      </c>
      <c r="I4034" t="s">
        <v>81314</v>
      </c>
      <c r="J4034" t="s">
        <v>81315</v>
      </c>
      <c r="K4034" t="s">
        <v>81316</v>
      </c>
      <c r="L4034" t="s">
        <v>81317</v>
      </c>
      <c r="M4034" t="s">
        <v>81318</v>
      </c>
      <c r="N4034" t="s">
        <v>81319</v>
      </c>
      <c r="O4034">
        <f>-566.367630466722 -137.962496836197 -750.405112989292</f>
        <v>-1454.7352402922111</v>
      </c>
      <c r="P4034">
        <f>-591.8293009285 -172.269747563944 -436.779705602725</f>
        <v>-1200.8787540951689</v>
      </c>
      <c r="Q4034">
        <f>-360.518492161855 -58.514848054317 -471.380185407798</f>
        <v>-890.41352562397003</v>
      </c>
      <c r="R4034" t="s">
        <v>81320</v>
      </c>
      <c r="S4034" t="s">
        <v>81321</v>
      </c>
      <c r="T4034" t="s">
        <v>81322</v>
      </c>
      <c r="U4034" t="s">
        <v>81323</v>
      </c>
      <c r="V4034">
        <f>-546.886289822573 -26.6742363325328 -228.008476250526</f>
        <v>-801.56900240563175</v>
      </c>
      <c r="W4034" t="s">
        <v>81324</v>
      </c>
      <c r="X4034" t="s">
        <v>81325</v>
      </c>
      <c r="Y4034" t="s">
        <v>81326</v>
      </c>
    </row>
    <row r="4035" spans="1:25" x14ac:dyDescent="0.3">
      <c r="A4035">
        <v>201700</v>
      </c>
      <c r="B4035" t="s">
        <v>81327</v>
      </c>
      <c r="C4035" t="s">
        <v>81328</v>
      </c>
      <c r="D4035" t="s">
        <v>81329</v>
      </c>
      <c r="E4035" t="s">
        <v>81330</v>
      </c>
      <c r="F4035" t="s">
        <v>81331</v>
      </c>
      <c r="G4035" t="s">
        <v>81332</v>
      </c>
      <c r="H4035" t="s">
        <v>81333</v>
      </c>
      <c r="I4035" t="s">
        <v>81334</v>
      </c>
      <c r="J4035" t="s">
        <v>81335</v>
      </c>
      <c r="K4035" t="s">
        <v>81336</v>
      </c>
      <c r="L4035" t="s">
        <v>81337</v>
      </c>
      <c r="M4035" t="s">
        <v>81338</v>
      </c>
      <c r="N4035" t="s">
        <v>81339</v>
      </c>
      <c r="O4035">
        <f>-565.099769294338 -137.935284952659 -750.168818475191</f>
        <v>-1453.203872722188</v>
      </c>
      <c r="P4035">
        <f>-589.748941573135 -172.055602129512 -436.458093887367</f>
        <v>-1198.262637590014</v>
      </c>
      <c r="Q4035">
        <f>-359.053517699759 -57.2551938913266 -471.70746595048</f>
        <v>-888.01617754156564</v>
      </c>
      <c r="R4035" t="s">
        <v>81340</v>
      </c>
      <c r="S4035" t="s">
        <v>81341</v>
      </c>
      <c r="T4035" t="s">
        <v>81342</v>
      </c>
      <c r="U4035" t="s">
        <v>81343</v>
      </c>
      <c r="V4035">
        <f>-546.317150897289 -26.2583280281989 -228.013347295633</f>
        <v>-800.58882622112094</v>
      </c>
      <c r="W4035" t="s">
        <v>81344</v>
      </c>
      <c r="X4035" t="s">
        <v>81345</v>
      </c>
      <c r="Y4035" t="s">
        <v>81346</v>
      </c>
    </row>
    <row r="4036" spans="1:25" x14ac:dyDescent="0.3">
      <c r="A4036">
        <v>201750</v>
      </c>
      <c r="B4036" t="s">
        <v>81347</v>
      </c>
      <c r="C4036" t="s">
        <v>81348</v>
      </c>
      <c r="D4036" t="s">
        <v>81349</v>
      </c>
      <c r="E4036" t="s">
        <v>81350</v>
      </c>
      <c r="F4036" t="s">
        <v>81351</v>
      </c>
      <c r="G4036" t="s">
        <v>81352</v>
      </c>
      <c r="H4036" t="s">
        <v>81353</v>
      </c>
      <c r="I4036" t="s">
        <v>81354</v>
      </c>
      <c r="J4036" t="s">
        <v>81355</v>
      </c>
      <c r="K4036" t="s">
        <v>81356</v>
      </c>
      <c r="L4036" t="s">
        <v>81357</v>
      </c>
      <c r="M4036" t="s">
        <v>81358</v>
      </c>
      <c r="N4036" t="s">
        <v>81359</v>
      </c>
      <c r="O4036">
        <f>-561.952528656213 -137.694776133542 -749.862770672334</f>
        <v>-1449.5100754620889</v>
      </c>
      <c r="P4036">
        <f>-585.90357861181 -171.477872442586 -436.061513905834</f>
        <v>-1193.4429649602298</v>
      </c>
      <c r="Q4036">
        <f>-356.113894108105 -55.0103841670674 -471.755632304729</f>
        <v>-882.87991057990143</v>
      </c>
      <c r="R4036" t="s">
        <v>81360</v>
      </c>
      <c r="S4036" t="s">
        <v>81361</v>
      </c>
      <c r="T4036" t="s">
        <v>81362</v>
      </c>
      <c r="U4036" t="s">
        <v>81363</v>
      </c>
      <c r="V4036">
        <f>-545.236858055336 -25.106608241614 -228.095766972751</f>
        <v>-798.43923326970105</v>
      </c>
      <c r="W4036" t="s">
        <v>81364</v>
      </c>
      <c r="X4036" t="s">
        <v>81365</v>
      </c>
      <c r="Y4036" t="s">
        <v>81366</v>
      </c>
    </row>
    <row r="4037" spans="1:25" x14ac:dyDescent="0.3">
      <c r="A4037">
        <v>201800</v>
      </c>
      <c r="B4037" t="s">
        <v>81367</v>
      </c>
      <c r="C4037" t="s">
        <v>81368</v>
      </c>
      <c r="D4037" t="s">
        <v>81369</v>
      </c>
      <c r="E4037" t="s">
        <v>81370</v>
      </c>
      <c r="F4037" t="s">
        <v>81371</v>
      </c>
      <c r="G4037" t="s">
        <v>81372</v>
      </c>
      <c r="H4037" t="s">
        <v>81373</v>
      </c>
      <c r="I4037" t="s">
        <v>81374</v>
      </c>
      <c r="J4037" t="s">
        <v>81375</v>
      </c>
      <c r="K4037" t="s">
        <v>81376</v>
      </c>
      <c r="L4037" t="s">
        <v>81377</v>
      </c>
      <c r="M4037" t="s">
        <v>81378</v>
      </c>
      <c r="N4037" t="s">
        <v>81379</v>
      </c>
      <c r="O4037">
        <f>-560.378195735725 -137.755182068399 -749.659604509388</f>
        <v>-1447.7929823135119</v>
      </c>
      <c r="P4037">
        <f>-584.484075178097 -171.280415670349 -435.842615976812</f>
        <v>-1191.6071068252581</v>
      </c>
      <c r="Q4037">
        <f>-355.034094686024 -54.1655026659854 -471.603470457195</f>
        <v>-880.80306780920432</v>
      </c>
      <c r="R4037" t="s">
        <v>81380</v>
      </c>
      <c r="S4037" t="s">
        <v>81381</v>
      </c>
      <c r="T4037" t="s">
        <v>81382</v>
      </c>
      <c r="U4037" t="s">
        <v>81383</v>
      </c>
      <c r="V4037">
        <f>-544.862827772476 -25.0576306373322 -228.171489292156</f>
        <v>-798.09194770196416</v>
      </c>
      <c r="W4037" t="s">
        <v>81384</v>
      </c>
      <c r="X4037" t="s">
        <v>81385</v>
      </c>
      <c r="Y4037" t="s">
        <v>81386</v>
      </c>
    </row>
    <row r="4038" spans="1:25" x14ac:dyDescent="0.3">
      <c r="A4038">
        <v>201850</v>
      </c>
      <c r="B4038" t="s">
        <v>81387</v>
      </c>
      <c r="C4038" t="s">
        <v>81388</v>
      </c>
      <c r="D4038" t="s">
        <v>81389</v>
      </c>
      <c r="E4038" t="s">
        <v>81390</v>
      </c>
      <c r="F4038" t="s">
        <v>81391</v>
      </c>
      <c r="G4038" t="s">
        <v>81392</v>
      </c>
      <c r="H4038" t="s">
        <v>81393</v>
      </c>
      <c r="I4038" t="s">
        <v>81394</v>
      </c>
      <c r="J4038" t="s">
        <v>81395</v>
      </c>
      <c r="K4038" t="s">
        <v>81396</v>
      </c>
      <c r="L4038" t="s">
        <v>81397</v>
      </c>
      <c r="M4038" t="s">
        <v>81398</v>
      </c>
      <c r="N4038" t="s">
        <v>81399</v>
      </c>
      <c r="O4038">
        <f>-558.356926178204 -137.955198712072 -749.198749034755</f>
        <v>-1445.5108739250309</v>
      </c>
      <c r="P4038">
        <f>-583.270640886217 -170.5919633088 -435.351152535961</f>
        <v>-1189.213756730978</v>
      </c>
      <c r="Q4038">
        <f>-353.983013861822 -53.0117867593821 -470.62371366775</f>
        <v>-877.61851428895409</v>
      </c>
      <c r="R4038" t="s">
        <v>81400</v>
      </c>
      <c r="S4038" t="s">
        <v>81401</v>
      </c>
      <c r="T4038" t="s">
        <v>81402</v>
      </c>
      <c r="U4038" t="s">
        <v>81403</v>
      </c>
      <c r="V4038">
        <f>-544.453682124239 -24.451000018124 -228.17457045997</f>
        <v>-797.07925260233299</v>
      </c>
      <c r="W4038" t="s">
        <v>81404</v>
      </c>
      <c r="X4038" t="s">
        <v>81405</v>
      </c>
      <c r="Y4038" t="s">
        <v>81406</v>
      </c>
    </row>
    <row r="4039" spans="1:25" x14ac:dyDescent="0.3">
      <c r="A4039">
        <v>201900</v>
      </c>
      <c r="B4039" t="s">
        <v>81407</v>
      </c>
      <c r="C4039" t="s">
        <v>81408</v>
      </c>
      <c r="D4039" t="s">
        <v>81409</v>
      </c>
      <c r="E4039" t="s">
        <v>81410</v>
      </c>
      <c r="F4039" t="s">
        <v>81411</v>
      </c>
      <c r="G4039" t="s">
        <v>81412</v>
      </c>
      <c r="H4039" t="s">
        <v>81413</v>
      </c>
      <c r="I4039" t="s">
        <v>81414</v>
      </c>
      <c r="J4039" t="s">
        <v>81415</v>
      </c>
      <c r="K4039" t="s">
        <v>81416</v>
      </c>
      <c r="L4039" t="s">
        <v>81417</v>
      </c>
      <c r="M4039" t="s">
        <v>81418</v>
      </c>
      <c r="N4039" t="s">
        <v>81419</v>
      </c>
      <c r="O4039">
        <f>-557.498225807886 -137.953360174697 -748.940207139262</f>
        <v>-1444.391793121845</v>
      </c>
      <c r="P4039">
        <f>-582.768617828298 -169.982097653421 -435.058458567948</f>
        <v>-1187.809174049667</v>
      </c>
      <c r="Q4039">
        <f>-353.463000753654 -52.3326230606529 -469.981091753576</f>
        <v>-875.77671556788289</v>
      </c>
      <c r="R4039" t="s">
        <v>81420</v>
      </c>
      <c r="S4039" t="s">
        <v>81421</v>
      </c>
      <c r="T4039" t="s">
        <v>81422</v>
      </c>
      <c r="U4039" t="s">
        <v>81423</v>
      </c>
      <c r="V4039">
        <f>-544.060674302964 -23.9159300030148 -228.194462131274</f>
        <v>-796.17106643725276</v>
      </c>
      <c r="W4039" t="s">
        <v>81424</v>
      </c>
      <c r="X4039" t="s">
        <v>81425</v>
      </c>
      <c r="Y4039" t="s">
        <v>81426</v>
      </c>
    </row>
    <row r="4040" spans="1:25" x14ac:dyDescent="0.3">
      <c r="A4040">
        <v>201950</v>
      </c>
      <c r="B4040" t="s">
        <v>81427</v>
      </c>
      <c r="C4040" t="s">
        <v>81428</v>
      </c>
      <c r="D4040" t="s">
        <v>81429</v>
      </c>
      <c r="E4040" t="s">
        <v>81430</v>
      </c>
      <c r="F4040" t="s">
        <v>81431</v>
      </c>
      <c r="G4040" t="s">
        <v>81432</v>
      </c>
      <c r="H4040" t="s">
        <v>81433</v>
      </c>
      <c r="I4040" t="s">
        <v>81434</v>
      </c>
      <c r="J4040" t="s">
        <v>81435</v>
      </c>
      <c r="K4040" t="s">
        <v>81436</v>
      </c>
      <c r="L4040" t="s">
        <v>81437</v>
      </c>
      <c r="M4040" t="s">
        <v>81438</v>
      </c>
      <c r="N4040" t="s">
        <v>81439</v>
      </c>
      <c r="O4040">
        <f>-556.297800339483 -138.609049529746 -748.572234100231</f>
        <v>-1443.4790839694601</v>
      </c>
      <c r="P4040">
        <f>-582.099985969259 -169.609840565057 -434.63053123213</f>
        <v>-1186.340357766446</v>
      </c>
      <c r="Q4040">
        <f>-352.490959203317 -52.3823924340189 -468.973714108241</f>
        <v>-873.84706574557686</v>
      </c>
      <c r="R4040" t="s">
        <v>81440</v>
      </c>
      <c r="S4040" t="s">
        <v>81441</v>
      </c>
      <c r="T4040" t="s">
        <v>81442</v>
      </c>
      <c r="U4040" t="s">
        <v>81443</v>
      </c>
      <c r="V4040">
        <f>-543.231299948954 -24.2783312680805 -228.14287517209</f>
        <v>-795.65250638912448</v>
      </c>
      <c r="W4040" t="s">
        <v>81444</v>
      </c>
      <c r="X4040" t="s">
        <v>81445</v>
      </c>
      <c r="Y4040" t="s">
        <v>81446</v>
      </c>
    </row>
    <row r="4041" spans="1:25" x14ac:dyDescent="0.3">
      <c r="A4041">
        <v>202000</v>
      </c>
      <c r="B4041" t="s">
        <v>81447</v>
      </c>
      <c r="C4041" t="s">
        <v>81448</v>
      </c>
      <c r="D4041" t="s">
        <v>81449</v>
      </c>
      <c r="E4041" t="s">
        <v>81450</v>
      </c>
      <c r="F4041" t="s">
        <v>81451</v>
      </c>
      <c r="G4041" t="s">
        <v>81452</v>
      </c>
      <c r="H4041" t="s">
        <v>81453</v>
      </c>
      <c r="I4041" t="s">
        <v>81454</v>
      </c>
      <c r="J4041" t="s">
        <v>81455</v>
      </c>
      <c r="K4041" t="s">
        <v>81456</v>
      </c>
      <c r="L4041" t="s">
        <v>81457</v>
      </c>
      <c r="M4041" t="s">
        <v>81458</v>
      </c>
      <c r="N4041" t="s">
        <v>81459</v>
      </c>
      <c r="O4041">
        <f>-555.915164319182 -138.799440690105 -748.341603592516</f>
        <v>-1443.0562086018031</v>
      </c>
      <c r="P4041">
        <f>-581.902877097625 -169.389470047077 -434.375099515886</f>
        <v>-1185.667446660588</v>
      </c>
      <c r="Q4041">
        <f>-352.099443012899 -52.5039603833852 -468.583550529973</f>
        <v>-873.18695392625727</v>
      </c>
      <c r="R4041" t="s">
        <v>81460</v>
      </c>
      <c r="S4041" t="s">
        <v>81461</v>
      </c>
      <c r="T4041" t="s">
        <v>81462</v>
      </c>
      <c r="U4041" t="s">
        <v>81463</v>
      </c>
      <c r="V4041">
        <f>-543.005648843882 -23.9783270792578 -228.089356843136</f>
        <v>-795.07333276627583</v>
      </c>
      <c r="W4041" t="s">
        <v>81464</v>
      </c>
      <c r="X4041" t="s">
        <v>81465</v>
      </c>
      <c r="Y4041" t="s">
        <v>81466</v>
      </c>
    </row>
    <row r="4042" spans="1:25" x14ac:dyDescent="0.3">
      <c r="A4042">
        <v>202050</v>
      </c>
      <c r="B4042" t="s">
        <v>81467</v>
      </c>
      <c r="C4042" t="s">
        <v>81468</v>
      </c>
      <c r="D4042" t="s">
        <v>81469</v>
      </c>
      <c r="E4042" t="s">
        <v>81470</v>
      </c>
      <c r="F4042" t="s">
        <v>81471</v>
      </c>
      <c r="G4042" t="s">
        <v>81472</v>
      </c>
      <c r="H4042" t="s">
        <v>81473</v>
      </c>
      <c r="I4042" t="s">
        <v>81474</v>
      </c>
      <c r="J4042" t="s">
        <v>81475</v>
      </c>
      <c r="K4042" t="s">
        <v>81476</v>
      </c>
      <c r="L4042" t="s">
        <v>81477</v>
      </c>
      <c r="M4042" t="s">
        <v>81478</v>
      </c>
      <c r="N4042" t="s">
        <v>81479</v>
      </c>
      <c r="O4042">
        <f>-555.25454881718 -138.796705694601 -748.086669584975</f>
        <v>-1442.1379240967558</v>
      </c>
      <c r="P4042">
        <f>-581.595873636664 -168.669129752196 -434.08036508918</f>
        <v>-1184.34536847804</v>
      </c>
      <c r="Q4042">
        <f>-351.383162944142 -52.5610216303789 -468.184072786501</f>
        <v>-872.12825736102195</v>
      </c>
      <c r="R4042" t="s">
        <v>81480</v>
      </c>
      <c r="S4042" t="s">
        <v>81481</v>
      </c>
      <c r="T4042" t="s">
        <v>81482</v>
      </c>
      <c r="U4042" t="s">
        <v>81483</v>
      </c>
      <c r="V4042">
        <f>-542.315122431484 -23.5464115886529 -228.238452212709</f>
        <v>-794.09998623284594</v>
      </c>
      <c r="W4042" t="s">
        <v>81484</v>
      </c>
      <c r="X4042" t="s">
        <v>81485</v>
      </c>
      <c r="Y4042" t="s">
        <v>81486</v>
      </c>
    </row>
    <row r="4043" spans="1:25" x14ac:dyDescent="0.3">
      <c r="A4043">
        <v>202100</v>
      </c>
      <c r="B4043" t="s">
        <v>81487</v>
      </c>
      <c r="C4043" t="s">
        <v>81488</v>
      </c>
      <c r="D4043" t="s">
        <v>81489</v>
      </c>
      <c r="E4043" t="s">
        <v>81490</v>
      </c>
      <c r="F4043" t="s">
        <v>81491</v>
      </c>
      <c r="G4043" t="s">
        <v>81492</v>
      </c>
      <c r="H4043" t="s">
        <v>81493</v>
      </c>
      <c r="I4043" t="s">
        <v>81494</v>
      </c>
      <c r="J4043" t="s">
        <v>81495</v>
      </c>
      <c r="K4043" t="s">
        <v>81496</v>
      </c>
      <c r="L4043" t="s">
        <v>81497</v>
      </c>
      <c r="M4043" t="s">
        <v>81498</v>
      </c>
      <c r="N4043" t="s">
        <v>81499</v>
      </c>
      <c r="O4043">
        <f>-555.033914871544 -138.718561791162 -748.058410587663</f>
        <v>-1441.810887250369</v>
      </c>
      <c r="P4043">
        <f>-581.463209806743 -168.479562192454 -434.048942128601</f>
        <v>-1183.9917141277981</v>
      </c>
      <c r="Q4043">
        <f>-351.104825345797 -52.6373017206452 -468.072931977939</f>
        <v>-871.8150590443812</v>
      </c>
      <c r="R4043" t="s">
        <v>81500</v>
      </c>
      <c r="S4043" t="s">
        <v>81501</v>
      </c>
      <c r="T4043" t="s">
        <v>81502</v>
      </c>
      <c r="U4043" t="s">
        <v>81503</v>
      </c>
      <c r="V4043">
        <f>-542.121738466879 -23.6474760643095 -228.274631603398</f>
        <v>-794.04384613458649</v>
      </c>
      <c r="W4043" t="s">
        <v>81504</v>
      </c>
      <c r="X4043" t="s">
        <v>81505</v>
      </c>
      <c r="Y4043" t="s">
        <v>81506</v>
      </c>
    </row>
    <row r="4044" spans="1:25" x14ac:dyDescent="0.3">
      <c r="A4044">
        <v>202150</v>
      </c>
      <c r="B4044" t="s">
        <v>81507</v>
      </c>
      <c r="C4044" t="s">
        <v>81508</v>
      </c>
      <c r="D4044" t="s">
        <v>81509</v>
      </c>
      <c r="E4044" t="s">
        <v>81510</v>
      </c>
      <c r="F4044" t="s">
        <v>81511</v>
      </c>
      <c r="G4044" t="s">
        <v>81512</v>
      </c>
      <c r="H4044" t="s">
        <v>81513</v>
      </c>
      <c r="I4044" t="s">
        <v>81514</v>
      </c>
      <c r="J4044" t="s">
        <v>81515</v>
      </c>
      <c r="K4044" t="s">
        <v>81516</v>
      </c>
      <c r="L4044" t="s">
        <v>81517</v>
      </c>
      <c r="M4044" t="s">
        <v>81518</v>
      </c>
      <c r="N4044" t="s">
        <v>81519</v>
      </c>
      <c r="O4044">
        <f>-554.803241014814 -138.549730301601 -748.025018880756</f>
        <v>-1441.3779901971711</v>
      </c>
      <c r="P4044">
        <f>-581.31590116937 -168.097088553552 -434.002335903302</f>
        <v>-1183.4153256262241</v>
      </c>
      <c r="Q4044">
        <f>-350.606469733621 -53.0149502852751 -468.227255189678</f>
        <v>-871.84867520857415</v>
      </c>
      <c r="R4044" t="s">
        <v>81520</v>
      </c>
      <c r="S4044" t="s">
        <v>81521</v>
      </c>
      <c r="T4044" t="s">
        <v>81522</v>
      </c>
      <c r="U4044" t="s">
        <v>81523</v>
      </c>
      <c r="V4044">
        <f>-541.454151815445 -23.3757649851476 -228.314366295134</f>
        <v>-793.14428309572668</v>
      </c>
      <c r="W4044" t="s">
        <v>81524</v>
      </c>
      <c r="X4044" t="s">
        <v>81525</v>
      </c>
      <c r="Y4044" t="s">
        <v>81526</v>
      </c>
    </row>
    <row r="4045" spans="1:25" x14ac:dyDescent="0.3">
      <c r="A4045">
        <v>202200</v>
      </c>
      <c r="B4045" t="s">
        <v>81527</v>
      </c>
      <c r="C4045" t="s">
        <v>81528</v>
      </c>
      <c r="D4045" t="s">
        <v>81529</v>
      </c>
      <c r="E4045" t="s">
        <v>81530</v>
      </c>
      <c r="F4045" t="s">
        <v>81531</v>
      </c>
      <c r="G4045" t="s">
        <v>81532</v>
      </c>
      <c r="H4045" t="s">
        <v>81533</v>
      </c>
      <c r="I4045" t="s">
        <v>81534</v>
      </c>
      <c r="J4045" t="s">
        <v>81535</v>
      </c>
      <c r="K4045" t="s">
        <v>81536</v>
      </c>
      <c r="L4045" t="s">
        <v>81537</v>
      </c>
      <c r="M4045" t="s">
        <v>81538</v>
      </c>
      <c r="N4045" t="s">
        <v>81539</v>
      </c>
      <c r="O4045">
        <f>-554.903626461609 -138.600658050205 -747.960032594396</f>
        <v>-1441.4643171062098</v>
      </c>
      <c r="P4045">
        <f>-581.246339154794 -167.957876734433 -433.905288504284</f>
        <v>-1183.1095043935111</v>
      </c>
      <c r="Q4045">
        <f>-350.356663380148 -53.2955057067915 -468.322359290303</f>
        <v>-871.97452837724245</v>
      </c>
      <c r="R4045" t="s">
        <v>81540</v>
      </c>
      <c r="S4045" t="s">
        <v>81541</v>
      </c>
      <c r="T4045" t="s">
        <v>81542</v>
      </c>
      <c r="U4045" t="s">
        <v>81543</v>
      </c>
      <c r="V4045">
        <f>-541.158315856331 -23.2947457076268 -228.320572338104</f>
        <v>-792.77363390206187</v>
      </c>
      <c r="W4045" t="s">
        <v>81544</v>
      </c>
      <c r="X4045" t="s">
        <v>81545</v>
      </c>
      <c r="Y4045" t="s">
        <v>81546</v>
      </c>
    </row>
    <row r="4046" spans="1:25" x14ac:dyDescent="0.3">
      <c r="A4046">
        <v>202250</v>
      </c>
      <c r="B4046" t="s">
        <v>81547</v>
      </c>
      <c r="C4046" t="s">
        <v>81548</v>
      </c>
      <c r="D4046" t="s">
        <v>81549</v>
      </c>
      <c r="E4046" t="s">
        <v>81550</v>
      </c>
      <c r="F4046" t="s">
        <v>81551</v>
      </c>
      <c r="G4046" t="s">
        <v>81552</v>
      </c>
      <c r="H4046" t="s">
        <v>81553</v>
      </c>
      <c r="I4046" t="s">
        <v>81554</v>
      </c>
      <c r="J4046" t="s">
        <v>81555</v>
      </c>
      <c r="K4046" t="s">
        <v>81556</v>
      </c>
      <c r="L4046" t="s">
        <v>81557</v>
      </c>
      <c r="M4046" t="s">
        <v>81558</v>
      </c>
      <c r="N4046" t="s">
        <v>81559</v>
      </c>
      <c r="O4046">
        <f>-554.864234766438 -138.090347389386 -747.838123579283</f>
        <v>-1440.7927057351071</v>
      </c>
      <c r="P4046">
        <f>-580.989454936908 -167.03086739873 -433.726621243919</f>
        <v>-1181.746943579557</v>
      </c>
      <c r="Q4046">
        <f>-349.690783862829 -53.3090298248854 -468.516350239927</f>
        <v>-871.5161639276414</v>
      </c>
      <c r="R4046" t="s">
        <v>81560</v>
      </c>
      <c r="S4046" t="s">
        <v>81561</v>
      </c>
      <c r="T4046" t="s">
        <v>81562</v>
      </c>
      <c r="U4046" t="s">
        <v>81563</v>
      </c>
      <c r="V4046">
        <f>-540.679322510459 -22.2830385008904 -228.286377420183</f>
        <v>-791.24873843153227</v>
      </c>
      <c r="W4046" t="s">
        <v>81564</v>
      </c>
      <c r="X4046" t="s">
        <v>81565</v>
      </c>
      <c r="Y4046" t="s">
        <v>81566</v>
      </c>
    </row>
    <row r="4047" spans="1:25" x14ac:dyDescent="0.3">
      <c r="A4047">
        <v>202300</v>
      </c>
      <c r="B4047" t="s">
        <v>81567</v>
      </c>
      <c r="C4047" t="s">
        <v>81568</v>
      </c>
      <c r="D4047" t="s">
        <v>81569</v>
      </c>
      <c r="E4047" t="s">
        <v>81570</v>
      </c>
      <c r="F4047" t="s">
        <v>81571</v>
      </c>
      <c r="G4047" t="s">
        <v>81572</v>
      </c>
      <c r="H4047" t="s">
        <v>81573</v>
      </c>
      <c r="I4047" t="s">
        <v>81574</v>
      </c>
      <c r="J4047" t="s">
        <v>81575</v>
      </c>
      <c r="K4047" t="s">
        <v>81576</v>
      </c>
      <c r="L4047" t="s">
        <v>81577</v>
      </c>
      <c r="M4047" t="s">
        <v>81578</v>
      </c>
      <c r="N4047" t="s">
        <v>81579</v>
      </c>
      <c r="O4047">
        <f>-555.064383292515 -137.783472029507 -747.745519355139</f>
        <v>-1440.5933746771611</v>
      </c>
      <c r="P4047">
        <f>-581.062955056447 -166.357224663508 -433.589848703873</f>
        <v>-1181.0100284238279</v>
      </c>
      <c r="Q4047">
        <f>-349.508343364877 -53.2003306264687 -468.518903148899</f>
        <v>-871.22757714024476</v>
      </c>
      <c r="R4047" t="s">
        <v>81580</v>
      </c>
      <c r="S4047" t="s">
        <v>81581</v>
      </c>
      <c r="T4047" t="s">
        <v>81582</v>
      </c>
      <c r="U4047" t="s">
        <v>81583</v>
      </c>
      <c r="V4047">
        <f>-540.570005373769 -21.9166443553227 -228.30903839513</f>
        <v>-790.79568812422167</v>
      </c>
      <c r="W4047" t="s">
        <v>81584</v>
      </c>
      <c r="X4047" t="s">
        <v>81585</v>
      </c>
      <c r="Y4047" t="s">
        <v>81586</v>
      </c>
    </row>
    <row r="4048" spans="1:25" x14ac:dyDescent="0.3">
      <c r="A4048">
        <v>202350</v>
      </c>
      <c r="B4048" t="s">
        <v>81587</v>
      </c>
      <c r="C4048" t="s">
        <v>81588</v>
      </c>
      <c r="D4048" t="s">
        <v>81589</v>
      </c>
      <c r="E4048" t="s">
        <v>81590</v>
      </c>
      <c r="F4048" t="s">
        <v>81591</v>
      </c>
      <c r="G4048" t="s">
        <v>81592</v>
      </c>
      <c r="H4048" t="s">
        <v>81593</v>
      </c>
      <c r="I4048" t="s">
        <v>81594</v>
      </c>
      <c r="J4048" t="s">
        <v>81595</v>
      </c>
      <c r="K4048" t="s">
        <v>81596</v>
      </c>
      <c r="L4048" t="s">
        <v>81597</v>
      </c>
      <c r="M4048" t="s">
        <v>81598</v>
      </c>
      <c r="N4048" t="s">
        <v>81599</v>
      </c>
      <c r="O4048">
        <f>-554.543261889922 -137.307747360328 -747.646196632163</f>
        <v>-1439.4972058824128</v>
      </c>
      <c r="P4048">
        <f>-580.604345260244 -165.403700907348 -433.452721691698</f>
        <v>-1179.4607678592902</v>
      </c>
      <c r="Q4048">
        <f>-348.658140253564 -53.0420907082741 -468.350875426018</f>
        <v>-870.05110638785607</v>
      </c>
      <c r="R4048" t="s">
        <v>81600</v>
      </c>
      <c r="S4048" t="s">
        <v>81601</v>
      </c>
      <c r="T4048" t="s">
        <v>81602</v>
      </c>
      <c r="U4048" t="s">
        <v>81603</v>
      </c>
      <c r="V4048">
        <f>-540.248679019639 -21.3322409200421 -228.517193744026</f>
        <v>-790.09811368370708</v>
      </c>
      <c r="W4048" t="s">
        <v>81604</v>
      </c>
      <c r="X4048" t="s">
        <v>81605</v>
      </c>
      <c r="Y4048" t="s">
        <v>81606</v>
      </c>
    </row>
    <row r="4049" spans="1:25" x14ac:dyDescent="0.3">
      <c r="A4049">
        <v>202400</v>
      </c>
      <c r="B4049" t="s">
        <v>81607</v>
      </c>
      <c r="C4049" t="s">
        <v>81608</v>
      </c>
      <c r="D4049" t="s">
        <v>81609</v>
      </c>
      <c r="E4049" t="s">
        <v>81610</v>
      </c>
      <c r="F4049" t="s">
        <v>81611</v>
      </c>
      <c r="G4049" t="s">
        <v>81612</v>
      </c>
      <c r="H4049" t="s">
        <v>81613</v>
      </c>
      <c r="I4049" t="s">
        <v>81614</v>
      </c>
      <c r="J4049" t="s">
        <v>81615</v>
      </c>
      <c r="K4049" t="s">
        <v>81616</v>
      </c>
      <c r="L4049" t="s">
        <v>81617</v>
      </c>
      <c r="M4049" t="s">
        <v>81618</v>
      </c>
      <c r="N4049" t="s">
        <v>81619</v>
      </c>
      <c r="O4049">
        <f>-553.907854631542 -137.434696031933 -747.594312986108</f>
        <v>-1438.9368636495828</v>
      </c>
      <c r="P4049">
        <f>-580.140212683006 -165.188601698045 -433.384509709827</f>
        <v>-1178.7133240908779</v>
      </c>
      <c r="Q4049">
        <f>-347.991574854454 -53.2129098609218 -468.176584026144</f>
        <v>-869.38106874151981</v>
      </c>
      <c r="R4049" t="s">
        <v>81620</v>
      </c>
      <c r="S4049" t="s">
        <v>81621</v>
      </c>
      <c r="T4049" t="s">
        <v>81622</v>
      </c>
      <c r="U4049" t="s">
        <v>81623</v>
      </c>
      <c r="V4049">
        <f>-540.013507806235 -21.4191704038775 -228.637467361632</f>
        <v>-790.07014557174443</v>
      </c>
      <c r="W4049" t="s">
        <v>81624</v>
      </c>
      <c r="X4049" t="s">
        <v>81625</v>
      </c>
      <c r="Y4049" t="s">
        <v>81626</v>
      </c>
    </row>
    <row r="4050" spans="1:25" x14ac:dyDescent="0.3">
      <c r="A4050">
        <v>202450</v>
      </c>
      <c r="B4050" t="s">
        <v>81627</v>
      </c>
      <c r="C4050" t="s">
        <v>81628</v>
      </c>
      <c r="D4050" t="s">
        <v>81629</v>
      </c>
      <c r="E4050" t="s">
        <v>81630</v>
      </c>
      <c r="F4050" t="s">
        <v>81631</v>
      </c>
      <c r="G4050" t="s">
        <v>81632</v>
      </c>
      <c r="H4050" t="s">
        <v>81633</v>
      </c>
      <c r="I4050" t="s">
        <v>81634</v>
      </c>
      <c r="J4050" t="s">
        <v>81635</v>
      </c>
      <c r="K4050" t="s">
        <v>81636</v>
      </c>
      <c r="L4050" t="s">
        <v>81637</v>
      </c>
      <c r="M4050" t="s">
        <v>81638</v>
      </c>
      <c r="N4050" t="s">
        <v>81639</v>
      </c>
      <c r="O4050">
        <f>-553.672712449339 -137.630231877208 -747.408252997877</f>
        <v>-1438.7111973244239</v>
      </c>
      <c r="P4050">
        <f>-580.367807465966 -164.855634257792 -433.191150498039</f>
        <v>-1178.414592221797</v>
      </c>
      <c r="Q4050">
        <f>-348.007990319395 -53.2529941119036 -467.772078421942</f>
        <v>-869.03306285324061</v>
      </c>
      <c r="R4050" t="s">
        <v>81640</v>
      </c>
      <c r="S4050" t="s">
        <v>81641</v>
      </c>
      <c r="T4050" t="s">
        <v>81642</v>
      </c>
      <c r="U4050" t="s">
        <v>81643</v>
      </c>
      <c r="V4050">
        <f>-539.83429689589 -21.1796847208494 -228.892044318757</f>
        <v>-789.90602593549647</v>
      </c>
      <c r="W4050" t="s">
        <v>81644</v>
      </c>
      <c r="X4050" t="s">
        <v>81645</v>
      </c>
      <c r="Y4050" t="s">
        <v>81646</v>
      </c>
    </row>
    <row r="4051" spans="1:25" x14ac:dyDescent="0.3">
      <c r="A4051">
        <v>202500</v>
      </c>
      <c r="B4051" t="s">
        <v>81647</v>
      </c>
      <c r="C4051" t="s">
        <v>81648</v>
      </c>
      <c r="D4051" t="s">
        <v>81649</v>
      </c>
      <c r="E4051" t="s">
        <v>81650</v>
      </c>
      <c r="F4051" t="s">
        <v>81651</v>
      </c>
      <c r="G4051" t="s">
        <v>81652</v>
      </c>
      <c r="H4051" t="s">
        <v>81653</v>
      </c>
      <c r="I4051" t="s">
        <v>81654</v>
      </c>
      <c r="J4051" t="s">
        <v>81655</v>
      </c>
      <c r="K4051" t="s">
        <v>81656</v>
      </c>
      <c r="L4051" t="s">
        <v>81657</v>
      </c>
      <c r="M4051" t="s">
        <v>81658</v>
      </c>
      <c r="N4051" t="s">
        <v>81659</v>
      </c>
      <c r="O4051">
        <f>-553.322100662264 -137.934886972987 -747.342690592158</f>
        <v>-1438.599678227409</v>
      </c>
      <c r="P4051">
        <f>-580.169385913749 -164.858885101919 -433.112599848473</f>
        <v>-1178.1408708641411</v>
      </c>
      <c r="Q4051">
        <f>-347.735609255126 -53.3890494977129 -467.624692962504</f>
        <v>-868.74935171534298</v>
      </c>
      <c r="R4051" t="s">
        <v>81660</v>
      </c>
      <c r="S4051" t="s">
        <v>81661</v>
      </c>
      <c r="T4051" t="s">
        <v>81662</v>
      </c>
      <c r="U4051" t="s">
        <v>81663</v>
      </c>
      <c r="V4051">
        <f>-539.720218901202 -21.2615506358026 -229.018473469418</f>
        <v>-790.00024300642258</v>
      </c>
      <c r="W4051" t="s">
        <v>81664</v>
      </c>
      <c r="X4051" t="s">
        <v>81665</v>
      </c>
      <c r="Y4051" t="s">
        <v>81666</v>
      </c>
    </row>
    <row r="4052" spans="1:25" x14ac:dyDescent="0.3">
      <c r="A4052">
        <v>202550</v>
      </c>
      <c r="B4052" t="s">
        <v>81667</v>
      </c>
      <c r="C4052" t="s">
        <v>81668</v>
      </c>
      <c r="D4052" t="s">
        <v>81669</v>
      </c>
      <c r="E4052" t="s">
        <v>81670</v>
      </c>
      <c r="F4052" t="s">
        <v>81671</v>
      </c>
      <c r="G4052" t="s">
        <v>81672</v>
      </c>
      <c r="H4052" t="s">
        <v>81673</v>
      </c>
      <c r="I4052" t="s">
        <v>81674</v>
      </c>
      <c r="J4052" t="s">
        <v>81675</v>
      </c>
      <c r="K4052" t="s">
        <v>81676</v>
      </c>
      <c r="L4052" t="s">
        <v>81677</v>
      </c>
      <c r="M4052" t="s">
        <v>81678</v>
      </c>
      <c r="N4052" t="s">
        <v>81679</v>
      </c>
      <c r="O4052">
        <f>-553.247937404145 -138.355048716542 -747.065004603889</f>
        <v>-1438.6679907245759</v>
      </c>
      <c r="P4052">
        <f>-580.42089554328 -164.508028666913 -432.797760173993</f>
        <v>-1177.726684384186</v>
      </c>
      <c r="Q4052">
        <f>-347.908537281966 -53.1775734381625 -467.23026751286</f>
        <v>-868.31637823298843</v>
      </c>
      <c r="R4052" t="s">
        <v>81680</v>
      </c>
      <c r="S4052" t="s">
        <v>81681</v>
      </c>
      <c r="T4052" t="s">
        <v>81682</v>
      </c>
      <c r="U4052" t="s">
        <v>81683</v>
      </c>
      <c r="V4052">
        <f>-539.629696670694 -21.2789707113047 -229.132518313825</f>
        <v>-790.04118569582374</v>
      </c>
      <c r="W4052" t="s">
        <v>81684</v>
      </c>
      <c r="X4052" t="s">
        <v>81685</v>
      </c>
      <c r="Y4052" t="s">
        <v>81686</v>
      </c>
    </row>
    <row r="4053" spans="1:25" x14ac:dyDescent="0.3">
      <c r="A4053">
        <v>202600</v>
      </c>
      <c r="B4053" t="s">
        <v>81687</v>
      </c>
      <c r="C4053" t="s">
        <v>81688</v>
      </c>
      <c r="D4053" t="s">
        <v>81689</v>
      </c>
      <c r="E4053" t="s">
        <v>81690</v>
      </c>
      <c r="F4053" t="s">
        <v>81691</v>
      </c>
      <c r="G4053" t="s">
        <v>81692</v>
      </c>
      <c r="H4053" t="s">
        <v>81693</v>
      </c>
      <c r="I4053" t="s">
        <v>81694</v>
      </c>
      <c r="J4053" t="s">
        <v>81695</v>
      </c>
      <c r="K4053" t="s">
        <v>81696</v>
      </c>
      <c r="L4053" t="s">
        <v>81697</v>
      </c>
      <c r="M4053" t="s">
        <v>81698</v>
      </c>
      <c r="N4053" t="s">
        <v>81699</v>
      </c>
      <c r="O4053">
        <f>-553.008271166151 -138.639964652942 -746.940577115983</f>
        <v>-1438.588812935076</v>
      </c>
      <c r="P4053">
        <f>-580.21270904181 -164.405317189632 -432.644185930577</f>
        <v>-1177.2622121620188</v>
      </c>
      <c r="Q4053">
        <f>-347.663626101993 -53.1420147993851 -467.045669700907</f>
        <v>-867.85131060228514</v>
      </c>
      <c r="R4053" t="s">
        <v>81700</v>
      </c>
      <c r="S4053" t="s">
        <v>81701</v>
      </c>
      <c r="T4053" t="s">
        <v>81702</v>
      </c>
      <c r="U4053" t="s">
        <v>81703</v>
      </c>
      <c r="V4053">
        <f>-539.628001351119 -21.257355385863 -229.180878063416</f>
        <v>-790.06623480039798</v>
      </c>
      <c r="W4053" t="s">
        <v>81704</v>
      </c>
      <c r="X4053" t="s">
        <v>81705</v>
      </c>
      <c r="Y4053" t="s">
        <v>81706</v>
      </c>
    </row>
    <row r="4054" spans="1:25" x14ac:dyDescent="0.3">
      <c r="A4054">
        <v>202650</v>
      </c>
      <c r="B4054" t="s">
        <v>81707</v>
      </c>
      <c r="C4054" t="s">
        <v>81708</v>
      </c>
      <c r="D4054" t="s">
        <v>81709</v>
      </c>
      <c r="E4054" t="s">
        <v>81710</v>
      </c>
      <c r="F4054" t="s">
        <v>81711</v>
      </c>
      <c r="G4054" t="s">
        <v>81712</v>
      </c>
      <c r="H4054" t="s">
        <v>81713</v>
      </c>
      <c r="I4054" t="s">
        <v>81714</v>
      </c>
      <c r="J4054" t="s">
        <v>81715</v>
      </c>
      <c r="K4054" t="s">
        <v>81716</v>
      </c>
      <c r="L4054" t="s">
        <v>81717</v>
      </c>
      <c r="M4054" t="s">
        <v>81718</v>
      </c>
      <c r="N4054" t="s">
        <v>81719</v>
      </c>
      <c r="O4054">
        <f>-553.127942782804 -138.650589907363 -746.613455666444</f>
        <v>-1438.3919883566109</v>
      </c>
      <c r="P4054">
        <f>-580.30564128069 -163.902552246134 -432.272984482612</f>
        <v>-1176.481178009436</v>
      </c>
      <c r="Q4054">
        <f>-347.839536342154 -52.5194791146177 -466.847501184994</f>
        <v>-867.20651664176569</v>
      </c>
      <c r="R4054" t="s">
        <v>81720</v>
      </c>
      <c r="S4054" t="s">
        <v>81721</v>
      </c>
      <c r="T4054" t="s">
        <v>81722</v>
      </c>
      <c r="U4054" t="s">
        <v>81723</v>
      </c>
      <c r="V4054">
        <f>-539.849202629841 -20.8698928953648 -229.134407089465</f>
        <v>-789.85350261467079</v>
      </c>
      <c r="W4054" t="s">
        <v>81724</v>
      </c>
      <c r="X4054" t="s">
        <v>81725</v>
      </c>
      <c r="Y4054" t="s">
        <v>81726</v>
      </c>
    </row>
    <row r="4055" spans="1:25" x14ac:dyDescent="0.3">
      <c r="A4055">
        <v>202700</v>
      </c>
      <c r="B4055" t="s">
        <v>81727</v>
      </c>
      <c r="C4055" t="s">
        <v>81728</v>
      </c>
      <c r="D4055" t="s">
        <v>81729</v>
      </c>
      <c r="E4055" t="s">
        <v>81730</v>
      </c>
      <c r="F4055" t="s">
        <v>81731</v>
      </c>
      <c r="G4055" t="s">
        <v>81732</v>
      </c>
      <c r="H4055" t="s">
        <v>81733</v>
      </c>
      <c r="I4055" t="s">
        <v>81734</v>
      </c>
      <c r="J4055" t="s">
        <v>81735</v>
      </c>
      <c r="K4055" t="s">
        <v>81736</v>
      </c>
      <c r="L4055" t="s">
        <v>81737</v>
      </c>
      <c r="M4055" t="s">
        <v>81738</v>
      </c>
      <c r="N4055" t="s">
        <v>81739</v>
      </c>
      <c r="O4055">
        <f>-553.133704065272 -138.765013348494 -746.524567669599</f>
        <v>-1438.423285083365</v>
      </c>
      <c r="P4055">
        <f>-580.219071111045 -163.798625530945 -432.158809003524</f>
        <v>-1176.176505645514</v>
      </c>
      <c r="Q4055">
        <f>-347.793916066648 -52.3714636769247 -466.866026400177</f>
        <v>-867.03140614374979</v>
      </c>
      <c r="R4055" t="s">
        <v>81740</v>
      </c>
      <c r="S4055" t="s">
        <v>81741</v>
      </c>
      <c r="T4055" t="s">
        <v>81742</v>
      </c>
      <c r="U4055" t="s">
        <v>81743</v>
      </c>
      <c r="V4055">
        <f>-539.817523315702 -20.8878385624227 -229.198976696018</f>
        <v>-789.90433857414268</v>
      </c>
      <c r="W4055" t="s">
        <v>81744</v>
      </c>
      <c r="X4055" t="s">
        <v>81745</v>
      </c>
      <c r="Y4055" t="s">
        <v>81746</v>
      </c>
    </row>
    <row r="4056" spans="1:25" x14ac:dyDescent="0.3">
      <c r="A4056">
        <v>202750</v>
      </c>
      <c r="B4056" t="s">
        <v>81747</v>
      </c>
      <c r="C4056" t="s">
        <v>81748</v>
      </c>
      <c r="D4056" t="s">
        <v>81749</v>
      </c>
      <c r="E4056" t="s">
        <v>81750</v>
      </c>
      <c r="F4056" t="s">
        <v>81751</v>
      </c>
      <c r="G4056" t="s">
        <v>81752</v>
      </c>
      <c r="H4056" t="s">
        <v>81753</v>
      </c>
      <c r="I4056" t="s">
        <v>81754</v>
      </c>
      <c r="J4056" t="s">
        <v>81755</v>
      </c>
      <c r="K4056" t="s">
        <v>81756</v>
      </c>
      <c r="L4056" t="s">
        <v>81757</v>
      </c>
      <c r="M4056" t="s">
        <v>81758</v>
      </c>
      <c r="N4056" t="s">
        <v>81759</v>
      </c>
      <c r="O4056">
        <f>-553.2955574696 -138.777494385865 -746.30149150142</f>
        <v>-1438.3745433568849</v>
      </c>
      <c r="P4056">
        <f>-580.121700696624 -163.581007130193 -431.895182109099</f>
        <v>-1175.5978899359161</v>
      </c>
      <c r="Q4056">
        <f>-347.827508475797 -51.9612752812076 -466.859471375759</f>
        <v>-866.64825513276355</v>
      </c>
      <c r="R4056" t="s">
        <v>81760</v>
      </c>
      <c r="S4056" t="s">
        <v>81761</v>
      </c>
      <c r="T4056" t="s">
        <v>81762</v>
      </c>
      <c r="U4056" t="s">
        <v>81763</v>
      </c>
      <c r="V4056">
        <f>-539.994829585533 -20.8291676623149 -229.208203204311</f>
        <v>-790.03220045215892</v>
      </c>
      <c r="W4056" t="s">
        <v>81764</v>
      </c>
      <c r="X4056" t="s">
        <v>81765</v>
      </c>
      <c r="Y4056" t="s">
        <v>81766</v>
      </c>
    </row>
    <row r="4057" spans="1:25" x14ac:dyDescent="0.3">
      <c r="A4057">
        <v>202800</v>
      </c>
      <c r="B4057" t="s">
        <v>81767</v>
      </c>
      <c r="C4057" t="s">
        <v>81768</v>
      </c>
      <c r="D4057" t="s">
        <v>81769</v>
      </c>
      <c r="E4057" t="s">
        <v>81770</v>
      </c>
      <c r="F4057" t="s">
        <v>81771</v>
      </c>
      <c r="G4057" t="s">
        <v>81772</v>
      </c>
      <c r="H4057" t="s">
        <v>81773</v>
      </c>
      <c r="I4057" t="s">
        <v>81774</v>
      </c>
      <c r="J4057" t="s">
        <v>81775</v>
      </c>
      <c r="K4057" t="s">
        <v>81776</v>
      </c>
      <c r="L4057" t="s">
        <v>81777</v>
      </c>
      <c r="M4057" t="s">
        <v>81778</v>
      </c>
      <c r="N4057" t="s">
        <v>81779</v>
      </c>
      <c r="O4057">
        <f>-553.53360154367 -138.870996665201 -746.192168678165</f>
        <v>-1438.596766887036</v>
      </c>
      <c r="P4057">
        <f>-580.201877896772 -163.482488750381 -431.757331766196</f>
        <v>-1175.4416984133491</v>
      </c>
      <c r="Q4057">
        <f>-347.948988420116 -51.8310044120003 -466.89396148198</f>
        <v>-866.67395431409636</v>
      </c>
      <c r="R4057" t="s">
        <v>81780</v>
      </c>
      <c r="S4057" t="s">
        <v>81781</v>
      </c>
      <c r="T4057" t="s">
        <v>81782</v>
      </c>
      <c r="U4057" t="s">
        <v>81783</v>
      </c>
      <c r="V4057">
        <f>-540.022317996516 -20.7807738887444 -229.221436383303</f>
        <v>-790.02452826856347</v>
      </c>
      <c r="W4057" t="s">
        <v>81784</v>
      </c>
      <c r="X4057" t="s">
        <v>81785</v>
      </c>
      <c r="Y4057" t="s">
        <v>81786</v>
      </c>
    </row>
    <row r="4058" spans="1:25" x14ac:dyDescent="0.3">
      <c r="A4058">
        <v>202850</v>
      </c>
      <c r="B4058" t="s">
        <v>81787</v>
      </c>
      <c r="C4058" t="s">
        <v>81788</v>
      </c>
      <c r="D4058" t="s">
        <v>81789</v>
      </c>
      <c r="E4058" t="s">
        <v>81790</v>
      </c>
      <c r="F4058" t="s">
        <v>81791</v>
      </c>
      <c r="G4058" t="s">
        <v>81792</v>
      </c>
      <c r="H4058" t="s">
        <v>81793</v>
      </c>
      <c r="I4058" t="s">
        <v>81794</v>
      </c>
      <c r="J4058" t="s">
        <v>81795</v>
      </c>
      <c r="K4058" t="s">
        <v>81796</v>
      </c>
      <c r="L4058" t="s">
        <v>81797</v>
      </c>
      <c r="M4058" t="s">
        <v>81798</v>
      </c>
      <c r="N4058" t="s">
        <v>81799</v>
      </c>
      <c r="O4058">
        <f>-553.704940076197 -138.915963802365 -745.97676506218</f>
        <v>-1438.5976689407421</v>
      </c>
      <c r="P4058">
        <f>-579.961328157772 -163.182861266417 -431.480550043645</f>
        <v>-1174.6247394678339</v>
      </c>
      <c r="Q4058">
        <f>-347.755766159608 -51.5236394159135 -466.903818082548</f>
        <v>-866.18322365806955</v>
      </c>
      <c r="R4058" t="s">
        <v>81800</v>
      </c>
      <c r="S4058" t="s">
        <v>81801</v>
      </c>
      <c r="T4058" t="s">
        <v>81802</v>
      </c>
      <c r="U4058" t="s">
        <v>81803</v>
      </c>
      <c r="V4058">
        <f>-540.193852095618 -20.5824437130537 -229.192365839046</f>
        <v>-789.96866164771779</v>
      </c>
      <c r="W4058" t="s">
        <v>81804</v>
      </c>
      <c r="X4058" t="s">
        <v>81805</v>
      </c>
      <c r="Y4058" t="s">
        <v>81806</v>
      </c>
    </row>
    <row r="4059" spans="1:25" x14ac:dyDescent="0.3">
      <c r="A4059">
        <v>202900</v>
      </c>
      <c r="B4059" t="s">
        <v>81807</v>
      </c>
      <c r="C4059" t="s">
        <v>81808</v>
      </c>
      <c r="D4059" t="s">
        <v>81809</v>
      </c>
      <c r="E4059" t="s">
        <v>81810</v>
      </c>
      <c r="F4059" t="s">
        <v>81811</v>
      </c>
      <c r="G4059" t="s">
        <v>81812</v>
      </c>
      <c r="H4059" t="s">
        <v>81813</v>
      </c>
      <c r="I4059" t="s">
        <v>81814</v>
      </c>
      <c r="J4059" t="s">
        <v>81815</v>
      </c>
      <c r="K4059" t="s">
        <v>81816</v>
      </c>
      <c r="L4059" t="s">
        <v>81817</v>
      </c>
      <c r="M4059" t="s">
        <v>81818</v>
      </c>
      <c r="N4059" t="s">
        <v>81819</v>
      </c>
      <c r="O4059">
        <f>-554.034469067209 -138.931029355112 -745.863472357224</f>
        <v>-1438.828970779545</v>
      </c>
      <c r="P4059">
        <f>-580.203441001972 -163.074572781429 -431.350475342979</f>
        <v>-1174.6284891263799</v>
      </c>
      <c r="Q4059">
        <f>-348.006898731125 -51.4373482248676 -466.902525417416</f>
        <v>-866.34677237340861</v>
      </c>
      <c r="R4059" t="s">
        <v>81820</v>
      </c>
      <c r="S4059" t="s">
        <v>81821</v>
      </c>
      <c r="T4059" t="s">
        <v>81822</v>
      </c>
      <c r="U4059" t="s">
        <v>81823</v>
      </c>
      <c r="V4059">
        <f>-540.24019516561 -20.4793088661755 -229.11354104025</f>
        <v>-789.83304507203547</v>
      </c>
      <c r="W4059" t="s">
        <v>81824</v>
      </c>
      <c r="X4059" t="s">
        <v>81825</v>
      </c>
      <c r="Y4059" t="s">
        <v>81826</v>
      </c>
    </row>
    <row r="4060" spans="1:25" x14ac:dyDescent="0.3">
      <c r="A4060">
        <v>202950</v>
      </c>
      <c r="B4060" t="s">
        <v>81827</v>
      </c>
      <c r="C4060" t="s">
        <v>81828</v>
      </c>
      <c r="D4060" t="s">
        <v>81829</v>
      </c>
      <c r="E4060" t="s">
        <v>81830</v>
      </c>
      <c r="F4060" t="s">
        <v>81831</v>
      </c>
      <c r="G4060" t="s">
        <v>81832</v>
      </c>
      <c r="H4060" t="s">
        <v>81833</v>
      </c>
      <c r="I4060" t="s">
        <v>81834</v>
      </c>
      <c r="J4060" t="s">
        <v>81835</v>
      </c>
      <c r="K4060" t="s">
        <v>81836</v>
      </c>
      <c r="L4060" t="s">
        <v>81837</v>
      </c>
      <c r="M4060" t="s">
        <v>81838</v>
      </c>
      <c r="N4060" t="s">
        <v>81839</v>
      </c>
      <c r="O4060">
        <f>-554.253712465088 -138.999608708383 -745.736354639003</f>
        <v>-1438.9896758124742</v>
      </c>
      <c r="P4060">
        <f>-580.034585368528 -162.94684815195 -431.176221878875</f>
        <v>-1174.1576553993532</v>
      </c>
      <c r="Q4060">
        <f>-347.861376324615 -51.3400425717695 -466.975474877812</f>
        <v>-866.17689377419651</v>
      </c>
      <c r="R4060" t="s">
        <v>81840</v>
      </c>
      <c r="S4060" t="s">
        <v>81841</v>
      </c>
      <c r="T4060" t="s">
        <v>81842</v>
      </c>
      <c r="U4060" t="s">
        <v>81843</v>
      </c>
      <c r="V4060">
        <f>-539.920676759024 -20.5489462113787 -229.086046003479</f>
        <v>-789.55566897388167</v>
      </c>
      <c r="W4060" t="s">
        <v>81844</v>
      </c>
      <c r="X4060" t="s">
        <v>81845</v>
      </c>
      <c r="Y4060" t="s">
        <v>81846</v>
      </c>
    </row>
    <row r="4061" spans="1:25" x14ac:dyDescent="0.3">
      <c r="A4061">
        <v>203000</v>
      </c>
      <c r="B4061" t="s">
        <v>81847</v>
      </c>
      <c r="C4061" t="s">
        <v>81848</v>
      </c>
      <c r="D4061" t="s">
        <v>81849</v>
      </c>
      <c r="E4061" t="s">
        <v>81850</v>
      </c>
      <c r="F4061" t="s">
        <v>81851</v>
      </c>
      <c r="G4061" t="s">
        <v>81852</v>
      </c>
      <c r="H4061" t="s">
        <v>81853</v>
      </c>
      <c r="I4061" t="s">
        <v>81854</v>
      </c>
      <c r="J4061" t="s">
        <v>81855</v>
      </c>
      <c r="K4061" t="s">
        <v>81856</v>
      </c>
      <c r="L4061" t="s">
        <v>81857</v>
      </c>
      <c r="M4061" t="s">
        <v>81858</v>
      </c>
      <c r="N4061" t="s">
        <v>81859</v>
      </c>
      <c r="O4061">
        <f>-554.36878614437 -138.80023664563 -745.688206146592</f>
        <v>-1438.857228936592</v>
      </c>
      <c r="P4061">
        <f>-580.004074665509 -162.721694035246 -431.114240876986</f>
        <v>-1173.8400095777411</v>
      </c>
      <c r="Q4061">
        <f>-347.856634525498 -51.0887499991793 -466.9990027175</f>
        <v>-865.9443872421773</v>
      </c>
      <c r="R4061" t="s">
        <v>81860</v>
      </c>
      <c r="S4061" t="s">
        <v>81861</v>
      </c>
      <c r="T4061" t="s">
        <v>81862</v>
      </c>
      <c r="U4061" t="s">
        <v>81863</v>
      </c>
      <c r="V4061">
        <f>-539.786594988378 -20.3127158086299 -229.021051192484</f>
        <v>-789.12036198949204</v>
      </c>
      <c r="W4061" t="s">
        <v>81864</v>
      </c>
      <c r="X4061" t="s">
        <v>81865</v>
      </c>
      <c r="Y4061" t="s">
        <v>81866</v>
      </c>
    </row>
    <row r="4062" spans="1:25" x14ac:dyDescent="0.3">
      <c r="A4062">
        <v>203050</v>
      </c>
      <c r="B4062" t="s">
        <v>81867</v>
      </c>
      <c r="C4062" t="s">
        <v>81868</v>
      </c>
      <c r="D4062" t="s">
        <v>81869</v>
      </c>
      <c r="E4062" t="s">
        <v>81870</v>
      </c>
      <c r="F4062" t="s">
        <v>81871</v>
      </c>
      <c r="G4062" t="s">
        <v>81872</v>
      </c>
      <c r="H4062" t="s">
        <v>81873</v>
      </c>
      <c r="I4062" t="s">
        <v>81874</v>
      </c>
      <c r="J4062" t="s">
        <v>81875</v>
      </c>
      <c r="K4062" t="s">
        <v>81876</v>
      </c>
      <c r="L4062" t="s">
        <v>81877</v>
      </c>
      <c r="M4062" t="s">
        <v>81878</v>
      </c>
      <c r="N4062" t="s">
        <v>81879</v>
      </c>
      <c r="O4062">
        <f>-554.36848524917 -138.539305337291 -745.588655504684</f>
        <v>-1438.4964460911451</v>
      </c>
      <c r="P4062">
        <f>-579.677418348765 -162.202859215812 -430.968611331047</f>
        <v>-1172.848888895624</v>
      </c>
      <c r="Q4062">
        <f>-347.566168839497 -50.5259810492774 -466.950803856264</f>
        <v>-865.0429537450384</v>
      </c>
      <c r="R4062" t="s">
        <v>81880</v>
      </c>
      <c r="S4062" t="s">
        <v>81881</v>
      </c>
      <c r="T4062" t="s">
        <v>81882</v>
      </c>
      <c r="U4062" t="s">
        <v>81883</v>
      </c>
      <c r="V4062">
        <f>-539.333784762138 -19.9534452672897 -228.996832717538</f>
        <v>-788.28406274696567</v>
      </c>
      <c r="W4062" t="s">
        <v>81884</v>
      </c>
      <c r="X4062" t="s">
        <v>81885</v>
      </c>
      <c r="Y4062" t="s">
        <v>81886</v>
      </c>
    </row>
    <row r="4063" spans="1:25" x14ac:dyDescent="0.3">
      <c r="A4063">
        <v>203100</v>
      </c>
      <c r="B4063" t="s">
        <v>81887</v>
      </c>
      <c r="C4063" t="s">
        <v>81888</v>
      </c>
      <c r="D4063" t="s">
        <v>81889</v>
      </c>
      <c r="E4063" t="s">
        <v>81890</v>
      </c>
      <c r="F4063" t="s">
        <v>81891</v>
      </c>
      <c r="G4063" t="s">
        <v>81892</v>
      </c>
      <c r="H4063" t="s">
        <v>81893</v>
      </c>
      <c r="I4063" t="s">
        <v>81894</v>
      </c>
      <c r="J4063" t="s">
        <v>81895</v>
      </c>
      <c r="K4063" t="s">
        <v>81896</v>
      </c>
      <c r="L4063" t="s">
        <v>81897</v>
      </c>
      <c r="M4063" t="s">
        <v>81898</v>
      </c>
      <c r="N4063" t="s">
        <v>81899</v>
      </c>
      <c r="O4063">
        <f>-554.303020542079 -138.57623892565 -745.505247649127</f>
        <v>-1438.3845071168562</v>
      </c>
      <c r="P4063">
        <f>-579.466339118559 -162.191531343708 -430.869965892567</f>
        <v>-1172.5278363548339</v>
      </c>
      <c r="Q4063">
        <f>-347.410906776441 -50.436441220047 -466.968678179666</f>
        <v>-864.81602617615397</v>
      </c>
      <c r="R4063" t="s">
        <v>81900</v>
      </c>
      <c r="S4063" t="s">
        <v>81901</v>
      </c>
      <c r="T4063" t="s">
        <v>81902</v>
      </c>
      <c r="U4063" t="s">
        <v>81903</v>
      </c>
      <c r="V4063">
        <f>-539.10733051638 -20.004358587299 -228.952553140399</f>
        <v>-788.06424224407795</v>
      </c>
      <c r="W4063" t="s">
        <v>81904</v>
      </c>
      <c r="X4063" t="s">
        <v>81905</v>
      </c>
      <c r="Y4063" t="s">
        <v>81906</v>
      </c>
    </row>
    <row r="4064" spans="1:25" x14ac:dyDescent="0.3">
      <c r="A4064">
        <v>203150</v>
      </c>
      <c r="B4064" t="s">
        <v>81907</v>
      </c>
      <c r="C4064" t="s">
        <v>81908</v>
      </c>
      <c r="D4064" t="s">
        <v>81909</v>
      </c>
      <c r="E4064" t="s">
        <v>81910</v>
      </c>
      <c r="F4064" t="s">
        <v>81911</v>
      </c>
      <c r="G4064" t="s">
        <v>81912</v>
      </c>
      <c r="H4064" t="s">
        <v>81913</v>
      </c>
      <c r="I4064" t="s">
        <v>81914</v>
      </c>
      <c r="J4064" t="s">
        <v>81915</v>
      </c>
      <c r="K4064" t="s">
        <v>81916</v>
      </c>
      <c r="L4064" t="s">
        <v>81917</v>
      </c>
      <c r="M4064" t="s">
        <v>81918</v>
      </c>
      <c r="N4064" t="s">
        <v>81919</v>
      </c>
      <c r="O4064">
        <f>-554.039723033424 -138.795069666217 -745.38496971803</f>
        <v>-1438.2197624176711</v>
      </c>
      <c r="P4064">
        <f>-578.970389379238 -162.168350397432 -430.713264627549</f>
        <v>-1171.8520044042191</v>
      </c>
      <c r="Q4064">
        <f>-346.985542856012 -50.326608795452 -466.996852461889</f>
        <v>-864.30900411335301</v>
      </c>
      <c r="R4064" t="s">
        <v>81920</v>
      </c>
      <c r="S4064" t="s">
        <v>81921</v>
      </c>
      <c r="T4064" t="s">
        <v>81922</v>
      </c>
      <c r="U4064" t="s">
        <v>81923</v>
      </c>
      <c r="V4064">
        <f>-538.655899830144 -19.8861490312699 -228.893933420426</f>
        <v>-787.43598228183998</v>
      </c>
      <c r="W4064" t="s">
        <v>81924</v>
      </c>
      <c r="X4064" t="s">
        <v>81925</v>
      </c>
      <c r="Y4064" t="s">
        <v>81926</v>
      </c>
    </row>
    <row r="4065" spans="1:25" x14ac:dyDescent="0.3">
      <c r="A4065">
        <v>203200</v>
      </c>
      <c r="B4065" t="s">
        <v>81927</v>
      </c>
      <c r="C4065" t="s">
        <v>81928</v>
      </c>
      <c r="D4065" t="s">
        <v>81929</v>
      </c>
      <c r="E4065" t="s">
        <v>81930</v>
      </c>
      <c r="F4065" t="s">
        <v>81931</v>
      </c>
      <c r="G4065" t="s">
        <v>81932</v>
      </c>
      <c r="H4065" t="s">
        <v>81933</v>
      </c>
      <c r="I4065" t="s">
        <v>81934</v>
      </c>
      <c r="J4065" t="s">
        <v>81935</v>
      </c>
      <c r="K4065" t="s">
        <v>81936</v>
      </c>
      <c r="L4065" t="s">
        <v>81937</v>
      </c>
      <c r="M4065" t="s">
        <v>81938</v>
      </c>
      <c r="N4065" t="s">
        <v>81939</v>
      </c>
      <c r="O4065">
        <f>-554.020641347041 -138.831084361095 -745.31377002795</f>
        <v>-1438.1654957360861</v>
      </c>
      <c r="P4065">
        <f>-578.884312676134 -162.109818143123 -430.62960864675</f>
        <v>-1171.623739466007</v>
      </c>
      <c r="Q4065">
        <f>-346.960066917484 -50.1755971237399 -467.015480015647</f>
        <v>-864.15114405687086</v>
      </c>
      <c r="R4065" t="s">
        <v>81940</v>
      </c>
      <c r="S4065" t="s">
        <v>81941</v>
      </c>
      <c r="T4065" t="s">
        <v>81942</v>
      </c>
      <c r="U4065" t="s">
        <v>81943</v>
      </c>
      <c r="V4065">
        <f>-538.39720114476 -19.8753472182244 -228.883748794895</f>
        <v>-787.15629715787941</v>
      </c>
      <c r="W4065" t="s">
        <v>81944</v>
      </c>
      <c r="X4065" t="s">
        <v>81945</v>
      </c>
      <c r="Y4065" t="s">
        <v>81946</v>
      </c>
    </row>
    <row r="4066" spans="1:25" x14ac:dyDescent="0.3">
      <c r="A4066">
        <v>203250</v>
      </c>
      <c r="B4066" t="s">
        <v>81947</v>
      </c>
      <c r="C4066" t="s">
        <v>81948</v>
      </c>
      <c r="D4066" t="s">
        <v>81949</v>
      </c>
      <c r="E4066" t="s">
        <v>81950</v>
      </c>
      <c r="F4066" t="s">
        <v>81951</v>
      </c>
      <c r="G4066" t="s">
        <v>81952</v>
      </c>
      <c r="H4066" t="s">
        <v>81953</v>
      </c>
      <c r="I4066" t="s">
        <v>81954</v>
      </c>
      <c r="J4066" t="s">
        <v>81955</v>
      </c>
      <c r="K4066" t="s">
        <v>81956</v>
      </c>
      <c r="L4066" t="s">
        <v>81957</v>
      </c>
      <c r="M4066" t="s">
        <v>81958</v>
      </c>
      <c r="N4066" t="s">
        <v>81959</v>
      </c>
      <c r="O4066">
        <f>-553.95808717089 -139.401595036909 -745.16982838775</f>
        <v>-1438.5295105955493</v>
      </c>
      <c r="P4066">
        <f>-578.751536252531 -162.435306102792 -430.462213008471</f>
        <v>-1171.6490553637939</v>
      </c>
      <c r="Q4066">
        <f>-346.934535406538 -50.3304195234231 -467.005994811011</f>
        <v>-864.27094974097213</v>
      </c>
      <c r="R4066" t="s">
        <v>81960</v>
      </c>
      <c r="S4066" t="s">
        <v>81961</v>
      </c>
      <c r="T4066" t="s">
        <v>81962</v>
      </c>
      <c r="U4066" t="s">
        <v>81963</v>
      </c>
      <c r="V4066">
        <f>-538.101147965154 -20.1405504223277 -228.867459540245</f>
        <v>-787.10915792772676</v>
      </c>
      <c r="W4066" t="s">
        <v>81964</v>
      </c>
      <c r="X4066" t="s">
        <v>81965</v>
      </c>
      <c r="Y4066" t="s">
        <v>81966</v>
      </c>
    </row>
    <row r="4067" spans="1:25" x14ac:dyDescent="0.3">
      <c r="A4067">
        <v>203300</v>
      </c>
      <c r="B4067" t="s">
        <v>81967</v>
      </c>
      <c r="C4067" t="s">
        <v>81968</v>
      </c>
      <c r="D4067" t="s">
        <v>81969</v>
      </c>
      <c r="E4067" t="s">
        <v>81970</v>
      </c>
      <c r="F4067" t="s">
        <v>81971</v>
      </c>
      <c r="G4067" t="s">
        <v>81972</v>
      </c>
      <c r="H4067" t="s">
        <v>81973</v>
      </c>
      <c r="I4067" t="s">
        <v>81974</v>
      </c>
      <c r="J4067" t="s">
        <v>81975</v>
      </c>
      <c r="K4067" t="s">
        <v>81976</v>
      </c>
      <c r="L4067" t="s">
        <v>81977</v>
      </c>
      <c r="M4067" t="s">
        <v>81978</v>
      </c>
      <c r="N4067" t="s">
        <v>81979</v>
      </c>
      <c r="O4067">
        <f>-553.801436796361 -139.250149747797 -745.170446572562</f>
        <v>-1438.22203311672</v>
      </c>
      <c r="P4067">
        <f>-578.509636286431 -162.145873293267 -430.445842003723</f>
        <v>-1171.1013515834211</v>
      </c>
      <c r="Q4067">
        <f>-346.736423730526 -49.9686116402313 -467.045086453933</f>
        <v>-863.75012182469027</v>
      </c>
      <c r="R4067" t="s">
        <v>81980</v>
      </c>
      <c r="S4067" t="s">
        <v>81981</v>
      </c>
      <c r="T4067" t="s">
        <v>81982</v>
      </c>
      <c r="U4067" t="s">
        <v>81983</v>
      </c>
      <c r="V4067">
        <f>-537.920282992867 -19.7073233325437 -228.90683677287</f>
        <v>-786.53444309828069</v>
      </c>
      <c r="W4067" t="s">
        <v>81984</v>
      </c>
      <c r="X4067" t="s">
        <v>81985</v>
      </c>
      <c r="Y4067" t="s">
        <v>81986</v>
      </c>
    </row>
    <row r="4068" spans="1:25" x14ac:dyDescent="0.3">
      <c r="A4068">
        <v>203350</v>
      </c>
      <c r="B4068" t="s">
        <v>81987</v>
      </c>
      <c r="C4068" t="s">
        <v>81988</v>
      </c>
      <c r="D4068" t="s">
        <v>81989</v>
      </c>
      <c r="E4068" t="s">
        <v>81990</v>
      </c>
      <c r="F4068" t="s">
        <v>81991</v>
      </c>
      <c r="G4068" t="s">
        <v>81992</v>
      </c>
      <c r="H4068" t="s">
        <v>81993</v>
      </c>
      <c r="I4068" t="s">
        <v>81994</v>
      </c>
      <c r="J4068" t="s">
        <v>81995</v>
      </c>
      <c r="K4068" t="s">
        <v>81996</v>
      </c>
      <c r="L4068" t="s">
        <v>81997</v>
      </c>
      <c r="M4068" t="s">
        <v>81998</v>
      </c>
      <c r="N4068" t="s">
        <v>81999</v>
      </c>
      <c r="O4068">
        <f>-553.847115407654 -139.640308389225 -745.101167583866</f>
        <v>-1438.5885913807449</v>
      </c>
      <c r="P4068">
        <f>-578.391847822684 -162.302752863333 -430.347039128286</f>
        <v>-1171.0416398143029</v>
      </c>
      <c r="Q4068">
        <f>-346.721300264389 -49.9099406226782 -466.934884890387</f>
        <v>-863.56612577745432</v>
      </c>
      <c r="R4068" t="s">
        <v>82000</v>
      </c>
      <c r="S4068" t="s">
        <v>82001</v>
      </c>
      <c r="T4068" t="s">
        <v>82002</v>
      </c>
      <c r="U4068" t="s">
        <v>82003</v>
      </c>
      <c r="V4068">
        <f>-537.720922359188 -20.0146495512905 -228.846859282707</f>
        <v>-786.58243119318547</v>
      </c>
      <c r="W4068" t="s">
        <v>82004</v>
      </c>
      <c r="X4068" t="s">
        <v>82005</v>
      </c>
      <c r="Y4068" t="s">
        <v>82006</v>
      </c>
    </row>
    <row r="4069" spans="1:25" x14ac:dyDescent="0.3">
      <c r="A4069">
        <v>203400</v>
      </c>
      <c r="B4069" t="s">
        <v>82007</v>
      </c>
      <c r="C4069" t="s">
        <v>82008</v>
      </c>
      <c r="D4069" t="s">
        <v>82009</v>
      </c>
      <c r="E4069" t="s">
        <v>82010</v>
      </c>
      <c r="F4069" t="s">
        <v>82011</v>
      </c>
      <c r="G4069" t="s">
        <v>82012</v>
      </c>
      <c r="H4069" t="s">
        <v>82013</v>
      </c>
      <c r="I4069" t="s">
        <v>82014</v>
      </c>
      <c r="J4069" t="s">
        <v>82015</v>
      </c>
      <c r="K4069" t="s">
        <v>82016</v>
      </c>
      <c r="L4069" t="s">
        <v>82017</v>
      </c>
      <c r="M4069" t="s">
        <v>82018</v>
      </c>
      <c r="N4069" t="s">
        <v>82019</v>
      </c>
      <c r="O4069">
        <f>-553.751583691043 -139.833188247515 -745.086234967325</f>
        <v>-1438.6710069058831</v>
      </c>
      <c r="P4069">
        <f>-578.235503300223 -162.526465566199 -430.329446785901</f>
        <v>-1171.0914156523229</v>
      </c>
      <c r="Q4069">
        <f>-346.658028008514 -49.9384570405251 -466.906098703738</f>
        <v>-863.50258375277713</v>
      </c>
      <c r="R4069" t="s">
        <v>82020</v>
      </c>
      <c r="S4069" t="s">
        <v>82021</v>
      </c>
      <c r="T4069" t="s">
        <v>82022</v>
      </c>
      <c r="U4069" t="s">
        <v>82023</v>
      </c>
      <c r="V4069">
        <f>-537.668082552902 -20.1471489200155 -228.864103661344</f>
        <v>-786.67933513426146</v>
      </c>
      <c r="W4069" t="s">
        <v>82024</v>
      </c>
      <c r="X4069" t="s">
        <v>82025</v>
      </c>
      <c r="Y4069" t="s">
        <v>82026</v>
      </c>
    </row>
    <row r="4070" spans="1:25" x14ac:dyDescent="0.3">
      <c r="A4070">
        <v>203450</v>
      </c>
      <c r="B4070" t="s">
        <v>82027</v>
      </c>
      <c r="C4070" t="s">
        <v>82028</v>
      </c>
      <c r="D4070" t="s">
        <v>82029</v>
      </c>
      <c r="E4070" t="s">
        <v>82030</v>
      </c>
      <c r="F4070" t="s">
        <v>82031</v>
      </c>
      <c r="G4070" t="s">
        <v>82032</v>
      </c>
      <c r="H4070" t="s">
        <v>82033</v>
      </c>
      <c r="I4070" t="s">
        <v>82034</v>
      </c>
      <c r="J4070" t="s">
        <v>82035</v>
      </c>
      <c r="K4070" t="s">
        <v>82036</v>
      </c>
      <c r="L4070" t="s">
        <v>82037</v>
      </c>
      <c r="M4070" t="s">
        <v>82038</v>
      </c>
      <c r="N4070" t="s">
        <v>82039</v>
      </c>
      <c r="O4070">
        <f>-553.982280935639 -140.142800858367 -745.068660608433</f>
        <v>-1439.1937424024391</v>
      </c>
      <c r="P4070">
        <f>-578.455707948335 -162.802625483058 -430.308901558991</f>
        <v>-1171.5672349903839</v>
      </c>
      <c r="Q4070">
        <f>-346.999681205884 -49.9246529058578 -466.760586933443</f>
        <v>-863.68492104518475</v>
      </c>
      <c r="R4070" t="s">
        <v>82040</v>
      </c>
      <c r="S4070" t="s">
        <v>82041</v>
      </c>
      <c r="T4070" t="s">
        <v>82042</v>
      </c>
      <c r="U4070" t="s">
        <v>82043</v>
      </c>
      <c r="V4070">
        <f>-537.496835187993 -20.3368381578042 -228.794530573174</f>
        <v>-786.62820391897128</v>
      </c>
      <c r="W4070" t="s">
        <v>82044</v>
      </c>
      <c r="X4070" t="s">
        <v>82045</v>
      </c>
      <c r="Y4070" t="s">
        <v>82046</v>
      </c>
    </row>
    <row r="4071" spans="1:25" x14ac:dyDescent="0.3">
      <c r="A4071">
        <v>203500</v>
      </c>
      <c r="B4071" t="s">
        <v>82047</v>
      </c>
      <c r="C4071" t="s">
        <v>82048</v>
      </c>
      <c r="D4071" t="s">
        <v>82049</v>
      </c>
      <c r="E4071" t="s">
        <v>82050</v>
      </c>
      <c r="F4071" t="s">
        <v>82051</v>
      </c>
      <c r="G4071" t="s">
        <v>82052</v>
      </c>
      <c r="H4071" t="s">
        <v>82053</v>
      </c>
      <c r="I4071" t="s">
        <v>82054</v>
      </c>
      <c r="J4071" t="s">
        <v>82055</v>
      </c>
      <c r="K4071" t="s">
        <v>82056</v>
      </c>
      <c r="L4071" t="s">
        <v>82057</v>
      </c>
      <c r="M4071" t="s">
        <v>82058</v>
      </c>
      <c r="N4071" t="s">
        <v>82059</v>
      </c>
      <c r="O4071">
        <f>-554.130124011142 -140.207365093829 -745.046157080033</f>
        <v>-1439.3836461850042</v>
      </c>
      <c r="P4071">
        <f>-578.564554442134 -162.808965488391 -430.279163194677</f>
        <v>-1171.652683125202</v>
      </c>
      <c r="Q4071">
        <f>-347.181456145025 -49.7776490711493 -466.71848162128</f>
        <v>-863.67758683745433</v>
      </c>
      <c r="R4071" t="s">
        <v>82060</v>
      </c>
      <c r="S4071" t="s">
        <v>82061</v>
      </c>
      <c r="T4071" t="s">
        <v>82062</v>
      </c>
      <c r="U4071" t="s">
        <v>82063</v>
      </c>
      <c r="V4071">
        <f>-537.340982846983 -20.1994112403983 -228.794778653338</f>
        <v>-786.33517274071926</v>
      </c>
      <c r="W4071" t="s">
        <v>82064</v>
      </c>
      <c r="X4071" t="s">
        <v>82065</v>
      </c>
      <c r="Y4071" t="s">
        <v>82066</v>
      </c>
    </row>
    <row r="4072" spans="1:25" x14ac:dyDescent="0.3">
      <c r="A4072">
        <v>203550</v>
      </c>
      <c r="B4072" t="s">
        <v>82067</v>
      </c>
      <c r="C4072" t="s">
        <v>82068</v>
      </c>
      <c r="D4072" t="s">
        <v>82069</v>
      </c>
      <c r="E4072" t="s">
        <v>82070</v>
      </c>
      <c r="F4072" t="s">
        <v>82071</v>
      </c>
      <c r="G4072" t="s">
        <v>82072</v>
      </c>
      <c r="H4072" t="s">
        <v>82073</v>
      </c>
      <c r="I4072" t="s">
        <v>82074</v>
      </c>
      <c r="J4072" t="s">
        <v>82075</v>
      </c>
      <c r="K4072" t="s">
        <v>82076</v>
      </c>
      <c r="L4072" t="s">
        <v>82077</v>
      </c>
      <c r="M4072" t="s">
        <v>82078</v>
      </c>
      <c r="N4072" t="s">
        <v>82079</v>
      </c>
      <c r="O4072">
        <f>-554.467063646186 -140.650531777162 -744.9878879993</f>
        <v>-1440.1054834226479</v>
      </c>
      <c r="P4072">
        <f>-578.676766363104 -163.048001586872 -430.188889449816</f>
        <v>-1171.9136573997921</v>
      </c>
      <c r="Q4072">
        <f>-347.318811994373 -49.9712359768289 -466.647010336463</f>
        <v>-863.93705830766487</v>
      </c>
      <c r="R4072" t="s">
        <v>82080</v>
      </c>
      <c r="S4072" t="s">
        <v>82081</v>
      </c>
      <c r="T4072" t="s">
        <v>82082</v>
      </c>
      <c r="U4072" t="s">
        <v>82083</v>
      </c>
      <c r="V4072">
        <f>-537.315139861881 -20.6153254623736 -228.777403240527</f>
        <v>-786.70786856478162</v>
      </c>
      <c r="W4072" t="s">
        <v>82084</v>
      </c>
      <c r="X4072" t="s">
        <v>82085</v>
      </c>
      <c r="Y4072" t="s">
        <v>82086</v>
      </c>
    </row>
    <row r="4073" spans="1:25" x14ac:dyDescent="0.3">
      <c r="A4073">
        <v>203600</v>
      </c>
      <c r="B4073" t="s">
        <v>82087</v>
      </c>
      <c r="C4073" t="s">
        <v>82088</v>
      </c>
      <c r="D4073" t="s">
        <v>82089</v>
      </c>
      <c r="E4073" t="s">
        <v>82090</v>
      </c>
      <c r="F4073" t="s">
        <v>82091</v>
      </c>
      <c r="G4073" t="s">
        <v>82092</v>
      </c>
      <c r="H4073" t="s">
        <v>82093</v>
      </c>
      <c r="I4073" t="s">
        <v>82094</v>
      </c>
      <c r="J4073" t="s">
        <v>82095</v>
      </c>
      <c r="K4073" t="s">
        <v>82096</v>
      </c>
      <c r="L4073" t="s">
        <v>82097</v>
      </c>
      <c r="M4073" t="s">
        <v>82098</v>
      </c>
      <c r="N4073" t="s">
        <v>82099</v>
      </c>
      <c r="O4073">
        <f>-554.651010077231 -140.997111804622 -744.900790607122</f>
        <v>-1440.548912488975</v>
      </c>
      <c r="P4073">
        <f>-578.796064320345 -163.281621428738 -430.088725831344</f>
        <v>-1172.1664115804269</v>
      </c>
      <c r="Q4073">
        <f>-347.483828785565 -50.1261038924833 -466.592500906838</f>
        <v>-864.20243358488619</v>
      </c>
      <c r="R4073" t="s">
        <v>82100</v>
      </c>
      <c r="S4073" t="s">
        <v>82101</v>
      </c>
      <c r="T4073" t="s">
        <v>82102</v>
      </c>
      <c r="U4073" t="s">
        <v>82103</v>
      </c>
      <c r="V4073">
        <f>-537.140891347618 -20.633615838144 -228.738571465202</f>
        <v>-786.51307865096396</v>
      </c>
      <c r="W4073" t="s">
        <v>82104</v>
      </c>
      <c r="X4073" t="s">
        <v>82105</v>
      </c>
      <c r="Y4073" t="s">
        <v>82106</v>
      </c>
    </row>
    <row r="4074" spans="1:25" x14ac:dyDescent="0.3">
      <c r="A4074">
        <v>203650</v>
      </c>
      <c r="B4074" t="s">
        <v>82107</v>
      </c>
      <c r="C4074" t="s">
        <v>82108</v>
      </c>
      <c r="D4074" t="s">
        <v>82109</v>
      </c>
      <c r="E4074" t="s">
        <v>82110</v>
      </c>
      <c r="F4074" t="s">
        <v>82111</v>
      </c>
      <c r="G4074" t="s">
        <v>82112</v>
      </c>
      <c r="H4074" t="s">
        <v>82113</v>
      </c>
      <c r="I4074" t="s">
        <v>82114</v>
      </c>
      <c r="J4074" t="s">
        <v>82115</v>
      </c>
      <c r="K4074" t="s">
        <v>82116</v>
      </c>
      <c r="L4074" t="s">
        <v>82117</v>
      </c>
      <c r="M4074" t="s">
        <v>82118</v>
      </c>
      <c r="N4074" t="s">
        <v>82119</v>
      </c>
      <c r="O4074">
        <f>-555.057956348726 -141.145455722446 -744.780072957693</f>
        <v>-1440.9834850288648</v>
      </c>
      <c r="P4074">
        <f>-578.998333885744 -163.205374645609 -429.936535449397</f>
        <v>-1172.14024398075</v>
      </c>
      <c r="Q4074">
        <f>-347.740383529305 -49.9665272550224 -466.52597474305</f>
        <v>-864.23288552737745</v>
      </c>
      <c r="R4074" t="s">
        <v>82120</v>
      </c>
      <c r="S4074" t="s">
        <v>82121</v>
      </c>
      <c r="T4074" t="s">
        <v>82122</v>
      </c>
      <c r="U4074" t="s">
        <v>82123</v>
      </c>
      <c r="V4074">
        <f>-537.0172280519 -20.3781291565578 -228.74014924558</f>
        <v>-786.1355064540378</v>
      </c>
      <c r="W4074" t="s">
        <v>82124</v>
      </c>
      <c r="X4074" t="s">
        <v>82125</v>
      </c>
      <c r="Y4074" t="s">
        <v>82126</v>
      </c>
    </row>
    <row r="4075" spans="1:25" x14ac:dyDescent="0.3">
      <c r="A4075">
        <v>203700</v>
      </c>
      <c r="B4075" t="s">
        <v>82127</v>
      </c>
      <c r="C4075" t="s">
        <v>82128</v>
      </c>
      <c r="D4075" t="s">
        <v>82129</v>
      </c>
      <c r="E4075" t="s">
        <v>82130</v>
      </c>
      <c r="F4075" t="s">
        <v>82131</v>
      </c>
      <c r="G4075" t="s">
        <v>82132</v>
      </c>
      <c r="H4075" t="s">
        <v>82133</v>
      </c>
      <c r="I4075" t="s">
        <v>82134</v>
      </c>
      <c r="J4075" t="s">
        <v>82135</v>
      </c>
      <c r="K4075" t="s">
        <v>82136</v>
      </c>
      <c r="L4075" t="s">
        <v>82137</v>
      </c>
      <c r="M4075" t="s">
        <v>82138</v>
      </c>
      <c r="N4075" t="s">
        <v>82139</v>
      </c>
      <c r="O4075">
        <f>-555.06305548324 -141.534003678988 -744.727646062886</f>
        <v>-1441.324705225114</v>
      </c>
      <c r="P4075">
        <f>-578.94448847374 -163.455735543693 -429.869992688652</f>
        <v>-1172.270216706085</v>
      </c>
      <c r="Q4075">
        <f>-347.722210358423 -50.1382014965474 -466.441046159869</f>
        <v>-864.30145801483945</v>
      </c>
      <c r="R4075" t="s">
        <v>82140</v>
      </c>
      <c r="S4075" t="s">
        <v>82141</v>
      </c>
      <c r="T4075" t="s">
        <v>82142</v>
      </c>
      <c r="U4075" t="s">
        <v>82143</v>
      </c>
      <c r="V4075">
        <f>-536.987604426229 -20.6583603563532 -228.746622513159</f>
        <v>-786.39258729574124</v>
      </c>
      <c r="W4075" t="s">
        <v>82144</v>
      </c>
      <c r="X4075" t="s">
        <v>82145</v>
      </c>
      <c r="Y4075" t="s">
        <v>82146</v>
      </c>
    </row>
    <row r="4076" spans="1:25" x14ac:dyDescent="0.3">
      <c r="A4076">
        <v>203750</v>
      </c>
      <c r="B4076" t="s">
        <v>82147</v>
      </c>
      <c r="C4076" t="s">
        <v>82148</v>
      </c>
      <c r="D4076" t="s">
        <v>82149</v>
      </c>
      <c r="E4076" t="s">
        <v>82150</v>
      </c>
      <c r="F4076" t="s">
        <v>82151</v>
      </c>
      <c r="G4076" t="s">
        <v>82152</v>
      </c>
      <c r="H4076" t="s">
        <v>82153</v>
      </c>
      <c r="I4076" t="s">
        <v>82154</v>
      </c>
      <c r="J4076" t="s">
        <v>82155</v>
      </c>
      <c r="K4076" t="s">
        <v>82156</v>
      </c>
      <c r="L4076" t="s">
        <v>82157</v>
      </c>
      <c r="M4076" t="s">
        <v>82158</v>
      </c>
      <c r="N4076" t="s">
        <v>82159</v>
      </c>
      <c r="O4076">
        <f>-555.530688687352 -142.204918631988 -744.584475517976</f>
        <v>-1442.320082837316</v>
      </c>
      <c r="P4076">
        <f>-579.376829310604 -163.912034492163 -429.709347089498</f>
        <v>-1172.998210892265</v>
      </c>
      <c r="Q4076">
        <f>-348.241822964503 -50.4437675818101 -466.364602703233</f>
        <v>-865.05019324954606</v>
      </c>
      <c r="R4076" t="s">
        <v>82160</v>
      </c>
      <c r="S4076" t="s">
        <v>82161</v>
      </c>
      <c r="T4076" t="s">
        <v>82162</v>
      </c>
      <c r="U4076" t="s">
        <v>82163</v>
      </c>
      <c r="V4076">
        <f>-536.926872960987 -20.9025749091537 -228.761293250666</f>
        <v>-786.59074112080668</v>
      </c>
      <c r="W4076" t="s">
        <v>82164</v>
      </c>
      <c r="X4076" t="s">
        <v>82165</v>
      </c>
      <c r="Y4076" t="s">
        <v>82166</v>
      </c>
    </row>
    <row r="4077" spans="1:25" x14ac:dyDescent="0.3">
      <c r="A4077">
        <v>203800</v>
      </c>
      <c r="B4077" t="s">
        <v>82167</v>
      </c>
      <c r="C4077" t="s">
        <v>82168</v>
      </c>
      <c r="D4077" t="s">
        <v>82169</v>
      </c>
      <c r="E4077" t="s">
        <v>82170</v>
      </c>
      <c r="F4077" t="s">
        <v>82171</v>
      </c>
      <c r="G4077" t="s">
        <v>82172</v>
      </c>
      <c r="H4077" t="s">
        <v>82173</v>
      </c>
      <c r="I4077" t="s">
        <v>82174</v>
      </c>
      <c r="J4077" t="s">
        <v>82175</v>
      </c>
      <c r="K4077" t="s">
        <v>82176</v>
      </c>
      <c r="L4077" t="s">
        <v>82177</v>
      </c>
      <c r="M4077" t="s">
        <v>82178</v>
      </c>
      <c r="N4077" t="s">
        <v>82179</v>
      </c>
      <c r="O4077">
        <f>-555.626778077823 -142.572789986004 -744.559186162376</f>
        <v>-1442.7587542262031</v>
      </c>
      <c r="P4077">
        <f>-579.334062069482 -164.192422917963 -429.667586597506</f>
        <v>-1173.194071584951</v>
      </c>
      <c r="Q4077">
        <f>-348.229805406228 -50.6764068178721 -466.368873519932</f>
        <v>-865.27508574403214</v>
      </c>
      <c r="R4077" t="s">
        <v>82180</v>
      </c>
      <c r="S4077" t="s">
        <v>82181</v>
      </c>
      <c r="T4077" t="s">
        <v>82182</v>
      </c>
      <c r="U4077" t="s">
        <v>82183</v>
      </c>
      <c r="V4077">
        <f>-536.87149728871 -21.2673916738034 -228.815290630176</f>
        <v>-786.95417959268946</v>
      </c>
      <c r="W4077" t="s">
        <v>82184</v>
      </c>
      <c r="X4077" t="s">
        <v>82185</v>
      </c>
      <c r="Y4077" t="s">
        <v>82186</v>
      </c>
    </row>
    <row r="4078" spans="1:25" x14ac:dyDescent="0.3">
      <c r="A4078">
        <v>203850</v>
      </c>
      <c r="B4078" t="s">
        <v>82187</v>
      </c>
      <c r="C4078" t="s">
        <v>82188</v>
      </c>
      <c r="D4078" t="s">
        <v>82189</v>
      </c>
      <c r="E4078" t="s">
        <v>82190</v>
      </c>
      <c r="F4078" t="s">
        <v>82191</v>
      </c>
      <c r="G4078" t="s">
        <v>82192</v>
      </c>
      <c r="H4078" t="s">
        <v>82193</v>
      </c>
      <c r="I4078" t="s">
        <v>82194</v>
      </c>
      <c r="J4078" t="s">
        <v>82195</v>
      </c>
      <c r="K4078" t="s">
        <v>82196</v>
      </c>
      <c r="L4078" t="s">
        <v>82197</v>
      </c>
      <c r="M4078" t="s">
        <v>82198</v>
      </c>
      <c r="N4078" t="s">
        <v>82199</v>
      </c>
      <c r="O4078">
        <f>-555.488775602451 -143.282148191912 -744.408015696804</f>
        <v>-1443.1789394911671</v>
      </c>
      <c r="P4078">
        <f>-579.031410429935 -164.715780677737 -429.491399708088</f>
        <v>-1173.2385908157601</v>
      </c>
      <c r="Q4078">
        <f>-348.033539640176 -51.024374589263 -466.319341856986</f>
        <v>-865.37725608642495</v>
      </c>
      <c r="R4078" t="s">
        <v>82200</v>
      </c>
      <c r="S4078" t="s">
        <v>82201</v>
      </c>
      <c r="T4078" t="s">
        <v>82202</v>
      </c>
      <c r="U4078" t="s">
        <v>82203</v>
      </c>
      <c r="V4078">
        <f>-536.722610080346 -21.4520782772573 -228.740598735757</f>
        <v>-786.91528709336035</v>
      </c>
      <c r="W4078" t="s">
        <v>82204</v>
      </c>
      <c r="X4078" t="s">
        <v>82205</v>
      </c>
      <c r="Y4078" t="s">
        <v>82206</v>
      </c>
    </row>
    <row r="4079" spans="1:25" x14ac:dyDescent="0.3">
      <c r="A4079">
        <v>203900</v>
      </c>
      <c r="B4079" t="s">
        <v>82207</v>
      </c>
      <c r="C4079" t="s">
        <v>82208</v>
      </c>
      <c r="D4079" t="s">
        <v>82209</v>
      </c>
      <c r="E4079" t="s">
        <v>82210</v>
      </c>
      <c r="F4079" t="s">
        <v>82211</v>
      </c>
      <c r="G4079" t="s">
        <v>82212</v>
      </c>
      <c r="H4079" t="s">
        <v>82213</v>
      </c>
      <c r="I4079" t="s">
        <v>82214</v>
      </c>
      <c r="J4079" t="s">
        <v>82215</v>
      </c>
      <c r="K4079" t="s">
        <v>82216</v>
      </c>
      <c r="L4079" t="s">
        <v>82217</v>
      </c>
      <c r="M4079" t="s">
        <v>82218</v>
      </c>
      <c r="N4079" t="s">
        <v>82219</v>
      </c>
      <c r="O4079">
        <f>-555.526111534567 -143.541308282376 -744.275393091676</f>
        <v>-1443.3428129086192</v>
      </c>
      <c r="P4079">
        <f>-578.972924704276 -164.895894209623 -429.346216600841</f>
        <v>-1173.2150355147401</v>
      </c>
      <c r="Q4079">
        <f>-348.010547419831 -51.1494951709709 -466.227165459747</f>
        <v>-865.38720805054891</v>
      </c>
      <c r="R4079" t="s">
        <v>82220</v>
      </c>
      <c r="S4079" t="s">
        <v>82221</v>
      </c>
      <c r="T4079" t="s">
        <v>82222</v>
      </c>
      <c r="U4079" t="s">
        <v>82223</v>
      </c>
      <c r="V4079">
        <f>-536.626356074904 -21.4821127194933 -228.674746342688</f>
        <v>-786.78321513708534</v>
      </c>
      <c r="W4079" t="s">
        <v>82224</v>
      </c>
      <c r="X4079" t="s">
        <v>82225</v>
      </c>
      <c r="Y4079" t="s">
        <v>82226</v>
      </c>
    </row>
    <row r="4080" spans="1:25" x14ac:dyDescent="0.3">
      <c r="A4080">
        <v>203950</v>
      </c>
      <c r="B4080" t="s">
        <v>82227</v>
      </c>
      <c r="C4080" t="s">
        <v>82228</v>
      </c>
      <c r="D4080" t="s">
        <v>82229</v>
      </c>
      <c r="E4080" t="s">
        <v>82230</v>
      </c>
      <c r="F4080" t="s">
        <v>82231</v>
      </c>
      <c r="G4080" t="s">
        <v>82232</v>
      </c>
      <c r="H4080" t="s">
        <v>82233</v>
      </c>
      <c r="I4080" t="s">
        <v>82234</v>
      </c>
      <c r="J4080" t="s">
        <v>82235</v>
      </c>
      <c r="K4080" t="s">
        <v>82236</v>
      </c>
      <c r="L4080" t="s">
        <v>82237</v>
      </c>
      <c r="M4080" t="s">
        <v>82238</v>
      </c>
      <c r="N4080" t="s">
        <v>82239</v>
      </c>
      <c r="O4080">
        <f>-555.379447004813 -143.766117569643 -744.101532577506</f>
        <v>-1443.247097151962</v>
      </c>
      <c r="P4080">
        <f>-578.63757864445 -165.019455794684 -429.151486382795</f>
        <v>-1172.8085208219288</v>
      </c>
      <c r="Q4080">
        <f>-347.876431642555 -50.9447165089982 -466.276804135268</f>
        <v>-865.09795228682117</v>
      </c>
      <c r="R4080" t="s">
        <v>82240</v>
      </c>
      <c r="S4080" t="s">
        <v>82241</v>
      </c>
      <c r="T4080" t="s">
        <v>82242</v>
      </c>
      <c r="U4080" t="s">
        <v>82243</v>
      </c>
      <c r="V4080">
        <f>-536.373927403259 -21.0922466686481 -228.615621461705</f>
        <v>-786.08179553361208</v>
      </c>
      <c r="W4080" t="s">
        <v>82244</v>
      </c>
      <c r="X4080" t="s">
        <v>82245</v>
      </c>
      <c r="Y4080" t="s">
        <v>82246</v>
      </c>
    </row>
    <row r="4081" spans="1:25" x14ac:dyDescent="0.3">
      <c r="A4081">
        <v>204000</v>
      </c>
      <c r="B4081" t="s">
        <v>82247</v>
      </c>
      <c r="C4081" t="s">
        <v>82248</v>
      </c>
      <c r="D4081" t="s">
        <v>82249</v>
      </c>
      <c r="E4081" t="s">
        <v>82250</v>
      </c>
      <c r="F4081" t="s">
        <v>82251</v>
      </c>
      <c r="G4081" t="s">
        <v>82252</v>
      </c>
      <c r="H4081" t="s">
        <v>82253</v>
      </c>
      <c r="I4081" t="s">
        <v>82254</v>
      </c>
      <c r="J4081" t="s">
        <v>82255</v>
      </c>
      <c r="K4081" t="s">
        <v>82256</v>
      </c>
      <c r="L4081" t="s">
        <v>82257</v>
      </c>
      <c r="M4081" t="s">
        <v>82258</v>
      </c>
      <c r="N4081">
        <f>-559.535260558623 -0.0730508189129324 -773.729955368979</f>
        <v>-1333.3382667465148</v>
      </c>
      <c r="O4081">
        <f>-555.466674979806 -144.022391308495 -743.986786068386</f>
        <v>-1443.475852356687</v>
      </c>
      <c r="P4081">
        <f>-578.563329161384 -165.298017752457 -429.026321184492</f>
        <v>-1172.8876680983331</v>
      </c>
      <c r="Q4081">
        <f>-347.841232037067 -51.1718243653445 -466.236446451049</f>
        <v>-865.24950285346051</v>
      </c>
      <c r="R4081" t="s">
        <v>82259</v>
      </c>
      <c r="S4081" t="s">
        <v>82260</v>
      </c>
      <c r="T4081" t="s">
        <v>82261</v>
      </c>
      <c r="U4081" t="s">
        <v>82262</v>
      </c>
      <c r="V4081">
        <f>-536.275568060074 -20.8419938401449 -228.536891717217</f>
        <v>-785.65445361743593</v>
      </c>
      <c r="W4081" t="s">
        <v>82263</v>
      </c>
      <c r="X4081" t="s">
        <v>82264</v>
      </c>
      <c r="Y4081" t="s">
        <v>82265</v>
      </c>
    </row>
    <row r="4082" spans="1:25" x14ac:dyDescent="0.3">
      <c r="A4082">
        <v>204050</v>
      </c>
      <c r="B4082" t="s">
        <v>82266</v>
      </c>
      <c r="C4082" t="s">
        <v>82267</v>
      </c>
      <c r="D4082" t="s">
        <v>82268</v>
      </c>
      <c r="E4082" t="s">
        <v>82269</v>
      </c>
      <c r="F4082" t="s">
        <v>82270</v>
      </c>
      <c r="G4082" t="s">
        <v>82271</v>
      </c>
      <c r="H4082" t="s">
        <v>82272</v>
      </c>
      <c r="I4082" t="s">
        <v>82273</v>
      </c>
      <c r="J4082" t="s">
        <v>82274</v>
      </c>
      <c r="K4082" t="s">
        <v>82275</v>
      </c>
      <c r="L4082" t="s">
        <v>82276</v>
      </c>
      <c r="M4082" t="s">
        <v>82277</v>
      </c>
      <c r="N4082" t="s">
        <v>82278</v>
      </c>
      <c r="O4082">
        <f>-555.204148940677 -143.893108232764 -743.791774037212</f>
        <v>-1442.889031210653</v>
      </c>
      <c r="P4082">
        <f>-577.990183463805 -164.849105479437 -428.787164712167</f>
        <v>-1171.626453655409</v>
      </c>
      <c r="Q4082">
        <f>-347.303568312153 -50.7263911209332 -466.227376334925</f>
        <v>-864.25733576801122</v>
      </c>
      <c r="R4082" t="s">
        <v>82279</v>
      </c>
      <c r="S4082" t="s">
        <v>82280</v>
      </c>
      <c r="T4082" t="s">
        <v>82281</v>
      </c>
      <c r="U4082" t="s">
        <v>82282</v>
      </c>
      <c r="V4082">
        <f>-535.869609759277 -20.2103194766445 -228.538762348033</f>
        <v>-784.61869158395439</v>
      </c>
      <c r="W4082" t="s">
        <v>82283</v>
      </c>
      <c r="X4082" t="s">
        <v>82284</v>
      </c>
      <c r="Y4082" t="s">
        <v>82285</v>
      </c>
    </row>
    <row r="4083" spans="1:25" x14ac:dyDescent="0.3">
      <c r="A4083">
        <v>204100</v>
      </c>
      <c r="B4083" t="s">
        <v>82286</v>
      </c>
      <c r="C4083" t="s">
        <v>82287</v>
      </c>
      <c r="D4083" t="s">
        <v>82288</v>
      </c>
      <c r="E4083" t="s">
        <v>82289</v>
      </c>
      <c r="F4083" t="s">
        <v>82290</v>
      </c>
      <c r="G4083" t="s">
        <v>82291</v>
      </c>
      <c r="H4083" t="s">
        <v>82292</v>
      </c>
      <c r="I4083" t="s">
        <v>82293</v>
      </c>
      <c r="J4083" t="s">
        <v>82294</v>
      </c>
      <c r="K4083" t="s">
        <v>82295</v>
      </c>
      <c r="L4083" t="s">
        <v>82296</v>
      </c>
      <c r="M4083" t="s">
        <v>82297</v>
      </c>
      <c r="N4083" t="s">
        <v>82298</v>
      </c>
      <c r="O4083">
        <f>-555.137422488436 -143.866760632719 -743.70066933549</f>
        <v>-1442.7048524566449</v>
      </c>
      <c r="P4083">
        <f>-577.780410570194 -164.662520502704 -428.675280133872</f>
        <v>-1171.11821120677</v>
      </c>
      <c r="Q4083">
        <f>-347.107570444428 -50.5509318391206 -466.233743269134</f>
        <v>-863.89224555268265</v>
      </c>
      <c r="R4083" t="s">
        <v>82299</v>
      </c>
      <c r="S4083" t="s">
        <v>82300</v>
      </c>
      <c r="T4083" t="s">
        <v>82301</v>
      </c>
      <c r="U4083" t="s">
        <v>82302</v>
      </c>
      <c r="V4083">
        <f>-535.673164199931 -19.7937568500462 -228.511932819373</f>
        <v>-783.97885386935013</v>
      </c>
      <c r="W4083" t="s">
        <v>82303</v>
      </c>
      <c r="X4083" t="s">
        <v>82304</v>
      </c>
      <c r="Y4083" t="s">
        <v>82305</v>
      </c>
    </row>
    <row r="4084" spans="1:25" x14ac:dyDescent="0.3">
      <c r="A4084">
        <v>204150</v>
      </c>
      <c r="B4084" t="s">
        <v>82306</v>
      </c>
      <c r="C4084" t="s">
        <v>82307</v>
      </c>
      <c r="D4084" t="s">
        <v>82308</v>
      </c>
      <c r="E4084" t="s">
        <v>82309</v>
      </c>
      <c r="F4084" t="s">
        <v>82310</v>
      </c>
      <c r="G4084" t="s">
        <v>82311</v>
      </c>
      <c r="H4084" t="s">
        <v>82312</v>
      </c>
      <c r="I4084" t="s">
        <v>82313</v>
      </c>
      <c r="J4084" t="s">
        <v>82314</v>
      </c>
      <c r="K4084" t="s">
        <v>82315</v>
      </c>
      <c r="L4084" t="s">
        <v>82316</v>
      </c>
      <c r="M4084" t="s">
        <v>82317</v>
      </c>
      <c r="N4084">
        <f>-559.207817487019 -0.0816392354327746 -773.615829510181</f>
        <v>-1332.905286232633</v>
      </c>
      <c r="O4084">
        <f>-554.905706083996 -143.962421511078 -743.546006926193</f>
        <v>-1442.414134521267</v>
      </c>
      <c r="P4084">
        <f>-577.238653020054 -164.548382660954 -428.484768168818</f>
        <v>-1170.271803849826</v>
      </c>
      <c r="Q4084">
        <f>-346.634461082715 -50.3959510030221 -466.339585118163</f>
        <v>-863.36999720390008</v>
      </c>
      <c r="R4084" t="s">
        <v>82318</v>
      </c>
      <c r="S4084" t="s">
        <v>82319</v>
      </c>
      <c r="T4084" t="s">
        <v>82320</v>
      </c>
      <c r="U4084" t="s">
        <v>82321</v>
      </c>
      <c r="V4084">
        <f>-535.220084599904 -19.2698743034604 -228.583011624934</f>
        <v>-783.07297052829836</v>
      </c>
      <c r="W4084" t="s">
        <v>82322</v>
      </c>
      <c r="X4084" t="s">
        <v>82323</v>
      </c>
      <c r="Y4084" t="s">
        <v>82324</v>
      </c>
    </row>
    <row r="4085" spans="1:25" x14ac:dyDescent="0.3">
      <c r="A4085">
        <v>204200</v>
      </c>
      <c r="B4085" t="s">
        <v>82325</v>
      </c>
      <c r="C4085" t="s">
        <v>82326</v>
      </c>
      <c r="D4085" t="s">
        <v>82327</v>
      </c>
      <c r="E4085" t="s">
        <v>82328</v>
      </c>
      <c r="F4085" t="s">
        <v>82329</v>
      </c>
      <c r="G4085" t="s">
        <v>82330</v>
      </c>
      <c r="H4085" t="s">
        <v>82331</v>
      </c>
      <c r="I4085" t="s">
        <v>82332</v>
      </c>
      <c r="J4085" t="s">
        <v>82333</v>
      </c>
      <c r="K4085" t="s">
        <v>82334</v>
      </c>
      <c r="L4085" t="s">
        <v>82335</v>
      </c>
      <c r="M4085" t="s">
        <v>82336</v>
      </c>
      <c r="N4085" t="s">
        <v>82337</v>
      </c>
      <c r="O4085">
        <f>-554.703294346067 -143.746180868348 -743.53172311246</f>
        <v>-1441.9811983268751</v>
      </c>
      <c r="P4085">
        <f>-576.941408403831 -164.216697638074 -428.456089868185</f>
        <v>-1169.6141959100901</v>
      </c>
      <c r="Q4085">
        <f>-346.36953257624 -50.0297194067668 -466.403356470264</f>
        <v>-862.80260845327075</v>
      </c>
      <c r="R4085" t="s">
        <v>82338</v>
      </c>
      <c r="S4085" t="s">
        <v>82339</v>
      </c>
      <c r="T4085" t="s">
        <v>82340</v>
      </c>
      <c r="U4085" t="s">
        <v>82341</v>
      </c>
      <c r="V4085">
        <f>-535.023538007576 -19.0123668628626 -228.64784840493</f>
        <v>-782.68375327536853</v>
      </c>
      <c r="W4085" t="s">
        <v>82342</v>
      </c>
      <c r="X4085" t="s">
        <v>82343</v>
      </c>
      <c r="Y4085" t="s">
        <v>82344</v>
      </c>
    </row>
    <row r="4086" spans="1:25" x14ac:dyDescent="0.3">
      <c r="A4086">
        <v>204250</v>
      </c>
      <c r="B4086" t="s">
        <v>82345</v>
      </c>
      <c r="C4086" t="s">
        <v>82346</v>
      </c>
      <c r="D4086" t="s">
        <v>82347</v>
      </c>
      <c r="E4086" t="s">
        <v>82348</v>
      </c>
      <c r="F4086" t="s">
        <v>82349</v>
      </c>
      <c r="G4086" t="s">
        <v>82350</v>
      </c>
      <c r="H4086" t="s">
        <v>82351</v>
      </c>
      <c r="I4086" t="s">
        <v>82352</v>
      </c>
      <c r="J4086" t="s">
        <v>82353</v>
      </c>
      <c r="K4086" t="s">
        <v>82354</v>
      </c>
      <c r="L4086" t="s">
        <v>82355</v>
      </c>
      <c r="M4086" t="s">
        <v>82356</v>
      </c>
      <c r="N4086">
        <f>-558.992800470864 -0.224801811242521 -773.649171301473</f>
        <v>-1332.8667735835795</v>
      </c>
      <c r="O4086">
        <f>-554.512101599454 -144.071406753187 -743.466563633442</f>
        <v>-1442.0500719860829</v>
      </c>
      <c r="P4086">
        <f>-576.664677254278 -164.414356882398 -428.376751423698</f>
        <v>-1169.4557855603739</v>
      </c>
      <c r="Q4086">
        <f>-346.141509323211 -50.1451123978651 -466.372219366183</f>
        <v>-862.65884108725913</v>
      </c>
      <c r="R4086" t="s">
        <v>82357</v>
      </c>
      <c r="S4086" t="s">
        <v>82358</v>
      </c>
      <c r="T4086" t="s">
        <v>82359</v>
      </c>
      <c r="U4086" t="s">
        <v>82360</v>
      </c>
      <c r="V4086">
        <f>-534.823478615035 -18.92808767722 -228.646388837116</f>
        <v>-782.39795512937098</v>
      </c>
      <c r="W4086" t="s">
        <v>82361</v>
      </c>
      <c r="X4086" t="s">
        <v>82362</v>
      </c>
      <c r="Y4086" t="s">
        <v>82363</v>
      </c>
    </row>
    <row r="4087" spans="1:25" x14ac:dyDescent="0.3">
      <c r="A4087">
        <v>204300</v>
      </c>
      <c r="B4087" t="s">
        <v>82364</v>
      </c>
      <c r="C4087" t="s">
        <v>82365</v>
      </c>
      <c r="D4087" t="s">
        <v>82366</v>
      </c>
      <c r="E4087" t="s">
        <v>82367</v>
      </c>
      <c r="F4087" t="s">
        <v>82368</v>
      </c>
      <c r="G4087" t="s">
        <v>82369</v>
      </c>
      <c r="H4087" t="s">
        <v>82370</v>
      </c>
      <c r="I4087" t="s">
        <v>82371</v>
      </c>
      <c r="J4087" t="s">
        <v>82372</v>
      </c>
      <c r="K4087" t="s">
        <v>82373</v>
      </c>
      <c r="L4087" t="s">
        <v>82374</v>
      </c>
      <c r="M4087" t="s">
        <v>82375</v>
      </c>
      <c r="N4087">
        <f>-558.790149239312 -0.13328044946158 -773.716034001963</f>
        <v>-1332.6394636907366</v>
      </c>
      <c r="O4087">
        <f>-554.293155662172 -143.974192942672 -743.493692712958</f>
        <v>-1441.7610413178022</v>
      </c>
      <c r="P4087">
        <f>-576.399308301344 -164.235525756846 -428.395276981256</f>
        <v>-1169.030111039446</v>
      </c>
      <c r="Q4087">
        <f>-345.912115570759 -49.9080976543344 -466.43416038181</f>
        <v>-862.25437360690341</v>
      </c>
      <c r="R4087" t="s">
        <v>82376</v>
      </c>
      <c r="S4087" t="s">
        <v>82377</v>
      </c>
      <c r="T4087" t="s">
        <v>82378</v>
      </c>
      <c r="U4087" t="s">
        <v>82379</v>
      </c>
      <c r="V4087">
        <f>-534.62665402284 -18.7372824659705 -228.761717246836</f>
        <v>-782.12565373564644</v>
      </c>
      <c r="W4087" t="s">
        <v>82380</v>
      </c>
      <c r="X4087" t="s">
        <v>82381</v>
      </c>
      <c r="Y4087" t="s">
        <v>82382</v>
      </c>
    </row>
    <row r="4088" spans="1:25" x14ac:dyDescent="0.3">
      <c r="A4088">
        <v>204350</v>
      </c>
      <c r="B4088" t="s">
        <v>82383</v>
      </c>
      <c r="C4088" t="s">
        <v>82384</v>
      </c>
      <c r="D4088" t="s">
        <v>82385</v>
      </c>
      <c r="E4088" t="s">
        <v>82386</v>
      </c>
      <c r="F4088" t="s">
        <v>82387</v>
      </c>
      <c r="G4088" t="s">
        <v>82388</v>
      </c>
      <c r="H4088" t="s">
        <v>82389</v>
      </c>
      <c r="I4088" t="s">
        <v>82390</v>
      </c>
      <c r="J4088" t="s">
        <v>82391</v>
      </c>
      <c r="K4088" t="s">
        <v>82392</v>
      </c>
      <c r="L4088" t="s">
        <v>82393</v>
      </c>
      <c r="M4088" t="s">
        <v>82394</v>
      </c>
      <c r="N4088" t="s">
        <v>82395</v>
      </c>
      <c r="O4088">
        <f>-553.606176892945 -143.812839589597 -743.532388387073</f>
        <v>-1440.9514048696151</v>
      </c>
      <c r="P4088">
        <f>-575.821972418509 -163.866622095016 -428.428488258342</f>
        <v>-1168.117082771867</v>
      </c>
      <c r="Q4088">
        <f>-345.323341669176 -49.5360031673864 -466.388187111072</f>
        <v>-861.24753194763434</v>
      </c>
      <c r="R4088" t="s">
        <v>82396</v>
      </c>
      <c r="S4088" t="s">
        <v>82397</v>
      </c>
      <c r="T4088" t="s">
        <v>82398</v>
      </c>
      <c r="U4088" t="s">
        <v>82399</v>
      </c>
      <c r="V4088">
        <f>-534.631245156107 -18.5028901188445 -228.787560927922</f>
        <v>-781.92169620287336</v>
      </c>
      <c r="W4088" t="s">
        <v>82400</v>
      </c>
      <c r="X4088" t="s">
        <v>82401</v>
      </c>
      <c r="Y4088" t="s">
        <v>82402</v>
      </c>
    </row>
    <row r="4089" spans="1:25" x14ac:dyDescent="0.3">
      <c r="A4089">
        <v>204400</v>
      </c>
      <c r="B4089" t="s">
        <v>82403</v>
      </c>
      <c r="C4089" t="s">
        <v>82404</v>
      </c>
      <c r="D4089" t="s">
        <v>82405</v>
      </c>
      <c r="E4089" t="s">
        <v>82406</v>
      </c>
      <c r="F4089" t="s">
        <v>82407</v>
      </c>
      <c r="G4089" t="s">
        <v>82408</v>
      </c>
      <c r="H4089" t="s">
        <v>82409</v>
      </c>
      <c r="I4089" t="s">
        <v>82410</v>
      </c>
      <c r="J4089" t="s">
        <v>82411</v>
      </c>
      <c r="K4089" t="s">
        <v>82412</v>
      </c>
      <c r="L4089" t="s">
        <v>82413</v>
      </c>
      <c r="M4089" t="s">
        <v>82414</v>
      </c>
      <c r="N4089">
        <f>-558.282811507149 -0.134320681619606 -773.770390593044</f>
        <v>-1332.1875227818125</v>
      </c>
      <c r="O4089">
        <f>-553.463134853468 -143.953904754085 -743.525512418621</f>
        <v>-1440.9425520261739</v>
      </c>
      <c r="P4089">
        <f>-575.771370222579 -163.899104679718 -428.421277315282</f>
        <v>-1168.0917522175789</v>
      </c>
      <c r="Q4089">
        <f>-345.30848419671 -49.496248912339 -466.380513170129</f>
        <v>-861.18524627917805</v>
      </c>
      <c r="R4089" t="s">
        <v>82415</v>
      </c>
      <c r="S4089" t="s">
        <v>82416</v>
      </c>
      <c r="T4089" t="s">
        <v>82417</v>
      </c>
      <c r="U4089" t="s">
        <v>82418</v>
      </c>
      <c r="V4089">
        <f>-534.647476135034 -18.6892209154269 -228.84329124864</f>
        <v>-782.17998829910084</v>
      </c>
      <c r="W4089" t="s">
        <v>82419</v>
      </c>
      <c r="X4089" t="s">
        <v>82420</v>
      </c>
      <c r="Y4089" t="s">
        <v>82421</v>
      </c>
    </row>
    <row r="4090" spans="1:25" x14ac:dyDescent="0.3">
      <c r="A4090">
        <v>204450</v>
      </c>
      <c r="B4090" t="s">
        <v>82422</v>
      </c>
      <c r="C4090" t="s">
        <v>82423</v>
      </c>
      <c r="D4090" t="s">
        <v>82424</v>
      </c>
      <c r="E4090" t="s">
        <v>82425</v>
      </c>
      <c r="F4090" t="s">
        <v>82426</v>
      </c>
      <c r="G4090" t="s">
        <v>82427</v>
      </c>
      <c r="H4090" t="s">
        <v>82428</v>
      </c>
      <c r="I4090" t="s">
        <v>82429</v>
      </c>
      <c r="J4090" t="s">
        <v>82430</v>
      </c>
      <c r="K4090" t="s">
        <v>82431</v>
      </c>
      <c r="L4090" t="s">
        <v>82432</v>
      </c>
      <c r="M4090" t="s">
        <v>82433</v>
      </c>
      <c r="N4090">
        <f>-557.80300726661 -0.470342673321255 -773.920072342839</f>
        <v>-1332.1934222827704</v>
      </c>
      <c r="O4090">
        <f>-552.851898501291 -144.272309803313 -743.594934351633</f>
        <v>-1440.719142656237</v>
      </c>
      <c r="P4090">
        <f>-575.219726699381 -164.108789519736 -428.487972136012</f>
        <v>-1167.816488355129</v>
      </c>
      <c r="Q4090">
        <f>-344.80533310843 -49.5942883988489 -466.404864742951</f>
        <v>-860.80448625022996</v>
      </c>
      <c r="R4090" t="s">
        <v>82434</v>
      </c>
      <c r="S4090" t="s">
        <v>82435</v>
      </c>
      <c r="T4090" t="s">
        <v>82436</v>
      </c>
      <c r="U4090" t="s">
        <v>82437</v>
      </c>
      <c r="V4090">
        <f>-534.674884023769 -19.2662646359574 -229.058924666941</f>
        <v>-783.00007332666746</v>
      </c>
      <c r="W4090" t="s">
        <v>82438</v>
      </c>
      <c r="X4090" t="s">
        <v>82439</v>
      </c>
      <c r="Y4090" t="s">
        <v>82440</v>
      </c>
    </row>
    <row r="4091" spans="1:25" x14ac:dyDescent="0.3">
      <c r="A4091">
        <v>204500</v>
      </c>
      <c r="B4091" t="s">
        <v>82441</v>
      </c>
      <c r="C4091" t="s">
        <v>82442</v>
      </c>
      <c r="D4091" t="s">
        <v>82443</v>
      </c>
      <c r="E4091" t="s">
        <v>82444</v>
      </c>
      <c r="F4091" t="s">
        <v>82445</v>
      </c>
      <c r="G4091" t="s">
        <v>82446</v>
      </c>
      <c r="H4091" t="s">
        <v>82447</v>
      </c>
      <c r="I4091" t="s">
        <v>82448</v>
      </c>
      <c r="J4091" t="s">
        <v>82449</v>
      </c>
      <c r="K4091" t="s">
        <v>82450</v>
      </c>
      <c r="L4091" t="s">
        <v>82451</v>
      </c>
      <c r="M4091" t="s">
        <v>82452</v>
      </c>
      <c r="N4091">
        <f>-557.703425226653 -0.69276665413701 -773.957708821565</f>
        <v>-1332.3539007023551</v>
      </c>
      <c r="O4091">
        <f>-552.628916272303 -144.486950266557 -743.618379034319</f>
        <v>-1440.7342455731789</v>
      </c>
      <c r="P4091">
        <f>-575.157721726508 -164.231048592304 -428.517210694865</f>
        <v>-1167.9059810136771</v>
      </c>
      <c r="Q4091">
        <f>-344.779949099685 -49.6301486229675 -466.395712709028</f>
        <v>-860.80581043168047</v>
      </c>
      <c r="R4091" t="s">
        <v>82453</v>
      </c>
      <c r="S4091" t="s">
        <v>82454</v>
      </c>
      <c r="T4091" t="s">
        <v>82455</v>
      </c>
      <c r="U4091" t="s">
        <v>82456</v>
      </c>
      <c r="V4091">
        <f>-534.637765998473 -19.7992529923449 -229.129621432858</f>
        <v>-783.56664042367595</v>
      </c>
      <c r="W4091" t="s">
        <v>82457</v>
      </c>
      <c r="X4091" t="s">
        <v>82458</v>
      </c>
      <c r="Y4091" t="s">
        <v>82459</v>
      </c>
    </row>
    <row r="4092" spans="1:25" x14ac:dyDescent="0.3">
      <c r="A4092">
        <v>204550</v>
      </c>
      <c r="B4092" t="s">
        <v>82460</v>
      </c>
      <c r="C4092" t="s">
        <v>82461</v>
      </c>
      <c r="D4092" t="s">
        <v>82462</v>
      </c>
      <c r="E4092" t="s">
        <v>82463</v>
      </c>
      <c r="F4092" t="s">
        <v>82464</v>
      </c>
      <c r="G4092" t="s">
        <v>82465</v>
      </c>
      <c r="H4092" t="s">
        <v>82466</v>
      </c>
      <c r="I4092" t="s">
        <v>82467</v>
      </c>
      <c r="J4092" t="s">
        <v>82468</v>
      </c>
      <c r="K4092" t="s">
        <v>82469</v>
      </c>
      <c r="L4092" t="s">
        <v>82470</v>
      </c>
      <c r="M4092" t="s">
        <v>82471</v>
      </c>
      <c r="N4092">
        <f>-557.565695192693 -0.751986845652951 -773.960098305516</f>
        <v>-1332.2777803438621</v>
      </c>
      <c r="O4092">
        <f>-552.381227430251 -144.531811067711 -743.573156484556</f>
        <v>-1440.4861949825181</v>
      </c>
      <c r="P4092">
        <f>-575.066577516098 -164.136084692748 -428.474452219975</f>
        <v>-1167.6771144288209</v>
      </c>
      <c r="Q4092">
        <f>-344.713823012441 -49.4830685748677 -466.347243251119</f>
        <v>-860.54413483842768</v>
      </c>
      <c r="R4092" t="s">
        <v>82472</v>
      </c>
      <c r="S4092" t="s">
        <v>82473</v>
      </c>
      <c r="T4092" t="s">
        <v>82474</v>
      </c>
      <c r="U4092" t="s">
        <v>82475</v>
      </c>
      <c r="V4092">
        <f>-534.832563230566 -19.9815209339334 -229.122091697577</f>
        <v>-783.93617586207642</v>
      </c>
      <c r="W4092" t="s">
        <v>82476</v>
      </c>
      <c r="X4092" t="s">
        <v>82477</v>
      </c>
      <c r="Y4092" t="s">
        <v>82478</v>
      </c>
    </row>
    <row r="4093" spans="1:25" x14ac:dyDescent="0.3">
      <c r="A4093">
        <v>204600</v>
      </c>
      <c r="B4093" t="s">
        <v>82479</v>
      </c>
      <c r="C4093" t="s">
        <v>82480</v>
      </c>
      <c r="D4093" t="s">
        <v>82481</v>
      </c>
      <c r="E4093" t="s">
        <v>82482</v>
      </c>
      <c r="F4093" t="s">
        <v>82483</v>
      </c>
      <c r="G4093" t="s">
        <v>82484</v>
      </c>
      <c r="H4093" t="s">
        <v>82485</v>
      </c>
      <c r="I4093" t="s">
        <v>82486</v>
      </c>
      <c r="J4093" t="s">
        <v>82487</v>
      </c>
      <c r="K4093" t="s">
        <v>82488</v>
      </c>
      <c r="L4093" t="s">
        <v>82489</v>
      </c>
      <c r="M4093" t="s">
        <v>82490</v>
      </c>
      <c r="N4093">
        <f>-557.241902007812 -0.737285755764006 -773.904816052831</f>
        <v>-1331.8840038164071</v>
      </c>
      <c r="O4093">
        <f>-551.983689006133 -144.523263954034 -743.527142986068</f>
        <v>-1440.0340959462351</v>
      </c>
      <c r="P4093">
        <f>-574.739923254019 -164.140297908705 -428.434325207672</f>
        <v>-1167.3145463703959</v>
      </c>
      <c r="Q4093">
        <f>-344.424847876947 -49.3978707962303 -466.265463313062</f>
        <v>-860.08818198623931</v>
      </c>
      <c r="R4093" t="s">
        <v>82491</v>
      </c>
      <c r="S4093" t="s">
        <v>82492</v>
      </c>
      <c r="T4093" t="s">
        <v>82493</v>
      </c>
      <c r="U4093" t="s">
        <v>82494</v>
      </c>
      <c r="V4093">
        <f>-534.950471113731 -20.0508000302815 -229.015175539315</f>
        <v>-784.01644668332756</v>
      </c>
      <c r="W4093" t="s">
        <v>82495</v>
      </c>
      <c r="X4093" t="s">
        <v>82496</v>
      </c>
      <c r="Y4093" t="s">
        <v>82497</v>
      </c>
    </row>
    <row r="4094" spans="1:25" x14ac:dyDescent="0.3">
      <c r="A4094">
        <v>204650</v>
      </c>
      <c r="B4094" t="s">
        <v>82498</v>
      </c>
      <c r="C4094" t="s">
        <v>82499</v>
      </c>
      <c r="D4094" t="s">
        <v>82500</v>
      </c>
      <c r="E4094" t="s">
        <v>82501</v>
      </c>
      <c r="F4094" t="s">
        <v>82502</v>
      </c>
      <c r="G4094" t="s">
        <v>82503</v>
      </c>
      <c r="H4094" t="s">
        <v>82504</v>
      </c>
      <c r="I4094" t="s">
        <v>82505</v>
      </c>
      <c r="J4094" t="s">
        <v>82506</v>
      </c>
      <c r="K4094" t="s">
        <v>82507</v>
      </c>
      <c r="L4094" t="s">
        <v>82508</v>
      </c>
      <c r="M4094" t="s">
        <v>82509</v>
      </c>
      <c r="N4094">
        <f>-556.868893151821 -0.0712925018264912 -773.866175546917</f>
        <v>-1330.8063612005644</v>
      </c>
      <c r="O4094">
        <f>-551.427055861986 -143.861525443401 -743.554317124614</f>
        <v>-1438.842898430001</v>
      </c>
      <c r="P4094">
        <f>-574.456041542968 -163.53132893439 -428.484646876541</f>
        <v>-1166.472017353899</v>
      </c>
      <c r="Q4094">
        <f>-344.161018713804 -48.6774424702236 -466.09922317153</f>
        <v>-858.93768435555762</v>
      </c>
      <c r="R4094" t="s">
        <v>82510</v>
      </c>
      <c r="S4094" t="s">
        <v>82511</v>
      </c>
      <c r="T4094" t="s">
        <v>82512</v>
      </c>
      <c r="U4094" t="s">
        <v>82513</v>
      </c>
      <c r="V4094">
        <f>-535.078426157069 -19.8411531511788 -228.974830636963</f>
        <v>-783.89440994521078</v>
      </c>
      <c r="W4094" t="s">
        <v>82514</v>
      </c>
      <c r="X4094" t="s">
        <v>82515</v>
      </c>
      <c r="Y4094" t="s">
        <v>82516</v>
      </c>
    </row>
    <row r="4095" spans="1:25" x14ac:dyDescent="0.3">
      <c r="A4095">
        <v>204700</v>
      </c>
      <c r="B4095" t="s">
        <v>82517</v>
      </c>
      <c r="C4095" t="s">
        <v>82518</v>
      </c>
      <c r="D4095" t="s">
        <v>82519</v>
      </c>
      <c r="E4095" t="s">
        <v>82520</v>
      </c>
      <c r="F4095" t="s">
        <v>82521</v>
      </c>
      <c r="G4095" t="s">
        <v>82522</v>
      </c>
      <c r="H4095" t="s">
        <v>82523</v>
      </c>
      <c r="I4095" t="s">
        <v>82524</v>
      </c>
      <c r="J4095" t="s">
        <v>82525</v>
      </c>
      <c r="K4095" t="s">
        <v>82526</v>
      </c>
      <c r="L4095" t="s">
        <v>82527</v>
      </c>
      <c r="M4095" t="s">
        <v>82528</v>
      </c>
      <c r="N4095" t="s">
        <v>82529</v>
      </c>
      <c r="O4095">
        <f>-551.289358590463 -143.568315992993 -743.572151193706</f>
        <v>-1438.429825777162</v>
      </c>
      <c r="P4095">
        <f>-574.401132672675 -163.316837099283 -428.513427812567</f>
        <v>-1166.231397584525</v>
      </c>
      <c r="Q4095">
        <f>-344.119988202271 -48.3832455954576 -465.968674533994</f>
        <v>-858.47190833172249</v>
      </c>
      <c r="R4095" t="s">
        <v>82530</v>
      </c>
      <c r="S4095" t="s">
        <v>82531</v>
      </c>
      <c r="T4095" t="s">
        <v>82532</v>
      </c>
      <c r="U4095" t="s">
        <v>82533</v>
      </c>
      <c r="V4095">
        <f>-535.225351521039 -19.9119478395924 -228.943348942555</f>
        <v>-784.08064830318631</v>
      </c>
      <c r="W4095" t="s">
        <v>82534</v>
      </c>
      <c r="X4095" t="s">
        <v>82535</v>
      </c>
      <c r="Y4095" t="s">
        <v>82536</v>
      </c>
    </row>
    <row r="4096" spans="1:25" x14ac:dyDescent="0.3">
      <c r="A4096">
        <v>204750</v>
      </c>
      <c r="B4096" t="s">
        <v>82537</v>
      </c>
      <c r="C4096" t="s">
        <v>82538</v>
      </c>
      <c r="D4096" t="s">
        <v>82539</v>
      </c>
      <c r="E4096" t="s">
        <v>82540</v>
      </c>
      <c r="F4096" t="s">
        <v>82541</v>
      </c>
      <c r="G4096" t="s">
        <v>82542</v>
      </c>
      <c r="H4096" t="s">
        <v>82543</v>
      </c>
      <c r="I4096" t="s">
        <v>82544</v>
      </c>
      <c r="J4096" t="s">
        <v>82545</v>
      </c>
      <c r="K4096" t="s">
        <v>82546</v>
      </c>
      <c r="L4096" t="s">
        <v>82547</v>
      </c>
      <c r="M4096" t="s">
        <v>82548</v>
      </c>
      <c r="N4096" t="s">
        <v>82549</v>
      </c>
      <c r="O4096">
        <f>-550.568634614962 -143.510018305885 -743.613908714531</f>
        <v>-1437.6925616353778</v>
      </c>
      <c r="P4096">
        <f>-573.943405429562 -163.395510962594 -428.583215942798</f>
        <v>-1165.9221323349539</v>
      </c>
      <c r="Q4096">
        <f>-343.647646601855 -48.4232766070931 -465.829642908815</f>
        <v>-857.90056611776311</v>
      </c>
      <c r="R4096" t="s">
        <v>82550</v>
      </c>
      <c r="S4096" t="s">
        <v>82551</v>
      </c>
      <c r="T4096" t="s">
        <v>82552</v>
      </c>
      <c r="U4096" t="s">
        <v>82553</v>
      </c>
      <c r="V4096">
        <f>-535.212727374164 -19.6849220419469 -228.996738551756</f>
        <v>-783.89438796786703</v>
      </c>
      <c r="W4096" t="s">
        <v>82554</v>
      </c>
      <c r="X4096" t="s">
        <v>82555</v>
      </c>
      <c r="Y4096" t="s">
        <v>82556</v>
      </c>
    </row>
    <row r="4097" spans="1:25" x14ac:dyDescent="0.3">
      <c r="A4097">
        <v>204800</v>
      </c>
      <c r="B4097" t="s">
        <v>82557</v>
      </c>
      <c r="C4097" t="s">
        <v>82558</v>
      </c>
      <c r="D4097" t="s">
        <v>82559</v>
      </c>
      <c r="E4097" t="s">
        <v>82560</v>
      </c>
      <c r="F4097" t="s">
        <v>82561</v>
      </c>
      <c r="G4097" t="s">
        <v>82562</v>
      </c>
      <c r="H4097" t="s">
        <v>82563</v>
      </c>
      <c r="I4097" t="s">
        <v>82564</v>
      </c>
      <c r="J4097" t="s">
        <v>82565</v>
      </c>
      <c r="K4097" t="s">
        <v>82566</v>
      </c>
      <c r="L4097" t="s">
        <v>82567</v>
      </c>
      <c r="M4097" t="s">
        <v>82568</v>
      </c>
      <c r="N4097" t="s">
        <v>82569</v>
      </c>
      <c r="O4097">
        <f>-550.164854206157 -143.447168479624 -743.637616062155</f>
        <v>-1437.2496387479359</v>
      </c>
      <c r="P4097">
        <f>-573.650575110272 -163.275633395604 -428.61140291833</f>
        <v>-1165.537611424206</v>
      </c>
      <c r="Q4097">
        <f>-343.323180960257 -48.3111761240505 -465.685736924082</f>
        <v>-857.32009400838956</v>
      </c>
      <c r="R4097" t="s">
        <v>82570</v>
      </c>
      <c r="S4097" t="s">
        <v>82571</v>
      </c>
      <c r="T4097" t="s">
        <v>82572</v>
      </c>
      <c r="U4097" t="s">
        <v>82573</v>
      </c>
      <c r="V4097">
        <f>-535.217823187092 -19.795331938002 -229.015796660318</f>
        <v>-784.028951785412</v>
      </c>
      <c r="W4097" t="s">
        <v>82574</v>
      </c>
      <c r="X4097" t="s">
        <v>82575</v>
      </c>
      <c r="Y4097" t="s">
        <v>82576</v>
      </c>
    </row>
    <row r="4098" spans="1:25" x14ac:dyDescent="0.3">
      <c r="A4098">
        <v>204850</v>
      </c>
      <c r="B4098" t="s">
        <v>82577</v>
      </c>
      <c r="C4098" t="s">
        <v>82578</v>
      </c>
      <c r="D4098" t="s">
        <v>82579</v>
      </c>
      <c r="E4098" t="s">
        <v>82580</v>
      </c>
      <c r="F4098" t="s">
        <v>82581</v>
      </c>
      <c r="G4098" t="s">
        <v>82582</v>
      </c>
      <c r="H4098" t="s">
        <v>82583</v>
      </c>
      <c r="I4098" t="s">
        <v>82584</v>
      </c>
      <c r="J4098" t="s">
        <v>82585</v>
      </c>
      <c r="K4098" t="s">
        <v>82586</v>
      </c>
      <c r="L4098" t="s">
        <v>82587</v>
      </c>
      <c r="M4098" t="s">
        <v>82588</v>
      </c>
      <c r="N4098" t="s">
        <v>82589</v>
      </c>
      <c r="O4098">
        <f>-549.774427950294 -143.121143905105 -743.668258908034</f>
        <v>-1436.5638307634331</v>
      </c>
      <c r="P4098">
        <f>-573.516812692508 -162.908246957675 -428.658767622021</f>
        <v>-1165.083827272204</v>
      </c>
      <c r="Q4098">
        <f>-343.161454166864 -47.8637659771583 -465.309009177151</f>
        <v>-856.33422932117332</v>
      </c>
      <c r="R4098" t="s">
        <v>82590</v>
      </c>
      <c r="S4098" t="s">
        <v>82591</v>
      </c>
      <c r="T4098" t="s">
        <v>82592</v>
      </c>
      <c r="U4098" t="s">
        <v>82593</v>
      </c>
      <c r="V4098">
        <f>-535.417387115112 -19.8091146129132 -229.01288545829</f>
        <v>-784.23938718631507</v>
      </c>
      <c r="W4098" t="s">
        <v>82594</v>
      </c>
      <c r="X4098" t="s">
        <v>82595</v>
      </c>
      <c r="Y4098" t="s">
        <v>82596</v>
      </c>
    </row>
    <row r="4099" spans="1:25" x14ac:dyDescent="0.3">
      <c r="A4099">
        <v>204900</v>
      </c>
      <c r="B4099" t="s">
        <v>82597</v>
      </c>
      <c r="C4099" t="s">
        <v>82598</v>
      </c>
      <c r="D4099" t="s">
        <v>82599</v>
      </c>
      <c r="E4099" t="s">
        <v>82600</v>
      </c>
      <c r="F4099" t="s">
        <v>82601</v>
      </c>
      <c r="G4099" t="s">
        <v>82602</v>
      </c>
      <c r="H4099" t="s">
        <v>82603</v>
      </c>
      <c r="I4099" t="s">
        <v>82604</v>
      </c>
      <c r="J4099" t="s">
        <v>82605</v>
      </c>
      <c r="K4099" t="s">
        <v>82606</v>
      </c>
      <c r="L4099" t="s">
        <v>82607</v>
      </c>
      <c r="M4099" t="s">
        <v>82608</v>
      </c>
      <c r="N4099" t="s">
        <v>82609</v>
      </c>
      <c r="O4099">
        <f>-549.543973530707 -142.908281294738 -743.730380466102</f>
        <v>-1436.1826352915471</v>
      </c>
      <c r="P4099">
        <f>-573.399783423062 -162.680516616554 -428.728529444956</f>
        <v>-1164.808829484572</v>
      </c>
      <c r="Q4099">
        <f>-343.206028793055 -47.2496983096436 -465.17887951392</f>
        <v>-855.63460661661861</v>
      </c>
      <c r="R4099" t="s">
        <v>82610</v>
      </c>
      <c r="S4099" t="s">
        <v>82611</v>
      </c>
      <c r="T4099" t="s">
        <v>82612</v>
      </c>
      <c r="U4099" t="s">
        <v>82613</v>
      </c>
      <c r="V4099">
        <f>-535.470629280883 -19.6241969977543 -229.012668034752</f>
        <v>-784.10749431338934</v>
      </c>
      <c r="W4099" t="s">
        <v>82614</v>
      </c>
      <c r="X4099" t="s">
        <v>82615</v>
      </c>
      <c r="Y4099" t="s">
        <v>82616</v>
      </c>
    </row>
    <row r="4100" spans="1:25" x14ac:dyDescent="0.3">
      <c r="A4100">
        <v>204950</v>
      </c>
      <c r="B4100" t="s">
        <v>82617</v>
      </c>
      <c r="C4100" t="s">
        <v>82618</v>
      </c>
      <c r="D4100" t="s">
        <v>82619</v>
      </c>
      <c r="E4100" t="s">
        <v>82620</v>
      </c>
      <c r="F4100" t="s">
        <v>82621</v>
      </c>
      <c r="G4100" t="s">
        <v>82622</v>
      </c>
      <c r="H4100" t="s">
        <v>82623</v>
      </c>
      <c r="I4100" t="s">
        <v>82624</v>
      </c>
      <c r="J4100" t="s">
        <v>82625</v>
      </c>
      <c r="K4100" t="s">
        <v>82626</v>
      </c>
      <c r="L4100" t="s">
        <v>82627</v>
      </c>
      <c r="M4100" t="s">
        <v>82628</v>
      </c>
      <c r="N4100" t="s">
        <v>82629</v>
      </c>
      <c r="O4100">
        <f>-549.029301595793 -142.634749371445 -743.821019722588</f>
        <v>-1435.485070689826</v>
      </c>
      <c r="P4100">
        <f>-573.563577637523 -162.707113088986 -428.890278065284</f>
        <v>-1165.160968791793</v>
      </c>
      <c r="Q4100">
        <f>-344.099788964309 -45.6860585846847 -464.869372011941</f>
        <v>-854.65521956093471</v>
      </c>
      <c r="R4100" t="s">
        <v>82630</v>
      </c>
      <c r="S4100" t="s">
        <v>82631</v>
      </c>
      <c r="T4100" t="s">
        <v>82632</v>
      </c>
      <c r="U4100" t="s">
        <v>82633</v>
      </c>
      <c r="V4100">
        <f>-535.569786270582 -19.660029076208 -228.98713007262</f>
        <v>-784.21694541940997</v>
      </c>
      <c r="W4100" t="s">
        <v>82634</v>
      </c>
      <c r="X4100" t="s">
        <v>82635</v>
      </c>
      <c r="Y4100" t="s">
        <v>82636</v>
      </c>
    </row>
    <row r="4101" spans="1:25" x14ac:dyDescent="0.3">
      <c r="A4101">
        <v>205000</v>
      </c>
      <c r="B4101" t="s">
        <v>82637</v>
      </c>
      <c r="C4101" t="s">
        <v>82638</v>
      </c>
      <c r="D4101" t="s">
        <v>82639</v>
      </c>
      <c r="E4101" t="s">
        <v>82640</v>
      </c>
      <c r="F4101" t="s">
        <v>82641</v>
      </c>
      <c r="G4101" t="s">
        <v>82642</v>
      </c>
      <c r="H4101" t="s">
        <v>82643</v>
      </c>
      <c r="I4101" t="s">
        <v>82644</v>
      </c>
      <c r="J4101" t="s">
        <v>82645</v>
      </c>
      <c r="K4101" t="s">
        <v>82646</v>
      </c>
      <c r="L4101" t="s">
        <v>82647</v>
      </c>
      <c r="M4101" t="s">
        <v>82648</v>
      </c>
      <c r="N4101" t="s">
        <v>82649</v>
      </c>
      <c r="O4101">
        <f>-548.888364482125 -142.464107798889 -743.810927709921</f>
        <v>-1435.163399990935</v>
      </c>
      <c r="P4101">
        <f>-573.491458350994 -162.3969309928 -428.876789357472</f>
        <v>-1164.765178701266</v>
      </c>
      <c r="Q4101">
        <f>-344.471209064116 -44.4602977417375 -464.691438250892</f>
        <v>-853.62294505674549</v>
      </c>
      <c r="R4101" t="s">
        <v>82650</v>
      </c>
      <c r="S4101" t="s">
        <v>82651</v>
      </c>
      <c r="T4101" t="s">
        <v>82652</v>
      </c>
      <c r="U4101" t="s">
        <v>82653</v>
      </c>
      <c r="V4101">
        <f>-535.616187482765 -19.5771848032391 -228.982399502052</f>
        <v>-784.17577178805607</v>
      </c>
      <c r="W4101" t="s">
        <v>82654</v>
      </c>
      <c r="X4101" t="s">
        <v>82655</v>
      </c>
      <c r="Y4101" t="s">
        <v>82656</v>
      </c>
    </row>
    <row r="4102" spans="1:25" x14ac:dyDescent="0.3">
      <c r="A4102">
        <v>205050</v>
      </c>
      <c r="B4102" t="s">
        <v>82657</v>
      </c>
      <c r="C4102" t="s">
        <v>82658</v>
      </c>
      <c r="D4102" t="s">
        <v>82659</v>
      </c>
      <c r="E4102" t="s">
        <v>82660</v>
      </c>
      <c r="F4102" t="s">
        <v>82661</v>
      </c>
      <c r="G4102" t="s">
        <v>82662</v>
      </c>
      <c r="H4102" t="s">
        <v>82663</v>
      </c>
      <c r="I4102" t="s">
        <v>82664</v>
      </c>
      <c r="J4102" t="s">
        <v>82665</v>
      </c>
      <c r="K4102" t="s">
        <v>82666</v>
      </c>
      <c r="L4102" t="s">
        <v>82667</v>
      </c>
      <c r="M4102" t="s">
        <v>82668</v>
      </c>
      <c r="N4102" t="s">
        <v>82669</v>
      </c>
      <c r="O4102">
        <f>-548.73156831299 -142.478079394521 -743.682399291329</f>
        <v>-1434.8920469988402</v>
      </c>
      <c r="P4102">
        <f>-573.07939793165 -161.880345760273 -428.695235516624</f>
        <v>-1163.654979208547</v>
      </c>
      <c r="Q4102">
        <f>-344.974603002881 -42.3630233153348 -465.107718904309</f>
        <v>-852.44534522252479</v>
      </c>
      <c r="R4102" t="s">
        <v>82670</v>
      </c>
      <c r="S4102" t="s">
        <v>82671</v>
      </c>
      <c r="T4102" t="s">
        <v>82672</v>
      </c>
      <c r="U4102" t="s">
        <v>82673</v>
      </c>
      <c r="V4102">
        <f>-535.855596450793 -19.9031967751688 -228.975361055992</f>
        <v>-784.73415428195381</v>
      </c>
      <c r="W4102" t="s">
        <v>82674</v>
      </c>
      <c r="X4102" t="s">
        <v>82675</v>
      </c>
      <c r="Y4102" t="s">
        <v>82676</v>
      </c>
    </row>
    <row r="4103" spans="1:25" x14ac:dyDescent="0.3">
      <c r="A4103">
        <v>205100</v>
      </c>
      <c r="B4103" t="s">
        <v>82677</v>
      </c>
      <c r="C4103" t="s">
        <v>82678</v>
      </c>
      <c r="D4103" t="s">
        <v>82679</v>
      </c>
      <c r="E4103" t="s">
        <v>82680</v>
      </c>
      <c r="F4103" t="s">
        <v>82681</v>
      </c>
      <c r="G4103" t="s">
        <v>82682</v>
      </c>
      <c r="H4103" t="s">
        <v>82683</v>
      </c>
      <c r="I4103" t="s">
        <v>82684</v>
      </c>
      <c r="J4103" t="s">
        <v>82685</v>
      </c>
      <c r="K4103" t="s">
        <v>82686</v>
      </c>
      <c r="L4103" t="s">
        <v>82687</v>
      </c>
      <c r="M4103" t="s">
        <v>82688</v>
      </c>
      <c r="N4103" t="s">
        <v>82689</v>
      </c>
      <c r="O4103">
        <f>-548.688565981221 -142.29236225018 -743.654713664709</f>
        <v>-1434.63564189611</v>
      </c>
      <c r="P4103">
        <f>-572.876146389614 -161.131813348938 -428.620911131024</f>
        <v>-1162.6288708695761</v>
      </c>
      <c r="Q4103">
        <f>-345.049040371567 -41.0397019069244 -464.880598276981</f>
        <v>-850.9693405554724</v>
      </c>
      <c r="R4103" t="s">
        <v>82690</v>
      </c>
      <c r="S4103" t="s">
        <v>82691</v>
      </c>
      <c r="T4103" t="s">
        <v>82692</v>
      </c>
      <c r="U4103" t="s">
        <v>82693</v>
      </c>
      <c r="V4103">
        <f>-535.992089402401 -19.7885894024888 -228.978643262608</f>
        <v>-784.75932206749781</v>
      </c>
      <c r="W4103" t="s">
        <v>82694</v>
      </c>
      <c r="X4103" t="s">
        <v>82695</v>
      </c>
      <c r="Y4103" t="s">
        <v>82696</v>
      </c>
    </row>
    <row r="4104" spans="1:25" x14ac:dyDescent="0.3">
      <c r="A4104">
        <v>205150</v>
      </c>
      <c r="B4104" t="s">
        <v>82697</v>
      </c>
      <c r="C4104" t="s">
        <v>82698</v>
      </c>
      <c r="D4104" t="s">
        <v>82699</v>
      </c>
      <c r="E4104" t="s">
        <v>82700</v>
      </c>
      <c r="F4104" t="s">
        <v>82701</v>
      </c>
      <c r="G4104" t="s">
        <v>82702</v>
      </c>
      <c r="H4104" t="s">
        <v>82703</v>
      </c>
      <c r="I4104" t="s">
        <v>82704</v>
      </c>
      <c r="J4104" t="s">
        <v>82705</v>
      </c>
      <c r="K4104" t="s">
        <v>82706</v>
      </c>
      <c r="L4104" t="s">
        <v>82707</v>
      </c>
      <c r="M4104" t="s">
        <v>82708</v>
      </c>
      <c r="N4104" t="s">
        <v>82709</v>
      </c>
      <c r="O4104">
        <f>-548.356340118438 -142.188390077604 -743.609114063133</f>
        <v>-1434.153844259175</v>
      </c>
      <c r="P4104">
        <f>-572.569504369117 -160.110458835942 -428.523870741439</f>
        <v>-1161.203833946498</v>
      </c>
      <c r="Q4104">
        <f>-345.091262403763 -39.1404475748579 -464.048227201478</f>
        <v>-848.27993718009884</v>
      </c>
      <c r="R4104" t="s">
        <v>82710</v>
      </c>
      <c r="S4104" t="s">
        <v>82711</v>
      </c>
      <c r="T4104" t="s">
        <v>82712</v>
      </c>
      <c r="U4104" t="s">
        <v>82713</v>
      </c>
      <c r="V4104">
        <f>-536.30342036884 -19.7571177398922 -229.038115049757</f>
        <v>-785.09865315848924</v>
      </c>
      <c r="W4104" t="s">
        <v>82714</v>
      </c>
      <c r="X4104" t="s">
        <v>82715</v>
      </c>
      <c r="Y4104" t="s">
        <v>82716</v>
      </c>
    </row>
    <row r="4105" spans="1:25" x14ac:dyDescent="0.3">
      <c r="A4105">
        <v>205200</v>
      </c>
      <c r="B4105" t="s">
        <v>82717</v>
      </c>
      <c r="C4105" t="s">
        <v>82718</v>
      </c>
      <c r="D4105" t="s">
        <v>82719</v>
      </c>
      <c r="E4105" t="s">
        <v>82720</v>
      </c>
      <c r="F4105" t="s">
        <v>82721</v>
      </c>
      <c r="G4105" t="s">
        <v>82722</v>
      </c>
      <c r="H4105" t="s">
        <v>82723</v>
      </c>
      <c r="I4105" t="s">
        <v>82724</v>
      </c>
      <c r="J4105" t="s">
        <v>82725</v>
      </c>
      <c r="K4105" t="s">
        <v>82726</v>
      </c>
      <c r="L4105" t="s">
        <v>82727</v>
      </c>
      <c r="M4105" t="s">
        <v>82728</v>
      </c>
      <c r="N4105" t="s">
        <v>82729</v>
      </c>
      <c r="O4105">
        <f>-548.321811177076 -142.239532163078 -743.518902403497</f>
        <v>-1434.0802457436512</v>
      </c>
      <c r="P4105">
        <f>-572.595514226636 -159.850153268728 -428.420819656563</f>
        <v>-1160.8664871519272</v>
      </c>
      <c r="Q4105">
        <f>-345.247324507465 -38.5525661740788 -463.659547995498</f>
        <v>-847.45943867704182</v>
      </c>
      <c r="R4105" t="s">
        <v>82730</v>
      </c>
      <c r="S4105" t="s">
        <v>82731</v>
      </c>
      <c r="T4105" t="s">
        <v>82732</v>
      </c>
      <c r="U4105" t="s">
        <v>82733</v>
      </c>
      <c r="V4105">
        <f>-536.446970353278 -19.9526478129512 -229.060764834786</f>
        <v>-785.4603830010152</v>
      </c>
      <c r="W4105" t="s">
        <v>82734</v>
      </c>
      <c r="X4105" t="s">
        <v>82735</v>
      </c>
      <c r="Y4105" t="s">
        <v>82736</v>
      </c>
    </row>
    <row r="4106" spans="1:25" x14ac:dyDescent="0.3">
      <c r="A4106">
        <v>205250</v>
      </c>
      <c r="B4106" t="s">
        <v>82737</v>
      </c>
      <c r="C4106" t="s">
        <v>82738</v>
      </c>
      <c r="D4106" t="s">
        <v>82739</v>
      </c>
      <c r="E4106" t="s">
        <v>82740</v>
      </c>
      <c r="F4106" t="s">
        <v>82741</v>
      </c>
      <c r="G4106" t="s">
        <v>82742</v>
      </c>
      <c r="H4106" t="s">
        <v>82743</v>
      </c>
      <c r="I4106" t="s">
        <v>82744</v>
      </c>
      <c r="J4106" t="s">
        <v>82745</v>
      </c>
      <c r="K4106" t="s">
        <v>82746</v>
      </c>
      <c r="L4106" t="s">
        <v>82747</v>
      </c>
      <c r="M4106" t="s">
        <v>82748</v>
      </c>
      <c r="N4106" t="s">
        <v>82749</v>
      </c>
      <c r="O4106">
        <f>-547.985909749885 -142.264238989701 -743.475910230318</f>
        <v>-1433.726058969904</v>
      </c>
      <c r="P4106">
        <f>-572.364488375167 -159.748993106759 -428.37882391677</f>
        <v>-1160.4923053986959</v>
      </c>
      <c r="Q4106">
        <f>-345.425752422369 -37.6629415602523 -463.533423018113</f>
        <v>-846.62211700073431</v>
      </c>
      <c r="R4106" t="s">
        <v>82750</v>
      </c>
      <c r="S4106" t="s">
        <v>82751</v>
      </c>
      <c r="T4106" t="s">
        <v>82752</v>
      </c>
      <c r="U4106" t="s">
        <v>82753</v>
      </c>
      <c r="V4106">
        <f>-536.659654562563 -20.0754107105513 -229.085035657376</f>
        <v>-785.8201009304903</v>
      </c>
      <c r="W4106" t="s">
        <v>82754</v>
      </c>
      <c r="X4106" t="s">
        <v>82755</v>
      </c>
      <c r="Y4106" t="s">
        <v>82756</v>
      </c>
    </row>
    <row r="4107" spans="1:25" x14ac:dyDescent="0.3">
      <c r="A4107">
        <v>205300</v>
      </c>
      <c r="B4107" t="s">
        <v>82757</v>
      </c>
      <c r="C4107" t="s">
        <v>82758</v>
      </c>
      <c r="D4107" t="s">
        <v>82759</v>
      </c>
      <c r="E4107" t="s">
        <v>82760</v>
      </c>
      <c r="F4107" t="s">
        <v>82761</v>
      </c>
      <c r="G4107" t="s">
        <v>82762</v>
      </c>
      <c r="H4107" t="s">
        <v>82763</v>
      </c>
      <c r="I4107" t="s">
        <v>82764</v>
      </c>
      <c r="J4107" t="s">
        <v>82765</v>
      </c>
      <c r="K4107" t="s">
        <v>82766</v>
      </c>
      <c r="L4107" t="s">
        <v>82767</v>
      </c>
      <c r="M4107" t="s">
        <v>82768</v>
      </c>
      <c r="N4107" t="s">
        <v>82769</v>
      </c>
      <c r="O4107">
        <f>-548.050918077839 -142.339670399013 -743.426834564624</f>
        <v>-1433.8174230414761</v>
      </c>
      <c r="P4107">
        <f>-572.457457798567 -159.787963002048 -428.329905689413</f>
        <v>-1160.5753264900279</v>
      </c>
      <c r="Q4107">
        <f>-345.752414924158 -37.2898891519926 -463.559217319509</f>
        <v>-846.60152139565957</v>
      </c>
      <c r="R4107" t="s">
        <v>82770</v>
      </c>
      <c r="S4107" t="s">
        <v>82771</v>
      </c>
      <c r="T4107" t="s">
        <v>82772</v>
      </c>
      <c r="U4107" t="s">
        <v>82773</v>
      </c>
      <c r="V4107">
        <f>-536.850789814855 -20.1923840571559 -229.039396808038</f>
        <v>-786.08257068004889</v>
      </c>
      <c r="W4107" t="s">
        <v>82774</v>
      </c>
      <c r="X4107" t="s">
        <v>82775</v>
      </c>
      <c r="Y4107" t="s">
        <v>82776</v>
      </c>
    </row>
    <row r="4108" spans="1:25" x14ac:dyDescent="0.3">
      <c r="A4108">
        <v>205350</v>
      </c>
      <c r="B4108" t="s">
        <v>82777</v>
      </c>
      <c r="C4108" t="s">
        <v>82778</v>
      </c>
      <c r="D4108" t="s">
        <v>82779</v>
      </c>
      <c r="E4108" t="s">
        <v>82780</v>
      </c>
      <c r="F4108" t="s">
        <v>82781</v>
      </c>
      <c r="G4108" t="s">
        <v>82782</v>
      </c>
      <c r="H4108" t="s">
        <v>82783</v>
      </c>
      <c r="I4108" t="s">
        <v>82784</v>
      </c>
      <c r="J4108" t="s">
        <v>82785</v>
      </c>
      <c r="K4108" t="s">
        <v>82786</v>
      </c>
      <c r="L4108" t="s">
        <v>82787</v>
      </c>
      <c r="M4108" t="s">
        <v>82788</v>
      </c>
      <c r="N4108" t="s">
        <v>82789</v>
      </c>
      <c r="O4108">
        <f>-548.04424472795 -142.070248200069 -743.377930329771</f>
        <v>-1433.4924232577901</v>
      </c>
      <c r="P4108">
        <f>-572.133128428675 -159.4494583785 -428.252734728168</f>
        <v>-1159.8353215353432</v>
      </c>
      <c r="Q4108">
        <f>-345.821793028222 -36.1014739437522 -463.045031104097</f>
        <v>-844.96829807607116</v>
      </c>
      <c r="R4108" t="s">
        <v>82790</v>
      </c>
      <c r="S4108" t="s">
        <v>82791</v>
      </c>
      <c r="T4108" t="s">
        <v>82792</v>
      </c>
      <c r="U4108" t="s">
        <v>82793</v>
      </c>
      <c r="V4108">
        <f>-537.119091689785 -19.8734565902415 -229.09217801433</f>
        <v>-786.08472629435653</v>
      </c>
      <c r="W4108" t="s">
        <v>82794</v>
      </c>
      <c r="X4108" t="s">
        <v>82795</v>
      </c>
      <c r="Y4108" t="s">
        <v>82796</v>
      </c>
    </row>
    <row r="4109" spans="1:25" x14ac:dyDescent="0.3">
      <c r="A4109">
        <v>205400</v>
      </c>
      <c r="B4109" t="s">
        <v>82797</v>
      </c>
      <c r="C4109" t="s">
        <v>82798</v>
      </c>
      <c r="D4109" t="s">
        <v>82799</v>
      </c>
      <c r="E4109" t="s">
        <v>82800</v>
      </c>
      <c r="F4109" t="s">
        <v>82801</v>
      </c>
      <c r="G4109" t="s">
        <v>82802</v>
      </c>
      <c r="H4109" t="s">
        <v>82803</v>
      </c>
      <c r="I4109" t="s">
        <v>82804</v>
      </c>
      <c r="J4109" t="s">
        <v>82805</v>
      </c>
      <c r="K4109" t="s">
        <v>82806</v>
      </c>
      <c r="L4109" t="s">
        <v>82807</v>
      </c>
      <c r="M4109" t="s">
        <v>82808</v>
      </c>
      <c r="N4109" t="s">
        <v>82809</v>
      </c>
      <c r="O4109">
        <f>-548.075363434974 -141.93075244464 -743.341272574448</f>
        <v>-1433.347388454062</v>
      </c>
      <c r="P4109">
        <f>-571.884194107172 -159.004592925968 -428.178091583884</f>
        <v>-1159.066878617024</v>
      </c>
      <c r="Q4109">
        <f>-345.640870665946 -35.4296049138482 -462.605543460781</f>
        <v>-843.67601904057528</v>
      </c>
      <c r="R4109" t="s">
        <v>82810</v>
      </c>
      <c r="S4109" t="s">
        <v>82811</v>
      </c>
      <c r="T4109" t="s">
        <v>82812</v>
      </c>
      <c r="U4109" t="s">
        <v>82813</v>
      </c>
      <c r="V4109">
        <f>-537.369558511728 -19.8238277860293 -229.098016468307</f>
        <v>-786.29140276606427</v>
      </c>
      <c r="W4109" t="s">
        <v>82814</v>
      </c>
      <c r="X4109" t="s">
        <v>82815</v>
      </c>
      <c r="Y4109" t="s">
        <v>82816</v>
      </c>
    </row>
    <row r="4110" spans="1:25" x14ac:dyDescent="0.3">
      <c r="A4110">
        <v>205450</v>
      </c>
      <c r="B4110" t="s">
        <v>82817</v>
      </c>
      <c r="C4110" t="s">
        <v>82818</v>
      </c>
      <c r="D4110" t="s">
        <v>82819</v>
      </c>
      <c r="E4110" t="s">
        <v>82820</v>
      </c>
      <c r="F4110" t="s">
        <v>82821</v>
      </c>
      <c r="G4110" t="s">
        <v>82822</v>
      </c>
      <c r="H4110" t="s">
        <v>82823</v>
      </c>
      <c r="I4110" t="s">
        <v>82824</v>
      </c>
      <c r="J4110" t="s">
        <v>82825</v>
      </c>
      <c r="K4110" t="s">
        <v>82826</v>
      </c>
      <c r="L4110" t="s">
        <v>82827</v>
      </c>
      <c r="M4110" t="s">
        <v>82828</v>
      </c>
      <c r="N4110" t="s">
        <v>82829</v>
      </c>
      <c r="O4110">
        <f>-548.61241025372 -142.269548497251 -743.245936800673</f>
        <v>-1434.1278955516441</v>
      </c>
      <c r="P4110">
        <f>-571.354095587701 -159.11856150023 -427.991866859921</f>
        <v>-1158.4645239478518</v>
      </c>
      <c r="Q4110">
        <f>-345.406299982457 -35.1915379699938 -463.087749882169</f>
        <v>-843.68558783461981</v>
      </c>
      <c r="R4110" t="s">
        <v>82830</v>
      </c>
      <c r="S4110" t="s">
        <v>82831</v>
      </c>
      <c r="T4110" t="s">
        <v>82832</v>
      </c>
      <c r="U4110" t="s">
        <v>82833</v>
      </c>
      <c r="V4110">
        <f>-538.091553058546 -20.1675153675071 -229.129398393924</f>
        <v>-787.38846681997711</v>
      </c>
      <c r="W4110" t="s">
        <v>82834</v>
      </c>
      <c r="X4110" t="s">
        <v>82835</v>
      </c>
      <c r="Y4110" t="s">
        <v>82836</v>
      </c>
    </row>
    <row r="4111" spans="1:25" x14ac:dyDescent="0.3">
      <c r="A4111">
        <v>205500</v>
      </c>
      <c r="B4111" t="s">
        <v>82837</v>
      </c>
      <c r="C4111" t="s">
        <v>82838</v>
      </c>
      <c r="D4111" t="s">
        <v>82839</v>
      </c>
      <c r="E4111" t="s">
        <v>82840</v>
      </c>
      <c r="F4111" t="s">
        <v>82841</v>
      </c>
      <c r="G4111" t="s">
        <v>82842</v>
      </c>
      <c r="H4111" t="s">
        <v>82843</v>
      </c>
      <c r="I4111" t="s">
        <v>82844</v>
      </c>
      <c r="J4111" t="s">
        <v>82845</v>
      </c>
      <c r="K4111" t="s">
        <v>82846</v>
      </c>
      <c r="L4111" t="s">
        <v>82847</v>
      </c>
      <c r="M4111" t="s">
        <v>82848</v>
      </c>
      <c r="N4111" t="s">
        <v>82849</v>
      </c>
      <c r="O4111">
        <f>-548.839710491166 -142.537852400273 -743.23498773047</f>
        <v>-1434.6125506219091</v>
      </c>
      <c r="P4111">
        <f>-570.725031719893 -158.922048542067 -427.895853160647</f>
        <v>-1157.5429334226069</v>
      </c>
      <c r="Q4111">
        <f>-344.88676113144 -34.8487781690084 -463.179516119028</f>
        <v>-842.9150554194764</v>
      </c>
      <c r="R4111" t="s">
        <v>82850</v>
      </c>
      <c r="S4111" t="s">
        <v>82851</v>
      </c>
      <c r="T4111" t="s">
        <v>82852</v>
      </c>
      <c r="U4111" t="s">
        <v>82853</v>
      </c>
      <c r="V4111">
        <f>-538.319977020468 -20.2594999216143 -229.182522079582</f>
        <v>-787.76199902166422</v>
      </c>
      <c r="W4111" t="s">
        <v>82854</v>
      </c>
      <c r="X4111" t="s">
        <v>82855</v>
      </c>
      <c r="Y4111" t="s">
        <v>82856</v>
      </c>
    </row>
    <row r="4112" spans="1:25" x14ac:dyDescent="0.3">
      <c r="A4112">
        <v>205550</v>
      </c>
      <c r="B4112" t="s">
        <v>82857</v>
      </c>
      <c r="C4112" t="s">
        <v>82858</v>
      </c>
      <c r="D4112" t="s">
        <v>82859</v>
      </c>
      <c r="E4112" t="s">
        <v>82860</v>
      </c>
      <c r="F4112" t="s">
        <v>82861</v>
      </c>
      <c r="G4112" t="s">
        <v>82862</v>
      </c>
      <c r="H4112" t="s">
        <v>82863</v>
      </c>
      <c r="I4112" t="s">
        <v>82864</v>
      </c>
      <c r="J4112" t="s">
        <v>82865</v>
      </c>
      <c r="K4112" t="s">
        <v>82866</v>
      </c>
      <c r="L4112" t="s">
        <v>82867</v>
      </c>
      <c r="M4112" t="s">
        <v>82868</v>
      </c>
      <c r="N4112" t="s">
        <v>82869</v>
      </c>
      <c r="O4112">
        <f>-549.616726828705 -142.90749289234 -743.015907919066</f>
        <v>-1435.540127640111</v>
      </c>
      <c r="P4112">
        <f>-570.947869518989 -159.153654836825 -427.631574715766</f>
        <v>-1157.73309907158</v>
      </c>
      <c r="Q4112">
        <f>-345.524101666971 -34.6629308319379 -464.076553141572</f>
        <v>-844.26358564048087</v>
      </c>
      <c r="R4112" t="s">
        <v>82870</v>
      </c>
      <c r="S4112" t="s">
        <v>82871</v>
      </c>
      <c r="T4112" t="s">
        <v>82872</v>
      </c>
      <c r="U4112" t="s">
        <v>82873</v>
      </c>
      <c r="V4112">
        <f>-539.057592047827 -20.4132545633455 -229.088482840484</f>
        <v>-788.55932945165659</v>
      </c>
      <c r="W4112" t="s">
        <v>82874</v>
      </c>
      <c r="X4112" t="s">
        <v>82875</v>
      </c>
      <c r="Y4112" t="s">
        <v>82876</v>
      </c>
    </row>
    <row r="4113" spans="1:25" x14ac:dyDescent="0.3">
      <c r="A4113">
        <v>205600</v>
      </c>
      <c r="B4113" t="s">
        <v>82877</v>
      </c>
      <c r="C4113" t="s">
        <v>82878</v>
      </c>
      <c r="D4113" t="s">
        <v>82879</v>
      </c>
      <c r="E4113" t="s">
        <v>82880</v>
      </c>
      <c r="F4113" t="s">
        <v>82881</v>
      </c>
      <c r="G4113" t="s">
        <v>82882</v>
      </c>
      <c r="H4113" t="s">
        <v>82883</v>
      </c>
      <c r="I4113" t="s">
        <v>82884</v>
      </c>
      <c r="J4113" t="s">
        <v>82885</v>
      </c>
      <c r="K4113" t="s">
        <v>82886</v>
      </c>
      <c r="L4113" t="s">
        <v>82887</v>
      </c>
      <c r="M4113" t="s">
        <v>82888</v>
      </c>
      <c r="N4113" t="s">
        <v>82889</v>
      </c>
      <c r="O4113">
        <f>-550.284120183345 -142.850517825236 -743.023057544075</f>
        <v>-1436.1576955526559</v>
      </c>
      <c r="P4113">
        <f>-571.245334127843 -159.170332777725 -427.617841071944</f>
        <v>-1158.0335079775118</v>
      </c>
      <c r="Q4113">
        <f>-345.876903472907 -34.8224547452545 -464.883221146883</f>
        <v>-845.58257936504447</v>
      </c>
      <c r="R4113" t="s">
        <v>82890</v>
      </c>
      <c r="S4113" t="s">
        <v>82891</v>
      </c>
      <c r="T4113" t="s">
        <v>82892</v>
      </c>
      <c r="U4113" t="s">
        <v>82893</v>
      </c>
      <c r="V4113">
        <f>-539.304945671803 -20.3598288938415 -229.08206028896</f>
        <v>-788.74683485460446</v>
      </c>
      <c r="W4113" t="s">
        <v>82894</v>
      </c>
      <c r="X4113" t="s">
        <v>82895</v>
      </c>
      <c r="Y4113" t="s">
        <v>82896</v>
      </c>
    </row>
    <row r="4114" spans="1:25" x14ac:dyDescent="0.3">
      <c r="A4114">
        <v>205650</v>
      </c>
      <c r="B4114" t="s">
        <v>82897</v>
      </c>
      <c r="C4114" t="s">
        <v>82898</v>
      </c>
      <c r="D4114" t="s">
        <v>82899</v>
      </c>
      <c r="E4114" t="s">
        <v>82900</v>
      </c>
      <c r="F4114" t="s">
        <v>82901</v>
      </c>
      <c r="G4114" t="s">
        <v>82902</v>
      </c>
      <c r="H4114" t="s">
        <v>82903</v>
      </c>
      <c r="I4114" t="s">
        <v>82904</v>
      </c>
      <c r="J4114" t="s">
        <v>82905</v>
      </c>
      <c r="K4114" t="s">
        <v>82906</v>
      </c>
      <c r="L4114" t="s">
        <v>82907</v>
      </c>
      <c r="M4114" t="s">
        <v>82908</v>
      </c>
      <c r="N4114" t="s">
        <v>82909</v>
      </c>
      <c r="O4114">
        <f>-550.908782938623 -142.395806599213 -743.076842435292</f>
        <v>-1436.3814319731277</v>
      </c>
      <c r="P4114">
        <f>-571.703540087878 -159.163856099082 -427.68409406889</f>
        <v>-1158.5514902558498</v>
      </c>
      <c r="Q4114">
        <f>-346.126255687124 -35.326925140719 -465.385128287525</f>
        <v>-846.83830911536802</v>
      </c>
      <c r="R4114" t="s">
        <v>82910</v>
      </c>
      <c r="S4114" t="s">
        <v>82911</v>
      </c>
      <c r="T4114" t="s">
        <v>82912</v>
      </c>
      <c r="U4114" t="s">
        <v>82913</v>
      </c>
      <c r="V4114">
        <f>-539.676614924146 -19.9915568846633 -228.94372539205</f>
        <v>-788.61189720085918</v>
      </c>
      <c r="W4114" t="s">
        <v>82914</v>
      </c>
      <c r="X4114" t="s">
        <v>82915</v>
      </c>
      <c r="Y4114" t="s">
        <v>82916</v>
      </c>
    </row>
    <row r="4115" spans="1:25" x14ac:dyDescent="0.3">
      <c r="A4115">
        <v>205700</v>
      </c>
      <c r="B4115" t="s">
        <v>82917</v>
      </c>
      <c r="C4115" t="s">
        <v>82918</v>
      </c>
      <c r="D4115" t="s">
        <v>82919</v>
      </c>
      <c r="E4115" t="s">
        <v>82920</v>
      </c>
      <c r="F4115" t="s">
        <v>82921</v>
      </c>
      <c r="G4115" t="s">
        <v>82922</v>
      </c>
      <c r="H4115" t="s">
        <v>82923</v>
      </c>
      <c r="I4115" t="s">
        <v>82924</v>
      </c>
      <c r="J4115" t="s">
        <v>82925</v>
      </c>
      <c r="K4115" t="s">
        <v>82926</v>
      </c>
      <c r="L4115" t="s">
        <v>82927</v>
      </c>
      <c r="M4115" t="s">
        <v>82928</v>
      </c>
      <c r="N4115" t="s">
        <v>82929</v>
      </c>
      <c r="O4115">
        <f>-551.389117876504 -142.449211760721 -743.073049799875</f>
        <v>-1436.9113794371001</v>
      </c>
      <c r="P4115">
        <f>-572.459239701557 -159.009119620964 -427.687490097084</f>
        <v>-1159.1558494196049</v>
      </c>
      <c r="Q4115">
        <f>-346.546547385377 -35.5570636374065 -464.635280365502</f>
        <v>-846.73889138828554</v>
      </c>
      <c r="R4115" t="s">
        <v>82930</v>
      </c>
      <c r="S4115" t="s">
        <v>82931</v>
      </c>
      <c r="T4115" t="s">
        <v>82932</v>
      </c>
      <c r="U4115" t="s">
        <v>82933</v>
      </c>
      <c r="V4115">
        <f>-539.922780043211 -20.1724285187495 -228.848174924223</f>
        <v>-788.94338348618351</v>
      </c>
      <c r="W4115" t="s">
        <v>82934</v>
      </c>
      <c r="X4115" t="s">
        <v>82935</v>
      </c>
      <c r="Y4115" t="s">
        <v>82936</v>
      </c>
    </row>
    <row r="4116" spans="1:25" x14ac:dyDescent="0.3">
      <c r="A4116">
        <v>205750</v>
      </c>
      <c r="B4116" t="s">
        <v>82937</v>
      </c>
      <c r="C4116" t="s">
        <v>82938</v>
      </c>
      <c r="D4116" t="s">
        <v>82939</v>
      </c>
      <c r="E4116" t="s">
        <v>82940</v>
      </c>
      <c r="F4116" t="s">
        <v>82941</v>
      </c>
      <c r="G4116" t="s">
        <v>82942</v>
      </c>
      <c r="H4116" t="s">
        <v>82943</v>
      </c>
      <c r="I4116" t="s">
        <v>82944</v>
      </c>
      <c r="J4116" t="s">
        <v>82945</v>
      </c>
      <c r="K4116" t="s">
        <v>82946</v>
      </c>
      <c r="L4116" t="s">
        <v>82947</v>
      </c>
      <c r="M4116" t="s">
        <v>82948</v>
      </c>
      <c r="N4116" t="s">
        <v>82949</v>
      </c>
      <c r="O4116">
        <f>-552.154559860612 -142.506275494747 -742.994816033059</f>
        <v>-1437.6556513884179</v>
      </c>
      <c r="P4116">
        <f>-573.873815826813 -158.588851241867 -427.628649813026</f>
        <v>-1160.091316881706</v>
      </c>
      <c r="Q4116">
        <f>-347.3735078802 -35.875143429961 -463.420059827694</f>
        <v>-846.66871113785498</v>
      </c>
      <c r="R4116" t="s">
        <v>82950</v>
      </c>
      <c r="S4116" t="s">
        <v>82951</v>
      </c>
      <c r="T4116" t="s">
        <v>82952</v>
      </c>
      <c r="U4116" t="s">
        <v>82953</v>
      </c>
      <c r="V4116">
        <f>-540.286830784991 -20.3059700072539 -228.869153847275</f>
        <v>-789.46195463951994</v>
      </c>
      <c r="W4116" t="s">
        <v>82954</v>
      </c>
      <c r="X4116" t="s">
        <v>82955</v>
      </c>
      <c r="Y4116" t="s">
        <v>82956</v>
      </c>
    </row>
    <row r="4117" spans="1:25" x14ac:dyDescent="0.3">
      <c r="A4117">
        <v>205800</v>
      </c>
      <c r="B4117" t="s">
        <v>82957</v>
      </c>
      <c r="C4117" t="s">
        <v>82958</v>
      </c>
      <c r="D4117" t="s">
        <v>82959</v>
      </c>
      <c r="E4117" t="s">
        <v>82960</v>
      </c>
      <c r="F4117" t="s">
        <v>82961</v>
      </c>
      <c r="G4117" t="s">
        <v>82962</v>
      </c>
      <c r="H4117" t="s">
        <v>82963</v>
      </c>
      <c r="I4117" t="s">
        <v>82964</v>
      </c>
      <c r="J4117" t="s">
        <v>82965</v>
      </c>
      <c r="K4117" t="s">
        <v>82966</v>
      </c>
      <c r="L4117" t="s">
        <v>82967</v>
      </c>
      <c r="M4117" t="s">
        <v>82968</v>
      </c>
      <c r="N4117" t="s">
        <v>82969</v>
      </c>
      <c r="O4117">
        <f>-552.695053447482 -142.738075818803 -742.975280517799</f>
        <v>-1438.4084097840841</v>
      </c>
      <c r="P4117">
        <f>-574.660518134483 -158.396485053116 -427.604879118379</f>
        <v>-1160.661882305978</v>
      </c>
      <c r="Q4117">
        <f>-347.836899147696 -36.2024870410145 -463.125611885068</f>
        <v>-847.16499807377841</v>
      </c>
      <c r="R4117" t="s">
        <v>82970</v>
      </c>
      <c r="S4117" t="s">
        <v>82971</v>
      </c>
      <c r="T4117" t="s">
        <v>82972</v>
      </c>
      <c r="U4117" t="s">
        <v>82973</v>
      </c>
      <c r="V4117">
        <f>-540.699471776102 -20.6237327395322 -228.861639598117</f>
        <v>-790.18484411375118</v>
      </c>
      <c r="W4117" t="s">
        <v>82974</v>
      </c>
      <c r="X4117" t="s">
        <v>82975</v>
      </c>
      <c r="Y4117" t="s">
        <v>82976</v>
      </c>
    </row>
    <row r="4118" spans="1:25" x14ac:dyDescent="0.3">
      <c r="A4118">
        <v>205850</v>
      </c>
      <c r="B4118" t="s">
        <v>82977</v>
      </c>
      <c r="C4118" t="s">
        <v>82978</v>
      </c>
      <c r="D4118" t="s">
        <v>82979</v>
      </c>
      <c r="E4118" t="s">
        <v>82980</v>
      </c>
      <c r="F4118" t="s">
        <v>82981</v>
      </c>
      <c r="G4118" t="s">
        <v>82982</v>
      </c>
      <c r="H4118" t="s">
        <v>82983</v>
      </c>
      <c r="I4118" t="s">
        <v>82984</v>
      </c>
      <c r="J4118" t="s">
        <v>82985</v>
      </c>
      <c r="K4118" t="s">
        <v>82986</v>
      </c>
      <c r="L4118" t="s">
        <v>82987</v>
      </c>
      <c r="M4118" t="s">
        <v>82988</v>
      </c>
      <c r="N4118" t="s">
        <v>82989</v>
      </c>
      <c r="O4118">
        <f>-554.168374671329 -142.929980700116 -742.928033425813</f>
        <v>-1440.0263887972581</v>
      </c>
      <c r="P4118">
        <f>-576.43989072462 -158.12786679948 -427.556469682571</f>
        <v>-1162.1242272066711</v>
      </c>
      <c r="Q4118">
        <f>-349.278232149736 -36.6303802425146 -463.305499203837</f>
        <v>-849.2141115960876</v>
      </c>
      <c r="R4118" t="s">
        <v>82990</v>
      </c>
      <c r="S4118" t="s">
        <v>82991</v>
      </c>
      <c r="T4118" t="s">
        <v>82992</v>
      </c>
      <c r="U4118" t="s">
        <v>82993</v>
      </c>
      <c r="V4118">
        <f>-541.459915428196 -20.8594594927737 -228.939581698075</f>
        <v>-791.25895661904474</v>
      </c>
      <c r="W4118" t="s">
        <v>82994</v>
      </c>
      <c r="X4118" t="s">
        <v>82995</v>
      </c>
      <c r="Y4118" t="s">
        <v>82996</v>
      </c>
    </row>
    <row r="4119" spans="1:25" x14ac:dyDescent="0.3">
      <c r="A4119">
        <v>205900</v>
      </c>
      <c r="B4119" t="s">
        <v>82997</v>
      </c>
      <c r="C4119" t="s">
        <v>82998</v>
      </c>
      <c r="D4119" t="s">
        <v>82999</v>
      </c>
      <c r="E4119" t="s">
        <v>83000</v>
      </c>
      <c r="F4119" t="s">
        <v>83001</v>
      </c>
      <c r="G4119" t="s">
        <v>83002</v>
      </c>
      <c r="H4119" t="s">
        <v>83003</v>
      </c>
      <c r="I4119" t="s">
        <v>83004</v>
      </c>
      <c r="J4119" t="s">
        <v>83005</v>
      </c>
      <c r="K4119" t="s">
        <v>83006</v>
      </c>
      <c r="L4119" t="s">
        <v>83007</v>
      </c>
      <c r="M4119" t="s">
        <v>83008</v>
      </c>
      <c r="N4119" t="s">
        <v>83009</v>
      </c>
      <c r="O4119">
        <f>-554.769758337781 -142.772695565807 -742.93627294819</f>
        <v>-1440.478726851778</v>
      </c>
      <c r="P4119">
        <f>-577.024342453188 -157.955565348302 -427.562857263588</f>
        <v>-1162.5427650650779</v>
      </c>
      <c r="Q4119">
        <f>-349.764209782395 -36.691367468458 -463.477876078426</f>
        <v>-849.93345332927902</v>
      </c>
      <c r="R4119" t="s">
        <v>83010</v>
      </c>
      <c r="S4119" t="s">
        <v>83011</v>
      </c>
      <c r="T4119" t="s">
        <v>83012</v>
      </c>
      <c r="U4119" t="s">
        <v>83013</v>
      </c>
      <c r="V4119">
        <f>-541.887382241499 -20.6332767865276 -228.989607700829</f>
        <v>-791.51026672885564</v>
      </c>
      <c r="W4119" t="s">
        <v>83014</v>
      </c>
      <c r="X4119" t="s">
        <v>83015</v>
      </c>
      <c r="Y4119" t="s">
        <v>83016</v>
      </c>
    </row>
    <row r="4120" spans="1:25" x14ac:dyDescent="0.3">
      <c r="A4120">
        <v>205950</v>
      </c>
      <c r="B4120" t="s">
        <v>83017</v>
      </c>
      <c r="C4120" t="s">
        <v>83018</v>
      </c>
      <c r="D4120" t="s">
        <v>83019</v>
      </c>
      <c r="E4120" t="s">
        <v>83020</v>
      </c>
      <c r="F4120" t="s">
        <v>83021</v>
      </c>
      <c r="G4120" t="s">
        <v>83022</v>
      </c>
      <c r="H4120" t="s">
        <v>83023</v>
      </c>
      <c r="I4120" t="s">
        <v>83024</v>
      </c>
      <c r="J4120" t="s">
        <v>83025</v>
      </c>
      <c r="K4120" t="s">
        <v>83026</v>
      </c>
      <c r="L4120" t="s">
        <v>83027</v>
      </c>
      <c r="M4120" t="s">
        <v>83028</v>
      </c>
      <c r="N4120" t="s">
        <v>83029</v>
      </c>
      <c r="O4120">
        <f>-555.998488586629 -142.996375670711 -742.950678658857</f>
        <v>-1441.9455429161972</v>
      </c>
      <c r="P4120">
        <f>-578.215962888737 -158.476223733716 -427.589026056172</f>
        <v>-1164.2812126786248</v>
      </c>
      <c r="Q4120">
        <f>-350.851985830597 -37.4303501819861 -463.582983237687</f>
        <v>-851.8653192502702</v>
      </c>
      <c r="R4120" t="s">
        <v>83030</v>
      </c>
      <c r="S4120" t="s">
        <v>83031</v>
      </c>
      <c r="T4120" t="s">
        <v>83032</v>
      </c>
      <c r="U4120" t="s">
        <v>83033</v>
      </c>
      <c r="V4120">
        <f>-542.499410498637 -20.9472110518464 -228.927263722871</f>
        <v>-792.37388527335429</v>
      </c>
      <c r="W4120" t="s">
        <v>83034</v>
      </c>
      <c r="X4120" t="s">
        <v>83035</v>
      </c>
      <c r="Y4120" t="s">
        <v>83036</v>
      </c>
    </row>
    <row r="4121" spans="1:25" x14ac:dyDescent="0.3">
      <c r="A4121">
        <v>206000</v>
      </c>
      <c r="B4121" t="s">
        <v>83037</v>
      </c>
      <c r="C4121" t="s">
        <v>83038</v>
      </c>
      <c r="D4121" t="s">
        <v>83039</v>
      </c>
      <c r="E4121" t="s">
        <v>83040</v>
      </c>
      <c r="F4121" t="s">
        <v>83041</v>
      </c>
      <c r="G4121" t="s">
        <v>83042</v>
      </c>
      <c r="H4121" t="s">
        <v>83043</v>
      </c>
      <c r="I4121" t="s">
        <v>83044</v>
      </c>
      <c r="J4121" t="s">
        <v>83045</v>
      </c>
      <c r="K4121" t="s">
        <v>83046</v>
      </c>
      <c r="L4121" t="s">
        <v>83047</v>
      </c>
      <c r="M4121" t="s">
        <v>83048</v>
      </c>
      <c r="N4121" t="s">
        <v>83049</v>
      </c>
      <c r="O4121">
        <f>-556.586523764187 -143.154854483379 -742.943123434853</f>
        <v>-1442.6845016824191</v>
      </c>
      <c r="P4121">
        <f>-578.74366543613 -158.797331422835 -427.585351388621</f>
        <v>-1165.1263482475861</v>
      </c>
      <c r="Q4121">
        <f>-351.299290775524 -37.922970339199 -463.647818486825</f>
        <v>-852.87007960154801</v>
      </c>
      <c r="R4121" t="s">
        <v>83050</v>
      </c>
      <c r="S4121" t="s">
        <v>83051</v>
      </c>
      <c r="T4121" t="s">
        <v>83052</v>
      </c>
      <c r="U4121" t="s">
        <v>83053</v>
      </c>
      <c r="V4121">
        <f>-542.77575085997 -21.1762995736976 -228.946592417534</f>
        <v>-792.89864285120166</v>
      </c>
      <c r="W4121" t="s">
        <v>83054</v>
      </c>
      <c r="X4121" t="s">
        <v>83055</v>
      </c>
      <c r="Y4121" t="s">
        <v>83056</v>
      </c>
    </row>
    <row r="4122" spans="1:25" x14ac:dyDescent="0.3">
      <c r="A4122">
        <v>206050</v>
      </c>
      <c r="B4122" t="s">
        <v>83057</v>
      </c>
      <c r="C4122" t="s">
        <v>83058</v>
      </c>
      <c r="D4122" t="s">
        <v>83059</v>
      </c>
      <c r="E4122" t="s">
        <v>83060</v>
      </c>
      <c r="F4122" t="s">
        <v>83061</v>
      </c>
      <c r="G4122" t="s">
        <v>83062</v>
      </c>
      <c r="H4122" t="s">
        <v>83063</v>
      </c>
      <c r="I4122" t="s">
        <v>83064</v>
      </c>
      <c r="J4122" t="s">
        <v>83065</v>
      </c>
      <c r="K4122" t="s">
        <v>83066</v>
      </c>
      <c r="L4122" t="s">
        <v>83067</v>
      </c>
      <c r="M4122" t="s">
        <v>83068</v>
      </c>
      <c r="N4122" t="s">
        <v>83069</v>
      </c>
      <c r="O4122">
        <f>-557.33746097789 -142.980464547852 -742.969280447125</f>
        <v>-1443.287205972867</v>
      </c>
      <c r="P4122">
        <f>-579.532460430392 -158.619732567103 -427.614051508962</f>
        <v>-1165.766244506457</v>
      </c>
      <c r="Q4122">
        <f>-351.785931429902 -38.2559977726836 -463.477044180473</f>
        <v>-853.51897338305866</v>
      </c>
      <c r="R4122" t="s">
        <v>83070</v>
      </c>
      <c r="S4122" t="s">
        <v>83071</v>
      </c>
      <c r="T4122" t="s">
        <v>83072</v>
      </c>
      <c r="U4122" t="s">
        <v>83073</v>
      </c>
      <c r="V4122">
        <f>-543.271481304775 -21.4497974740766 -228.883923343254</f>
        <v>-793.60520212210554</v>
      </c>
      <c r="W4122" t="s">
        <v>83074</v>
      </c>
      <c r="X4122" t="s">
        <v>83075</v>
      </c>
      <c r="Y4122" t="s">
        <v>83076</v>
      </c>
    </row>
    <row r="4123" spans="1:25" x14ac:dyDescent="0.3">
      <c r="A4123">
        <v>206100</v>
      </c>
      <c r="B4123" t="s">
        <v>83077</v>
      </c>
      <c r="C4123" t="s">
        <v>83078</v>
      </c>
      <c r="D4123" t="s">
        <v>83079</v>
      </c>
      <c r="E4123" t="s">
        <v>83080</v>
      </c>
      <c r="F4123" t="s">
        <v>83081</v>
      </c>
      <c r="G4123" t="s">
        <v>83082</v>
      </c>
      <c r="H4123" t="s">
        <v>83083</v>
      </c>
      <c r="I4123" t="s">
        <v>83084</v>
      </c>
      <c r="J4123" t="s">
        <v>83085</v>
      </c>
      <c r="K4123" t="s">
        <v>83086</v>
      </c>
      <c r="L4123" t="s">
        <v>83087</v>
      </c>
      <c r="M4123" t="s">
        <v>83088</v>
      </c>
      <c r="N4123" t="s">
        <v>83089</v>
      </c>
      <c r="O4123">
        <f>-557.624747410542 -142.932117808546 -742.908250842845</f>
        <v>-1443.4651160619328</v>
      </c>
      <c r="P4123">
        <f>-580.056922474503 -158.506067765964 -427.566488850205</f>
        <v>-1166.129479090672</v>
      </c>
      <c r="Q4123">
        <f>-352.175191606663 -38.3966276701149 -463.423110669109</f>
        <v>-853.99492994588695</v>
      </c>
      <c r="R4123" t="s">
        <v>83090</v>
      </c>
      <c r="S4123" t="s">
        <v>83091</v>
      </c>
      <c r="T4123" t="s">
        <v>83092</v>
      </c>
      <c r="U4123" t="s">
        <v>83093</v>
      </c>
      <c r="V4123">
        <f>-543.513980060073 -21.2340290480387 -228.826590965597</f>
        <v>-793.57460007370867</v>
      </c>
      <c r="W4123" t="s">
        <v>83094</v>
      </c>
      <c r="X4123" t="s">
        <v>83095</v>
      </c>
      <c r="Y4123" t="s">
        <v>83096</v>
      </c>
    </row>
    <row r="4124" spans="1:25" x14ac:dyDescent="0.3">
      <c r="A4124">
        <v>206150</v>
      </c>
      <c r="B4124" t="s">
        <v>83097</v>
      </c>
      <c r="C4124" t="s">
        <v>83098</v>
      </c>
      <c r="D4124" t="s">
        <v>83099</v>
      </c>
      <c r="E4124" t="s">
        <v>83100</v>
      </c>
      <c r="F4124" t="s">
        <v>83101</v>
      </c>
      <c r="G4124" t="s">
        <v>83102</v>
      </c>
      <c r="H4124" t="s">
        <v>83103</v>
      </c>
      <c r="I4124" t="s">
        <v>83104</v>
      </c>
      <c r="J4124" t="s">
        <v>83105</v>
      </c>
      <c r="K4124" t="s">
        <v>83106</v>
      </c>
      <c r="L4124" t="s">
        <v>83107</v>
      </c>
      <c r="M4124" t="s">
        <v>83108</v>
      </c>
      <c r="N4124" t="s">
        <v>83109</v>
      </c>
      <c r="O4124">
        <f>-558.095176107855 -142.440313285356 -742.928132982229</f>
        <v>-1443.4636223754401</v>
      </c>
      <c r="P4124">
        <f>-580.412786797726 -157.917004528119 -427.573443829431</f>
        <v>-1165.903235155276</v>
      </c>
      <c r="Q4124">
        <f>-352.332415968812 -38.1456947309484 -463.297651730821</f>
        <v>-853.77576243058138</v>
      </c>
      <c r="R4124" t="s">
        <v>83110</v>
      </c>
      <c r="S4124" t="s">
        <v>83111</v>
      </c>
      <c r="T4124" t="s">
        <v>83112</v>
      </c>
      <c r="U4124" t="s">
        <v>83113</v>
      </c>
      <c r="V4124">
        <f>-543.7971244705 -20.8876753083976 -228.843601812007</f>
        <v>-793.52840159090454</v>
      </c>
      <c r="W4124" t="s">
        <v>83114</v>
      </c>
      <c r="X4124" t="s">
        <v>83115</v>
      </c>
      <c r="Y4124" t="s">
        <v>83116</v>
      </c>
    </row>
    <row r="4125" spans="1:25" x14ac:dyDescent="0.3">
      <c r="A4125">
        <v>206200</v>
      </c>
      <c r="B4125" t="s">
        <v>83117</v>
      </c>
      <c r="C4125" t="s">
        <v>83118</v>
      </c>
      <c r="D4125" t="s">
        <v>83119</v>
      </c>
      <c r="E4125" t="s">
        <v>83120</v>
      </c>
      <c r="F4125" t="s">
        <v>83121</v>
      </c>
      <c r="G4125" t="s">
        <v>83122</v>
      </c>
      <c r="H4125" t="s">
        <v>83123</v>
      </c>
      <c r="I4125" t="s">
        <v>83124</v>
      </c>
      <c r="J4125" t="s">
        <v>83125</v>
      </c>
      <c r="K4125" t="s">
        <v>83126</v>
      </c>
      <c r="L4125" t="s">
        <v>83127</v>
      </c>
      <c r="M4125" t="s">
        <v>83128</v>
      </c>
      <c r="N4125" t="s">
        <v>83129</v>
      </c>
      <c r="O4125">
        <f>-557.861054648909 -142.18797782488 -742.915349614232</f>
        <v>-1442.964382088021</v>
      </c>
      <c r="P4125">
        <f>-580.30490958164 -157.70798134245 -427.571686282979</f>
        <v>-1165.5845772070691</v>
      </c>
      <c r="Q4125">
        <f>-352.290682143312 -37.8057340393457 -463.279429719179</f>
        <v>-853.37584590183667</v>
      </c>
      <c r="R4125" t="s">
        <v>83130</v>
      </c>
      <c r="S4125" t="s">
        <v>83131</v>
      </c>
      <c r="T4125" t="s">
        <v>83132</v>
      </c>
      <c r="U4125" t="s">
        <v>83133</v>
      </c>
      <c r="V4125">
        <f>-543.90620138566 -20.4691287786972 -228.769124111165</f>
        <v>-793.14445427552209</v>
      </c>
      <c r="W4125" t="s">
        <v>83134</v>
      </c>
      <c r="X4125" t="s">
        <v>83135</v>
      </c>
      <c r="Y4125" t="s">
        <v>83136</v>
      </c>
    </row>
    <row r="4126" spans="1:25" x14ac:dyDescent="0.3">
      <c r="A4126">
        <v>206250</v>
      </c>
      <c r="B4126" t="s">
        <v>83137</v>
      </c>
      <c r="C4126" t="s">
        <v>83138</v>
      </c>
      <c r="D4126" t="s">
        <v>83139</v>
      </c>
      <c r="E4126" t="s">
        <v>83140</v>
      </c>
      <c r="F4126" t="s">
        <v>83141</v>
      </c>
      <c r="G4126" t="s">
        <v>83142</v>
      </c>
      <c r="H4126" t="s">
        <v>83143</v>
      </c>
      <c r="I4126" t="s">
        <v>83144</v>
      </c>
      <c r="J4126" t="s">
        <v>83145</v>
      </c>
      <c r="K4126" t="s">
        <v>83146</v>
      </c>
      <c r="L4126" t="s">
        <v>83147</v>
      </c>
      <c r="M4126" t="s">
        <v>83148</v>
      </c>
      <c r="N4126" t="s">
        <v>83149</v>
      </c>
      <c r="O4126">
        <f>-557.44876615272 -141.377551838103 -742.903355804226</f>
        <v>-1441.7296737950492</v>
      </c>
      <c r="P4126">
        <f>-580.038356118868 -157.045240318875 -427.577385944288</f>
        <v>-1164.6609823820311</v>
      </c>
      <c r="Q4126">
        <f>-352.22067138225 -36.7722646849392 -463.292199234136</f>
        <v>-852.28513530132523</v>
      </c>
      <c r="R4126" t="s">
        <v>83150</v>
      </c>
      <c r="S4126" t="s">
        <v>83151</v>
      </c>
      <c r="T4126" t="s">
        <v>83152</v>
      </c>
      <c r="U4126" t="s">
        <v>83153</v>
      </c>
      <c r="V4126">
        <f>-544.095717545381 -19.6974704352727 -228.673942590625</f>
        <v>-792.46713057127874</v>
      </c>
      <c r="W4126" t="s">
        <v>83154</v>
      </c>
      <c r="X4126" t="s">
        <v>83155</v>
      </c>
      <c r="Y4126" t="s">
        <v>83156</v>
      </c>
    </row>
    <row r="4127" spans="1:25" x14ac:dyDescent="0.3">
      <c r="A4127">
        <v>206300</v>
      </c>
      <c r="B4127" t="s">
        <v>83157</v>
      </c>
      <c r="C4127" t="s">
        <v>83158</v>
      </c>
      <c r="D4127" t="s">
        <v>83159</v>
      </c>
      <c r="E4127" t="s">
        <v>83160</v>
      </c>
      <c r="F4127" t="s">
        <v>83161</v>
      </c>
      <c r="G4127" t="s">
        <v>83162</v>
      </c>
      <c r="H4127" t="s">
        <v>83163</v>
      </c>
      <c r="I4127" t="s">
        <v>83164</v>
      </c>
      <c r="J4127" t="s">
        <v>83165</v>
      </c>
      <c r="K4127" t="s">
        <v>83166</v>
      </c>
      <c r="L4127" t="s">
        <v>83167</v>
      </c>
      <c r="M4127" t="s">
        <v>83168</v>
      </c>
      <c r="N4127" t="s">
        <v>83169</v>
      </c>
      <c r="O4127">
        <f>-557.15711342661 -141.275189567758 -742.944636153345</f>
        <v>-1441.3769391477131</v>
      </c>
      <c r="P4127">
        <f>-579.717229421703 -157.016588633961 -427.620340372183</f>
        <v>-1164.3541584278469</v>
      </c>
      <c r="Q4127">
        <f>-352.031893915859 -36.4787886229169 -463.28677754283</f>
        <v>-851.79746008160589</v>
      </c>
      <c r="R4127" t="s">
        <v>83170</v>
      </c>
      <c r="S4127" t="s">
        <v>83171</v>
      </c>
      <c r="T4127" t="s">
        <v>83172</v>
      </c>
      <c r="U4127" t="s">
        <v>83173</v>
      </c>
      <c r="V4127">
        <f>-544.136146997762 -19.656629248793 -228.748973774462</f>
        <v>-792.54175002101704</v>
      </c>
      <c r="W4127" t="s">
        <v>83174</v>
      </c>
      <c r="X4127" t="s">
        <v>83175</v>
      </c>
      <c r="Y4127" t="s">
        <v>83176</v>
      </c>
    </row>
    <row r="4128" spans="1:25" x14ac:dyDescent="0.3">
      <c r="A4128">
        <v>206350</v>
      </c>
      <c r="B4128" t="s">
        <v>83177</v>
      </c>
      <c r="C4128" t="s">
        <v>83178</v>
      </c>
      <c r="D4128" t="s">
        <v>83179</v>
      </c>
      <c r="E4128" t="s">
        <v>83180</v>
      </c>
      <c r="F4128" t="s">
        <v>83181</v>
      </c>
      <c r="G4128" t="s">
        <v>83182</v>
      </c>
      <c r="H4128" t="s">
        <v>83183</v>
      </c>
      <c r="I4128" t="s">
        <v>83184</v>
      </c>
      <c r="J4128" t="s">
        <v>83185</v>
      </c>
      <c r="K4128" t="s">
        <v>83186</v>
      </c>
      <c r="L4128" t="s">
        <v>83187</v>
      </c>
      <c r="M4128" t="s">
        <v>83188</v>
      </c>
      <c r="N4128" t="s">
        <v>83189</v>
      </c>
      <c r="O4128">
        <f>-556.21647678287 -141.501157654815 -743.069366333145</f>
        <v>-1440.78700077083</v>
      </c>
      <c r="P4128">
        <f>-579.080787268443 -157.22748410699 -427.76608757501</f>
        <v>-1164.074358950443</v>
      </c>
      <c r="Q4128">
        <f>-351.712746913782 -36.0265317344514 -463.208292643456</f>
        <v>-850.94757129168943</v>
      </c>
      <c r="R4128" t="s">
        <v>83190</v>
      </c>
      <c r="S4128" t="s">
        <v>83191</v>
      </c>
      <c r="T4128" t="s">
        <v>83192</v>
      </c>
      <c r="U4128" t="s">
        <v>83193</v>
      </c>
      <c r="V4128">
        <f>-544.155248488536 -19.8013915873719 -228.962132634744</f>
        <v>-792.91877271065187</v>
      </c>
      <c r="W4128" t="s">
        <v>83194</v>
      </c>
      <c r="X4128" t="s">
        <v>83195</v>
      </c>
      <c r="Y4128" t="s">
        <v>83196</v>
      </c>
    </row>
    <row r="4129" spans="1:25" x14ac:dyDescent="0.3">
      <c r="A4129">
        <v>206400</v>
      </c>
      <c r="B4129" t="s">
        <v>83197</v>
      </c>
      <c r="C4129" t="s">
        <v>83198</v>
      </c>
      <c r="D4129" t="s">
        <v>83199</v>
      </c>
      <c r="E4129" t="s">
        <v>83200</v>
      </c>
      <c r="F4129" t="s">
        <v>83201</v>
      </c>
      <c r="G4129" t="s">
        <v>83202</v>
      </c>
      <c r="H4129" t="s">
        <v>83203</v>
      </c>
      <c r="I4129" t="s">
        <v>83204</v>
      </c>
      <c r="J4129" t="s">
        <v>83205</v>
      </c>
      <c r="K4129" t="s">
        <v>83206</v>
      </c>
      <c r="L4129" t="s">
        <v>83207</v>
      </c>
      <c r="M4129" t="s">
        <v>83208</v>
      </c>
      <c r="N4129" t="s">
        <v>83209</v>
      </c>
      <c r="O4129">
        <f>-555.864171119546 -141.663804253571 -743.161278116616</f>
        <v>-1440.6892534897329</v>
      </c>
      <c r="P4129">
        <f>-578.754803747 -157.447816242413 -427.863002235934</f>
        <v>-1164.0656222253469</v>
      </c>
      <c r="Q4129">
        <f>-351.605940284138 -35.7978106759462 -463.172279107453</f>
        <v>-850.5760300675372</v>
      </c>
      <c r="R4129" t="s">
        <v>83210</v>
      </c>
      <c r="S4129" t="s">
        <v>83211</v>
      </c>
      <c r="T4129" t="s">
        <v>83212</v>
      </c>
      <c r="U4129" t="s">
        <v>83213</v>
      </c>
      <c r="V4129">
        <f>-544.061860787843 -20.0451857167063 -229.120906681476</f>
        <v>-793.22795318602527</v>
      </c>
      <c r="W4129" t="s">
        <v>83214</v>
      </c>
      <c r="X4129" t="s">
        <v>83215</v>
      </c>
      <c r="Y4129" t="s">
        <v>83216</v>
      </c>
    </row>
    <row r="4130" spans="1:25" x14ac:dyDescent="0.3">
      <c r="A4130">
        <v>206450</v>
      </c>
      <c r="B4130" t="s">
        <v>83217</v>
      </c>
      <c r="C4130" t="s">
        <v>83218</v>
      </c>
      <c r="D4130" t="s">
        <v>83219</v>
      </c>
      <c r="E4130" t="s">
        <v>83220</v>
      </c>
      <c r="F4130" t="s">
        <v>83221</v>
      </c>
      <c r="G4130" t="s">
        <v>83222</v>
      </c>
      <c r="H4130" t="s">
        <v>83223</v>
      </c>
      <c r="I4130" t="s">
        <v>83224</v>
      </c>
      <c r="J4130" t="s">
        <v>83225</v>
      </c>
      <c r="K4130" t="s">
        <v>83226</v>
      </c>
      <c r="L4130" t="s">
        <v>83227</v>
      </c>
      <c r="M4130" t="s">
        <v>83228</v>
      </c>
      <c r="N4130" t="s">
        <v>83229</v>
      </c>
      <c r="O4130">
        <f>-555.171061079225 -141.593881007521 -743.237909260898</f>
        <v>-1440.0028513476441</v>
      </c>
      <c r="P4130">
        <f>-578.047589242258 -157.481223006683 -427.943468407285</f>
        <v>-1163.4722806562261</v>
      </c>
      <c r="Q4130">
        <f>-351.467476923298 -34.7701831363154 -463.235559472096</f>
        <v>-849.47321953170945</v>
      </c>
      <c r="R4130" t="s">
        <v>83230</v>
      </c>
      <c r="S4130" t="s">
        <v>83231</v>
      </c>
      <c r="T4130" t="s">
        <v>83232</v>
      </c>
      <c r="U4130" t="s">
        <v>83233</v>
      </c>
      <c r="V4130">
        <f>-544.204162620727 -19.9843041136929 -229.124812517104</f>
        <v>-793.31327925152391</v>
      </c>
      <c r="W4130" t="s">
        <v>83234</v>
      </c>
      <c r="X4130" t="s">
        <v>83235</v>
      </c>
      <c r="Y4130" t="s">
        <v>83236</v>
      </c>
    </row>
    <row r="4131" spans="1:25" x14ac:dyDescent="0.3">
      <c r="A4131">
        <v>206500</v>
      </c>
      <c r="B4131" t="s">
        <v>83237</v>
      </c>
      <c r="C4131" t="s">
        <v>83238</v>
      </c>
      <c r="D4131" t="s">
        <v>83239</v>
      </c>
      <c r="E4131" t="s">
        <v>83240</v>
      </c>
      <c r="F4131" t="s">
        <v>83241</v>
      </c>
      <c r="G4131" t="s">
        <v>83242</v>
      </c>
      <c r="H4131" t="s">
        <v>83243</v>
      </c>
      <c r="I4131" t="s">
        <v>83244</v>
      </c>
      <c r="J4131" t="s">
        <v>83245</v>
      </c>
      <c r="K4131" t="s">
        <v>83246</v>
      </c>
      <c r="L4131" t="s">
        <v>83247</v>
      </c>
      <c r="M4131" t="s">
        <v>83248</v>
      </c>
      <c r="N4131" t="s">
        <v>83249</v>
      </c>
      <c r="O4131">
        <f>-555.156190159568 -141.723955174709 -743.27838343942</f>
        <v>-1440.1585287736971</v>
      </c>
      <c r="P4131">
        <f>-577.872627393632 -157.625593990583 -427.973303992141</f>
        <v>-1163.4715253763559</v>
      </c>
      <c r="Q4131">
        <f>-351.537454235845 -34.506231408907 -463.414399173763</f>
        <v>-849.45808481851509</v>
      </c>
      <c r="R4131" t="s">
        <v>83250</v>
      </c>
      <c r="S4131" t="s">
        <v>83251</v>
      </c>
      <c r="T4131" t="s">
        <v>83252</v>
      </c>
      <c r="U4131" t="s">
        <v>83253</v>
      </c>
      <c r="V4131">
        <f>-544.198460262784 -20.1289200200325 -229.195828613531</f>
        <v>-793.52320889634757</v>
      </c>
      <c r="W4131" t="s">
        <v>83254</v>
      </c>
      <c r="X4131" t="s">
        <v>83255</v>
      </c>
      <c r="Y4131" t="s">
        <v>83256</v>
      </c>
    </row>
    <row r="4132" spans="1:25" x14ac:dyDescent="0.3">
      <c r="A4132">
        <v>206550</v>
      </c>
      <c r="B4132" t="s">
        <v>83257</v>
      </c>
      <c r="C4132" t="s">
        <v>83258</v>
      </c>
      <c r="D4132" t="s">
        <v>83259</v>
      </c>
      <c r="E4132" t="s">
        <v>83260</v>
      </c>
      <c r="F4132" t="s">
        <v>83261</v>
      </c>
      <c r="G4132" t="s">
        <v>83262</v>
      </c>
      <c r="H4132" t="s">
        <v>83263</v>
      </c>
      <c r="I4132" t="s">
        <v>83264</v>
      </c>
      <c r="J4132" t="s">
        <v>83265</v>
      </c>
      <c r="K4132" t="s">
        <v>83266</v>
      </c>
      <c r="L4132" t="s">
        <v>83267</v>
      </c>
      <c r="M4132" t="s">
        <v>83268</v>
      </c>
      <c r="N4132" t="s">
        <v>83269</v>
      </c>
      <c r="O4132">
        <f>-555.151851939906 -141.594964246824 -743.231467524355</f>
        <v>-1439.9782837110852</v>
      </c>
      <c r="P4132">
        <f>-577.452732712583 -157.721878503207 -427.908162780845</f>
        <v>-1163.0827739966351</v>
      </c>
      <c r="Q4132">
        <f>-351.558835744167 -33.8471782814447 -463.532250983973</f>
        <v>-848.93826500958471</v>
      </c>
      <c r="R4132" t="s">
        <v>83270</v>
      </c>
      <c r="S4132" t="s">
        <v>83271</v>
      </c>
      <c r="T4132" t="s">
        <v>83272</v>
      </c>
      <c r="U4132" t="s">
        <v>83273</v>
      </c>
      <c r="V4132">
        <f>-544.370191445831 -20.0893921362922 -229.176558758199</f>
        <v>-793.63614234032218</v>
      </c>
      <c r="W4132" t="s">
        <v>83274</v>
      </c>
      <c r="X4132" t="s">
        <v>83275</v>
      </c>
      <c r="Y4132" t="s">
        <v>83276</v>
      </c>
    </row>
    <row r="4133" spans="1:25" x14ac:dyDescent="0.3">
      <c r="A4133">
        <v>206600</v>
      </c>
      <c r="B4133" t="s">
        <v>83277</v>
      </c>
      <c r="C4133" t="s">
        <v>83278</v>
      </c>
      <c r="D4133" t="s">
        <v>83279</v>
      </c>
      <c r="E4133" t="s">
        <v>83280</v>
      </c>
      <c r="F4133" t="s">
        <v>83281</v>
      </c>
      <c r="G4133" t="s">
        <v>83282</v>
      </c>
      <c r="H4133" t="s">
        <v>83283</v>
      </c>
      <c r="I4133" t="s">
        <v>83284</v>
      </c>
      <c r="J4133" t="s">
        <v>83285</v>
      </c>
      <c r="K4133" t="s">
        <v>83286</v>
      </c>
      <c r="L4133" t="s">
        <v>83287</v>
      </c>
      <c r="M4133" t="s">
        <v>83288</v>
      </c>
      <c r="N4133" t="s">
        <v>83289</v>
      </c>
      <c r="O4133">
        <f>-555.161786650963 -141.77047379658 -743.189570552157</f>
        <v>-1440.1218309997</v>
      </c>
      <c r="P4133">
        <f>-577.506344896093 -157.882789421148 -427.868639247926</f>
        <v>-1163.2577735651671</v>
      </c>
      <c r="Q4133">
        <f>-351.844456091114 -33.5814779649412 -463.477074401808</f>
        <v>-848.90300845786328</v>
      </c>
      <c r="R4133" t="s">
        <v>83290</v>
      </c>
      <c r="S4133" t="s">
        <v>83291</v>
      </c>
      <c r="T4133" t="s">
        <v>83292</v>
      </c>
      <c r="U4133" t="s">
        <v>83293</v>
      </c>
      <c r="V4133">
        <f>-544.418399429684 -20.2428385785332 -229.17986423846</f>
        <v>-793.84110224667722</v>
      </c>
      <c r="W4133" t="s">
        <v>83294</v>
      </c>
      <c r="X4133" t="s">
        <v>83295</v>
      </c>
      <c r="Y4133" t="s">
        <v>83296</v>
      </c>
    </row>
    <row r="4134" spans="1:25" x14ac:dyDescent="0.3">
      <c r="A4134">
        <v>206650</v>
      </c>
      <c r="B4134" t="s">
        <v>83297</v>
      </c>
      <c r="C4134" t="s">
        <v>83298</v>
      </c>
      <c r="D4134" t="s">
        <v>83299</v>
      </c>
      <c r="E4134" t="s">
        <v>83300</v>
      </c>
      <c r="F4134" t="s">
        <v>83301</v>
      </c>
      <c r="G4134" t="s">
        <v>83302</v>
      </c>
      <c r="H4134" t="s">
        <v>83303</v>
      </c>
      <c r="I4134" t="s">
        <v>83304</v>
      </c>
      <c r="J4134" t="s">
        <v>83305</v>
      </c>
      <c r="K4134" t="s">
        <v>83306</v>
      </c>
      <c r="L4134" t="s">
        <v>83307</v>
      </c>
      <c r="M4134" t="s">
        <v>83308</v>
      </c>
      <c r="N4134" t="s">
        <v>83309</v>
      </c>
      <c r="O4134">
        <f>-555.150563076816 -142.272751444569 -743.030717092009</f>
        <v>-1440.4540316133939</v>
      </c>
      <c r="P4134">
        <f>-577.524822415785 -158.337436019444 -427.709422012311</f>
        <v>-1163.5716804475401</v>
      </c>
      <c r="Q4134">
        <f>-352.224045929888 -33.3643575986972 -463.252972509015</f>
        <v>-848.84137603760018</v>
      </c>
      <c r="R4134" t="s">
        <v>83310</v>
      </c>
      <c r="S4134" t="s">
        <v>83311</v>
      </c>
      <c r="T4134" t="s">
        <v>83312</v>
      </c>
      <c r="U4134" t="s">
        <v>83313</v>
      </c>
      <c r="V4134">
        <f>-544.503129166525 -20.6562307022329 -229.054405091526</f>
        <v>-794.21376496028392</v>
      </c>
      <c r="W4134" t="s">
        <v>83314</v>
      </c>
      <c r="X4134" t="s">
        <v>83315</v>
      </c>
      <c r="Y4134" t="s">
        <v>83316</v>
      </c>
    </row>
    <row r="4135" spans="1:25" x14ac:dyDescent="0.3">
      <c r="A4135">
        <v>206700</v>
      </c>
      <c r="B4135" t="s">
        <v>83317</v>
      </c>
      <c r="C4135" t="s">
        <v>83318</v>
      </c>
      <c r="D4135" t="s">
        <v>83319</v>
      </c>
      <c r="E4135" t="s">
        <v>83320</v>
      </c>
      <c r="F4135" t="s">
        <v>83321</v>
      </c>
      <c r="G4135" t="s">
        <v>83322</v>
      </c>
      <c r="H4135" t="s">
        <v>83323</v>
      </c>
      <c r="I4135" t="s">
        <v>83324</v>
      </c>
      <c r="J4135" t="s">
        <v>83325</v>
      </c>
      <c r="K4135" t="s">
        <v>83326</v>
      </c>
      <c r="L4135" t="s">
        <v>83327</v>
      </c>
      <c r="M4135" t="s">
        <v>83328</v>
      </c>
      <c r="N4135" t="s">
        <v>83329</v>
      </c>
      <c r="O4135">
        <f>-555.098792974002 -142.56244306585 -742.949946099932</f>
        <v>-1440.611182139784</v>
      </c>
      <c r="P4135">
        <f>-577.477299323854 -158.586112369575 -427.626815906903</f>
        <v>-1163.690227600332</v>
      </c>
      <c r="Q4135">
        <f>-352.293707808 -33.3789415340945 -463.089269737984</f>
        <v>-848.76191908007854</v>
      </c>
      <c r="R4135" t="s">
        <v>83330</v>
      </c>
      <c r="S4135" t="s">
        <v>83331</v>
      </c>
      <c r="T4135" t="s">
        <v>83332</v>
      </c>
      <c r="U4135" t="s">
        <v>83333</v>
      </c>
      <c r="V4135">
        <f>-544.410323606534 -20.770558301093 -229.05394060021</f>
        <v>-794.23482250783707</v>
      </c>
      <c r="W4135" t="s">
        <v>83334</v>
      </c>
      <c r="X4135" t="s">
        <v>83335</v>
      </c>
      <c r="Y4135" t="s">
        <v>83336</v>
      </c>
    </row>
    <row r="4136" spans="1:25" x14ac:dyDescent="0.3">
      <c r="A4136">
        <v>206750</v>
      </c>
      <c r="B4136" t="s">
        <v>83337</v>
      </c>
      <c r="C4136" t="s">
        <v>83338</v>
      </c>
      <c r="D4136" t="s">
        <v>83339</v>
      </c>
      <c r="E4136" t="s">
        <v>83340</v>
      </c>
      <c r="F4136" t="s">
        <v>83341</v>
      </c>
      <c r="G4136" t="s">
        <v>83342</v>
      </c>
      <c r="H4136" t="s">
        <v>83343</v>
      </c>
      <c r="I4136" t="s">
        <v>83344</v>
      </c>
      <c r="J4136" t="s">
        <v>83345</v>
      </c>
      <c r="K4136" t="s">
        <v>83346</v>
      </c>
      <c r="L4136" t="s">
        <v>83347</v>
      </c>
      <c r="M4136" t="s">
        <v>83348</v>
      </c>
      <c r="N4136" t="s">
        <v>83349</v>
      </c>
      <c r="O4136">
        <f>-555.094200033663 -142.906413798797 -742.808287678678</f>
        <v>-1440.8089015111379</v>
      </c>
      <c r="P4136">
        <f>-577.557103102795 -158.746386523512 -427.481927828647</f>
        <v>-1163.7854174549541</v>
      </c>
      <c r="Q4136">
        <f>-352.565746265934 -33.1711924919629 -462.862710305512</f>
        <v>-848.59964906340895</v>
      </c>
      <c r="R4136" t="s">
        <v>83350</v>
      </c>
      <c r="S4136" t="s">
        <v>83351</v>
      </c>
      <c r="T4136" t="s">
        <v>83352</v>
      </c>
      <c r="U4136" t="s">
        <v>83353</v>
      </c>
      <c r="V4136">
        <f>-544.322250128492 -20.743407861888 -228.977591158249</f>
        <v>-794.043249148629</v>
      </c>
      <c r="W4136" t="s">
        <v>83354</v>
      </c>
      <c r="X4136" t="s">
        <v>83355</v>
      </c>
      <c r="Y4136" t="s">
        <v>83356</v>
      </c>
    </row>
    <row r="4137" spans="1:25" x14ac:dyDescent="0.3">
      <c r="A4137">
        <v>206800</v>
      </c>
      <c r="B4137" t="s">
        <v>83357</v>
      </c>
      <c r="C4137" t="s">
        <v>83358</v>
      </c>
      <c r="D4137" t="s">
        <v>83359</v>
      </c>
      <c r="E4137" t="s">
        <v>83360</v>
      </c>
      <c r="F4137" t="s">
        <v>83361</v>
      </c>
      <c r="G4137" t="s">
        <v>83362</v>
      </c>
      <c r="H4137" t="s">
        <v>83363</v>
      </c>
      <c r="I4137" t="s">
        <v>83364</v>
      </c>
      <c r="J4137" t="s">
        <v>83365</v>
      </c>
      <c r="K4137" t="s">
        <v>83366</v>
      </c>
      <c r="L4137" t="s">
        <v>83367</v>
      </c>
      <c r="M4137" t="s">
        <v>83368</v>
      </c>
      <c r="N4137" t="s">
        <v>83369</v>
      </c>
      <c r="O4137">
        <f>-555.158378891633 -143.224266864131 -742.775682101386</f>
        <v>-1441.15832785715</v>
      </c>
      <c r="P4137">
        <f>-577.625533791923 -159.011744855039 -427.447034121645</f>
        <v>-1164.0843127686069</v>
      </c>
      <c r="Q4137">
        <f>-352.740798942444 -33.2445794073551 -462.824012342587</f>
        <v>-848.80939069238616</v>
      </c>
      <c r="R4137" t="s">
        <v>83370</v>
      </c>
      <c r="S4137" t="s">
        <v>83371</v>
      </c>
      <c r="T4137" t="s">
        <v>83372</v>
      </c>
      <c r="U4137" t="s">
        <v>83373</v>
      </c>
      <c r="V4137">
        <f>-544.22407301111 -20.9112627520131 -228.985415592435</f>
        <v>-794.12075135555801</v>
      </c>
      <c r="W4137" t="s">
        <v>83374</v>
      </c>
      <c r="X4137" t="s">
        <v>83375</v>
      </c>
      <c r="Y4137" t="s">
        <v>83376</v>
      </c>
    </row>
    <row r="4138" spans="1:25" x14ac:dyDescent="0.3">
      <c r="A4138">
        <v>206850</v>
      </c>
      <c r="B4138" t="s">
        <v>83377</v>
      </c>
      <c r="C4138" t="s">
        <v>83378</v>
      </c>
      <c r="D4138" t="s">
        <v>83379</v>
      </c>
      <c r="E4138" t="s">
        <v>83380</v>
      </c>
      <c r="F4138" t="s">
        <v>83381</v>
      </c>
      <c r="G4138" t="s">
        <v>83382</v>
      </c>
      <c r="H4138" t="s">
        <v>83383</v>
      </c>
      <c r="I4138" t="s">
        <v>83384</v>
      </c>
      <c r="J4138" t="s">
        <v>83385</v>
      </c>
      <c r="K4138" t="s">
        <v>83386</v>
      </c>
      <c r="L4138" t="s">
        <v>83387</v>
      </c>
      <c r="M4138" t="s">
        <v>83388</v>
      </c>
      <c r="N4138">
        <f>-566.689074474647 -0.208457819574051 -773.173912885091</f>
        <v>-1340.0714451793119</v>
      </c>
      <c r="O4138">
        <f>-555.257369776119 -143.605853452498 -742.685567070506</f>
        <v>-1441.5487902991231</v>
      </c>
      <c r="P4138">
        <f>-577.536443813142 -159.522687293737 -427.349947842089</f>
        <v>-1164.409078948968</v>
      </c>
      <c r="Q4138">
        <f>-352.869386782467 -33.4028335570086 -462.854142896914</f>
        <v>-849.12636323638958</v>
      </c>
      <c r="R4138" t="s">
        <v>83389</v>
      </c>
      <c r="S4138" t="s">
        <v>83390</v>
      </c>
      <c r="T4138" t="s">
        <v>83391</v>
      </c>
      <c r="U4138" t="s">
        <v>83392</v>
      </c>
      <c r="V4138">
        <f>-543.841013254023 -21.1848807807729 -228.886006693495</f>
        <v>-793.9119007282909</v>
      </c>
      <c r="W4138" t="s">
        <v>83393</v>
      </c>
      <c r="X4138" t="s">
        <v>83394</v>
      </c>
      <c r="Y4138" t="s">
        <v>83395</v>
      </c>
    </row>
    <row r="4139" spans="1:25" x14ac:dyDescent="0.3">
      <c r="A4139">
        <v>206900</v>
      </c>
      <c r="B4139" t="s">
        <v>83396</v>
      </c>
      <c r="C4139" t="s">
        <v>83397</v>
      </c>
      <c r="D4139" t="s">
        <v>83398</v>
      </c>
      <c r="E4139" t="s">
        <v>83399</v>
      </c>
      <c r="F4139" t="s">
        <v>83400</v>
      </c>
      <c r="G4139" t="s">
        <v>83401</v>
      </c>
      <c r="H4139" t="s">
        <v>83402</v>
      </c>
      <c r="I4139" t="s">
        <v>83403</v>
      </c>
      <c r="J4139" t="s">
        <v>83404</v>
      </c>
      <c r="K4139" t="s">
        <v>83405</v>
      </c>
      <c r="L4139" t="s">
        <v>83406</v>
      </c>
      <c r="M4139" t="s">
        <v>83407</v>
      </c>
      <c r="N4139">
        <f>-566.75653698819 -0.581442419674843 -773.214377193299</f>
        <v>-1340.5523566011639</v>
      </c>
      <c r="O4139">
        <f>-555.253712017761 -143.976955517239 -742.727096280215</f>
        <v>-1441.957763815215</v>
      </c>
      <c r="P4139">
        <f>-577.425000267844 -159.8830093502 -427.383410583382</f>
        <v>-1164.6914202014259</v>
      </c>
      <c r="Q4139">
        <f>-352.841928645404 -33.6325724069276 -462.955058441454</f>
        <v>-849.42955949378552</v>
      </c>
      <c r="R4139" t="s">
        <v>83408</v>
      </c>
      <c r="S4139" t="s">
        <v>83409</v>
      </c>
      <c r="T4139" t="s">
        <v>83410</v>
      </c>
      <c r="U4139" t="s">
        <v>83411</v>
      </c>
      <c r="V4139">
        <f>-543.53755826915 -21.35076582531 -228.931719604308</f>
        <v>-793.82004369876802</v>
      </c>
      <c r="W4139" t="s">
        <v>83412</v>
      </c>
      <c r="X4139" t="s">
        <v>83413</v>
      </c>
      <c r="Y4139" t="s">
        <v>83414</v>
      </c>
    </row>
    <row r="4140" spans="1:25" x14ac:dyDescent="0.3">
      <c r="A4140">
        <v>206950</v>
      </c>
      <c r="B4140" t="s">
        <v>83415</v>
      </c>
      <c r="C4140" t="s">
        <v>83416</v>
      </c>
      <c r="D4140" t="s">
        <v>83417</v>
      </c>
      <c r="E4140" t="s">
        <v>83418</v>
      </c>
      <c r="F4140" t="s">
        <v>83419</v>
      </c>
      <c r="G4140" t="s">
        <v>83420</v>
      </c>
      <c r="H4140" t="s">
        <v>83421</v>
      </c>
      <c r="I4140" t="s">
        <v>83422</v>
      </c>
      <c r="J4140" t="s">
        <v>83423</v>
      </c>
      <c r="K4140" t="s">
        <v>83424</v>
      </c>
      <c r="L4140" t="s">
        <v>83425</v>
      </c>
      <c r="M4140" t="s">
        <v>83426</v>
      </c>
      <c r="N4140">
        <f>-566.545152610614 -0.987949735848041 -773.281605188738</f>
        <v>-1340.8147075351999</v>
      </c>
      <c r="O4140">
        <f>-554.760505071588 -144.361538254787 -742.8148481182</f>
        <v>-1441.9368914445749</v>
      </c>
      <c r="P4140">
        <f>-576.606557606465 -160.319993047077 -427.451191175214</f>
        <v>-1164.3777418287559</v>
      </c>
      <c r="Q4140">
        <f>-352.161083765577 -33.8390712928749 -463.07204140741</f>
        <v>-849.07219646586191</v>
      </c>
      <c r="R4140" t="s">
        <v>83427</v>
      </c>
      <c r="S4140" t="s">
        <v>83428</v>
      </c>
      <c r="T4140" t="s">
        <v>83429</v>
      </c>
      <c r="U4140" t="s">
        <v>83430</v>
      </c>
      <c r="V4140">
        <f>-542.85995661179 -21.7534260375206 -228.998043669293</f>
        <v>-793.61142631860366</v>
      </c>
      <c r="W4140" t="s">
        <v>83431</v>
      </c>
      <c r="X4140" t="s">
        <v>83432</v>
      </c>
      <c r="Y4140" t="s">
        <v>83433</v>
      </c>
    </row>
    <row r="4141" spans="1:25" x14ac:dyDescent="0.3">
      <c r="A4141">
        <v>207000</v>
      </c>
      <c r="B4141" t="s">
        <v>83434</v>
      </c>
      <c r="C4141" t="s">
        <v>83435</v>
      </c>
      <c r="D4141" t="s">
        <v>83436</v>
      </c>
      <c r="E4141" t="s">
        <v>83437</v>
      </c>
      <c r="F4141" t="s">
        <v>83438</v>
      </c>
      <c r="G4141" t="s">
        <v>83439</v>
      </c>
      <c r="H4141" t="s">
        <v>83440</v>
      </c>
      <c r="I4141" t="s">
        <v>83441</v>
      </c>
      <c r="J4141" t="s">
        <v>83442</v>
      </c>
      <c r="K4141" t="s">
        <v>83443</v>
      </c>
      <c r="L4141" t="s">
        <v>83444</v>
      </c>
      <c r="M4141" t="s">
        <v>83445</v>
      </c>
      <c r="N4141">
        <f>-566.283691423782 -1.21971523336564 -773.348251042706</f>
        <v>-1340.8516576998536</v>
      </c>
      <c r="O4141">
        <f>-554.427943188705 -144.599675438203 -742.902760939432</f>
        <v>-1441.93037956634</v>
      </c>
      <c r="P4141">
        <f>-576.177951182127 -160.625179778883 -427.535813775856</f>
        <v>-1164.3389447368659</v>
      </c>
      <c r="Q4141">
        <f>-351.806797850582 -34.0007813965588 -463.115417146435</f>
        <v>-848.92299639357577</v>
      </c>
      <c r="R4141" t="s">
        <v>83446</v>
      </c>
      <c r="S4141" t="s">
        <v>83447</v>
      </c>
      <c r="T4141" t="s">
        <v>83448</v>
      </c>
      <c r="U4141" t="s">
        <v>83449</v>
      </c>
      <c r="V4141">
        <f>-542.541611287781 -21.9767207377697 -229.061935649908</f>
        <v>-793.5802676754588</v>
      </c>
      <c r="W4141" t="s">
        <v>83450</v>
      </c>
      <c r="X4141" t="s">
        <v>83451</v>
      </c>
      <c r="Y4141" t="s">
        <v>83452</v>
      </c>
    </row>
    <row r="4142" spans="1:25" x14ac:dyDescent="0.3">
      <c r="A4142">
        <v>207050</v>
      </c>
      <c r="B4142" t="s">
        <v>83453</v>
      </c>
      <c r="C4142" t="s">
        <v>83454</v>
      </c>
      <c r="D4142" t="s">
        <v>83455</v>
      </c>
      <c r="E4142" t="s">
        <v>83456</v>
      </c>
      <c r="F4142" t="s">
        <v>83457</v>
      </c>
      <c r="G4142" t="s">
        <v>83458</v>
      </c>
      <c r="H4142" t="s">
        <v>83459</v>
      </c>
      <c r="I4142" t="s">
        <v>83460</v>
      </c>
      <c r="J4142" t="s">
        <v>83461</v>
      </c>
      <c r="K4142" t="s">
        <v>83462</v>
      </c>
      <c r="L4142" t="s">
        <v>83463</v>
      </c>
      <c r="M4142" t="s">
        <v>83464</v>
      </c>
      <c r="N4142">
        <f>-565.692167058764 -1.30515630496455 -773.427436419857</f>
        <v>-1340.4247597835856</v>
      </c>
      <c r="O4142">
        <f>-553.601681069541 -144.675938540207 -743.036434986899</f>
        <v>-1441.3140545966471</v>
      </c>
      <c r="P4142">
        <f>-575.230891046788 -160.791813841756 -427.665882317566</f>
        <v>-1163.68858720611</v>
      </c>
      <c r="Q4142">
        <f>-351.023497979628 -33.8347712450309 -463.092103100102</f>
        <v>-847.95037232476091</v>
      </c>
      <c r="R4142" t="s">
        <v>83465</v>
      </c>
      <c r="S4142" t="s">
        <v>83466</v>
      </c>
      <c r="T4142" t="s">
        <v>83467</v>
      </c>
      <c r="U4142" t="s">
        <v>83468</v>
      </c>
      <c r="V4142">
        <f>-541.775140613595 -21.9633974941923 -229.125331088879</f>
        <v>-792.86386919666631</v>
      </c>
      <c r="W4142" t="s">
        <v>83469</v>
      </c>
      <c r="X4142" t="s">
        <v>83470</v>
      </c>
      <c r="Y4142" t="s">
        <v>83471</v>
      </c>
    </row>
    <row r="4143" spans="1:25" x14ac:dyDescent="0.3">
      <c r="A4143">
        <v>207100</v>
      </c>
      <c r="B4143" t="s">
        <v>83472</v>
      </c>
      <c r="C4143" t="s">
        <v>83473</v>
      </c>
      <c r="D4143" t="s">
        <v>83474</v>
      </c>
      <c r="E4143" t="s">
        <v>83475</v>
      </c>
      <c r="F4143" t="s">
        <v>83476</v>
      </c>
      <c r="G4143" t="s">
        <v>83477</v>
      </c>
      <c r="H4143" t="s">
        <v>83478</v>
      </c>
      <c r="I4143" t="s">
        <v>83479</v>
      </c>
      <c r="J4143" t="s">
        <v>83480</v>
      </c>
      <c r="K4143" t="s">
        <v>83481</v>
      </c>
      <c r="L4143" t="s">
        <v>83482</v>
      </c>
      <c r="M4143" t="s">
        <v>83483</v>
      </c>
      <c r="N4143">
        <f>-565.618995070097 -1.48458264620206 -773.45982376218</f>
        <v>-1340.5634014784791</v>
      </c>
      <c r="O4143">
        <f>-553.465546621018 -144.837573340763 -743.060093876593</f>
        <v>-1441.3632138383741</v>
      </c>
      <c r="P4143">
        <f>-575.096303027824 -160.94698077574 -427.689156341435</f>
        <v>-1163.7324401449991</v>
      </c>
      <c r="Q4143">
        <f>-350.967427163764 -33.7956500835468 -462.914677996639</f>
        <v>-847.67775524394983</v>
      </c>
      <c r="R4143" t="s">
        <v>83484</v>
      </c>
      <c r="S4143" t="s">
        <v>83485</v>
      </c>
      <c r="T4143" t="s">
        <v>83486</v>
      </c>
      <c r="U4143" t="s">
        <v>83487</v>
      </c>
      <c r="V4143">
        <f>-541.511505739997 -22.0476211319238 -229.160894179416</f>
        <v>-792.72002105133686</v>
      </c>
      <c r="W4143" t="s">
        <v>83488</v>
      </c>
      <c r="X4143" t="s">
        <v>83489</v>
      </c>
      <c r="Y4143" t="s">
        <v>83490</v>
      </c>
    </row>
    <row r="4144" spans="1:25" x14ac:dyDescent="0.3">
      <c r="A4144">
        <v>207150</v>
      </c>
      <c r="B4144" t="s">
        <v>83491</v>
      </c>
      <c r="C4144" t="s">
        <v>83492</v>
      </c>
      <c r="D4144" t="s">
        <v>83493</v>
      </c>
      <c r="E4144" t="s">
        <v>83494</v>
      </c>
      <c r="F4144" t="s">
        <v>83495</v>
      </c>
      <c r="G4144" t="s">
        <v>83496</v>
      </c>
      <c r="H4144" t="s">
        <v>83497</v>
      </c>
      <c r="I4144" t="s">
        <v>83498</v>
      </c>
      <c r="J4144" t="s">
        <v>83499</v>
      </c>
      <c r="K4144" t="s">
        <v>83500</v>
      </c>
      <c r="L4144" t="s">
        <v>83501</v>
      </c>
      <c r="M4144" t="s">
        <v>83502</v>
      </c>
      <c r="N4144">
        <f>-565.010178247631 -2.14686770411322 -773.436216919209</f>
        <v>-1340.5932628709531</v>
      </c>
      <c r="O4144">
        <f>-552.675371497085 -145.494612425046 -743.06567790351</f>
        <v>-1441.235661825641</v>
      </c>
      <c r="P4144">
        <f>-574.443368028582 -161.634258817723 -427.705701115046</f>
        <v>-1163.783327961351</v>
      </c>
      <c r="Q4144">
        <f>-350.42472317879 -34.1963693281132 -462.59531384177</f>
        <v>-847.21640634867322</v>
      </c>
      <c r="R4144" t="s">
        <v>83503</v>
      </c>
      <c r="S4144" t="s">
        <v>83504</v>
      </c>
      <c r="T4144" t="s">
        <v>83505</v>
      </c>
      <c r="U4144" t="s">
        <v>83506</v>
      </c>
      <c r="V4144">
        <f>-540.725203261966 -22.5436269781533 -229.147487276935</f>
        <v>-792.41631751705427</v>
      </c>
      <c r="W4144" t="s">
        <v>83507</v>
      </c>
      <c r="X4144" t="s">
        <v>83508</v>
      </c>
      <c r="Y4144" t="s">
        <v>83509</v>
      </c>
    </row>
    <row r="4145" spans="1:25" x14ac:dyDescent="0.3">
      <c r="A4145">
        <v>207200</v>
      </c>
      <c r="B4145" t="s">
        <v>83510</v>
      </c>
      <c r="C4145" t="s">
        <v>83511</v>
      </c>
      <c r="D4145" t="s">
        <v>83512</v>
      </c>
      <c r="E4145" t="s">
        <v>83513</v>
      </c>
      <c r="F4145" t="s">
        <v>83514</v>
      </c>
      <c r="G4145" t="s">
        <v>83515</v>
      </c>
      <c r="H4145" t="s">
        <v>83516</v>
      </c>
      <c r="I4145" t="s">
        <v>83517</v>
      </c>
      <c r="J4145" t="s">
        <v>83518</v>
      </c>
      <c r="K4145" t="s">
        <v>83519</v>
      </c>
      <c r="L4145" t="s">
        <v>83520</v>
      </c>
      <c r="M4145" t="s">
        <v>83521</v>
      </c>
      <c r="N4145">
        <f>-564.886458287347 -2.28057877558772 -773.397566942367</f>
        <v>-1340.5646040053016</v>
      </c>
      <c r="O4145">
        <f>-552.456709637728 -145.629280743472 -743.023602099677</f>
        <v>-1441.1095924808769</v>
      </c>
      <c r="P4145">
        <f>-574.268657476906 -161.697183432474 -427.662985697558</f>
        <v>-1163.628826606938</v>
      </c>
      <c r="Q4145">
        <f>-350.265790076001 -34.1391238650383 -462.21299567395</f>
        <v>-846.61790961498923</v>
      </c>
      <c r="R4145" t="s">
        <v>83522</v>
      </c>
      <c r="S4145" t="s">
        <v>83523</v>
      </c>
      <c r="T4145" t="s">
        <v>83524</v>
      </c>
      <c r="U4145" t="s">
        <v>83525</v>
      </c>
      <c r="V4145">
        <f>-540.333008614743 -22.4973067035747 -229.101964817508</f>
        <v>-791.93228013582575</v>
      </c>
      <c r="W4145" t="s">
        <v>83526</v>
      </c>
      <c r="X4145" t="s">
        <v>83527</v>
      </c>
      <c r="Y4145" t="s">
        <v>83528</v>
      </c>
    </row>
    <row r="4146" spans="1:25" x14ac:dyDescent="0.3">
      <c r="A4146">
        <v>207250</v>
      </c>
      <c r="B4146" t="s">
        <v>83529</v>
      </c>
      <c r="C4146" t="s">
        <v>83530</v>
      </c>
      <c r="D4146" t="s">
        <v>83531</v>
      </c>
      <c r="E4146" t="s">
        <v>83532</v>
      </c>
      <c r="F4146" t="s">
        <v>83533</v>
      </c>
      <c r="G4146" t="s">
        <v>83534</v>
      </c>
      <c r="H4146" t="s">
        <v>83535</v>
      </c>
      <c r="I4146" t="s">
        <v>83536</v>
      </c>
      <c r="J4146" t="s">
        <v>83537</v>
      </c>
      <c r="K4146" t="s">
        <v>83538</v>
      </c>
      <c r="L4146" t="s">
        <v>83539</v>
      </c>
      <c r="M4146" t="s">
        <v>83540</v>
      </c>
      <c r="N4146">
        <f>-563.943851533056 -2.34489744872429 -773.541340464066</f>
        <v>-1339.8300894458462</v>
      </c>
      <c r="O4146">
        <f>-551.260437583106 -145.667003202748 -743.182875464701</f>
        <v>-1440.1103162505551</v>
      </c>
      <c r="P4146">
        <f>-573.238957140898 -161.583394081713 -427.826246429372</f>
        <v>-1162.648597651983</v>
      </c>
      <c r="Q4146">
        <f>-349.003264044223 -34.259562766224 -461.724149415833</f>
        <v>-844.98697622627992</v>
      </c>
      <c r="R4146" t="s">
        <v>83541</v>
      </c>
      <c r="S4146" t="s">
        <v>83542</v>
      </c>
      <c r="T4146" t="s">
        <v>83543</v>
      </c>
      <c r="U4146" t="s">
        <v>83544</v>
      </c>
      <c r="V4146">
        <f>-539.491648173008 -22.6022560906315 -229.264850711008</f>
        <v>-791.35875497464747</v>
      </c>
      <c r="W4146" t="s">
        <v>83545</v>
      </c>
      <c r="X4146" t="s">
        <v>83546</v>
      </c>
      <c r="Y4146" t="s">
        <v>83547</v>
      </c>
    </row>
    <row r="4147" spans="1:25" x14ac:dyDescent="0.3">
      <c r="A4147">
        <v>207300</v>
      </c>
      <c r="B4147" t="s">
        <v>83548</v>
      </c>
      <c r="C4147" t="s">
        <v>83549</v>
      </c>
      <c r="D4147" t="s">
        <v>83550</v>
      </c>
      <c r="E4147" t="s">
        <v>83551</v>
      </c>
      <c r="F4147" t="s">
        <v>83552</v>
      </c>
      <c r="G4147" t="s">
        <v>83553</v>
      </c>
      <c r="H4147" t="s">
        <v>83554</v>
      </c>
      <c r="I4147" t="s">
        <v>83555</v>
      </c>
      <c r="J4147" t="s">
        <v>83556</v>
      </c>
      <c r="K4147" t="s">
        <v>83557</v>
      </c>
      <c r="L4147" t="s">
        <v>83558</v>
      </c>
      <c r="M4147" t="s">
        <v>83559</v>
      </c>
      <c r="N4147">
        <f>-563.559924898666 -2.21515462200509 -773.55059225129</f>
        <v>-1339.3256717719612</v>
      </c>
      <c r="O4147">
        <f>-550.737267632319 -145.527854231116 -743.209073955671</f>
        <v>-1439.4741958191062</v>
      </c>
      <c r="P4147">
        <f>-572.735198875638 -161.380754330455 -427.850628592437</f>
        <v>-1161.9665817985301</v>
      </c>
      <c r="Q4147">
        <f>-348.319316131717 -34.2442190575283 -461.255421848474</f>
        <v>-843.81895703771931</v>
      </c>
      <c r="R4147" t="s">
        <v>83560</v>
      </c>
      <c r="S4147" t="s">
        <v>83561</v>
      </c>
      <c r="T4147" t="s">
        <v>83562</v>
      </c>
      <c r="U4147" t="s">
        <v>83563</v>
      </c>
      <c r="V4147">
        <f>-539.22168564739 -22.3947680152273 -229.238051880667</f>
        <v>-790.8545055432844</v>
      </c>
      <c r="W4147" t="s">
        <v>83564</v>
      </c>
      <c r="X4147" t="s">
        <v>83565</v>
      </c>
      <c r="Y4147" t="s">
        <v>83566</v>
      </c>
    </row>
    <row r="4148" spans="1:25" x14ac:dyDescent="0.3">
      <c r="A4148">
        <v>207350</v>
      </c>
      <c r="B4148" t="s">
        <v>83567</v>
      </c>
      <c r="C4148" t="s">
        <v>83568</v>
      </c>
      <c r="D4148" t="s">
        <v>83569</v>
      </c>
      <c r="E4148" t="s">
        <v>83570</v>
      </c>
      <c r="F4148" t="s">
        <v>83571</v>
      </c>
      <c r="G4148" t="s">
        <v>83572</v>
      </c>
      <c r="H4148" t="s">
        <v>83573</v>
      </c>
      <c r="I4148" t="s">
        <v>83574</v>
      </c>
      <c r="J4148" t="s">
        <v>83575</v>
      </c>
      <c r="K4148" t="s">
        <v>83576</v>
      </c>
      <c r="L4148" t="s">
        <v>83577</v>
      </c>
      <c r="M4148" t="s">
        <v>83578</v>
      </c>
      <c r="N4148">
        <f>-562.70582406155 -2.29716880793888 -773.623763714125</f>
        <v>-1338.6267565836138</v>
      </c>
      <c r="O4148">
        <f>-549.624453616556 -145.550751023114 -743.124729590632</f>
        <v>-1438.2999342303019</v>
      </c>
      <c r="P4148">
        <f>-571.747804559277 -161.368450328928 -427.773268660952</f>
        <v>-1160.889523549157</v>
      </c>
      <c r="Q4148">
        <f>-347.489488045101 -33.8235164234534 -460.675352083227</f>
        <v>-841.98835655178141</v>
      </c>
      <c r="R4148" t="s">
        <v>83579</v>
      </c>
      <c r="S4148" t="s">
        <v>83580</v>
      </c>
      <c r="T4148" t="s">
        <v>83581</v>
      </c>
      <c r="U4148" t="s">
        <v>83582</v>
      </c>
      <c r="V4148">
        <f>-538.698207927057 -22.3970039292916 -229.38659511203</f>
        <v>-790.48180696837858</v>
      </c>
      <c r="W4148" t="s">
        <v>83583</v>
      </c>
      <c r="X4148" t="s">
        <v>83584</v>
      </c>
      <c r="Y4148" t="s">
        <v>83585</v>
      </c>
    </row>
    <row r="4149" spans="1:25" x14ac:dyDescent="0.3">
      <c r="A4149">
        <v>207400</v>
      </c>
      <c r="B4149" t="s">
        <v>83586</v>
      </c>
      <c r="C4149" t="s">
        <v>83587</v>
      </c>
      <c r="D4149" t="s">
        <v>83588</v>
      </c>
      <c r="E4149" t="s">
        <v>83589</v>
      </c>
      <c r="F4149" t="s">
        <v>83590</v>
      </c>
      <c r="G4149" t="s">
        <v>83591</v>
      </c>
      <c r="H4149" t="s">
        <v>83592</v>
      </c>
      <c r="I4149" t="s">
        <v>83593</v>
      </c>
      <c r="J4149" t="s">
        <v>83594</v>
      </c>
      <c r="K4149" t="s">
        <v>83595</v>
      </c>
      <c r="L4149" t="s">
        <v>83596</v>
      </c>
      <c r="M4149" t="s">
        <v>83597</v>
      </c>
      <c r="N4149">
        <f>-562.485873281058 -1.96288612063107 -773.626047808732</f>
        <v>-1338.0748072104211</v>
      </c>
      <c r="O4149">
        <f>-549.28534599235 -145.201147731578 -743.101128221852</f>
        <v>-1437.58762194578</v>
      </c>
      <c r="P4149">
        <f>-571.080726083169 -160.933340925567 -427.722528473484</f>
        <v>-1159.7365954822199</v>
      </c>
      <c r="Q4149">
        <f>-347.045718772137 -32.9723549882424 -460.53032036996</f>
        <v>-840.54839413033937</v>
      </c>
      <c r="R4149" t="s">
        <v>83598</v>
      </c>
      <c r="S4149" t="s">
        <v>83599</v>
      </c>
      <c r="T4149" t="s">
        <v>83600</v>
      </c>
      <c r="U4149" t="s">
        <v>83601</v>
      </c>
      <c r="V4149">
        <f>-538.572996349654 -21.9376581055966 -229.3324796086</f>
        <v>-789.84313406385058</v>
      </c>
      <c r="W4149" t="s">
        <v>83602</v>
      </c>
      <c r="X4149" t="s">
        <v>83603</v>
      </c>
      <c r="Y4149" t="s">
        <v>83604</v>
      </c>
    </row>
    <row r="4150" spans="1:25" x14ac:dyDescent="0.3">
      <c r="A4150">
        <v>207450</v>
      </c>
      <c r="B4150" t="s">
        <v>83605</v>
      </c>
      <c r="C4150" t="s">
        <v>83606</v>
      </c>
      <c r="D4150" t="s">
        <v>83607</v>
      </c>
      <c r="E4150" t="s">
        <v>83608</v>
      </c>
      <c r="F4150" t="s">
        <v>83609</v>
      </c>
      <c r="G4150" t="s">
        <v>83610</v>
      </c>
      <c r="H4150" t="s">
        <v>83611</v>
      </c>
      <c r="I4150" t="s">
        <v>83612</v>
      </c>
      <c r="J4150" t="s">
        <v>83613</v>
      </c>
      <c r="K4150" t="s">
        <v>83614</v>
      </c>
      <c r="L4150" t="s">
        <v>83615</v>
      </c>
      <c r="M4150" t="s">
        <v>83616</v>
      </c>
      <c r="N4150">
        <f>-561.767165281302 -2.05316626790506 -773.551945469754</f>
        <v>-1337.3722770189611</v>
      </c>
      <c r="O4150">
        <f>-548.434532835371 -145.251320996169 -742.901642859583</f>
        <v>-1436.5874966911231</v>
      </c>
      <c r="P4150">
        <f>-569.499486181101 -160.688243341241 -427.458884585769</f>
        <v>-1157.646614108111</v>
      </c>
      <c r="Q4150">
        <f>-345.921431059895 -31.8658744372903 -460.012102735946</f>
        <v>-837.79940823313132</v>
      </c>
      <c r="R4150" t="s">
        <v>83617</v>
      </c>
      <c r="S4150" t="s">
        <v>83618</v>
      </c>
      <c r="T4150" t="s">
        <v>83619</v>
      </c>
      <c r="U4150" t="s">
        <v>83620</v>
      </c>
      <c r="V4150">
        <f>-538.088739894436 -21.8287012111455 -229.238248857949</f>
        <v>-789.15568996353045</v>
      </c>
      <c r="W4150" t="s">
        <v>83621</v>
      </c>
      <c r="X4150" t="s">
        <v>83622</v>
      </c>
      <c r="Y4150" t="s">
        <v>83623</v>
      </c>
    </row>
    <row r="4151" spans="1:25" x14ac:dyDescent="0.3">
      <c r="A4151">
        <v>207500</v>
      </c>
      <c r="B4151" t="s">
        <v>83624</v>
      </c>
      <c r="C4151" t="s">
        <v>83625</v>
      </c>
      <c r="D4151" t="s">
        <v>83626</v>
      </c>
      <c r="E4151" t="s">
        <v>83627</v>
      </c>
      <c r="F4151" t="s">
        <v>83628</v>
      </c>
      <c r="G4151" t="s">
        <v>83629</v>
      </c>
      <c r="H4151" t="s">
        <v>83630</v>
      </c>
      <c r="I4151" t="s">
        <v>83631</v>
      </c>
      <c r="J4151" t="s">
        <v>83632</v>
      </c>
      <c r="K4151" t="s">
        <v>83633</v>
      </c>
      <c r="L4151" t="s">
        <v>83634</v>
      </c>
      <c r="M4151" t="s">
        <v>83635</v>
      </c>
      <c r="N4151">
        <f>-561.281741174236 -1.82838289309186 -773.575494479639</f>
        <v>-1336.6856185469669</v>
      </c>
      <c r="O4151">
        <f>-547.88614478693 -145.002592248125 -742.839883929423</f>
        <v>-1435.7286209644781</v>
      </c>
      <c r="P4151">
        <f>-568.700482954393 -160.245381198685 -427.371035300004</f>
        <v>-1156.316899453082</v>
      </c>
      <c r="Q4151">
        <f>-345.275287807038 -31.0819543255145 -459.620929955809</f>
        <v>-835.97817208836159</v>
      </c>
      <c r="R4151" t="s">
        <v>83636</v>
      </c>
      <c r="S4151" t="s">
        <v>83637</v>
      </c>
      <c r="T4151" t="s">
        <v>83638</v>
      </c>
      <c r="U4151" t="s">
        <v>83639</v>
      </c>
      <c r="V4151">
        <f>-537.714164971149 -21.6024003773871 -229.256251030916</f>
        <v>-788.57281637945209</v>
      </c>
      <c r="W4151" t="s">
        <v>83640</v>
      </c>
      <c r="X4151" t="s">
        <v>83641</v>
      </c>
      <c r="Y4151" t="s">
        <v>83642</v>
      </c>
    </row>
    <row r="4152" spans="1:25" x14ac:dyDescent="0.3">
      <c r="A4152">
        <v>207550</v>
      </c>
      <c r="B4152" t="s">
        <v>83643</v>
      </c>
      <c r="C4152" t="s">
        <v>83644</v>
      </c>
      <c r="D4152" t="s">
        <v>83645</v>
      </c>
      <c r="E4152" t="s">
        <v>83646</v>
      </c>
      <c r="F4152" t="s">
        <v>83647</v>
      </c>
      <c r="G4152" t="s">
        <v>83648</v>
      </c>
      <c r="H4152" t="s">
        <v>83649</v>
      </c>
      <c r="I4152" t="s">
        <v>83650</v>
      </c>
      <c r="J4152" t="s">
        <v>83651</v>
      </c>
      <c r="K4152" t="s">
        <v>83652</v>
      </c>
      <c r="L4152" t="s">
        <v>83653</v>
      </c>
      <c r="M4152" t="s">
        <v>83654</v>
      </c>
      <c r="N4152">
        <f>-560.192780581341 -1.50773953257332 -773.530470291205</f>
        <v>-1335.2309904051194</v>
      </c>
      <c r="O4152">
        <f>-546.5936450669 -144.643419044657 -742.672300842109</f>
        <v>-1433.909364953666</v>
      </c>
      <c r="P4152">
        <f>-567.401195146085 -159.483739494991 -427.183702346498</f>
        <v>-1154.0686369875741</v>
      </c>
      <c r="Q4152">
        <f>-344.100148951298 -30.0658303843734 -459.272603918162</f>
        <v>-833.43858325383349</v>
      </c>
      <c r="R4152" t="s">
        <v>83655</v>
      </c>
      <c r="S4152" t="s">
        <v>83656</v>
      </c>
      <c r="T4152" t="s">
        <v>83657</v>
      </c>
      <c r="U4152" t="s">
        <v>83658</v>
      </c>
      <c r="V4152">
        <f>-537.193998057117 -21.3373321097435 -229.17148462543</f>
        <v>-787.7028147922905</v>
      </c>
      <c r="W4152" t="s">
        <v>83659</v>
      </c>
      <c r="X4152" t="s">
        <v>83660</v>
      </c>
      <c r="Y4152" t="s">
        <v>83661</v>
      </c>
    </row>
    <row r="4153" spans="1:25" x14ac:dyDescent="0.3">
      <c r="A4153">
        <v>207600</v>
      </c>
      <c r="B4153" t="s">
        <v>83662</v>
      </c>
      <c r="C4153" t="s">
        <v>83663</v>
      </c>
      <c r="D4153" t="s">
        <v>83664</v>
      </c>
      <c r="E4153" t="s">
        <v>83665</v>
      </c>
      <c r="F4153" t="s">
        <v>83666</v>
      </c>
      <c r="G4153" t="s">
        <v>83667</v>
      </c>
      <c r="H4153" t="s">
        <v>83668</v>
      </c>
      <c r="I4153" t="s">
        <v>83669</v>
      </c>
      <c r="J4153" t="s">
        <v>83670</v>
      </c>
      <c r="K4153" t="s">
        <v>83671</v>
      </c>
      <c r="L4153" t="s">
        <v>83672</v>
      </c>
      <c r="M4153" t="s">
        <v>83673</v>
      </c>
      <c r="N4153">
        <f>-559.510002236425 -0.974525429362309 -773.572232437714</f>
        <v>-1334.0567601035013</v>
      </c>
      <c r="O4153">
        <f>-545.892686414129 -144.09830918056 -742.680044843942</f>
        <v>-1432.6710404386311</v>
      </c>
      <c r="P4153">
        <f>-566.715116514655 -158.878210690807 -427.189591196467</f>
        <v>-1152.782918401929</v>
      </c>
      <c r="Q4153">
        <f>-343.520190959068 -29.244279061895 -459.144437149795</f>
        <v>-831.90890717075797</v>
      </c>
      <c r="R4153" t="s">
        <v>83674</v>
      </c>
      <c r="S4153" t="s">
        <v>83675</v>
      </c>
      <c r="T4153" t="s">
        <v>83676</v>
      </c>
      <c r="U4153" t="s">
        <v>83677</v>
      </c>
      <c r="V4153">
        <f>-536.835218064078 -20.9030256989144 -229.218815534663</f>
        <v>-786.95705929765541</v>
      </c>
      <c r="W4153" t="s">
        <v>83678</v>
      </c>
      <c r="X4153" t="s">
        <v>83679</v>
      </c>
      <c r="Y4153" t="s">
        <v>83680</v>
      </c>
    </row>
    <row r="4154" spans="1:25" x14ac:dyDescent="0.3">
      <c r="A4154">
        <v>207650</v>
      </c>
      <c r="B4154" t="s">
        <v>83681</v>
      </c>
      <c r="C4154" t="s">
        <v>83682</v>
      </c>
      <c r="D4154" t="s">
        <v>83683</v>
      </c>
      <c r="E4154" t="s">
        <v>83684</v>
      </c>
      <c r="F4154" t="s">
        <v>83685</v>
      </c>
      <c r="G4154" t="s">
        <v>83686</v>
      </c>
      <c r="H4154" t="s">
        <v>83687</v>
      </c>
      <c r="I4154" t="s">
        <v>83688</v>
      </c>
      <c r="J4154" t="s">
        <v>83689</v>
      </c>
      <c r="K4154" t="s">
        <v>83690</v>
      </c>
      <c r="L4154" t="s">
        <v>83691</v>
      </c>
      <c r="M4154" t="s">
        <v>83692</v>
      </c>
      <c r="N4154">
        <f>-558.902762024876 -0.63215951387027 -773.586413996958</f>
        <v>-1333.1213355357042</v>
      </c>
      <c r="O4154">
        <f>-545.260589619266 -143.730527065291 -742.640978260115</f>
        <v>-1431.6320949446722</v>
      </c>
      <c r="P4154">
        <f>-566.183725737444 -158.390473841343 -427.151644590705</f>
        <v>-1151.7258441694921</v>
      </c>
      <c r="Q4154">
        <f>-343.081076792236 -28.6291986369059 -459.234054219262</f>
        <v>-830.94432964840394</v>
      </c>
      <c r="R4154" t="s">
        <v>83693</v>
      </c>
      <c r="S4154" t="s">
        <v>83694</v>
      </c>
      <c r="T4154" t="s">
        <v>83695</v>
      </c>
      <c r="U4154" t="s">
        <v>83696</v>
      </c>
      <c r="V4154">
        <f>-536.568257576806 -20.6361590438032 -229.205701664838</f>
        <v>-786.4101182854472</v>
      </c>
      <c r="W4154" t="s">
        <v>83697</v>
      </c>
      <c r="X4154" t="s">
        <v>83698</v>
      </c>
      <c r="Y4154" t="s">
        <v>83699</v>
      </c>
    </row>
    <row r="4155" spans="1:25" x14ac:dyDescent="0.3">
      <c r="A4155">
        <v>207700</v>
      </c>
      <c r="B4155" t="s">
        <v>83700</v>
      </c>
      <c r="C4155" t="s">
        <v>83701</v>
      </c>
      <c r="D4155" t="s">
        <v>83702</v>
      </c>
      <c r="E4155" t="s">
        <v>83703</v>
      </c>
      <c r="F4155" t="s">
        <v>83704</v>
      </c>
      <c r="G4155" t="s">
        <v>83705</v>
      </c>
      <c r="H4155" t="s">
        <v>83706</v>
      </c>
      <c r="I4155" t="s">
        <v>83707</v>
      </c>
      <c r="J4155" t="s">
        <v>83708</v>
      </c>
      <c r="K4155" t="s">
        <v>83709</v>
      </c>
      <c r="L4155" t="s">
        <v>83710</v>
      </c>
      <c r="M4155" t="s">
        <v>83711</v>
      </c>
      <c r="N4155">
        <f>-558.227570320714 -0.320355714391049 -773.600879868345</f>
        <v>-1332.14880590345</v>
      </c>
      <c r="O4155">
        <f>-544.592682127433 -143.417203054137 -742.62651414244</f>
        <v>-1430.63639932401</v>
      </c>
      <c r="P4155">
        <f>-565.386209522805 -158.039426288398 -427.126746687245</f>
        <v>-1150.552382498448</v>
      </c>
      <c r="Q4155">
        <f>-342.297661314576 -28.294808578713 -459.374545512224</f>
        <v>-829.96701540551294</v>
      </c>
      <c r="R4155" t="s">
        <v>83712</v>
      </c>
      <c r="S4155" t="s">
        <v>83713</v>
      </c>
      <c r="T4155" t="s">
        <v>83714</v>
      </c>
      <c r="U4155" t="s">
        <v>83715</v>
      </c>
      <c r="V4155">
        <f>-536.285444102351 -20.2684482086865 -229.206294417986</f>
        <v>-785.76018672902353</v>
      </c>
      <c r="W4155" t="s">
        <v>83716</v>
      </c>
      <c r="X4155" t="s">
        <v>83717</v>
      </c>
      <c r="Y4155" t="s">
        <v>83718</v>
      </c>
    </row>
    <row r="4156" spans="1:25" x14ac:dyDescent="0.3">
      <c r="A4156">
        <v>207750</v>
      </c>
      <c r="B4156" t="s">
        <v>83700</v>
      </c>
      <c r="C4156" t="s">
        <v>83701</v>
      </c>
      <c r="D4156" t="s">
        <v>83702</v>
      </c>
      <c r="E4156" t="s">
        <v>83703</v>
      </c>
      <c r="F4156" t="s">
        <v>83704</v>
      </c>
      <c r="G4156" t="s">
        <v>83705</v>
      </c>
      <c r="H4156" t="s">
        <v>83706</v>
      </c>
      <c r="I4156" t="s">
        <v>83707</v>
      </c>
      <c r="J4156" t="s">
        <v>83708</v>
      </c>
      <c r="K4156" t="s">
        <v>83709</v>
      </c>
      <c r="L4156" t="s">
        <v>83710</v>
      </c>
      <c r="M4156" t="s">
        <v>83711</v>
      </c>
      <c r="N4156">
        <f>-558.227570320714 -0.320355714391049 -773.600879868345</f>
        <v>-1332.14880590345</v>
      </c>
      <c r="O4156">
        <f>-544.592682127433 -143.417203054137 -742.62651414244</f>
        <v>-1430.63639932401</v>
      </c>
      <c r="P4156">
        <f>-565.386209522805 -158.039426288398 -427.126746687245</f>
        <v>-1150.552382498448</v>
      </c>
      <c r="Q4156">
        <f>-342.297661314576 -28.294808578713 -459.374545512224</f>
        <v>-829.96701540551294</v>
      </c>
      <c r="R4156" t="s">
        <v>83712</v>
      </c>
      <c r="S4156" t="s">
        <v>83713</v>
      </c>
      <c r="T4156" t="s">
        <v>83714</v>
      </c>
      <c r="U4156" t="s">
        <v>83715</v>
      </c>
      <c r="V4156">
        <f>-536.285444102351 -20.2684482086865 -229.206294417986</f>
        <v>-785.76018672902353</v>
      </c>
      <c r="W4156" t="s">
        <v>83716</v>
      </c>
      <c r="X4156" t="s">
        <v>83717</v>
      </c>
      <c r="Y4156" t="s">
        <v>83718</v>
      </c>
    </row>
    <row r="4157" spans="1:25" x14ac:dyDescent="0.3">
      <c r="A4157">
        <v>207800</v>
      </c>
      <c r="B4157" t="s">
        <v>83700</v>
      </c>
      <c r="C4157" t="s">
        <v>83701</v>
      </c>
      <c r="D4157" t="s">
        <v>83702</v>
      </c>
      <c r="E4157" t="s">
        <v>83703</v>
      </c>
      <c r="F4157" t="s">
        <v>83704</v>
      </c>
      <c r="G4157" t="s">
        <v>83705</v>
      </c>
      <c r="H4157" t="s">
        <v>83706</v>
      </c>
      <c r="I4157" t="s">
        <v>83707</v>
      </c>
      <c r="J4157" t="s">
        <v>83708</v>
      </c>
      <c r="K4157" t="s">
        <v>83709</v>
      </c>
      <c r="L4157" t="s">
        <v>83710</v>
      </c>
      <c r="M4157" t="s">
        <v>83711</v>
      </c>
      <c r="N4157">
        <f>-558.227570320714 -0.320355714391049 -773.600879868345</f>
        <v>-1332.14880590345</v>
      </c>
      <c r="O4157">
        <f>-544.592682127433 -143.417203054137 -742.62651414244</f>
        <v>-1430.63639932401</v>
      </c>
      <c r="P4157">
        <f>-565.386209522805 -158.039426288398 -427.126746687245</f>
        <v>-1150.552382498448</v>
      </c>
      <c r="Q4157">
        <f>-342.297661314576 -28.294808578713 -459.374545512224</f>
        <v>-829.96701540551294</v>
      </c>
      <c r="R4157" t="s">
        <v>83712</v>
      </c>
      <c r="S4157" t="s">
        <v>83713</v>
      </c>
      <c r="T4157" t="s">
        <v>83714</v>
      </c>
      <c r="U4157" t="s">
        <v>83715</v>
      </c>
      <c r="V4157">
        <f>-536.285444102351 -20.2684482086865 -229.206294417986</f>
        <v>-785.76018672902353</v>
      </c>
      <c r="W4157" t="s">
        <v>83716</v>
      </c>
      <c r="X4157" t="s">
        <v>83717</v>
      </c>
      <c r="Y4157" t="s">
        <v>83718</v>
      </c>
    </row>
    <row r="4158" spans="1:25" x14ac:dyDescent="0.3">
      <c r="A4158">
        <v>207850</v>
      </c>
      <c r="B4158" t="s">
        <v>83700</v>
      </c>
      <c r="C4158" t="s">
        <v>83701</v>
      </c>
      <c r="D4158" t="s">
        <v>83702</v>
      </c>
      <c r="E4158" t="s">
        <v>83703</v>
      </c>
      <c r="F4158" t="s">
        <v>83704</v>
      </c>
      <c r="G4158" t="s">
        <v>83705</v>
      </c>
      <c r="H4158" t="s">
        <v>83706</v>
      </c>
      <c r="I4158" t="s">
        <v>83707</v>
      </c>
      <c r="J4158" t="s">
        <v>83708</v>
      </c>
      <c r="K4158" t="s">
        <v>83709</v>
      </c>
      <c r="L4158" t="s">
        <v>83710</v>
      </c>
      <c r="M4158" t="s">
        <v>83711</v>
      </c>
      <c r="N4158">
        <f>-558.227570320714 -0.320355714391049 -773.600879868345</f>
        <v>-1332.14880590345</v>
      </c>
      <c r="O4158">
        <f>-544.592682127433 -143.417203054137 -742.62651414244</f>
        <v>-1430.63639932401</v>
      </c>
      <c r="P4158">
        <f>-565.386209522805 -158.039426288398 -427.126746687245</f>
        <v>-1150.552382498448</v>
      </c>
      <c r="Q4158">
        <f>-342.297661314576 -28.294808578713 -459.374545512224</f>
        <v>-829.96701540551294</v>
      </c>
      <c r="R4158" t="s">
        <v>83712</v>
      </c>
      <c r="S4158" t="s">
        <v>83713</v>
      </c>
      <c r="T4158" t="s">
        <v>83714</v>
      </c>
      <c r="U4158" t="s">
        <v>83715</v>
      </c>
      <c r="V4158">
        <f>-536.285444102351 -20.2684482086865 -229.206294417986</f>
        <v>-785.76018672902353</v>
      </c>
      <c r="W4158" t="s">
        <v>83716</v>
      </c>
      <c r="X4158" t="s">
        <v>83717</v>
      </c>
      <c r="Y4158" t="s">
        <v>83718</v>
      </c>
    </row>
    <row r="4159" spans="1:25" x14ac:dyDescent="0.3">
      <c r="A4159">
        <v>207900</v>
      </c>
      <c r="B4159" t="s">
        <v>83719</v>
      </c>
      <c r="C4159" t="s">
        <v>83720</v>
      </c>
      <c r="D4159" t="s">
        <v>83721</v>
      </c>
      <c r="E4159" t="s">
        <v>83722</v>
      </c>
      <c r="F4159" t="s">
        <v>83723</v>
      </c>
      <c r="G4159" t="s">
        <v>83724</v>
      </c>
      <c r="H4159" t="s">
        <v>83725</v>
      </c>
      <c r="I4159" t="s">
        <v>83726</v>
      </c>
      <c r="J4159" t="s">
        <v>83727</v>
      </c>
      <c r="K4159" t="s">
        <v>83728</v>
      </c>
      <c r="L4159" t="s">
        <v>83729</v>
      </c>
      <c r="M4159" t="s">
        <v>83730</v>
      </c>
      <c r="N4159" t="s">
        <v>83731</v>
      </c>
      <c r="O4159">
        <f>-544.158012098054 -143.038260079978 -742.637269134735</f>
        <v>-1429.833541312767</v>
      </c>
      <c r="P4159">
        <f>-564.680710260979 -157.589950384213 -427.116675524932</f>
        <v>-1149.3873361701239</v>
      </c>
      <c r="Q4159">
        <f>-341.607630261977 -27.8566775462915 -459.516505528829</f>
        <v>-828.98081333709752</v>
      </c>
      <c r="R4159" t="s">
        <v>83732</v>
      </c>
      <c r="S4159" t="s">
        <v>83733</v>
      </c>
      <c r="T4159" t="s">
        <v>83734</v>
      </c>
      <c r="U4159" t="s">
        <v>83735</v>
      </c>
      <c r="V4159">
        <f>-535.848444371204 -19.9725823009591 -229.23000882276</f>
        <v>-785.0510354949231</v>
      </c>
      <c r="W4159" t="s">
        <v>83736</v>
      </c>
      <c r="X4159" t="s">
        <v>83737</v>
      </c>
      <c r="Y4159" t="s">
        <v>83738</v>
      </c>
    </row>
    <row r="4160" spans="1:25" x14ac:dyDescent="0.3">
      <c r="A4160">
        <v>207950</v>
      </c>
      <c r="B4160" t="s">
        <v>83719</v>
      </c>
      <c r="C4160" t="s">
        <v>83720</v>
      </c>
      <c r="D4160" t="s">
        <v>83721</v>
      </c>
      <c r="E4160" t="s">
        <v>83722</v>
      </c>
      <c r="F4160" t="s">
        <v>83723</v>
      </c>
      <c r="G4160" t="s">
        <v>83724</v>
      </c>
      <c r="H4160" t="s">
        <v>83725</v>
      </c>
      <c r="I4160" t="s">
        <v>83726</v>
      </c>
      <c r="J4160" t="s">
        <v>83727</v>
      </c>
      <c r="K4160" t="s">
        <v>83728</v>
      </c>
      <c r="L4160" t="s">
        <v>83729</v>
      </c>
      <c r="M4160" t="s">
        <v>83730</v>
      </c>
      <c r="N4160" t="s">
        <v>83731</v>
      </c>
      <c r="O4160">
        <f>-544.158012098054 -143.038260079978 -742.637269134735</f>
        <v>-1429.833541312767</v>
      </c>
      <c r="P4160">
        <f>-564.680710260979 -157.589950384213 -427.116675524932</f>
        <v>-1149.3873361701239</v>
      </c>
      <c r="Q4160">
        <f>-341.607630261977 -27.8566775462915 -459.516505528829</f>
        <v>-828.98081333709752</v>
      </c>
      <c r="R4160" t="s">
        <v>83732</v>
      </c>
      <c r="S4160" t="s">
        <v>83733</v>
      </c>
      <c r="T4160" t="s">
        <v>83734</v>
      </c>
      <c r="U4160" t="s">
        <v>83735</v>
      </c>
      <c r="V4160">
        <f>-535.848444371204 -19.9725823009591 -229.23000882276</f>
        <v>-785.0510354949231</v>
      </c>
      <c r="W4160" t="s">
        <v>83736</v>
      </c>
      <c r="X4160" t="s">
        <v>83737</v>
      </c>
      <c r="Y4160" t="s">
        <v>83738</v>
      </c>
    </row>
    <row r="4161" spans="1:25" x14ac:dyDescent="0.3">
      <c r="A4161">
        <v>208000</v>
      </c>
      <c r="B4161" t="s">
        <v>83719</v>
      </c>
      <c r="C4161" t="s">
        <v>83720</v>
      </c>
      <c r="D4161" t="s">
        <v>83721</v>
      </c>
      <c r="E4161" t="s">
        <v>83722</v>
      </c>
      <c r="F4161" t="s">
        <v>83723</v>
      </c>
      <c r="G4161" t="s">
        <v>83724</v>
      </c>
      <c r="H4161" t="s">
        <v>83725</v>
      </c>
      <c r="I4161" t="s">
        <v>83726</v>
      </c>
      <c r="J4161" t="s">
        <v>83727</v>
      </c>
      <c r="K4161" t="s">
        <v>83728</v>
      </c>
      <c r="L4161" t="s">
        <v>83729</v>
      </c>
      <c r="M4161" t="s">
        <v>83730</v>
      </c>
      <c r="N4161" t="s">
        <v>83731</v>
      </c>
      <c r="O4161">
        <f>-544.158012098054 -143.038260079978 -742.637269134735</f>
        <v>-1429.833541312767</v>
      </c>
      <c r="P4161">
        <f>-564.680710260979 -157.589950384213 -427.116675524932</f>
        <v>-1149.3873361701239</v>
      </c>
      <c r="Q4161">
        <f>-341.607630261977 -27.8566775462915 -459.516505528829</f>
        <v>-828.98081333709752</v>
      </c>
      <c r="R4161" t="s">
        <v>83732</v>
      </c>
      <c r="S4161" t="s">
        <v>83733</v>
      </c>
      <c r="T4161" t="s">
        <v>83734</v>
      </c>
      <c r="U4161" t="s">
        <v>83735</v>
      </c>
      <c r="V4161">
        <f>-535.848444371204 -19.9725823009591 -229.23000882276</f>
        <v>-785.0510354949231</v>
      </c>
      <c r="W4161" t="s">
        <v>83736</v>
      </c>
      <c r="X4161" t="s">
        <v>83737</v>
      </c>
      <c r="Y4161" t="s">
        <v>83738</v>
      </c>
    </row>
    <row r="4162" spans="1:25" x14ac:dyDescent="0.3">
      <c r="A4162">
        <v>208050</v>
      </c>
      <c r="B4162" t="s">
        <v>83719</v>
      </c>
      <c r="C4162" t="s">
        <v>83720</v>
      </c>
      <c r="D4162" t="s">
        <v>83721</v>
      </c>
      <c r="E4162" t="s">
        <v>83722</v>
      </c>
      <c r="F4162" t="s">
        <v>83723</v>
      </c>
      <c r="G4162" t="s">
        <v>83724</v>
      </c>
      <c r="H4162" t="s">
        <v>83725</v>
      </c>
      <c r="I4162" t="s">
        <v>83726</v>
      </c>
      <c r="J4162" t="s">
        <v>83727</v>
      </c>
      <c r="K4162" t="s">
        <v>83728</v>
      </c>
      <c r="L4162" t="s">
        <v>83729</v>
      </c>
      <c r="M4162" t="s">
        <v>83730</v>
      </c>
      <c r="N4162" t="s">
        <v>83731</v>
      </c>
      <c r="O4162">
        <f>-544.158012098054 -143.038260079978 -742.637269134735</f>
        <v>-1429.833541312767</v>
      </c>
      <c r="P4162">
        <f>-564.680710260979 -157.589950384213 -427.116675524932</f>
        <v>-1149.3873361701239</v>
      </c>
      <c r="Q4162">
        <f>-341.607630261977 -27.8566775462915 -459.516505528829</f>
        <v>-828.98081333709752</v>
      </c>
      <c r="R4162" t="s">
        <v>83732</v>
      </c>
      <c r="S4162" t="s">
        <v>83733</v>
      </c>
      <c r="T4162" t="s">
        <v>83734</v>
      </c>
      <c r="U4162" t="s">
        <v>83735</v>
      </c>
      <c r="V4162">
        <f>-535.848444371204 -19.9725823009591 -229.23000882276</f>
        <v>-785.0510354949231</v>
      </c>
      <c r="W4162" t="s">
        <v>83736</v>
      </c>
      <c r="X4162" t="s">
        <v>83737</v>
      </c>
      <c r="Y4162" t="s">
        <v>83738</v>
      </c>
    </row>
    <row r="4163" spans="1:25" x14ac:dyDescent="0.3">
      <c r="A4163">
        <v>208100</v>
      </c>
      <c r="B4163" t="s">
        <v>83739</v>
      </c>
      <c r="C4163" t="s">
        <v>83740</v>
      </c>
      <c r="D4163" t="s">
        <v>83741</v>
      </c>
      <c r="E4163" t="s">
        <v>83742</v>
      </c>
      <c r="F4163" t="s">
        <v>83743</v>
      </c>
      <c r="G4163" t="s">
        <v>83744</v>
      </c>
      <c r="H4163" t="s">
        <v>83745</v>
      </c>
      <c r="I4163" t="s">
        <v>83746</v>
      </c>
      <c r="J4163" t="s">
        <v>83747</v>
      </c>
      <c r="K4163" t="s">
        <v>83748</v>
      </c>
      <c r="L4163" t="s">
        <v>83749</v>
      </c>
      <c r="M4163" t="s">
        <v>83750</v>
      </c>
      <c r="N4163" t="s">
        <v>83751</v>
      </c>
      <c r="O4163">
        <f>-536.824793848089 -138.393669235661 -742.261100869854</f>
        <v>-1417.4795639536042</v>
      </c>
      <c r="P4163">
        <f>-555.901367912166 -152.313701605911 -426.621231946875</f>
        <v>-1134.8363014649522</v>
      </c>
      <c r="Q4163">
        <f>-333.663494001773 -21.4434793015805 -460.167403031759</f>
        <v>-815.27437633511249</v>
      </c>
      <c r="R4163" t="s">
        <v>83752</v>
      </c>
      <c r="S4163" t="s">
        <v>83753</v>
      </c>
      <c r="T4163" t="s">
        <v>83754</v>
      </c>
      <c r="U4163" t="s">
        <v>83755</v>
      </c>
      <c r="V4163">
        <f>-530.052333386402 -14.4698575060901 -229.153289734408</f>
        <v>-773.67548062690003</v>
      </c>
      <c r="W4163" t="s">
        <v>83756</v>
      </c>
      <c r="X4163" t="s">
        <v>83757</v>
      </c>
      <c r="Y4163" t="s">
        <v>83758</v>
      </c>
    </row>
    <row r="4164" spans="1:25" x14ac:dyDescent="0.3">
      <c r="A4164">
        <v>208150</v>
      </c>
      <c r="B4164" t="s">
        <v>83759</v>
      </c>
      <c r="C4164" t="s">
        <v>83760</v>
      </c>
      <c r="D4164" t="s">
        <v>83761</v>
      </c>
      <c r="E4164" t="s">
        <v>83762</v>
      </c>
      <c r="F4164" t="s">
        <v>83763</v>
      </c>
      <c r="G4164" t="s">
        <v>83764</v>
      </c>
      <c r="H4164" t="s">
        <v>83765</v>
      </c>
      <c r="I4164" t="s">
        <v>83766</v>
      </c>
      <c r="J4164" t="s">
        <v>83767</v>
      </c>
      <c r="K4164" t="s">
        <v>83768</v>
      </c>
      <c r="L4164" t="s">
        <v>83769</v>
      </c>
      <c r="M4164" t="s">
        <v>83770</v>
      </c>
      <c r="N4164" t="s">
        <v>83771</v>
      </c>
      <c r="O4164">
        <f>-535.484720916902 -137.616667342005 -742.102081337237</f>
        <v>-1415.203469596144</v>
      </c>
      <c r="P4164">
        <f>-554.314283091652 -150.889838799697 -426.419557467506</f>
        <v>-1131.623679358855</v>
      </c>
      <c r="Q4164">
        <f>-331.985644842036 -20.1553686255567 -459.893865734083</f>
        <v>-812.03487920167572</v>
      </c>
      <c r="R4164" t="s">
        <v>83772</v>
      </c>
      <c r="S4164" t="s">
        <v>83773</v>
      </c>
      <c r="T4164" t="s">
        <v>83774</v>
      </c>
      <c r="U4164" t="s">
        <v>83775</v>
      </c>
      <c r="V4164">
        <f>-528.888252074673 -13.4919062348509 -229.232990032193</f>
        <v>-771.61314834171696</v>
      </c>
      <c r="W4164" t="s">
        <v>83776</v>
      </c>
      <c r="X4164" t="s">
        <v>83777</v>
      </c>
      <c r="Y4164" t="s">
        <v>83778</v>
      </c>
    </row>
    <row r="4165" spans="1:25" x14ac:dyDescent="0.3">
      <c r="A4165">
        <v>208200</v>
      </c>
      <c r="B4165" t="s">
        <v>83779</v>
      </c>
      <c r="C4165" t="s">
        <v>83780</v>
      </c>
      <c r="D4165" t="s">
        <v>83781</v>
      </c>
      <c r="E4165" t="s">
        <v>83782</v>
      </c>
      <c r="F4165" t="s">
        <v>83783</v>
      </c>
      <c r="G4165" t="s">
        <v>83784</v>
      </c>
      <c r="H4165" t="s">
        <v>83785</v>
      </c>
      <c r="I4165" t="s">
        <v>83786</v>
      </c>
      <c r="J4165" t="s">
        <v>83787</v>
      </c>
      <c r="K4165" t="s">
        <v>83788</v>
      </c>
      <c r="L4165" t="s">
        <v>83789</v>
      </c>
      <c r="M4165" t="s">
        <v>83790</v>
      </c>
      <c r="N4165" t="s">
        <v>83791</v>
      </c>
      <c r="O4165">
        <f>-534.902455912712 -137.075580043763 -742.094949928281</f>
        <v>-1414.072985884756</v>
      </c>
      <c r="P4165">
        <f>-553.79523542482 -150.121037309071 -426.406734688131</f>
        <v>-1130.3230074220219</v>
      </c>
      <c r="Q4165">
        <f>-331.530209261716 -19.2345062677055 -459.708424180485</f>
        <v>-810.47313970990649</v>
      </c>
      <c r="R4165" t="s">
        <v>83792</v>
      </c>
      <c r="S4165" t="s">
        <v>83793</v>
      </c>
      <c r="T4165" t="s">
        <v>83794</v>
      </c>
      <c r="U4165" t="s">
        <v>83795</v>
      </c>
      <c r="V4165">
        <f>-528.51185204714 -12.6763649307966 -229.264951913972</f>
        <v>-770.4531688919086</v>
      </c>
      <c r="W4165" t="s">
        <v>83796</v>
      </c>
      <c r="X4165" t="s">
        <v>83797</v>
      </c>
      <c r="Y4165" t="s">
        <v>83798</v>
      </c>
    </row>
    <row r="4166" spans="1:25" x14ac:dyDescent="0.3">
      <c r="A4166">
        <v>208250</v>
      </c>
      <c r="B4166" t="s">
        <v>83799</v>
      </c>
      <c r="C4166" t="s">
        <v>83800</v>
      </c>
      <c r="D4166" t="s">
        <v>83801</v>
      </c>
      <c r="E4166" t="s">
        <v>83802</v>
      </c>
      <c r="F4166" t="s">
        <v>83803</v>
      </c>
      <c r="G4166" t="s">
        <v>83804</v>
      </c>
      <c r="H4166" t="s">
        <v>83805</v>
      </c>
      <c r="I4166" t="s">
        <v>83806</v>
      </c>
      <c r="J4166" t="s">
        <v>83807</v>
      </c>
      <c r="K4166" t="s">
        <v>83808</v>
      </c>
      <c r="L4166" t="s">
        <v>83809</v>
      </c>
      <c r="M4166" t="s">
        <v>83810</v>
      </c>
      <c r="N4166" t="s">
        <v>83811</v>
      </c>
      <c r="O4166">
        <f>-533.818675100996 -135.881163024801 -742.144384183421</f>
        <v>-1411.8442223092179</v>
      </c>
      <c r="P4166">
        <f>-553.181797996584 -148.880249857235 -426.482774121817</f>
        <v>-1128.5448219756358</v>
      </c>
      <c r="Q4166">
        <f>-331.18478288786 -17.5217042179987 -459.714045952904</f>
        <v>-808.42053305876266</v>
      </c>
      <c r="R4166" t="s">
        <v>83812</v>
      </c>
      <c r="S4166" t="s">
        <v>83813</v>
      </c>
      <c r="T4166" t="s">
        <v>83814</v>
      </c>
      <c r="U4166" t="s">
        <v>83815</v>
      </c>
      <c r="V4166">
        <f>-527.854036254295 -11.4699854445588 -229.32563524096</f>
        <v>-768.64965693981378</v>
      </c>
      <c r="W4166" t="s">
        <v>83816</v>
      </c>
      <c r="X4166" t="s">
        <v>83817</v>
      </c>
      <c r="Y4166" t="s">
        <v>83818</v>
      </c>
    </row>
    <row r="4167" spans="1:25" x14ac:dyDescent="0.3">
      <c r="A4167">
        <v>208300</v>
      </c>
      <c r="B4167" t="s">
        <v>83819</v>
      </c>
      <c r="C4167" t="s">
        <v>83820</v>
      </c>
      <c r="D4167" t="s">
        <v>83821</v>
      </c>
      <c r="E4167" t="s">
        <v>83822</v>
      </c>
      <c r="F4167" t="s">
        <v>83823</v>
      </c>
      <c r="G4167" t="s">
        <v>83824</v>
      </c>
      <c r="H4167" t="s">
        <v>83825</v>
      </c>
      <c r="I4167" t="s">
        <v>83826</v>
      </c>
      <c r="J4167" t="s">
        <v>83827</v>
      </c>
      <c r="K4167" t="s">
        <v>83828</v>
      </c>
      <c r="L4167" t="s">
        <v>83829</v>
      </c>
      <c r="M4167" t="s">
        <v>83830</v>
      </c>
      <c r="N4167" t="s">
        <v>83831</v>
      </c>
      <c r="O4167">
        <f>-533.296137425457 -134.849325778689 -742.243791339145</f>
        <v>-1410.3892545432909</v>
      </c>
      <c r="P4167">
        <f>-552.733121650789 -147.781778514138 -426.584037231583</f>
        <v>-1127.0989373965099</v>
      </c>
      <c r="Q4167">
        <f>-330.724909991835 -16.4478007334496 -459.837337513186</f>
        <v>-807.01004823847052</v>
      </c>
      <c r="R4167" t="s">
        <v>83832</v>
      </c>
      <c r="S4167" t="s">
        <v>83833</v>
      </c>
      <c r="T4167" t="s">
        <v>83834</v>
      </c>
      <c r="U4167" t="s">
        <v>83835</v>
      </c>
      <c r="V4167">
        <f>-527.570289802078 -10.4983308628432 -229.364279704633</f>
        <v>-767.4329003695542</v>
      </c>
      <c r="W4167" t="s">
        <v>83836</v>
      </c>
      <c r="X4167" t="s">
        <v>83837</v>
      </c>
      <c r="Y4167" t="s">
        <v>83838</v>
      </c>
    </row>
    <row r="4168" spans="1:25" x14ac:dyDescent="0.3">
      <c r="A4168">
        <v>208350</v>
      </c>
      <c r="B4168" t="s">
        <v>83839</v>
      </c>
      <c r="C4168" t="s">
        <v>83840</v>
      </c>
      <c r="D4168" t="s">
        <v>83841</v>
      </c>
      <c r="E4168" t="s">
        <v>83842</v>
      </c>
      <c r="F4168" t="s">
        <v>83843</v>
      </c>
      <c r="G4168" t="s">
        <v>83844</v>
      </c>
      <c r="H4168" t="s">
        <v>83845</v>
      </c>
      <c r="I4168" t="s">
        <v>83846</v>
      </c>
      <c r="J4168" t="s">
        <v>83847</v>
      </c>
      <c r="K4168" t="s">
        <v>83848</v>
      </c>
      <c r="L4168" t="s">
        <v>83849</v>
      </c>
      <c r="M4168" t="s">
        <v>83850</v>
      </c>
      <c r="N4168" t="s">
        <v>83851</v>
      </c>
      <c r="O4168">
        <f>-532.259146908031 -133.327980030757 -742.299571676935</f>
        <v>-1407.8866986157229</v>
      </c>
      <c r="P4168">
        <f>-551.897756528218 -146.436099484693 -426.659395699444</f>
        <v>-1124.993251712355</v>
      </c>
      <c r="Q4168">
        <f>-329.806766537699 -15.1876259640812 -459.69675173754</f>
        <v>-804.69114423932024</v>
      </c>
      <c r="R4168" t="s">
        <v>83852</v>
      </c>
      <c r="S4168" t="s">
        <v>83853</v>
      </c>
      <c r="T4168" t="s">
        <v>83854</v>
      </c>
      <c r="U4168" t="s">
        <v>83855</v>
      </c>
      <c r="V4168">
        <f>-526.720535273283 -9.29173571847981 -229.145771199537</f>
        <v>-765.15804219129973</v>
      </c>
      <c r="W4168" t="s">
        <v>83856</v>
      </c>
      <c r="X4168" t="s">
        <v>83857</v>
      </c>
      <c r="Y4168" t="s">
        <v>83858</v>
      </c>
    </row>
    <row r="4169" spans="1:25" x14ac:dyDescent="0.3">
      <c r="A4169">
        <v>208400</v>
      </c>
      <c r="B4169" t="s">
        <v>83859</v>
      </c>
      <c r="C4169" t="s">
        <v>83860</v>
      </c>
      <c r="D4169" t="s">
        <v>83861</v>
      </c>
      <c r="E4169" t="s">
        <v>83862</v>
      </c>
      <c r="F4169" t="s">
        <v>83863</v>
      </c>
      <c r="G4169" t="s">
        <v>83864</v>
      </c>
      <c r="H4169" t="s">
        <v>83865</v>
      </c>
      <c r="I4169" t="s">
        <v>83866</v>
      </c>
      <c r="J4169" t="s">
        <v>83867</v>
      </c>
      <c r="K4169" t="s">
        <v>83868</v>
      </c>
      <c r="L4169" t="s">
        <v>83869</v>
      </c>
      <c r="M4169" t="s">
        <v>83870</v>
      </c>
      <c r="N4169" t="s">
        <v>83871</v>
      </c>
      <c r="O4169">
        <f>-531.567151965338 -132.4234197777 -742.376745839798</f>
        <v>-1406.367317582836</v>
      </c>
      <c r="P4169">
        <f>-551.195151534117 -145.776859042133 -426.746224450901</f>
        <v>-1123.718235027151</v>
      </c>
      <c r="Q4169">
        <f>-329.035225842934 -14.6201211441107 -459.684538703251</f>
        <v>-803.33988569029566</v>
      </c>
      <c r="R4169" t="s">
        <v>83872</v>
      </c>
      <c r="S4169" t="s">
        <v>83873</v>
      </c>
      <c r="T4169" t="s">
        <v>83874</v>
      </c>
      <c r="U4169" t="s">
        <v>83875</v>
      </c>
      <c r="V4169">
        <f>-526.117525743553 -8.37331474423299 -229.084431094728</f>
        <v>-763.57527158251389</v>
      </c>
      <c r="W4169" t="s">
        <v>83876</v>
      </c>
      <c r="X4169" t="s">
        <v>83877</v>
      </c>
      <c r="Y4169" t="s">
        <v>83878</v>
      </c>
    </row>
    <row r="4170" spans="1:25" x14ac:dyDescent="0.3">
      <c r="A4170">
        <v>208450</v>
      </c>
      <c r="B4170" t="s">
        <v>83879</v>
      </c>
      <c r="C4170" t="s">
        <v>83880</v>
      </c>
      <c r="D4170" t="s">
        <v>83881</v>
      </c>
      <c r="E4170" t="s">
        <v>83882</v>
      </c>
      <c r="F4170" t="s">
        <v>83883</v>
      </c>
      <c r="G4170" t="s">
        <v>83884</v>
      </c>
      <c r="H4170" t="s">
        <v>83885</v>
      </c>
      <c r="I4170" t="s">
        <v>83886</v>
      </c>
      <c r="J4170" t="s">
        <v>83887</v>
      </c>
      <c r="K4170" t="s">
        <v>83888</v>
      </c>
      <c r="L4170" t="s">
        <v>83889</v>
      </c>
      <c r="M4170" t="s">
        <v>83890</v>
      </c>
      <c r="N4170" t="s">
        <v>83891</v>
      </c>
      <c r="O4170">
        <f>-530.240027569852 -130.692647574091 -742.581442924032</f>
        <v>-1403.514118067975</v>
      </c>
      <c r="P4170">
        <f>-550.09226608211 -144.582519711521 -426.98814879251</f>
        <v>-1121.6629345861409</v>
      </c>
      <c r="Q4170">
        <f>-327.814546833776 -13.597274283881 -459.814596773736</f>
        <v>-801.226417891393</v>
      </c>
      <c r="R4170" t="s">
        <v>83892</v>
      </c>
      <c r="S4170" t="s">
        <v>83893</v>
      </c>
      <c r="T4170" t="s">
        <v>83894</v>
      </c>
      <c r="U4170" t="s">
        <v>83895</v>
      </c>
      <c r="V4170">
        <f>-524.814233940074 -6.95901830723425 -228.917508223718</f>
        <v>-760.69076047102624</v>
      </c>
      <c r="W4170" t="s">
        <v>83896</v>
      </c>
      <c r="X4170" t="s">
        <v>83897</v>
      </c>
      <c r="Y4170" t="s">
        <v>83898</v>
      </c>
    </row>
    <row r="4171" spans="1:25" x14ac:dyDescent="0.3">
      <c r="A4171">
        <v>208500</v>
      </c>
      <c r="B4171" t="s">
        <v>83899</v>
      </c>
      <c r="C4171" t="s">
        <v>83900</v>
      </c>
      <c r="D4171" t="s">
        <v>83901</v>
      </c>
      <c r="E4171" t="s">
        <v>83902</v>
      </c>
      <c r="F4171" t="s">
        <v>83903</v>
      </c>
      <c r="G4171" t="s">
        <v>83904</v>
      </c>
      <c r="H4171" t="s">
        <v>83905</v>
      </c>
      <c r="I4171" t="s">
        <v>83906</v>
      </c>
      <c r="J4171" t="s">
        <v>83907</v>
      </c>
      <c r="K4171" t="s">
        <v>83908</v>
      </c>
      <c r="L4171" t="s">
        <v>83909</v>
      </c>
      <c r="M4171" t="s">
        <v>83910</v>
      </c>
      <c r="N4171" t="s">
        <v>83911</v>
      </c>
      <c r="O4171">
        <f>-529.752330551192 -129.635249760373 -742.613179194442</f>
        <v>-1402.0007595060069</v>
      </c>
      <c r="P4171">
        <f>-549.809960049284 -143.759360307725 -427.043155539543</f>
        <v>-1120.612475896552</v>
      </c>
      <c r="Q4171">
        <f>-327.442304400984 -12.9283318149837 -459.874479498043</f>
        <v>-800.24511571401081</v>
      </c>
      <c r="R4171" t="s">
        <v>83912</v>
      </c>
      <c r="S4171" t="s">
        <v>83913</v>
      </c>
      <c r="T4171" t="s">
        <v>83914</v>
      </c>
      <c r="U4171" t="s">
        <v>83915</v>
      </c>
      <c r="V4171">
        <f>-524.230938539352 -5.89938955560984 -228.808954357735</f>
        <v>-758.93928245269672</v>
      </c>
      <c r="W4171" t="s">
        <v>83916</v>
      </c>
      <c r="X4171" t="s">
        <v>83917</v>
      </c>
      <c r="Y4171" t="s">
        <v>83918</v>
      </c>
    </row>
    <row r="4172" spans="1:25" x14ac:dyDescent="0.3">
      <c r="A4172">
        <v>208550</v>
      </c>
      <c r="B4172" t="s">
        <v>83919</v>
      </c>
      <c r="C4172" t="s">
        <v>83920</v>
      </c>
      <c r="D4172" t="s">
        <v>83921</v>
      </c>
      <c r="E4172" t="s">
        <v>83922</v>
      </c>
      <c r="F4172" t="s">
        <v>83923</v>
      </c>
      <c r="G4172" t="s">
        <v>83924</v>
      </c>
      <c r="H4172" t="s">
        <v>83925</v>
      </c>
      <c r="I4172" t="s">
        <v>83926</v>
      </c>
      <c r="J4172" t="s">
        <v>83927</v>
      </c>
      <c r="K4172" t="s">
        <v>83928</v>
      </c>
      <c r="L4172" t="s">
        <v>83929</v>
      </c>
      <c r="M4172" t="s">
        <v>83930</v>
      </c>
      <c r="N4172" t="s">
        <v>83931</v>
      </c>
      <c r="O4172">
        <f>-528.723956649064 -127.414226967547 -742.647618584946</f>
        <v>-1398.7858022015571</v>
      </c>
      <c r="P4172">
        <f>-549.142676391466 -142.149620964108 -427.128739430806</f>
        <v>-1118.42103678638</v>
      </c>
      <c r="Q4172">
        <f>-326.583239139863 -11.6285154025097 -459.894198434829</f>
        <v>-798.1059529772017</v>
      </c>
      <c r="R4172" t="s">
        <v>83932</v>
      </c>
      <c r="S4172" t="s">
        <v>83933</v>
      </c>
      <c r="T4172" t="s">
        <v>83934</v>
      </c>
      <c r="U4172" t="s">
        <v>83935</v>
      </c>
      <c r="V4172">
        <f>-522.99491412321 -3.77628769734886 -228.526372842591</f>
        <v>-755.29757466314982</v>
      </c>
      <c r="W4172" t="s">
        <v>83936</v>
      </c>
      <c r="X4172" t="s">
        <v>83937</v>
      </c>
      <c r="Y4172" t="s">
        <v>83938</v>
      </c>
    </row>
    <row r="4173" spans="1:25" x14ac:dyDescent="0.3">
      <c r="A4173">
        <v>208600</v>
      </c>
      <c r="B4173" t="s">
        <v>83939</v>
      </c>
      <c r="C4173" t="s">
        <v>83940</v>
      </c>
      <c r="D4173" t="s">
        <v>83941</v>
      </c>
      <c r="E4173" t="s">
        <v>83942</v>
      </c>
      <c r="F4173" t="s">
        <v>83943</v>
      </c>
      <c r="G4173" t="s">
        <v>83944</v>
      </c>
      <c r="H4173" t="s">
        <v>83945</v>
      </c>
      <c r="I4173" t="s">
        <v>83946</v>
      </c>
      <c r="J4173" t="s">
        <v>83947</v>
      </c>
      <c r="K4173" t="s">
        <v>83948</v>
      </c>
      <c r="L4173" t="s">
        <v>83949</v>
      </c>
      <c r="M4173" t="s">
        <v>83950</v>
      </c>
      <c r="N4173" t="s">
        <v>83951</v>
      </c>
      <c r="O4173">
        <f>-528.356933621539 -126.75079012548 -742.606385069677</f>
        <v>-1397.7141088166959</v>
      </c>
      <c r="P4173">
        <f>-548.958531633728 -141.812694642213 -427.114808628637</f>
        <v>-1117.8860349045781</v>
      </c>
      <c r="Q4173">
        <f>-326.329517838306 -11.3944099712963 -459.817387609077</f>
        <v>-797.54131541867923</v>
      </c>
      <c r="R4173" t="s">
        <v>83952</v>
      </c>
      <c r="S4173" t="s">
        <v>83953</v>
      </c>
      <c r="T4173" t="s">
        <v>83954</v>
      </c>
      <c r="U4173" t="s">
        <v>83955</v>
      </c>
      <c r="V4173">
        <f>-522.68469120098 -3.03159668847034 -228.271504427929</f>
        <v>-753.98779231737933</v>
      </c>
      <c r="W4173" t="s">
        <v>83956</v>
      </c>
      <c r="X4173" t="s">
        <v>83957</v>
      </c>
      <c r="Y4173" t="s">
        <v>83958</v>
      </c>
    </row>
    <row r="4174" spans="1:25" x14ac:dyDescent="0.3">
      <c r="A4174">
        <v>208650</v>
      </c>
      <c r="B4174" t="s">
        <v>83959</v>
      </c>
      <c r="C4174" t="s">
        <v>83960</v>
      </c>
      <c r="D4174" t="s">
        <v>83961</v>
      </c>
      <c r="E4174" t="s">
        <v>83962</v>
      </c>
      <c r="F4174" t="s">
        <v>83963</v>
      </c>
      <c r="G4174" t="s">
        <v>83964</v>
      </c>
      <c r="H4174" t="s">
        <v>83965</v>
      </c>
      <c r="I4174" t="s">
        <v>83966</v>
      </c>
      <c r="J4174" t="s">
        <v>83967</v>
      </c>
      <c r="K4174" t="s">
        <v>83968</v>
      </c>
      <c r="L4174" t="s">
        <v>83969</v>
      </c>
      <c r="M4174" t="s">
        <v>83970</v>
      </c>
      <c r="N4174" t="s">
        <v>83971</v>
      </c>
      <c r="O4174">
        <f>-527.86331373517 -125.255367459755 -742.802847531815</f>
        <v>-1395.92152872674</v>
      </c>
      <c r="P4174">
        <f>-548.725812699683 -140.783662773185 -427.351004247999</f>
        <v>-1116.860479720867</v>
      </c>
      <c r="Q4174">
        <f>-325.82641649308 -10.7064812133289 -459.566345888296</f>
        <v>-796.09924359470483</v>
      </c>
      <c r="R4174" t="s">
        <v>83972</v>
      </c>
      <c r="S4174" t="s">
        <v>83973</v>
      </c>
      <c r="T4174" t="s">
        <v>83974</v>
      </c>
      <c r="U4174" t="s">
        <v>83975</v>
      </c>
      <c r="V4174">
        <f>-521.45101821662 -1.24281449608385 -228.316310910959</f>
        <v>-751.01014362366288</v>
      </c>
      <c r="W4174" t="s">
        <v>83976</v>
      </c>
      <c r="X4174" t="s">
        <v>83977</v>
      </c>
      <c r="Y4174" t="s">
        <v>83978</v>
      </c>
    </row>
    <row r="4175" spans="1:25" x14ac:dyDescent="0.3">
      <c r="A4175">
        <v>208700</v>
      </c>
      <c r="B4175" t="s">
        <v>83979</v>
      </c>
      <c r="C4175" t="s">
        <v>83980</v>
      </c>
      <c r="D4175" t="s">
        <v>83981</v>
      </c>
      <c r="E4175" t="s">
        <v>83982</v>
      </c>
      <c r="F4175" t="s">
        <v>83983</v>
      </c>
      <c r="G4175" t="s">
        <v>83984</v>
      </c>
      <c r="H4175" t="s">
        <v>83985</v>
      </c>
      <c r="I4175" t="s">
        <v>83986</v>
      </c>
      <c r="J4175" t="s">
        <v>83987</v>
      </c>
      <c r="K4175" t="s">
        <v>83988</v>
      </c>
      <c r="L4175" t="s">
        <v>83989</v>
      </c>
      <c r="M4175" t="s">
        <v>83990</v>
      </c>
      <c r="N4175" t="s">
        <v>83991</v>
      </c>
      <c r="O4175">
        <f>-527.113614826396 -124.524016449907 -743.129380600784</f>
        <v>-1394.767011877087</v>
      </c>
      <c r="P4175">
        <f>-548.109602647503 -140.242451354209 -427.695966281682</f>
        <v>-1116.0480202833942</v>
      </c>
      <c r="Q4175">
        <f>-325.086681961596 -10.2821355383292 -459.526190035929</f>
        <v>-794.89500753585423</v>
      </c>
      <c r="R4175" t="s">
        <v>83992</v>
      </c>
      <c r="S4175" t="s">
        <v>83993</v>
      </c>
      <c r="T4175" t="s">
        <v>83994</v>
      </c>
      <c r="U4175" t="s">
        <v>83995</v>
      </c>
      <c r="V4175">
        <f>-520.907230885915 -0.675949375174 -228.463695452678</f>
        <v>-750.04687571376712</v>
      </c>
      <c r="W4175" t="s">
        <v>83996</v>
      </c>
      <c r="X4175" t="s">
        <v>83997</v>
      </c>
      <c r="Y4175" t="s">
        <v>83998</v>
      </c>
    </row>
    <row r="4176" spans="1:25" x14ac:dyDescent="0.3">
      <c r="A4176">
        <v>208750</v>
      </c>
      <c r="B4176" t="s">
        <v>83999</v>
      </c>
      <c r="C4176" t="s">
        <v>84000</v>
      </c>
      <c r="D4176" t="s">
        <v>84001</v>
      </c>
      <c r="E4176" t="s">
        <v>84002</v>
      </c>
      <c r="F4176" t="s">
        <v>84003</v>
      </c>
      <c r="G4176" t="s">
        <v>84004</v>
      </c>
      <c r="H4176" t="s">
        <v>84005</v>
      </c>
      <c r="I4176" t="s">
        <v>84006</v>
      </c>
      <c r="J4176" t="s">
        <v>84007</v>
      </c>
      <c r="K4176" t="s">
        <v>84008</v>
      </c>
      <c r="L4176" t="s">
        <v>84009</v>
      </c>
      <c r="M4176" t="s">
        <v>84010</v>
      </c>
      <c r="N4176" t="s">
        <v>84011</v>
      </c>
      <c r="O4176">
        <f>-526.734331073086 -122.665388119025 -743.462792359412</f>
        <v>-1392.8625115515229</v>
      </c>
      <c r="P4176">
        <f>-548.155869438228 -138.704012337505 -428.074013540663</f>
        <v>-1114.933895316396</v>
      </c>
      <c r="Q4176">
        <f>-324.862244569657 -9.04461275636771 -459.226167829034</f>
        <v>-793.1330251550587</v>
      </c>
      <c r="R4176" t="s">
        <v>84012</v>
      </c>
      <c r="S4176" t="s">
        <v>84013</v>
      </c>
      <c r="T4176" t="s">
        <v>84014</v>
      </c>
      <c r="U4176" t="s">
        <v>84015</v>
      </c>
      <c r="V4176" t="s">
        <v>84016</v>
      </c>
      <c r="W4176" t="s">
        <v>84017</v>
      </c>
      <c r="X4176" t="s">
        <v>84018</v>
      </c>
      <c r="Y4176" t="s">
        <v>84019</v>
      </c>
    </row>
    <row r="4177" spans="1:25" x14ac:dyDescent="0.3">
      <c r="A4177">
        <v>208800</v>
      </c>
      <c r="B4177" t="s">
        <v>84020</v>
      </c>
      <c r="C4177" t="s">
        <v>84021</v>
      </c>
      <c r="D4177" t="s">
        <v>84022</v>
      </c>
      <c r="E4177" t="s">
        <v>84023</v>
      </c>
      <c r="F4177" t="s">
        <v>84024</v>
      </c>
      <c r="G4177" t="s">
        <v>84025</v>
      </c>
      <c r="H4177" t="s">
        <v>84026</v>
      </c>
      <c r="I4177" t="s">
        <v>84027</v>
      </c>
      <c r="J4177" t="s">
        <v>84028</v>
      </c>
      <c r="K4177" t="s">
        <v>84029</v>
      </c>
      <c r="L4177" t="s">
        <v>84030</v>
      </c>
      <c r="M4177" t="s">
        <v>84031</v>
      </c>
      <c r="N4177" t="s">
        <v>84032</v>
      </c>
      <c r="O4177">
        <f>-526.464898698265 -121.545889488868 -743.634302243913</f>
        <v>-1391.6450904310459</v>
      </c>
      <c r="P4177">
        <f>-547.870192379159 -137.662965997839 -428.248452201773</f>
        <v>-1113.7816105787711</v>
      </c>
      <c r="Q4177">
        <f>-324.375484435639 -8.33989066901717 -459.356536827415</f>
        <v>-792.0719119320712</v>
      </c>
      <c r="R4177" t="s">
        <v>84033</v>
      </c>
      <c r="S4177" t="s">
        <v>84034</v>
      </c>
      <c r="T4177" t="s">
        <v>84035</v>
      </c>
      <c r="U4177" t="s">
        <v>84036</v>
      </c>
      <c r="V4177" t="s">
        <v>84037</v>
      </c>
      <c r="W4177" t="s">
        <v>84038</v>
      </c>
      <c r="X4177" t="s">
        <v>84039</v>
      </c>
      <c r="Y4177" t="s">
        <v>84040</v>
      </c>
    </row>
    <row r="4178" spans="1:25" x14ac:dyDescent="0.3">
      <c r="A4178">
        <v>208850</v>
      </c>
      <c r="B4178" t="s">
        <v>84041</v>
      </c>
      <c r="C4178" t="s">
        <v>84042</v>
      </c>
      <c r="D4178" t="s">
        <v>84043</v>
      </c>
      <c r="E4178" t="s">
        <v>84044</v>
      </c>
      <c r="F4178" t="s">
        <v>84045</v>
      </c>
      <c r="G4178" t="s">
        <v>84046</v>
      </c>
      <c r="H4178" t="s">
        <v>84047</v>
      </c>
      <c r="I4178" t="s">
        <v>84048</v>
      </c>
      <c r="J4178" t="s">
        <v>84049</v>
      </c>
      <c r="K4178" t="s">
        <v>84050</v>
      </c>
      <c r="L4178" t="s">
        <v>84051</v>
      </c>
      <c r="M4178" t="s">
        <v>84052</v>
      </c>
      <c r="N4178" t="s">
        <v>84053</v>
      </c>
      <c r="O4178">
        <f>-526.497359250527 -119.777422363189 -743.78495922595</f>
        <v>-1390.0597408396661</v>
      </c>
      <c r="P4178">
        <f>-547.491037736154 -136.158996476547 -428.385042460261</f>
        <v>-1112.0350766729621</v>
      </c>
      <c r="Q4178">
        <f>-323.524276138552 -7.7095002076361 -459.716285861082</f>
        <v>-790.95006220727009</v>
      </c>
      <c r="R4178" t="s">
        <v>84054</v>
      </c>
      <c r="S4178" t="s">
        <v>84055</v>
      </c>
      <c r="T4178" t="s">
        <v>84056</v>
      </c>
      <c r="U4178" t="s">
        <v>84057</v>
      </c>
      <c r="V4178" t="s">
        <v>84058</v>
      </c>
      <c r="W4178" t="s">
        <v>84059</v>
      </c>
      <c r="X4178" t="s">
        <v>84060</v>
      </c>
      <c r="Y4178" t="s">
        <v>84061</v>
      </c>
    </row>
    <row r="4179" spans="1:25" x14ac:dyDescent="0.3">
      <c r="A4179">
        <v>208900</v>
      </c>
      <c r="B4179" t="s">
        <v>84062</v>
      </c>
      <c r="C4179" t="s">
        <v>84063</v>
      </c>
      <c r="D4179" t="s">
        <v>84064</v>
      </c>
      <c r="E4179" t="s">
        <v>84065</v>
      </c>
      <c r="F4179" t="s">
        <v>84066</v>
      </c>
      <c r="G4179" t="s">
        <v>84067</v>
      </c>
      <c r="H4179" t="s">
        <v>84068</v>
      </c>
      <c r="I4179" t="s">
        <v>84069</v>
      </c>
      <c r="J4179" t="s">
        <v>84070</v>
      </c>
      <c r="K4179" t="s">
        <v>84071</v>
      </c>
      <c r="L4179" t="s">
        <v>84072</v>
      </c>
      <c r="M4179" t="s">
        <v>84073</v>
      </c>
      <c r="N4179" t="s">
        <v>84074</v>
      </c>
      <c r="O4179">
        <f>-526.821095592453 -118.787848134855 -743.863904772768</f>
        <v>-1389.472848500076</v>
      </c>
      <c r="P4179">
        <f>-547.913088080321 -135.239514350982 -428.474236395347</f>
        <v>-1111.6268388266499</v>
      </c>
      <c r="Q4179">
        <f>-323.742268048118 -7.17596147125096 -459.926102619964</f>
        <v>-790.84433213933289</v>
      </c>
      <c r="R4179" t="s">
        <v>84075</v>
      </c>
      <c r="S4179" t="s">
        <v>84076</v>
      </c>
      <c r="T4179" t="s">
        <v>84077</v>
      </c>
      <c r="U4179" t="s">
        <v>84078</v>
      </c>
      <c r="V4179" t="s">
        <v>84079</v>
      </c>
      <c r="W4179" t="s">
        <v>84080</v>
      </c>
      <c r="X4179" t="s">
        <v>84081</v>
      </c>
      <c r="Y4179" t="s">
        <v>84082</v>
      </c>
    </row>
    <row r="4180" spans="1:25" x14ac:dyDescent="0.3">
      <c r="A4180">
        <v>208950</v>
      </c>
      <c r="B4180" t="s">
        <v>84083</v>
      </c>
      <c r="C4180" t="s">
        <v>84084</v>
      </c>
      <c r="D4180" t="s">
        <v>84085</v>
      </c>
      <c r="E4180" t="s">
        <v>84086</v>
      </c>
      <c r="F4180" t="s">
        <v>84087</v>
      </c>
      <c r="G4180" t="s">
        <v>84088</v>
      </c>
      <c r="H4180" t="s">
        <v>84089</v>
      </c>
      <c r="I4180" t="s">
        <v>84090</v>
      </c>
      <c r="J4180" t="s">
        <v>84091</v>
      </c>
      <c r="K4180" t="s">
        <v>84092</v>
      </c>
      <c r="L4180" t="s">
        <v>84093</v>
      </c>
      <c r="M4180" t="s">
        <v>84094</v>
      </c>
      <c r="N4180" t="s">
        <v>84095</v>
      </c>
      <c r="O4180">
        <f>-527.380447696071 -117.832154596329 -743.950162493833</f>
        <v>-1389.1627647862329</v>
      </c>
      <c r="P4180">
        <f>-548.599683638229 -134.650453351141 -428.588394837392</f>
        <v>-1111.8385318267619</v>
      </c>
      <c r="Q4180">
        <f>-324.068510527898 -7.19680833860478 -459.947060712884</f>
        <v>-791.21237957938683</v>
      </c>
      <c r="R4180" t="s">
        <v>84096</v>
      </c>
      <c r="S4180" t="s">
        <v>84097</v>
      </c>
      <c r="T4180" t="s">
        <v>84098</v>
      </c>
      <c r="U4180" t="s">
        <v>84099</v>
      </c>
      <c r="V4180" t="s">
        <v>84100</v>
      </c>
      <c r="W4180" t="s">
        <v>84101</v>
      </c>
      <c r="X4180" t="s">
        <v>84102</v>
      </c>
      <c r="Y4180" t="s">
        <v>84103</v>
      </c>
    </row>
    <row r="4181" spans="1:25" x14ac:dyDescent="0.3">
      <c r="A4181">
        <v>209000</v>
      </c>
      <c r="B4181" t="s">
        <v>84104</v>
      </c>
      <c r="C4181" t="s">
        <v>84105</v>
      </c>
      <c r="D4181" t="s">
        <v>84106</v>
      </c>
      <c r="E4181" t="s">
        <v>84107</v>
      </c>
      <c r="F4181" t="s">
        <v>84108</v>
      </c>
      <c r="G4181" t="s">
        <v>84109</v>
      </c>
      <c r="H4181" t="s">
        <v>84110</v>
      </c>
      <c r="I4181" t="s">
        <v>84111</v>
      </c>
      <c r="J4181" t="s">
        <v>84112</v>
      </c>
      <c r="K4181" t="s">
        <v>84113</v>
      </c>
      <c r="L4181" t="s">
        <v>84114</v>
      </c>
      <c r="M4181" t="s">
        <v>84115</v>
      </c>
      <c r="N4181" t="s">
        <v>84116</v>
      </c>
      <c r="O4181">
        <f>-527.781436474227 -117.313489143459 -743.953211241737</f>
        <v>-1389.048136859423</v>
      </c>
      <c r="P4181">
        <f>-549.201061885533 -134.26979035154 -428.612350912956</f>
        <v>-1112.083203150029</v>
      </c>
      <c r="Q4181">
        <f>-324.425728833539 -7.21898394155842 -459.856696590949</f>
        <v>-791.50140936604635</v>
      </c>
      <c r="R4181" t="s">
        <v>84117</v>
      </c>
      <c r="S4181" t="s">
        <v>84118</v>
      </c>
      <c r="T4181" t="s">
        <v>84119</v>
      </c>
      <c r="U4181" t="s">
        <v>84120</v>
      </c>
      <c r="V4181" t="s">
        <v>84121</v>
      </c>
      <c r="W4181" t="s">
        <v>84122</v>
      </c>
      <c r="X4181" t="s">
        <v>84123</v>
      </c>
      <c r="Y4181" t="s">
        <v>84124</v>
      </c>
    </row>
    <row r="4182" spans="1:25" x14ac:dyDescent="0.3">
      <c r="A4182">
        <v>209050</v>
      </c>
      <c r="B4182" t="s">
        <v>84125</v>
      </c>
      <c r="C4182" t="s">
        <v>84126</v>
      </c>
      <c r="D4182" t="s">
        <v>84127</v>
      </c>
      <c r="E4182" t="s">
        <v>84128</v>
      </c>
      <c r="F4182" t="s">
        <v>84129</v>
      </c>
      <c r="G4182" t="s">
        <v>84130</v>
      </c>
      <c r="H4182" t="s">
        <v>84131</v>
      </c>
      <c r="I4182" t="s">
        <v>84132</v>
      </c>
      <c r="J4182" t="s">
        <v>84133</v>
      </c>
      <c r="K4182" t="s">
        <v>84134</v>
      </c>
      <c r="L4182" t="s">
        <v>84135</v>
      </c>
      <c r="M4182" t="s">
        <v>84136</v>
      </c>
      <c r="N4182" t="s">
        <v>84137</v>
      </c>
      <c r="O4182">
        <f>-528.54170102401 -116.838411192104 -743.813862995153</f>
        <v>-1389.1939752112671</v>
      </c>
      <c r="P4182">
        <f>-550.512562327208 -133.636231276271 -428.502450477294</f>
        <v>-1112.651244080773</v>
      </c>
      <c r="Q4182">
        <f>-325.101764411383 -7.59657657898325 -459.260112495741</f>
        <v>-791.95845348610726</v>
      </c>
      <c r="R4182" t="s">
        <v>84138</v>
      </c>
      <c r="S4182" t="s">
        <v>84139</v>
      </c>
      <c r="T4182" t="s">
        <v>84140</v>
      </c>
      <c r="U4182" t="s">
        <v>84141</v>
      </c>
      <c r="V4182" t="s">
        <v>84142</v>
      </c>
      <c r="W4182" t="s">
        <v>84143</v>
      </c>
      <c r="X4182" t="s">
        <v>84144</v>
      </c>
      <c r="Y4182" t="s">
        <v>84145</v>
      </c>
    </row>
    <row r="4183" spans="1:25" x14ac:dyDescent="0.3">
      <c r="A4183">
        <v>209100</v>
      </c>
      <c r="B4183" t="s">
        <v>84146</v>
      </c>
      <c r="C4183" t="s">
        <v>84147</v>
      </c>
      <c r="D4183" t="s">
        <v>84148</v>
      </c>
      <c r="E4183" t="s">
        <v>84149</v>
      </c>
      <c r="F4183" t="s">
        <v>84150</v>
      </c>
      <c r="G4183" t="s">
        <v>84151</v>
      </c>
      <c r="H4183" t="s">
        <v>84152</v>
      </c>
      <c r="I4183" t="s">
        <v>84153</v>
      </c>
      <c r="J4183" t="s">
        <v>84154</v>
      </c>
      <c r="K4183" t="s">
        <v>84155</v>
      </c>
      <c r="L4183" t="s">
        <v>84156</v>
      </c>
      <c r="M4183" t="s">
        <v>84157</v>
      </c>
      <c r="N4183" t="s">
        <v>84158</v>
      </c>
      <c r="O4183">
        <f>-528.877632988683 -116.822846019208 -743.664562151491</f>
        <v>-1389.3650411593821</v>
      </c>
      <c r="P4183">
        <f>-551.183321322893 -133.398514952646 -428.364833777357</f>
        <v>-1112.946670052896</v>
      </c>
      <c r="Q4183">
        <f>-325.44699115741 -7.89425848150337 -458.923355694748</f>
        <v>-792.26460533366139</v>
      </c>
      <c r="R4183" t="s">
        <v>84159</v>
      </c>
      <c r="S4183" t="s">
        <v>84160</v>
      </c>
      <c r="T4183" t="s">
        <v>84161</v>
      </c>
      <c r="U4183" t="s">
        <v>84162</v>
      </c>
      <c r="V4183" t="s">
        <v>84163</v>
      </c>
      <c r="W4183" t="s">
        <v>84164</v>
      </c>
      <c r="X4183" t="s">
        <v>84165</v>
      </c>
      <c r="Y4183" t="s">
        <v>84166</v>
      </c>
    </row>
    <row r="4184" spans="1:25" x14ac:dyDescent="0.3">
      <c r="A4184">
        <v>209150</v>
      </c>
      <c r="B4184" t="s">
        <v>84167</v>
      </c>
      <c r="C4184" t="s">
        <v>84168</v>
      </c>
      <c r="D4184" t="s">
        <v>84169</v>
      </c>
      <c r="E4184" t="s">
        <v>84170</v>
      </c>
      <c r="F4184" t="s">
        <v>84171</v>
      </c>
      <c r="G4184" t="s">
        <v>84172</v>
      </c>
      <c r="H4184" t="s">
        <v>84173</v>
      </c>
      <c r="I4184" t="s">
        <v>84174</v>
      </c>
      <c r="J4184" t="s">
        <v>84175</v>
      </c>
      <c r="K4184" t="s">
        <v>84176</v>
      </c>
      <c r="L4184" t="s">
        <v>84177</v>
      </c>
      <c r="M4184" t="s">
        <v>84178</v>
      </c>
      <c r="N4184" t="s">
        <v>84179</v>
      </c>
      <c r="O4184">
        <f>-529.258793225346 -115.832948049962 -743.341243591655</f>
        <v>-1388.4329848669631</v>
      </c>
      <c r="P4184">
        <f>-552.341276545135 -131.741286292889 -428.063041096942</f>
        <v>-1112.1456039349659</v>
      </c>
      <c r="Q4184">
        <f>-326.015480262796 -7.19339322032057 -458.171386077017</f>
        <v>-791.3802595601336</v>
      </c>
      <c r="R4184" t="s">
        <v>84180</v>
      </c>
      <c r="S4184" t="s">
        <v>84181</v>
      </c>
      <c r="T4184" t="s">
        <v>84182</v>
      </c>
      <c r="U4184" t="s">
        <v>84183</v>
      </c>
      <c r="V4184" t="s">
        <v>84184</v>
      </c>
      <c r="W4184" t="s">
        <v>84185</v>
      </c>
      <c r="X4184" t="s">
        <v>84186</v>
      </c>
      <c r="Y4184" t="s">
        <v>84187</v>
      </c>
    </row>
    <row r="4185" spans="1:25" x14ac:dyDescent="0.3">
      <c r="A4185">
        <v>209200</v>
      </c>
      <c r="B4185" t="s">
        <v>84188</v>
      </c>
      <c r="C4185" t="s">
        <v>84189</v>
      </c>
      <c r="D4185" t="s">
        <v>84190</v>
      </c>
      <c r="E4185" t="s">
        <v>84191</v>
      </c>
      <c r="F4185" t="s">
        <v>84192</v>
      </c>
      <c r="G4185" t="s">
        <v>84193</v>
      </c>
      <c r="H4185" t="s">
        <v>84194</v>
      </c>
      <c r="I4185" t="s">
        <v>84195</v>
      </c>
      <c r="J4185" t="s">
        <v>84196</v>
      </c>
      <c r="K4185" t="s">
        <v>84197</v>
      </c>
      <c r="L4185" t="s">
        <v>84198</v>
      </c>
      <c r="M4185" t="s">
        <v>84199</v>
      </c>
      <c r="N4185" t="s">
        <v>84200</v>
      </c>
      <c r="O4185">
        <f>-530.112792344187 -115.141790533476 -743.039927890489</f>
        <v>-1388.2945107681521</v>
      </c>
      <c r="P4185">
        <f>-553.620930241577 -130.792877961775 -427.78037842822</f>
        <v>-1112.1941866315719</v>
      </c>
      <c r="Q4185">
        <f>-327.121429391509 -6.51745968542545 -457.707679793781</f>
        <v>-791.34656887071537</v>
      </c>
      <c r="R4185" t="s">
        <v>84201</v>
      </c>
      <c r="S4185" t="s">
        <v>84202</v>
      </c>
      <c r="T4185" t="s">
        <v>84203</v>
      </c>
      <c r="U4185" t="s">
        <v>84204</v>
      </c>
      <c r="V4185" t="s">
        <v>84205</v>
      </c>
      <c r="W4185" t="s">
        <v>84206</v>
      </c>
      <c r="X4185" t="s">
        <v>84207</v>
      </c>
      <c r="Y4185" t="s">
        <v>84208</v>
      </c>
    </row>
    <row r="4186" spans="1:25" x14ac:dyDescent="0.3">
      <c r="A4186">
        <v>209250</v>
      </c>
      <c r="B4186" t="s">
        <v>84209</v>
      </c>
      <c r="C4186" t="s">
        <v>84210</v>
      </c>
      <c r="D4186" t="s">
        <v>84211</v>
      </c>
      <c r="E4186" t="s">
        <v>84212</v>
      </c>
      <c r="F4186" t="s">
        <v>84213</v>
      </c>
      <c r="G4186" t="s">
        <v>84214</v>
      </c>
      <c r="H4186" t="s">
        <v>84215</v>
      </c>
      <c r="I4186" t="s">
        <v>84216</v>
      </c>
      <c r="J4186" t="s">
        <v>84217</v>
      </c>
      <c r="K4186" t="s">
        <v>84218</v>
      </c>
      <c r="L4186" t="s">
        <v>84219</v>
      </c>
      <c r="M4186" t="s">
        <v>84220</v>
      </c>
      <c r="N4186" t="s">
        <v>84221</v>
      </c>
      <c r="O4186">
        <f>-532.882864343808 -112.628017108111 -742.396894560855</f>
        <v>-1387.9077760127739</v>
      </c>
      <c r="P4186">
        <f>-556.267428078983 -128.014533615975 -427.11501075184</f>
        <v>-1111.3969724467979</v>
      </c>
      <c r="Q4186">
        <f>-329.414390747632 -4.41945515031198 -457.181742005532</f>
        <v>-791.01558790347599</v>
      </c>
      <c r="R4186" t="s">
        <v>84222</v>
      </c>
      <c r="S4186" t="s">
        <v>84223</v>
      </c>
      <c r="T4186" t="s">
        <v>84224</v>
      </c>
      <c r="U4186" t="s">
        <v>84225</v>
      </c>
      <c r="V4186" t="s">
        <v>84226</v>
      </c>
      <c r="W4186" t="s">
        <v>84227</v>
      </c>
      <c r="X4186" t="s">
        <v>84228</v>
      </c>
      <c r="Y4186" t="s">
        <v>84229</v>
      </c>
    </row>
    <row r="4187" spans="1:25" x14ac:dyDescent="0.3">
      <c r="A4187">
        <v>209300</v>
      </c>
      <c r="B4187" t="s">
        <v>84230</v>
      </c>
      <c r="C4187" t="s">
        <v>84231</v>
      </c>
      <c r="D4187" t="s">
        <v>84232</v>
      </c>
      <c r="E4187" t="s">
        <v>84233</v>
      </c>
      <c r="F4187" t="s">
        <v>84234</v>
      </c>
      <c r="G4187" t="s">
        <v>84235</v>
      </c>
      <c r="H4187" t="s">
        <v>84236</v>
      </c>
      <c r="I4187" t="s">
        <v>84237</v>
      </c>
      <c r="J4187" t="s">
        <v>84238</v>
      </c>
      <c r="K4187" t="s">
        <v>84239</v>
      </c>
      <c r="L4187" t="s">
        <v>84240</v>
      </c>
      <c r="M4187" t="s">
        <v>84241</v>
      </c>
      <c r="N4187" t="s">
        <v>84242</v>
      </c>
      <c r="O4187">
        <f>-534.115509970822 -111.39868243985 -742.212169110559</f>
        <v>-1387.726361521231</v>
      </c>
      <c r="P4187">
        <f>-557.095904352358 -126.777872571489 -426.900235072776</f>
        <v>-1110.7740119966229</v>
      </c>
      <c r="Q4187">
        <f>-329.951891117419 -3.78166080047572 -457.224959217946</f>
        <v>-790.95851113584069</v>
      </c>
      <c r="R4187" t="s">
        <v>84243</v>
      </c>
      <c r="S4187" t="s">
        <v>84244</v>
      </c>
      <c r="T4187" t="s">
        <v>84245</v>
      </c>
      <c r="U4187" t="s">
        <v>84246</v>
      </c>
      <c r="V4187" t="s">
        <v>84247</v>
      </c>
      <c r="W4187" t="s">
        <v>84248</v>
      </c>
      <c r="X4187" t="s">
        <v>84249</v>
      </c>
      <c r="Y4187" t="s">
        <v>84250</v>
      </c>
    </row>
    <row r="4188" spans="1:25" x14ac:dyDescent="0.3">
      <c r="A4188">
        <v>209350</v>
      </c>
      <c r="B4188" t="s">
        <v>84251</v>
      </c>
      <c r="C4188" t="s">
        <v>84252</v>
      </c>
      <c r="D4188" t="s">
        <v>84253</v>
      </c>
      <c r="E4188" t="s">
        <v>84254</v>
      </c>
      <c r="F4188" t="s">
        <v>84255</v>
      </c>
      <c r="G4188" t="s">
        <v>84256</v>
      </c>
      <c r="H4188" t="s">
        <v>84257</v>
      </c>
      <c r="I4188" t="s">
        <v>84258</v>
      </c>
      <c r="J4188" t="s">
        <v>84259</v>
      </c>
      <c r="K4188" t="s">
        <v>84260</v>
      </c>
      <c r="L4188" t="s">
        <v>84261</v>
      </c>
      <c r="M4188" t="s">
        <v>84262</v>
      </c>
      <c r="N4188" t="s">
        <v>84263</v>
      </c>
      <c r="O4188">
        <f>-536.354929914197 -108.931080690354 -742.354215148096</f>
        <v>-1387.640225752647</v>
      </c>
      <c r="P4188">
        <f>-558.89403434265 -124.457394435268 -427.017577096492</f>
        <v>-1110.36900587441</v>
      </c>
      <c r="Q4188">
        <f>-330.842144394916 -3.29081947809327 -457.888948941131</f>
        <v>-792.02191281414025</v>
      </c>
      <c r="R4188" t="s">
        <v>84264</v>
      </c>
      <c r="S4188" t="s">
        <v>84265</v>
      </c>
      <c r="T4188" t="s">
        <v>84266</v>
      </c>
      <c r="U4188" t="s">
        <v>84267</v>
      </c>
      <c r="V4188" t="s">
        <v>84268</v>
      </c>
      <c r="W4188" t="s">
        <v>84269</v>
      </c>
      <c r="X4188" t="s">
        <v>84270</v>
      </c>
      <c r="Y4188" t="s">
        <v>84271</v>
      </c>
    </row>
    <row r="4189" spans="1:25" x14ac:dyDescent="0.3">
      <c r="A4189">
        <v>209400</v>
      </c>
      <c r="B4189" t="s">
        <v>84272</v>
      </c>
      <c r="C4189" t="s">
        <v>84273</v>
      </c>
      <c r="D4189" t="s">
        <v>84274</v>
      </c>
      <c r="E4189" t="s">
        <v>84275</v>
      </c>
      <c r="F4189" t="s">
        <v>84276</v>
      </c>
      <c r="G4189" t="s">
        <v>84277</v>
      </c>
      <c r="H4189" t="s">
        <v>84278</v>
      </c>
      <c r="I4189" t="s">
        <v>84279</v>
      </c>
      <c r="J4189" t="s">
        <v>84280</v>
      </c>
      <c r="K4189" t="s">
        <v>84281</v>
      </c>
      <c r="L4189" t="s">
        <v>84282</v>
      </c>
      <c r="M4189" t="s">
        <v>84283</v>
      </c>
      <c r="N4189" t="s">
        <v>84284</v>
      </c>
      <c r="O4189">
        <f>-537.87520810353 -107.78527943066 -742.611791598503</f>
        <v>-1388.272279132693</v>
      </c>
      <c r="P4189">
        <f>-560.206063944375 -123.469181480642 -427.268319973152</f>
        <v>-1110.9435653981691</v>
      </c>
      <c r="Q4189">
        <f>-331.538750749186 -3.51532185521864 -458.322682507344</f>
        <v>-793.37675511174871</v>
      </c>
      <c r="R4189" t="s">
        <v>84285</v>
      </c>
      <c r="S4189" t="s">
        <v>84286</v>
      </c>
      <c r="T4189" t="s">
        <v>84287</v>
      </c>
      <c r="U4189" t="s">
        <v>84288</v>
      </c>
      <c r="V4189" t="s">
        <v>84289</v>
      </c>
      <c r="W4189" t="s">
        <v>84290</v>
      </c>
      <c r="X4189" t="s">
        <v>84291</v>
      </c>
      <c r="Y4189" t="s">
        <v>84292</v>
      </c>
    </row>
    <row r="4190" spans="1:25" x14ac:dyDescent="0.3">
      <c r="A4190">
        <v>209450</v>
      </c>
      <c r="B4190" t="s">
        <v>84293</v>
      </c>
      <c r="C4190" t="s">
        <v>84294</v>
      </c>
      <c r="D4190" t="s">
        <v>84295</v>
      </c>
      <c r="E4190" t="s">
        <v>84296</v>
      </c>
      <c r="F4190" t="s">
        <v>84297</v>
      </c>
      <c r="G4190" t="s">
        <v>84298</v>
      </c>
      <c r="H4190" t="s">
        <v>84299</v>
      </c>
      <c r="I4190" t="s">
        <v>84300</v>
      </c>
      <c r="J4190" t="s">
        <v>84301</v>
      </c>
      <c r="K4190" t="s">
        <v>84302</v>
      </c>
      <c r="L4190" t="s">
        <v>84303</v>
      </c>
      <c r="M4190" t="s">
        <v>84304</v>
      </c>
      <c r="N4190" t="s">
        <v>84305</v>
      </c>
      <c r="O4190">
        <f>-540.732495048696 -105.542981790564 -743.160735137861</f>
        <v>-1389.436211977121</v>
      </c>
      <c r="P4190">
        <f>-562.659401465547 -121.597550669799 -427.807423610137</f>
        <v>-1112.0643757454832</v>
      </c>
      <c r="Q4190">
        <f>-332.470894481899 -4.66749830841319 -459.154883835594</f>
        <v>-796.29327662590617</v>
      </c>
      <c r="R4190" t="s">
        <v>84306</v>
      </c>
      <c r="S4190" t="s">
        <v>84307</v>
      </c>
      <c r="T4190" t="s">
        <v>84308</v>
      </c>
      <c r="U4190" t="s">
        <v>84309</v>
      </c>
      <c r="V4190" t="s">
        <v>84310</v>
      </c>
      <c r="W4190" t="s">
        <v>84311</v>
      </c>
      <c r="X4190" t="s">
        <v>84312</v>
      </c>
      <c r="Y4190" t="s">
        <v>84313</v>
      </c>
    </row>
    <row r="4191" spans="1:25" x14ac:dyDescent="0.3">
      <c r="A4191">
        <v>209500</v>
      </c>
      <c r="B4191" t="s">
        <v>84314</v>
      </c>
      <c r="C4191" t="s">
        <v>84315</v>
      </c>
      <c r="D4191" t="s">
        <v>84316</v>
      </c>
      <c r="E4191" t="s">
        <v>84317</v>
      </c>
      <c r="F4191" t="s">
        <v>84318</v>
      </c>
      <c r="G4191" t="s">
        <v>84319</v>
      </c>
      <c r="H4191" t="s">
        <v>84320</v>
      </c>
      <c r="I4191" t="s">
        <v>84321</v>
      </c>
      <c r="J4191" t="s">
        <v>84322</v>
      </c>
      <c r="K4191" t="s">
        <v>84323</v>
      </c>
      <c r="L4191" t="s">
        <v>84324</v>
      </c>
      <c r="M4191" t="s">
        <v>84325</v>
      </c>
      <c r="N4191" t="s">
        <v>84326</v>
      </c>
      <c r="O4191">
        <f>-542.493593749297 -104.119850281887 -743.332117603949</f>
        <v>-1389.9455616351329</v>
      </c>
      <c r="P4191">
        <f>-564.190192829101 -120.450271932584 -427.977187062867</f>
        <v>-1112.617651824552</v>
      </c>
      <c r="Q4191">
        <f>-333.10224128024 -5.33779083181696 -459.434130707748</f>
        <v>-797.87416281980495</v>
      </c>
      <c r="R4191" t="s">
        <v>84327</v>
      </c>
      <c r="S4191" t="s">
        <v>84328</v>
      </c>
      <c r="T4191" t="s">
        <v>84329</v>
      </c>
      <c r="U4191" t="s">
        <v>84330</v>
      </c>
      <c r="V4191" t="s">
        <v>84331</v>
      </c>
      <c r="W4191" t="s">
        <v>84332</v>
      </c>
      <c r="X4191" t="s">
        <v>84333</v>
      </c>
      <c r="Y4191" t="s">
        <v>84334</v>
      </c>
    </row>
    <row r="4192" spans="1:25" x14ac:dyDescent="0.3">
      <c r="A4192">
        <v>209550</v>
      </c>
      <c r="B4192" t="s">
        <v>84335</v>
      </c>
      <c r="C4192" t="s">
        <v>84336</v>
      </c>
      <c r="D4192" t="s">
        <v>84337</v>
      </c>
      <c r="E4192" t="s">
        <v>84338</v>
      </c>
      <c r="F4192" t="s">
        <v>84339</v>
      </c>
      <c r="G4192" t="s">
        <v>84340</v>
      </c>
      <c r="H4192" t="s">
        <v>84341</v>
      </c>
      <c r="I4192" t="s">
        <v>84342</v>
      </c>
      <c r="J4192" t="s">
        <v>84343</v>
      </c>
      <c r="K4192" t="s">
        <v>84344</v>
      </c>
      <c r="L4192" t="s">
        <v>84345</v>
      </c>
      <c r="M4192" t="s">
        <v>84346</v>
      </c>
      <c r="N4192" t="s">
        <v>84347</v>
      </c>
      <c r="O4192">
        <f>-545.922432282295 -100.485095914985 -743.956906321251</f>
        <v>-1390.364434518531</v>
      </c>
      <c r="P4192">
        <f>-567.038060822194 -117.840490759424 -428.617170002818</f>
        <v>-1113.4957215844361</v>
      </c>
      <c r="Q4192">
        <f>-334.195482455394 -6.38005786555669 -460.286600443686</f>
        <v>-800.86214076463671</v>
      </c>
      <c r="R4192" t="s">
        <v>84348</v>
      </c>
      <c r="S4192" t="s">
        <v>84349</v>
      </c>
      <c r="T4192" t="s">
        <v>84350</v>
      </c>
      <c r="U4192" t="s">
        <v>84351</v>
      </c>
      <c r="V4192" t="s">
        <v>84352</v>
      </c>
      <c r="W4192" t="s">
        <v>84353</v>
      </c>
      <c r="X4192" t="s">
        <v>84354</v>
      </c>
      <c r="Y4192" t="s">
        <v>84355</v>
      </c>
    </row>
    <row r="4193" spans="1:25" x14ac:dyDescent="0.3">
      <c r="A4193">
        <v>209600</v>
      </c>
      <c r="B4193" t="s">
        <v>84356</v>
      </c>
      <c r="C4193" t="s">
        <v>84357</v>
      </c>
      <c r="D4193" t="s">
        <v>84358</v>
      </c>
      <c r="E4193" t="s">
        <v>84359</v>
      </c>
      <c r="F4193" t="s">
        <v>84360</v>
      </c>
      <c r="G4193" t="s">
        <v>84361</v>
      </c>
      <c r="H4193" t="s">
        <v>84362</v>
      </c>
      <c r="I4193" t="s">
        <v>84363</v>
      </c>
      <c r="J4193" t="s">
        <v>84364</v>
      </c>
      <c r="K4193" t="s">
        <v>84365</v>
      </c>
      <c r="L4193" t="s">
        <v>84366</v>
      </c>
      <c r="M4193" t="s">
        <v>84367</v>
      </c>
      <c r="N4193" t="s">
        <v>84368</v>
      </c>
      <c r="O4193">
        <f>-547.241312971245 -98.8049587079065 -744.248493070843</f>
        <v>-1390.2947647499946</v>
      </c>
      <c r="P4193">
        <f>-568.033558810941 -116.838383930272 -428.925252574425</f>
        <v>-1113.797195315638</v>
      </c>
      <c r="Q4193">
        <f>-334.308948383864 -7.33114247280473 -460.910276623175</f>
        <v>-802.55036747984377</v>
      </c>
      <c r="R4193" t="s">
        <v>84369</v>
      </c>
      <c r="S4193" t="s">
        <v>84370</v>
      </c>
      <c r="T4193" t="s">
        <v>84371</v>
      </c>
      <c r="U4193" t="s">
        <v>84372</v>
      </c>
      <c r="V4193" t="s">
        <v>84373</v>
      </c>
      <c r="W4193" t="s">
        <v>84374</v>
      </c>
      <c r="X4193" t="s">
        <v>84375</v>
      </c>
      <c r="Y4193" t="s">
        <v>84376</v>
      </c>
    </row>
    <row r="4194" spans="1:25" x14ac:dyDescent="0.3">
      <c r="A4194">
        <v>209650</v>
      </c>
      <c r="B4194" t="s">
        <v>84377</v>
      </c>
      <c r="C4194" t="s">
        <v>84378</v>
      </c>
      <c r="D4194" t="s">
        <v>84379</v>
      </c>
      <c r="E4194" t="s">
        <v>84380</v>
      </c>
      <c r="F4194" t="s">
        <v>84381</v>
      </c>
      <c r="G4194" t="s">
        <v>84382</v>
      </c>
      <c r="H4194" t="s">
        <v>84383</v>
      </c>
      <c r="I4194" t="s">
        <v>84384</v>
      </c>
      <c r="J4194" t="s">
        <v>84385</v>
      </c>
      <c r="K4194" t="s">
        <v>84386</v>
      </c>
      <c r="L4194" t="s">
        <v>84387</v>
      </c>
      <c r="M4194" t="s">
        <v>84388</v>
      </c>
      <c r="N4194" t="s">
        <v>84389</v>
      </c>
      <c r="O4194">
        <f>-549.04489441373 -94.6620478181996 -744.398893544602</f>
        <v>-1388.1058357765314</v>
      </c>
      <c r="P4194">
        <f>-569.908875993732 -114.050931620608 -429.160893855649</f>
        <v>-1113.1207014699889</v>
      </c>
      <c r="Q4194">
        <f>-334.311986492588 -8.75557957371579 -461.549592447116</f>
        <v>-804.61715851341978</v>
      </c>
      <c r="R4194" t="s">
        <v>84390</v>
      </c>
      <c r="S4194" t="s">
        <v>84391</v>
      </c>
      <c r="T4194" t="s">
        <v>84392</v>
      </c>
      <c r="U4194" t="s">
        <v>84393</v>
      </c>
      <c r="V4194" t="s">
        <v>84394</v>
      </c>
      <c r="W4194" t="s">
        <v>84395</v>
      </c>
      <c r="X4194" t="s">
        <v>84396</v>
      </c>
      <c r="Y4194" t="s">
        <v>84397</v>
      </c>
    </row>
    <row r="4195" spans="1:25" x14ac:dyDescent="0.3">
      <c r="A4195">
        <v>209700</v>
      </c>
      <c r="B4195" t="s">
        <v>84398</v>
      </c>
      <c r="C4195" t="s">
        <v>84399</v>
      </c>
      <c r="D4195" t="s">
        <v>84400</v>
      </c>
      <c r="E4195" t="s">
        <v>84401</v>
      </c>
      <c r="F4195" t="s">
        <v>84402</v>
      </c>
      <c r="G4195" t="s">
        <v>84403</v>
      </c>
      <c r="H4195" t="s">
        <v>84404</v>
      </c>
      <c r="I4195" t="s">
        <v>84405</v>
      </c>
      <c r="J4195" t="s">
        <v>84406</v>
      </c>
      <c r="K4195" t="s">
        <v>84407</v>
      </c>
      <c r="L4195" t="s">
        <v>84408</v>
      </c>
      <c r="M4195" t="s">
        <v>84409</v>
      </c>
      <c r="N4195" t="s">
        <v>84410</v>
      </c>
      <c r="O4195">
        <f>-549.685609463754 -92.5708291156934 -744.336409490109</f>
        <v>-1386.5928480695563</v>
      </c>
      <c r="P4195">
        <f>-570.96498935195 -112.727103392722 -429.174391016426</f>
        <v>-1112.8664837610979</v>
      </c>
      <c r="Q4195">
        <f>-334.526551018184 -9.35035114598213 -461.611391619658</f>
        <v>-805.48829378382413</v>
      </c>
      <c r="R4195" t="s">
        <v>84411</v>
      </c>
      <c r="S4195" t="s">
        <v>84412</v>
      </c>
      <c r="T4195" t="s">
        <v>84413</v>
      </c>
      <c r="U4195" t="s">
        <v>84414</v>
      </c>
      <c r="V4195" t="s">
        <v>84415</v>
      </c>
      <c r="W4195" t="s">
        <v>84416</v>
      </c>
      <c r="X4195" t="s">
        <v>84417</v>
      </c>
      <c r="Y4195" t="s">
        <v>84418</v>
      </c>
    </row>
    <row r="4196" spans="1:25" x14ac:dyDescent="0.3">
      <c r="A4196">
        <v>209750</v>
      </c>
      <c r="B4196" t="s">
        <v>84398</v>
      </c>
      <c r="C4196" t="s">
        <v>84399</v>
      </c>
      <c r="D4196" t="s">
        <v>84400</v>
      </c>
      <c r="E4196" t="s">
        <v>84401</v>
      </c>
      <c r="F4196" t="s">
        <v>84402</v>
      </c>
      <c r="G4196" t="s">
        <v>84403</v>
      </c>
      <c r="H4196" t="s">
        <v>84404</v>
      </c>
      <c r="I4196" t="s">
        <v>84405</v>
      </c>
      <c r="J4196" t="s">
        <v>84406</v>
      </c>
      <c r="K4196" t="s">
        <v>84407</v>
      </c>
      <c r="L4196" t="s">
        <v>84408</v>
      </c>
      <c r="M4196" t="s">
        <v>84409</v>
      </c>
      <c r="N4196" t="s">
        <v>84410</v>
      </c>
      <c r="O4196">
        <f>-549.685609463754 -92.5708291156934 -744.336409490109</f>
        <v>-1386.5928480695563</v>
      </c>
      <c r="P4196">
        <f>-570.96498935195 -112.727103392722 -429.174391016426</f>
        <v>-1112.8664837610979</v>
      </c>
      <c r="Q4196">
        <f>-334.526551018184 -9.35035114598213 -461.611391619658</f>
        <v>-805.48829378382413</v>
      </c>
      <c r="R4196" t="s">
        <v>84411</v>
      </c>
      <c r="S4196" t="s">
        <v>84412</v>
      </c>
      <c r="T4196" t="s">
        <v>84413</v>
      </c>
      <c r="U4196" t="s">
        <v>84414</v>
      </c>
      <c r="V4196" t="s">
        <v>84415</v>
      </c>
      <c r="W4196" t="s">
        <v>84416</v>
      </c>
      <c r="X4196" t="s">
        <v>84417</v>
      </c>
      <c r="Y4196" t="s">
        <v>84418</v>
      </c>
    </row>
    <row r="4197" spans="1:25" x14ac:dyDescent="0.3">
      <c r="A4197">
        <v>209800</v>
      </c>
      <c r="B4197" t="s">
        <v>84419</v>
      </c>
      <c r="C4197" t="s">
        <v>84420</v>
      </c>
      <c r="D4197" t="s">
        <v>84421</v>
      </c>
      <c r="E4197" t="s">
        <v>84422</v>
      </c>
      <c r="F4197" t="s">
        <v>84423</v>
      </c>
      <c r="G4197" t="s">
        <v>84424</v>
      </c>
      <c r="H4197" t="s">
        <v>84425</v>
      </c>
      <c r="I4197" t="s">
        <v>84426</v>
      </c>
      <c r="J4197" t="s">
        <v>84427</v>
      </c>
      <c r="K4197" t="s">
        <v>84428</v>
      </c>
      <c r="L4197" t="s">
        <v>84429</v>
      </c>
      <c r="M4197" t="s">
        <v>84430</v>
      </c>
      <c r="N4197" t="s">
        <v>84431</v>
      </c>
      <c r="O4197">
        <f>-548.786979508975 -87.7242099358706 -744.787913976623</f>
        <v>-1381.2991034214688</v>
      </c>
      <c r="P4197">
        <f>-571.875989044754 -109.551903418224 -429.864699859939</f>
        <v>-1111.292592322917</v>
      </c>
      <c r="Q4197">
        <f>-333.321305473673 -10.8245326678799 -461.275410617983</f>
        <v>-805.42124875953596</v>
      </c>
      <c r="R4197" t="s">
        <v>84432</v>
      </c>
      <c r="S4197" t="s">
        <v>84433</v>
      </c>
      <c r="T4197" t="s">
        <v>84434</v>
      </c>
      <c r="U4197" t="s">
        <v>84435</v>
      </c>
      <c r="V4197" t="s">
        <v>84436</v>
      </c>
      <c r="W4197" t="s">
        <v>84437</v>
      </c>
      <c r="X4197" t="s">
        <v>84438</v>
      </c>
      <c r="Y4197" t="s">
        <v>84439</v>
      </c>
    </row>
    <row r="4198" spans="1:25" x14ac:dyDescent="0.3">
      <c r="A4198">
        <v>209850</v>
      </c>
      <c r="B4198" t="s">
        <v>84440</v>
      </c>
      <c r="C4198" t="s">
        <v>84441</v>
      </c>
      <c r="D4198" t="s">
        <v>84442</v>
      </c>
      <c r="E4198" t="s">
        <v>84443</v>
      </c>
      <c r="F4198" t="s">
        <v>84444</v>
      </c>
      <c r="G4198" t="s">
        <v>84445</v>
      </c>
      <c r="H4198" t="s">
        <v>84446</v>
      </c>
      <c r="I4198" t="s">
        <v>84447</v>
      </c>
      <c r="J4198" t="s">
        <v>84448</v>
      </c>
      <c r="K4198" t="s">
        <v>84449</v>
      </c>
      <c r="L4198" t="s">
        <v>84450</v>
      </c>
      <c r="M4198" t="s">
        <v>84451</v>
      </c>
      <c r="N4198" t="s">
        <v>84452</v>
      </c>
      <c r="O4198">
        <f>-547.672630752854 -85.8897837274227 -745.348018813303</f>
        <v>-1378.9104332935799</v>
      </c>
      <c r="P4198">
        <f>-571.598402278463 -108.118660385621 -430.515284420957</f>
        <v>-1110.2323470850411</v>
      </c>
      <c r="Q4198">
        <f>-332.564903495447 -10.3201862667674 -461.182808640203</f>
        <v>-804.06789840241743</v>
      </c>
      <c r="R4198" t="s">
        <v>84453</v>
      </c>
      <c r="S4198" t="s">
        <v>84454</v>
      </c>
      <c r="T4198" t="s">
        <v>84455</v>
      </c>
      <c r="U4198" t="s">
        <v>84456</v>
      </c>
      <c r="V4198" t="s">
        <v>84457</v>
      </c>
      <c r="W4198" t="s">
        <v>84458</v>
      </c>
      <c r="X4198" t="s">
        <v>84459</v>
      </c>
      <c r="Y4198" t="s">
        <v>84460</v>
      </c>
    </row>
    <row r="4199" spans="1:25" x14ac:dyDescent="0.3">
      <c r="A4199">
        <v>209900</v>
      </c>
      <c r="B4199" t="s">
        <v>84461</v>
      </c>
      <c r="C4199" t="s">
        <v>84462</v>
      </c>
      <c r="D4199" t="s">
        <v>84463</v>
      </c>
      <c r="E4199" t="s">
        <v>84464</v>
      </c>
      <c r="F4199" t="s">
        <v>84465</v>
      </c>
      <c r="G4199" t="s">
        <v>84466</v>
      </c>
      <c r="H4199" t="s">
        <v>84467</v>
      </c>
      <c r="I4199" t="s">
        <v>84468</v>
      </c>
      <c r="J4199" t="s">
        <v>84469</v>
      </c>
      <c r="K4199" t="s">
        <v>84470</v>
      </c>
      <c r="L4199" t="s">
        <v>84471</v>
      </c>
      <c r="M4199" t="s">
        <v>84472</v>
      </c>
      <c r="N4199" t="s">
        <v>84473</v>
      </c>
      <c r="O4199">
        <f>-544.347183688843 -83.4595042785229 -747.031995246547</f>
        <v>-1374.8386832139129</v>
      </c>
      <c r="P4199">
        <f>-570.610596055513 -106.545192170432 -432.447443344457</f>
        <v>-1109.6032315704019</v>
      </c>
      <c r="Q4199">
        <f>-331.205659001536 -9.06573554153555 -461.171613494026</f>
        <v>-801.44300803709757</v>
      </c>
      <c r="R4199" t="s">
        <v>84474</v>
      </c>
      <c r="S4199" t="s">
        <v>84475</v>
      </c>
      <c r="T4199" t="s">
        <v>84476</v>
      </c>
      <c r="U4199" t="s">
        <v>84477</v>
      </c>
      <c r="V4199" t="s">
        <v>84478</v>
      </c>
      <c r="W4199" t="s">
        <v>84479</v>
      </c>
      <c r="X4199" t="s">
        <v>84480</v>
      </c>
      <c r="Y4199" t="s">
        <v>84481</v>
      </c>
    </row>
    <row r="4200" spans="1:25" x14ac:dyDescent="0.3">
      <c r="A4200">
        <v>209950</v>
      </c>
      <c r="B4200" t="s">
        <v>84482</v>
      </c>
      <c r="C4200" t="s">
        <v>84483</v>
      </c>
      <c r="D4200" t="s">
        <v>84484</v>
      </c>
      <c r="E4200" t="s">
        <v>84485</v>
      </c>
      <c r="F4200" t="s">
        <v>84486</v>
      </c>
      <c r="G4200" t="s">
        <v>84487</v>
      </c>
      <c r="H4200" t="s">
        <v>84488</v>
      </c>
      <c r="I4200" t="s">
        <v>84489</v>
      </c>
      <c r="J4200" t="s">
        <v>84490</v>
      </c>
      <c r="K4200" t="s">
        <v>84491</v>
      </c>
      <c r="L4200" t="s">
        <v>84492</v>
      </c>
      <c r="M4200" t="s">
        <v>84493</v>
      </c>
      <c r="N4200" t="s">
        <v>84494</v>
      </c>
      <c r="O4200">
        <f>-542.336242876704 -81.1862158978788 -749.029207298339</f>
        <v>-1372.5516660729218</v>
      </c>
      <c r="P4200">
        <f>-570.537374630387 -105.917426468023 -434.737530040983</f>
        <v>-1111.192331139393</v>
      </c>
      <c r="Q4200">
        <f>-331.583602102832 -6.77141499577825 -461.44338414315</f>
        <v>-799.7984012417603</v>
      </c>
      <c r="R4200" t="s">
        <v>84495</v>
      </c>
      <c r="S4200" t="s">
        <v>84496</v>
      </c>
      <c r="T4200" t="s">
        <v>84497</v>
      </c>
      <c r="U4200" t="s">
        <v>84498</v>
      </c>
      <c r="V4200" t="s">
        <v>84499</v>
      </c>
      <c r="W4200" t="s">
        <v>84500</v>
      </c>
      <c r="X4200" t="s">
        <v>84501</v>
      </c>
      <c r="Y4200" t="s">
        <v>84502</v>
      </c>
    </row>
    <row r="4201" spans="1:25" x14ac:dyDescent="0.3">
      <c r="A4201">
        <v>210000</v>
      </c>
      <c r="B4201" t="s">
        <v>84503</v>
      </c>
      <c r="C4201" t="s">
        <v>84504</v>
      </c>
      <c r="D4201" t="s">
        <v>84505</v>
      </c>
      <c r="E4201" t="s">
        <v>84506</v>
      </c>
      <c r="F4201" t="s">
        <v>84507</v>
      </c>
      <c r="G4201" t="s">
        <v>84508</v>
      </c>
      <c r="H4201" t="s">
        <v>84509</v>
      </c>
      <c r="I4201" t="s">
        <v>84510</v>
      </c>
      <c r="J4201" t="s">
        <v>84511</v>
      </c>
      <c r="K4201" t="s">
        <v>84512</v>
      </c>
      <c r="L4201" t="s">
        <v>84513</v>
      </c>
      <c r="M4201" t="s">
        <v>84514</v>
      </c>
      <c r="N4201" t="s">
        <v>84515</v>
      </c>
      <c r="O4201">
        <f>-541.545255743446 -80.001448763288 -749.775848314288</f>
        <v>-1371.3225528210219</v>
      </c>
      <c r="P4201">
        <f>-570.166912259323 -105.735416763381 -435.602733234679</f>
        <v>-1111.5050622573831</v>
      </c>
      <c r="Q4201">
        <f>-331.52649317215 -5.64591603398267 -461.580863727809</f>
        <v>-798.75327293394162</v>
      </c>
      <c r="R4201" t="s">
        <v>84516</v>
      </c>
      <c r="S4201" t="s">
        <v>84517</v>
      </c>
      <c r="T4201" t="s">
        <v>84518</v>
      </c>
      <c r="U4201" t="s">
        <v>84519</v>
      </c>
      <c r="V4201" t="s">
        <v>84520</v>
      </c>
      <c r="W4201" t="s">
        <v>84521</v>
      </c>
      <c r="X4201" t="s">
        <v>84522</v>
      </c>
      <c r="Y4201" t="s">
        <v>84523</v>
      </c>
    </row>
    <row r="4202" spans="1:25" x14ac:dyDescent="0.3">
      <c r="A4202">
        <v>210050</v>
      </c>
      <c r="B4202" t="s">
        <v>84524</v>
      </c>
      <c r="C4202" t="s">
        <v>84525</v>
      </c>
      <c r="D4202" t="s">
        <v>84526</v>
      </c>
      <c r="E4202" t="s">
        <v>84527</v>
      </c>
      <c r="F4202" t="s">
        <v>84528</v>
      </c>
      <c r="G4202" t="s">
        <v>84529</v>
      </c>
      <c r="H4202" t="s">
        <v>84530</v>
      </c>
      <c r="I4202" t="s">
        <v>84531</v>
      </c>
      <c r="J4202" t="s">
        <v>84532</v>
      </c>
      <c r="K4202" t="s">
        <v>84533</v>
      </c>
      <c r="L4202" t="s">
        <v>84534</v>
      </c>
      <c r="M4202" t="s">
        <v>84535</v>
      </c>
      <c r="N4202" t="s">
        <v>84536</v>
      </c>
      <c r="O4202">
        <f>-538.706951131757 -78.7884816963723 -750.699914077467</f>
        <v>-1368.1953469055964</v>
      </c>
      <c r="P4202">
        <f>-568.493082209125 -105.471675760137 -436.714385493441</f>
        <v>-1110.679143462703</v>
      </c>
      <c r="Q4202">
        <f>-330.444095331525 -3.80330195314635 -461.978650693384</f>
        <v>-796.22604797805525</v>
      </c>
      <c r="R4202" t="s">
        <v>84537</v>
      </c>
      <c r="S4202" t="s">
        <v>84538</v>
      </c>
      <c r="T4202" t="s">
        <v>84539</v>
      </c>
      <c r="U4202" t="s">
        <v>84540</v>
      </c>
      <c r="V4202" t="s">
        <v>84541</v>
      </c>
      <c r="W4202" t="s">
        <v>84542</v>
      </c>
      <c r="X4202" t="s">
        <v>84543</v>
      </c>
      <c r="Y4202" t="s">
        <v>84544</v>
      </c>
    </row>
    <row r="4203" spans="1:25" x14ac:dyDescent="0.3">
      <c r="A4203">
        <v>210100</v>
      </c>
      <c r="B4203" t="s">
        <v>84545</v>
      </c>
      <c r="C4203" t="s">
        <v>84546</v>
      </c>
      <c r="D4203" t="s">
        <v>84547</v>
      </c>
      <c r="E4203" t="s">
        <v>84548</v>
      </c>
      <c r="F4203" t="s">
        <v>84549</v>
      </c>
      <c r="G4203" t="s">
        <v>84550</v>
      </c>
      <c r="H4203" t="s">
        <v>84551</v>
      </c>
      <c r="I4203" t="s">
        <v>84552</v>
      </c>
      <c r="J4203" t="s">
        <v>84553</v>
      </c>
      <c r="K4203" t="s">
        <v>84554</v>
      </c>
      <c r="L4203" t="s">
        <v>84555</v>
      </c>
      <c r="M4203" t="s">
        <v>84556</v>
      </c>
      <c r="N4203" t="s">
        <v>84557</v>
      </c>
      <c r="O4203">
        <f>-537.163284676148 -78.3042137410093 -751.026410251582</f>
        <v>-1366.4939086687393</v>
      </c>
      <c r="P4203">
        <f>-567.583132639716 -105.42681592252 -437.139233672113</f>
        <v>-1110.1491822343492</v>
      </c>
      <c r="Q4203">
        <f>-329.908125531708 -2.88424563569913 -462.391367903088</f>
        <v>-795.18373907049511</v>
      </c>
      <c r="R4203" t="s">
        <v>84558</v>
      </c>
      <c r="S4203" t="s">
        <v>84559</v>
      </c>
      <c r="T4203" t="s">
        <v>84560</v>
      </c>
      <c r="U4203" t="s">
        <v>84561</v>
      </c>
      <c r="V4203" t="s">
        <v>84562</v>
      </c>
      <c r="W4203" t="s">
        <v>84563</v>
      </c>
      <c r="X4203" t="s">
        <v>84564</v>
      </c>
      <c r="Y4203" t="s">
        <v>84565</v>
      </c>
    </row>
    <row r="4204" spans="1:25" x14ac:dyDescent="0.3">
      <c r="A4204">
        <v>210150</v>
      </c>
      <c r="B4204" t="s">
        <v>84566</v>
      </c>
      <c r="C4204" t="s">
        <v>84567</v>
      </c>
      <c r="D4204" t="s">
        <v>84568</v>
      </c>
      <c r="E4204" t="s">
        <v>84569</v>
      </c>
      <c r="F4204" t="s">
        <v>84570</v>
      </c>
      <c r="G4204" t="s">
        <v>84571</v>
      </c>
      <c r="H4204" t="s">
        <v>84572</v>
      </c>
      <c r="I4204" t="s">
        <v>84573</v>
      </c>
      <c r="J4204" t="s">
        <v>84574</v>
      </c>
      <c r="K4204" t="s">
        <v>84575</v>
      </c>
      <c r="L4204" t="s">
        <v>84576</v>
      </c>
      <c r="M4204" t="s">
        <v>84577</v>
      </c>
      <c r="N4204" t="s">
        <v>84578</v>
      </c>
      <c r="O4204">
        <f>-534.531649045694 -76.9256235307652 -751.39455015161</f>
        <v>-1362.8518227280692</v>
      </c>
      <c r="P4204">
        <f>-566.010991933222 -104.787445776111 -437.676630808903</f>
        <v>-1108.475068518236</v>
      </c>
      <c r="Q4204">
        <f>-329.121505954473 -0.425135619279402 -462.854593704884</f>
        <v>-792.40123527863636</v>
      </c>
      <c r="R4204" t="s">
        <v>84579</v>
      </c>
      <c r="S4204" t="s">
        <v>84580</v>
      </c>
      <c r="T4204" t="s">
        <v>84581</v>
      </c>
      <c r="U4204" t="s">
        <v>84582</v>
      </c>
      <c r="V4204" t="s">
        <v>84583</v>
      </c>
      <c r="W4204" t="s">
        <v>84584</v>
      </c>
      <c r="X4204" t="s">
        <v>84585</v>
      </c>
      <c r="Y4204" t="s">
        <v>84586</v>
      </c>
    </row>
    <row r="4205" spans="1:25" x14ac:dyDescent="0.3">
      <c r="A4205">
        <v>210200</v>
      </c>
      <c r="B4205" t="s">
        <v>84587</v>
      </c>
      <c r="C4205" t="s">
        <v>84588</v>
      </c>
      <c r="D4205" t="s">
        <v>84589</v>
      </c>
      <c r="E4205" t="s">
        <v>84590</v>
      </c>
      <c r="F4205" t="s">
        <v>84591</v>
      </c>
      <c r="G4205" t="s">
        <v>84592</v>
      </c>
      <c r="H4205" t="s">
        <v>84593</v>
      </c>
      <c r="I4205" t="s">
        <v>84594</v>
      </c>
      <c r="J4205" t="s">
        <v>84595</v>
      </c>
      <c r="K4205" t="s">
        <v>84596</v>
      </c>
      <c r="L4205" t="s">
        <v>84597</v>
      </c>
      <c r="M4205" t="s">
        <v>84598</v>
      </c>
      <c r="N4205" t="s">
        <v>84599</v>
      </c>
      <c r="O4205">
        <f>-533.550369733532 -76.2307183748505 -751.473049049111</f>
        <v>-1361.2541371574935</v>
      </c>
      <c r="P4205">
        <f>-565.491466383302 -104.232208403717 -437.814147772013</f>
        <v>-1107.5378225590321</v>
      </c>
      <c r="Q4205" t="s">
        <v>84600</v>
      </c>
      <c r="R4205" t="s">
        <v>84601</v>
      </c>
      <c r="S4205" t="s">
        <v>84602</v>
      </c>
      <c r="T4205" t="s">
        <v>84603</v>
      </c>
      <c r="U4205" t="s">
        <v>84604</v>
      </c>
      <c r="V4205" t="s">
        <v>84605</v>
      </c>
      <c r="W4205" t="s">
        <v>84606</v>
      </c>
      <c r="X4205" t="s">
        <v>84607</v>
      </c>
      <c r="Y4205" t="s">
        <v>84608</v>
      </c>
    </row>
    <row r="4206" spans="1:25" x14ac:dyDescent="0.3">
      <c r="A4206">
        <v>210250</v>
      </c>
      <c r="B4206" t="s">
        <v>84609</v>
      </c>
      <c r="C4206" t="s">
        <v>84610</v>
      </c>
      <c r="D4206" t="s">
        <v>84611</v>
      </c>
      <c r="E4206" t="s">
        <v>84612</v>
      </c>
      <c r="F4206" t="s">
        <v>84613</v>
      </c>
      <c r="G4206" t="s">
        <v>84614</v>
      </c>
      <c r="H4206" t="s">
        <v>84615</v>
      </c>
      <c r="I4206" t="s">
        <v>84616</v>
      </c>
      <c r="J4206" t="s">
        <v>84617</v>
      </c>
      <c r="K4206" t="s">
        <v>84618</v>
      </c>
      <c r="L4206" t="s">
        <v>84619</v>
      </c>
      <c r="M4206" t="s">
        <v>84620</v>
      </c>
      <c r="N4206" t="s">
        <v>84621</v>
      </c>
      <c r="O4206">
        <f>-532.781439209994 -75.9525755550738 -751.328567337442</f>
        <v>-1360.0625821025099</v>
      </c>
      <c r="P4206">
        <f>-565.052457060491 -103.842655041347 -437.693479942464</f>
        <v>-1106.588592044302</v>
      </c>
      <c r="Q4206" t="s">
        <v>84622</v>
      </c>
      <c r="R4206" t="s">
        <v>84623</v>
      </c>
      <c r="S4206" t="s">
        <v>84624</v>
      </c>
      <c r="T4206" t="s">
        <v>84625</v>
      </c>
      <c r="U4206" t="s">
        <v>84626</v>
      </c>
      <c r="V4206" t="s">
        <v>84627</v>
      </c>
      <c r="W4206" t="s">
        <v>84628</v>
      </c>
      <c r="X4206" t="s">
        <v>84629</v>
      </c>
      <c r="Y4206" t="s">
        <v>84630</v>
      </c>
    </row>
    <row r="4207" spans="1:25" x14ac:dyDescent="0.3">
      <c r="A4207">
        <v>210300</v>
      </c>
      <c r="B4207" t="s">
        <v>84631</v>
      </c>
      <c r="C4207" t="s">
        <v>84632</v>
      </c>
      <c r="D4207" t="s">
        <v>84633</v>
      </c>
      <c r="E4207" t="s">
        <v>84634</v>
      </c>
      <c r="F4207" t="s">
        <v>84635</v>
      </c>
      <c r="G4207" t="s">
        <v>84636</v>
      </c>
      <c r="H4207" t="s">
        <v>84637</v>
      </c>
      <c r="I4207" t="s">
        <v>84638</v>
      </c>
      <c r="J4207" t="s">
        <v>84639</v>
      </c>
      <c r="K4207" t="s">
        <v>84640</v>
      </c>
      <c r="L4207" t="s">
        <v>84641</v>
      </c>
      <c r="M4207" t="s">
        <v>84642</v>
      </c>
      <c r="N4207" t="s">
        <v>84643</v>
      </c>
      <c r="O4207">
        <f>-532.709260443485 -76.0243262451535 -751.165492915666</f>
        <v>-1359.8990796043045</v>
      </c>
      <c r="P4207">
        <f>-564.931916404505 -103.61388185551 -437.498989892145</f>
        <v>-1106.04478815216</v>
      </c>
      <c r="Q4207" t="s">
        <v>84644</v>
      </c>
      <c r="R4207" t="s">
        <v>84645</v>
      </c>
      <c r="S4207" t="s">
        <v>84646</v>
      </c>
      <c r="T4207" t="s">
        <v>84647</v>
      </c>
      <c r="U4207" t="s">
        <v>84648</v>
      </c>
      <c r="V4207" t="s">
        <v>84649</v>
      </c>
      <c r="W4207" t="s">
        <v>84650</v>
      </c>
      <c r="X4207" t="s">
        <v>84651</v>
      </c>
      <c r="Y4207" t="s">
        <v>84652</v>
      </c>
    </row>
    <row r="4208" spans="1:25" x14ac:dyDescent="0.3">
      <c r="A4208">
        <v>210350</v>
      </c>
      <c r="B4208" t="s">
        <v>84653</v>
      </c>
      <c r="C4208" t="s">
        <v>84654</v>
      </c>
      <c r="D4208" t="s">
        <v>84655</v>
      </c>
      <c r="E4208" t="s">
        <v>84656</v>
      </c>
      <c r="F4208" t="s">
        <v>84657</v>
      </c>
      <c r="G4208" t="s">
        <v>84658</v>
      </c>
      <c r="H4208" t="s">
        <v>84659</v>
      </c>
      <c r="I4208" t="s">
        <v>84660</v>
      </c>
      <c r="J4208" t="s">
        <v>84661</v>
      </c>
      <c r="K4208" t="s">
        <v>84662</v>
      </c>
      <c r="L4208" t="s">
        <v>84663</v>
      </c>
      <c r="M4208" t="s">
        <v>84664</v>
      </c>
      <c r="N4208" t="s">
        <v>84665</v>
      </c>
      <c r="O4208">
        <f>-533.009697166132 -75.4847383988868 -750.809443559016</f>
        <v>-1359.3038791240349</v>
      </c>
      <c r="P4208">
        <f>-565.208092719719 -102.359874974514 -437.078512154349</f>
        <v>-1104.6464798485822</v>
      </c>
      <c r="Q4208" t="s">
        <v>84666</v>
      </c>
      <c r="R4208" t="s">
        <v>84667</v>
      </c>
      <c r="S4208" t="s">
        <v>84668</v>
      </c>
      <c r="T4208" t="s">
        <v>84669</v>
      </c>
      <c r="U4208" t="s">
        <v>84670</v>
      </c>
      <c r="V4208" t="s">
        <v>84671</v>
      </c>
      <c r="W4208" t="s">
        <v>84672</v>
      </c>
      <c r="X4208" t="s">
        <v>84673</v>
      </c>
      <c r="Y4208" t="s">
        <v>84674</v>
      </c>
    </row>
    <row r="4209" spans="1:25" x14ac:dyDescent="0.3">
      <c r="A4209">
        <v>210400</v>
      </c>
      <c r="B4209" t="s">
        <v>84675</v>
      </c>
      <c r="C4209" t="s">
        <v>84676</v>
      </c>
      <c r="D4209" t="s">
        <v>84677</v>
      </c>
      <c r="E4209" t="s">
        <v>84678</v>
      </c>
      <c r="F4209" t="s">
        <v>84679</v>
      </c>
      <c r="G4209" t="s">
        <v>84680</v>
      </c>
      <c r="H4209" t="s">
        <v>84681</v>
      </c>
      <c r="I4209" t="s">
        <v>84682</v>
      </c>
      <c r="J4209" t="s">
        <v>84683</v>
      </c>
      <c r="K4209" t="s">
        <v>84684</v>
      </c>
      <c r="L4209" t="s">
        <v>84685</v>
      </c>
      <c r="M4209" t="s">
        <v>84686</v>
      </c>
      <c r="N4209" t="s">
        <v>84687</v>
      </c>
      <c r="O4209">
        <f>-533.179494563855 -75.5289184672519 -750.521903943254</f>
        <v>-1359.2303169743609</v>
      </c>
      <c r="P4209">
        <f>-565.582478939507 -101.84721222818 -436.764550727869</f>
        <v>-1104.1942418955559</v>
      </c>
      <c r="Q4209" t="s">
        <v>84688</v>
      </c>
      <c r="R4209" t="s">
        <v>84689</v>
      </c>
      <c r="S4209" t="s">
        <v>84690</v>
      </c>
      <c r="T4209" t="s">
        <v>84691</v>
      </c>
      <c r="U4209" t="s">
        <v>84692</v>
      </c>
      <c r="V4209" t="s">
        <v>84693</v>
      </c>
      <c r="W4209" t="s">
        <v>84694</v>
      </c>
      <c r="X4209" t="s">
        <v>84695</v>
      </c>
      <c r="Y4209" t="s">
        <v>84696</v>
      </c>
    </row>
    <row r="4210" spans="1:25" x14ac:dyDescent="0.3">
      <c r="A4210">
        <v>210450</v>
      </c>
      <c r="B4210" t="s">
        <v>84697</v>
      </c>
      <c r="C4210" t="s">
        <v>84698</v>
      </c>
      <c r="D4210" t="s">
        <v>84699</v>
      </c>
      <c r="E4210" t="s">
        <v>84700</v>
      </c>
      <c r="F4210" t="s">
        <v>84701</v>
      </c>
      <c r="G4210" t="s">
        <v>84702</v>
      </c>
      <c r="H4210" t="s">
        <v>84703</v>
      </c>
      <c r="I4210" t="s">
        <v>84704</v>
      </c>
      <c r="J4210" t="s">
        <v>84705</v>
      </c>
      <c r="K4210" t="s">
        <v>84706</v>
      </c>
      <c r="L4210" t="s">
        <v>84707</v>
      </c>
      <c r="M4210" t="s">
        <v>84708</v>
      </c>
      <c r="N4210" t="s">
        <v>84709</v>
      </c>
      <c r="O4210">
        <f>-533.506761519235 -76.0219954809513 -749.910129046776</f>
        <v>-1359.4388860469624</v>
      </c>
      <c r="P4210">
        <f>-566.141325301519 -101.474621906912 -436.105459229817</f>
        <v>-1103.7214064382481</v>
      </c>
      <c r="Q4210" t="s">
        <v>84710</v>
      </c>
      <c r="R4210" t="s">
        <v>84711</v>
      </c>
      <c r="S4210" t="s">
        <v>84712</v>
      </c>
      <c r="T4210" t="s">
        <v>84713</v>
      </c>
      <c r="U4210" t="s">
        <v>84714</v>
      </c>
      <c r="V4210" t="s">
        <v>84715</v>
      </c>
      <c r="W4210" t="s">
        <v>84716</v>
      </c>
      <c r="X4210" t="s">
        <v>84717</v>
      </c>
      <c r="Y4210" t="s">
        <v>84718</v>
      </c>
    </row>
    <row r="4211" spans="1:25" x14ac:dyDescent="0.3">
      <c r="A4211">
        <v>210500</v>
      </c>
      <c r="B4211" t="s">
        <v>84719</v>
      </c>
      <c r="C4211" t="s">
        <v>84720</v>
      </c>
      <c r="D4211" t="s">
        <v>84721</v>
      </c>
      <c r="E4211" t="s">
        <v>84722</v>
      </c>
      <c r="F4211" t="s">
        <v>84723</v>
      </c>
      <c r="G4211" t="s">
        <v>84724</v>
      </c>
      <c r="H4211" t="s">
        <v>84725</v>
      </c>
      <c r="I4211" t="s">
        <v>84726</v>
      </c>
      <c r="J4211" t="s">
        <v>84727</v>
      </c>
      <c r="K4211" t="s">
        <v>84728</v>
      </c>
      <c r="L4211" t="s">
        <v>84729</v>
      </c>
      <c r="M4211" t="s">
        <v>84730</v>
      </c>
      <c r="N4211" t="s">
        <v>84731</v>
      </c>
      <c r="O4211">
        <f>-533.659805228178 -76.2794416810582 -749.537328984769</f>
        <v>-1359.4765758940052</v>
      </c>
      <c r="P4211">
        <f>-566.443948118115 -101.113345611779 -435.698673848059</f>
        <v>-1103.255967577953</v>
      </c>
      <c r="Q4211" t="s">
        <v>84732</v>
      </c>
      <c r="R4211" t="s">
        <v>84733</v>
      </c>
      <c r="S4211" t="s">
        <v>84734</v>
      </c>
      <c r="T4211" t="s">
        <v>84735</v>
      </c>
      <c r="U4211" t="s">
        <v>84736</v>
      </c>
      <c r="V4211" t="s">
        <v>84737</v>
      </c>
      <c r="W4211" t="s">
        <v>84738</v>
      </c>
      <c r="X4211" t="s">
        <v>84739</v>
      </c>
      <c r="Y4211" t="s">
        <v>84740</v>
      </c>
    </row>
    <row r="4212" spans="1:25" x14ac:dyDescent="0.3">
      <c r="A4212">
        <v>210550</v>
      </c>
      <c r="B4212" t="s">
        <v>84741</v>
      </c>
      <c r="C4212" t="s">
        <v>84742</v>
      </c>
      <c r="D4212" t="s">
        <v>84743</v>
      </c>
      <c r="E4212" t="s">
        <v>84744</v>
      </c>
      <c r="F4212" t="s">
        <v>84745</v>
      </c>
      <c r="G4212" t="s">
        <v>84746</v>
      </c>
      <c r="H4212" t="s">
        <v>84747</v>
      </c>
      <c r="I4212" t="s">
        <v>84748</v>
      </c>
      <c r="J4212" t="s">
        <v>84749</v>
      </c>
      <c r="K4212" t="s">
        <v>84750</v>
      </c>
      <c r="L4212" t="s">
        <v>84751</v>
      </c>
      <c r="M4212" t="s">
        <v>84752</v>
      </c>
      <c r="N4212" t="s">
        <v>84753</v>
      </c>
      <c r="O4212">
        <f>-534.245624281868 -77.0339898967179 -748.827786447187</f>
        <v>-1360.1074006257729</v>
      </c>
      <c r="P4212">
        <f>-567.22275422408 -100.697100376459 -434.918967102868</f>
        <v>-1102.8388217034071</v>
      </c>
      <c r="Q4212" t="s">
        <v>84754</v>
      </c>
      <c r="R4212" t="s">
        <v>84755</v>
      </c>
      <c r="S4212" t="s">
        <v>84756</v>
      </c>
      <c r="T4212" t="s">
        <v>84757</v>
      </c>
      <c r="U4212" t="s">
        <v>84758</v>
      </c>
      <c r="V4212" t="s">
        <v>84759</v>
      </c>
      <c r="W4212" t="s">
        <v>84760</v>
      </c>
      <c r="X4212" t="s">
        <v>84761</v>
      </c>
      <c r="Y4212" t="s">
        <v>84762</v>
      </c>
    </row>
    <row r="4213" spans="1:25" x14ac:dyDescent="0.3">
      <c r="A4213">
        <v>210600</v>
      </c>
      <c r="B4213" t="s">
        <v>84763</v>
      </c>
      <c r="C4213" t="s">
        <v>84764</v>
      </c>
      <c r="D4213" t="s">
        <v>84765</v>
      </c>
      <c r="E4213" t="s">
        <v>84766</v>
      </c>
      <c r="F4213" t="s">
        <v>84767</v>
      </c>
      <c r="G4213" t="s">
        <v>84768</v>
      </c>
      <c r="H4213" t="s">
        <v>84769</v>
      </c>
      <c r="I4213" t="s">
        <v>84770</v>
      </c>
      <c r="J4213" t="s">
        <v>84771</v>
      </c>
      <c r="K4213" t="s">
        <v>84772</v>
      </c>
      <c r="L4213" t="s">
        <v>84773</v>
      </c>
      <c r="M4213" t="s">
        <v>84774</v>
      </c>
      <c r="N4213" t="s">
        <v>84775</v>
      </c>
      <c r="O4213">
        <f>-534.625893569838 -77.1797896235706 -748.582094292128</f>
        <v>-1360.3877774855366</v>
      </c>
      <c r="P4213">
        <f>-567.777131091897 -100.37310934858 -434.6565450364</f>
        <v>-1102.8067854768769</v>
      </c>
      <c r="Q4213" t="s">
        <v>84776</v>
      </c>
      <c r="R4213" t="s">
        <v>84777</v>
      </c>
      <c r="S4213" t="s">
        <v>84778</v>
      </c>
      <c r="T4213" t="s">
        <v>84779</v>
      </c>
      <c r="U4213" t="s">
        <v>84780</v>
      </c>
      <c r="V4213" t="s">
        <v>84781</v>
      </c>
      <c r="W4213" t="s">
        <v>84782</v>
      </c>
      <c r="X4213" t="s">
        <v>84783</v>
      </c>
      <c r="Y4213" t="s">
        <v>84784</v>
      </c>
    </row>
    <row r="4214" spans="1:25" x14ac:dyDescent="0.3">
      <c r="A4214">
        <v>210650</v>
      </c>
      <c r="B4214" t="s">
        <v>84785</v>
      </c>
      <c r="C4214" t="s">
        <v>84786</v>
      </c>
      <c r="D4214" t="s">
        <v>84787</v>
      </c>
      <c r="E4214" t="s">
        <v>84788</v>
      </c>
      <c r="F4214" t="s">
        <v>84789</v>
      </c>
      <c r="G4214" t="s">
        <v>84790</v>
      </c>
      <c r="H4214" t="s">
        <v>84791</v>
      </c>
      <c r="I4214" t="s">
        <v>84792</v>
      </c>
      <c r="J4214" t="s">
        <v>84793</v>
      </c>
      <c r="K4214" t="s">
        <v>84794</v>
      </c>
      <c r="L4214" t="s">
        <v>84795</v>
      </c>
      <c r="M4214" t="s">
        <v>84796</v>
      </c>
      <c r="N4214" t="s">
        <v>84797</v>
      </c>
      <c r="O4214">
        <f>-535.404826648438 -77.5838273176578 -748.274015177862</f>
        <v>-1361.2626691439577</v>
      </c>
      <c r="P4214">
        <f>-568.992185615302 -100.128059576917 -434.347606241017</f>
        <v>-1103.4678514332361</v>
      </c>
      <c r="Q4214" t="s">
        <v>84798</v>
      </c>
      <c r="R4214" t="s">
        <v>84799</v>
      </c>
      <c r="S4214" t="s">
        <v>84800</v>
      </c>
      <c r="T4214" t="s">
        <v>84801</v>
      </c>
      <c r="U4214" t="s">
        <v>84802</v>
      </c>
      <c r="V4214" t="s">
        <v>84803</v>
      </c>
      <c r="W4214" t="s">
        <v>84804</v>
      </c>
      <c r="X4214" t="s">
        <v>84805</v>
      </c>
      <c r="Y4214" t="s">
        <v>84806</v>
      </c>
    </row>
    <row r="4215" spans="1:25" x14ac:dyDescent="0.3">
      <c r="A4215">
        <v>210700</v>
      </c>
      <c r="B4215" t="s">
        <v>84807</v>
      </c>
      <c r="C4215" t="s">
        <v>84808</v>
      </c>
      <c r="D4215" t="s">
        <v>84809</v>
      </c>
      <c r="E4215" t="s">
        <v>84810</v>
      </c>
      <c r="F4215" t="s">
        <v>84811</v>
      </c>
      <c r="G4215" t="s">
        <v>84812</v>
      </c>
      <c r="H4215" t="s">
        <v>84813</v>
      </c>
      <c r="I4215" t="s">
        <v>84814</v>
      </c>
      <c r="J4215" t="s">
        <v>84815</v>
      </c>
      <c r="K4215" t="s">
        <v>84816</v>
      </c>
      <c r="L4215" t="s">
        <v>84817</v>
      </c>
      <c r="M4215" t="s">
        <v>84818</v>
      </c>
      <c r="N4215" t="s">
        <v>84819</v>
      </c>
      <c r="O4215">
        <f>-535.938981049182 -77.9731835062179 -748.197095173314</f>
        <v>-1362.1092597287138</v>
      </c>
      <c r="P4215">
        <f>-569.813021980952 -100.227108279889 -434.280829288261</f>
        <v>-1104.3209595491021</v>
      </c>
      <c r="Q4215" t="s">
        <v>84820</v>
      </c>
      <c r="R4215" t="s">
        <v>84821</v>
      </c>
      <c r="S4215" t="s">
        <v>84822</v>
      </c>
      <c r="T4215" t="s">
        <v>84823</v>
      </c>
      <c r="U4215" t="s">
        <v>84824</v>
      </c>
      <c r="V4215" t="s">
        <v>84825</v>
      </c>
      <c r="W4215" t="s">
        <v>84826</v>
      </c>
      <c r="X4215" t="s">
        <v>84827</v>
      </c>
      <c r="Y4215" t="s">
        <v>84828</v>
      </c>
    </row>
    <row r="4216" spans="1:25" x14ac:dyDescent="0.3">
      <c r="A4216">
        <v>210750</v>
      </c>
      <c r="B4216" t="s">
        <v>84829</v>
      </c>
      <c r="C4216" t="s">
        <v>84830</v>
      </c>
      <c r="D4216" t="s">
        <v>84831</v>
      </c>
      <c r="E4216" t="s">
        <v>84832</v>
      </c>
      <c r="F4216" t="s">
        <v>84833</v>
      </c>
      <c r="G4216" t="s">
        <v>84834</v>
      </c>
      <c r="H4216" t="s">
        <v>84835</v>
      </c>
      <c r="I4216" t="s">
        <v>84836</v>
      </c>
      <c r="J4216" t="s">
        <v>84837</v>
      </c>
      <c r="K4216" t="s">
        <v>84838</v>
      </c>
      <c r="L4216" t="s">
        <v>84839</v>
      </c>
      <c r="M4216" t="s">
        <v>84840</v>
      </c>
      <c r="N4216" t="s">
        <v>84841</v>
      </c>
      <c r="O4216">
        <f>-536.667324381007 -78.7910454537728 -748.039516933853</f>
        <v>-1363.4978867686327</v>
      </c>
      <c r="P4216">
        <f>-570.749647954974 -100.574933401 -434.112663852701</f>
        <v>-1105.437245208675</v>
      </c>
      <c r="Q4216" t="s">
        <v>84842</v>
      </c>
      <c r="R4216" t="s">
        <v>84843</v>
      </c>
      <c r="S4216" t="s">
        <v>84844</v>
      </c>
      <c r="T4216" t="s">
        <v>84845</v>
      </c>
      <c r="U4216" t="s">
        <v>84846</v>
      </c>
      <c r="V4216" t="s">
        <v>84847</v>
      </c>
      <c r="W4216" t="s">
        <v>84848</v>
      </c>
      <c r="X4216" t="s">
        <v>84849</v>
      </c>
      <c r="Y4216" t="s">
        <v>84850</v>
      </c>
    </row>
    <row r="4217" spans="1:25" x14ac:dyDescent="0.3">
      <c r="A4217">
        <v>210800</v>
      </c>
      <c r="B4217" t="s">
        <v>84851</v>
      </c>
      <c r="C4217" t="s">
        <v>84852</v>
      </c>
      <c r="D4217" t="s">
        <v>84853</v>
      </c>
      <c r="E4217" t="s">
        <v>84854</v>
      </c>
      <c r="F4217" t="s">
        <v>84855</v>
      </c>
      <c r="G4217" t="s">
        <v>84856</v>
      </c>
      <c r="H4217" t="s">
        <v>84857</v>
      </c>
      <c r="I4217" t="s">
        <v>84858</v>
      </c>
      <c r="J4217" t="s">
        <v>84859</v>
      </c>
      <c r="K4217" t="s">
        <v>84860</v>
      </c>
      <c r="L4217" t="s">
        <v>84861</v>
      </c>
      <c r="M4217" t="s">
        <v>84862</v>
      </c>
      <c r="N4217" t="s">
        <v>84863</v>
      </c>
      <c r="O4217">
        <f>-537.075801862538 -79.0950165427249 -747.919956005097</f>
        <v>-1364.0907744103599</v>
      </c>
      <c r="P4217">
        <f>-571.269046348745 -100.731869976151 -433.995015770072</f>
        <v>-1105.9959320949679</v>
      </c>
      <c r="Q4217" t="s">
        <v>84864</v>
      </c>
      <c r="R4217" t="s">
        <v>84865</v>
      </c>
      <c r="S4217" t="s">
        <v>84866</v>
      </c>
      <c r="T4217" t="s">
        <v>84867</v>
      </c>
      <c r="U4217" t="s">
        <v>84868</v>
      </c>
      <c r="V4217" t="s">
        <v>84869</v>
      </c>
      <c r="W4217" t="s">
        <v>84870</v>
      </c>
      <c r="X4217" t="s">
        <v>84871</v>
      </c>
      <c r="Y4217" t="s">
        <v>84872</v>
      </c>
    </row>
    <row r="4218" spans="1:25" x14ac:dyDescent="0.3">
      <c r="A4218">
        <v>210850</v>
      </c>
      <c r="B4218" t="s">
        <v>84873</v>
      </c>
      <c r="C4218" t="s">
        <v>84874</v>
      </c>
      <c r="D4218" t="s">
        <v>84875</v>
      </c>
      <c r="E4218" t="s">
        <v>84876</v>
      </c>
      <c r="F4218" t="s">
        <v>84877</v>
      </c>
      <c r="G4218" t="s">
        <v>84878</v>
      </c>
      <c r="H4218" t="s">
        <v>84879</v>
      </c>
      <c r="I4218" t="s">
        <v>84880</v>
      </c>
      <c r="J4218" t="s">
        <v>84881</v>
      </c>
      <c r="K4218" t="s">
        <v>84882</v>
      </c>
      <c r="L4218" t="s">
        <v>84883</v>
      </c>
      <c r="M4218" t="s">
        <v>84884</v>
      </c>
      <c r="N4218" t="s">
        <v>84885</v>
      </c>
      <c r="O4218">
        <f>-537.990187461545 -79.9948142146353 -747.752166219717</f>
        <v>-1365.7371678958973</v>
      </c>
      <c r="P4218">
        <f>-572.138934897826 -101.328387383406 -433.801729475394</f>
        <v>-1107.2690517566259</v>
      </c>
      <c r="Q4218" t="s">
        <v>84886</v>
      </c>
      <c r="R4218" t="s">
        <v>84887</v>
      </c>
      <c r="S4218" t="s">
        <v>84888</v>
      </c>
      <c r="T4218" t="s">
        <v>84889</v>
      </c>
      <c r="U4218" t="s">
        <v>84890</v>
      </c>
      <c r="V4218" t="s">
        <v>84891</v>
      </c>
      <c r="W4218" t="s">
        <v>84892</v>
      </c>
      <c r="X4218" t="s">
        <v>84893</v>
      </c>
      <c r="Y4218" t="s">
        <v>84894</v>
      </c>
    </row>
    <row r="4219" spans="1:25" x14ac:dyDescent="0.3">
      <c r="A4219">
        <v>210900</v>
      </c>
      <c r="B4219" t="s">
        <v>84895</v>
      </c>
      <c r="C4219" t="s">
        <v>84896</v>
      </c>
      <c r="D4219" t="s">
        <v>84897</v>
      </c>
      <c r="E4219" t="s">
        <v>84898</v>
      </c>
      <c r="F4219" t="s">
        <v>84899</v>
      </c>
      <c r="G4219" t="s">
        <v>84900</v>
      </c>
      <c r="H4219" t="s">
        <v>84901</v>
      </c>
      <c r="I4219" t="s">
        <v>84902</v>
      </c>
      <c r="J4219" t="s">
        <v>84903</v>
      </c>
      <c r="K4219" t="s">
        <v>84904</v>
      </c>
      <c r="L4219" t="s">
        <v>84905</v>
      </c>
      <c r="M4219" t="s">
        <v>84906</v>
      </c>
      <c r="N4219" t="s">
        <v>84907</v>
      </c>
      <c r="O4219">
        <f>-538.299311472512 -80.3591590097273 -747.716953193231</f>
        <v>-1366.3754236754703</v>
      </c>
      <c r="P4219">
        <f>-572.43206943188 -101.609005982443 -433.759100246978</f>
        <v>-1107.800175661301</v>
      </c>
      <c r="Q4219" t="s">
        <v>84908</v>
      </c>
      <c r="R4219" t="s">
        <v>84909</v>
      </c>
      <c r="S4219" t="s">
        <v>84910</v>
      </c>
      <c r="T4219" t="s">
        <v>84911</v>
      </c>
      <c r="U4219" t="s">
        <v>84912</v>
      </c>
      <c r="V4219" t="s">
        <v>84913</v>
      </c>
      <c r="W4219" t="s">
        <v>84914</v>
      </c>
      <c r="X4219" t="s">
        <v>84915</v>
      </c>
      <c r="Y4219" t="s">
        <v>84916</v>
      </c>
    </row>
    <row r="4220" spans="1:25" x14ac:dyDescent="0.3">
      <c r="A4220">
        <v>210950</v>
      </c>
      <c r="B4220" t="s">
        <v>84917</v>
      </c>
      <c r="C4220" t="s">
        <v>84918</v>
      </c>
      <c r="D4220" t="s">
        <v>84919</v>
      </c>
      <c r="E4220" t="s">
        <v>84920</v>
      </c>
      <c r="F4220" t="s">
        <v>84921</v>
      </c>
      <c r="G4220" t="s">
        <v>84922</v>
      </c>
      <c r="H4220" t="s">
        <v>84923</v>
      </c>
      <c r="I4220" t="s">
        <v>84924</v>
      </c>
      <c r="J4220" t="s">
        <v>84925</v>
      </c>
      <c r="K4220" t="s">
        <v>84926</v>
      </c>
      <c r="L4220" t="s">
        <v>84927</v>
      </c>
      <c r="M4220" t="s">
        <v>84928</v>
      </c>
      <c r="N4220" t="s">
        <v>84929</v>
      </c>
      <c r="O4220">
        <f>-538.673628720465 -81.0841011941039 -747.720631269701</f>
        <v>-1367.4783611842699</v>
      </c>
      <c r="P4220">
        <f>-572.816309431942 -102.237658646059 -433.757207005665</f>
        <v>-1108.8111750836661</v>
      </c>
      <c r="Q4220" t="s">
        <v>84930</v>
      </c>
      <c r="R4220" t="s">
        <v>84931</v>
      </c>
      <c r="S4220" t="s">
        <v>84932</v>
      </c>
      <c r="T4220" t="s">
        <v>84933</v>
      </c>
      <c r="U4220" t="s">
        <v>84934</v>
      </c>
      <c r="V4220" t="s">
        <v>84935</v>
      </c>
      <c r="W4220" t="s">
        <v>84936</v>
      </c>
      <c r="X4220" t="s">
        <v>84937</v>
      </c>
      <c r="Y4220" t="s">
        <v>84938</v>
      </c>
    </row>
    <row r="4221" spans="1:25" x14ac:dyDescent="0.3">
      <c r="A4221">
        <v>211000</v>
      </c>
      <c r="B4221" t="s">
        <v>84939</v>
      </c>
      <c r="C4221" t="s">
        <v>84940</v>
      </c>
      <c r="D4221" t="s">
        <v>84941</v>
      </c>
      <c r="E4221" t="s">
        <v>84942</v>
      </c>
      <c r="F4221" t="s">
        <v>84943</v>
      </c>
      <c r="G4221" t="s">
        <v>84944</v>
      </c>
      <c r="H4221" t="s">
        <v>84945</v>
      </c>
      <c r="I4221" t="s">
        <v>84946</v>
      </c>
      <c r="J4221" t="s">
        <v>84947</v>
      </c>
      <c r="K4221" t="s">
        <v>84948</v>
      </c>
      <c r="L4221" t="s">
        <v>84949</v>
      </c>
      <c r="M4221" t="s">
        <v>84950</v>
      </c>
      <c r="N4221" t="s">
        <v>84951</v>
      </c>
      <c r="O4221">
        <f>-539.407489470148 -82.1869701783072 -747.607951761185</f>
        <v>-1369.2024114096403</v>
      </c>
      <c r="P4221">
        <f>-573.459094898091 -103.257215732533 -433.629095104634</f>
        <v>-1110.3454057352581</v>
      </c>
      <c r="Q4221" t="s">
        <v>84952</v>
      </c>
      <c r="R4221" t="s">
        <v>84953</v>
      </c>
      <c r="S4221" t="s">
        <v>84954</v>
      </c>
      <c r="T4221" t="s">
        <v>84955</v>
      </c>
      <c r="U4221" t="s">
        <v>84956</v>
      </c>
      <c r="V4221" t="s">
        <v>84957</v>
      </c>
      <c r="W4221" t="s">
        <v>84958</v>
      </c>
      <c r="X4221" t="s">
        <v>84959</v>
      </c>
      <c r="Y4221" t="s">
        <v>84960</v>
      </c>
    </row>
    <row r="4222" spans="1:25" x14ac:dyDescent="0.3">
      <c r="A4222">
        <v>211050</v>
      </c>
      <c r="B4222" t="s">
        <v>84961</v>
      </c>
      <c r="C4222" t="s">
        <v>84962</v>
      </c>
      <c r="D4222" t="s">
        <v>84963</v>
      </c>
      <c r="E4222" t="s">
        <v>84964</v>
      </c>
      <c r="F4222" t="s">
        <v>84965</v>
      </c>
      <c r="G4222" t="s">
        <v>84966</v>
      </c>
      <c r="H4222" t="s">
        <v>84967</v>
      </c>
      <c r="I4222" t="s">
        <v>84968</v>
      </c>
      <c r="J4222" t="s">
        <v>84969</v>
      </c>
      <c r="K4222" t="s">
        <v>84970</v>
      </c>
      <c r="L4222" t="s">
        <v>84971</v>
      </c>
      <c r="M4222" t="s">
        <v>84972</v>
      </c>
      <c r="N4222" t="s">
        <v>84973</v>
      </c>
      <c r="O4222">
        <f>-540.211139774114 -83.1487596634097 -747.438852549777</f>
        <v>-1370.7987519873009</v>
      </c>
      <c r="P4222">
        <f>-574.070966001936 -104.039565317086 -433.427336802717</f>
        <v>-1111.5378681217389</v>
      </c>
      <c r="Q4222" t="s">
        <v>84974</v>
      </c>
      <c r="R4222" t="s">
        <v>84975</v>
      </c>
      <c r="S4222" t="s">
        <v>84976</v>
      </c>
      <c r="T4222" t="s">
        <v>84977</v>
      </c>
      <c r="U4222" t="s">
        <v>84978</v>
      </c>
      <c r="V4222" t="s">
        <v>84979</v>
      </c>
      <c r="W4222" t="s">
        <v>84980</v>
      </c>
      <c r="X4222" t="s">
        <v>84981</v>
      </c>
      <c r="Y4222" t="s">
        <v>84982</v>
      </c>
    </row>
    <row r="4223" spans="1:25" x14ac:dyDescent="0.3">
      <c r="A4223">
        <v>211100</v>
      </c>
      <c r="B4223" t="s">
        <v>84983</v>
      </c>
      <c r="C4223" t="s">
        <v>84984</v>
      </c>
      <c r="D4223" t="s">
        <v>84985</v>
      </c>
      <c r="E4223" t="s">
        <v>84986</v>
      </c>
      <c r="F4223" t="s">
        <v>84987</v>
      </c>
      <c r="G4223" t="s">
        <v>84988</v>
      </c>
      <c r="H4223" t="s">
        <v>84989</v>
      </c>
      <c r="I4223" t="s">
        <v>84990</v>
      </c>
      <c r="J4223" t="s">
        <v>84991</v>
      </c>
      <c r="K4223" t="s">
        <v>84992</v>
      </c>
      <c r="L4223" t="s">
        <v>84993</v>
      </c>
      <c r="M4223" t="s">
        <v>84994</v>
      </c>
      <c r="N4223" t="s">
        <v>84995</v>
      </c>
      <c r="O4223">
        <f>-540.714801891844 -83.6534766136202 -747.360303991644</f>
        <v>-1371.7285824971082</v>
      </c>
      <c r="P4223">
        <f>-574.477120259366 -104.461832908549 -433.332704297652</f>
        <v>-1112.2716574655669</v>
      </c>
      <c r="Q4223" t="s">
        <v>84996</v>
      </c>
      <c r="R4223" t="s">
        <v>84997</v>
      </c>
      <c r="S4223" t="s">
        <v>84998</v>
      </c>
      <c r="T4223" t="s">
        <v>84999</v>
      </c>
      <c r="U4223" t="s">
        <v>85000</v>
      </c>
      <c r="V4223" t="s">
        <v>85001</v>
      </c>
      <c r="W4223" t="s">
        <v>85002</v>
      </c>
      <c r="X4223" t="s">
        <v>85003</v>
      </c>
      <c r="Y4223" t="s">
        <v>85004</v>
      </c>
    </row>
    <row r="4224" spans="1:25" x14ac:dyDescent="0.3">
      <c r="A4224">
        <v>211150</v>
      </c>
      <c r="B4224" t="s">
        <v>85005</v>
      </c>
      <c r="C4224" t="s">
        <v>85006</v>
      </c>
      <c r="D4224" t="s">
        <v>85007</v>
      </c>
      <c r="E4224" t="s">
        <v>85008</v>
      </c>
      <c r="F4224" t="s">
        <v>85009</v>
      </c>
      <c r="G4224" t="s">
        <v>85010</v>
      </c>
      <c r="H4224" t="s">
        <v>85011</v>
      </c>
      <c r="I4224" t="s">
        <v>85012</v>
      </c>
      <c r="J4224" t="s">
        <v>85013</v>
      </c>
      <c r="K4224" t="s">
        <v>85014</v>
      </c>
      <c r="L4224" t="s">
        <v>85015</v>
      </c>
      <c r="M4224" t="s">
        <v>85016</v>
      </c>
      <c r="N4224" t="s">
        <v>85017</v>
      </c>
      <c r="O4224">
        <f>-541.391817060162 -84.7839619215938 -747.232319995627</f>
        <v>-1373.4080989773829</v>
      </c>
      <c r="P4224">
        <f>-575.038812759732 -105.25911571835 -433.17057751028</f>
        <v>-1113.468505988362</v>
      </c>
      <c r="Q4224" t="s">
        <v>85018</v>
      </c>
      <c r="R4224" t="s">
        <v>85019</v>
      </c>
      <c r="S4224" t="s">
        <v>85020</v>
      </c>
      <c r="T4224" t="s">
        <v>85021</v>
      </c>
      <c r="U4224" t="s">
        <v>85022</v>
      </c>
      <c r="V4224" t="s">
        <v>85023</v>
      </c>
      <c r="W4224" t="s">
        <v>85024</v>
      </c>
      <c r="X4224" t="s">
        <v>85025</v>
      </c>
      <c r="Y4224" t="s">
        <v>85026</v>
      </c>
    </row>
    <row r="4225" spans="1:25" x14ac:dyDescent="0.3">
      <c r="A4225">
        <v>211200</v>
      </c>
      <c r="B4225" t="s">
        <v>85027</v>
      </c>
      <c r="C4225" t="s">
        <v>85028</v>
      </c>
      <c r="D4225" t="s">
        <v>85029</v>
      </c>
      <c r="E4225" t="s">
        <v>85030</v>
      </c>
      <c r="F4225" t="s">
        <v>85031</v>
      </c>
      <c r="G4225" t="s">
        <v>85032</v>
      </c>
      <c r="H4225" t="s">
        <v>85033</v>
      </c>
      <c r="I4225" t="s">
        <v>85034</v>
      </c>
      <c r="J4225" t="s">
        <v>85035</v>
      </c>
      <c r="K4225" t="s">
        <v>85036</v>
      </c>
      <c r="L4225" t="s">
        <v>85037</v>
      </c>
      <c r="M4225" t="s">
        <v>85038</v>
      </c>
      <c r="N4225" t="s">
        <v>85039</v>
      </c>
      <c r="O4225">
        <f>-541.794811690335 -84.9707012799457 -747.146724369661</f>
        <v>-1373.9122373399418</v>
      </c>
      <c r="P4225">
        <f>-575.460488088268 -105.354137165591 -433.08094783765</f>
        <v>-1113.895573091509</v>
      </c>
      <c r="Q4225" t="s">
        <v>85040</v>
      </c>
      <c r="R4225" t="s">
        <v>85041</v>
      </c>
      <c r="S4225" t="s">
        <v>85042</v>
      </c>
      <c r="T4225" t="s">
        <v>85043</v>
      </c>
      <c r="U4225" t="s">
        <v>85044</v>
      </c>
      <c r="V4225" t="s">
        <v>85045</v>
      </c>
      <c r="W4225" t="s">
        <v>85046</v>
      </c>
      <c r="X4225" t="s">
        <v>85047</v>
      </c>
      <c r="Y4225" t="s">
        <v>85048</v>
      </c>
    </row>
    <row r="4226" spans="1:25" x14ac:dyDescent="0.3">
      <c r="A4226">
        <v>211250</v>
      </c>
      <c r="B4226" t="s">
        <v>85049</v>
      </c>
      <c r="C4226" t="s">
        <v>85050</v>
      </c>
      <c r="D4226" t="s">
        <v>85051</v>
      </c>
      <c r="E4226" t="s">
        <v>85052</v>
      </c>
      <c r="F4226" t="s">
        <v>85053</v>
      </c>
      <c r="G4226" t="s">
        <v>85054</v>
      </c>
      <c r="H4226" t="s">
        <v>85055</v>
      </c>
      <c r="I4226" t="s">
        <v>85056</v>
      </c>
      <c r="J4226" t="s">
        <v>85057</v>
      </c>
      <c r="K4226" t="s">
        <v>85058</v>
      </c>
      <c r="L4226" t="s">
        <v>85059</v>
      </c>
      <c r="M4226" t="s">
        <v>85060</v>
      </c>
      <c r="N4226" t="s">
        <v>85061</v>
      </c>
      <c r="O4226">
        <f>-542.388865519039 -85.6498084768636 -746.990139340613</f>
        <v>-1375.0288133365157</v>
      </c>
      <c r="P4226">
        <f>-576.027587714529 -105.786106980099 -432.905557599409</f>
        <v>-1114.719252294037</v>
      </c>
      <c r="Q4226" t="s">
        <v>85062</v>
      </c>
      <c r="R4226" t="s">
        <v>85063</v>
      </c>
      <c r="S4226" t="s">
        <v>85064</v>
      </c>
      <c r="T4226" t="s">
        <v>85065</v>
      </c>
      <c r="U4226" t="s">
        <v>85066</v>
      </c>
      <c r="V4226" t="s">
        <v>85067</v>
      </c>
      <c r="W4226" t="s">
        <v>85068</v>
      </c>
      <c r="X4226" t="s">
        <v>85069</v>
      </c>
      <c r="Y4226" t="s">
        <v>85070</v>
      </c>
    </row>
    <row r="4227" spans="1:25" x14ac:dyDescent="0.3">
      <c r="A4227">
        <v>211300</v>
      </c>
      <c r="B4227" t="s">
        <v>85071</v>
      </c>
      <c r="C4227" t="s">
        <v>85072</v>
      </c>
      <c r="D4227" t="s">
        <v>85073</v>
      </c>
      <c r="E4227" t="s">
        <v>85074</v>
      </c>
      <c r="F4227" t="s">
        <v>85075</v>
      </c>
      <c r="G4227" t="s">
        <v>85076</v>
      </c>
      <c r="H4227" t="s">
        <v>85077</v>
      </c>
      <c r="I4227" t="s">
        <v>85078</v>
      </c>
      <c r="J4227" t="s">
        <v>85079</v>
      </c>
      <c r="K4227" t="s">
        <v>85080</v>
      </c>
      <c r="L4227" t="s">
        <v>85081</v>
      </c>
      <c r="M4227" t="s">
        <v>85082</v>
      </c>
      <c r="N4227" t="s">
        <v>85083</v>
      </c>
      <c r="O4227">
        <f>-542.905502676815 -85.8673293846214 -746.875629448081</f>
        <v>-1375.6484615095173</v>
      </c>
      <c r="P4227">
        <f>-576.410082218522 -105.938277163315 -432.772527563752</f>
        <v>-1115.1208869455891</v>
      </c>
      <c r="Q4227" t="s">
        <v>85084</v>
      </c>
      <c r="R4227" t="s">
        <v>85085</v>
      </c>
      <c r="S4227" t="s">
        <v>85086</v>
      </c>
      <c r="T4227" t="s">
        <v>85087</v>
      </c>
      <c r="U4227" t="s">
        <v>85088</v>
      </c>
      <c r="V4227" t="s">
        <v>85089</v>
      </c>
      <c r="W4227" t="s">
        <v>85090</v>
      </c>
      <c r="X4227" t="s">
        <v>85091</v>
      </c>
      <c r="Y4227" t="s">
        <v>85092</v>
      </c>
    </row>
    <row r="4228" spans="1:25" x14ac:dyDescent="0.3">
      <c r="A4228">
        <v>211350</v>
      </c>
      <c r="B4228" t="s">
        <v>85093</v>
      </c>
      <c r="C4228" t="s">
        <v>85094</v>
      </c>
      <c r="D4228" t="s">
        <v>85095</v>
      </c>
      <c r="E4228" t="s">
        <v>85096</v>
      </c>
      <c r="F4228" t="s">
        <v>85097</v>
      </c>
      <c r="G4228" t="s">
        <v>85098</v>
      </c>
      <c r="H4228" t="s">
        <v>85099</v>
      </c>
      <c r="I4228" t="s">
        <v>85100</v>
      </c>
      <c r="J4228" t="s">
        <v>85101</v>
      </c>
      <c r="K4228" t="s">
        <v>85102</v>
      </c>
      <c r="L4228" t="s">
        <v>85103</v>
      </c>
      <c r="M4228" t="s">
        <v>85104</v>
      </c>
      <c r="N4228" t="s">
        <v>85105</v>
      </c>
      <c r="O4228">
        <f>-543.479479683175 -86.4266059230777 -746.715340414156</f>
        <v>-1376.6214260204088</v>
      </c>
      <c r="P4228">
        <f>-576.705105181763 -106.244846933872 -432.566575701047</f>
        <v>-1115.5165278166819</v>
      </c>
      <c r="Q4228" t="s">
        <v>85106</v>
      </c>
      <c r="R4228" t="s">
        <v>85107</v>
      </c>
      <c r="S4228" t="s">
        <v>85108</v>
      </c>
      <c r="T4228" t="s">
        <v>85109</v>
      </c>
      <c r="U4228" t="s">
        <v>85110</v>
      </c>
      <c r="V4228" t="s">
        <v>85111</v>
      </c>
      <c r="W4228" t="s">
        <v>85112</v>
      </c>
      <c r="X4228" t="s">
        <v>85113</v>
      </c>
      <c r="Y4228" t="s">
        <v>85114</v>
      </c>
    </row>
    <row r="4229" spans="1:25" x14ac:dyDescent="0.3">
      <c r="A4229">
        <v>211400</v>
      </c>
      <c r="B4229" t="s">
        <v>85115</v>
      </c>
      <c r="C4229" t="s">
        <v>85116</v>
      </c>
      <c r="D4229" t="s">
        <v>85117</v>
      </c>
      <c r="E4229" t="s">
        <v>85118</v>
      </c>
      <c r="F4229" t="s">
        <v>85119</v>
      </c>
      <c r="G4229" t="s">
        <v>85120</v>
      </c>
      <c r="H4229" t="s">
        <v>85121</v>
      </c>
      <c r="I4229" t="s">
        <v>85122</v>
      </c>
      <c r="J4229" t="s">
        <v>85123</v>
      </c>
      <c r="K4229" t="s">
        <v>85124</v>
      </c>
      <c r="L4229" t="s">
        <v>85125</v>
      </c>
      <c r="M4229" t="s">
        <v>85126</v>
      </c>
      <c r="N4229" t="s">
        <v>85127</v>
      </c>
      <c r="O4229">
        <f>-543.867484631187 -86.8507549753451 -746.652452355863</f>
        <v>-1377.3706919623951</v>
      </c>
      <c r="P4229">
        <f>-576.92095040459 -106.630211870064 -432.483037194152</f>
        <v>-1116.034199468806</v>
      </c>
      <c r="Q4229" t="s">
        <v>85128</v>
      </c>
      <c r="R4229" t="s">
        <v>85129</v>
      </c>
      <c r="S4229" t="s">
        <v>85130</v>
      </c>
      <c r="T4229" t="s">
        <v>85131</v>
      </c>
      <c r="U4229" t="s">
        <v>85132</v>
      </c>
      <c r="V4229" t="s">
        <v>85133</v>
      </c>
      <c r="W4229" t="s">
        <v>85134</v>
      </c>
      <c r="X4229" t="s">
        <v>85135</v>
      </c>
      <c r="Y4229" t="s">
        <v>85136</v>
      </c>
    </row>
    <row r="4230" spans="1:25" x14ac:dyDescent="0.3">
      <c r="A4230">
        <v>211450</v>
      </c>
      <c r="B4230" t="s">
        <v>85137</v>
      </c>
      <c r="C4230" t="s">
        <v>85138</v>
      </c>
      <c r="D4230" t="s">
        <v>85139</v>
      </c>
      <c r="E4230" t="s">
        <v>85140</v>
      </c>
      <c r="F4230" t="s">
        <v>85141</v>
      </c>
      <c r="G4230" t="s">
        <v>85142</v>
      </c>
      <c r="H4230" t="s">
        <v>85143</v>
      </c>
      <c r="I4230" t="s">
        <v>85144</v>
      </c>
      <c r="J4230" t="s">
        <v>85145</v>
      </c>
      <c r="K4230" t="s">
        <v>85146</v>
      </c>
      <c r="L4230" t="s">
        <v>85147</v>
      </c>
      <c r="M4230" t="s">
        <v>85148</v>
      </c>
      <c r="N4230" t="s">
        <v>85149</v>
      </c>
      <c r="O4230">
        <f>-544.979152359858 -87.6018532869212 -746.616042760499</f>
        <v>-1379.1970484072781</v>
      </c>
      <c r="P4230">
        <f>-577.664506100094 -107.410756796408 -432.409899025163</f>
        <v>-1117.4851619216649</v>
      </c>
      <c r="Q4230" t="s">
        <v>85150</v>
      </c>
      <c r="R4230" t="s">
        <v>85151</v>
      </c>
      <c r="S4230" t="s">
        <v>85152</v>
      </c>
      <c r="T4230" t="s">
        <v>85153</v>
      </c>
      <c r="U4230" t="s">
        <v>85154</v>
      </c>
      <c r="V4230" t="s">
        <v>85155</v>
      </c>
      <c r="W4230" t="s">
        <v>85156</v>
      </c>
      <c r="X4230" t="s">
        <v>85157</v>
      </c>
      <c r="Y4230" t="s">
        <v>85158</v>
      </c>
    </row>
    <row r="4231" spans="1:25" x14ac:dyDescent="0.3">
      <c r="A4231">
        <v>211500</v>
      </c>
      <c r="B4231" t="s">
        <v>85159</v>
      </c>
      <c r="C4231" t="s">
        <v>85160</v>
      </c>
      <c r="D4231" t="s">
        <v>85161</v>
      </c>
      <c r="E4231" t="s">
        <v>85162</v>
      </c>
      <c r="F4231" t="s">
        <v>85163</v>
      </c>
      <c r="G4231" t="s">
        <v>85164</v>
      </c>
      <c r="H4231" t="s">
        <v>85165</v>
      </c>
      <c r="I4231" t="s">
        <v>85166</v>
      </c>
      <c r="J4231" t="s">
        <v>85167</v>
      </c>
      <c r="K4231" t="s">
        <v>85168</v>
      </c>
      <c r="L4231" t="s">
        <v>85169</v>
      </c>
      <c r="M4231" t="s">
        <v>85170</v>
      </c>
      <c r="N4231" t="s">
        <v>85171</v>
      </c>
      <c r="O4231">
        <f>-545.613865344469 -87.9043770223868 -746.620811949619</f>
        <v>-1380.1390543164748</v>
      </c>
      <c r="P4231">
        <f>-578.097441023859 -107.758990447319 -432.396655452794</f>
        <v>-1118.253086923972</v>
      </c>
      <c r="Q4231" t="s">
        <v>85172</v>
      </c>
      <c r="R4231" t="s">
        <v>85173</v>
      </c>
      <c r="S4231" t="s">
        <v>85174</v>
      </c>
      <c r="T4231" t="s">
        <v>85175</v>
      </c>
      <c r="U4231" t="s">
        <v>85176</v>
      </c>
      <c r="V4231" t="s">
        <v>85177</v>
      </c>
      <c r="W4231" t="s">
        <v>85178</v>
      </c>
      <c r="X4231" t="s">
        <v>85179</v>
      </c>
      <c r="Y4231" t="s">
        <v>85180</v>
      </c>
    </row>
    <row r="4232" spans="1:25" x14ac:dyDescent="0.3">
      <c r="A4232">
        <v>211550</v>
      </c>
      <c r="B4232" t="s">
        <v>85181</v>
      </c>
      <c r="C4232" t="s">
        <v>85182</v>
      </c>
      <c r="D4232" t="s">
        <v>85183</v>
      </c>
      <c r="E4232" t="s">
        <v>85184</v>
      </c>
      <c r="F4232" t="s">
        <v>85185</v>
      </c>
      <c r="G4232" t="s">
        <v>85186</v>
      </c>
      <c r="H4232" t="s">
        <v>85187</v>
      </c>
      <c r="I4232" t="s">
        <v>85188</v>
      </c>
      <c r="J4232" t="s">
        <v>85189</v>
      </c>
      <c r="K4232" t="s">
        <v>85190</v>
      </c>
      <c r="L4232" t="s">
        <v>85191</v>
      </c>
      <c r="M4232" t="s">
        <v>85192</v>
      </c>
      <c r="N4232" t="s">
        <v>85193</v>
      </c>
      <c r="O4232">
        <f>-546.743921105203 -88.5531341853167 -746.693899805074</f>
        <v>-1381.9909550955936</v>
      </c>
      <c r="P4232">
        <f>-578.851238137851 -108.544526708835 -432.439720580543</f>
        <v>-1119.8354854272291</v>
      </c>
      <c r="Q4232">
        <f>-343.664990363678 -0.311463046677282 -457.240666876556</f>
        <v>-801.21712028691127</v>
      </c>
      <c r="R4232" t="s">
        <v>85194</v>
      </c>
      <c r="S4232" t="s">
        <v>85195</v>
      </c>
      <c r="T4232" t="s">
        <v>85196</v>
      </c>
      <c r="U4232" t="s">
        <v>85197</v>
      </c>
      <c r="V4232" t="s">
        <v>85198</v>
      </c>
      <c r="W4232" t="s">
        <v>85199</v>
      </c>
      <c r="X4232" t="s">
        <v>85200</v>
      </c>
      <c r="Y4232" t="s">
        <v>85201</v>
      </c>
    </row>
    <row r="4233" spans="1:25" x14ac:dyDescent="0.3">
      <c r="A4233">
        <v>211600</v>
      </c>
      <c r="B4233" t="s">
        <v>85202</v>
      </c>
      <c r="C4233" t="s">
        <v>85203</v>
      </c>
      <c r="D4233" t="s">
        <v>85204</v>
      </c>
      <c r="E4233" t="s">
        <v>85205</v>
      </c>
      <c r="F4233" t="s">
        <v>85206</v>
      </c>
      <c r="G4233" t="s">
        <v>85207</v>
      </c>
      <c r="H4233" t="s">
        <v>85208</v>
      </c>
      <c r="I4233" t="s">
        <v>85209</v>
      </c>
      <c r="J4233" t="s">
        <v>85210</v>
      </c>
      <c r="K4233" t="s">
        <v>85211</v>
      </c>
      <c r="L4233" t="s">
        <v>85212</v>
      </c>
      <c r="M4233" t="s">
        <v>85213</v>
      </c>
      <c r="N4233" t="s">
        <v>85214</v>
      </c>
      <c r="O4233">
        <f>-547.489495597552 -88.7599177655426 -746.700064794564</f>
        <v>-1382.9494781576586</v>
      </c>
      <c r="P4233">
        <f>-579.440734459694 -108.832190458195 -432.435069669188</f>
        <v>-1120.7079945870769</v>
      </c>
      <c r="Q4233">
        <f>-344.364336081325 -0.383262553872783 -457.334947842252</f>
        <v>-802.0825464774498</v>
      </c>
      <c r="R4233" t="s">
        <v>85215</v>
      </c>
      <c r="S4233" t="s">
        <v>85216</v>
      </c>
      <c r="T4233" t="s">
        <v>85217</v>
      </c>
      <c r="U4233" t="s">
        <v>85218</v>
      </c>
      <c r="V4233" t="s">
        <v>85219</v>
      </c>
      <c r="W4233" t="s">
        <v>85220</v>
      </c>
      <c r="X4233" t="s">
        <v>85221</v>
      </c>
      <c r="Y4233" t="s">
        <v>85222</v>
      </c>
    </row>
    <row r="4234" spans="1:25" x14ac:dyDescent="0.3">
      <c r="A4234">
        <v>211650</v>
      </c>
      <c r="B4234" t="s">
        <v>85223</v>
      </c>
      <c r="C4234" t="s">
        <v>85224</v>
      </c>
      <c r="D4234" t="s">
        <v>85225</v>
      </c>
      <c r="E4234" t="s">
        <v>85226</v>
      </c>
      <c r="F4234" t="s">
        <v>85227</v>
      </c>
      <c r="G4234" t="s">
        <v>85228</v>
      </c>
      <c r="H4234" t="s">
        <v>85229</v>
      </c>
      <c r="I4234" t="s">
        <v>85230</v>
      </c>
      <c r="J4234" t="s">
        <v>85231</v>
      </c>
      <c r="K4234" t="s">
        <v>85232</v>
      </c>
      <c r="L4234" t="s">
        <v>85233</v>
      </c>
      <c r="M4234" t="s">
        <v>85234</v>
      </c>
      <c r="N4234" t="s">
        <v>85235</v>
      </c>
      <c r="O4234">
        <f>-548.94640527133 -89.287459451919 -746.700789955282</f>
        <v>-1384.9346546785309</v>
      </c>
      <c r="P4234">
        <f>-580.616830477346 -109.38599983856 -432.409166823099</f>
        <v>-1122.4119971390051</v>
      </c>
      <c r="Q4234">
        <f>-345.673863443026 -0.680123388964176 -457.447009428512</f>
        <v>-803.80099626050219</v>
      </c>
      <c r="R4234" t="s">
        <v>85236</v>
      </c>
      <c r="S4234" t="s">
        <v>85237</v>
      </c>
      <c r="T4234" t="s">
        <v>85238</v>
      </c>
      <c r="U4234" t="s">
        <v>85239</v>
      </c>
      <c r="V4234" t="s">
        <v>85240</v>
      </c>
      <c r="W4234" t="s">
        <v>85241</v>
      </c>
      <c r="X4234" t="s">
        <v>85242</v>
      </c>
      <c r="Y4234" t="s">
        <v>85243</v>
      </c>
    </row>
    <row r="4235" spans="1:25" x14ac:dyDescent="0.3">
      <c r="A4235">
        <v>211700</v>
      </c>
      <c r="B4235" t="s">
        <v>85244</v>
      </c>
      <c r="C4235" t="s">
        <v>85245</v>
      </c>
      <c r="D4235" t="s">
        <v>85246</v>
      </c>
      <c r="E4235" t="s">
        <v>85247</v>
      </c>
      <c r="F4235" t="s">
        <v>85248</v>
      </c>
      <c r="G4235" t="s">
        <v>85249</v>
      </c>
      <c r="H4235" t="s">
        <v>85250</v>
      </c>
      <c r="I4235" t="s">
        <v>85251</v>
      </c>
      <c r="J4235" t="s">
        <v>85252</v>
      </c>
      <c r="K4235" t="s">
        <v>85253</v>
      </c>
      <c r="L4235" t="s">
        <v>85254</v>
      </c>
      <c r="M4235" t="s">
        <v>85255</v>
      </c>
      <c r="N4235" t="s">
        <v>85256</v>
      </c>
      <c r="O4235">
        <f>-549.692578509083 -89.5377926291164 -746.677280490197</f>
        <v>-1385.9076516283963</v>
      </c>
      <c r="P4235">
        <f>-581.148911314081 -109.719364829595 -432.369485222237</f>
        <v>-1123.237761365913</v>
      </c>
      <c r="Q4235">
        <f>-346.282687262444 -0.852843898581845 -457.429094358518</f>
        <v>-804.56462551954382</v>
      </c>
      <c r="R4235" t="s">
        <v>85257</v>
      </c>
      <c r="S4235" t="s">
        <v>85258</v>
      </c>
      <c r="T4235" t="s">
        <v>85259</v>
      </c>
      <c r="U4235" t="s">
        <v>85260</v>
      </c>
      <c r="V4235" t="s">
        <v>85261</v>
      </c>
      <c r="W4235" t="s">
        <v>85262</v>
      </c>
      <c r="X4235" t="s">
        <v>85263</v>
      </c>
      <c r="Y4235" t="s">
        <v>85264</v>
      </c>
    </row>
    <row r="4236" spans="1:25" x14ac:dyDescent="0.3">
      <c r="A4236">
        <v>211750</v>
      </c>
      <c r="B4236" t="s">
        <v>85265</v>
      </c>
      <c r="C4236" t="s">
        <v>85266</v>
      </c>
      <c r="D4236" t="s">
        <v>85267</v>
      </c>
      <c r="E4236" t="s">
        <v>85268</v>
      </c>
      <c r="F4236" t="s">
        <v>85269</v>
      </c>
      <c r="G4236" t="s">
        <v>85270</v>
      </c>
      <c r="H4236" t="s">
        <v>85271</v>
      </c>
      <c r="I4236" t="s">
        <v>85272</v>
      </c>
      <c r="J4236" t="s">
        <v>85273</v>
      </c>
      <c r="K4236" t="s">
        <v>85274</v>
      </c>
      <c r="L4236" t="s">
        <v>85275</v>
      </c>
      <c r="M4236" t="s">
        <v>85276</v>
      </c>
      <c r="N4236" t="s">
        <v>85277</v>
      </c>
      <c r="O4236">
        <f>-551.068898335045 -89.9879117509847 -746.65289951275</f>
        <v>-1387.7097095987797</v>
      </c>
      <c r="P4236">
        <f>-582.265391145264 -110.136626386232 -432.317109664586</f>
        <v>-1124.7191271960819</v>
      </c>
      <c r="Q4236">
        <f>-347.518791750155 -1.03313390413334 -457.46714951977</f>
        <v>-806.01907517405834</v>
      </c>
      <c r="R4236" t="s">
        <v>85278</v>
      </c>
      <c r="S4236" t="s">
        <v>85279</v>
      </c>
      <c r="T4236" t="s">
        <v>85280</v>
      </c>
      <c r="U4236" t="s">
        <v>85281</v>
      </c>
      <c r="V4236" t="s">
        <v>85282</v>
      </c>
      <c r="W4236" t="s">
        <v>85283</v>
      </c>
      <c r="X4236" t="s">
        <v>85284</v>
      </c>
      <c r="Y4236" t="s">
        <v>85285</v>
      </c>
    </row>
    <row r="4237" spans="1:25" x14ac:dyDescent="0.3">
      <c r="A4237">
        <v>211800</v>
      </c>
      <c r="B4237" t="s">
        <v>85286</v>
      </c>
      <c r="C4237" t="s">
        <v>85287</v>
      </c>
      <c r="D4237" t="s">
        <v>85288</v>
      </c>
      <c r="E4237" t="s">
        <v>85289</v>
      </c>
      <c r="F4237" t="s">
        <v>85290</v>
      </c>
      <c r="G4237" t="s">
        <v>85291</v>
      </c>
      <c r="H4237" t="s">
        <v>85292</v>
      </c>
      <c r="I4237" t="s">
        <v>85293</v>
      </c>
      <c r="J4237" t="s">
        <v>85294</v>
      </c>
      <c r="K4237" t="s">
        <v>85295</v>
      </c>
      <c r="L4237" t="s">
        <v>85296</v>
      </c>
      <c r="M4237" t="s">
        <v>85297</v>
      </c>
      <c r="N4237" t="s">
        <v>85298</v>
      </c>
      <c r="O4237">
        <f>-551.797178389199 -90.1274255946804 -746.648604174914</f>
        <v>-1388.5732081587935</v>
      </c>
      <c r="P4237">
        <f>-582.785605702342 -110.334029813502 -432.295823561728</f>
        <v>-1125.415459077572</v>
      </c>
      <c r="Q4237">
        <f>-348.117286607611 -1.07593787976373 -457.505060454531</f>
        <v>-806.69828494190574</v>
      </c>
      <c r="R4237" t="s">
        <v>85299</v>
      </c>
      <c r="S4237" t="s">
        <v>85300</v>
      </c>
      <c r="T4237" t="s">
        <v>85301</v>
      </c>
      <c r="U4237" t="s">
        <v>85302</v>
      </c>
      <c r="V4237" t="s">
        <v>85303</v>
      </c>
      <c r="W4237" t="s">
        <v>85304</v>
      </c>
      <c r="X4237" t="s">
        <v>85305</v>
      </c>
      <c r="Y4237" t="s">
        <v>85306</v>
      </c>
    </row>
    <row r="4238" spans="1:25" x14ac:dyDescent="0.3">
      <c r="A4238">
        <v>211850</v>
      </c>
      <c r="B4238" t="s">
        <v>85307</v>
      </c>
      <c r="C4238" t="s">
        <v>85308</v>
      </c>
      <c r="D4238" t="s">
        <v>85309</v>
      </c>
      <c r="E4238" t="s">
        <v>85310</v>
      </c>
      <c r="F4238" t="s">
        <v>85311</v>
      </c>
      <c r="G4238" t="s">
        <v>85312</v>
      </c>
      <c r="H4238" t="s">
        <v>85313</v>
      </c>
      <c r="I4238" t="s">
        <v>85314</v>
      </c>
      <c r="J4238" t="s">
        <v>85315</v>
      </c>
      <c r="K4238" t="s">
        <v>85316</v>
      </c>
      <c r="L4238" t="s">
        <v>85317</v>
      </c>
      <c r="M4238" t="s">
        <v>85318</v>
      </c>
      <c r="N4238" t="s">
        <v>85319</v>
      </c>
      <c r="O4238">
        <f>-553.197174879468 -90.7838020947431 -746.688003939113</f>
        <v>-1390.668980913324</v>
      </c>
      <c r="P4238">
        <f>-583.904134370039 -111.100635300819 -432.314876815733</f>
        <v>-1127.319646486591</v>
      </c>
      <c r="Q4238">
        <f>-349.376314487111 -1.59071004099211 -457.73794734146</f>
        <v>-808.70497186956322</v>
      </c>
      <c r="R4238" t="s">
        <v>85320</v>
      </c>
      <c r="S4238" t="s">
        <v>85321</v>
      </c>
      <c r="T4238" t="s">
        <v>85322</v>
      </c>
      <c r="U4238" t="s">
        <v>85323</v>
      </c>
      <c r="V4238" t="s">
        <v>85324</v>
      </c>
      <c r="W4238" t="s">
        <v>85325</v>
      </c>
      <c r="X4238" t="s">
        <v>85326</v>
      </c>
      <c r="Y4238" t="s">
        <v>85327</v>
      </c>
    </row>
    <row r="4239" spans="1:25" x14ac:dyDescent="0.3">
      <c r="A4239">
        <v>211900</v>
      </c>
      <c r="B4239" t="s">
        <v>85328</v>
      </c>
      <c r="C4239" t="s">
        <v>85329</v>
      </c>
      <c r="D4239" t="s">
        <v>85330</v>
      </c>
      <c r="E4239" t="s">
        <v>85331</v>
      </c>
      <c r="F4239" t="s">
        <v>85332</v>
      </c>
      <c r="G4239" t="s">
        <v>85333</v>
      </c>
      <c r="H4239" t="s">
        <v>85334</v>
      </c>
      <c r="I4239" t="s">
        <v>85335</v>
      </c>
      <c r="J4239" t="s">
        <v>85336</v>
      </c>
      <c r="K4239" t="s">
        <v>85337</v>
      </c>
      <c r="L4239" t="s">
        <v>85338</v>
      </c>
      <c r="M4239" t="s">
        <v>85339</v>
      </c>
      <c r="N4239" t="s">
        <v>85340</v>
      </c>
      <c r="O4239">
        <f>-553.797212831443 -90.9147214988565 -746.719922246402</f>
        <v>-1391.4318565767014</v>
      </c>
      <c r="P4239">
        <f>-584.361689878777 -111.30970480804 -432.337770061565</f>
        <v>-1128.0091647483821</v>
      </c>
      <c r="Q4239">
        <f>-349.903913650083 -1.66127677674577 -457.809791442076</f>
        <v>-809.3749818689048</v>
      </c>
      <c r="R4239" t="s">
        <v>85341</v>
      </c>
      <c r="S4239" t="s">
        <v>85342</v>
      </c>
      <c r="T4239" t="s">
        <v>85343</v>
      </c>
      <c r="U4239" t="s">
        <v>85344</v>
      </c>
      <c r="V4239" t="s">
        <v>85345</v>
      </c>
      <c r="W4239" t="s">
        <v>85346</v>
      </c>
      <c r="X4239" t="s">
        <v>85347</v>
      </c>
      <c r="Y4239" t="s">
        <v>85348</v>
      </c>
    </row>
    <row r="4240" spans="1:25" x14ac:dyDescent="0.3">
      <c r="A4240">
        <v>211950</v>
      </c>
      <c r="B4240" t="s">
        <v>85349</v>
      </c>
      <c r="C4240" t="s">
        <v>85350</v>
      </c>
      <c r="D4240" t="s">
        <v>85351</v>
      </c>
      <c r="E4240" t="s">
        <v>85352</v>
      </c>
      <c r="F4240" t="s">
        <v>85353</v>
      </c>
      <c r="G4240" t="s">
        <v>85354</v>
      </c>
      <c r="H4240" t="s">
        <v>85355</v>
      </c>
      <c r="I4240" t="s">
        <v>85356</v>
      </c>
      <c r="J4240" t="s">
        <v>85357</v>
      </c>
      <c r="K4240" t="s">
        <v>85358</v>
      </c>
      <c r="L4240" t="s">
        <v>85359</v>
      </c>
      <c r="M4240" t="s">
        <v>85360</v>
      </c>
      <c r="N4240" t="s">
        <v>85361</v>
      </c>
      <c r="O4240">
        <f>-554.95546854907 -91.3412655973357 -746.770325219307</f>
        <v>-1393.0670593657128</v>
      </c>
      <c r="P4240">
        <f>-585.303439192316 -111.844180098641 -432.374287567846</f>
        <v>-1129.521906858803</v>
      </c>
      <c r="Q4240">
        <f>-351.054682784116 -1.77653770407828 -457.961034985637</f>
        <v>-810.79225547383135</v>
      </c>
      <c r="R4240" t="s">
        <v>85362</v>
      </c>
      <c r="S4240" t="s">
        <v>85363</v>
      </c>
      <c r="T4240" t="s">
        <v>85364</v>
      </c>
      <c r="U4240" t="s">
        <v>85365</v>
      </c>
      <c r="V4240" t="s">
        <v>85366</v>
      </c>
      <c r="W4240" t="s">
        <v>85367</v>
      </c>
      <c r="X4240" t="s">
        <v>85368</v>
      </c>
      <c r="Y4240" t="s">
        <v>85369</v>
      </c>
    </row>
    <row r="4241" spans="1:25" x14ac:dyDescent="0.3">
      <c r="A4241">
        <v>212000</v>
      </c>
      <c r="B4241" t="s">
        <v>85370</v>
      </c>
      <c r="C4241" t="s">
        <v>85371</v>
      </c>
      <c r="D4241" t="s">
        <v>85372</v>
      </c>
      <c r="E4241" t="s">
        <v>85373</v>
      </c>
      <c r="F4241" t="s">
        <v>85374</v>
      </c>
      <c r="G4241" t="s">
        <v>85375</v>
      </c>
      <c r="H4241" t="s">
        <v>85376</v>
      </c>
      <c r="I4241" t="s">
        <v>85377</v>
      </c>
      <c r="J4241" t="s">
        <v>85378</v>
      </c>
      <c r="K4241" t="s">
        <v>85379</v>
      </c>
      <c r="L4241" t="s">
        <v>85380</v>
      </c>
      <c r="M4241" t="s">
        <v>85381</v>
      </c>
      <c r="N4241" t="s">
        <v>85382</v>
      </c>
      <c r="O4241">
        <f>-555.356580808538 -91.6051236596818 -746.780413295179</f>
        <v>-1393.7421177633987</v>
      </c>
      <c r="P4241">
        <f>-585.506576860932 -112.169733876575 -432.369382984522</f>
        <v>-1130.045693722029</v>
      </c>
      <c r="Q4241">
        <f>-351.393077995275 -1.82034201180485 -457.980763627921</f>
        <v>-811.19418363500085</v>
      </c>
      <c r="R4241" t="s">
        <v>85383</v>
      </c>
      <c r="S4241" t="s">
        <v>85384</v>
      </c>
      <c r="T4241" t="s">
        <v>85385</v>
      </c>
      <c r="U4241" t="s">
        <v>85386</v>
      </c>
      <c r="V4241" t="s">
        <v>85387</v>
      </c>
      <c r="W4241" t="s">
        <v>85388</v>
      </c>
      <c r="X4241" t="s">
        <v>85389</v>
      </c>
      <c r="Y4241" t="s">
        <v>85390</v>
      </c>
    </row>
    <row r="4242" spans="1:25" x14ac:dyDescent="0.3">
      <c r="A4242">
        <v>212050</v>
      </c>
      <c r="B4242" t="s">
        <v>85391</v>
      </c>
      <c r="C4242" t="s">
        <v>85392</v>
      </c>
      <c r="D4242" t="s">
        <v>85393</v>
      </c>
      <c r="E4242" t="s">
        <v>85394</v>
      </c>
      <c r="F4242" t="s">
        <v>85395</v>
      </c>
      <c r="G4242" t="s">
        <v>85396</v>
      </c>
      <c r="H4242" t="s">
        <v>85397</v>
      </c>
      <c r="I4242" t="s">
        <v>85398</v>
      </c>
      <c r="J4242" t="s">
        <v>85399</v>
      </c>
      <c r="K4242" t="s">
        <v>85400</v>
      </c>
      <c r="L4242" t="s">
        <v>85401</v>
      </c>
      <c r="M4242" t="s">
        <v>85402</v>
      </c>
      <c r="N4242" t="s">
        <v>85403</v>
      </c>
      <c r="O4242">
        <f>-556.338115809019 -92.2454821487925 -746.923163153853</f>
        <v>-1395.5067611116644</v>
      </c>
      <c r="P4242">
        <f>-586.16477711775 -112.946174869547 -432.490296683595</f>
        <v>-1131.6012486708919</v>
      </c>
      <c r="Q4242">
        <f>-352.378740247313 -1.93667984557999 -458.239649212037</f>
        <v>-812.55506930492993</v>
      </c>
      <c r="R4242" t="s">
        <v>85404</v>
      </c>
      <c r="S4242" t="s">
        <v>85405</v>
      </c>
      <c r="T4242" t="s">
        <v>85406</v>
      </c>
      <c r="U4242" t="s">
        <v>85407</v>
      </c>
      <c r="V4242" t="s">
        <v>85408</v>
      </c>
      <c r="W4242" t="s">
        <v>85409</v>
      </c>
      <c r="X4242" t="s">
        <v>85410</v>
      </c>
      <c r="Y4242" t="s">
        <v>85411</v>
      </c>
    </row>
    <row r="4243" spans="1:25" x14ac:dyDescent="0.3">
      <c r="A4243">
        <v>212100</v>
      </c>
      <c r="B4243" t="s">
        <v>85412</v>
      </c>
      <c r="C4243" t="s">
        <v>85413</v>
      </c>
      <c r="D4243" t="s">
        <v>85414</v>
      </c>
      <c r="E4243" t="s">
        <v>85415</v>
      </c>
      <c r="F4243" t="s">
        <v>85416</v>
      </c>
      <c r="G4243" t="s">
        <v>85417</v>
      </c>
      <c r="H4243" t="s">
        <v>85418</v>
      </c>
      <c r="I4243" t="s">
        <v>85419</v>
      </c>
      <c r="J4243" t="s">
        <v>85420</v>
      </c>
      <c r="K4243" t="s">
        <v>85421</v>
      </c>
      <c r="L4243" t="s">
        <v>85422</v>
      </c>
      <c r="M4243" t="s">
        <v>85423</v>
      </c>
      <c r="N4243" t="s">
        <v>85424</v>
      </c>
      <c r="O4243">
        <f>-556.705489930997 -92.5024788397449 -747.041750501467</f>
        <v>-1396.2497192722089</v>
      </c>
      <c r="P4243">
        <f>-586.267938446482 -113.269985596005 -432.588383536479</f>
        <v>-1132.1263075789661</v>
      </c>
      <c r="Q4243">
        <f>-352.68783242597 -1.86228622227733 -458.486023499894</f>
        <v>-813.03614214814127</v>
      </c>
      <c r="R4243" t="s">
        <v>85425</v>
      </c>
      <c r="S4243" t="s">
        <v>85426</v>
      </c>
      <c r="T4243" t="s">
        <v>85427</v>
      </c>
      <c r="U4243" t="s">
        <v>85428</v>
      </c>
      <c r="V4243" t="s">
        <v>85429</v>
      </c>
      <c r="W4243" t="s">
        <v>85430</v>
      </c>
      <c r="X4243" t="s">
        <v>85431</v>
      </c>
      <c r="Y4243" t="s">
        <v>85432</v>
      </c>
    </row>
    <row r="4244" spans="1:25" x14ac:dyDescent="0.3">
      <c r="A4244">
        <v>212150</v>
      </c>
      <c r="B4244" t="s">
        <v>85433</v>
      </c>
      <c r="C4244" t="s">
        <v>85434</v>
      </c>
      <c r="D4244" t="s">
        <v>85435</v>
      </c>
      <c r="E4244" t="s">
        <v>85436</v>
      </c>
      <c r="F4244" t="s">
        <v>85437</v>
      </c>
      <c r="G4244" t="s">
        <v>85438</v>
      </c>
      <c r="H4244" t="s">
        <v>85439</v>
      </c>
      <c r="I4244" t="s">
        <v>85440</v>
      </c>
      <c r="J4244" t="s">
        <v>85441</v>
      </c>
      <c r="K4244" t="s">
        <v>85442</v>
      </c>
      <c r="L4244" t="s">
        <v>85443</v>
      </c>
      <c r="M4244" t="s">
        <v>85444</v>
      </c>
      <c r="N4244" t="s">
        <v>85445</v>
      </c>
      <c r="O4244">
        <f>-557.558671192069 -93.1374275341195 -747.222472879326</f>
        <v>-1397.9185716055144</v>
      </c>
      <c r="P4244">
        <f>-586.679915778941 -114.120703547559 -432.742234378369</f>
        <v>-1133.542853704869</v>
      </c>
      <c r="Q4244">
        <f>-353.485579971441 -1.9899269484125 -458.993606780386</f>
        <v>-814.46911370023952</v>
      </c>
      <c r="R4244" t="s">
        <v>85446</v>
      </c>
      <c r="S4244" t="s">
        <v>85447</v>
      </c>
      <c r="T4244" t="s">
        <v>85448</v>
      </c>
      <c r="U4244" t="s">
        <v>85449</v>
      </c>
      <c r="V4244" t="s">
        <v>85450</v>
      </c>
      <c r="W4244" t="s">
        <v>85451</v>
      </c>
      <c r="X4244" t="s">
        <v>85452</v>
      </c>
      <c r="Y4244" t="s">
        <v>85453</v>
      </c>
    </row>
    <row r="4245" spans="1:25" x14ac:dyDescent="0.3">
      <c r="A4245">
        <v>212200</v>
      </c>
      <c r="B4245" t="s">
        <v>85454</v>
      </c>
      <c r="C4245" t="s">
        <v>85455</v>
      </c>
      <c r="D4245" t="s">
        <v>85456</v>
      </c>
      <c r="E4245" t="s">
        <v>85457</v>
      </c>
      <c r="F4245" t="s">
        <v>85458</v>
      </c>
      <c r="G4245" t="s">
        <v>85459</v>
      </c>
      <c r="H4245" t="s">
        <v>85460</v>
      </c>
      <c r="I4245" t="s">
        <v>85461</v>
      </c>
      <c r="J4245" t="s">
        <v>85462</v>
      </c>
      <c r="K4245" t="s">
        <v>85463</v>
      </c>
      <c r="L4245" t="s">
        <v>85464</v>
      </c>
      <c r="M4245" t="s">
        <v>85465</v>
      </c>
      <c r="N4245" t="s">
        <v>85466</v>
      </c>
      <c r="O4245">
        <f>-557.99577929026 -93.2596981673989 -747.277645219661</f>
        <v>-1398.5331226773201</v>
      </c>
      <c r="P4245">
        <f>-586.897886536147 -114.275163710319 -432.779353146664</f>
        <v>-1133.95240339313</v>
      </c>
      <c r="Q4245">
        <f>-353.875543349121 -1.82830162245983 -459.205440565391</f>
        <v>-814.90928553697177</v>
      </c>
      <c r="R4245" t="s">
        <v>85467</v>
      </c>
      <c r="S4245" t="s">
        <v>85468</v>
      </c>
      <c r="T4245" t="s">
        <v>85469</v>
      </c>
      <c r="U4245" t="s">
        <v>85470</v>
      </c>
      <c r="V4245" t="s">
        <v>85471</v>
      </c>
      <c r="W4245" t="s">
        <v>85472</v>
      </c>
      <c r="X4245" t="s">
        <v>85473</v>
      </c>
      <c r="Y4245" t="s">
        <v>85474</v>
      </c>
    </row>
    <row r="4246" spans="1:25" x14ac:dyDescent="0.3">
      <c r="A4246">
        <v>212250</v>
      </c>
      <c r="B4246" t="s">
        <v>85475</v>
      </c>
      <c r="C4246" t="s">
        <v>85476</v>
      </c>
      <c r="D4246" t="s">
        <v>85477</v>
      </c>
      <c r="E4246" t="s">
        <v>85478</v>
      </c>
      <c r="F4246" t="s">
        <v>85479</v>
      </c>
      <c r="G4246" t="s">
        <v>85480</v>
      </c>
      <c r="H4246" t="s">
        <v>85481</v>
      </c>
      <c r="I4246" t="s">
        <v>85482</v>
      </c>
      <c r="J4246" t="s">
        <v>85483</v>
      </c>
      <c r="K4246" t="s">
        <v>85484</v>
      </c>
      <c r="L4246" t="s">
        <v>85485</v>
      </c>
      <c r="M4246" t="s">
        <v>85486</v>
      </c>
      <c r="N4246" t="s">
        <v>85487</v>
      </c>
      <c r="O4246">
        <f>-558.375366124882 -93.4600789882043 -747.35063692156</f>
        <v>-1399.1860820346462</v>
      </c>
      <c r="P4246">
        <f>-586.905503873484 -114.843528991787 -432.843163507051</f>
        <v>-1134.592196372322</v>
      </c>
      <c r="Q4246">
        <f>-354.25512543094 -1.68343145912531 -459.501288705469</f>
        <v>-815.43984559553428</v>
      </c>
      <c r="R4246" t="s">
        <v>85488</v>
      </c>
      <c r="S4246" t="s">
        <v>85489</v>
      </c>
      <c r="T4246" t="s">
        <v>85490</v>
      </c>
      <c r="U4246" t="s">
        <v>85491</v>
      </c>
      <c r="V4246" t="s">
        <v>85492</v>
      </c>
      <c r="W4246" t="s">
        <v>85493</v>
      </c>
      <c r="X4246" t="s">
        <v>85494</v>
      </c>
      <c r="Y4246" t="s">
        <v>85495</v>
      </c>
    </row>
    <row r="4247" spans="1:25" x14ac:dyDescent="0.3">
      <c r="A4247">
        <v>212300</v>
      </c>
      <c r="B4247" t="s">
        <v>85496</v>
      </c>
      <c r="C4247" t="s">
        <v>85497</v>
      </c>
      <c r="D4247" t="s">
        <v>85498</v>
      </c>
      <c r="E4247" t="s">
        <v>85499</v>
      </c>
      <c r="F4247" t="s">
        <v>85500</v>
      </c>
      <c r="G4247" t="s">
        <v>85501</v>
      </c>
      <c r="H4247" t="s">
        <v>85502</v>
      </c>
      <c r="I4247" t="s">
        <v>85503</v>
      </c>
      <c r="J4247" t="s">
        <v>85504</v>
      </c>
      <c r="K4247" t="s">
        <v>85505</v>
      </c>
      <c r="L4247" t="s">
        <v>85506</v>
      </c>
      <c r="M4247" t="s">
        <v>85507</v>
      </c>
      <c r="N4247" t="s">
        <v>85508</v>
      </c>
      <c r="O4247">
        <f>-558.62939130213 -93.460939991418 -747.349070502832</f>
        <v>-1399.43940179638</v>
      </c>
      <c r="P4247">
        <f>-587.096979680469 -114.870950116744 -432.837758356186</f>
        <v>-1134.8056881533989</v>
      </c>
      <c r="Q4247">
        <f>-354.606875463415 -1.38466794912127 -459.507409649381</f>
        <v>-815.49895306191729</v>
      </c>
      <c r="R4247" t="s">
        <v>85509</v>
      </c>
      <c r="S4247" t="s">
        <v>85510</v>
      </c>
      <c r="T4247" t="s">
        <v>85511</v>
      </c>
      <c r="U4247" t="s">
        <v>85512</v>
      </c>
      <c r="V4247" t="s">
        <v>85513</v>
      </c>
      <c r="W4247" t="s">
        <v>85514</v>
      </c>
      <c r="X4247" t="s">
        <v>85515</v>
      </c>
      <c r="Y4247" t="s">
        <v>85516</v>
      </c>
    </row>
    <row r="4248" spans="1:25" x14ac:dyDescent="0.3">
      <c r="A4248">
        <v>212350</v>
      </c>
      <c r="B4248" t="s">
        <v>85517</v>
      </c>
      <c r="C4248" t="s">
        <v>85518</v>
      </c>
      <c r="D4248" t="s">
        <v>85519</v>
      </c>
      <c r="E4248" t="s">
        <v>85520</v>
      </c>
      <c r="F4248" t="s">
        <v>85521</v>
      </c>
      <c r="G4248" t="s">
        <v>85522</v>
      </c>
      <c r="H4248" t="s">
        <v>85523</v>
      </c>
      <c r="I4248" t="s">
        <v>85524</v>
      </c>
      <c r="J4248" t="s">
        <v>85525</v>
      </c>
      <c r="K4248" t="s">
        <v>85526</v>
      </c>
      <c r="L4248" t="s">
        <v>85527</v>
      </c>
      <c r="M4248" t="s">
        <v>85528</v>
      </c>
      <c r="N4248" t="s">
        <v>85529</v>
      </c>
      <c r="O4248">
        <f>-558.676732117356 -94.167167036429 -747.375749309551</f>
        <v>-1400.2196484633359</v>
      </c>
      <c r="P4248">
        <f>-587.140636999191 -115.749487046873 -432.875754235006</f>
        <v>-1135.7658782810699</v>
      </c>
      <c r="Q4248">
        <f>-354.947781980781 -1.64198825712157 -459.484572890329</f>
        <v>-816.07434312823148</v>
      </c>
      <c r="R4248" t="s">
        <v>85530</v>
      </c>
      <c r="S4248" t="s">
        <v>85531</v>
      </c>
      <c r="T4248" t="s">
        <v>85532</v>
      </c>
      <c r="U4248" t="s">
        <v>85533</v>
      </c>
      <c r="V4248" t="s">
        <v>85534</v>
      </c>
      <c r="W4248" t="s">
        <v>85535</v>
      </c>
      <c r="X4248" t="s">
        <v>85536</v>
      </c>
      <c r="Y4248" t="s">
        <v>85537</v>
      </c>
    </row>
    <row r="4249" spans="1:25" x14ac:dyDescent="0.3">
      <c r="A4249">
        <v>212400</v>
      </c>
      <c r="B4249" t="s">
        <v>85538</v>
      </c>
      <c r="C4249" t="s">
        <v>85539</v>
      </c>
      <c r="D4249" t="s">
        <v>85540</v>
      </c>
      <c r="E4249" t="s">
        <v>85541</v>
      </c>
      <c r="F4249" t="s">
        <v>85542</v>
      </c>
      <c r="G4249" t="s">
        <v>85543</v>
      </c>
      <c r="H4249" t="s">
        <v>85544</v>
      </c>
      <c r="I4249" t="s">
        <v>85545</v>
      </c>
      <c r="J4249" t="s">
        <v>85546</v>
      </c>
      <c r="K4249" t="s">
        <v>85547</v>
      </c>
      <c r="L4249" t="s">
        <v>85548</v>
      </c>
      <c r="M4249" t="s">
        <v>85549</v>
      </c>
      <c r="N4249" t="s">
        <v>85550</v>
      </c>
      <c r="O4249">
        <f>-558.62141145622 -94.203519815809 -747.378627616402</f>
        <v>-1400.203558888431</v>
      </c>
      <c r="P4249">
        <f>-587.214335709279 -115.74566014656 -432.887689819252</f>
        <v>-1135.847685675091</v>
      </c>
      <c r="Q4249">
        <f>-355.124549976787 -1.41910146171612 -459.454880402152</f>
        <v>-815.99853184065523</v>
      </c>
      <c r="R4249" t="s">
        <v>85551</v>
      </c>
      <c r="S4249" t="s">
        <v>85552</v>
      </c>
      <c r="T4249" t="s">
        <v>85553</v>
      </c>
      <c r="U4249" t="s">
        <v>85554</v>
      </c>
      <c r="V4249" t="s">
        <v>85555</v>
      </c>
      <c r="W4249" t="s">
        <v>85556</v>
      </c>
      <c r="X4249" t="s">
        <v>85557</v>
      </c>
      <c r="Y4249" t="s">
        <v>85558</v>
      </c>
    </row>
    <row r="4250" spans="1:25" x14ac:dyDescent="0.3">
      <c r="A4250">
        <v>212450</v>
      </c>
      <c r="B4250" t="s">
        <v>85559</v>
      </c>
      <c r="C4250" t="s">
        <v>85560</v>
      </c>
      <c r="D4250" t="s">
        <v>85561</v>
      </c>
      <c r="E4250" t="s">
        <v>85562</v>
      </c>
      <c r="F4250" t="s">
        <v>85563</v>
      </c>
      <c r="G4250" t="s">
        <v>85564</v>
      </c>
      <c r="H4250" t="s">
        <v>85565</v>
      </c>
      <c r="I4250" t="s">
        <v>85566</v>
      </c>
      <c r="J4250" t="s">
        <v>85567</v>
      </c>
      <c r="K4250" t="s">
        <v>85568</v>
      </c>
      <c r="L4250" t="s">
        <v>85569</v>
      </c>
      <c r="M4250" t="s">
        <v>85570</v>
      </c>
      <c r="N4250" t="s">
        <v>85571</v>
      </c>
      <c r="O4250">
        <f>-558.538512254005 -94.8318157209317 -747.294710252904</f>
        <v>-1400.6650382278408</v>
      </c>
      <c r="P4250">
        <f>-587.094067572282 -116.299026922955 -432.795178013024</f>
        <v>-1136.188272508261</v>
      </c>
      <c r="Q4250">
        <f>-355.179294517697 -1.59895221344393 -459.28070002622</f>
        <v>-816.0589467573609</v>
      </c>
      <c r="R4250" t="s">
        <v>85572</v>
      </c>
      <c r="S4250" t="s">
        <v>85573</v>
      </c>
      <c r="T4250" t="s">
        <v>85574</v>
      </c>
      <c r="U4250" t="s">
        <v>85575</v>
      </c>
      <c r="V4250" t="s">
        <v>85576</v>
      </c>
      <c r="W4250" t="s">
        <v>85577</v>
      </c>
      <c r="X4250" t="s">
        <v>85578</v>
      </c>
      <c r="Y4250" t="s">
        <v>85579</v>
      </c>
    </row>
    <row r="4251" spans="1:25" x14ac:dyDescent="0.3">
      <c r="A4251">
        <v>212500</v>
      </c>
      <c r="B4251" t="s">
        <v>85580</v>
      </c>
      <c r="C4251" t="s">
        <v>85581</v>
      </c>
      <c r="D4251" t="s">
        <v>85582</v>
      </c>
      <c r="E4251" t="s">
        <v>85583</v>
      </c>
      <c r="F4251" t="s">
        <v>85584</v>
      </c>
      <c r="G4251" t="s">
        <v>85585</v>
      </c>
      <c r="H4251" t="s">
        <v>85586</v>
      </c>
      <c r="I4251" t="s">
        <v>85587</v>
      </c>
      <c r="J4251" t="s">
        <v>85588</v>
      </c>
      <c r="K4251" t="s">
        <v>85589</v>
      </c>
      <c r="L4251" t="s">
        <v>85590</v>
      </c>
      <c r="M4251" t="s">
        <v>85591</v>
      </c>
      <c r="N4251" t="s">
        <v>85592</v>
      </c>
      <c r="O4251">
        <f>-558.169672394455 -94.799395680043 -747.272346434572</f>
        <v>-1400.24141450907</v>
      </c>
      <c r="P4251">
        <f>-586.762993892216 -116.142440818476 -432.767805754569</f>
        <v>-1135.673240465261</v>
      </c>
      <c r="Q4251">
        <f>-354.904304144937 -1.32458370516616 -459.233961333937</f>
        <v>-815.46284918404012</v>
      </c>
      <c r="R4251" t="s">
        <v>85593</v>
      </c>
      <c r="S4251" t="s">
        <v>85594</v>
      </c>
      <c r="T4251" t="s">
        <v>85595</v>
      </c>
      <c r="U4251" t="s">
        <v>85596</v>
      </c>
      <c r="V4251" t="s">
        <v>85597</v>
      </c>
      <c r="W4251" t="s">
        <v>85598</v>
      </c>
      <c r="X4251" t="s">
        <v>85599</v>
      </c>
      <c r="Y4251" t="s">
        <v>85600</v>
      </c>
    </row>
    <row r="4252" spans="1:25" x14ac:dyDescent="0.3">
      <c r="A4252">
        <v>212550</v>
      </c>
      <c r="B4252" t="s">
        <v>85601</v>
      </c>
      <c r="C4252" t="s">
        <v>85602</v>
      </c>
      <c r="D4252" t="s">
        <v>85603</v>
      </c>
      <c r="E4252" t="s">
        <v>85604</v>
      </c>
      <c r="F4252" t="s">
        <v>85605</v>
      </c>
      <c r="G4252" t="s">
        <v>85606</v>
      </c>
      <c r="H4252" t="s">
        <v>85607</v>
      </c>
      <c r="I4252" t="s">
        <v>85608</v>
      </c>
      <c r="J4252" t="s">
        <v>85609</v>
      </c>
      <c r="K4252" t="s">
        <v>85610</v>
      </c>
      <c r="L4252" t="s">
        <v>85611</v>
      </c>
      <c r="M4252" t="s">
        <v>85612</v>
      </c>
      <c r="N4252" t="s">
        <v>85613</v>
      </c>
      <c r="O4252">
        <f>-557.514514725898 -95.3480380926821 -747.204993746668</f>
        <v>-1400.0675465652482</v>
      </c>
      <c r="P4252">
        <f>-586.249231821231 -116.528286069822 -432.702418939709</f>
        <v>-1135.479936830762</v>
      </c>
      <c r="Q4252">
        <f>-354.571023591666 -1.33597489467331 -459.122781196</f>
        <v>-815.02977968233927</v>
      </c>
      <c r="R4252" t="s">
        <v>85614</v>
      </c>
      <c r="S4252" t="s">
        <v>85615</v>
      </c>
      <c r="T4252" t="s">
        <v>85616</v>
      </c>
      <c r="U4252" t="s">
        <v>85617</v>
      </c>
      <c r="V4252" t="s">
        <v>85618</v>
      </c>
      <c r="W4252" t="s">
        <v>85619</v>
      </c>
      <c r="X4252" t="s">
        <v>85620</v>
      </c>
      <c r="Y4252" t="s">
        <v>85621</v>
      </c>
    </row>
    <row r="4253" spans="1:25" x14ac:dyDescent="0.3">
      <c r="A4253">
        <v>212600</v>
      </c>
      <c r="B4253" t="s">
        <v>85622</v>
      </c>
      <c r="C4253" t="s">
        <v>85623</v>
      </c>
      <c r="D4253" t="s">
        <v>85624</v>
      </c>
      <c r="E4253" t="s">
        <v>85625</v>
      </c>
      <c r="F4253" t="s">
        <v>85626</v>
      </c>
      <c r="G4253" t="s">
        <v>85627</v>
      </c>
      <c r="H4253" t="s">
        <v>85628</v>
      </c>
      <c r="I4253" t="s">
        <v>85629</v>
      </c>
      <c r="J4253" t="s">
        <v>85630</v>
      </c>
      <c r="K4253" t="s">
        <v>85631</v>
      </c>
      <c r="L4253" t="s">
        <v>85632</v>
      </c>
      <c r="M4253" t="s">
        <v>85633</v>
      </c>
      <c r="N4253" t="s">
        <v>85634</v>
      </c>
      <c r="O4253">
        <f>-557.172091723119 -95.2921711983659 -747.177392000947</f>
        <v>-1399.6416549224318</v>
      </c>
      <c r="P4253">
        <f>-586.035570160499 -116.380903250906 -432.680371653354</f>
        <v>-1135.096845064759</v>
      </c>
      <c r="Q4253">
        <f>-354.419270148812 -1.04827582804586 -459.030275771933</f>
        <v>-814.4978217487909</v>
      </c>
      <c r="R4253" t="s">
        <v>85635</v>
      </c>
      <c r="S4253" t="s">
        <v>85636</v>
      </c>
      <c r="T4253" t="s">
        <v>85637</v>
      </c>
      <c r="U4253" t="s">
        <v>85638</v>
      </c>
      <c r="V4253" t="s">
        <v>85639</v>
      </c>
      <c r="W4253" t="s">
        <v>85640</v>
      </c>
      <c r="X4253" t="s">
        <v>85641</v>
      </c>
      <c r="Y4253" t="s">
        <v>85642</v>
      </c>
    </row>
    <row r="4254" spans="1:25" x14ac:dyDescent="0.3">
      <c r="A4254">
        <v>212650</v>
      </c>
      <c r="B4254" t="s">
        <v>85643</v>
      </c>
      <c r="C4254" t="s">
        <v>85644</v>
      </c>
      <c r="D4254" t="s">
        <v>85645</v>
      </c>
      <c r="E4254" t="s">
        <v>85646</v>
      </c>
      <c r="F4254" t="s">
        <v>85647</v>
      </c>
      <c r="G4254" t="s">
        <v>85648</v>
      </c>
      <c r="H4254" t="s">
        <v>85649</v>
      </c>
      <c r="I4254" t="s">
        <v>85650</v>
      </c>
      <c r="J4254" t="s">
        <v>85651</v>
      </c>
      <c r="K4254" t="s">
        <v>85652</v>
      </c>
      <c r="L4254" t="s">
        <v>85653</v>
      </c>
      <c r="M4254" t="s">
        <v>85654</v>
      </c>
      <c r="N4254" t="s">
        <v>85655</v>
      </c>
      <c r="O4254">
        <f>-556.508862454608 -96.022733326092 -747.097571974371</f>
        <v>-1399.629167755071</v>
      </c>
      <c r="P4254">
        <f>-585.575758763984 -116.943889666654 -432.608042174654</f>
        <v>-1135.1276906052919</v>
      </c>
      <c r="Q4254">
        <f>-354.074665682921 -1.35707696655538 -458.856394096973</f>
        <v>-814.28813674644948</v>
      </c>
      <c r="R4254" t="s">
        <v>85656</v>
      </c>
      <c r="S4254" t="s">
        <v>85657</v>
      </c>
      <c r="T4254" t="s">
        <v>85658</v>
      </c>
      <c r="U4254" t="s">
        <v>85659</v>
      </c>
      <c r="V4254" t="s">
        <v>85660</v>
      </c>
      <c r="W4254" t="s">
        <v>85661</v>
      </c>
      <c r="X4254" t="s">
        <v>85662</v>
      </c>
      <c r="Y4254" t="s">
        <v>85663</v>
      </c>
    </row>
    <row r="4255" spans="1:25" x14ac:dyDescent="0.3">
      <c r="A4255">
        <v>212700</v>
      </c>
      <c r="B4255" t="s">
        <v>85664</v>
      </c>
      <c r="C4255" t="s">
        <v>85665</v>
      </c>
      <c r="D4255" t="s">
        <v>85666</v>
      </c>
      <c r="E4255" t="s">
        <v>85667</v>
      </c>
      <c r="F4255" t="s">
        <v>85668</v>
      </c>
      <c r="G4255" t="s">
        <v>85669</v>
      </c>
      <c r="H4255" t="s">
        <v>85670</v>
      </c>
      <c r="I4255" t="s">
        <v>85671</v>
      </c>
      <c r="J4255" t="s">
        <v>85672</v>
      </c>
      <c r="K4255" t="s">
        <v>85673</v>
      </c>
      <c r="L4255" t="s">
        <v>85674</v>
      </c>
      <c r="M4255" t="s">
        <v>85675</v>
      </c>
      <c r="N4255" t="s">
        <v>85676</v>
      </c>
      <c r="O4255">
        <f>-556.252840213705 -96.9049464981205 -747.258234139628</f>
        <v>-1400.4160208514536</v>
      </c>
      <c r="P4255">
        <f>-585.338963411984 -117.650191208081 -432.758886968252</f>
        <v>-1135.7480415883169</v>
      </c>
      <c r="Q4255">
        <f>-353.871870439783 -1.99287038335093 -458.996531434746</f>
        <v>-814.86127225787982</v>
      </c>
      <c r="R4255" t="s">
        <v>85677</v>
      </c>
      <c r="S4255" t="s">
        <v>85678</v>
      </c>
      <c r="T4255" t="s">
        <v>85679</v>
      </c>
      <c r="U4255" t="s">
        <v>85680</v>
      </c>
      <c r="V4255" t="s">
        <v>85681</v>
      </c>
      <c r="W4255" t="s">
        <v>85682</v>
      </c>
      <c r="X4255" t="s">
        <v>85683</v>
      </c>
      <c r="Y4255" t="s">
        <v>85684</v>
      </c>
    </row>
    <row r="4256" spans="1:25" x14ac:dyDescent="0.3">
      <c r="A4256">
        <v>212750</v>
      </c>
      <c r="B4256" t="s">
        <v>85685</v>
      </c>
      <c r="C4256" t="s">
        <v>85686</v>
      </c>
      <c r="D4256" t="s">
        <v>85687</v>
      </c>
      <c r="E4256" t="s">
        <v>85688</v>
      </c>
      <c r="F4256" t="s">
        <v>85689</v>
      </c>
      <c r="G4256" t="s">
        <v>85690</v>
      </c>
      <c r="H4256" t="s">
        <v>85691</v>
      </c>
      <c r="I4256" t="s">
        <v>85692</v>
      </c>
      <c r="J4256" t="s">
        <v>85693</v>
      </c>
      <c r="K4256" t="s">
        <v>85694</v>
      </c>
      <c r="L4256" t="s">
        <v>85695</v>
      </c>
      <c r="M4256" t="s">
        <v>85696</v>
      </c>
      <c r="N4256" t="s">
        <v>85697</v>
      </c>
      <c r="O4256">
        <f>-555.467285008722 -98.9270199714567 -747.780637174195</f>
        <v>-1402.1749421543736</v>
      </c>
      <c r="P4256">
        <f>-584.647270701399 -119.368605908457 -433.270150550304</f>
        <v>-1137.2860271601598</v>
      </c>
      <c r="Q4256">
        <f>-353.278604284083 -3.52248852940397 -459.543175413918</f>
        <v>-816.34426822740488</v>
      </c>
      <c r="R4256" t="s">
        <v>85698</v>
      </c>
      <c r="S4256" t="s">
        <v>85699</v>
      </c>
      <c r="T4256" t="s">
        <v>85700</v>
      </c>
      <c r="U4256" t="s">
        <v>85701</v>
      </c>
      <c r="V4256" t="s">
        <v>85702</v>
      </c>
      <c r="W4256" t="s">
        <v>85703</v>
      </c>
      <c r="X4256" t="s">
        <v>85704</v>
      </c>
      <c r="Y4256" t="s">
        <v>85705</v>
      </c>
    </row>
    <row r="4257" spans="1:25" x14ac:dyDescent="0.3">
      <c r="A4257">
        <v>212800</v>
      </c>
      <c r="B4257" t="s">
        <v>85706</v>
      </c>
      <c r="C4257" t="s">
        <v>85707</v>
      </c>
      <c r="D4257" t="s">
        <v>85708</v>
      </c>
      <c r="E4257" t="s">
        <v>85709</v>
      </c>
      <c r="F4257" t="s">
        <v>85710</v>
      </c>
      <c r="G4257" t="s">
        <v>85711</v>
      </c>
      <c r="H4257" t="s">
        <v>85712</v>
      </c>
      <c r="I4257" t="s">
        <v>85713</v>
      </c>
      <c r="J4257" t="s">
        <v>85714</v>
      </c>
      <c r="K4257" t="s">
        <v>85715</v>
      </c>
      <c r="L4257" t="s">
        <v>85716</v>
      </c>
      <c r="M4257" t="s">
        <v>85717</v>
      </c>
      <c r="N4257" t="s">
        <v>85718</v>
      </c>
      <c r="O4257">
        <f>-555.167522082919 -99.3842402883661 -747.886858391241</f>
        <v>-1402.4386207625262</v>
      </c>
      <c r="P4257">
        <f>-584.421047214811 -119.782157124769 -433.380366328317</f>
        <v>-1137.583570667897</v>
      </c>
      <c r="Q4257">
        <f>-353.098635739649 -3.84854928651482 -459.674925924068</f>
        <v>-816.6221109502319</v>
      </c>
      <c r="R4257" t="s">
        <v>85719</v>
      </c>
      <c r="S4257" t="s">
        <v>85720</v>
      </c>
      <c r="T4257" t="s">
        <v>85721</v>
      </c>
      <c r="U4257" t="s">
        <v>85722</v>
      </c>
      <c r="V4257" t="s">
        <v>85723</v>
      </c>
      <c r="W4257" t="s">
        <v>85724</v>
      </c>
      <c r="X4257" t="s">
        <v>85725</v>
      </c>
      <c r="Y4257" t="s">
        <v>85726</v>
      </c>
    </row>
    <row r="4258" spans="1:25" x14ac:dyDescent="0.3">
      <c r="A4258">
        <v>212850</v>
      </c>
      <c r="B4258" t="s">
        <v>85727</v>
      </c>
      <c r="C4258" t="s">
        <v>85728</v>
      </c>
      <c r="D4258" t="s">
        <v>85729</v>
      </c>
      <c r="E4258" t="s">
        <v>85730</v>
      </c>
      <c r="F4258" t="s">
        <v>85731</v>
      </c>
      <c r="G4258" t="s">
        <v>85732</v>
      </c>
      <c r="H4258" t="s">
        <v>85733</v>
      </c>
      <c r="I4258" t="s">
        <v>85734</v>
      </c>
      <c r="J4258" t="s">
        <v>85735</v>
      </c>
      <c r="K4258" t="s">
        <v>85736</v>
      </c>
      <c r="L4258" t="s">
        <v>85737</v>
      </c>
      <c r="M4258" t="s">
        <v>85738</v>
      </c>
      <c r="N4258" t="s">
        <v>85739</v>
      </c>
      <c r="O4258">
        <f>-554.732833205594 -99.4530901771476 -747.899267089857</f>
        <v>-1402.0851904725987</v>
      </c>
      <c r="P4258">
        <f>-584.082416730237 -119.683044118629 -433.390830867922</f>
        <v>-1137.156291716788</v>
      </c>
      <c r="Q4258">
        <f>-352.898241916099 -3.45398076938835 -459.596381346058</f>
        <v>-815.9486040315453</v>
      </c>
      <c r="R4258" t="s">
        <v>85740</v>
      </c>
      <c r="S4258" t="s">
        <v>85741</v>
      </c>
      <c r="T4258" t="s">
        <v>85742</v>
      </c>
      <c r="U4258" t="s">
        <v>85743</v>
      </c>
      <c r="V4258" t="s">
        <v>85744</v>
      </c>
      <c r="W4258" t="s">
        <v>85745</v>
      </c>
      <c r="X4258" t="s">
        <v>85746</v>
      </c>
      <c r="Y4258" t="s">
        <v>85747</v>
      </c>
    </row>
    <row r="4259" spans="1:25" x14ac:dyDescent="0.3">
      <c r="A4259">
        <v>212900</v>
      </c>
      <c r="B4259" t="s">
        <v>85748</v>
      </c>
      <c r="C4259" t="s">
        <v>85749</v>
      </c>
      <c r="D4259" t="s">
        <v>85750</v>
      </c>
      <c r="E4259" t="s">
        <v>85751</v>
      </c>
      <c r="F4259" t="s">
        <v>85752</v>
      </c>
      <c r="G4259" t="s">
        <v>85753</v>
      </c>
      <c r="H4259" t="s">
        <v>85754</v>
      </c>
      <c r="I4259" t="s">
        <v>85755</v>
      </c>
      <c r="J4259" t="s">
        <v>85756</v>
      </c>
      <c r="K4259" t="s">
        <v>85757</v>
      </c>
      <c r="L4259" t="s">
        <v>85758</v>
      </c>
      <c r="M4259" t="s">
        <v>85759</v>
      </c>
      <c r="N4259" t="s">
        <v>85760</v>
      </c>
      <c r="O4259">
        <f>-554.425713081143 -99.5349703859092 -747.820518041852</f>
        <v>-1401.7812015089044</v>
      </c>
      <c r="P4259">
        <f>-583.832889575578 -119.754350850757 -433.316803102126</f>
        <v>-1136.904043528461</v>
      </c>
      <c r="Q4259">
        <f>-352.744334639314 -3.31775246476234 -459.444905381833</f>
        <v>-815.50699248590934</v>
      </c>
      <c r="R4259" t="s">
        <v>85761</v>
      </c>
      <c r="S4259" t="s">
        <v>85762</v>
      </c>
      <c r="T4259" t="s">
        <v>85763</v>
      </c>
      <c r="U4259" t="s">
        <v>85764</v>
      </c>
      <c r="V4259" t="s">
        <v>85765</v>
      </c>
      <c r="W4259" t="s">
        <v>85766</v>
      </c>
      <c r="X4259" t="s">
        <v>85767</v>
      </c>
      <c r="Y4259" t="s">
        <v>85768</v>
      </c>
    </row>
    <row r="4260" spans="1:25" x14ac:dyDescent="0.3">
      <c r="A4260">
        <v>212950</v>
      </c>
      <c r="B4260" t="s">
        <v>85769</v>
      </c>
      <c r="C4260" t="s">
        <v>85770</v>
      </c>
      <c r="D4260" t="s">
        <v>85771</v>
      </c>
      <c r="E4260" t="s">
        <v>85772</v>
      </c>
      <c r="F4260" t="s">
        <v>85773</v>
      </c>
      <c r="G4260" t="s">
        <v>85774</v>
      </c>
      <c r="H4260" t="s">
        <v>85775</v>
      </c>
      <c r="I4260" t="s">
        <v>85776</v>
      </c>
      <c r="J4260" t="s">
        <v>85777</v>
      </c>
      <c r="K4260" t="s">
        <v>85778</v>
      </c>
      <c r="L4260" t="s">
        <v>85779</v>
      </c>
      <c r="M4260" t="s">
        <v>85780</v>
      </c>
      <c r="N4260" t="s">
        <v>85781</v>
      </c>
      <c r="O4260">
        <f>-554.029801333989 -99.5938125687937 -747.65257632145</f>
        <v>-1401.2761902242328</v>
      </c>
      <c r="P4260">
        <f>-583.528372781081 -119.580257782581 -433.142435054308</f>
        <v>-1136.25106561797</v>
      </c>
      <c r="Q4260">
        <f>-352.649836330601 -2.70600514513612 -459.172228149141</f>
        <v>-814.52806962487807</v>
      </c>
      <c r="R4260" t="s">
        <v>85782</v>
      </c>
      <c r="S4260" t="s">
        <v>85783</v>
      </c>
      <c r="T4260" t="s">
        <v>85784</v>
      </c>
      <c r="U4260" t="s">
        <v>85785</v>
      </c>
      <c r="V4260" t="s">
        <v>85786</v>
      </c>
      <c r="W4260" t="s">
        <v>85787</v>
      </c>
      <c r="X4260" t="s">
        <v>85788</v>
      </c>
      <c r="Y4260" t="s">
        <v>85789</v>
      </c>
    </row>
    <row r="4261" spans="1:25" x14ac:dyDescent="0.3">
      <c r="A4261">
        <v>213000</v>
      </c>
      <c r="B4261" t="s">
        <v>85790</v>
      </c>
      <c r="C4261" t="s">
        <v>85791</v>
      </c>
      <c r="D4261" t="s">
        <v>85792</v>
      </c>
      <c r="E4261" t="s">
        <v>85793</v>
      </c>
      <c r="F4261" t="s">
        <v>85794</v>
      </c>
      <c r="G4261" t="s">
        <v>85795</v>
      </c>
      <c r="H4261" t="s">
        <v>85796</v>
      </c>
      <c r="I4261" t="s">
        <v>85797</v>
      </c>
      <c r="J4261" t="s">
        <v>85798</v>
      </c>
      <c r="K4261" t="s">
        <v>85799</v>
      </c>
      <c r="L4261" t="s">
        <v>85800</v>
      </c>
      <c r="M4261" t="s">
        <v>85801</v>
      </c>
      <c r="N4261" t="s">
        <v>85802</v>
      </c>
      <c r="O4261">
        <f>-553.554672726116 -99.7092742202366 -747.601359442399</f>
        <v>-1400.8653063887516</v>
      </c>
      <c r="P4261">
        <f>-583.023565555921 -119.735254652521 -433.091045715482</f>
        <v>-1135.849865923924</v>
      </c>
      <c r="Q4261">
        <f>-352.245654694553 -2.66293851653998 -459.123501862527</f>
        <v>-814.03209507361998</v>
      </c>
      <c r="R4261" t="s">
        <v>85803</v>
      </c>
      <c r="S4261" t="s">
        <v>85804</v>
      </c>
      <c r="T4261" t="s">
        <v>85805</v>
      </c>
      <c r="U4261" t="s">
        <v>85806</v>
      </c>
      <c r="V4261" t="s">
        <v>85807</v>
      </c>
      <c r="W4261" t="s">
        <v>85808</v>
      </c>
      <c r="X4261" t="s">
        <v>85809</v>
      </c>
      <c r="Y4261" t="s">
        <v>85810</v>
      </c>
    </row>
    <row r="4262" spans="1:25" x14ac:dyDescent="0.3">
      <c r="A4262">
        <v>213050</v>
      </c>
      <c r="B4262" t="s">
        <v>85811</v>
      </c>
      <c r="C4262" t="s">
        <v>85812</v>
      </c>
      <c r="D4262" t="s">
        <v>85813</v>
      </c>
      <c r="E4262" t="s">
        <v>85814</v>
      </c>
      <c r="F4262" t="s">
        <v>85815</v>
      </c>
      <c r="G4262" t="s">
        <v>85816</v>
      </c>
      <c r="H4262" t="s">
        <v>85817</v>
      </c>
      <c r="I4262" t="s">
        <v>85818</v>
      </c>
      <c r="J4262" t="s">
        <v>85819</v>
      </c>
      <c r="K4262" t="s">
        <v>85820</v>
      </c>
      <c r="L4262" t="s">
        <v>85821</v>
      </c>
      <c r="M4262" t="s">
        <v>85822</v>
      </c>
      <c r="N4262" t="s">
        <v>85823</v>
      </c>
      <c r="O4262">
        <f>-552.988168146398 -100.013603860538 -747.417624398469</f>
        <v>-1400.419396405405</v>
      </c>
      <c r="P4262">
        <f>-582.453052922729 -119.959072055602 -432.901840972346</f>
        <v>-1135.3139659506769</v>
      </c>
      <c r="Q4262">
        <f>-351.906206768669 -2.47281849520833 -459.11605675634</f>
        <v>-813.4950820202173</v>
      </c>
      <c r="R4262" t="s">
        <v>85824</v>
      </c>
      <c r="S4262" t="s">
        <v>85825</v>
      </c>
      <c r="T4262" t="s">
        <v>85826</v>
      </c>
      <c r="U4262" t="s">
        <v>85827</v>
      </c>
      <c r="V4262" t="s">
        <v>85828</v>
      </c>
      <c r="W4262" t="s">
        <v>85829</v>
      </c>
      <c r="X4262" t="s">
        <v>85830</v>
      </c>
      <c r="Y4262" t="s">
        <v>85831</v>
      </c>
    </row>
    <row r="4263" spans="1:25" x14ac:dyDescent="0.3">
      <c r="A4263">
        <v>213100</v>
      </c>
      <c r="B4263" t="s">
        <v>85832</v>
      </c>
      <c r="C4263" t="s">
        <v>85833</v>
      </c>
      <c r="D4263" t="s">
        <v>85834</v>
      </c>
      <c r="E4263" t="s">
        <v>85835</v>
      </c>
      <c r="F4263" t="s">
        <v>85836</v>
      </c>
      <c r="G4263" t="s">
        <v>85837</v>
      </c>
      <c r="H4263" t="s">
        <v>85838</v>
      </c>
      <c r="I4263" t="s">
        <v>85839</v>
      </c>
      <c r="J4263" t="s">
        <v>85840</v>
      </c>
      <c r="K4263" t="s">
        <v>85841</v>
      </c>
      <c r="L4263" t="s">
        <v>85842</v>
      </c>
      <c r="M4263" t="s">
        <v>85843</v>
      </c>
      <c r="N4263" t="s">
        <v>85844</v>
      </c>
      <c r="O4263">
        <f>-552.574909154391 -100.184407568985 -747.382687967748</f>
        <v>-1400.1420046911239</v>
      </c>
      <c r="P4263">
        <f>-582.010638934125 -120.126659680013 -432.863969822926</f>
        <v>-1135.001268437064</v>
      </c>
      <c r="Q4263">
        <f>-351.583569470217 -2.41431715173707 -459.116296171821</f>
        <v>-813.11418279377506</v>
      </c>
      <c r="R4263" t="s">
        <v>85845</v>
      </c>
      <c r="S4263" t="s">
        <v>85846</v>
      </c>
      <c r="T4263" t="s">
        <v>85847</v>
      </c>
      <c r="U4263" t="s">
        <v>85848</v>
      </c>
      <c r="V4263" t="s">
        <v>85849</v>
      </c>
      <c r="W4263" t="s">
        <v>85850</v>
      </c>
      <c r="X4263" t="s">
        <v>85851</v>
      </c>
      <c r="Y4263" t="s">
        <v>85852</v>
      </c>
    </row>
    <row r="4264" spans="1:25" x14ac:dyDescent="0.3">
      <c r="A4264">
        <v>213150</v>
      </c>
      <c r="B4264" t="s">
        <v>85853</v>
      </c>
      <c r="C4264" t="s">
        <v>85854</v>
      </c>
      <c r="D4264" t="s">
        <v>85855</v>
      </c>
      <c r="E4264" t="s">
        <v>85856</v>
      </c>
      <c r="F4264" t="s">
        <v>85857</v>
      </c>
      <c r="G4264" t="s">
        <v>85858</v>
      </c>
      <c r="H4264" t="s">
        <v>85859</v>
      </c>
      <c r="I4264" t="s">
        <v>85860</v>
      </c>
      <c r="J4264" t="s">
        <v>85861</v>
      </c>
      <c r="K4264" t="s">
        <v>85862</v>
      </c>
      <c r="L4264" t="s">
        <v>85863</v>
      </c>
      <c r="M4264" t="s">
        <v>85864</v>
      </c>
      <c r="N4264" t="s">
        <v>85865</v>
      </c>
      <c r="O4264">
        <f>-552.291038681951 -100.291282304999 -747.212591014751</f>
        <v>-1399.7949120017011</v>
      </c>
      <c r="P4264">
        <f>-581.657097998421 -120.189574174158 -432.684429292225</f>
        <v>-1134.5311014648041</v>
      </c>
      <c r="Q4264">
        <f>-351.438519678235 -2.09742064923248 -459.060190540127</f>
        <v>-812.59613086759452</v>
      </c>
      <c r="R4264" t="s">
        <v>85866</v>
      </c>
      <c r="S4264" t="s">
        <v>85867</v>
      </c>
      <c r="T4264" t="s">
        <v>85868</v>
      </c>
      <c r="U4264" t="s">
        <v>85869</v>
      </c>
      <c r="V4264" t="s">
        <v>85870</v>
      </c>
      <c r="W4264" t="s">
        <v>85871</v>
      </c>
      <c r="X4264" t="s">
        <v>85872</v>
      </c>
      <c r="Y4264" t="s">
        <v>85873</v>
      </c>
    </row>
    <row r="4265" spans="1:25" x14ac:dyDescent="0.3">
      <c r="A4265">
        <v>213200</v>
      </c>
      <c r="B4265" t="s">
        <v>85874</v>
      </c>
      <c r="C4265" t="s">
        <v>85875</v>
      </c>
      <c r="D4265" t="s">
        <v>85876</v>
      </c>
      <c r="E4265" t="s">
        <v>85877</v>
      </c>
      <c r="F4265" t="s">
        <v>85878</v>
      </c>
      <c r="G4265" t="s">
        <v>85879</v>
      </c>
      <c r="H4265" t="s">
        <v>85880</v>
      </c>
      <c r="I4265" t="s">
        <v>85881</v>
      </c>
      <c r="J4265" t="s">
        <v>85882</v>
      </c>
      <c r="K4265" t="s">
        <v>85883</v>
      </c>
      <c r="L4265" t="s">
        <v>85884</v>
      </c>
      <c r="M4265" t="s">
        <v>85885</v>
      </c>
      <c r="N4265" t="s">
        <v>85886</v>
      </c>
      <c r="O4265">
        <f>-552.074716401832 -100.270213525315 -747.148699484134</f>
        <v>-1399.4936294112808</v>
      </c>
      <c r="P4265">
        <f>-581.388506800199 -120.078512121899 -432.610021543552</f>
        <v>-1134.07704046565</v>
      </c>
      <c r="Q4265">
        <f>-351.236847019901 -1.85627262405643 -458.987475445507</f>
        <v>-812.0805950894644</v>
      </c>
      <c r="R4265" t="s">
        <v>85887</v>
      </c>
      <c r="S4265" t="s">
        <v>85888</v>
      </c>
      <c r="T4265" t="s">
        <v>85889</v>
      </c>
      <c r="U4265" t="s">
        <v>85890</v>
      </c>
      <c r="V4265" t="s">
        <v>85891</v>
      </c>
      <c r="W4265" t="s">
        <v>85892</v>
      </c>
      <c r="X4265" t="s">
        <v>85893</v>
      </c>
      <c r="Y4265" t="s">
        <v>85894</v>
      </c>
    </row>
    <row r="4266" spans="1:25" x14ac:dyDescent="0.3">
      <c r="A4266">
        <v>213250</v>
      </c>
      <c r="B4266" t="s">
        <v>85895</v>
      </c>
      <c r="C4266" t="s">
        <v>85896</v>
      </c>
      <c r="D4266" t="s">
        <v>85897</v>
      </c>
      <c r="E4266" t="s">
        <v>85898</v>
      </c>
      <c r="F4266" t="s">
        <v>85899</v>
      </c>
      <c r="G4266" t="s">
        <v>85900</v>
      </c>
      <c r="H4266" t="s">
        <v>85901</v>
      </c>
      <c r="I4266" t="s">
        <v>85902</v>
      </c>
      <c r="J4266" t="s">
        <v>85903</v>
      </c>
      <c r="K4266" t="s">
        <v>85904</v>
      </c>
      <c r="L4266" t="s">
        <v>85905</v>
      </c>
      <c r="M4266" t="s">
        <v>85906</v>
      </c>
      <c r="N4266" t="s">
        <v>85907</v>
      </c>
      <c r="O4266">
        <f>-551.690844275112 -100.393084868992 -746.968632940296</f>
        <v>-1399.0525620844001</v>
      </c>
      <c r="P4266">
        <f>-580.910909929494 -119.90105104138 -432.402563411155</f>
        <v>-1133.2145243820289</v>
      </c>
      <c r="Q4266">
        <f>-350.833391419402 -1.53575371352512 -458.785439693482</f>
        <v>-811.15458482640906</v>
      </c>
      <c r="R4266" t="s">
        <v>85908</v>
      </c>
      <c r="S4266" t="s">
        <v>85909</v>
      </c>
      <c r="T4266" t="s">
        <v>85910</v>
      </c>
      <c r="U4266" t="s">
        <v>85911</v>
      </c>
      <c r="V4266" t="s">
        <v>85912</v>
      </c>
      <c r="W4266" t="s">
        <v>85913</v>
      </c>
      <c r="X4266" t="s">
        <v>85914</v>
      </c>
      <c r="Y4266" t="s">
        <v>85915</v>
      </c>
    </row>
    <row r="4267" spans="1:25" x14ac:dyDescent="0.3">
      <c r="A4267">
        <v>213300</v>
      </c>
      <c r="B4267" t="s">
        <v>85916</v>
      </c>
      <c r="C4267" t="s">
        <v>85917</v>
      </c>
      <c r="D4267" t="s">
        <v>85918</v>
      </c>
      <c r="E4267" t="s">
        <v>85919</v>
      </c>
      <c r="F4267" t="s">
        <v>85920</v>
      </c>
      <c r="G4267" t="s">
        <v>85921</v>
      </c>
      <c r="H4267" t="s">
        <v>85922</v>
      </c>
      <c r="I4267" t="s">
        <v>85923</v>
      </c>
      <c r="J4267" t="s">
        <v>85924</v>
      </c>
      <c r="K4267" t="s">
        <v>85925</v>
      </c>
      <c r="L4267" t="s">
        <v>85926</v>
      </c>
      <c r="M4267" t="s">
        <v>85927</v>
      </c>
      <c r="N4267" t="s">
        <v>85928</v>
      </c>
      <c r="O4267">
        <f>-551.664426501981 -100.489694772258 -746.858456350442</f>
        <v>-1399.0125776246809</v>
      </c>
      <c r="P4267">
        <f>-580.783960015526 -119.875761526969 -432.275416714651</f>
        <v>-1132.9351382571458</v>
      </c>
      <c r="Q4267">
        <f>-350.743379710098 -1.44159482084586 -458.670779472747</f>
        <v>-810.85575400369089</v>
      </c>
      <c r="R4267" t="s">
        <v>85929</v>
      </c>
      <c r="S4267" t="s">
        <v>85930</v>
      </c>
      <c r="T4267" t="s">
        <v>85931</v>
      </c>
      <c r="U4267" t="s">
        <v>85932</v>
      </c>
      <c r="V4267" t="s">
        <v>85933</v>
      </c>
      <c r="W4267" t="s">
        <v>85934</v>
      </c>
      <c r="X4267" t="s">
        <v>85935</v>
      </c>
      <c r="Y4267" t="s">
        <v>85936</v>
      </c>
    </row>
    <row r="4268" spans="1:25" x14ac:dyDescent="0.3">
      <c r="A4268">
        <v>213350</v>
      </c>
      <c r="B4268" t="s">
        <v>85937</v>
      </c>
      <c r="C4268" t="s">
        <v>85938</v>
      </c>
      <c r="D4268" t="s">
        <v>85939</v>
      </c>
      <c r="E4268" t="s">
        <v>85940</v>
      </c>
      <c r="F4268" t="s">
        <v>85941</v>
      </c>
      <c r="G4268" t="s">
        <v>85942</v>
      </c>
      <c r="H4268" t="s">
        <v>85943</v>
      </c>
      <c r="I4268" t="s">
        <v>85944</v>
      </c>
      <c r="J4268" t="s">
        <v>85945</v>
      </c>
      <c r="K4268" t="s">
        <v>85946</v>
      </c>
      <c r="L4268" t="s">
        <v>85947</v>
      </c>
      <c r="M4268" t="s">
        <v>85948</v>
      </c>
      <c r="N4268" t="s">
        <v>85949</v>
      </c>
      <c r="O4268">
        <f>-551.70342120027 -100.471956102543 -746.583107936124</f>
        <v>-1398.7584852389368</v>
      </c>
      <c r="P4268">
        <f>-580.749439512212 -119.636540838216 -431.979942301812</f>
        <v>-1132.36592265224</v>
      </c>
      <c r="Q4268">
        <f>-350.670531515958 -1.29035264554173 -458.436075878922</f>
        <v>-810.39696004042162</v>
      </c>
      <c r="R4268" t="s">
        <v>85950</v>
      </c>
      <c r="S4268" t="s">
        <v>85951</v>
      </c>
      <c r="T4268" t="s">
        <v>85952</v>
      </c>
      <c r="U4268" t="s">
        <v>85953</v>
      </c>
      <c r="V4268" t="s">
        <v>85954</v>
      </c>
      <c r="W4268" t="s">
        <v>85955</v>
      </c>
      <c r="X4268" t="s">
        <v>85956</v>
      </c>
      <c r="Y4268" t="s">
        <v>85957</v>
      </c>
    </row>
    <row r="4269" spans="1:25" x14ac:dyDescent="0.3">
      <c r="A4269">
        <v>213400</v>
      </c>
      <c r="B4269" t="s">
        <v>85958</v>
      </c>
      <c r="C4269" t="s">
        <v>85959</v>
      </c>
      <c r="D4269" t="s">
        <v>85960</v>
      </c>
      <c r="E4269" t="s">
        <v>85961</v>
      </c>
      <c r="F4269" t="s">
        <v>85962</v>
      </c>
      <c r="G4269" t="s">
        <v>85963</v>
      </c>
      <c r="H4269" t="s">
        <v>85964</v>
      </c>
      <c r="I4269" t="s">
        <v>85965</v>
      </c>
      <c r="J4269" t="s">
        <v>85966</v>
      </c>
      <c r="K4269" t="s">
        <v>85967</v>
      </c>
      <c r="L4269" t="s">
        <v>85968</v>
      </c>
      <c r="M4269" t="s">
        <v>85969</v>
      </c>
      <c r="N4269" t="s">
        <v>85970</v>
      </c>
      <c r="O4269">
        <f>-551.926357408337 -100.421721830352 -746.430537836956</f>
        <v>-1398.7786170756449</v>
      </c>
      <c r="P4269">
        <f>-580.885942105385 -119.459337351227 -431.811621578553</f>
        <v>-1132.156901035165</v>
      </c>
      <c r="Q4269">
        <f>-350.824920535123 -1.09948166329642 -458.362154211497</f>
        <v>-810.28655640991644</v>
      </c>
      <c r="R4269" t="s">
        <v>85971</v>
      </c>
      <c r="S4269" t="s">
        <v>85972</v>
      </c>
      <c r="T4269" t="s">
        <v>85973</v>
      </c>
      <c r="U4269" t="s">
        <v>85974</v>
      </c>
      <c r="V4269" t="s">
        <v>85975</v>
      </c>
      <c r="W4269" t="s">
        <v>85976</v>
      </c>
      <c r="X4269" t="s">
        <v>85977</v>
      </c>
      <c r="Y4269" t="s">
        <v>85978</v>
      </c>
    </row>
    <row r="4270" spans="1:25" x14ac:dyDescent="0.3">
      <c r="A4270">
        <v>213450</v>
      </c>
      <c r="B4270" t="s">
        <v>85979</v>
      </c>
      <c r="C4270" t="s">
        <v>85980</v>
      </c>
      <c r="D4270" t="s">
        <v>85981</v>
      </c>
      <c r="E4270" t="s">
        <v>85982</v>
      </c>
      <c r="F4270" t="s">
        <v>85983</v>
      </c>
      <c r="G4270" t="s">
        <v>85984</v>
      </c>
      <c r="H4270" t="s">
        <v>85985</v>
      </c>
      <c r="I4270" t="s">
        <v>85986</v>
      </c>
      <c r="J4270" t="s">
        <v>85987</v>
      </c>
      <c r="K4270" t="s">
        <v>85988</v>
      </c>
      <c r="L4270" t="s">
        <v>85989</v>
      </c>
      <c r="M4270" t="s">
        <v>85990</v>
      </c>
      <c r="N4270" t="s">
        <v>85991</v>
      </c>
      <c r="O4270">
        <f>-552.673553411575 -100.534363599043 -746.284140847764</f>
        <v>-1399.4920578583819</v>
      </c>
      <c r="P4270">
        <f>-581.345088019679 -119.539509910894 -431.636862266383</f>
        <v>-1132.521460196956</v>
      </c>
      <c r="Q4270">
        <f>-351.312847930544 -1.16199130351782 -458.357263110591</f>
        <v>-810.83210234465287</v>
      </c>
      <c r="R4270" t="s">
        <v>85992</v>
      </c>
      <c r="S4270" t="s">
        <v>85993</v>
      </c>
      <c r="T4270" t="s">
        <v>85994</v>
      </c>
      <c r="U4270" t="s">
        <v>85995</v>
      </c>
      <c r="V4270" t="s">
        <v>85996</v>
      </c>
      <c r="W4270" t="s">
        <v>85997</v>
      </c>
      <c r="X4270" t="s">
        <v>85998</v>
      </c>
      <c r="Y4270" t="s">
        <v>85999</v>
      </c>
    </row>
    <row r="4271" spans="1:25" x14ac:dyDescent="0.3">
      <c r="A4271">
        <v>213500</v>
      </c>
      <c r="B4271" t="s">
        <v>86000</v>
      </c>
      <c r="C4271" t="s">
        <v>86001</v>
      </c>
      <c r="D4271" t="s">
        <v>86002</v>
      </c>
      <c r="E4271" t="s">
        <v>86003</v>
      </c>
      <c r="F4271" t="s">
        <v>86004</v>
      </c>
      <c r="G4271" t="s">
        <v>86005</v>
      </c>
      <c r="H4271" t="s">
        <v>86006</v>
      </c>
      <c r="I4271" t="s">
        <v>86007</v>
      </c>
      <c r="J4271" t="s">
        <v>86008</v>
      </c>
      <c r="K4271" t="s">
        <v>86009</v>
      </c>
      <c r="L4271" t="s">
        <v>86010</v>
      </c>
      <c r="M4271" t="s">
        <v>86011</v>
      </c>
      <c r="N4271" t="s">
        <v>86012</v>
      </c>
      <c r="O4271">
        <f>-553.027086779133 -100.612997896193 -746.283674349989</f>
        <v>-1399.9237590253151</v>
      </c>
      <c r="P4271">
        <f>-581.501528520896 -119.604511458549 -431.617590900474</f>
        <v>-1132.723630879919</v>
      </c>
      <c r="Q4271">
        <f>-351.497516321843 -1.19854037197143 -458.454505167972</f>
        <v>-811.1505618617864</v>
      </c>
      <c r="R4271" t="s">
        <v>86013</v>
      </c>
      <c r="S4271" t="s">
        <v>86014</v>
      </c>
      <c r="T4271" t="s">
        <v>86015</v>
      </c>
      <c r="U4271" t="s">
        <v>86016</v>
      </c>
      <c r="V4271" t="s">
        <v>86017</v>
      </c>
      <c r="W4271" t="s">
        <v>86018</v>
      </c>
      <c r="X4271" t="s">
        <v>86019</v>
      </c>
      <c r="Y4271" t="s">
        <v>86020</v>
      </c>
    </row>
    <row r="4272" spans="1:25" x14ac:dyDescent="0.3">
      <c r="A4272">
        <v>213550</v>
      </c>
      <c r="B4272" t="s">
        <v>86021</v>
      </c>
      <c r="C4272" t="s">
        <v>86022</v>
      </c>
      <c r="D4272" t="s">
        <v>86023</v>
      </c>
      <c r="E4272" t="s">
        <v>86024</v>
      </c>
      <c r="F4272" t="s">
        <v>86025</v>
      </c>
      <c r="G4272" t="s">
        <v>86026</v>
      </c>
      <c r="H4272" t="s">
        <v>86027</v>
      </c>
      <c r="I4272" t="s">
        <v>86028</v>
      </c>
      <c r="J4272" t="s">
        <v>86029</v>
      </c>
      <c r="K4272" t="s">
        <v>86030</v>
      </c>
      <c r="L4272" t="s">
        <v>86031</v>
      </c>
      <c r="M4272" t="s">
        <v>86032</v>
      </c>
      <c r="N4272" t="s">
        <v>86033</v>
      </c>
      <c r="O4272">
        <f>-553.817461170379 -100.737957102451 -746.315807295675</f>
        <v>-1400.871225568505</v>
      </c>
      <c r="P4272">
        <f>-582.044987266526 -119.799272030653 -431.63172272903</f>
        <v>-1133.4759820262091</v>
      </c>
      <c r="Q4272">
        <f>-352.13371317384 -1.25671391851731 -458.65982222044</f>
        <v>-812.0502493127974</v>
      </c>
      <c r="R4272" t="s">
        <v>86034</v>
      </c>
      <c r="S4272" t="s">
        <v>86035</v>
      </c>
      <c r="T4272" t="s">
        <v>86036</v>
      </c>
      <c r="U4272" t="s">
        <v>86037</v>
      </c>
      <c r="V4272" t="s">
        <v>86038</v>
      </c>
      <c r="W4272" t="s">
        <v>86039</v>
      </c>
      <c r="X4272" t="s">
        <v>86040</v>
      </c>
      <c r="Y4272" t="s">
        <v>86041</v>
      </c>
    </row>
    <row r="4273" spans="1:25" x14ac:dyDescent="0.3">
      <c r="A4273">
        <v>213600</v>
      </c>
      <c r="B4273" t="s">
        <v>86042</v>
      </c>
      <c r="C4273" t="s">
        <v>86043</v>
      </c>
      <c r="D4273" t="s">
        <v>86044</v>
      </c>
      <c r="E4273" t="s">
        <v>86045</v>
      </c>
      <c r="F4273" t="s">
        <v>86046</v>
      </c>
      <c r="G4273" t="s">
        <v>86047</v>
      </c>
      <c r="H4273" t="s">
        <v>86048</v>
      </c>
      <c r="I4273" t="s">
        <v>86049</v>
      </c>
      <c r="J4273" t="s">
        <v>86050</v>
      </c>
      <c r="K4273" t="s">
        <v>86051</v>
      </c>
      <c r="L4273" t="s">
        <v>86052</v>
      </c>
      <c r="M4273" t="s">
        <v>86053</v>
      </c>
      <c r="N4273" t="s">
        <v>86054</v>
      </c>
      <c r="O4273">
        <f>-554.203081063589 -100.852436704245 -746.314932907272</f>
        <v>-1401.370450675106</v>
      </c>
      <c r="P4273">
        <f>-582.221703858077 -119.998222503031 -431.617392102123</f>
        <v>-1133.837318463231</v>
      </c>
      <c r="Q4273">
        <f>-352.374825603843 -1.35649324183488 -458.757946914927</f>
        <v>-812.48926576060489</v>
      </c>
      <c r="R4273" t="s">
        <v>86055</v>
      </c>
      <c r="S4273" t="s">
        <v>86056</v>
      </c>
      <c r="T4273" t="s">
        <v>86057</v>
      </c>
      <c r="U4273" t="s">
        <v>86058</v>
      </c>
      <c r="V4273" t="s">
        <v>86059</v>
      </c>
      <c r="W4273" t="s">
        <v>86060</v>
      </c>
      <c r="X4273" t="s">
        <v>86061</v>
      </c>
      <c r="Y4273" t="s">
        <v>86062</v>
      </c>
    </row>
    <row r="4274" spans="1:25" x14ac:dyDescent="0.3">
      <c r="A4274">
        <v>213650</v>
      </c>
      <c r="B4274" t="s">
        <v>86063</v>
      </c>
      <c r="C4274" t="s">
        <v>86064</v>
      </c>
      <c r="D4274" t="s">
        <v>86065</v>
      </c>
      <c r="E4274" t="s">
        <v>86066</v>
      </c>
      <c r="F4274" t="s">
        <v>86067</v>
      </c>
      <c r="G4274" t="s">
        <v>86068</v>
      </c>
      <c r="H4274" t="s">
        <v>86069</v>
      </c>
      <c r="I4274" t="s">
        <v>86070</v>
      </c>
      <c r="J4274" t="s">
        <v>86071</v>
      </c>
      <c r="K4274" t="s">
        <v>86072</v>
      </c>
      <c r="L4274" t="s">
        <v>86073</v>
      </c>
      <c r="M4274" t="s">
        <v>86074</v>
      </c>
      <c r="N4274" t="s">
        <v>86075</v>
      </c>
      <c r="O4274">
        <f>-554.341449166834 -101.522714078525 -746.306564055117</f>
        <v>-1402.1707273004758</v>
      </c>
      <c r="P4274">
        <f>-582.059423538005 -120.906760599076 -431.596851181244</f>
        <v>-1134.5630353183251</v>
      </c>
      <c r="Q4274">
        <f>-352.335118466709 -2.0979079972613 -459.042044824227</f>
        <v>-813.47507128819734</v>
      </c>
      <c r="R4274" t="s">
        <v>86076</v>
      </c>
      <c r="S4274" t="s">
        <v>86077</v>
      </c>
      <c r="T4274" t="s">
        <v>86078</v>
      </c>
      <c r="U4274" t="s">
        <v>86079</v>
      </c>
      <c r="V4274" t="s">
        <v>86080</v>
      </c>
      <c r="W4274" t="s">
        <v>86081</v>
      </c>
      <c r="X4274" t="s">
        <v>86082</v>
      </c>
      <c r="Y4274" t="s">
        <v>86083</v>
      </c>
    </row>
    <row r="4275" spans="1:25" x14ac:dyDescent="0.3">
      <c r="A4275">
        <v>213700</v>
      </c>
      <c r="B4275" t="s">
        <v>86084</v>
      </c>
      <c r="C4275" t="s">
        <v>86085</v>
      </c>
      <c r="D4275" t="s">
        <v>86086</v>
      </c>
      <c r="E4275" t="s">
        <v>86087</v>
      </c>
      <c r="F4275" t="s">
        <v>86088</v>
      </c>
      <c r="G4275" t="s">
        <v>86089</v>
      </c>
      <c r="H4275" t="s">
        <v>86090</v>
      </c>
      <c r="I4275" t="s">
        <v>86091</v>
      </c>
      <c r="J4275" t="s">
        <v>86092</v>
      </c>
      <c r="K4275" t="s">
        <v>86093</v>
      </c>
      <c r="L4275" t="s">
        <v>86094</v>
      </c>
      <c r="M4275" t="s">
        <v>86095</v>
      </c>
      <c r="N4275" t="s">
        <v>86096</v>
      </c>
      <c r="O4275">
        <f>-554.651497522071 -101.614969091808 -746.331598570347</f>
        <v>-1402.598065184226</v>
      </c>
      <c r="P4275">
        <f>-582.245540181278 -121.096840903581 -431.617108082737</f>
        <v>-1134.9594891675961</v>
      </c>
      <c r="Q4275">
        <f>-352.581810464752 -2.20589538619564 -459.213571597788</f>
        <v>-814.00127744873566</v>
      </c>
      <c r="R4275" t="s">
        <v>86097</v>
      </c>
      <c r="S4275" t="s">
        <v>86098</v>
      </c>
      <c r="T4275" t="s">
        <v>86099</v>
      </c>
      <c r="U4275" t="s">
        <v>86100</v>
      </c>
      <c r="V4275" t="s">
        <v>86101</v>
      </c>
      <c r="W4275" t="s">
        <v>86102</v>
      </c>
      <c r="X4275" t="s">
        <v>86103</v>
      </c>
      <c r="Y4275" t="s">
        <v>86104</v>
      </c>
    </row>
    <row r="4276" spans="1:25" x14ac:dyDescent="0.3">
      <c r="A4276">
        <v>213750</v>
      </c>
      <c r="B4276" t="s">
        <v>86105</v>
      </c>
      <c r="C4276" t="s">
        <v>86106</v>
      </c>
      <c r="D4276" t="s">
        <v>86107</v>
      </c>
      <c r="E4276" t="s">
        <v>86108</v>
      </c>
      <c r="F4276" t="s">
        <v>86109</v>
      </c>
      <c r="G4276" t="s">
        <v>86110</v>
      </c>
      <c r="H4276" t="s">
        <v>86111</v>
      </c>
      <c r="I4276" t="s">
        <v>86112</v>
      </c>
      <c r="J4276" t="s">
        <v>86113</v>
      </c>
      <c r="K4276" t="s">
        <v>86114</v>
      </c>
      <c r="L4276" t="s">
        <v>86115</v>
      </c>
      <c r="M4276" t="s">
        <v>86116</v>
      </c>
      <c r="N4276" t="s">
        <v>86117</v>
      </c>
      <c r="O4276">
        <f>-555.349215125179 -101.787555352039 -746.530262332328</f>
        <v>-1403.6670328095461</v>
      </c>
      <c r="P4276">
        <f>-582.671828933306 -121.424525868763 -431.801676592198</f>
        <v>-1135.898031394267</v>
      </c>
      <c r="Q4276">
        <f>-353.138620109752 -2.28213507205375 -459.399839898893</f>
        <v>-814.82059508069869</v>
      </c>
      <c r="R4276" t="s">
        <v>86118</v>
      </c>
      <c r="S4276" t="s">
        <v>86119</v>
      </c>
      <c r="T4276" t="s">
        <v>86120</v>
      </c>
      <c r="U4276" t="s">
        <v>86121</v>
      </c>
      <c r="V4276" t="s">
        <v>86122</v>
      </c>
      <c r="W4276" t="s">
        <v>86123</v>
      </c>
      <c r="X4276" t="s">
        <v>86124</v>
      </c>
      <c r="Y4276" t="s">
        <v>86125</v>
      </c>
    </row>
    <row r="4277" spans="1:25" x14ac:dyDescent="0.3">
      <c r="A4277">
        <v>213800</v>
      </c>
      <c r="B4277" t="s">
        <v>86126</v>
      </c>
      <c r="C4277" t="s">
        <v>86127</v>
      </c>
      <c r="D4277" t="s">
        <v>86128</v>
      </c>
      <c r="E4277" t="s">
        <v>86129</v>
      </c>
      <c r="F4277" t="s">
        <v>86130</v>
      </c>
      <c r="G4277" t="s">
        <v>86131</v>
      </c>
      <c r="H4277" t="s">
        <v>86132</v>
      </c>
      <c r="I4277" t="s">
        <v>86133</v>
      </c>
      <c r="J4277" t="s">
        <v>86134</v>
      </c>
      <c r="K4277" t="s">
        <v>86135</v>
      </c>
      <c r="L4277" t="s">
        <v>86136</v>
      </c>
      <c r="M4277" t="s">
        <v>86137</v>
      </c>
      <c r="N4277" t="s">
        <v>86138</v>
      </c>
      <c r="O4277">
        <f>-555.387565767541 -101.563269269472 -746.692500003565</f>
        <v>-1403.643335040578</v>
      </c>
      <c r="P4277">
        <f>-582.65979711753 -121.398546186942 -431.972196502454</f>
        <v>-1136.0305398069261</v>
      </c>
      <c r="Q4277">
        <f>-353.212627857269 -2.0681456826323 -459.47285418539</f>
        <v>-814.75362772529138</v>
      </c>
      <c r="R4277" t="s">
        <v>86139</v>
      </c>
      <c r="S4277" t="s">
        <v>86140</v>
      </c>
      <c r="T4277" t="s">
        <v>86141</v>
      </c>
      <c r="U4277" t="s">
        <v>86142</v>
      </c>
      <c r="V4277" t="s">
        <v>86143</v>
      </c>
      <c r="W4277" t="s">
        <v>86144</v>
      </c>
      <c r="X4277" t="s">
        <v>86145</v>
      </c>
      <c r="Y4277" t="s">
        <v>86146</v>
      </c>
    </row>
    <row r="4278" spans="1:25" x14ac:dyDescent="0.3">
      <c r="A4278">
        <v>213850</v>
      </c>
      <c r="B4278" t="s">
        <v>86147</v>
      </c>
      <c r="C4278" t="s">
        <v>86148</v>
      </c>
      <c r="D4278" t="s">
        <v>86149</v>
      </c>
      <c r="E4278" t="s">
        <v>86150</v>
      </c>
      <c r="F4278" t="s">
        <v>86151</v>
      </c>
      <c r="G4278" t="s">
        <v>86152</v>
      </c>
      <c r="H4278" t="s">
        <v>86153</v>
      </c>
      <c r="I4278" t="s">
        <v>86154</v>
      </c>
      <c r="J4278" t="s">
        <v>86155</v>
      </c>
      <c r="K4278" t="s">
        <v>86156</v>
      </c>
      <c r="L4278" t="s">
        <v>86157</v>
      </c>
      <c r="M4278" t="s">
        <v>86158</v>
      </c>
      <c r="N4278" t="s">
        <v>86159</v>
      </c>
      <c r="O4278">
        <f>-555.941096848293 -101.863237364137 -746.87378770529</f>
        <v>-1404.6781219177201</v>
      </c>
      <c r="P4278">
        <f>-583.202414192404 -122.056602134331 -432.175058236084</f>
        <v>-1137.434074562819</v>
      </c>
      <c r="Q4278">
        <f>-353.951295035521 -2.30506517934418 -459.479380117464</f>
        <v>-815.73574033232921</v>
      </c>
      <c r="R4278" t="s">
        <v>86160</v>
      </c>
      <c r="S4278" t="s">
        <v>86161</v>
      </c>
      <c r="T4278" t="s">
        <v>86162</v>
      </c>
      <c r="U4278" t="s">
        <v>86163</v>
      </c>
      <c r="V4278" t="s">
        <v>86164</v>
      </c>
      <c r="W4278" t="s">
        <v>86165</v>
      </c>
      <c r="X4278" t="s">
        <v>86166</v>
      </c>
      <c r="Y4278" t="s">
        <v>86167</v>
      </c>
    </row>
    <row r="4279" spans="1:25" x14ac:dyDescent="0.3">
      <c r="A4279">
        <v>213900</v>
      </c>
      <c r="B4279" t="s">
        <v>86168</v>
      </c>
      <c r="C4279" t="s">
        <v>86169</v>
      </c>
      <c r="D4279" t="s">
        <v>86170</v>
      </c>
      <c r="E4279" t="s">
        <v>86171</v>
      </c>
      <c r="F4279" t="s">
        <v>86172</v>
      </c>
      <c r="G4279" t="s">
        <v>86173</v>
      </c>
      <c r="H4279" t="s">
        <v>86174</v>
      </c>
      <c r="I4279" t="s">
        <v>86175</v>
      </c>
      <c r="J4279" t="s">
        <v>86176</v>
      </c>
      <c r="K4279" t="s">
        <v>86177</v>
      </c>
      <c r="L4279" t="s">
        <v>86178</v>
      </c>
      <c r="M4279" t="s">
        <v>86179</v>
      </c>
      <c r="N4279" t="s">
        <v>86180</v>
      </c>
      <c r="O4279">
        <f>-555.996568152731 -102.171366450248 -746.938246890845</f>
        <v>-1405.1061814938239</v>
      </c>
      <c r="P4279">
        <f>-583.118947728327 -122.488653679767 -432.235482335376</f>
        <v>-1137.8430837434701</v>
      </c>
      <c r="Q4279">
        <f>-353.968415324612 -2.53270976745332 -459.486908875338</f>
        <v>-815.98803396740323</v>
      </c>
      <c r="R4279" t="s">
        <v>86181</v>
      </c>
      <c r="S4279" t="s">
        <v>86182</v>
      </c>
      <c r="T4279" t="s">
        <v>86183</v>
      </c>
      <c r="U4279" t="s">
        <v>86184</v>
      </c>
      <c r="V4279" t="s">
        <v>86185</v>
      </c>
      <c r="W4279" t="s">
        <v>86186</v>
      </c>
      <c r="X4279" t="s">
        <v>86187</v>
      </c>
      <c r="Y4279" t="s">
        <v>86188</v>
      </c>
    </row>
    <row r="4280" spans="1:25" x14ac:dyDescent="0.3">
      <c r="A4280">
        <v>213950</v>
      </c>
      <c r="B4280" t="s">
        <v>86189</v>
      </c>
      <c r="C4280" t="s">
        <v>86190</v>
      </c>
      <c r="D4280" t="s">
        <v>86191</v>
      </c>
      <c r="E4280" t="s">
        <v>86192</v>
      </c>
      <c r="F4280" t="s">
        <v>86193</v>
      </c>
      <c r="G4280" t="s">
        <v>86194</v>
      </c>
      <c r="H4280" t="s">
        <v>86195</v>
      </c>
      <c r="I4280" t="s">
        <v>86196</v>
      </c>
      <c r="J4280" t="s">
        <v>86197</v>
      </c>
      <c r="K4280" t="s">
        <v>86198</v>
      </c>
      <c r="L4280" t="s">
        <v>86199</v>
      </c>
      <c r="M4280" t="s">
        <v>86200</v>
      </c>
      <c r="N4280" t="s">
        <v>86201</v>
      </c>
      <c r="O4280">
        <f>-555.93634480615 -102.585825423389 -747.082104566537</f>
        <v>-1405.604274796076</v>
      </c>
      <c r="P4280">
        <f>-582.762365864335 -123.105045090229 -432.367171809012</f>
        <v>-1138.2345827635761</v>
      </c>
      <c r="Q4280">
        <f>-353.828718052642 -2.77773468609713 -459.803968383321</f>
        <v>-816.41042112206014</v>
      </c>
      <c r="R4280" t="s">
        <v>86202</v>
      </c>
      <c r="S4280" t="s">
        <v>86203</v>
      </c>
      <c r="T4280" t="s">
        <v>86204</v>
      </c>
      <c r="U4280" t="s">
        <v>86205</v>
      </c>
      <c r="V4280" t="s">
        <v>86206</v>
      </c>
      <c r="W4280" t="s">
        <v>86207</v>
      </c>
      <c r="X4280" t="s">
        <v>86208</v>
      </c>
      <c r="Y4280" t="s">
        <v>86209</v>
      </c>
    </row>
    <row r="4281" spans="1:25" x14ac:dyDescent="0.3">
      <c r="A4281">
        <v>214000</v>
      </c>
      <c r="B4281" t="s">
        <v>86210</v>
      </c>
      <c r="C4281" t="s">
        <v>86211</v>
      </c>
      <c r="D4281" t="s">
        <v>86212</v>
      </c>
      <c r="E4281" t="s">
        <v>86213</v>
      </c>
      <c r="F4281" t="s">
        <v>86214</v>
      </c>
      <c r="G4281" t="s">
        <v>86215</v>
      </c>
      <c r="H4281" t="s">
        <v>86216</v>
      </c>
      <c r="I4281" t="s">
        <v>86217</v>
      </c>
      <c r="J4281" t="s">
        <v>86218</v>
      </c>
      <c r="K4281" t="s">
        <v>86219</v>
      </c>
      <c r="L4281" t="s">
        <v>86220</v>
      </c>
      <c r="M4281" t="s">
        <v>86221</v>
      </c>
      <c r="N4281" t="s">
        <v>86222</v>
      </c>
      <c r="O4281">
        <f>-555.988571484459 -102.951034785042 -747.095067215597</f>
        <v>-1406.0346734850982</v>
      </c>
      <c r="P4281">
        <f>-582.659456409742 -123.536428417724 -432.37123300603</f>
        <v>-1138.567117833496</v>
      </c>
      <c r="Q4281">
        <f>-353.871049006833 -2.96182971427048 -459.933616155526</f>
        <v>-816.76649487662951</v>
      </c>
      <c r="R4281" t="s">
        <v>86223</v>
      </c>
      <c r="S4281" t="s">
        <v>86224</v>
      </c>
      <c r="T4281" t="s">
        <v>86225</v>
      </c>
      <c r="U4281" t="s">
        <v>86226</v>
      </c>
      <c r="V4281" t="s">
        <v>86227</v>
      </c>
      <c r="W4281" t="s">
        <v>86228</v>
      </c>
      <c r="X4281" t="s">
        <v>86229</v>
      </c>
      <c r="Y4281" t="s">
        <v>86230</v>
      </c>
    </row>
    <row r="4282" spans="1:25" x14ac:dyDescent="0.3">
      <c r="A4282">
        <v>214050</v>
      </c>
      <c r="B4282" t="s">
        <v>86231</v>
      </c>
      <c r="C4282" t="s">
        <v>86232</v>
      </c>
      <c r="D4282" t="s">
        <v>86233</v>
      </c>
      <c r="E4282" t="s">
        <v>86234</v>
      </c>
      <c r="F4282" t="s">
        <v>86235</v>
      </c>
      <c r="G4282" t="s">
        <v>86236</v>
      </c>
      <c r="H4282" t="s">
        <v>86237</v>
      </c>
      <c r="I4282" t="s">
        <v>86238</v>
      </c>
      <c r="J4282" t="s">
        <v>86239</v>
      </c>
      <c r="K4282" t="s">
        <v>86240</v>
      </c>
      <c r="L4282" t="s">
        <v>86241</v>
      </c>
      <c r="M4282" t="s">
        <v>86242</v>
      </c>
      <c r="N4282" t="s">
        <v>86243</v>
      </c>
      <c r="O4282">
        <f>-555.910724100207 -103.264354910122 -747.113108618565</f>
        <v>-1406.2881876288939</v>
      </c>
      <c r="P4282">
        <f>-582.343476665132 -124.270649379501 -432.396972537461</f>
        <v>-1139.0110985820941</v>
      </c>
      <c r="Q4282">
        <f>-353.924895656331 -3.04962157438959 -460.190203839172</f>
        <v>-817.16472106989249</v>
      </c>
      <c r="R4282" t="s">
        <v>86244</v>
      </c>
      <c r="S4282" t="s">
        <v>86245</v>
      </c>
      <c r="T4282" t="s">
        <v>86246</v>
      </c>
      <c r="U4282" t="s">
        <v>86247</v>
      </c>
      <c r="V4282" t="s">
        <v>86248</v>
      </c>
      <c r="W4282" t="s">
        <v>86249</v>
      </c>
      <c r="X4282" t="s">
        <v>86250</v>
      </c>
      <c r="Y4282" t="s">
        <v>86251</v>
      </c>
    </row>
    <row r="4283" spans="1:25" x14ac:dyDescent="0.3">
      <c r="A4283">
        <v>214100</v>
      </c>
      <c r="B4283" t="s">
        <v>86252</v>
      </c>
      <c r="C4283" t="s">
        <v>86253</v>
      </c>
      <c r="D4283" t="s">
        <v>86254</v>
      </c>
      <c r="E4283" t="s">
        <v>86255</v>
      </c>
      <c r="F4283" t="s">
        <v>86256</v>
      </c>
      <c r="G4283" t="s">
        <v>86257</v>
      </c>
      <c r="H4283" t="s">
        <v>86258</v>
      </c>
      <c r="I4283" t="s">
        <v>86259</v>
      </c>
      <c r="J4283" t="s">
        <v>86260</v>
      </c>
      <c r="K4283" t="s">
        <v>86261</v>
      </c>
      <c r="L4283" t="s">
        <v>86262</v>
      </c>
      <c r="M4283" t="s">
        <v>86263</v>
      </c>
      <c r="N4283" t="s">
        <v>86264</v>
      </c>
      <c r="O4283">
        <f>-555.829075827683 -103.210442097372 -747.115200662559</f>
        <v>-1406.1547185876141</v>
      </c>
      <c r="P4283">
        <f>-582.308628657557 -124.302118836656 -432.408784822123</f>
        <v>-1139.0195323163359</v>
      </c>
      <c r="Q4283">
        <f>-354.059537018039 -2.76801361680962 -460.226951075764</f>
        <v>-817.05450171061261</v>
      </c>
      <c r="R4283" t="s">
        <v>86265</v>
      </c>
      <c r="S4283" t="s">
        <v>86266</v>
      </c>
      <c r="T4283" t="s">
        <v>86267</v>
      </c>
      <c r="U4283" t="s">
        <v>86268</v>
      </c>
      <c r="V4283" t="s">
        <v>86269</v>
      </c>
      <c r="W4283" t="s">
        <v>86270</v>
      </c>
      <c r="X4283" t="s">
        <v>86271</v>
      </c>
      <c r="Y4283" t="s">
        <v>86272</v>
      </c>
    </row>
    <row r="4284" spans="1:25" x14ac:dyDescent="0.3">
      <c r="A4284">
        <v>214150</v>
      </c>
      <c r="B4284" t="s">
        <v>86273</v>
      </c>
      <c r="C4284" t="s">
        <v>86274</v>
      </c>
      <c r="D4284" t="s">
        <v>86275</v>
      </c>
      <c r="E4284" t="s">
        <v>86276</v>
      </c>
      <c r="F4284" t="s">
        <v>86277</v>
      </c>
      <c r="G4284" t="s">
        <v>86278</v>
      </c>
      <c r="H4284" t="s">
        <v>86279</v>
      </c>
      <c r="I4284" t="s">
        <v>86280</v>
      </c>
      <c r="J4284" t="s">
        <v>86281</v>
      </c>
      <c r="K4284" t="s">
        <v>86282</v>
      </c>
      <c r="L4284" t="s">
        <v>86283</v>
      </c>
      <c r="M4284" t="s">
        <v>86284</v>
      </c>
      <c r="N4284" t="s">
        <v>86285</v>
      </c>
      <c r="O4284">
        <f>-555.800470981386 -103.3136617325 -747.016424165267</f>
        <v>-1406.1305568791531</v>
      </c>
      <c r="P4284">
        <f>-582.269370556472 -124.682340160594 -432.32768804196</f>
        <v>-1139.279398759026</v>
      </c>
      <c r="Q4284">
        <f>-354.32119557971 -2.57309522955833 -460.094642791544</f>
        <v>-816.98893360081229</v>
      </c>
      <c r="R4284" t="s">
        <v>86286</v>
      </c>
      <c r="S4284" t="s">
        <v>86287</v>
      </c>
      <c r="T4284" t="s">
        <v>86288</v>
      </c>
      <c r="U4284" t="s">
        <v>86289</v>
      </c>
      <c r="V4284" t="s">
        <v>86290</v>
      </c>
      <c r="W4284" t="s">
        <v>86291</v>
      </c>
      <c r="X4284" t="s">
        <v>86292</v>
      </c>
      <c r="Y4284" t="s">
        <v>86293</v>
      </c>
    </row>
    <row r="4285" spans="1:25" x14ac:dyDescent="0.3">
      <c r="A4285">
        <v>214200</v>
      </c>
      <c r="B4285" t="s">
        <v>86294</v>
      </c>
      <c r="C4285" t="s">
        <v>86295</v>
      </c>
      <c r="D4285" t="s">
        <v>86296</v>
      </c>
      <c r="E4285" t="s">
        <v>86297</v>
      </c>
      <c r="F4285" t="s">
        <v>86298</v>
      </c>
      <c r="G4285" t="s">
        <v>86299</v>
      </c>
      <c r="H4285" t="s">
        <v>86300</v>
      </c>
      <c r="I4285" t="s">
        <v>86301</v>
      </c>
      <c r="J4285" t="s">
        <v>86302</v>
      </c>
      <c r="K4285" t="s">
        <v>86303</v>
      </c>
      <c r="L4285" t="s">
        <v>86304</v>
      </c>
      <c r="M4285" t="s">
        <v>86305</v>
      </c>
      <c r="N4285" t="s">
        <v>86306</v>
      </c>
      <c r="O4285">
        <f>-555.738143241704 -103.343258472211 -746.910237928233</f>
        <v>-1405.9916396421481</v>
      </c>
      <c r="P4285">
        <f>-582.18970852597 -124.693492408912 -432.218892343965</f>
        <v>-1139.102093278847</v>
      </c>
      <c r="Q4285">
        <f>-354.375471868066 -2.3250369582893 -459.944242727086</f>
        <v>-816.64475155344121</v>
      </c>
      <c r="R4285" t="s">
        <v>86307</v>
      </c>
      <c r="S4285" t="s">
        <v>86308</v>
      </c>
      <c r="T4285" t="s">
        <v>86309</v>
      </c>
      <c r="U4285" t="s">
        <v>86310</v>
      </c>
      <c r="V4285" t="s">
        <v>86311</v>
      </c>
      <c r="W4285" t="s">
        <v>86312</v>
      </c>
      <c r="X4285" t="s">
        <v>86313</v>
      </c>
      <c r="Y4285" t="s">
        <v>86314</v>
      </c>
    </row>
    <row r="4286" spans="1:25" x14ac:dyDescent="0.3">
      <c r="A4286">
        <v>214250</v>
      </c>
      <c r="B4286" t="s">
        <v>86315</v>
      </c>
      <c r="C4286" t="s">
        <v>86316</v>
      </c>
      <c r="D4286" t="s">
        <v>86317</v>
      </c>
      <c r="E4286" t="s">
        <v>86318</v>
      </c>
      <c r="F4286" t="s">
        <v>86319</v>
      </c>
      <c r="G4286" t="s">
        <v>86320</v>
      </c>
      <c r="H4286" t="s">
        <v>86321</v>
      </c>
      <c r="I4286" t="s">
        <v>86322</v>
      </c>
      <c r="J4286" t="s">
        <v>86323</v>
      </c>
      <c r="K4286" t="s">
        <v>86324</v>
      </c>
      <c r="L4286" t="s">
        <v>86325</v>
      </c>
      <c r="M4286" t="s">
        <v>86326</v>
      </c>
      <c r="N4286" t="s">
        <v>86327</v>
      </c>
      <c r="O4286">
        <f>-555.531754140919 -103.701893616581 -746.752791441084</f>
        <v>-1405.9864391985839</v>
      </c>
      <c r="P4286">
        <f>-581.972394107187 -125.023048459796 -432.058505521082</f>
        <v>-1139.053948088065</v>
      </c>
      <c r="Q4286">
        <f>-354.394339082718 -2.22149553668007 -459.808901692879</f>
        <v>-816.42473631227699</v>
      </c>
      <c r="R4286" t="s">
        <v>86328</v>
      </c>
      <c r="S4286" t="s">
        <v>86329</v>
      </c>
      <c r="T4286" t="s">
        <v>86330</v>
      </c>
      <c r="U4286" t="s">
        <v>86331</v>
      </c>
      <c r="V4286" t="s">
        <v>86332</v>
      </c>
      <c r="W4286" t="s">
        <v>86333</v>
      </c>
      <c r="X4286" t="s">
        <v>86334</v>
      </c>
      <c r="Y4286" t="s">
        <v>86335</v>
      </c>
    </row>
    <row r="4287" spans="1:25" x14ac:dyDescent="0.3">
      <c r="A4287">
        <v>214300</v>
      </c>
      <c r="B4287" t="s">
        <v>86336</v>
      </c>
      <c r="C4287" t="s">
        <v>86337</v>
      </c>
      <c r="D4287" t="s">
        <v>86338</v>
      </c>
      <c r="E4287" t="s">
        <v>86339</v>
      </c>
      <c r="F4287" t="s">
        <v>86340</v>
      </c>
      <c r="G4287" t="s">
        <v>86341</v>
      </c>
      <c r="H4287" t="s">
        <v>86342</v>
      </c>
      <c r="I4287" t="s">
        <v>86343</v>
      </c>
      <c r="J4287" t="s">
        <v>86344</v>
      </c>
      <c r="K4287" t="s">
        <v>86345</v>
      </c>
      <c r="L4287" t="s">
        <v>86346</v>
      </c>
      <c r="M4287" t="s">
        <v>86347</v>
      </c>
      <c r="N4287" t="s">
        <v>86348</v>
      </c>
      <c r="O4287">
        <f>-555.381867011823 -103.624011126363 -746.783633297093</f>
        <v>-1405.7895114352791</v>
      </c>
      <c r="P4287">
        <f>-581.772464895556 -125.033214001607 -432.09114578564</f>
        <v>-1138.8968246828031</v>
      </c>
      <c r="Q4287">
        <f>-354.30865260037 -2.01454238599727 -459.816337068105</f>
        <v>-816.13953205447228</v>
      </c>
      <c r="R4287" t="s">
        <v>86349</v>
      </c>
      <c r="S4287" t="s">
        <v>86350</v>
      </c>
      <c r="T4287" t="s">
        <v>86351</v>
      </c>
      <c r="U4287" t="s">
        <v>86352</v>
      </c>
      <c r="V4287" t="s">
        <v>86353</v>
      </c>
      <c r="W4287" t="s">
        <v>86354</v>
      </c>
      <c r="X4287" t="s">
        <v>86355</v>
      </c>
      <c r="Y4287" t="s">
        <v>86356</v>
      </c>
    </row>
    <row r="4288" spans="1:25" x14ac:dyDescent="0.3">
      <c r="A4288">
        <v>214350</v>
      </c>
      <c r="B4288" t="s">
        <v>86357</v>
      </c>
      <c r="C4288" t="s">
        <v>86358</v>
      </c>
      <c r="D4288" t="s">
        <v>86359</v>
      </c>
      <c r="E4288" t="s">
        <v>86360</v>
      </c>
      <c r="F4288" t="s">
        <v>86361</v>
      </c>
      <c r="G4288" t="s">
        <v>86362</v>
      </c>
      <c r="H4288" t="s">
        <v>86363</v>
      </c>
      <c r="I4288" t="s">
        <v>86364</v>
      </c>
      <c r="J4288" t="s">
        <v>86365</v>
      </c>
      <c r="K4288" t="s">
        <v>86366</v>
      </c>
      <c r="L4288" t="s">
        <v>86367</v>
      </c>
      <c r="M4288" t="s">
        <v>86368</v>
      </c>
      <c r="N4288" t="s">
        <v>86369</v>
      </c>
      <c r="O4288">
        <f>-555.206894174588 -103.456217923234 -746.839539237377</f>
        <v>-1405.5026513351991</v>
      </c>
      <c r="P4288">
        <f>-581.482268643624 -124.999315189051 -432.146587448564</f>
        <v>-1138.628171281239</v>
      </c>
      <c r="Q4288">
        <f>-354.274624681326 -1.51935252737145 -459.921372815164</f>
        <v>-815.71535002386145</v>
      </c>
      <c r="R4288" t="s">
        <v>86370</v>
      </c>
      <c r="S4288" t="s">
        <v>86371</v>
      </c>
      <c r="T4288" t="s">
        <v>86372</v>
      </c>
      <c r="U4288" t="s">
        <v>86373</v>
      </c>
      <c r="V4288" t="s">
        <v>86374</v>
      </c>
      <c r="W4288" t="s">
        <v>86375</v>
      </c>
      <c r="X4288" t="s">
        <v>86376</v>
      </c>
      <c r="Y4288" t="s">
        <v>86377</v>
      </c>
    </row>
    <row r="4289" spans="1:25" x14ac:dyDescent="0.3">
      <c r="A4289">
        <v>214400</v>
      </c>
      <c r="B4289" t="s">
        <v>86378</v>
      </c>
      <c r="C4289" t="s">
        <v>86379</v>
      </c>
      <c r="D4289" t="s">
        <v>86380</v>
      </c>
      <c r="E4289" t="s">
        <v>86381</v>
      </c>
      <c r="F4289" t="s">
        <v>86382</v>
      </c>
      <c r="G4289" t="s">
        <v>86383</v>
      </c>
      <c r="H4289" t="s">
        <v>86384</v>
      </c>
      <c r="I4289" t="s">
        <v>86385</v>
      </c>
      <c r="J4289" t="s">
        <v>86386</v>
      </c>
      <c r="K4289" t="s">
        <v>86387</v>
      </c>
      <c r="L4289" t="s">
        <v>86388</v>
      </c>
      <c r="M4289" t="s">
        <v>86389</v>
      </c>
      <c r="N4289" t="s">
        <v>86390</v>
      </c>
      <c r="O4289">
        <f>-554.99912722493 -103.503002971313 -746.896973090053</f>
        <v>-1405.3991032862959</v>
      </c>
      <c r="P4289">
        <f>-581.126227321299 -125.178810004143 -432.200708847295</f>
        <v>-1138.505746172737</v>
      </c>
      <c r="Q4289">
        <f>-354.027221106124 -1.49263749628135 -459.946553432759</f>
        <v>-815.46641203516435</v>
      </c>
      <c r="R4289" t="s">
        <v>86391</v>
      </c>
      <c r="S4289" t="s">
        <v>86392</v>
      </c>
      <c r="T4289" t="s">
        <v>86393</v>
      </c>
      <c r="U4289" t="s">
        <v>86394</v>
      </c>
      <c r="V4289" t="s">
        <v>86395</v>
      </c>
      <c r="W4289" t="s">
        <v>86396</v>
      </c>
      <c r="X4289" t="s">
        <v>86397</v>
      </c>
      <c r="Y4289" t="s">
        <v>86398</v>
      </c>
    </row>
    <row r="4290" spans="1:25" x14ac:dyDescent="0.3">
      <c r="A4290">
        <v>214450</v>
      </c>
      <c r="B4290" t="s">
        <v>86399</v>
      </c>
      <c r="C4290" t="s">
        <v>86400</v>
      </c>
      <c r="D4290" t="s">
        <v>86401</v>
      </c>
      <c r="E4290" t="s">
        <v>86402</v>
      </c>
      <c r="F4290" t="s">
        <v>86403</v>
      </c>
      <c r="G4290" t="s">
        <v>86404</v>
      </c>
      <c r="H4290" t="s">
        <v>86405</v>
      </c>
      <c r="I4290" t="s">
        <v>86406</v>
      </c>
      <c r="J4290" t="s">
        <v>86407</v>
      </c>
      <c r="K4290" t="s">
        <v>86408</v>
      </c>
      <c r="L4290" t="s">
        <v>86409</v>
      </c>
      <c r="M4290" t="s">
        <v>86410</v>
      </c>
      <c r="N4290" t="s">
        <v>86411</v>
      </c>
      <c r="O4290">
        <f>-554.576598347638 -103.788393251926 -746.814967138075</f>
        <v>-1405.179958737639</v>
      </c>
      <c r="P4290">
        <f>-580.456138303128 -125.69528020527 -432.114259038867</f>
        <v>-1138.2656775472651</v>
      </c>
      <c r="Q4290">
        <f>-353.598231538358 -1.61054355592272 -460.052255812199</f>
        <v>-815.26103090647973</v>
      </c>
      <c r="R4290" t="s">
        <v>86412</v>
      </c>
      <c r="S4290" t="s">
        <v>86413</v>
      </c>
      <c r="T4290" t="s">
        <v>86414</v>
      </c>
      <c r="U4290" t="s">
        <v>86415</v>
      </c>
      <c r="V4290" t="s">
        <v>86416</v>
      </c>
      <c r="W4290" t="s">
        <v>86417</v>
      </c>
      <c r="X4290" t="s">
        <v>86418</v>
      </c>
      <c r="Y4290" t="s">
        <v>86419</v>
      </c>
    </row>
    <row r="4291" spans="1:25" x14ac:dyDescent="0.3">
      <c r="A4291">
        <v>214500</v>
      </c>
      <c r="B4291" t="s">
        <v>86420</v>
      </c>
      <c r="C4291" t="s">
        <v>86421</v>
      </c>
      <c r="D4291" t="s">
        <v>86422</v>
      </c>
      <c r="E4291" t="s">
        <v>86423</v>
      </c>
      <c r="F4291" t="s">
        <v>86424</v>
      </c>
      <c r="G4291" t="s">
        <v>86425</v>
      </c>
      <c r="H4291" t="s">
        <v>86426</v>
      </c>
      <c r="I4291" t="s">
        <v>86427</v>
      </c>
      <c r="J4291" t="s">
        <v>86428</v>
      </c>
      <c r="K4291" t="s">
        <v>86429</v>
      </c>
      <c r="L4291" t="s">
        <v>86430</v>
      </c>
      <c r="M4291" t="s">
        <v>86431</v>
      </c>
      <c r="N4291" t="s">
        <v>86432</v>
      </c>
      <c r="O4291">
        <f>-554.204131334361 -103.658444689659 -746.74953737556</f>
        <v>-1404.6121133995798</v>
      </c>
      <c r="P4291">
        <f>-579.895353364332 -125.583734619128 -432.034678241774</f>
        <v>-1137.5137662252339</v>
      </c>
      <c r="Q4291">
        <f>-353.120366836358 -1.38985386283703 -460.160234466237</f>
        <v>-814.67045516543203</v>
      </c>
      <c r="R4291" t="s">
        <v>86433</v>
      </c>
      <c r="S4291" t="s">
        <v>86434</v>
      </c>
      <c r="T4291" t="s">
        <v>86435</v>
      </c>
      <c r="U4291" t="s">
        <v>86436</v>
      </c>
      <c r="V4291" t="s">
        <v>86437</v>
      </c>
      <c r="W4291" t="s">
        <v>86438</v>
      </c>
      <c r="X4291" t="s">
        <v>86439</v>
      </c>
      <c r="Y4291" t="s">
        <v>86440</v>
      </c>
    </row>
    <row r="4292" spans="1:25" x14ac:dyDescent="0.3">
      <c r="A4292">
        <v>214550</v>
      </c>
      <c r="B4292" t="s">
        <v>86441</v>
      </c>
      <c r="C4292" t="s">
        <v>86442</v>
      </c>
      <c r="D4292" t="s">
        <v>86443</v>
      </c>
      <c r="E4292" t="s">
        <v>86444</v>
      </c>
      <c r="F4292" t="s">
        <v>86445</v>
      </c>
      <c r="G4292" t="s">
        <v>86446</v>
      </c>
      <c r="H4292" t="s">
        <v>86447</v>
      </c>
      <c r="I4292" t="s">
        <v>86448</v>
      </c>
      <c r="J4292" t="s">
        <v>86449</v>
      </c>
      <c r="K4292" t="s">
        <v>86450</v>
      </c>
      <c r="L4292" t="s">
        <v>86451</v>
      </c>
      <c r="M4292" t="s">
        <v>86452</v>
      </c>
      <c r="N4292" t="s">
        <v>86453</v>
      </c>
      <c r="O4292">
        <f>-552.953395055401 -103.640673790178 -746.709247847041</f>
        <v>-1403.3033166926198</v>
      </c>
      <c r="P4292">
        <f>-578.372888397603 -125.643644560054 -431.977673175753</f>
        <v>-1135.99420613341</v>
      </c>
      <c r="Q4292">
        <f>-351.740743199599 -1.25657573249134 -460.399365808713</f>
        <v>-813.39668474080338</v>
      </c>
      <c r="R4292" t="s">
        <v>86454</v>
      </c>
      <c r="S4292" t="s">
        <v>86455</v>
      </c>
      <c r="T4292" t="s">
        <v>86456</v>
      </c>
      <c r="U4292" t="s">
        <v>86457</v>
      </c>
      <c r="V4292" t="s">
        <v>86458</v>
      </c>
      <c r="W4292" t="s">
        <v>86459</v>
      </c>
      <c r="X4292" t="s">
        <v>86460</v>
      </c>
      <c r="Y4292" t="s">
        <v>86461</v>
      </c>
    </row>
    <row r="4293" spans="1:25" x14ac:dyDescent="0.3">
      <c r="A4293">
        <v>214600</v>
      </c>
      <c r="B4293" t="s">
        <v>86462</v>
      </c>
      <c r="C4293" t="s">
        <v>86463</v>
      </c>
      <c r="D4293" t="s">
        <v>86464</v>
      </c>
      <c r="E4293" t="s">
        <v>86465</v>
      </c>
      <c r="F4293" t="s">
        <v>86466</v>
      </c>
      <c r="G4293" t="s">
        <v>86467</v>
      </c>
      <c r="H4293" t="s">
        <v>86468</v>
      </c>
      <c r="I4293" t="s">
        <v>86469</v>
      </c>
      <c r="J4293" t="s">
        <v>86470</v>
      </c>
      <c r="K4293" t="s">
        <v>86471</v>
      </c>
      <c r="L4293" t="s">
        <v>86472</v>
      </c>
      <c r="M4293" t="s">
        <v>86473</v>
      </c>
      <c r="N4293" t="s">
        <v>86474</v>
      </c>
      <c r="O4293">
        <f>-552.142909928811 -103.632795458138 -746.741181606008</f>
        <v>-1402.5168869929571</v>
      </c>
      <c r="P4293">
        <f>-577.562279561883 -125.712903087979 -432.015059046039</f>
        <v>-1135.2902416959009</v>
      </c>
      <c r="Q4293">
        <f>-351.030677762481 -1.14319288459496 -460.438063665843</f>
        <v>-812.61193431291895</v>
      </c>
      <c r="R4293" t="s">
        <v>86475</v>
      </c>
      <c r="S4293" t="s">
        <v>86476</v>
      </c>
      <c r="T4293" t="s">
        <v>86477</v>
      </c>
      <c r="U4293" t="s">
        <v>86478</v>
      </c>
      <c r="V4293" t="s">
        <v>86479</v>
      </c>
      <c r="W4293" t="s">
        <v>86480</v>
      </c>
      <c r="X4293" t="s">
        <v>86481</v>
      </c>
      <c r="Y4293" t="s">
        <v>86482</v>
      </c>
    </row>
    <row r="4294" spans="1:25" x14ac:dyDescent="0.3">
      <c r="A4294">
        <v>214650</v>
      </c>
      <c r="B4294" t="s">
        <v>86483</v>
      </c>
      <c r="C4294" t="s">
        <v>86484</v>
      </c>
      <c r="D4294" t="s">
        <v>86485</v>
      </c>
      <c r="E4294" t="s">
        <v>86486</v>
      </c>
      <c r="F4294" t="s">
        <v>86487</v>
      </c>
      <c r="G4294" t="s">
        <v>86488</v>
      </c>
      <c r="H4294" t="s">
        <v>86489</v>
      </c>
      <c r="I4294" t="s">
        <v>86490</v>
      </c>
      <c r="J4294" t="s">
        <v>86491</v>
      </c>
      <c r="K4294" t="s">
        <v>86492</v>
      </c>
      <c r="L4294" t="s">
        <v>86493</v>
      </c>
      <c r="M4294" t="s">
        <v>86494</v>
      </c>
      <c r="N4294" t="s">
        <v>86495</v>
      </c>
      <c r="O4294">
        <f>-550.665578666708 -103.635602585193 -746.949126577041</f>
        <v>-1401.2503078289419</v>
      </c>
      <c r="P4294">
        <f>-576.225433652996 -125.978811685664 -432.252969455053</f>
        <v>-1134.4572147937131</v>
      </c>
      <c r="Q4294">
        <f>-349.888146799038 -0.988447326051215 -460.375955326208</f>
        <v>-811.25254945129723</v>
      </c>
      <c r="R4294" t="s">
        <v>86496</v>
      </c>
      <c r="S4294" t="s">
        <v>86497</v>
      </c>
      <c r="T4294" t="s">
        <v>86498</v>
      </c>
      <c r="U4294" t="s">
        <v>86499</v>
      </c>
      <c r="V4294" t="s">
        <v>86500</v>
      </c>
      <c r="W4294" t="s">
        <v>86501</v>
      </c>
      <c r="X4294" t="s">
        <v>86502</v>
      </c>
      <c r="Y4294" t="s">
        <v>86503</v>
      </c>
    </row>
    <row r="4295" spans="1:25" x14ac:dyDescent="0.3">
      <c r="A4295">
        <v>214700</v>
      </c>
      <c r="B4295" t="s">
        <v>86504</v>
      </c>
      <c r="C4295" t="s">
        <v>86505</v>
      </c>
      <c r="D4295" t="s">
        <v>86506</v>
      </c>
      <c r="E4295" t="s">
        <v>86507</v>
      </c>
      <c r="F4295" t="s">
        <v>86508</v>
      </c>
      <c r="G4295" t="s">
        <v>86509</v>
      </c>
      <c r="H4295" t="s">
        <v>86510</v>
      </c>
      <c r="I4295" t="s">
        <v>86511</v>
      </c>
      <c r="J4295" t="s">
        <v>86512</v>
      </c>
      <c r="K4295" t="s">
        <v>86513</v>
      </c>
      <c r="L4295" t="s">
        <v>86514</v>
      </c>
      <c r="M4295" t="s">
        <v>86515</v>
      </c>
      <c r="N4295" t="s">
        <v>86516</v>
      </c>
      <c r="O4295">
        <f>-549.84337696067 -103.632603359587 -747.041463762779</f>
        <v>-1400.517444083036</v>
      </c>
      <c r="P4295">
        <f>-575.512049593184 -126.119804539843 -432.364380248543</f>
        <v>-1133.99623438157</v>
      </c>
      <c r="Q4295">
        <f>-349.250692111654 -0.951567740356381 -460.306883109918</f>
        <v>-810.50914296192832</v>
      </c>
      <c r="R4295" t="s">
        <v>86517</v>
      </c>
      <c r="S4295" t="s">
        <v>86518</v>
      </c>
      <c r="T4295" t="s">
        <v>86519</v>
      </c>
      <c r="U4295" t="s">
        <v>86520</v>
      </c>
      <c r="V4295" t="s">
        <v>86521</v>
      </c>
      <c r="W4295" t="s">
        <v>86522</v>
      </c>
      <c r="X4295" t="s">
        <v>86523</v>
      </c>
      <c r="Y4295" t="s">
        <v>86524</v>
      </c>
    </row>
    <row r="4296" spans="1:25" x14ac:dyDescent="0.3">
      <c r="A4296">
        <v>214750</v>
      </c>
      <c r="B4296" t="s">
        <v>86525</v>
      </c>
      <c r="C4296" t="s">
        <v>86526</v>
      </c>
      <c r="D4296" t="s">
        <v>86527</v>
      </c>
      <c r="E4296" t="s">
        <v>86528</v>
      </c>
      <c r="F4296" t="s">
        <v>86529</v>
      </c>
      <c r="G4296" t="s">
        <v>86530</v>
      </c>
      <c r="H4296" t="s">
        <v>86531</v>
      </c>
      <c r="I4296" t="s">
        <v>86532</v>
      </c>
      <c r="J4296" t="s">
        <v>86533</v>
      </c>
      <c r="K4296" t="s">
        <v>86534</v>
      </c>
      <c r="L4296" t="s">
        <v>86535</v>
      </c>
      <c r="M4296" t="s">
        <v>86536</v>
      </c>
      <c r="N4296" t="s">
        <v>86537</v>
      </c>
      <c r="O4296">
        <f>-548.361187931707 -103.580150589331 -747.099911579779</f>
        <v>-1399.041250100817</v>
      </c>
      <c r="P4296">
        <f>-574.140375966558 -126.107639297984 -432.434843875969</f>
        <v>-1132.682859140511</v>
      </c>
      <c r="Q4296">
        <f>-347.947561643276 -0.794491567221669 -460.282577055264</f>
        <v>-809.02463026576174</v>
      </c>
      <c r="R4296" t="s">
        <v>86538</v>
      </c>
      <c r="S4296" t="s">
        <v>86539</v>
      </c>
      <c r="T4296" t="s">
        <v>86540</v>
      </c>
      <c r="U4296" t="s">
        <v>86541</v>
      </c>
      <c r="V4296" t="s">
        <v>86542</v>
      </c>
      <c r="W4296" t="s">
        <v>86543</v>
      </c>
      <c r="X4296" t="s">
        <v>86544</v>
      </c>
      <c r="Y4296" t="s">
        <v>86545</v>
      </c>
    </row>
    <row r="4297" spans="1:25" x14ac:dyDescent="0.3">
      <c r="A4297">
        <v>214800</v>
      </c>
      <c r="B4297" t="s">
        <v>86546</v>
      </c>
      <c r="C4297" t="s">
        <v>86547</v>
      </c>
      <c r="D4297" t="s">
        <v>86548</v>
      </c>
      <c r="E4297" t="s">
        <v>86549</v>
      </c>
      <c r="F4297" t="s">
        <v>86550</v>
      </c>
      <c r="G4297" t="s">
        <v>86551</v>
      </c>
      <c r="H4297" t="s">
        <v>86552</v>
      </c>
      <c r="I4297" t="s">
        <v>86553</v>
      </c>
      <c r="J4297" t="s">
        <v>86554</v>
      </c>
      <c r="K4297" t="s">
        <v>86555</v>
      </c>
      <c r="L4297" t="s">
        <v>86556</v>
      </c>
      <c r="M4297" t="s">
        <v>86557</v>
      </c>
      <c r="N4297" t="s">
        <v>86558</v>
      </c>
      <c r="O4297">
        <f>-547.562972337025 -103.283799824092 -747.105836489939</f>
        <v>-1397.9526086510559</v>
      </c>
      <c r="P4297">
        <f>-573.186444804586 -125.973417811651 -432.439563955117</f>
        <v>-1131.5994265713539</v>
      </c>
      <c r="Q4297">
        <f>-347.05211354724 -0.56517043128261 -460.333637480305</f>
        <v>-807.95092145882768</v>
      </c>
      <c r="R4297" t="s">
        <v>86559</v>
      </c>
      <c r="S4297" t="s">
        <v>86560</v>
      </c>
      <c r="T4297" t="s">
        <v>86561</v>
      </c>
      <c r="U4297" t="s">
        <v>86562</v>
      </c>
      <c r="V4297" t="s">
        <v>86563</v>
      </c>
      <c r="W4297" t="s">
        <v>86564</v>
      </c>
      <c r="X4297" t="s">
        <v>86565</v>
      </c>
      <c r="Y4297" t="s">
        <v>86566</v>
      </c>
    </row>
    <row r="4298" spans="1:25" x14ac:dyDescent="0.3">
      <c r="A4298">
        <v>214850</v>
      </c>
      <c r="B4298" t="s">
        <v>86567</v>
      </c>
      <c r="C4298" t="s">
        <v>86568</v>
      </c>
      <c r="D4298" t="s">
        <v>86569</v>
      </c>
      <c r="E4298" t="s">
        <v>86570</v>
      </c>
      <c r="F4298" t="s">
        <v>86571</v>
      </c>
      <c r="G4298" t="s">
        <v>86572</v>
      </c>
      <c r="H4298" t="s">
        <v>86573</v>
      </c>
      <c r="I4298" t="s">
        <v>86574</v>
      </c>
      <c r="J4298" t="s">
        <v>86575</v>
      </c>
      <c r="K4298" t="s">
        <v>86576</v>
      </c>
      <c r="L4298" t="s">
        <v>86577</v>
      </c>
      <c r="M4298" t="s">
        <v>86578</v>
      </c>
      <c r="N4298" t="s">
        <v>86579</v>
      </c>
      <c r="O4298">
        <f>-546.079614652349 -102.726174924699 -747.004992980471</f>
        <v>-1395.8107825575189</v>
      </c>
      <c r="P4298">
        <f>-571.602223891579 -125.532428958858 -432.339153151308</f>
        <v>-1129.4738060017448</v>
      </c>
      <c r="Q4298" t="s">
        <v>86580</v>
      </c>
      <c r="R4298" t="s">
        <v>86581</v>
      </c>
      <c r="S4298" t="s">
        <v>86582</v>
      </c>
      <c r="T4298" t="s">
        <v>86583</v>
      </c>
      <c r="U4298" t="s">
        <v>86584</v>
      </c>
      <c r="V4298" t="s">
        <v>86585</v>
      </c>
      <c r="W4298" t="s">
        <v>86586</v>
      </c>
      <c r="X4298" t="s">
        <v>86587</v>
      </c>
      <c r="Y4298" t="s">
        <v>86588</v>
      </c>
    </row>
    <row r="4299" spans="1:25" x14ac:dyDescent="0.3">
      <c r="A4299">
        <v>214900</v>
      </c>
      <c r="B4299" t="s">
        <v>86589</v>
      </c>
      <c r="C4299" t="s">
        <v>86590</v>
      </c>
      <c r="D4299" t="s">
        <v>86591</v>
      </c>
      <c r="E4299" t="s">
        <v>86592</v>
      </c>
      <c r="F4299" t="s">
        <v>86593</v>
      </c>
      <c r="G4299" t="s">
        <v>86594</v>
      </c>
      <c r="H4299" t="s">
        <v>86595</v>
      </c>
      <c r="I4299" t="s">
        <v>86596</v>
      </c>
      <c r="J4299" t="s">
        <v>86597</v>
      </c>
      <c r="K4299" t="s">
        <v>86598</v>
      </c>
      <c r="L4299" t="s">
        <v>86599</v>
      </c>
      <c r="M4299" t="s">
        <v>86600</v>
      </c>
      <c r="N4299" t="s">
        <v>86601</v>
      </c>
      <c r="O4299">
        <f>-545.312788166239 -102.310837394348 -746.945770531713</f>
        <v>-1394.5693960922999</v>
      </c>
      <c r="P4299">
        <f>-570.864375362536 -125.06821854982 -432.278767242947</f>
        <v>-1128.2113611553029</v>
      </c>
      <c r="Q4299" t="s">
        <v>86602</v>
      </c>
      <c r="R4299" t="s">
        <v>86603</v>
      </c>
      <c r="S4299" t="s">
        <v>86604</v>
      </c>
      <c r="T4299" t="s">
        <v>86605</v>
      </c>
      <c r="U4299" t="s">
        <v>86606</v>
      </c>
      <c r="V4299" t="s">
        <v>86607</v>
      </c>
      <c r="W4299" t="s">
        <v>86608</v>
      </c>
      <c r="X4299" t="s">
        <v>86609</v>
      </c>
      <c r="Y4299" t="s">
        <v>86610</v>
      </c>
    </row>
    <row r="4300" spans="1:25" x14ac:dyDescent="0.3">
      <c r="A4300">
        <v>214950</v>
      </c>
      <c r="B4300" t="s">
        <v>86611</v>
      </c>
      <c r="C4300" t="s">
        <v>86612</v>
      </c>
      <c r="D4300" t="s">
        <v>86613</v>
      </c>
      <c r="E4300" t="s">
        <v>86614</v>
      </c>
      <c r="F4300" t="s">
        <v>86615</v>
      </c>
      <c r="G4300" t="s">
        <v>86616</v>
      </c>
      <c r="H4300" t="s">
        <v>86617</v>
      </c>
      <c r="I4300" t="s">
        <v>86618</v>
      </c>
      <c r="J4300" t="s">
        <v>86619</v>
      </c>
      <c r="K4300" t="s">
        <v>86620</v>
      </c>
      <c r="L4300" t="s">
        <v>86621</v>
      </c>
      <c r="M4300" t="s">
        <v>86622</v>
      </c>
      <c r="N4300" t="s">
        <v>86623</v>
      </c>
      <c r="O4300">
        <f>-543.595063745466 -102.016732393962 -746.843262202339</f>
        <v>-1392.455058341767</v>
      </c>
      <c r="P4300">
        <f>-569.274454483881 -124.567562053686 -432.171581728902</f>
        <v>-1126.013598266469</v>
      </c>
      <c r="Q4300" t="s">
        <v>86624</v>
      </c>
      <c r="R4300" t="s">
        <v>86625</v>
      </c>
      <c r="S4300" t="s">
        <v>86626</v>
      </c>
      <c r="T4300" t="s">
        <v>86627</v>
      </c>
      <c r="U4300" t="s">
        <v>86628</v>
      </c>
      <c r="V4300" t="s">
        <v>86629</v>
      </c>
      <c r="W4300" t="s">
        <v>86630</v>
      </c>
      <c r="X4300" t="s">
        <v>86631</v>
      </c>
      <c r="Y4300" t="s">
        <v>86632</v>
      </c>
    </row>
    <row r="4301" spans="1:25" x14ac:dyDescent="0.3">
      <c r="A4301">
        <v>215000</v>
      </c>
      <c r="B4301" t="s">
        <v>86633</v>
      </c>
      <c r="C4301" t="s">
        <v>86634</v>
      </c>
      <c r="D4301" t="s">
        <v>86635</v>
      </c>
      <c r="E4301" t="s">
        <v>86636</v>
      </c>
      <c r="F4301" t="s">
        <v>86637</v>
      </c>
      <c r="G4301" t="s">
        <v>86638</v>
      </c>
      <c r="H4301" t="s">
        <v>86639</v>
      </c>
      <c r="I4301" t="s">
        <v>86640</v>
      </c>
      <c r="J4301" t="s">
        <v>86641</v>
      </c>
      <c r="K4301" t="s">
        <v>86642</v>
      </c>
      <c r="L4301" t="s">
        <v>86643</v>
      </c>
      <c r="M4301" t="s">
        <v>86644</v>
      </c>
      <c r="N4301" t="s">
        <v>86645</v>
      </c>
      <c r="O4301">
        <f>-542.778819118073 -102.364630082765 -746.77874150057</f>
        <v>-1391.922190701408</v>
      </c>
      <c r="P4301">
        <f>-568.580139579723 -124.654393584932 -432.098543940417</f>
        <v>-1125.3330771050719</v>
      </c>
      <c r="Q4301" t="s">
        <v>86646</v>
      </c>
      <c r="R4301" t="s">
        <v>86647</v>
      </c>
      <c r="S4301" t="s">
        <v>86648</v>
      </c>
      <c r="T4301" t="s">
        <v>86649</v>
      </c>
      <c r="U4301" t="s">
        <v>86650</v>
      </c>
      <c r="V4301" t="s">
        <v>86651</v>
      </c>
      <c r="W4301" t="s">
        <v>86652</v>
      </c>
      <c r="X4301" t="s">
        <v>86653</v>
      </c>
      <c r="Y4301" t="s">
        <v>86654</v>
      </c>
    </row>
    <row r="4302" spans="1:25" x14ac:dyDescent="0.3">
      <c r="A4302">
        <v>215050</v>
      </c>
      <c r="B4302" t="s">
        <v>86655</v>
      </c>
      <c r="C4302" t="s">
        <v>86656</v>
      </c>
      <c r="D4302" t="s">
        <v>86657</v>
      </c>
      <c r="E4302" t="s">
        <v>86658</v>
      </c>
      <c r="F4302" t="s">
        <v>86659</v>
      </c>
      <c r="G4302" t="s">
        <v>86660</v>
      </c>
      <c r="H4302" t="s">
        <v>86661</v>
      </c>
      <c r="I4302" t="s">
        <v>86662</v>
      </c>
      <c r="J4302" t="s">
        <v>86663</v>
      </c>
      <c r="K4302" t="s">
        <v>86664</v>
      </c>
      <c r="L4302" t="s">
        <v>86665</v>
      </c>
      <c r="M4302" t="s">
        <v>86666</v>
      </c>
      <c r="N4302" t="s">
        <v>86667</v>
      </c>
      <c r="O4302">
        <f>-541.217898921763 -102.854140816981 -746.56634180524</f>
        <v>-1390.638381543984</v>
      </c>
      <c r="P4302">
        <f>-567.452066955145 -124.464545339972 -431.874530745533</f>
        <v>-1123.79114304065</v>
      </c>
      <c r="Q4302" t="s">
        <v>86668</v>
      </c>
      <c r="R4302" t="s">
        <v>86669</v>
      </c>
      <c r="S4302" t="s">
        <v>86670</v>
      </c>
      <c r="T4302" t="s">
        <v>86671</v>
      </c>
      <c r="U4302" t="s">
        <v>86672</v>
      </c>
      <c r="V4302" t="s">
        <v>86673</v>
      </c>
      <c r="W4302" t="s">
        <v>86674</v>
      </c>
      <c r="X4302" t="s">
        <v>86675</v>
      </c>
      <c r="Y4302" t="s">
        <v>86676</v>
      </c>
    </row>
    <row r="4303" spans="1:25" x14ac:dyDescent="0.3">
      <c r="A4303">
        <v>215100</v>
      </c>
      <c r="B4303" t="s">
        <v>86677</v>
      </c>
      <c r="C4303" t="s">
        <v>86678</v>
      </c>
      <c r="D4303" t="s">
        <v>86679</v>
      </c>
      <c r="E4303" t="s">
        <v>86680</v>
      </c>
      <c r="F4303" t="s">
        <v>86681</v>
      </c>
      <c r="G4303" t="s">
        <v>86682</v>
      </c>
      <c r="H4303" t="s">
        <v>86683</v>
      </c>
      <c r="I4303" t="s">
        <v>86684</v>
      </c>
      <c r="J4303" t="s">
        <v>86685</v>
      </c>
      <c r="K4303" t="s">
        <v>86686</v>
      </c>
      <c r="L4303" t="s">
        <v>86687</v>
      </c>
      <c r="M4303" t="s">
        <v>86688</v>
      </c>
      <c r="N4303" t="s">
        <v>86689</v>
      </c>
      <c r="O4303">
        <f>-540.621873116665 -103.374086247212 -746.380940453335</f>
        <v>-1390.3768998172122</v>
      </c>
      <c r="P4303">
        <f>-567.11691152737 -124.635662474689 -431.687185611578</f>
        <v>-1123.4397596136369</v>
      </c>
      <c r="Q4303" t="s">
        <v>86690</v>
      </c>
      <c r="R4303" t="s">
        <v>86691</v>
      </c>
      <c r="S4303" t="s">
        <v>86692</v>
      </c>
      <c r="T4303" t="s">
        <v>86693</v>
      </c>
      <c r="U4303" t="s">
        <v>86694</v>
      </c>
      <c r="V4303" t="s">
        <v>86695</v>
      </c>
      <c r="W4303" t="s">
        <v>86696</v>
      </c>
      <c r="X4303" t="s">
        <v>86697</v>
      </c>
      <c r="Y4303" t="s">
        <v>86698</v>
      </c>
    </row>
    <row r="4304" spans="1:25" x14ac:dyDescent="0.3">
      <c r="A4304">
        <v>215150</v>
      </c>
      <c r="B4304" t="s">
        <v>86699</v>
      </c>
      <c r="C4304" t="s">
        <v>86700</v>
      </c>
      <c r="D4304" t="s">
        <v>86701</v>
      </c>
      <c r="E4304" t="s">
        <v>86702</v>
      </c>
      <c r="F4304" t="s">
        <v>86703</v>
      </c>
      <c r="G4304" t="s">
        <v>86704</v>
      </c>
      <c r="H4304" t="s">
        <v>86705</v>
      </c>
      <c r="I4304" t="s">
        <v>86706</v>
      </c>
      <c r="J4304" t="s">
        <v>86707</v>
      </c>
      <c r="K4304" t="s">
        <v>86708</v>
      </c>
      <c r="L4304" t="s">
        <v>86709</v>
      </c>
      <c r="M4304" t="s">
        <v>86710</v>
      </c>
      <c r="N4304" t="s">
        <v>86711</v>
      </c>
      <c r="O4304">
        <f>-538.975264177813 -103.986211973467 -746.121624067558</f>
        <v>-1389.0831002188379</v>
      </c>
      <c r="P4304">
        <f>-565.970654701704 -124.45608410022 -431.41786135411</f>
        <v>-1121.8446001560339</v>
      </c>
      <c r="Q4304" t="s">
        <v>86712</v>
      </c>
      <c r="R4304" t="s">
        <v>86713</v>
      </c>
      <c r="S4304" t="s">
        <v>86714</v>
      </c>
      <c r="T4304" t="s">
        <v>86715</v>
      </c>
      <c r="U4304" t="s">
        <v>86716</v>
      </c>
      <c r="V4304" t="s">
        <v>86717</v>
      </c>
      <c r="W4304" t="s">
        <v>86718</v>
      </c>
      <c r="X4304" t="s">
        <v>86719</v>
      </c>
      <c r="Y4304" t="s">
        <v>86720</v>
      </c>
    </row>
    <row r="4305" spans="1:25" x14ac:dyDescent="0.3">
      <c r="A4305">
        <v>215200</v>
      </c>
      <c r="B4305" t="s">
        <v>86721</v>
      </c>
      <c r="C4305" t="s">
        <v>86722</v>
      </c>
      <c r="D4305" t="s">
        <v>86723</v>
      </c>
      <c r="E4305" t="s">
        <v>86724</v>
      </c>
      <c r="F4305" t="s">
        <v>86725</v>
      </c>
      <c r="G4305" t="s">
        <v>86726</v>
      </c>
      <c r="H4305" t="s">
        <v>86727</v>
      </c>
      <c r="I4305" t="s">
        <v>86728</v>
      </c>
      <c r="J4305" t="s">
        <v>86729</v>
      </c>
      <c r="K4305" t="s">
        <v>86730</v>
      </c>
      <c r="L4305" t="s">
        <v>86731</v>
      </c>
      <c r="M4305" t="s">
        <v>86732</v>
      </c>
      <c r="N4305" t="s">
        <v>86733</v>
      </c>
      <c r="O4305">
        <f>-538.227397294489 -104.374480468397 -745.944132037936</f>
        <v>-1388.546009800822</v>
      </c>
      <c r="P4305">
        <f>-565.489624620932 -124.535183757282 -431.243357943849</f>
        <v>-1121.2681663220628</v>
      </c>
      <c r="Q4305" t="s">
        <v>86734</v>
      </c>
      <c r="R4305" t="s">
        <v>86735</v>
      </c>
      <c r="S4305" t="s">
        <v>86736</v>
      </c>
      <c r="T4305" t="s">
        <v>86737</v>
      </c>
      <c r="U4305" t="s">
        <v>86738</v>
      </c>
      <c r="V4305" t="s">
        <v>86739</v>
      </c>
      <c r="W4305" t="s">
        <v>86740</v>
      </c>
      <c r="X4305" t="s">
        <v>86741</v>
      </c>
      <c r="Y4305" t="s">
        <v>86742</v>
      </c>
    </row>
    <row r="4306" spans="1:25" x14ac:dyDescent="0.3">
      <c r="A4306">
        <v>215250</v>
      </c>
      <c r="B4306" t="s">
        <v>86743</v>
      </c>
      <c r="C4306" t="s">
        <v>86744</v>
      </c>
      <c r="D4306" t="s">
        <v>86745</v>
      </c>
      <c r="E4306" t="s">
        <v>86746</v>
      </c>
      <c r="F4306" t="s">
        <v>86747</v>
      </c>
      <c r="G4306" t="s">
        <v>86748</v>
      </c>
      <c r="H4306" t="s">
        <v>86749</v>
      </c>
      <c r="I4306" t="s">
        <v>86750</v>
      </c>
      <c r="J4306" t="s">
        <v>86751</v>
      </c>
      <c r="K4306" t="s">
        <v>86752</v>
      </c>
      <c r="L4306" t="s">
        <v>86753</v>
      </c>
      <c r="M4306" t="s">
        <v>86754</v>
      </c>
      <c r="N4306" t="s">
        <v>86755</v>
      </c>
      <c r="O4306">
        <f>-536.68886793897 -104.915658087603 -745.613372185182</f>
        <v>-1387.217898211755</v>
      </c>
      <c r="P4306">
        <f>-564.501197358416 -124.497986638476 -430.924234382638</f>
        <v>-1119.9234183795302</v>
      </c>
      <c r="Q4306" t="s">
        <v>86756</v>
      </c>
      <c r="R4306" t="s">
        <v>86757</v>
      </c>
      <c r="S4306" t="s">
        <v>86758</v>
      </c>
      <c r="T4306" t="s">
        <v>86759</v>
      </c>
      <c r="U4306" t="s">
        <v>86760</v>
      </c>
      <c r="V4306" t="s">
        <v>86761</v>
      </c>
      <c r="W4306" t="s">
        <v>86762</v>
      </c>
      <c r="X4306" t="s">
        <v>86763</v>
      </c>
      <c r="Y4306" t="s">
        <v>86764</v>
      </c>
    </row>
    <row r="4307" spans="1:25" x14ac:dyDescent="0.3">
      <c r="A4307">
        <v>215300</v>
      </c>
      <c r="B4307" t="s">
        <v>86765</v>
      </c>
      <c r="C4307" t="s">
        <v>86766</v>
      </c>
      <c r="D4307" t="s">
        <v>86767</v>
      </c>
      <c r="E4307" t="s">
        <v>86768</v>
      </c>
      <c r="F4307" t="s">
        <v>86769</v>
      </c>
      <c r="G4307" t="s">
        <v>86770</v>
      </c>
      <c r="H4307" t="s">
        <v>86771</v>
      </c>
      <c r="I4307" t="s">
        <v>86772</v>
      </c>
      <c r="J4307" t="s">
        <v>86773</v>
      </c>
      <c r="K4307" t="s">
        <v>86774</v>
      </c>
      <c r="L4307" t="s">
        <v>86775</v>
      </c>
      <c r="M4307" t="s">
        <v>86776</v>
      </c>
      <c r="N4307" t="s">
        <v>86777</v>
      </c>
      <c r="O4307">
        <f>-535.875593341138 -105.214079737923 -745.441825196806</f>
        <v>-1386.5314982758671</v>
      </c>
      <c r="P4307">
        <f>-563.835139778618 -124.517302885959 -430.748492149763</f>
        <v>-1119.10093481434</v>
      </c>
      <c r="Q4307" t="s">
        <v>86778</v>
      </c>
      <c r="R4307" t="s">
        <v>86779</v>
      </c>
      <c r="S4307" t="s">
        <v>86780</v>
      </c>
      <c r="T4307" t="s">
        <v>86781</v>
      </c>
      <c r="U4307" t="s">
        <v>86782</v>
      </c>
      <c r="V4307" t="s">
        <v>86783</v>
      </c>
      <c r="W4307" t="s">
        <v>86784</v>
      </c>
      <c r="X4307" t="s">
        <v>86785</v>
      </c>
      <c r="Y4307" t="s">
        <v>86786</v>
      </c>
    </row>
    <row r="4308" spans="1:25" x14ac:dyDescent="0.3">
      <c r="A4308">
        <v>215350</v>
      </c>
      <c r="B4308" t="s">
        <v>86787</v>
      </c>
      <c r="C4308" t="s">
        <v>86788</v>
      </c>
      <c r="D4308" t="s">
        <v>86789</v>
      </c>
      <c r="E4308" t="s">
        <v>86790</v>
      </c>
      <c r="F4308" t="s">
        <v>86791</v>
      </c>
      <c r="G4308" t="s">
        <v>86792</v>
      </c>
      <c r="H4308" t="s">
        <v>86793</v>
      </c>
      <c r="I4308" t="s">
        <v>86794</v>
      </c>
      <c r="J4308" t="s">
        <v>86795</v>
      </c>
      <c r="K4308" t="s">
        <v>86796</v>
      </c>
      <c r="L4308" t="s">
        <v>86797</v>
      </c>
      <c r="M4308" t="s">
        <v>86798</v>
      </c>
      <c r="N4308" t="s">
        <v>86799</v>
      </c>
      <c r="O4308">
        <f>-535.094366498073 -105.380814847774 -745.277016023452</f>
        <v>-1385.752197369299</v>
      </c>
      <c r="P4308">
        <f>-563.219398989311 -124.393137908897 -430.580847837007</f>
        <v>-1118.193384735215</v>
      </c>
      <c r="Q4308" t="s">
        <v>86800</v>
      </c>
      <c r="R4308" t="s">
        <v>86801</v>
      </c>
      <c r="S4308" t="s">
        <v>86802</v>
      </c>
      <c r="T4308" t="s">
        <v>86803</v>
      </c>
      <c r="U4308" t="s">
        <v>86804</v>
      </c>
      <c r="V4308" t="s">
        <v>86805</v>
      </c>
      <c r="W4308" t="s">
        <v>86806</v>
      </c>
      <c r="X4308" t="s">
        <v>86807</v>
      </c>
      <c r="Y4308" t="s">
        <v>86808</v>
      </c>
    </row>
    <row r="4309" spans="1:25" x14ac:dyDescent="0.3">
      <c r="A4309">
        <v>215400</v>
      </c>
      <c r="B4309" t="s">
        <v>86809</v>
      </c>
      <c r="C4309" t="s">
        <v>86810</v>
      </c>
      <c r="D4309" t="s">
        <v>86811</v>
      </c>
      <c r="E4309" t="s">
        <v>86812</v>
      </c>
      <c r="F4309" t="s">
        <v>86813</v>
      </c>
      <c r="G4309" t="s">
        <v>86814</v>
      </c>
      <c r="H4309" t="s">
        <v>86815</v>
      </c>
      <c r="I4309" t="s">
        <v>86816</v>
      </c>
      <c r="J4309" t="s">
        <v>86817</v>
      </c>
      <c r="K4309" t="s">
        <v>86818</v>
      </c>
      <c r="L4309" t="s">
        <v>86819</v>
      </c>
      <c r="M4309" t="s">
        <v>86820</v>
      </c>
      <c r="N4309" t="s">
        <v>86821</v>
      </c>
      <c r="O4309">
        <f>-534.222495461169 -105.460139152114 -745.17297831964</f>
        <v>-1384.8556129329231</v>
      </c>
      <c r="P4309">
        <f>-562.547397530268 -124.255924202799 -430.481710147896</f>
        <v>-1117.2850318809628</v>
      </c>
      <c r="Q4309" t="s">
        <v>86822</v>
      </c>
      <c r="R4309" t="s">
        <v>86823</v>
      </c>
      <c r="S4309" t="s">
        <v>86824</v>
      </c>
      <c r="T4309" t="s">
        <v>86825</v>
      </c>
      <c r="U4309" t="s">
        <v>86826</v>
      </c>
      <c r="V4309" t="s">
        <v>86827</v>
      </c>
      <c r="W4309" t="s">
        <v>86828</v>
      </c>
      <c r="X4309" t="s">
        <v>86829</v>
      </c>
      <c r="Y4309" t="s">
        <v>86830</v>
      </c>
    </row>
    <row r="4310" spans="1:25" x14ac:dyDescent="0.3">
      <c r="A4310">
        <v>215450</v>
      </c>
      <c r="B4310" t="s">
        <v>86809</v>
      </c>
      <c r="C4310" t="s">
        <v>86810</v>
      </c>
      <c r="D4310" t="s">
        <v>86811</v>
      </c>
      <c r="E4310" t="s">
        <v>86812</v>
      </c>
      <c r="F4310" t="s">
        <v>86813</v>
      </c>
      <c r="G4310" t="s">
        <v>86814</v>
      </c>
      <c r="H4310" t="s">
        <v>86815</v>
      </c>
      <c r="I4310" t="s">
        <v>86816</v>
      </c>
      <c r="J4310" t="s">
        <v>86817</v>
      </c>
      <c r="K4310" t="s">
        <v>86818</v>
      </c>
      <c r="L4310" t="s">
        <v>86819</v>
      </c>
      <c r="M4310" t="s">
        <v>86820</v>
      </c>
      <c r="N4310" t="s">
        <v>86821</v>
      </c>
      <c r="O4310">
        <f>-534.222495461169 -105.460139152114 -745.17297831964</f>
        <v>-1384.8556129329231</v>
      </c>
      <c r="P4310">
        <f>-562.547397530268 -124.255924202799 -430.481710147896</f>
        <v>-1117.2850318809628</v>
      </c>
      <c r="Q4310" t="s">
        <v>86822</v>
      </c>
      <c r="R4310" t="s">
        <v>86823</v>
      </c>
      <c r="S4310" t="s">
        <v>86824</v>
      </c>
      <c r="T4310" t="s">
        <v>86825</v>
      </c>
      <c r="U4310" t="s">
        <v>86826</v>
      </c>
      <c r="V4310" t="s">
        <v>86827</v>
      </c>
      <c r="W4310" t="s">
        <v>86828</v>
      </c>
      <c r="X4310" t="s">
        <v>86829</v>
      </c>
      <c r="Y4310" t="s">
        <v>86830</v>
      </c>
    </row>
    <row r="4311" spans="1:25" x14ac:dyDescent="0.3">
      <c r="A4311">
        <v>215500</v>
      </c>
      <c r="B4311" t="s">
        <v>86831</v>
      </c>
      <c r="C4311" t="s">
        <v>86832</v>
      </c>
      <c r="D4311" t="s">
        <v>86833</v>
      </c>
      <c r="E4311" t="s">
        <v>86834</v>
      </c>
      <c r="F4311" t="s">
        <v>86835</v>
      </c>
      <c r="G4311" t="s">
        <v>86836</v>
      </c>
      <c r="H4311" t="s">
        <v>86837</v>
      </c>
      <c r="I4311" t="s">
        <v>86838</v>
      </c>
      <c r="J4311" t="s">
        <v>86839</v>
      </c>
      <c r="K4311" t="s">
        <v>86840</v>
      </c>
      <c r="L4311" t="s">
        <v>86841</v>
      </c>
      <c r="M4311" t="s">
        <v>86842</v>
      </c>
      <c r="N4311" t="s">
        <v>86843</v>
      </c>
      <c r="O4311">
        <f>-531.889288536801 -106.201084686647 -745.038606940871</f>
        <v>-1383.128980164319</v>
      </c>
      <c r="P4311">
        <f>-561.013201747538 -124.603957583023 -430.397066097551</f>
        <v>-1116.014225428112</v>
      </c>
      <c r="Q4311" t="s">
        <v>86844</v>
      </c>
      <c r="R4311" t="s">
        <v>86845</v>
      </c>
      <c r="S4311" t="s">
        <v>86846</v>
      </c>
      <c r="T4311" t="s">
        <v>86847</v>
      </c>
      <c r="U4311" t="s">
        <v>86848</v>
      </c>
      <c r="V4311" t="s">
        <v>86849</v>
      </c>
      <c r="W4311" t="s">
        <v>86850</v>
      </c>
      <c r="X4311" t="s">
        <v>86851</v>
      </c>
      <c r="Y4311" t="s">
        <v>86852</v>
      </c>
    </row>
    <row r="4312" spans="1:25" x14ac:dyDescent="0.3">
      <c r="A4312">
        <v>215550</v>
      </c>
      <c r="B4312" t="s">
        <v>86853</v>
      </c>
      <c r="C4312" t="s">
        <v>86854</v>
      </c>
      <c r="D4312" t="s">
        <v>86855</v>
      </c>
      <c r="E4312" t="s">
        <v>86856</v>
      </c>
      <c r="F4312" t="s">
        <v>86857</v>
      </c>
      <c r="G4312" t="s">
        <v>86858</v>
      </c>
      <c r="H4312" t="s">
        <v>86859</v>
      </c>
      <c r="I4312" t="s">
        <v>86860</v>
      </c>
      <c r="J4312" t="s">
        <v>86861</v>
      </c>
      <c r="K4312" t="s">
        <v>86862</v>
      </c>
      <c r="L4312" t="s">
        <v>86863</v>
      </c>
      <c r="M4312" t="s">
        <v>86864</v>
      </c>
      <c r="N4312" t="s">
        <v>86865</v>
      </c>
      <c r="O4312">
        <f>-531.131977094871 -106.46537258663 -745.022573987032</f>
        <v>-1382.6199236685329</v>
      </c>
      <c r="P4312">
        <f>-560.383591746375 -124.823743227242 -430.390364177641</f>
        <v>-1115.597699151258</v>
      </c>
      <c r="Q4312" t="s">
        <v>86866</v>
      </c>
      <c r="R4312" t="s">
        <v>86867</v>
      </c>
      <c r="S4312" t="s">
        <v>86868</v>
      </c>
      <c r="T4312" t="s">
        <v>86869</v>
      </c>
      <c r="U4312" t="s">
        <v>86870</v>
      </c>
      <c r="V4312" t="s">
        <v>86871</v>
      </c>
      <c r="W4312" t="s">
        <v>86872</v>
      </c>
      <c r="X4312" t="s">
        <v>86873</v>
      </c>
      <c r="Y4312" t="s">
        <v>86874</v>
      </c>
    </row>
    <row r="4313" spans="1:25" x14ac:dyDescent="0.3">
      <c r="A4313">
        <v>215600</v>
      </c>
      <c r="B4313" t="s">
        <v>86875</v>
      </c>
      <c r="C4313" t="s">
        <v>86876</v>
      </c>
      <c r="D4313" t="s">
        <v>86877</v>
      </c>
      <c r="E4313" t="s">
        <v>86878</v>
      </c>
      <c r="F4313" t="s">
        <v>86879</v>
      </c>
      <c r="G4313" t="s">
        <v>86880</v>
      </c>
      <c r="H4313" t="s">
        <v>86881</v>
      </c>
      <c r="I4313" t="s">
        <v>86882</v>
      </c>
      <c r="J4313" t="s">
        <v>86883</v>
      </c>
      <c r="K4313" t="s">
        <v>86884</v>
      </c>
      <c r="L4313" t="s">
        <v>86885</v>
      </c>
      <c r="M4313" t="s">
        <v>86886</v>
      </c>
      <c r="N4313" t="s">
        <v>86887</v>
      </c>
      <c r="O4313">
        <f>-530.688734766818 -106.677799707238 -745.060733462115</f>
        <v>-1382.4272679361711</v>
      </c>
      <c r="P4313">
        <f>-559.922759311938 -124.965713410185 -430.422672166268</f>
        <v>-1115.311144888391</v>
      </c>
      <c r="Q4313" t="s">
        <v>86888</v>
      </c>
      <c r="R4313" t="s">
        <v>86889</v>
      </c>
      <c r="S4313" t="s">
        <v>86890</v>
      </c>
      <c r="T4313" t="s">
        <v>86891</v>
      </c>
      <c r="U4313" t="s">
        <v>86892</v>
      </c>
      <c r="V4313" t="s">
        <v>86893</v>
      </c>
      <c r="W4313" t="s">
        <v>86894</v>
      </c>
      <c r="X4313" t="s">
        <v>86895</v>
      </c>
      <c r="Y4313" t="s">
        <v>86896</v>
      </c>
    </row>
    <row r="4314" spans="1:25" x14ac:dyDescent="0.3">
      <c r="A4314">
        <v>215650</v>
      </c>
      <c r="B4314" t="s">
        <v>86897</v>
      </c>
      <c r="C4314" t="s">
        <v>86898</v>
      </c>
      <c r="D4314" t="s">
        <v>86899</v>
      </c>
      <c r="E4314" t="s">
        <v>86900</v>
      </c>
      <c r="F4314" t="s">
        <v>86901</v>
      </c>
      <c r="G4314" t="s">
        <v>86902</v>
      </c>
      <c r="H4314" t="s">
        <v>86903</v>
      </c>
      <c r="I4314" t="s">
        <v>86904</v>
      </c>
      <c r="J4314" t="s">
        <v>86905</v>
      </c>
      <c r="K4314" t="s">
        <v>86906</v>
      </c>
      <c r="L4314" t="s">
        <v>86907</v>
      </c>
      <c r="M4314" t="s">
        <v>86908</v>
      </c>
      <c r="N4314" t="s">
        <v>86909</v>
      </c>
      <c r="O4314">
        <f>-530.148065116099 -106.630627558594 -745.143822853947</f>
        <v>-1381.9225155286399</v>
      </c>
      <c r="P4314">
        <f>-559.24244466368 -125.067858504815 -430.50149778495</f>
        <v>-1114.8118009534451</v>
      </c>
      <c r="Q4314" t="s">
        <v>86910</v>
      </c>
      <c r="R4314" t="s">
        <v>86911</v>
      </c>
      <c r="S4314" t="s">
        <v>86912</v>
      </c>
      <c r="T4314" t="s">
        <v>86913</v>
      </c>
      <c r="U4314" t="s">
        <v>86914</v>
      </c>
      <c r="V4314" t="s">
        <v>86915</v>
      </c>
      <c r="W4314" t="s">
        <v>86916</v>
      </c>
      <c r="X4314" t="s">
        <v>86917</v>
      </c>
      <c r="Y4314" t="s">
        <v>86918</v>
      </c>
    </row>
    <row r="4315" spans="1:25" x14ac:dyDescent="0.3">
      <c r="A4315">
        <v>215700</v>
      </c>
      <c r="B4315" t="s">
        <v>86919</v>
      </c>
      <c r="C4315" t="s">
        <v>86920</v>
      </c>
      <c r="D4315" t="s">
        <v>86921</v>
      </c>
      <c r="E4315" t="s">
        <v>86922</v>
      </c>
      <c r="F4315" t="s">
        <v>86923</v>
      </c>
      <c r="G4315" t="s">
        <v>86924</v>
      </c>
      <c r="H4315" t="s">
        <v>86925</v>
      </c>
      <c r="I4315" t="s">
        <v>86926</v>
      </c>
      <c r="J4315" t="s">
        <v>86927</v>
      </c>
      <c r="K4315" t="s">
        <v>86928</v>
      </c>
      <c r="L4315" t="s">
        <v>86929</v>
      </c>
      <c r="M4315" t="s">
        <v>86930</v>
      </c>
      <c r="N4315" t="s">
        <v>86931</v>
      </c>
      <c r="O4315">
        <f>-529.85098043381 -106.599804281918 -745.21946784515</f>
        <v>-1381.670252560878</v>
      </c>
      <c r="P4315">
        <f>-558.891100543419 -125.085048243577 -430.574934283953</f>
        <v>-1114.5510830709491</v>
      </c>
      <c r="Q4315" t="s">
        <v>86932</v>
      </c>
      <c r="R4315" t="s">
        <v>86933</v>
      </c>
      <c r="S4315" t="s">
        <v>86934</v>
      </c>
      <c r="T4315" t="s">
        <v>86935</v>
      </c>
      <c r="U4315" t="s">
        <v>86936</v>
      </c>
      <c r="V4315" t="s">
        <v>86937</v>
      </c>
      <c r="W4315" t="s">
        <v>86938</v>
      </c>
      <c r="X4315" t="s">
        <v>86939</v>
      </c>
      <c r="Y4315" t="s">
        <v>86940</v>
      </c>
    </row>
    <row r="4316" spans="1:25" x14ac:dyDescent="0.3">
      <c r="A4316">
        <v>215750</v>
      </c>
      <c r="B4316" t="s">
        <v>86941</v>
      </c>
      <c r="C4316" t="s">
        <v>86942</v>
      </c>
      <c r="D4316" t="s">
        <v>86943</v>
      </c>
      <c r="E4316" t="s">
        <v>86944</v>
      </c>
      <c r="F4316" t="s">
        <v>86945</v>
      </c>
      <c r="G4316" t="s">
        <v>86946</v>
      </c>
      <c r="H4316" t="s">
        <v>86947</v>
      </c>
      <c r="I4316" t="s">
        <v>86948</v>
      </c>
      <c r="J4316" t="s">
        <v>86949</v>
      </c>
      <c r="K4316" t="s">
        <v>86950</v>
      </c>
      <c r="L4316" t="s">
        <v>86951</v>
      </c>
      <c r="M4316" t="s">
        <v>86952</v>
      </c>
      <c r="N4316" t="s">
        <v>86953</v>
      </c>
      <c r="O4316">
        <f t="shared" ref="O4316:O4321" si="0">-529.597838207701 -106.472731530861 -745.300569924068</f>
        <v>-1381.37113966263</v>
      </c>
      <c r="P4316">
        <f t="shared" ref="P4316:P4321" si="1">-558.557543256442 -125.057579966245 -430.65445980092</f>
        <v>-1114.2695830236071</v>
      </c>
      <c r="Q4316" t="s">
        <v>86954</v>
      </c>
      <c r="R4316" t="s">
        <v>86955</v>
      </c>
      <c r="S4316" t="s">
        <v>86956</v>
      </c>
      <c r="T4316" t="s">
        <v>86957</v>
      </c>
      <c r="U4316" t="s">
        <v>86958</v>
      </c>
      <c r="V4316" t="s">
        <v>86959</v>
      </c>
      <c r="W4316" t="s">
        <v>86960</v>
      </c>
      <c r="X4316" t="s">
        <v>86961</v>
      </c>
      <c r="Y4316" t="s">
        <v>86962</v>
      </c>
    </row>
    <row r="4317" spans="1:25" x14ac:dyDescent="0.3">
      <c r="A4317">
        <v>215800</v>
      </c>
      <c r="B4317" t="s">
        <v>86941</v>
      </c>
      <c r="C4317" t="s">
        <v>86942</v>
      </c>
      <c r="D4317" t="s">
        <v>86943</v>
      </c>
      <c r="E4317" t="s">
        <v>86944</v>
      </c>
      <c r="F4317" t="s">
        <v>86945</v>
      </c>
      <c r="G4317" t="s">
        <v>86946</v>
      </c>
      <c r="H4317" t="s">
        <v>86947</v>
      </c>
      <c r="I4317" t="s">
        <v>86948</v>
      </c>
      <c r="J4317" t="s">
        <v>86949</v>
      </c>
      <c r="K4317" t="s">
        <v>86950</v>
      </c>
      <c r="L4317" t="s">
        <v>86951</v>
      </c>
      <c r="M4317" t="s">
        <v>86952</v>
      </c>
      <c r="N4317" t="s">
        <v>86953</v>
      </c>
      <c r="O4317">
        <f t="shared" si="0"/>
        <v>-1381.37113966263</v>
      </c>
      <c r="P4317">
        <f t="shared" si="1"/>
        <v>-1114.2695830236071</v>
      </c>
      <c r="Q4317" t="s">
        <v>86954</v>
      </c>
      <c r="R4317" t="s">
        <v>86955</v>
      </c>
      <c r="S4317" t="s">
        <v>86956</v>
      </c>
      <c r="T4317" t="s">
        <v>86957</v>
      </c>
      <c r="U4317" t="s">
        <v>86958</v>
      </c>
      <c r="V4317" t="s">
        <v>86959</v>
      </c>
      <c r="W4317" t="s">
        <v>86960</v>
      </c>
      <c r="X4317" t="s">
        <v>86961</v>
      </c>
      <c r="Y4317" t="s">
        <v>86962</v>
      </c>
    </row>
    <row r="4318" spans="1:25" x14ac:dyDescent="0.3">
      <c r="A4318">
        <v>215850</v>
      </c>
      <c r="B4318" t="s">
        <v>86941</v>
      </c>
      <c r="C4318" t="s">
        <v>86942</v>
      </c>
      <c r="D4318" t="s">
        <v>86943</v>
      </c>
      <c r="E4318" t="s">
        <v>86944</v>
      </c>
      <c r="F4318" t="s">
        <v>86945</v>
      </c>
      <c r="G4318" t="s">
        <v>86946</v>
      </c>
      <c r="H4318" t="s">
        <v>86947</v>
      </c>
      <c r="I4318" t="s">
        <v>86948</v>
      </c>
      <c r="J4318" t="s">
        <v>86949</v>
      </c>
      <c r="K4318" t="s">
        <v>86950</v>
      </c>
      <c r="L4318" t="s">
        <v>86951</v>
      </c>
      <c r="M4318" t="s">
        <v>86952</v>
      </c>
      <c r="N4318" t="s">
        <v>86953</v>
      </c>
      <c r="O4318">
        <f t="shared" si="0"/>
        <v>-1381.37113966263</v>
      </c>
      <c r="P4318">
        <f t="shared" si="1"/>
        <v>-1114.2695830236071</v>
      </c>
      <c r="Q4318" t="s">
        <v>86954</v>
      </c>
      <c r="R4318" t="s">
        <v>86955</v>
      </c>
      <c r="S4318" t="s">
        <v>86956</v>
      </c>
      <c r="T4318" t="s">
        <v>86957</v>
      </c>
      <c r="U4318" t="s">
        <v>86958</v>
      </c>
      <c r="V4318" t="s">
        <v>86959</v>
      </c>
      <c r="W4318" t="s">
        <v>86960</v>
      </c>
      <c r="X4318" t="s">
        <v>86961</v>
      </c>
      <c r="Y4318" t="s">
        <v>86962</v>
      </c>
    </row>
    <row r="4319" spans="1:25" x14ac:dyDescent="0.3">
      <c r="A4319">
        <v>215900</v>
      </c>
      <c r="B4319" t="s">
        <v>86941</v>
      </c>
      <c r="C4319" t="s">
        <v>86942</v>
      </c>
      <c r="D4319" t="s">
        <v>86943</v>
      </c>
      <c r="E4319" t="s">
        <v>86944</v>
      </c>
      <c r="F4319" t="s">
        <v>86945</v>
      </c>
      <c r="G4319" t="s">
        <v>86946</v>
      </c>
      <c r="H4319" t="s">
        <v>86947</v>
      </c>
      <c r="I4319" t="s">
        <v>86948</v>
      </c>
      <c r="J4319" t="s">
        <v>86949</v>
      </c>
      <c r="K4319" t="s">
        <v>86950</v>
      </c>
      <c r="L4319" t="s">
        <v>86951</v>
      </c>
      <c r="M4319" t="s">
        <v>86952</v>
      </c>
      <c r="N4319" t="s">
        <v>86953</v>
      </c>
      <c r="O4319">
        <f t="shared" si="0"/>
        <v>-1381.37113966263</v>
      </c>
      <c r="P4319">
        <f t="shared" si="1"/>
        <v>-1114.2695830236071</v>
      </c>
      <c r="Q4319" t="s">
        <v>86954</v>
      </c>
      <c r="R4319" t="s">
        <v>86955</v>
      </c>
      <c r="S4319" t="s">
        <v>86956</v>
      </c>
      <c r="T4319" t="s">
        <v>86957</v>
      </c>
      <c r="U4319" t="s">
        <v>86958</v>
      </c>
      <c r="V4319" t="s">
        <v>86959</v>
      </c>
      <c r="W4319" t="s">
        <v>86960</v>
      </c>
      <c r="X4319" t="s">
        <v>86961</v>
      </c>
      <c r="Y4319" t="s">
        <v>86962</v>
      </c>
    </row>
    <row r="4320" spans="1:25" x14ac:dyDescent="0.3">
      <c r="A4320">
        <v>215950</v>
      </c>
      <c r="B4320" t="s">
        <v>86941</v>
      </c>
      <c r="C4320" t="s">
        <v>86942</v>
      </c>
      <c r="D4320" t="s">
        <v>86943</v>
      </c>
      <c r="E4320" t="s">
        <v>86944</v>
      </c>
      <c r="F4320" t="s">
        <v>86945</v>
      </c>
      <c r="G4320" t="s">
        <v>86946</v>
      </c>
      <c r="H4320" t="s">
        <v>86947</v>
      </c>
      <c r="I4320" t="s">
        <v>86948</v>
      </c>
      <c r="J4320" t="s">
        <v>86949</v>
      </c>
      <c r="K4320" t="s">
        <v>86950</v>
      </c>
      <c r="L4320" t="s">
        <v>86951</v>
      </c>
      <c r="M4320" t="s">
        <v>86952</v>
      </c>
      <c r="N4320" t="s">
        <v>86953</v>
      </c>
      <c r="O4320">
        <f t="shared" si="0"/>
        <v>-1381.37113966263</v>
      </c>
      <c r="P4320">
        <f t="shared" si="1"/>
        <v>-1114.2695830236071</v>
      </c>
      <c r="Q4320" t="s">
        <v>86954</v>
      </c>
      <c r="R4320" t="s">
        <v>86955</v>
      </c>
      <c r="S4320" t="s">
        <v>86956</v>
      </c>
      <c r="T4320" t="s">
        <v>86957</v>
      </c>
      <c r="U4320" t="s">
        <v>86958</v>
      </c>
      <c r="V4320" t="s">
        <v>86959</v>
      </c>
      <c r="W4320" t="s">
        <v>86960</v>
      </c>
      <c r="X4320" t="s">
        <v>86961</v>
      </c>
      <c r="Y4320" t="s">
        <v>86962</v>
      </c>
    </row>
    <row r="4321" spans="1:25" x14ac:dyDescent="0.3">
      <c r="A4321">
        <v>216000</v>
      </c>
      <c r="B4321" t="s">
        <v>86941</v>
      </c>
      <c r="C4321" t="s">
        <v>86942</v>
      </c>
      <c r="D4321" t="s">
        <v>86943</v>
      </c>
      <c r="E4321" t="s">
        <v>86944</v>
      </c>
      <c r="F4321" t="s">
        <v>86945</v>
      </c>
      <c r="G4321" t="s">
        <v>86946</v>
      </c>
      <c r="H4321" t="s">
        <v>86947</v>
      </c>
      <c r="I4321" t="s">
        <v>86948</v>
      </c>
      <c r="J4321" t="s">
        <v>86949</v>
      </c>
      <c r="K4321" t="s">
        <v>86950</v>
      </c>
      <c r="L4321" t="s">
        <v>86951</v>
      </c>
      <c r="M4321" t="s">
        <v>86952</v>
      </c>
      <c r="N4321" t="s">
        <v>86953</v>
      </c>
      <c r="O4321">
        <f t="shared" si="0"/>
        <v>-1381.37113966263</v>
      </c>
      <c r="P4321">
        <f t="shared" si="1"/>
        <v>-1114.2695830236071</v>
      </c>
      <c r="Q4321" t="s">
        <v>86954</v>
      </c>
      <c r="R4321" t="s">
        <v>86955</v>
      </c>
      <c r="S4321" t="s">
        <v>86956</v>
      </c>
      <c r="T4321" t="s">
        <v>86957</v>
      </c>
      <c r="U4321" t="s">
        <v>86958</v>
      </c>
      <c r="V4321" t="s">
        <v>86959</v>
      </c>
      <c r="W4321" t="s">
        <v>86960</v>
      </c>
      <c r="X4321" t="s">
        <v>86961</v>
      </c>
      <c r="Y4321" t="s">
        <v>86962</v>
      </c>
    </row>
    <row r="4322" spans="1:25" x14ac:dyDescent="0.3">
      <c r="A4322">
        <v>216050</v>
      </c>
      <c r="B4322" t="s">
        <v>86963</v>
      </c>
      <c r="C4322" t="s">
        <v>86964</v>
      </c>
      <c r="D4322" t="s">
        <v>86965</v>
      </c>
      <c r="E4322" t="s">
        <v>86966</v>
      </c>
      <c r="F4322" t="s">
        <v>86967</v>
      </c>
      <c r="G4322" t="s">
        <v>86968</v>
      </c>
      <c r="H4322" t="s">
        <v>86969</v>
      </c>
      <c r="I4322" t="s">
        <v>86970</v>
      </c>
      <c r="J4322" t="s">
        <v>86971</v>
      </c>
      <c r="K4322" t="s">
        <v>86972</v>
      </c>
      <c r="L4322" t="s">
        <v>86973</v>
      </c>
      <c r="M4322" t="s">
        <v>86974</v>
      </c>
      <c r="N4322" t="s">
        <v>86975</v>
      </c>
      <c r="O4322">
        <f t="shared" ref="O4322:O4327" si="2">-529.320731943145 -105.940231295569 -745.367237426429</f>
        <v>-1380.6282006651431</v>
      </c>
      <c r="P4322">
        <f t="shared" ref="P4322:P4327" si="3">-558.029605648734 -124.640289534685 -430.704964656842</f>
        <v>-1113.3748598402608</v>
      </c>
      <c r="Q4322" t="s">
        <v>86976</v>
      </c>
      <c r="R4322" t="s">
        <v>86977</v>
      </c>
      <c r="S4322" t="s">
        <v>86978</v>
      </c>
      <c r="T4322" t="s">
        <v>86979</v>
      </c>
      <c r="U4322" t="s">
        <v>86980</v>
      </c>
      <c r="V4322" t="s">
        <v>86981</v>
      </c>
      <c r="W4322" t="s">
        <v>86982</v>
      </c>
      <c r="X4322" t="s">
        <v>86983</v>
      </c>
      <c r="Y4322" t="s">
        <v>86984</v>
      </c>
    </row>
    <row r="4323" spans="1:25" x14ac:dyDescent="0.3">
      <c r="A4323">
        <v>216100</v>
      </c>
      <c r="B4323" t="s">
        <v>86963</v>
      </c>
      <c r="C4323" t="s">
        <v>86964</v>
      </c>
      <c r="D4323" t="s">
        <v>86965</v>
      </c>
      <c r="E4323" t="s">
        <v>86966</v>
      </c>
      <c r="F4323" t="s">
        <v>86967</v>
      </c>
      <c r="G4323" t="s">
        <v>86968</v>
      </c>
      <c r="H4323" t="s">
        <v>86969</v>
      </c>
      <c r="I4323" t="s">
        <v>86970</v>
      </c>
      <c r="J4323" t="s">
        <v>86971</v>
      </c>
      <c r="K4323" t="s">
        <v>86972</v>
      </c>
      <c r="L4323" t="s">
        <v>86973</v>
      </c>
      <c r="M4323" t="s">
        <v>86974</v>
      </c>
      <c r="N4323" t="s">
        <v>86975</v>
      </c>
      <c r="O4323">
        <f t="shared" si="2"/>
        <v>-1380.6282006651431</v>
      </c>
      <c r="P4323">
        <f t="shared" si="3"/>
        <v>-1113.3748598402608</v>
      </c>
      <c r="Q4323" t="s">
        <v>86976</v>
      </c>
      <c r="R4323" t="s">
        <v>86977</v>
      </c>
      <c r="S4323" t="s">
        <v>86978</v>
      </c>
      <c r="T4323" t="s">
        <v>86979</v>
      </c>
      <c r="U4323" t="s">
        <v>86980</v>
      </c>
      <c r="V4323" t="s">
        <v>86981</v>
      </c>
      <c r="W4323" t="s">
        <v>86982</v>
      </c>
      <c r="X4323" t="s">
        <v>86983</v>
      </c>
      <c r="Y4323" t="s">
        <v>86984</v>
      </c>
    </row>
    <row r="4324" spans="1:25" x14ac:dyDescent="0.3">
      <c r="A4324">
        <v>216150</v>
      </c>
      <c r="B4324" t="s">
        <v>86963</v>
      </c>
      <c r="C4324" t="s">
        <v>86964</v>
      </c>
      <c r="D4324" t="s">
        <v>86965</v>
      </c>
      <c r="E4324" t="s">
        <v>86966</v>
      </c>
      <c r="F4324" t="s">
        <v>86967</v>
      </c>
      <c r="G4324" t="s">
        <v>86968</v>
      </c>
      <c r="H4324" t="s">
        <v>86969</v>
      </c>
      <c r="I4324" t="s">
        <v>86970</v>
      </c>
      <c r="J4324" t="s">
        <v>86971</v>
      </c>
      <c r="K4324" t="s">
        <v>86972</v>
      </c>
      <c r="L4324" t="s">
        <v>86973</v>
      </c>
      <c r="M4324" t="s">
        <v>86974</v>
      </c>
      <c r="N4324" t="s">
        <v>86975</v>
      </c>
      <c r="O4324">
        <f t="shared" si="2"/>
        <v>-1380.6282006651431</v>
      </c>
      <c r="P4324">
        <f t="shared" si="3"/>
        <v>-1113.3748598402608</v>
      </c>
      <c r="Q4324" t="s">
        <v>86976</v>
      </c>
      <c r="R4324" t="s">
        <v>86977</v>
      </c>
      <c r="S4324" t="s">
        <v>86978</v>
      </c>
      <c r="T4324" t="s">
        <v>86979</v>
      </c>
      <c r="U4324" t="s">
        <v>86980</v>
      </c>
      <c r="V4324" t="s">
        <v>86981</v>
      </c>
      <c r="W4324" t="s">
        <v>86982</v>
      </c>
      <c r="X4324" t="s">
        <v>86983</v>
      </c>
      <c r="Y4324" t="s">
        <v>86984</v>
      </c>
    </row>
    <row r="4325" spans="1:25" x14ac:dyDescent="0.3">
      <c r="A4325">
        <v>216200</v>
      </c>
      <c r="B4325" t="s">
        <v>86963</v>
      </c>
      <c r="C4325" t="s">
        <v>86964</v>
      </c>
      <c r="D4325" t="s">
        <v>86965</v>
      </c>
      <c r="E4325" t="s">
        <v>86966</v>
      </c>
      <c r="F4325" t="s">
        <v>86967</v>
      </c>
      <c r="G4325" t="s">
        <v>86968</v>
      </c>
      <c r="H4325" t="s">
        <v>86969</v>
      </c>
      <c r="I4325" t="s">
        <v>86970</v>
      </c>
      <c r="J4325" t="s">
        <v>86971</v>
      </c>
      <c r="K4325" t="s">
        <v>86972</v>
      </c>
      <c r="L4325" t="s">
        <v>86973</v>
      </c>
      <c r="M4325" t="s">
        <v>86974</v>
      </c>
      <c r="N4325" t="s">
        <v>86975</v>
      </c>
      <c r="O4325">
        <f t="shared" si="2"/>
        <v>-1380.6282006651431</v>
      </c>
      <c r="P4325">
        <f t="shared" si="3"/>
        <v>-1113.3748598402608</v>
      </c>
      <c r="Q4325" t="s">
        <v>86976</v>
      </c>
      <c r="R4325" t="s">
        <v>86977</v>
      </c>
      <c r="S4325" t="s">
        <v>86978</v>
      </c>
      <c r="T4325" t="s">
        <v>86979</v>
      </c>
      <c r="U4325" t="s">
        <v>86980</v>
      </c>
      <c r="V4325" t="s">
        <v>86981</v>
      </c>
      <c r="W4325" t="s">
        <v>86982</v>
      </c>
      <c r="X4325" t="s">
        <v>86983</v>
      </c>
      <c r="Y4325" t="s">
        <v>86984</v>
      </c>
    </row>
    <row r="4326" spans="1:25" x14ac:dyDescent="0.3">
      <c r="A4326">
        <v>216250</v>
      </c>
      <c r="B4326" t="s">
        <v>86963</v>
      </c>
      <c r="C4326" t="s">
        <v>86964</v>
      </c>
      <c r="D4326" t="s">
        <v>86965</v>
      </c>
      <c r="E4326" t="s">
        <v>86966</v>
      </c>
      <c r="F4326" t="s">
        <v>86967</v>
      </c>
      <c r="G4326" t="s">
        <v>86968</v>
      </c>
      <c r="H4326" t="s">
        <v>86969</v>
      </c>
      <c r="I4326" t="s">
        <v>86970</v>
      </c>
      <c r="J4326" t="s">
        <v>86971</v>
      </c>
      <c r="K4326" t="s">
        <v>86972</v>
      </c>
      <c r="L4326" t="s">
        <v>86973</v>
      </c>
      <c r="M4326" t="s">
        <v>86974</v>
      </c>
      <c r="N4326" t="s">
        <v>86975</v>
      </c>
      <c r="O4326">
        <f t="shared" si="2"/>
        <v>-1380.6282006651431</v>
      </c>
      <c r="P4326">
        <f t="shared" si="3"/>
        <v>-1113.3748598402608</v>
      </c>
      <c r="Q4326" t="s">
        <v>86976</v>
      </c>
      <c r="R4326" t="s">
        <v>86977</v>
      </c>
      <c r="S4326" t="s">
        <v>86978</v>
      </c>
      <c r="T4326" t="s">
        <v>86979</v>
      </c>
      <c r="U4326" t="s">
        <v>86980</v>
      </c>
      <c r="V4326" t="s">
        <v>86981</v>
      </c>
      <c r="W4326" t="s">
        <v>86982</v>
      </c>
      <c r="X4326" t="s">
        <v>86983</v>
      </c>
      <c r="Y4326" t="s">
        <v>86984</v>
      </c>
    </row>
    <row r="4327" spans="1:25" x14ac:dyDescent="0.3">
      <c r="A4327">
        <v>216300</v>
      </c>
      <c r="B4327" t="s">
        <v>86963</v>
      </c>
      <c r="C4327" t="s">
        <v>86964</v>
      </c>
      <c r="D4327" t="s">
        <v>86965</v>
      </c>
      <c r="E4327" t="s">
        <v>86966</v>
      </c>
      <c r="F4327" t="s">
        <v>86967</v>
      </c>
      <c r="G4327" t="s">
        <v>86968</v>
      </c>
      <c r="H4327" t="s">
        <v>86969</v>
      </c>
      <c r="I4327" t="s">
        <v>86970</v>
      </c>
      <c r="J4327" t="s">
        <v>86971</v>
      </c>
      <c r="K4327" t="s">
        <v>86972</v>
      </c>
      <c r="L4327" t="s">
        <v>86973</v>
      </c>
      <c r="M4327" t="s">
        <v>86974</v>
      </c>
      <c r="N4327" t="s">
        <v>86975</v>
      </c>
      <c r="O4327">
        <f t="shared" si="2"/>
        <v>-1380.6282006651431</v>
      </c>
      <c r="P4327">
        <f t="shared" si="3"/>
        <v>-1113.3748598402608</v>
      </c>
      <c r="Q4327" t="s">
        <v>86976</v>
      </c>
      <c r="R4327" t="s">
        <v>86977</v>
      </c>
      <c r="S4327" t="s">
        <v>86978</v>
      </c>
      <c r="T4327" t="s">
        <v>86979</v>
      </c>
      <c r="U4327" t="s">
        <v>86980</v>
      </c>
      <c r="V4327" t="s">
        <v>86981</v>
      </c>
      <c r="W4327" t="s">
        <v>86982</v>
      </c>
      <c r="X4327" t="s">
        <v>86983</v>
      </c>
      <c r="Y4327" t="s">
        <v>86984</v>
      </c>
    </row>
    <row r="4328" spans="1:25" x14ac:dyDescent="0.3">
      <c r="A4328">
        <v>216350</v>
      </c>
      <c r="B4328" t="s">
        <v>86985</v>
      </c>
      <c r="C4328" t="s">
        <v>86986</v>
      </c>
      <c r="D4328" t="s">
        <v>86987</v>
      </c>
      <c r="E4328" t="s">
        <v>86988</v>
      </c>
      <c r="F4328" t="s">
        <v>86989</v>
      </c>
      <c r="G4328" t="s">
        <v>86990</v>
      </c>
      <c r="H4328" t="s">
        <v>86991</v>
      </c>
      <c r="I4328" t="s">
        <v>86992</v>
      </c>
      <c r="J4328" t="s">
        <v>86993</v>
      </c>
      <c r="K4328" t="s">
        <v>86994</v>
      </c>
      <c r="L4328" t="s">
        <v>86995</v>
      </c>
      <c r="M4328" t="s">
        <v>86996</v>
      </c>
      <c r="N4328" t="s">
        <v>86997</v>
      </c>
      <c r="O4328">
        <f>-524.843374753011 -105.610115870933 -745.92529174217</f>
        <v>-1376.3787823661139</v>
      </c>
      <c r="P4328">
        <f>-553.289445578188 -124.66212724142 -431.260311112903</f>
        <v>-1109.211883932511</v>
      </c>
      <c r="Q4328" t="s">
        <v>86998</v>
      </c>
      <c r="R4328" t="s">
        <v>86999</v>
      </c>
      <c r="S4328" t="s">
        <v>87000</v>
      </c>
      <c r="T4328" t="s">
        <v>87001</v>
      </c>
      <c r="U4328" t="s">
        <v>87002</v>
      </c>
      <c r="V4328" t="s">
        <v>87003</v>
      </c>
      <c r="W4328" t="s">
        <v>87004</v>
      </c>
      <c r="X4328" t="s">
        <v>87005</v>
      </c>
      <c r="Y4328" t="s">
        <v>87006</v>
      </c>
    </row>
    <row r="4329" spans="1:25" x14ac:dyDescent="0.3">
      <c r="A4329">
        <v>216400</v>
      </c>
      <c r="B4329" t="s">
        <v>87007</v>
      </c>
      <c r="C4329" t="s">
        <v>87008</v>
      </c>
      <c r="D4329" t="s">
        <v>87009</v>
      </c>
      <c r="E4329" t="s">
        <v>87010</v>
      </c>
      <c r="F4329" t="s">
        <v>87011</v>
      </c>
      <c r="G4329" t="s">
        <v>87012</v>
      </c>
      <c r="H4329" t="s">
        <v>87013</v>
      </c>
      <c r="I4329" t="s">
        <v>87014</v>
      </c>
      <c r="J4329" t="s">
        <v>87015</v>
      </c>
      <c r="K4329" t="s">
        <v>87016</v>
      </c>
      <c r="L4329" t="s">
        <v>87017</v>
      </c>
      <c r="M4329" t="s">
        <v>87018</v>
      </c>
      <c r="N4329" t="s">
        <v>87019</v>
      </c>
      <c r="O4329">
        <f>-523.173287792088 -105.864153797247 -746.013490535456</f>
        <v>-1375.050932124791</v>
      </c>
      <c r="P4329">
        <f>-552.266080709562 -124.829795440296 -431.402550815966</f>
        <v>-1108.4984269658239</v>
      </c>
      <c r="Q4329" t="s">
        <v>87020</v>
      </c>
      <c r="R4329" t="s">
        <v>87021</v>
      </c>
      <c r="S4329" t="s">
        <v>87022</v>
      </c>
      <c r="T4329" t="s">
        <v>87023</v>
      </c>
      <c r="U4329" t="s">
        <v>87024</v>
      </c>
      <c r="V4329" t="s">
        <v>87025</v>
      </c>
      <c r="W4329" t="s">
        <v>87026</v>
      </c>
      <c r="X4329" t="s">
        <v>87027</v>
      </c>
      <c r="Y4329" t="s">
        <v>87028</v>
      </c>
    </row>
    <row r="4330" spans="1:25" x14ac:dyDescent="0.3">
      <c r="A4330">
        <v>216450</v>
      </c>
      <c r="B4330" t="s">
        <v>87029</v>
      </c>
      <c r="C4330" t="s">
        <v>87030</v>
      </c>
      <c r="D4330" t="s">
        <v>87031</v>
      </c>
      <c r="E4330" t="s">
        <v>87032</v>
      </c>
      <c r="F4330" t="s">
        <v>87033</v>
      </c>
      <c r="G4330" t="s">
        <v>87034</v>
      </c>
      <c r="H4330" t="s">
        <v>87035</v>
      </c>
      <c r="I4330" t="s">
        <v>87036</v>
      </c>
      <c r="J4330" t="s">
        <v>87037</v>
      </c>
      <c r="K4330" t="s">
        <v>87038</v>
      </c>
      <c r="L4330" t="s">
        <v>87039</v>
      </c>
      <c r="M4330" t="s">
        <v>87040</v>
      </c>
      <c r="N4330" t="s">
        <v>87041</v>
      </c>
      <c r="O4330">
        <f>-522.353250575156 -105.723647740216 -745.898102072198</f>
        <v>-1373.9750003875702</v>
      </c>
      <c r="P4330">
        <f>-551.48656542455 -124.667730675479 -431.289571602885</f>
        <v>-1107.4438677029141</v>
      </c>
      <c r="Q4330" t="s">
        <v>87042</v>
      </c>
      <c r="R4330" t="s">
        <v>87043</v>
      </c>
      <c r="S4330" t="s">
        <v>87044</v>
      </c>
      <c r="T4330" t="s">
        <v>87045</v>
      </c>
      <c r="U4330" t="s">
        <v>87046</v>
      </c>
      <c r="V4330" t="s">
        <v>87047</v>
      </c>
      <c r="W4330" t="s">
        <v>87048</v>
      </c>
      <c r="X4330" t="s">
        <v>87049</v>
      </c>
      <c r="Y4330" t="s">
        <v>87050</v>
      </c>
    </row>
    <row r="4331" spans="1:25" x14ac:dyDescent="0.3">
      <c r="A4331">
        <v>216500</v>
      </c>
      <c r="B4331" t="s">
        <v>87051</v>
      </c>
      <c r="C4331" t="s">
        <v>87052</v>
      </c>
      <c r="D4331" t="s">
        <v>87053</v>
      </c>
      <c r="E4331" t="s">
        <v>87054</v>
      </c>
      <c r="F4331" t="s">
        <v>87055</v>
      </c>
      <c r="G4331" t="s">
        <v>87056</v>
      </c>
      <c r="H4331" t="s">
        <v>87057</v>
      </c>
      <c r="I4331" t="s">
        <v>87058</v>
      </c>
      <c r="J4331" t="s">
        <v>87059</v>
      </c>
      <c r="K4331" t="s">
        <v>87060</v>
      </c>
      <c r="L4331" t="s">
        <v>87061</v>
      </c>
      <c r="M4331" t="s">
        <v>87062</v>
      </c>
      <c r="N4331" t="s">
        <v>87063</v>
      </c>
      <c r="O4331">
        <f>-522.097656412959 -105.887588361971 -745.791479615346</f>
        <v>-1373.7767243902761</v>
      </c>
      <c r="P4331">
        <f>-551.373908769235 -124.717189490875 -431.189301989855</f>
        <v>-1107.2804002499649</v>
      </c>
      <c r="Q4331" t="s">
        <v>87064</v>
      </c>
      <c r="R4331" t="s">
        <v>87065</v>
      </c>
      <c r="S4331" t="s">
        <v>87066</v>
      </c>
      <c r="T4331" t="s">
        <v>87067</v>
      </c>
      <c r="U4331" t="s">
        <v>87068</v>
      </c>
      <c r="V4331" t="s">
        <v>87069</v>
      </c>
      <c r="W4331" t="s">
        <v>87070</v>
      </c>
      <c r="X4331" t="s">
        <v>87071</v>
      </c>
      <c r="Y4331" t="s">
        <v>87072</v>
      </c>
    </row>
    <row r="4332" spans="1:25" x14ac:dyDescent="0.3">
      <c r="A4332">
        <v>216550</v>
      </c>
      <c r="B4332" t="s">
        <v>87073</v>
      </c>
      <c r="C4332" t="s">
        <v>87074</v>
      </c>
      <c r="D4332" t="s">
        <v>87075</v>
      </c>
      <c r="E4332" t="s">
        <v>87076</v>
      </c>
      <c r="F4332" t="s">
        <v>87077</v>
      </c>
      <c r="G4332" t="s">
        <v>87078</v>
      </c>
      <c r="H4332" t="s">
        <v>87079</v>
      </c>
      <c r="I4332" t="s">
        <v>87080</v>
      </c>
      <c r="J4332" t="s">
        <v>87081</v>
      </c>
      <c r="K4332" t="s">
        <v>87082</v>
      </c>
      <c r="L4332" t="s">
        <v>87083</v>
      </c>
      <c r="M4332" t="s">
        <v>87084</v>
      </c>
      <c r="N4332" t="s">
        <v>87085</v>
      </c>
      <c r="O4332">
        <f>-521.584537747441 -105.764552116471 -745.735438709294</f>
        <v>-1373.0845285732062</v>
      </c>
      <c r="P4332">
        <f>-550.957905894588 -124.438347231723 -431.133060280092</f>
        <v>-1106.5293134064029</v>
      </c>
      <c r="Q4332" t="s">
        <v>87086</v>
      </c>
      <c r="R4332" t="s">
        <v>87087</v>
      </c>
      <c r="S4332" t="s">
        <v>87088</v>
      </c>
      <c r="T4332" t="s">
        <v>87089</v>
      </c>
      <c r="U4332" t="s">
        <v>87090</v>
      </c>
      <c r="V4332" t="s">
        <v>87091</v>
      </c>
      <c r="W4332" t="s">
        <v>87092</v>
      </c>
      <c r="X4332" t="s">
        <v>87093</v>
      </c>
      <c r="Y4332" t="s">
        <v>87094</v>
      </c>
    </row>
    <row r="4333" spans="1:25" x14ac:dyDescent="0.3">
      <c r="A4333">
        <v>216600</v>
      </c>
      <c r="B4333" t="s">
        <v>87095</v>
      </c>
      <c r="C4333" t="s">
        <v>87096</v>
      </c>
      <c r="D4333" t="s">
        <v>87097</v>
      </c>
      <c r="E4333" t="s">
        <v>87098</v>
      </c>
      <c r="F4333" t="s">
        <v>87099</v>
      </c>
      <c r="G4333" t="s">
        <v>87100</v>
      </c>
      <c r="H4333" t="s">
        <v>87101</v>
      </c>
      <c r="I4333" t="s">
        <v>87102</v>
      </c>
      <c r="J4333" t="s">
        <v>87103</v>
      </c>
      <c r="K4333" t="s">
        <v>87104</v>
      </c>
      <c r="L4333" t="s">
        <v>87105</v>
      </c>
      <c r="M4333" t="s">
        <v>87106</v>
      </c>
      <c r="N4333" t="s">
        <v>87107</v>
      </c>
      <c r="O4333">
        <f>-521.275206050102 -105.744441735698 -745.705319051334</f>
        <v>-1372.7249668371342</v>
      </c>
      <c r="P4333">
        <f>-550.756181468398 -124.212726171612 -431.100776453984</f>
        <v>-1106.0696840939941</v>
      </c>
      <c r="Q4333" t="s">
        <v>87108</v>
      </c>
      <c r="R4333" t="s">
        <v>87109</v>
      </c>
      <c r="S4333" t="s">
        <v>87110</v>
      </c>
      <c r="T4333" t="s">
        <v>87111</v>
      </c>
      <c r="U4333" t="s">
        <v>87112</v>
      </c>
      <c r="V4333" t="s">
        <v>87113</v>
      </c>
      <c r="W4333" t="s">
        <v>87114</v>
      </c>
      <c r="X4333" t="s">
        <v>87115</v>
      </c>
      <c r="Y4333" t="s">
        <v>87116</v>
      </c>
    </row>
    <row r="4334" spans="1:25" x14ac:dyDescent="0.3">
      <c r="A4334">
        <v>216650</v>
      </c>
      <c r="B4334" t="s">
        <v>87117</v>
      </c>
      <c r="C4334" t="s">
        <v>87118</v>
      </c>
      <c r="D4334" t="s">
        <v>87119</v>
      </c>
      <c r="E4334" t="s">
        <v>87120</v>
      </c>
      <c r="F4334" t="s">
        <v>87121</v>
      </c>
      <c r="G4334" t="s">
        <v>87122</v>
      </c>
      <c r="H4334" t="s">
        <v>87123</v>
      </c>
      <c r="I4334" t="s">
        <v>87124</v>
      </c>
      <c r="J4334" t="s">
        <v>87125</v>
      </c>
      <c r="K4334" t="s">
        <v>87126</v>
      </c>
      <c r="L4334" t="s">
        <v>87127</v>
      </c>
      <c r="M4334" t="s">
        <v>87128</v>
      </c>
      <c r="N4334" t="s">
        <v>87129</v>
      </c>
      <c r="O4334">
        <f>-520.599029084438 -105.833915884994 -745.726029002047</f>
        <v>-1372.1589739714791</v>
      </c>
      <c r="P4334">
        <f>-550.309948647949 -124.103016563622 -431.131631847614</f>
        <v>-1105.544597059185</v>
      </c>
      <c r="Q4334" t="s">
        <v>87130</v>
      </c>
      <c r="R4334" t="s">
        <v>87131</v>
      </c>
      <c r="S4334" t="s">
        <v>87132</v>
      </c>
      <c r="T4334" t="s">
        <v>87133</v>
      </c>
      <c r="U4334" t="s">
        <v>87134</v>
      </c>
      <c r="V4334" t="s">
        <v>87135</v>
      </c>
      <c r="W4334" t="s">
        <v>87136</v>
      </c>
      <c r="X4334" t="s">
        <v>87137</v>
      </c>
      <c r="Y4334" t="s">
        <v>87138</v>
      </c>
    </row>
    <row r="4335" spans="1:25" x14ac:dyDescent="0.3">
      <c r="A4335">
        <v>216700</v>
      </c>
      <c r="B4335" t="s">
        <v>87139</v>
      </c>
      <c r="C4335" t="s">
        <v>87140</v>
      </c>
      <c r="D4335" t="s">
        <v>87141</v>
      </c>
      <c r="E4335" t="s">
        <v>87142</v>
      </c>
      <c r="F4335" t="s">
        <v>87143</v>
      </c>
      <c r="G4335" t="s">
        <v>87144</v>
      </c>
      <c r="H4335" t="s">
        <v>87145</v>
      </c>
      <c r="I4335" t="s">
        <v>87146</v>
      </c>
      <c r="J4335" t="s">
        <v>87147</v>
      </c>
      <c r="K4335" t="s">
        <v>87148</v>
      </c>
      <c r="L4335" t="s">
        <v>87149</v>
      </c>
      <c r="M4335" t="s">
        <v>87150</v>
      </c>
      <c r="N4335" t="s">
        <v>87151</v>
      </c>
      <c r="O4335">
        <f>-520.148631475678 -105.889886481552 -745.708633543715</f>
        <v>-1371.7471515009452</v>
      </c>
      <c r="P4335">
        <f>-549.942507340452 -123.927216568327 -431.108687403154</f>
        <v>-1104.9784113119331</v>
      </c>
      <c r="Q4335" t="s">
        <v>87152</v>
      </c>
      <c r="R4335" t="s">
        <v>87153</v>
      </c>
      <c r="S4335" t="s">
        <v>87154</v>
      </c>
      <c r="T4335" t="s">
        <v>87155</v>
      </c>
      <c r="U4335" t="s">
        <v>87156</v>
      </c>
      <c r="V4335" t="s">
        <v>87157</v>
      </c>
      <c r="W4335" t="s">
        <v>87158</v>
      </c>
      <c r="X4335" t="s">
        <v>87159</v>
      </c>
      <c r="Y4335" t="s">
        <v>87160</v>
      </c>
    </row>
    <row r="4336" spans="1:25" x14ac:dyDescent="0.3">
      <c r="A4336">
        <v>216750</v>
      </c>
      <c r="B4336" t="s">
        <v>87161</v>
      </c>
      <c r="C4336" t="s">
        <v>87162</v>
      </c>
      <c r="D4336" t="s">
        <v>87163</v>
      </c>
      <c r="E4336" t="s">
        <v>87164</v>
      </c>
      <c r="F4336" t="s">
        <v>87165</v>
      </c>
      <c r="G4336" t="s">
        <v>87166</v>
      </c>
      <c r="H4336" t="s">
        <v>87167</v>
      </c>
      <c r="I4336" t="s">
        <v>87168</v>
      </c>
      <c r="J4336" t="s">
        <v>87169</v>
      </c>
      <c r="K4336" t="s">
        <v>87170</v>
      </c>
      <c r="L4336" t="s">
        <v>87171</v>
      </c>
      <c r="M4336" t="s">
        <v>87172</v>
      </c>
      <c r="N4336" t="s">
        <v>87173</v>
      </c>
      <c r="O4336">
        <f>-519.104075135907 -105.696003508789 -745.553643100912</f>
        <v>-1370.353721745608</v>
      </c>
      <c r="P4336">
        <f>-549.143099240511 -123.453797850372 -430.960996363245</f>
        <v>-1103.5578934541279</v>
      </c>
      <c r="Q4336" t="s">
        <v>87174</v>
      </c>
      <c r="R4336" t="s">
        <v>87175</v>
      </c>
      <c r="S4336" t="s">
        <v>87176</v>
      </c>
      <c r="T4336" t="s">
        <v>87177</v>
      </c>
      <c r="U4336" t="s">
        <v>87178</v>
      </c>
      <c r="V4336" t="s">
        <v>87179</v>
      </c>
      <c r="W4336" t="s">
        <v>87180</v>
      </c>
      <c r="X4336" t="s">
        <v>87181</v>
      </c>
      <c r="Y4336" t="s">
        <v>87182</v>
      </c>
    </row>
    <row r="4337" spans="1:25" x14ac:dyDescent="0.3">
      <c r="A4337">
        <v>216800</v>
      </c>
      <c r="B4337" t="s">
        <v>87183</v>
      </c>
      <c r="C4337" t="s">
        <v>87184</v>
      </c>
      <c r="D4337" t="s">
        <v>87185</v>
      </c>
      <c r="E4337" t="s">
        <v>87186</v>
      </c>
      <c r="F4337" t="s">
        <v>87187</v>
      </c>
      <c r="G4337" t="s">
        <v>87188</v>
      </c>
      <c r="H4337" t="s">
        <v>87189</v>
      </c>
      <c r="I4337" t="s">
        <v>87190</v>
      </c>
      <c r="J4337" t="s">
        <v>87191</v>
      </c>
      <c r="K4337" t="s">
        <v>87192</v>
      </c>
      <c r="L4337" t="s">
        <v>87193</v>
      </c>
      <c r="M4337" t="s">
        <v>87194</v>
      </c>
      <c r="N4337" t="s">
        <v>87195</v>
      </c>
      <c r="O4337">
        <f>-518.54943184279 -105.912575922523 -745.475978651463</f>
        <v>-1369.9379864167761</v>
      </c>
      <c r="P4337">
        <f>-548.712126764422 -123.629104557054 -430.892846957572</f>
        <v>-1103.2340782790479</v>
      </c>
      <c r="Q4337" t="s">
        <v>87196</v>
      </c>
      <c r="R4337" t="s">
        <v>87197</v>
      </c>
      <c r="S4337" t="s">
        <v>87198</v>
      </c>
      <c r="T4337" t="s">
        <v>87199</v>
      </c>
      <c r="U4337" t="s">
        <v>87200</v>
      </c>
      <c r="V4337" t="s">
        <v>87201</v>
      </c>
      <c r="W4337" t="s">
        <v>87202</v>
      </c>
      <c r="X4337" t="s">
        <v>87203</v>
      </c>
      <c r="Y4337" t="s">
        <v>87204</v>
      </c>
    </row>
    <row r="4338" spans="1:25" x14ac:dyDescent="0.3">
      <c r="A4338">
        <v>216850</v>
      </c>
      <c r="B4338" t="s">
        <v>87205</v>
      </c>
      <c r="C4338" t="s">
        <v>87206</v>
      </c>
      <c r="D4338" t="s">
        <v>87207</v>
      </c>
      <c r="E4338" t="s">
        <v>87208</v>
      </c>
      <c r="F4338" t="s">
        <v>87209</v>
      </c>
      <c r="G4338" t="s">
        <v>87210</v>
      </c>
      <c r="H4338" t="s">
        <v>87211</v>
      </c>
      <c r="I4338" t="s">
        <v>87212</v>
      </c>
      <c r="J4338" t="s">
        <v>87213</v>
      </c>
      <c r="K4338" t="s">
        <v>87214</v>
      </c>
      <c r="L4338" t="s">
        <v>87215</v>
      </c>
      <c r="M4338" t="s">
        <v>87216</v>
      </c>
      <c r="N4338" t="s">
        <v>87217</v>
      </c>
      <c r="O4338">
        <f>-517.236962842743 -106.77334149511 -745.365816204028</f>
        <v>-1369.3761205418809</v>
      </c>
      <c r="P4338">
        <f>-547.566521492115 -124.339974151605 -430.790287662149</f>
        <v>-1102.6967833058691</v>
      </c>
      <c r="Q4338" t="s">
        <v>87218</v>
      </c>
      <c r="R4338" t="s">
        <v>87219</v>
      </c>
      <c r="S4338" t="s">
        <v>87220</v>
      </c>
      <c r="T4338" t="s">
        <v>87221</v>
      </c>
      <c r="U4338" t="s">
        <v>87222</v>
      </c>
      <c r="V4338" t="s">
        <v>87223</v>
      </c>
      <c r="W4338" t="s">
        <v>87224</v>
      </c>
      <c r="X4338" t="s">
        <v>87225</v>
      </c>
      <c r="Y4338" t="s">
        <v>87226</v>
      </c>
    </row>
    <row r="4339" spans="1:25" x14ac:dyDescent="0.3">
      <c r="A4339">
        <v>216900</v>
      </c>
      <c r="B4339" t="s">
        <v>87227</v>
      </c>
      <c r="C4339" t="s">
        <v>87228</v>
      </c>
      <c r="D4339" t="s">
        <v>87229</v>
      </c>
      <c r="E4339" t="s">
        <v>87230</v>
      </c>
      <c r="F4339" t="s">
        <v>87231</v>
      </c>
      <c r="G4339" t="s">
        <v>87232</v>
      </c>
      <c r="H4339" t="s">
        <v>87233</v>
      </c>
      <c r="I4339" t="s">
        <v>87234</v>
      </c>
      <c r="J4339" t="s">
        <v>87235</v>
      </c>
      <c r="K4339" t="s">
        <v>87236</v>
      </c>
      <c r="L4339" t="s">
        <v>87237</v>
      </c>
      <c r="M4339" t="s">
        <v>87238</v>
      </c>
      <c r="N4339" t="s">
        <v>87239</v>
      </c>
      <c r="O4339">
        <f>-516.713959962538 -106.665724034391 -745.333325234058</f>
        <v>-1368.7130092309869</v>
      </c>
      <c r="P4339">
        <f>-547.194404548364 -124.251802485647 -430.773553532824</f>
        <v>-1102.219760566835</v>
      </c>
      <c r="Q4339" t="s">
        <v>87240</v>
      </c>
      <c r="R4339" t="s">
        <v>87241</v>
      </c>
      <c r="S4339" t="s">
        <v>87242</v>
      </c>
      <c r="T4339" t="s">
        <v>87243</v>
      </c>
      <c r="U4339" t="s">
        <v>87244</v>
      </c>
      <c r="V4339" t="s">
        <v>87245</v>
      </c>
      <c r="W4339" t="s">
        <v>87246</v>
      </c>
      <c r="X4339" t="s">
        <v>87247</v>
      </c>
      <c r="Y4339" t="s">
        <v>87248</v>
      </c>
    </row>
    <row r="4340" spans="1:25" x14ac:dyDescent="0.3">
      <c r="A4340">
        <v>216950</v>
      </c>
      <c r="B4340" t="s">
        <v>87249</v>
      </c>
      <c r="C4340" t="s">
        <v>87250</v>
      </c>
      <c r="D4340" t="s">
        <v>87251</v>
      </c>
      <c r="E4340" t="s">
        <v>87252</v>
      </c>
      <c r="F4340" t="s">
        <v>87253</v>
      </c>
      <c r="G4340" t="s">
        <v>87254</v>
      </c>
      <c r="H4340" t="s">
        <v>87255</v>
      </c>
      <c r="I4340" t="s">
        <v>87256</v>
      </c>
      <c r="J4340" t="s">
        <v>87257</v>
      </c>
      <c r="K4340" t="s">
        <v>87258</v>
      </c>
      <c r="L4340" t="s">
        <v>87259</v>
      </c>
      <c r="M4340" t="s">
        <v>87260</v>
      </c>
      <c r="N4340" t="s">
        <v>87261</v>
      </c>
      <c r="O4340">
        <f>-515.064538289411 -106.711652127532 -745.297225590741</f>
        <v>-1367.073416007684</v>
      </c>
      <c r="P4340">
        <f>-546.124134315132 -124.061138402542 -430.781028690267</f>
        <v>-1100.966301407941</v>
      </c>
      <c r="Q4340" t="s">
        <v>87262</v>
      </c>
      <c r="R4340" t="s">
        <v>87263</v>
      </c>
      <c r="S4340" t="s">
        <v>87264</v>
      </c>
      <c r="T4340" t="s">
        <v>87265</v>
      </c>
      <c r="U4340" t="s">
        <v>87266</v>
      </c>
      <c r="V4340" t="s">
        <v>87267</v>
      </c>
      <c r="W4340" t="s">
        <v>87268</v>
      </c>
      <c r="X4340" t="s">
        <v>87269</v>
      </c>
      <c r="Y4340" t="s">
        <v>87270</v>
      </c>
    </row>
    <row r="4341" spans="1:25" x14ac:dyDescent="0.3">
      <c r="A4341">
        <v>217000</v>
      </c>
      <c r="B4341" t="s">
        <v>87271</v>
      </c>
      <c r="C4341" t="s">
        <v>87272</v>
      </c>
      <c r="D4341" t="s">
        <v>87273</v>
      </c>
      <c r="E4341" t="s">
        <v>87274</v>
      </c>
      <c r="F4341" t="s">
        <v>87275</v>
      </c>
      <c r="G4341" t="s">
        <v>87276</v>
      </c>
      <c r="H4341" t="s">
        <v>87277</v>
      </c>
      <c r="I4341" t="s">
        <v>87278</v>
      </c>
      <c r="J4341" t="s">
        <v>87279</v>
      </c>
      <c r="K4341" t="s">
        <v>87280</v>
      </c>
      <c r="L4341" t="s">
        <v>87281</v>
      </c>
      <c r="M4341" t="s">
        <v>87282</v>
      </c>
      <c r="N4341" t="s">
        <v>87283</v>
      </c>
      <c r="O4341">
        <f>-514.16948537909 -106.577500500289 -745.258345018398</f>
        <v>-1366.0053308977772</v>
      </c>
      <c r="P4341">
        <f>-545.439949717069 -123.969572631265 -430.765385161945</f>
        <v>-1100.1749075102789</v>
      </c>
      <c r="Q4341" t="s">
        <v>87284</v>
      </c>
      <c r="R4341" t="s">
        <v>87285</v>
      </c>
      <c r="S4341" t="s">
        <v>87286</v>
      </c>
      <c r="T4341" t="s">
        <v>87287</v>
      </c>
      <c r="U4341" t="s">
        <v>87288</v>
      </c>
      <c r="V4341" t="s">
        <v>87289</v>
      </c>
      <c r="W4341" t="s">
        <v>87290</v>
      </c>
      <c r="X4341" t="s">
        <v>87291</v>
      </c>
      <c r="Y4341" t="s">
        <v>87292</v>
      </c>
    </row>
    <row r="4342" spans="1:25" x14ac:dyDescent="0.3">
      <c r="A4342">
        <v>217050</v>
      </c>
      <c r="B4342" t="s">
        <v>87293</v>
      </c>
      <c r="C4342" t="s">
        <v>87294</v>
      </c>
      <c r="D4342" t="s">
        <v>87295</v>
      </c>
      <c r="E4342" t="s">
        <v>87296</v>
      </c>
      <c r="F4342" t="s">
        <v>87297</v>
      </c>
      <c r="G4342" t="s">
        <v>87298</v>
      </c>
      <c r="H4342" t="s">
        <v>87299</v>
      </c>
      <c r="I4342" t="s">
        <v>87300</v>
      </c>
      <c r="J4342" t="s">
        <v>87301</v>
      </c>
      <c r="K4342" t="s">
        <v>87302</v>
      </c>
      <c r="L4342" t="s">
        <v>87303</v>
      </c>
      <c r="M4342" t="s">
        <v>87304</v>
      </c>
      <c r="N4342" t="s">
        <v>87305</v>
      </c>
      <c r="O4342">
        <f>-512.994459736645 -106.351119226553 -745.268519807501</f>
        <v>-1364.614098770699</v>
      </c>
      <c r="P4342">
        <f>-544.856744625347 -123.692669913834 -430.832110294975</f>
        <v>-1099.3815248341562</v>
      </c>
      <c r="Q4342" t="s">
        <v>87306</v>
      </c>
      <c r="R4342" t="s">
        <v>87307</v>
      </c>
      <c r="S4342" t="s">
        <v>87308</v>
      </c>
      <c r="T4342" t="s">
        <v>87309</v>
      </c>
      <c r="U4342" t="s">
        <v>87310</v>
      </c>
      <c r="V4342" t="s">
        <v>87311</v>
      </c>
      <c r="W4342" t="s">
        <v>87312</v>
      </c>
      <c r="X4342" t="s">
        <v>87313</v>
      </c>
      <c r="Y4342" t="s">
        <v>87314</v>
      </c>
    </row>
    <row r="4343" spans="1:25" x14ac:dyDescent="0.3">
      <c r="A4343">
        <v>217100</v>
      </c>
      <c r="B4343" t="s">
        <v>87315</v>
      </c>
      <c r="C4343" t="s">
        <v>87316</v>
      </c>
      <c r="D4343" t="s">
        <v>87317</v>
      </c>
      <c r="E4343" t="s">
        <v>87318</v>
      </c>
      <c r="F4343" t="s">
        <v>87319</v>
      </c>
      <c r="G4343" t="s">
        <v>87320</v>
      </c>
      <c r="H4343" t="s">
        <v>87321</v>
      </c>
      <c r="I4343" t="s">
        <v>87322</v>
      </c>
      <c r="J4343" t="s">
        <v>87323</v>
      </c>
      <c r="K4343" t="s">
        <v>87324</v>
      </c>
      <c r="L4343" t="s">
        <v>87325</v>
      </c>
      <c r="M4343" t="s">
        <v>87326</v>
      </c>
      <c r="N4343" t="s">
        <v>87327</v>
      </c>
      <c r="O4343">
        <f>-512.388982064957 -106.327600613163 -745.289029027629</f>
        <v>-1364.0056117057488</v>
      </c>
      <c r="P4343">
        <f>-544.532814214006 -123.658833881898 -430.880787405092</f>
        <v>-1099.0724355009959</v>
      </c>
      <c r="Q4343" t="s">
        <v>87328</v>
      </c>
      <c r="R4343" t="s">
        <v>87329</v>
      </c>
      <c r="S4343" t="s">
        <v>87330</v>
      </c>
      <c r="T4343" t="s">
        <v>87331</v>
      </c>
      <c r="U4343" t="s">
        <v>87332</v>
      </c>
      <c r="V4343" t="s">
        <v>87333</v>
      </c>
      <c r="W4343" t="s">
        <v>87334</v>
      </c>
      <c r="X4343" t="s">
        <v>87335</v>
      </c>
      <c r="Y4343" t="s">
        <v>87336</v>
      </c>
    </row>
    <row r="4344" spans="1:25" x14ac:dyDescent="0.3">
      <c r="A4344">
        <v>217150</v>
      </c>
      <c r="B4344" t="s">
        <v>87337</v>
      </c>
      <c r="C4344" t="s">
        <v>87338</v>
      </c>
      <c r="D4344" t="s">
        <v>87339</v>
      </c>
      <c r="E4344" t="s">
        <v>87340</v>
      </c>
      <c r="F4344" t="s">
        <v>87341</v>
      </c>
      <c r="G4344" t="s">
        <v>87342</v>
      </c>
      <c r="H4344" t="s">
        <v>87343</v>
      </c>
      <c r="I4344" t="s">
        <v>87344</v>
      </c>
      <c r="J4344" t="s">
        <v>87345</v>
      </c>
      <c r="K4344" t="s">
        <v>87346</v>
      </c>
      <c r="L4344" t="s">
        <v>87347</v>
      </c>
      <c r="M4344" t="s">
        <v>87348</v>
      </c>
      <c r="N4344" t="s">
        <v>87349</v>
      </c>
      <c r="O4344">
        <f>-511.534607788745 -106.074986616571 -745.440388861322</f>
        <v>-1363.049983266638</v>
      </c>
      <c r="P4344">
        <f>-544.088039955308 -123.509282186304 -431.079830472798</f>
        <v>-1098.67715261441</v>
      </c>
      <c r="Q4344" t="s">
        <v>87350</v>
      </c>
      <c r="R4344" t="s">
        <v>87351</v>
      </c>
      <c r="S4344" t="s">
        <v>87352</v>
      </c>
      <c r="T4344" t="s">
        <v>87353</v>
      </c>
      <c r="U4344" t="s">
        <v>87354</v>
      </c>
      <c r="V4344" t="s">
        <v>87355</v>
      </c>
      <c r="W4344" t="s">
        <v>87356</v>
      </c>
      <c r="X4344" t="s">
        <v>87357</v>
      </c>
      <c r="Y4344" t="s">
        <v>87358</v>
      </c>
    </row>
    <row r="4345" spans="1:25" x14ac:dyDescent="0.3">
      <c r="A4345">
        <v>217200</v>
      </c>
      <c r="B4345" t="s">
        <v>87359</v>
      </c>
      <c r="C4345" t="s">
        <v>87360</v>
      </c>
      <c r="D4345" t="s">
        <v>87361</v>
      </c>
      <c r="E4345" t="s">
        <v>87362</v>
      </c>
      <c r="F4345" t="s">
        <v>87363</v>
      </c>
      <c r="G4345" t="s">
        <v>87364</v>
      </c>
      <c r="H4345" t="s">
        <v>87365</v>
      </c>
      <c r="I4345" t="s">
        <v>87366</v>
      </c>
      <c r="J4345" t="s">
        <v>87367</v>
      </c>
      <c r="K4345" t="s">
        <v>87368</v>
      </c>
      <c r="L4345" t="s">
        <v>87369</v>
      </c>
      <c r="M4345" t="s">
        <v>87370</v>
      </c>
      <c r="N4345" t="s">
        <v>87371</v>
      </c>
      <c r="O4345">
        <f>-511.169468481265 -106.055077937322 -745.52339919023</f>
        <v>-1362.747945608817</v>
      </c>
      <c r="P4345">
        <f>-543.833782169984 -123.543510662695 -431.17743806686</f>
        <v>-1098.554730899539</v>
      </c>
      <c r="Q4345" t="s">
        <v>87372</v>
      </c>
      <c r="R4345" t="s">
        <v>87373</v>
      </c>
      <c r="S4345" t="s">
        <v>87374</v>
      </c>
      <c r="T4345" t="s">
        <v>87375</v>
      </c>
      <c r="U4345" t="s">
        <v>87376</v>
      </c>
      <c r="V4345" t="s">
        <v>87377</v>
      </c>
      <c r="W4345" t="s">
        <v>87378</v>
      </c>
      <c r="X4345" t="s">
        <v>87379</v>
      </c>
      <c r="Y4345" t="s">
        <v>87380</v>
      </c>
    </row>
    <row r="4346" spans="1:25" x14ac:dyDescent="0.3">
      <c r="A4346">
        <v>217250</v>
      </c>
      <c r="B4346" t="s">
        <v>87381</v>
      </c>
      <c r="C4346" t="s">
        <v>87382</v>
      </c>
      <c r="D4346" t="s">
        <v>87383</v>
      </c>
      <c r="E4346" t="s">
        <v>87384</v>
      </c>
      <c r="F4346" t="s">
        <v>87385</v>
      </c>
      <c r="G4346" t="s">
        <v>87386</v>
      </c>
      <c r="H4346" t="s">
        <v>87387</v>
      </c>
      <c r="I4346" t="s">
        <v>87388</v>
      </c>
      <c r="J4346" t="s">
        <v>87389</v>
      </c>
      <c r="K4346" t="s">
        <v>87390</v>
      </c>
      <c r="L4346" t="s">
        <v>87391</v>
      </c>
      <c r="M4346" t="s">
        <v>87392</v>
      </c>
      <c r="N4346" t="s">
        <v>87393</v>
      </c>
      <c r="O4346">
        <f>-510.459072395951 -105.549879170431 -745.706072966812</f>
        <v>-1361.7150245331941</v>
      </c>
      <c r="P4346">
        <f>-543.171367083457 -123.151219429709 -431.371440315946</f>
        <v>-1097.6940268291121</v>
      </c>
      <c r="Q4346" t="s">
        <v>87394</v>
      </c>
      <c r="R4346" t="s">
        <v>87395</v>
      </c>
      <c r="S4346" t="s">
        <v>87396</v>
      </c>
      <c r="T4346" t="s">
        <v>87397</v>
      </c>
      <c r="U4346" t="s">
        <v>87398</v>
      </c>
      <c r="V4346" t="s">
        <v>87399</v>
      </c>
      <c r="W4346" t="s">
        <v>87400</v>
      </c>
      <c r="X4346" t="s">
        <v>87401</v>
      </c>
      <c r="Y4346" t="s">
        <v>87402</v>
      </c>
    </row>
    <row r="4347" spans="1:25" x14ac:dyDescent="0.3">
      <c r="A4347">
        <v>217300</v>
      </c>
      <c r="B4347" t="s">
        <v>87403</v>
      </c>
      <c r="C4347" t="s">
        <v>87404</v>
      </c>
      <c r="D4347" t="s">
        <v>87405</v>
      </c>
      <c r="E4347" t="s">
        <v>87406</v>
      </c>
      <c r="F4347" t="s">
        <v>87407</v>
      </c>
      <c r="G4347" t="s">
        <v>87408</v>
      </c>
      <c r="H4347" t="s">
        <v>87409</v>
      </c>
      <c r="I4347" t="s">
        <v>87410</v>
      </c>
      <c r="J4347" t="s">
        <v>87411</v>
      </c>
      <c r="K4347" t="s">
        <v>87412</v>
      </c>
      <c r="L4347" t="s">
        <v>87413</v>
      </c>
      <c r="M4347" t="s">
        <v>87414</v>
      </c>
      <c r="N4347" t="s">
        <v>87415</v>
      </c>
      <c r="O4347">
        <f>-510.425330980447 -105.496542707945 -745.744964021572</f>
        <v>-1361.6668377099641</v>
      </c>
      <c r="P4347">
        <f>-543.182443224249 -123.141906727437 -431.41746510982</f>
        <v>-1097.741815061506</v>
      </c>
      <c r="Q4347" t="s">
        <v>87416</v>
      </c>
      <c r="R4347" t="s">
        <v>87417</v>
      </c>
      <c r="S4347" t="s">
        <v>87418</v>
      </c>
      <c r="T4347" t="s">
        <v>87419</v>
      </c>
      <c r="U4347" t="s">
        <v>87420</v>
      </c>
      <c r="V4347" t="s">
        <v>87421</v>
      </c>
      <c r="W4347" t="s">
        <v>87422</v>
      </c>
      <c r="X4347" t="s">
        <v>87423</v>
      </c>
      <c r="Y4347" t="s">
        <v>87424</v>
      </c>
    </row>
    <row r="4348" spans="1:25" x14ac:dyDescent="0.3">
      <c r="A4348">
        <v>217350</v>
      </c>
      <c r="B4348" t="s">
        <v>87425</v>
      </c>
      <c r="C4348" t="s">
        <v>87426</v>
      </c>
      <c r="D4348" t="s">
        <v>87427</v>
      </c>
      <c r="E4348" t="s">
        <v>87428</v>
      </c>
      <c r="F4348" t="s">
        <v>87429</v>
      </c>
      <c r="G4348" t="s">
        <v>87430</v>
      </c>
      <c r="H4348" t="s">
        <v>87431</v>
      </c>
      <c r="I4348" t="s">
        <v>87432</v>
      </c>
      <c r="J4348" t="s">
        <v>87433</v>
      </c>
      <c r="K4348" t="s">
        <v>87434</v>
      </c>
      <c r="L4348" t="s">
        <v>87435</v>
      </c>
      <c r="M4348" t="s">
        <v>87436</v>
      </c>
      <c r="N4348" t="s">
        <v>87437</v>
      </c>
      <c r="O4348">
        <f>-510.408528478362 -105.13404880739 -745.836261794924</f>
        <v>-1361.378839080676</v>
      </c>
      <c r="P4348">
        <f>-543.201946630452 -122.982988085951 -431.524028427555</f>
        <v>-1097.708963143958</v>
      </c>
      <c r="Q4348" t="s">
        <v>87438</v>
      </c>
      <c r="R4348" t="s">
        <v>87439</v>
      </c>
      <c r="S4348" t="s">
        <v>87440</v>
      </c>
      <c r="T4348" t="s">
        <v>87441</v>
      </c>
      <c r="U4348" t="s">
        <v>87442</v>
      </c>
      <c r="V4348" t="s">
        <v>87443</v>
      </c>
      <c r="W4348" t="s">
        <v>87444</v>
      </c>
      <c r="X4348" t="s">
        <v>87445</v>
      </c>
      <c r="Y4348" t="s">
        <v>87446</v>
      </c>
    </row>
    <row r="4349" spans="1:25" x14ac:dyDescent="0.3">
      <c r="A4349">
        <v>217400</v>
      </c>
      <c r="B4349" t="s">
        <v>87447</v>
      </c>
      <c r="C4349" t="s">
        <v>87448</v>
      </c>
      <c r="D4349" t="s">
        <v>87449</v>
      </c>
      <c r="E4349" t="s">
        <v>87450</v>
      </c>
      <c r="F4349" t="s">
        <v>87451</v>
      </c>
      <c r="G4349" t="s">
        <v>87452</v>
      </c>
      <c r="H4349" t="s">
        <v>87453</v>
      </c>
      <c r="I4349" t="s">
        <v>87454</v>
      </c>
      <c r="J4349" t="s">
        <v>87455</v>
      </c>
      <c r="K4349" t="s">
        <v>87456</v>
      </c>
      <c r="L4349" t="s">
        <v>87457</v>
      </c>
      <c r="M4349" t="s">
        <v>87458</v>
      </c>
      <c r="N4349" t="s">
        <v>87459</v>
      </c>
      <c r="O4349">
        <f>-510.294555169997 -105.122004021159 -745.884034837178</f>
        <v>-1361.300594028334</v>
      </c>
      <c r="P4349">
        <f>-543.056096860512 -123.008508756905 -431.57065426395</f>
        <v>-1097.6352598813669</v>
      </c>
      <c r="Q4349" t="s">
        <v>87460</v>
      </c>
      <c r="R4349" t="s">
        <v>87461</v>
      </c>
      <c r="S4349" t="s">
        <v>87462</v>
      </c>
      <c r="T4349" t="s">
        <v>87463</v>
      </c>
      <c r="U4349" t="s">
        <v>87464</v>
      </c>
      <c r="V4349" t="s">
        <v>87465</v>
      </c>
      <c r="W4349" t="s">
        <v>87466</v>
      </c>
      <c r="X4349" t="s">
        <v>87467</v>
      </c>
      <c r="Y4349" t="s">
        <v>87468</v>
      </c>
    </row>
    <row r="4350" spans="1:25" x14ac:dyDescent="0.3">
      <c r="A4350">
        <v>217450</v>
      </c>
      <c r="B4350" t="s">
        <v>87469</v>
      </c>
      <c r="C4350" t="s">
        <v>87470</v>
      </c>
      <c r="D4350" t="s">
        <v>87471</v>
      </c>
      <c r="E4350" t="s">
        <v>87472</v>
      </c>
      <c r="F4350" t="s">
        <v>87473</v>
      </c>
      <c r="G4350" t="s">
        <v>87474</v>
      </c>
      <c r="H4350" t="s">
        <v>87475</v>
      </c>
      <c r="I4350" t="s">
        <v>87476</v>
      </c>
      <c r="J4350" t="s">
        <v>87477</v>
      </c>
      <c r="K4350" t="s">
        <v>87478</v>
      </c>
      <c r="L4350" t="s">
        <v>87479</v>
      </c>
      <c r="M4350" t="s">
        <v>87480</v>
      </c>
      <c r="N4350" t="s">
        <v>87481</v>
      </c>
      <c r="O4350">
        <f>-510.037236972443 -105.67914804133 -745.926098260832</f>
        <v>-1361.642483274605</v>
      </c>
      <c r="P4350">
        <f>-542.697133143117 -123.592990742605 -431.603628300365</f>
        <v>-1097.8937521860871</v>
      </c>
      <c r="Q4350" t="s">
        <v>87482</v>
      </c>
      <c r="R4350" t="s">
        <v>87483</v>
      </c>
      <c r="S4350" t="s">
        <v>87484</v>
      </c>
      <c r="T4350" t="s">
        <v>87485</v>
      </c>
      <c r="U4350" t="s">
        <v>87486</v>
      </c>
      <c r="V4350" t="s">
        <v>87487</v>
      </c>
      <c r="W4350" t="s">
        <v>87488</v>
      </c>
      <c r="X4350" t="s">
        <v>87489</v>
      </c>
      <c r="Y4350" t="s">
        <v>87490</v>
      </c>
    </row>
    <row r="4351" spans="1:25" x14ac:dyDescent="0.3">
      <c r="A4351">
        <v>217500</v>
      </c>
      <c r="B4351" t="s">
        <v>87491</v>
      </c>
      <c r="C4351" t="s">
        <v>87492</v>
      </c>
      <c r="D4351" t="s">
        <v>87493</v>
      </c>
      <c r="E4351" t="s">
        <v>87494</v>
      </c>
      <c r="F4351" t="s">
        <v>87495</v>
      </c>
      <c r="G4351" t="s">
        <v>87496</v>
      </c>
      <c r="H4351" t="s">
        <v>87497</v>
      </c>
      <c r="I4351" t="s">
        <v>87498</v>
      </c>
      <c r="J4351" t="s">
        <v>87499</v>
      </c>
      <c r="K4351" t="s">
        <v>87500</v>
      </c>
      <c r="L4351" t="s">
        <v>87501</v>
      </c>
      <c r="M4351" t="s">
        <v>87502</v>
      </c>
      <c r="N4351" t="s">
        <v>87503</v>
      </c>
      <c r="O4351">
        <f>-509.922984352747 -105.768311559785 -745.966645279729</f>
        <v>-1361.6579411922612</v>
      </c>
      <c r="P4351">
        <f>-542.585700643883 -123.727142776688 -431.647010486594</f>
        <v>-1097.9598539071649</v>
      </c>
      <c r="Q4351" t="s">
        <v>87504</v>
      </c>
      <c r="R4351" t="s">
        <v>87505</v>
      </c>
      <c r="S4351" t="s">
        <v>87506</v>
      </c>
      <c r="T4351" t="s">
        <v>87507</v>
      </c>
      <c r="U4351" t="s">
        <v>87508</v>
      </c>
      <c r="V4351" t="s">
        <v>87509</v>
      </c>
      <c r="W4351" t="s">
        <v>87510</v>
      </c>
      <c r="X4351" t="s">
        <v>87511</v>
      </c>
      <c r="Y4351" t="s">
        <v>87512</v>
      </c>
    </row>
    <row r="4352" spans="1:25" x14ac:dyDescent="0.3">
      <c r="A4352">
        <v>217550</v>
      </c>
      <c r="B4352" t="s">
        <v>87513</v>
      </c>
      <c r="C4352" t="s">
        <v>87514</v>
      </c>
      <c r="D4352" t="s">
        <v>87515</v>
      </c>
      <c r="E4352" t="s">
        <v>87516</v>
      </c>
      <c r="F4352" t="s">
        <v>87517</v>
      </c>
      <c r="G4352" t="s">
        <v>87518</v>
      </c>
      <c r="H4352" t="s">
        <v>87519</v>
      </c>
      <c r="I4352" t="s">
        <v>87520</v>
      </c>
      <c r="J4352" t="s">
        <v>87521</v>
      </c>
      <c r="K4352" t="s">
        <v>87522</v>
      </c>
      <c r="L4352" t="s">
        <v>87523</v>
      </c>
      <c r="M4352" t="s">
        <v>87524</v>
      </c>
      <c r="N4352" t="s">
        <v>87525</v>
      </c>
      <c r="O4352">
        <f>-509.422511824647 -106.110661718484 -746.01670619587</f>
        <v>-1361.549879739001</v>
      </c>
      <c r="P4352">
        <f>-542.252705273407 -124.237769369246 -431.724132227947</f>
        <v>-1098.2146068705999</v>
      </c>
      <c r="Q4352" t="s">
        <v>87526</v>
      </c>
      <c r="R4352" t="s">
        <v>87527</v>
      </c>
      <c r="S4352" t="s">
        <v>87528</v>
      </c>
      <c r="T4352" t="s">
        <v>87529</v>
      </c>
      <c r="U4352" t="s">
        <v>87530</v>
      </c>
      <c r="V4352" t="s">
        <v>87531</v>
      </c>
      <c r="W4352" t="s">
        <v>87532</v>
      </c>
      <c r="X4352" t="s">
        <v>87533</v>
      </c>
      <c r="Y4352" t="s">
        <v>87534</v>
      </c>
    </row>
    <row r="4353" spans="1:25" x14ac:dyDescent="0.3">
      <c r="A4353">
        <v>217600</v>
      </c>
      <c r="B4353" t="s">
        <v>87535</v>
      </c>
      <c r="C4353" t="s">
        <v>87536</v>
      </c>
      <c r="D4353" t="s">
        <v>87537</v>
      </c>
      <c r="E4353" t="s">
        <v>87538</v>
      </c>
      <c r="F4353" t="s">
        <v>87539</v>
      </c>
      <c r="G4353" t="s">
        <v>87540</v>
      </c>
      <c r="H4353" t="s">
        <v>87541</v>
      </c>
      <c r="I4353" t="s">
        <v>87542</v>
      </c>
      <c r="J4353" t="s">
        <v>87543</v>
      </c>
      <c r="K4353" t="s">
        <v>87544</v>
      </c>
      <c r="L4353" t="s">
        <v>87545</v>
      </c>
      <c r="M4353" t="s">
        <v>87546</v>
      </c>
      <c r="N4353" t="s">
        <v>87547</v>
      </c>
      <c r="O4353">
        <f>-509.487499382571 -106.114084716841 -746.028158277548</f>
        <v>-1361.6297423769599</v>
      </c>
      <c r="P4353">
        <f>-542.483465294663 -124.279737951918 -431.755241956484</f>
        <v>-1098.5184452030651</v>
      </c>
      <c r="Q4353" t="s">
        <v>87548</v>
      </c>
      <c r="R4353" t="s">
        <v>87549</v>
      </c>
      <c r="S4353" t="s">
        <v>87550</v>
      </c>
      <c r="T4353" t="s">
        <v>87551</v>
      </c>
      <c r="U4353" t="s">
        <v>87552</v>
      </c>
      <c r="V4353" t="s">
        <v>87553</v>
      </c>
      <c r="W4353" t="s">
        <v>87554</v>
      </c>
      <c r="X4353" t="s">
        <v>87555</v>
      </c>
      <c r="Y4353" t="s">
        <v>87556</v>
      </c>
    </row>
    <row r="4354" spans="1:25" x14ac:dyDescent="0.3">
      <c r="A4354">
        <v>217650</v>
      </c>
      <c r="B4354" t="s">
        <v>87557</v>
      </c>
      <c r="C4354" t="s">
        <v>87558</v>
      </c>
      <c r="D4354" t="s">
        <v>87559</v>
      </c>
      <c r="E4354" t="s">
        <v>87560</v>
      </c>
      <c r="F4354" t="s">
        <v>87561</v>
      </c>
      <c r="G4354" t="s">
        <v>87562</v>
      </c>
      <c r="H4354" t="s">
        <v>87563</v>
      </c>
      <c r="I4354" t="s">
        <v>87564</v>
      </c>
      <c r="J4354" t="s">
        <v>87565</v>
      </c>
      <c r="K4354" t="s">
        <v>87566</v>
      </c>
      <c r="L4354" t="s">
        <v>87567</v>
      </c>
      <c r="M4354" t="s">
        <v>87568</v>
      </c>
      <c r="N4354" t="s">
        <v>87569</v>
      </c>
      <c r="O4354">
        <f>-509.503607597096 -106.287899523109 -746.092262387383</f>
        <v>-1361.8837695075881</v>
      </c>
      <c r="P4354">
        <f>-542.69106892589 -124.437512510973 -431.838582181891</f>
        <v>-1098.9671636187541</v>
      </c>
      <c r="Q4354" t="s">
        <v>87570</v>
      </c>
      <c r="R4354" t="s">
        <v>87571</v>
      </c>
      <c r="S4354" t="s">
        <v>87572</v>
      </c>
      <c r="T4354" t="s">
        <v>87573</v>
      </c>
      <c r="U4354" t="s">
        <v>87574</v>
      </c>
      <c r="V4354" t="s">
        <v>87575</v>
      </c>
      <c r="W4354" t="s">
        <v>87576</v>
      </c>
      <c r="X4354" t="s">
        <v>87577</v>
      </c>
      <c r="Y4354" t="s">
        <v>87578</v>
      </c>
    </row>
    <row r="4355" spans="1:25" x14ac:dyDescent="0.3">
      <c r="A4355">
        <v>217700</v>
      </c>
      <c r="B4355" t="s">
        <v>87579</v>
      </c>
      <c r="C4355" t="s">
        <v>87580</v>
      </c>
      <c r="D4355" t="s">
        <v>87581</v>
      </c>
      <c r="E4355" t="s">
        <v>87582</v>
      </c>
      <c r="F4355" t="s">
        <v>87583</v>
      </c>
      <c r="G4355" t="s">
        <v>87584</v>
      </c>
      <c r="H4355" t="s">
        <v>87585</v>
      </c>
      <c r="I4355" t="s">
        <v>87586</v>
      </c>
      <c r="J4355" t="s">
        <v>87587</v>
      </c>
      <c r="K4355" t="s">
        <v>87588</v>
      </c>
      <c r="L4355" t="s">
        <v>87589</v>
      </c>
      <c r="M4355" t="s">
        <v>87590</v>
      </c>
      <c r="N4355" t="s">
        <v>87591</v>
      </c>
      <c r="O4355">
        <f>-509.539485178866 -106.252917527813 -746.081232962606</f>
        <v>-1361.873635669285</v>
      </c>
      <c r="P4355">
        <f>-542.934590382481 -124.341212741539 -431.845985937104</f>
        <v>-1099.121789061124</v>
      </c>
      <c r="Q4355" t="s">
        <v>87592</v>
      </c>
      <c r="R4355" t="s">
        <v>87593</v>
      </c>
      <c r="S4355" t="s">
        <v>87594</v>
      </c>
      <c r="T4355" t="s">
        <v>87595</v>
      </c>
      <c r="U4355" t="s">
        <v>87596</v>
      </c>
      <c r="V4355" t="s">
        <v>87597</v>
      </c>
      <c r="W4355" t="s">
        <v>87598</v>
      </c>
      <c r="X4355" t="s">
        <v>87599</v>
      </c>
      <c r="Y4355" t="s">
        <v>87600</v>
      </c>
    </row>
    <row r="4356" spans="1:25" x14ac:dyDescent="0.3">
      <c r="A4356">
        <v>217750</v>
      </c>
      <c r="B4356" t="s">
        <v>87601</v>
      </c>
      <c r="C4356" t="s">
        <v>87602</v>
      </c>
      <c r="D4356" t="s">
        <v>87603</v>
      </c>
      <c r="E4356" t="s">
        <v>87604</v>
      </c>
      <c r="F4356" t="s">
        <v>87605</v>
      </c>
      <c r="G4356" t="s">
        <v>87606</v>
      </c>
      <c r="H4356" t="s">
        <v>87607</v>
      </c>
      <c r="I4356" t="s">
        <v>87608</v>
      </c>
      <c r="J4356" t="s">
        <v>87609</v>
      </c>
      <c r="K4356" t="s">
        <v>87610</v>
      </c>
      <c r="L4356" t="s">
        <v>87611</v>
      </c>
      <c r="M4356" t="s">
        <v>87612</v>
      </c>
      <c r="N4356" t="s">
        <v>87613</v>
      </c>
      <c r="O4356">
        <f>-509.602751346368 -106.293192070378 -745.993367552337</f>
        <v>-1361.889310969083</v>
      </c>
      <c r="P4356">
        <f>-543.147095747599 -124.246296145056 -431.766347089528</f>
        <v>-1099.1597389821829</v>
      </c>
      <c r="Q4356" t="s">
        <v>87614</v>
      </c>
      <c r="R4356" t="s">
        <v>87615</v>
      </c>
      <c r="S4356" t="s">
        <v>87616</v>
      </c>
      <c r="T4356" t="s">
        <v>87617</v>
      </c>
      <c r="U4356" t="s">
        <v>87618</v>
      </c>
      <c r="V4356" t="s">
        <v>87619</v>
      </c>
      <c r="W4356" t="s">
        <v>87620</v>
      </c>
      <c r="X4356" t="s">
        <v>87621</v>
      </c>
      <c r="Y4356" t="s">
        <v>87622</v>
      </c>
    </row>
    <row r="4357" spans="1:25" x14ac:dyDescent="0.3">
      <c r="A4357">
        <v>217800</v>
      </c>
      <c r="B4357" t="s">
        <v>87623</v>
      </c>
      <c r="C4357" t="s">
        <v>87624</v>
      </c>
      <c r="D4357" t="s">
        <v>87625</v>
      </c>
      <c r="E4357" t="s">
        <v>87626</v>
      </c>
      <c r="F4357" t="s">
        <v>87627</v>
      </c>
      <c r="G4357" t="s">
        <v>87628</v>
      </c>
      <c r="H4357" t="s">
        <v>87629</v>
      </c>
      <c r="I4357" t="s">
        <v>87630</v>
      </c>
      <c r="J4357" t="s">
        <v>87631</v>
      </c>
      <c r="K4357" t="s">
        <v>87632</v>
      </c>
      <c r="L4357" t="s">
        <v>87633</v>
      </c>
      <c r="M4357" t="s">
        <v>87634</v>
      </c>
      <c r="N4357" t="s">
        <v>87635</v>
      </c>
      <c r="O4357">
        <f>-509.709295604524 -105.648528866824 -745.988521282928</f>
        <v>-1361.3463457542762</v>
      </c>
      <c r="P4357">
        <f>-543.20939166198 -123.730658500893 -431.764051327777</f>
        <v>-1098.7041014906499</v>
      </c>
      <c r="Q4357" t="s">
        <v>87636</v>
      </c>
      <c r="R4357" t="s">
        <v>87637</v>
      </c>
      <c r="S4357" t="s">
        <v>87638</v>
      </c>
      <c r="T4357" t="s">
        <v>87639</v>
      </c>
      <c r="U4357" t="s">
        <v>87640</v>
      </c>
      <c r="V4357" t="s">
        <v>87641</v>
      </c>
      <c r="W4357" t="s">
        <v>87642</v>
      </c>
      <c r="X4357" t="s">
        <v>87643</v>
      </c>
      <c r="Y4357" t="s">
        <v>87644</v>
      </c>
    </row>
    <row r="4358" spans="1:25" x14ac:dyDescent="0.3">
      <c r="A4358">
        <v>217850</v>
      </c>
      <c r="B4358" t="s">
        <v>87645</v>
      </c>
      <c r="C4358" t="s">
        <v>87646</v>
      </c>
      <c r="D4358" t="s">
        <v>87647</v>
      </c>
      <c r="E4358" t="s">
        <v>87648</v>
      </c>
      <c r="F4358" t="s">
        <v>87649</v>
      </c>
      <c r="G4358" t="s">
        <v>87650</v>
      </c>
      <c r="H4358" t="s">
        <v>87651</v>
      </c>
      <c r="I4358" t="s">
        <v>87652</v>
      </c>
      <c r="J4358" t="s">
        <v>87653</v>
      </c>
      <c r="K4358" t="s">
        <v>87654</v>
      </c>
      <c r="L4358" t="s">
        <v>87655</v>
      </c>
      <c r="M4358" t="s">
        <v>87656</v>
      </c>
      <c r="N4358" t="s">
        <v>87657</v>
      </c>
      <c r="O4358">
        <f>-510.011130358037 -104.59414401206 -746.162427614369</f>
        <v>-1360.7677019844659</v>
      </c>
      <c r="P4358">
        <f>-543.62932493419 -122.93821904303 -431.965801223177</f>
        <v>-1098.533345200397</v>
      </c>
      <c r="Q4358" t="s">
        <v>87658</v>
      </c>
      <c r="R4358" t="s">
        <v>87659</v>
      </c>
      <c r="S4358" t="s">
        <v>87660</v>
      </c>
      <c r="T4358" t="s">
        <v>87661</v>
      </c>
      <c r="U4358" t="s">
        <v>87662</v>
      </c>
      <c r="V4358" t="s">
        <v>87663</v>
      </c>
      <c r="W4358" t="s">
        <v>87664</v>
      </c>
      <c r="X4358" t="s">
        <v>87665</v>
      </c>
      <c r="Y4358" t="s">
        <v>87666</v>
      </c>
    </row>
    <row r="4359" spans="1:25" x14ac:dyDescent="0.3">
      <c r="A4359">
        <v>217900</v>
      </c>
      <c r="B4359" t="s">
        <v>87667</v>
      </c>
      <c r="C4359" t="s">
        <v>87668</v>
      </c>
      <c r="D4359" t="s">
        <v>87669</v>
      </c>
      <c r="E4359" t="s">
        <v>87670</v>
      </c>
      <c r="F4359" t="s">
        <v>87671</v>
      </c>
      <c r="G4359" t="s">
        <v>87672</v>
      </c>
      <c r="H4359" t="s">
        <v>87673</v>
      </c>
      <c r="I4359" t="s">
        <v>87674</v>
      </c>
      <c r="J4359" t="s">
        <v>87675</v>
      </c>
      <c r="K4359" t="s">
        <v>87676</v>
      </c>
      <c r="L4359" t="s">
        <v>87677</v>
      </c>
      <c r="M4359" t="s">
        <v>87678</v>
      </c>
      <c r="N4359" t="s">
        <v>87679</v>
      </c>
      <c r="O4359">
        <f>-510.153860245398 -104.178860567854 -746.296479386053</f>
        <v>-1360.6292001993049</v>
      </c>
      <c r="P4359">
        <f>-543.883775812196 -122.749133820219 -432.125126638102</f>
        <v>-1098.7580362705169</v>
      </c>
      <c r="Q4359" t="s">
        <v>87680</v>
      </c>
      <c r="R4359" t="s">
        <v>87681</v>
      </c>
      <c r="S4359" t="s">
        <v>87682</v>
      </c>
      <c r="T4359" t="s">
        <v>87683</v>
      </c>
      <c r="U4359" t="s">
        <v>87684</v>
      </c>
      <c r="V4359" t="s">
        <v>87685</v>
      </c>
      <c r="W4359" t="s">
        <v>87686</v>
      </c>
      <c r="X4359" t="s">
        <v>87687</v>
      </c>
      <c r="Y4359" t="s">
        <v>87688</v>
      </c>
    </row>
    <row r="4360" spans="1:25" x14ac:dyDescent="0.3">
      <c r="A4360">
        <v>217950</v>
      </c>
      <c r="B4360" t="s">
        <v>87689</v>
      </c>
      <c r="C4360" t="s">
        <v>87690</v>
      </c>
      <c r="D4360" t="s">
        <v>87691</v>
      </c>
      <c r="E4360" t="s">
        <v>87692</v>
      </c>
      <c r="F4360" t="s">
        <v>87693</v>
      </c>
      <c r="G4360" t="s">
        <v>87694</v>
      </c>
      <c r="H4360" t="s">
        <v>87695</v>
      </c>
      <c r="I4360" t="s">
        <v>87696</v>
      </c>
      <c r="J4360" t="s">
        <v>87697</v>
      </c>
      <c r="K4360" t="s">
        <v>87698</v>
      </c>
      <c r="L4360" t="s">
        <v>87699</v>
      </c>
      <c r="M4360" t="s">
        <v>87700</v>
      </c>
      <c r="N4360" t="s">
        <v>87701</v>
      </c>
      <c r="O4360">
        <f>-510.606128527834 -102.49997171266 -746.655582499419</f>
        <v>-1359.7616827399129</v>
      </c>
      <c r="P4360">
        <f>-544.538110860872 -121.343653664393 -432.522299339728</f>
        <v>-1098.4040638649931</v>
      </c>
      <c r="Q4360" t="s">
        <v>87702</v>
      </c>
      <c r="R4360" t="s">
        <v>87703</v>
      </c>
      <c r="S4360" t="s">
        <v>87704</v>
      </c>
      <c r="T4360" t="s">
        <v>87705</v>
      </c>
      <c r="U4360" t="s">
        <v>87706</v>
      </c>
      <c r="V4360" t="s">
        <v>87707</v>
      </c>
      <c r="W4360" t="s">
        <v>87708</v>
      </c>
      <c r="X4360" t="s">
        <v>87709</v>
      </c>
      <c r="Y4360" t="s">
        <v>87710</v>
      </c>
    </row>
    <row r="4361" spans="1:25" x14ac:dyDescent="0.3">
      <c r="A4361">
        <v>218000</v>
      </c>
      <c r="B4361" t="s">
        <v>87711</v>
      </c>
      <c r="C4361" t="s">
        <v>87712</v>
      </c>
      <c r="D4361" t="s">
        <v>87713</v>
      </c>
      <c r="E4361" t="s">
        <v>87714</v>
      </c>
      <c r="F4361" t="s">
        <v>87715</v>
      </c>
      <c r="G4361" t="s">
        <v>87716</v>
      </c>
      <c r="H4361" t="s">
        <v>87717</v>
      </c>
      <c r="I4361" t="s">
        <v>87718</v>
      </c>
      <c r="J4361" t="s">
        <v>87719</v>
      </c>
      <c r="K4361" t="s">
        <v>87720</v>
      </c>
      <c r="L4361" t="s">
        <v>87721</v>
      </c>
      <c r="M4361" t="s">
        <v>87722</v>
      </c>
      <c r="N4361" t="s">
        <v>87723</v>
      </c>
      <c r="O4361">
        <f>-511.040773476421 -101.666882956516 -746.741738570439</f>
        <v>-1359.4493950033761</v>
      </c>
      <c r="P4361">
        <f>-545.151872073858 -120.480753960669 -432.626016634578</f>
        <v>-1098.258642669105</v>
      </c>
      <c r="Q4361" t="s">
        <v>87724</v>
      </c>
      <c r="R4361" t="s">
        <v>87725</v>
      </c>
      <c r="S4361" t="s">
        <v>87726</v>
      </c>
      <c r="T4361" t="s">
        <v>87727</v>
      </c>
      <c r="U4361" t="s">
        <v>87728</v>
      </c>
      <c r="V4361" t="s">
        <v>87729</v>
      </c>
      <c r="W4361" t="s">
        <v>87730</v>
      </c>
      <c r="X4361" t="s">
        <v>87731</v>
      </c>
      <c r="Y4361" t="s">
        <v>87732</v>
      </c>
    </row>
    <row r="4362" spans="1:25" x14ac:dyDescent="0.3">
      <c r="A4362">
        <v>218050</v>
      </c>
      <c r="B4362" t="s">
        <v>87733</v>
      </c>
      <c r="C4362" t="s">
        <v>87734</v>
      </c>
      <c r="D4362" t="s">
        <v>87735</v>
      </c>
      <c r="E4362" t="s">
        <v>87736</v>
      </c>
      <c r="F4362" t="s">
        <v>87737</v>
      </c>
      <c r="G4362" t="s">
        <v>87738</v>
      </c>
      <c r="H4362" t="s">
        <v>87739</v>
      </c>
      <c r="I4362" t="s">
        <v>87740</v>
      </c>
      <c r="J4362" t="s">
        <v>87741</v>
      </c>
      <c r="K4362" t="s">
        <v>87742</v>
      </c>
      <c r="L4362" t="s">
        <v>87743</v>
      </c>
      <c r="M4362" t="s">
        <v>87744</v>
      </c>
      <c r="N4362" t="s">
        <v>87745</v>
      </c>
      <c r="O4362">
        <f>-512.073436311126 -99.1426577718287 -747.00687392965</f>
        <v>-1358.2229680126047</v>
      </c>
      <c r="P4362">
        <f>-546.685840330783 -117.851569635556 -432.939609445541</f>
        <v>-1097.4770194118801</v>
      </c>
      <c r="Q4362" t="s">
        <v>87746</v>
      </c>
      <c r="R4362" t="s">
        <v>87747</v>
      </c>
      <c r="S4362" t="s">
        <v>87748</v>
      </c>
      <c r="T4362" t="s">
        <v>87749</v>
      </c>
      <c r="U4362" t="s">
        <v>87750</v>
      </c>
      <c r="V4362" t="s">
        <v>87751</v>
      </c>
      <c r="W4362" t="s">
        <v>87752</v>
      </c>
      <c r="X4362" t="s">
        <v>87753</v>
      </c>
      <c r="Y4362" t="s">
        <v>87754</v>
      </c>
    </row>
    <row r="4363" spans="1:25" x14ac:dyDescent="0.3">
      <c r="A4363">
        <v>218100</v>
      </c>
      <c r="B4363" t="s">
        <v>87755</v>
      </c>
      <c r="C4363" t="s">
        <v>87756</v>
      </c>
      <c r="D4363" t="s">
        <v>87757</v>
      </c>
      <c r="E4363" t="s">
        <v>87758</v>
      </c>
      <c r="F4363" t="s">
        <v>87759</v>
      </c>
      <c r="G4363" t="s">
        <v>87760</v>
      </c>
      <c r="H4363" t="s">
        <v>87761</v>
      </c>
      <c r="I4363" t="s">
        <v>87762</v>
      </c>
      <c r="J4363" t="s">
        <v>87763</v>
      </c>
      <c r="K4363" t="s">
        <v>87764</v>
      </c>
      <c r="L4363" t="s">
        <v>87765</v>
      </c>
      <c r="M4363" t="s">
        <v>87766</v>
      </c>
      <c r="N4363" t="s">
        <v>87767</v>
      </c>
      <c r="O4363">
        <f>-512.575705070389 -97.5271090205337 -747.058696907326</f>
        <v>-1357.1615109982486</v>
      </c>
      <c r="P4363">
        <f>-547.724535789646 -116.130039107073 -433.044796673258</f>
        <v>-1096.8993715699771</v>
      </c>
      <c r="Q4363" t="s">
        <v>87768</v>
      </c>
      <c r="R4363" t="s">
        <v>87769</v>
      </c>
      <c r="S4363" t="s">
        <v>87770</v>
      </c>
      <c r="T4363" t="s">
        <v>87771</v>
      </c>
      <c r="U4363" t="s">
        <v>87772</v>
      </c>
      <c r="V4363" t="s">
        <v>87773</v>
      </c>
      <c r="W4363" t="s">
        <v>87774</v>
      </c>
      <c r="X4363" t="s">
        <v>87775</v>
      </c>
      <c r="Y4363" t="s">
        <v>87776</v>
      </c>
    </row>
    <row r="4364" spans="1:25" x14ac:dyDescent="0.3">
      <c r="A4364">
        <v>218150</v>
      </c>
      <c r="B4364" t="s">
        <v>87777</v>
      </c>
      <c r="C4364" t="s">
        <v>87778</v>
      </c>
      <c r="D4364" t="s">
        <v>87779</v>
      </c>
      <c r="E4364" t="s">
        <v>87780</v>
      </c>
      <c r="F4364" t="s">
        <v>87781</v>
      </c>
      <c r="G4364" t="s">
        <v>87782</v>
      </c>
      <c r="H4364" t="s">
        <v>87783</v>
      </c>
      <c r="I4364" t="s">
        <v>87784</v>
      </c>
      <c r="J4364" t="s">
        <v>87785</v>
      </c>
      <c r="K4364" t="s">
        <v>87786</v>
      </c>
      <c r="L4364" t="s">
        <v>87787</v>
      </c>
      <c r="M4364" t="s">
        <v>87788</v>
      </c>
      <c r="N4364" t="s">
        <v>87789</v>
      </c>
      <c r="O4364">
        <f>-514.213523886414 -93.9658910321336 -746.976364523301</f>
        <v>-1355.1557794418486</v>
      </c>
      <c r="P4364">
        <f>-550.798468740555 -112.301007664542 -433.110767419975</f>
        <v>-1096.210243825072</v>
      </c>
      <c r="Q4364" t="s">
        <v>87790</v>
      </c>
      <c r="R4364" t="s">
        <v>87791</v>
      </c>
      <c r="S4364" t="s">
        <v>87792</v>
      </c>
      <c r="T4364" t="s">
        <v>87793</v>
      </c>
      <c r="U4364" t="s">
        <v>87794</v>
      </c>
      <c r="V4364" t="s">
        <v>87795</v>
      </c>
      <c r="W4364" t="s">
        <v>87796</v>
      </c>
      <c r="X4364" t="s">
        <v>87797</v>
      </c>
      <c r="Y4364" t="s">
        <v>87798</v>
      </c>
    </row>
    <row r="4365" spans="1:25" x14ac:dyDescent="0.3">
      <c r="A4365">
        <v>218200</v>
      </c>
      <c r="B4365" t="s">
        <v>87799</v>
      </c>
      <c r="C4365" t="s">
        <v>87800</v>
      </c>
      <c r="D4365" t="s">
        <v>87801</v>
      </c>
      <c r="E4365" t="s">
        <v>87802</v>
      </c>
      <c r="F4365" t="s">
        <v>87803</v>
      </c>
      <c r="G4365" t="s">
        <v>87804</v>
      </c>
      <c r="H4365" t="s">
        <v>87805</v>
      </c>
      <c r="I4365" t="s">
        <v>87806</v>
      </c>
      <c r="J4365" t="s">
        <v>87807</v>
      </c>
      <c r="K4365" t="s">
        <v>87808</v>
      </c>
      <c r="L4365" t="s">
        <v>87809</v>
      </c>
      <c r="M4365" t="s">
        <v>87810</v>
      </c>
      <c r="N4365" t="s">
        <v>87811</v>
      </c>
      <c r="O4365">
        <f>-514.874422357726 -92.5749931232694 -746.797600820417</f>
        <v>-1354.2470163014123</v>
      </c>
      <c r="P4365">
        <f>-552.333466235185 -110.562653207905 -433.015018508353</f>
        <v>-1095.9111379514429</v>
      </c>
      <c r="Q4365" t="s">
        <v>87812</v>
      </c>
      <c r="R4365" t="s">
        <v>87813</v>
      </c>
      <c r="S4365" t="s">
        <v>87814</v>
      </c>
      <c r="T4365" t="s">
        <v>87815</v>
      </c>
      <c r="U4365" t="s">
        <v>87816</v>
      </c>
      <c r="V4365" t="s">
        <v>87817</v>
      </c>
      <c r="W4365" t="s">
        <v>87818</v>
      </c>
      <c r="X4365" t="s">
        <v>87819</v>
      </c>
      <c r="Y4365" t="s">
        <v>87820</v>
      </c>
    </row>
    <row r="4366" spans="1:25" x14ac:dyDescent="0.3">
      <c r="A4366">
        <v>218250</v>
      </c>
      <c r="B4366" t="s">
        <v>87821</v>
      </c>
      <c r="C4366" t="s">
        <v>87822</v>
      </c>
      <c r="D4366" t="s">
        <v>87823</v>
      </c>
      <c r="E4366" t="s">
        <v>87824</v>
      </c>
      <c r="F4366" t="s">
        <v>87825</v>
      </c>
      <c r="G4366" t="s">
        <v>87826</v>
      </c>
      <c r="H4366" t="s">
        <v>87827</v>
      </c>
      <c r="I4366" t="s">
        <v>87828</v>
      </c>
      <c r="J4366" t="s">
        <v>87829</v>
      </c>
      <c r="K4366" t="s">
        <v>87830</v>
      </c>
      <c r="L4366" t="s">
        <v>87831</v>
      </c>
      <c r="M4366" t="s">
        <v>87832</v>
      </c>
      <c r="N4366" t="s">
        <v>87833</v>
      </c>
      <c r="O4366">
        <f>-516.994892313724 -90.499415242393 -746.326748375619</f>
        <v>-1353.8210559317358</v>
      </c>
      <c r="P4366">
        <f>-556.732572190253 -107.324301866538 -432.760140934234</f>
        <v>-1096.817014991025</v>
      </c>
      <c r="Q4366" t="s">
        <v>87834</v>
      </c>
      <c r="R4366" t="s">
        <v>87835</v>
      </c>
      <c r="S4366" t="s">
        <v>87836</v>
      </c>
      <c r="T4366" t="s">
        <v>87837</v>
      </c>
      <c r="U4366" t="s">
        <v>87838</v>
      </c>
      <c r="V4366" t="s">
        <v>87839</v>
      </c>
      <c r="W4366" t="s">
        <v>87840</v>
      </c>
      <c r="X4366" t="s">
        <v>87841</v>
      </c>
      <c r="Y4366" t="s">
        <v>87842</v>
      </c>
    </row>
    <row r="4367" spans="1:25" x14ac:dyDescent="0.3">
      <c r="A4367">
        <v>218300</v>
      </c>
      <c r="B4367" t="s">
        <v>87843</v>
      </c>
      <c r="C4367" t="s">
        <v>87844</v>
      </c>
      <c r="D4367" t="s">
        <v>87845</v>
      </c>
      <c r="E4367" t="s">
        <v>87846</v>
      </c>
      <c r="F4367" t="s">
        <v>87847</v>
      </c>
      <c r="G4367" t="s">
        <v>87848</v>
      </c>
      <c r="H4367" t="s">
        <v>87849</v>
      </c>
      <c r="I4367" t="s">
        <v>87850</v>
      </c>
      <c r="J4367" t="s">
        <v>87851</v>
      </c>
      <c r="K4367" t="s">
        <v>87852</v>
      </c>
      <c r="L4367" t="s">
        <v>87853</v>
      </c>
      <c r="M4367" t="s">
        <v>87854</v>
      </c>
      <c r="N4367" t="s">
        <v>87855</v>
      </c>
      <c r="O4367">
        <f>-518.470827561439 -90.8109989406612 -746.419562456336</f>
        <v>-1355.7013889584364</v>
      </c>
      <c r="P4367">
        <f>-559.723637084066 -106.950561131356 -433.012599309044</f>
        <v>-1099.6867975244661</v>
      </c>
      <c r="Q4367" t="s">
        <v>87856</v>
      </c>
      <c r="R4367" t="s">
        <v>87857</v>
      </c>
      <c r="S4367" t="s">
        <v>87858</v>
      </c>
      <c r="T4367" t="s">
        <v>87859</v>
      </c>
      <c r="U4367" t="s">
        <v>87860</v>
      </c>
      <c r="V4367" t="s">
        <v>87861</v>
      </c>
      <c r="W4367" t="s">
        <v>87862</v>
      </c>
      <c r="X4367" t="s">
        <v>87863</v>
      </c>
      <c r="Y4367" t="s">
        <v>87864</v>
      </c>
    </row>
    <row r="4368" spans="1:25" x14ac:dyDescent="0.3">
      <c r="A4368">
        <v>218350</v>
      </c>
      <c r="B4368" t="s">
        <v>87865</v>
      </c>
      <c r="C4368" t="s">
        <v>87866</v>
      </c>
      <c r="D4368" t="s">
        <v>87867</v>
      </c>
      <c r="E4368" t="s">
        <v>87868</v>
      </c>
      <c r="F4368" t="s">
        <v>87869</v>
      </c>
      <c r="G4368" t="s">
        <v>87870</v>
      </c>
      <c r="H4368" t="s">
        <v>87871</v>
      </c>
      <c r="I4368" t="s">
        <v>87872</v>
      </c>
      <c r="J4368" t="s">
        <v>87873</v>
      </c>
      <c r="K4368" t="s">
        <v>87874</v>
      </c>
      <c r="L4368" t="s">
        <v>87875</v>
      </c>
      <c r="M4368" t="s">
        <v>87876</v>
      </c>
      <c r="N4368" t="s">
        <v>87877</v>
      </c>
      <c r="O4368">
        <f>-521.125736479381 -93.2250914844718 -746.398105149536</f>
        <v>-1360.7489331133888</v>
      </c>
      <c r="P4368">
        <f>-566.579188293775 -107.955676530771 -433.503347474459</f>
        <v>-1108.038212299005</v>
      </c>
      <c r="Q4368" t="s">
        <v>87878</v>
      </c>
      <c r="R4368" t="s">
        <v>87879</v>
      </c>
      <c r="S4368" t="s">
        <v>87880</v>
      </c>
      <c r="T4368" t="s">
        <v>87881</v>
      </c>
      <c r="U4368" t="s">
        <v>87882</v>
      </c>
      <c r="V4368" t="s">
        <v>87883</v>
      </c>
      <c r="W4368" t="s">
        <v>87884</v>
      </c>
      <c r="X4368" t="s">
        <v>87885</v>
      </c>
      <c r="Y4368" t="s">
        <v>87886</v>
      </c>
    </row>
    <row r="4369" spans="1:25" x14ac:dyDescent="0.3">
      <c r="A4369">
        <v>218400</v>
      </c>
      <c r="B4369" t="s">
        <v>87887</v>
      </c>
      <c r="C4369" t="s">
        <v>87888</v>
      </c>
      <c r="D4369" t="s">
        <v>87889</v>
      </c>
      <c r="E4369" t="s">
        <v>87890</v>
      </c>
      <c r="F4369" t="s">
        <v>87891</v>
      </c>
      <c r="G4369" t="s">
        <v>87892</v>
      </c>
      <c r="H4369" t="s">
        <v>87893</v>
      </c>
      <c r="I4369" t="s">
        <v>87894</v>
      </c>
      <c r="J4369" t="s">
        <v>87895</v>
      </c>
      <c r="K4369" t="s">
        <v>87896</v>
      </c>
      <c r="L4369" t="s">
        <v>87897</v>
      </c>
      <c r="M4369" t="s">
        <v>87898</v>
      </c>
      <c r="N4369" t="s">
        <v>87899</v>
      </c>
      <c r="O4369">
        <f>-522.554249257622 -91.194423140116 -745.926509736643</f>
        <v>-1359.675182134381</v>
      </c>
      <c r="P4369">
        <f>-570.072682329402 -105.053680894545 -433.298782895481</f>
        <v>-1108.4251461194281</v>
      </c>
      <c r="Q4369" t="s">
        <v>87900</v>
      </c>
      <c r="R4369" t="s">
        <v>87901</v>
      </c>
      <c r="S4369" t="s">
        <v>87902</v>
      </c>
      <c r="T4369" t="s">
        <v>87903</v>
      </c>
      <c r="U4369" t="s">
        <v>87904</v>
      </c>
      <c r="V4369" t="s">
        <v>87905</v>
      </c>
      <c r="W4369" t="s">
        <v>87906</v>
      </c>
      <c r="X4369" t="s">
        <v>87907</v>
      </c>
      <c r="Y4369" t="s">
        <v>87908</v>
      </c>
    </row>
    <row r="4370" spans="1:25" x14ac:dyDescent="0.3">
      <c r="A4370">
        <v>218450</v>
      </c>
      <c r="B4370" t="s">
        <v>87909</v>
      </c>
      <c r="C4370" t="s">
        <v>87910</v>
      </c>
      <c r="D4370" t="s">
        <v>87911</v>
      </c>
      <c r="E4370" t="s">
        <v>87912</v>
      </c>
      <c r="F4370" t="s">
        <v>87913</v>
      </c>
      <c r="G4370" t="s">
        <v>87914</v>
      </c>
      <c r="H4370" t="s">
        <v>87915</v>
      </c>
      <c r="I4370" t="s">
        <v>87916</v>
      </c>
      <c r="J4370" t="s">
        <v>87917</v>
      </c>
      <c r="K4370" t="s">
        <v>87918</v>
      </c>
      <c r="L4370" t="s">
        <v>87919</v>
      </c>
      <c r="M4370" t="s">
        <v>87920</v>
      </c>
      <c r="N4370" t="s">
        <v>87921</v>
      </c>
      <c r="O4370">
        <f>-522.751996491917 -87.4941514761956 -746.190393324275</f>
        <v>-1356.4365412923876</v>
      </c>
      <c r="P4370">
        <f>-571.697107595472 -100.569845716329 -433.749059250172</f>
        <v>-1106.016012561973</v>
      </c>
      <c r="Q4370" t="s">
        <v>87922</v>
      </c>
      <c r="R4370" t="s">
        <v>87923</v>
      </c>
      <c r="S4370" t="s">
        <v>87924</v>
      </c>
      <c r="T4370" t="s">
        <v>87925</v>
      </c>
      <c r="U4370" t="s">
        <v>87926</v>
      </c>
      <c r="V4370" t="s">
        <v>87927</v>
      </c>
      <c r="W4370" t="s">
        <v>87928</v>
      </c>
      <c r="X4370" t="s">
        <v>87929</v>
      </c>
      <c r="Y4370" t="s">
        <v>87930</v>
      </c>
    </row>
    <row r="4371" spans="1:25" x14ac:dyDescent="0.3">
      <c r="A4371">
        <v>218500</v>
      </c>
      <c r="B4371" t="s">
        <v>87931</v>
      </c>
      <c r="C4371" t="s">
        <v>87932</v>
      </c>
      <c r="D4371" t="s">
        <v>87933</v>
      </c>
      <c r="E4371" t="s">
        <v>87934</v>
      </c>
      <c r="F4371" t="s">
        <v>87935</v>
      </c>
      <c r="G4371" t="s">
        <v>87936</v>
      </c>
      <c r="H4371" t="s">
        <v>87937</v>
      </c>
      <c r="I4371" t="s">
        <v>87938</v>
      </c>
      <c r="J4371" t="s">
        <v>87939</v>
      </c>
      <c r="K4371" t="s">
        <v>87940</v>
      </c>
      <c r="L4371" t="s">
        <v>87941</v>
      </c>
      <c r="M4371" t="s">
        <v>87942</v>
      </c>
      <c r="N4371" t="s">
        <v>87943</v>
      </c>
      <c r="O4371">
        <f>-523.520946060966 -82.9479862553994 -747.829017127883</f>
        <v>-1354.2979494442484</v>
      </c>
      <c r="P4371">
        <f>-573.685941357711 -94.9221085808902 -435.537138004133</f>
        <v>-1104.1451879427341</v>
      </c>
      <c r="Q4371" t="s">
        <v>87944</v>
      </c>
      <c r="R4371" t="s">
        <v>87945</v>
      </c>
      <c r="S4371" t="s">
        <v>87946</v>
      </c>
      <c r="T4371" t="s">
        <v>87947</v>
      </c>
      <c r="U4371" t="s">
        <v>87948</v>
      </c>
      <c r="V4371" t="s">
        <v>87949</v>
      </c>
      <c r="W4371" t="s">
        <v>87950</v>
      </c>
      <c r="X4371" t="s">
        <v>87951</v>
      </c>
      <c r="Y4371" t="s">
        <v>87952</v>
      </c>
    </row>
    <row r="4372" spans="1:25" x14ac:dyDescent="0.3">
      <c r="A4372">
        <v>218550</v>
      </c>
      <c r="B4372" t="s">
        <v>87953</v>
      </c>
      <c r="C4372" t="s">
        <v>87954</v>
      </c>
      <c r="D4372" t="s">
        <v>87955</v>
      </c>
      <c r="E4372" t="s">
        <v>87956</v>
      </c>
      <c r="F4372" t="s">
        <v>87957</v>
      </c>
      <c r="G4372" t="s">
        <v>87958</v>
      </c>
      <c r="H4372" t="s">
        <v>87959</v>
      </c>
      <c r="I4372" t="s">
        <v>87960</v>
      </c>
      <c r="J4372" t="s">
        <v>87961</v>
      </c>
      <c r="K4372" t="s">
        <v>87962</v>
      </c>
      <c r="L4372" t="s">
        <v>87963</v>
      </c>
      <c r="M4372" t="s">
        <v>87964</v>
      </c>
      <c r="N4372" t="s">
        <v>87965</v>
      </c>
      <c r="O4372">
        <f>-524.966118139317 -83.3029254191644 -749.208293169883</f>
        <v>-1357.4773367283642</v>
      </c>
      <c r="P4372">
        <f>-577.179300961202 -95.9217093042892 -437.277634721347</f>
        <v>-1110.378644986838</v>
      </c>
      <c r="Q4372" t="s">
        <v>87966</v>
      </c>
      <c r="R4372" t="s">
        <v>87967</v>
      </c>
      <c r="S4372" t="s">
        <v>87968</v>
      </c>
      <c r="T4372" t="s">
        <v>87969</v>
      </c>
      <c r="U4372" t="s">
        <v>87970</v>
      </c>
      <c r="V4372" t="s">
        <v>87971</v>
      </c>
      <c r="W4372" t="s">
        <v>87972</v>
      </c>
      <c r="X4372" t="s">
        <v>87973</v>
      </c>
      <c r="Y4372" t="s">
        <v>87974</v>
      </c>
    </row>
    <row r="4373" spans="1:25" x14ac:dyDescent="0.3">
      <c r="A4373">
        <v>218600</v>
      </c>
      <c r="B4373" t="s">
        <v>87975</v>
      </c>
      <c r="C4373" t="s">
        <v>87976</v>
      </c>
      <c r="D4373" t="s">
        <v>87977</v>
      </c>
      <c r="E4373" t="s">
        <v>87978</v>
      </c>
      <c r="F4373" t="s">
        <v>87979</v>
      </c>
      <c r="G4373" t="s">
        <v>87980</v>
      </c>
      <c r="H4373" t="s">
        <v>87981</v>
      </c>
      <c r="I4373" t="s">
        <v>87982</v>
      </c>
      <c r="J4373" t="s">
        <v>87983</v>
      </c>
      <c r="K4373" t="s">
        <v>87984</v>
      </c>
      <c r="L4373" t="s">
        <v>87985</v>
      </c>
      <c r="M4373" t="s">
        <v>87986</v>
      </c>
      <c r="N4373" t="s">
        <v>87987</v>
      </c>
      <c r="O4373">
        <f>-526.997952104745 -83.6671300258875 -749.540033141931</f>
        <v>-1360.2051152725635</v>
      </c>
      <c r="P4373">
        <f>-579.678488097742 -97.3490300332471 -437.73276885697</f>
        <v>-1114.7602869879593</v>
      </c>
      <c r="Q4373" t="s">
        <v>87988</v>
      </c>
      <c r="R4373" t="s">
        <v>87989</v>
      </c>
      <c r="S4373" t="s">
        <v>87990</v>
      </c>
      <c r="T4373" t="s">
        <v>87991</v>
      </c>
      <c r="U4373" t="s">
        <v>87992</v>
      </c>
      <c r="V4373" t="s">
        <v>87993</v>
      </c>
      <c r="W4373" t="s">
        <v>87994</v>
      </c>
      <c r="X4373" t="s">
        <v>87995</v>
      </c>
      <c r="Y4373" t="s">
        <v>87996</v>
      </c>
    </row>
    <row r="4374" spans="1:25" x14ac:dyDescent="0.3">
      <c r="A4374">
        <v>218650</v>
      </c>
      <c r="B4374" t="s">
        <v>87997</v>
      </c>
      <c r="C4374" t="s">
        <v>87998</v>
      </c>
      <c r="D4374" t="s">
        <v>87999</v>
      </c>
      <c r="E4374" t="s">
        <v>88000</v>
      </c>
      <c r="F4374" t="s">
        <v>88001</v>
      </c>
      <c r="G4374" t="s">
        <v>88002</v>
      </c>
      <c r="H4374" t="s">
        <v>88003</v>
      </c>
      <c r="I4374" t="s">
        <v>88004</v>
      </c>
      <c r="J4374" t="s">
        <v>88005</v>
      </c>
      <c r="K4374" t="s">
        <v>88006</v>
      </c>
      <c r="L4374" t="s">
        <v>88007</v>
      </c>
      <c r="M4374" t="s">
        <v>88008</v>
      </c>
      <c r="N4374" t="s">
        <v>88009</v>
      </c>
      <c r="O4374">
        <f>-532.308959508248 -84.568311508214 -750.112946795554</f>
        <v>-1366.990217812016</v>
      </c>
      <c r="P4374">
        <f>-583.532192167981 -102.022608965343 -438.251316191817</f>
        <v>-1123.806117325141</v>
      </c>
      <c r="Q4374" t="s">
        <v>88010</v>
      </c>
      <c r="R4374" t="s">
        <v>88011</v>
      </c>
      <c r="S4374" t="s">
        <v>88012</v>
      </c>
      <c r="T4374" t="s">
        <v>88013</v>
      </c>
      <c r="U4374" t="s">
        <v>88014</v>
      </c>
      <c r="V4374" t="s">
        <v>88015</v>
      </c>
      <c r="W4374" t="s">
        <v>88016</v>
      </c>
      <c r="X4374" t="s">
        <v>88017</v>
      </c>
      <c r="Y4374" t="s">
        <v>88018</v>
      </c>
    </row>
    <row r="4375" spans="1:25" x14ac:dyDescent="0.3">
      <c r="A4375">
        <v>218700</v>
      </c>
      <c r="B4375" t="s">
        <v>88019</v>
      </c>
      <c r="C4375" t="s">
        <v>88020</v>
      </c>
      <c r="D4375" t="s">
        <v>88021</v>
      </c>
      <c r="E4375" t="s">
        <v>88022</v>
      </c>
      <c r="F4375" t="s">
        <v>88023</v>
      </c>
      <c r="G4375" t="s">
        <v>88024</v>
      </c>
      <c r="H4375" t="s">
        <v>88025</v>
      </c>
      <c r="I4375" t="s">
        <v>88026</v>
      </c>
      <c r="J4375" t="s">
        <v>88027</v>
      </c>
      <c r="K4375" t="s">
        <v>88028</v>
      </c>
      <c r="L4375" t="s">
        <v>88029</v>
      </c>
      <c r="M4375" t="s">
        <v>88030</v>
      </c>
      <c r="N4375" t="s">
        <v>88031</v>
      </c>
      <c r="O4375">
        <f>-535.26685546107 -85.100454590646 -750.4668750742</f>
        <v>-1370.8341851259161</v>
      </c>
      <c r="P4375">
        <f>-585.379062949386 -105.389177934566 -438.596131376384</f>
        <v>-1129.364372260336</v>
      </c>
      <c r="Q4375" t="s">
        <v>88032</v>
      </c>
      <c r="R4375" t="s">
        <v>88033</v>
      </c>
      <c r="S4375" t="s">
        <v>88034</v>
      </c>
      <c r="T4375" t="s">
        <v>88035</v>
      </c>
      <c r="U4375" t="s">
        <v>88036</v>
      </c>
      <c r="V4375" t="s">
        <v>88037</v>
      </c>
      <c r="W4375" t="s">
        <v>88038</v>
      </c>
      <c r="X4375" t="s">
        <v>88039</v>
      </c>
      <c r="Y4375" t="s">
        <v>88040</v>
      </c>
    </row>
    <row r="4376" spans="1:25" x14ac:dyDescent="0.3">
      <c r="A4376">
        <v>218750</v>
      </c>
      <c r="B4376" t="s">
        <v>88041</v>
      </c>
      <c r="C4376" t="s">
        <v>88042</v>
      </c>
      <c r="D4376" t="s">
        <v>88043</v>
      </c>
      <c r="E4376" t="s">
        <v>88044</v>
      </c>
      <c r="F4376" t="s">
        <v>88045</v>
      </c>
      <c r="G4376" t="s">
        <v>88046</v>
      </c>
      <c r="H4376" t="s">
        <v>88047</v>
      </c>
      <c r="I4376" t="s">
        <v>88048</v>
      </c>
      <c r="J4376" t="s">
        <v>88049</v>
      </c>
      <c r="K4376" t="s">
        <v>88050</v>
      </c>
      <c r="L4376" t="s">
        <v>88051</v>
      </c>
      <c r="M4376" t="s">
        <v>88052</v>
      </c>
      <c r="N4376" t="s">
        <v>88053</v>
      </c>
      <c r="O4376">
        <f>-540.501790146079 -86.3928390288727 -751.494863731921</f>
        <v>-1378.3894929068726</v>
      </c>
      <c r="P4376">
        <f>-589.457706985096 -108.436751582694 -439.559607625761</f>
        <v>-1137.4540661935509</v>
      </c>
      <c r="Q4376" t="s">
        <v>88054</v>
      </c>
      <c r="R4376" t="s">
        <v>88055</v>
      </c>
      <c r="S4376" t="s">
        <v>88056</v>
      </c>
      <c r="T4376" t="s">
        <v>88057</v>
      </c>
      <c r="U4376" t="s">
        <v>88058</v>
      </c>
      <c r="V4376" t="s">
        <v>88059</v>
      </c>
      <c r="W4376" t="s">
        <v>88060</v>
      </c>
      <c r="X4376" t="s">
        <v>88061</v>
      </c>
      <c r="Y4376" t="s">
        <v>88062</v>
      </c>
    </row>
    <row r="4377" spans="1:25" x14ac:dyDescent="0.3">
      <c r="A4377">
        <v>218800</v>
      </c>
      <c r="B4377" t="s">
        <v>88063</v>
      </c>
      <c r="C4377" t="s">
        <v>88064</v>
      </c>
      <c r="D4377" t="s">
        <v>88065</v>
      </c>
      <c r="E4377" t="s">
        <v>88066</v>
      </c>
      <c r="F4377" t="s">
        <v>88067</v>
      </c>
      <c r="G4377" t="s">
        <v>88068</v>
      </c>
      <c r="H4377" t="s">
        <v>88069</v>
      </c>
      <c r="I4377" t="s">
        <v>88070</v>
      </c>
      <c r="J4377" t="s">
        <v>88071</v>
      </c>
      <c r="K4377" t="s">
        <v>88072</v>
      </c>
      <c r="L4377" t="s">
        <v>88073</v>
      </c>
      <c r="M4377" t="s">
        <v>88074</v>
      </c>
      <c r="N4377" t="s">
        <v>88075</v>
      </c>
      <c r="O4377">
        <f>-543.498366370697 -86.7774366062411 -751.990695401944</f>
        <v>-1382.266498378882</v>
      </c>
      <c r="P4377">
        <f>-592.130454753983 -107.572138494276 -439.91911052307</f>
        <v>-1139.6217037713291</v>
      </c>
      <c r="Q4377" t="s">
        <v>88076</v>
      </c>
      <c r="R4377" t="s">
        <v>88077</v>
      </c>
      <c r="S4377" t="s">
        <v>88078</v>
      </c>
      <c r="T4377" t="s">
        <v>88079</v>
      </c>
      <c r="U4377" t="s">
        <v>88080</v>
      </c>
      <c r="V4377" t="s">
        <v>88081</v>
      </c>
      <c r="W4377" t="s">
        <v>88082</v>
      </c>
      <c r="X4377" t="s">
        <v>88083</v>
      </c>
      <c r="Y4377" t="s">
        <v>88084</v>
      </c>
    </row>
    <row r="4378" spans="1:25" x14ac:dyDescent="0.3">
      <c r="A4378">
        <v>218850</v>
      </c>
      <c r="B4378" t="s">
        <v>88085</v>
      </c>
      <c r="C4378" t="s">
        <v>88086</v>
      </c>
      <c r="D4378" t="s">
        <v>88087</v>
      </c>
      <c r="E4378" t="s">
        <v>88088</v>
      </c>
      <c r="F4378" t="s">
        <v>88089</v>
      </c>
      <c r="G4378" t="s">
        <v>88090</v>
      </c>
      <c r="H4378" t="s">
        <v>88091</v>
      </c>
      <c r="I4378" t="s">
        <v>88092</v>
      </c>
      <c r="J4378" t="s">
        <v>88093</v>
      </c>
      <c r="K4378" t="s">
        <v>88094</v>
      </c>
      <c r="L4378" t="s">
        <v>88095</v>
      </c>
      <c r="M4378" t="s">
        <v>88096</v>
      </c>
      <c r="N4378" t="s">
        <v>88097</v>
      </c>
      <c r="O4378">
        <f>-553.533106960081 -87.3406629112506 -751.261229795845</f>
        <v>-1392.1349996671765</v>
      </c>
      <c r="P4378">
        <f>-602.756112545702 -103.055701772178 -438.985228246561</f>
        <v>-1144.797042564441</v>
      </c>
      <c r="Q4378" t="s">
        <v>88098</v>
      </c>
      <c r="R4378" t="s">
        <v>88099</v>
      </c>
      <c r="S4378" t="s">
        <v>88100</v>
      </c>
      <c r="T4378" t="s">
        <v>88101</v>
      </c>
      <c r="U4378" t="s">
        <v>88102</v>
      </c>
      <c r="V4378" t="s">
        <v>88103</v>
      </c>
      <c r="W4378" t="s">
        <v>88104</v>
      </c>
      <c r="X4378" t="s">
        <v>88105</v>
      </c>
      <c r="Y4378" t="s">
        <v>88106</v>
      </c>
    </row>
    <row r="4379" spans="1:25" x14ac:dyDescent="0.3">
      <c r="A4379">
        <v>218900</v>
      </c>
      <c r="B4379" t="s">
        <v>88107</v>
      </c>
      <c r="C4379" t="s">
        <v>88108</v>
      </c>
      <c r="D4379" t="s">
        <v>88109</v>
      </c>
      <c r="E4379" t="s">
        <v>88110</v>
      </c>
      <c r="F4379" t="s">
        <v>88111</v>
      </c>
      <c r="G4379" t="s">
        <v>88112</v>
      </c>
      <c r="H4379" t="s">
        <v>88113</v>
      </c>
      <c r="I4379" t="s">
        <v>88114</v>
      </c>
      <c r="J4379" t="s">
        <v>88115</v>
      </c>
      <c r="K4379" t="s">
        <v>88116</v>
      </c>
      <c r="L4379" t="s">
        <v>88117</v>
      </c>
      <c r="M4379" t="s">
        <v>88118</v>
      </c>
      <c r="N4379" t="s">
        <v>88119</v>
      </c>
      <c r="O4379">
        <f>-558.095433819136 -88.7793886457057 -749.872367490274</f>
        <v>-1396.7471899551156</v>
      </c>
      <c r="P4379">
        <f>-608.905326738697 -101.25056172975 -437.704044540534</f>
        <v>-1147.859933008981</v>
      </c>
      <c r="Q4379" t="s">
        <v>88120</v>
      </c>
      <c r="R4379" t="s">
        <v>88121</v>
      </c>
      <c r="S4379" t="s">
        <v>88122</v>
      </c>
      <c r="T4379" t="s">
        <v>88123</v>
      </c>
      <c r="U4379" t="s">
        <v>88124</v>
      </c>
      <c r="V4379" t="s">
        <v>88125</v>
      </c>
      <c r="W4379" t="s">
        <v>88126</v>
      </c>
      <c r="X4379" t="s">
        <v>88127</v>
      </c>
      <c r="Y4379" t="s">
        <v>88128</v>
      </c>
    </row>
    <row r="4380" spans="1:25" x14ac:dyDescent="0.3">
      <c r="A4380">
        <v>218950</v>
      </c>
      <c r="B4380" t="s">
        <v>88129</v>
      </c>
      <c r="C4380" t="s">
        <v>88130</v>
      </c>
      <c r="D4380" t="s">
        <v>88131</v>
      </c>
      <c r="E4380" t="s">
        <v>88132</v>
      </c>
      <c r="F4380" t="s">
        <v>88133</v>
      </c>
      <c r="G4380" t="s">
        <v>88134</v>
      </c>
      <c r="H4380" t="s">
        <v>88135</v>
      </c>
      <c r="I4380" t="s">
        <v>88136</v>
      </c>
      <c r="J4380" t="s">
        <v>88137</v>
      </c>
      <c r="K4380" t="s">
        <v>88138</v>
      </c>
      <c r="L4380" t="s">
        <v>88139</v>
      </c>
      <c r="M4380" t="s">
        <v>88140</v>
      </c>
      <c r="N4380" t="s">
        <v>88141</v>
      </c>
      <c r="O4380">
        <f>-562.627060174775 -92.3521167422211 -747.770504711854</f>
        <v>-1402.7496816288501</v>
      </c>
      <c r="P4380">
        <f>-615.213635700427 -100.837829962808 -435.762751804991</f>
        <v>-1151.8142174682259</v>
      </c>
      <c r="Q4380" t="s">
        <v>88142</v>
      </c>
      <c r="R4380" t="s">
        <v>88143</v>
      </c>
      <c r="S4380" t="s">
        <v>88144</v>
      </c>
      <c r="T4380" t="s">
        <v>88145</v>
      </c>
      <c r="U4380" t="s">
        <v>88146</v>
      </c>
      <c r="V4380" t="s">
        <v>88147</v>
      </c>
      <c r="W4380" t="s">
        <v>88148</v>
      </c>
      <c r="X4380" t="s">
        <v>88149</v>
      </c>
      <c r="Y4380" t="s">
        <v>88150</v>
      </c>
    </row>
    <row r="4381" spans="1:25" x14ac:dyDescent="0.3">
      <c r="A4381">
        <v>219000</v>
      </c>
      <c r="B4381" t="s">
        <v>88151</v>
      </c>
      <c r="C4381" t="s">
        <v>88152</v>
      </c>
      <c r="D4381" t="s">
        <v>88153</v>
      </c>
      <c r="E4381" t="s">
        <v>88154</v>
      </c>
      <c r="F4381" t="s">
        <v>88155</v>
      </c>
      <c r="G4381" t="s">
        <v>88156</v>
      </c>
      <c r="H4381" t="s">
        <v>88157</v>
      </c>
      <c r="I4381" t="s">
        <v>88158</v>
      </c>
      <c r="J4381" t="s">
        <v>88159</v>
      </c>
      <c r="K4381" t="s">
        <v>88160</v>
      </c>
      <c r="L4381" t="s">
        <v>88161</v>
      </c>
      <c r="M4381" t="s">
        <v>88162</v>
      </c>
      <c r="N4381" t="s">
        <v>88163</v>
      </c>
      <c r="O4381">
        <f>-572.2746023119 -98.8998618962608 -742.60525305419</f>
        <v>-1413.7797172623509</v>
      </c>
      <c r="P4381">
        <f>-626.588008953742 -99.6380447433335 -430.778954775763</f>
        <v>-1157.0050084728384</v>
      </c>
      <c r="Q4381" t="s">
        <v>88164</v>
      </c>
      <c r="R4381" t="s">
        <v>88165</v>
      </c>
      <c r="S4381" t="s">
        <v>88166</v>
      </c>
      <c r="T4381" t="s">
        <v>88167</v>
      </c>
      <c r="U4381" t="s">
        <v>88168</v>
      </c>
      <c r="V4381" t="s">
        <v>88169</v>
      </c>
      <c r="W4381" t="s">
        <v>88170</v>
      </c>
      <c r="X4381" t="s">
        <v>88171</v>
      </c>
      <c r="Y4381" t="s">
        <v>88172</v>
      </c>
    </row>
    <row r="4382" spans="1:25" x14ac:dyDescent="0.3">
      <c r="A4382">
        <v>219050</v>
      </c>
      <c r="B4382" t="s">
        <v>88173</v>
      </c>
      <c r="C4382" t="s">
        <v>88174</v>
      </c>
      <c r="D4382" t="s">
        <v>88175</v>
      </c>
      <c r="E4382" t="s">
        <v>88176</v>
      </c>
      <c r="F4382" t="s">
        <v>88177</v>
      </c>
      <c r="G4382" t="s">
        <v>88178</v>
      </c>
      <c r="H4382" t="s">
        <v>88179</v>
      </c>
      <c r="I4382" t="s">
        <v>88180</v>
      </c>
      <c r="J4382" t="s">
        <v>88181</v>
      </c>
      <c r="K4382" t="s">
        <v>88182</v>
      </c>
      <c r="L4382" t="s">
        <v>88183</v>
      </c>
      <c r="M4382" t="s">
        <v>88184</v>
      </c>
      <c r="N4382" t="s">
        <v>88185</v>
      </c>
      <c r="O4382">
        <f>-581.683179087308 -105.224421029321 -727.319850217016</f>
        <v>-1414.2274503336448</v>
      </c>
      <c r="P4382">
        <f>-636.836894597339 -98.0906058775237 -415.721729221399</f>
        <v>-1150.6492296962617</v>
      </c>
      <c r="Q4382" t="s">
        <v>88186</v>
      </c>
      <c r="R4382" t="s">
        <v>88187</v>
      </c>
      <c r="S4382" t="s">
        <v>88188</v>
      </c>
      <c r="T4382" t="s">
        <v>88189</v>
      </c>
      <c r="U4382" t="s">
        <v>88190</v>
      </c>
      <c r="V4382" t="s">
        <v>88191</v>
      </c>
      <c r="W4382" t="s">
        <v>88192</v>
      </c>
      <c r="X4382" t="s">
        <v>88193</v>
      </c>
      <c r="Y4382" t="s">
        <v>88194</v>
      </c>
    </row>
    <row r="4383" spans="1:25" x14ac:dyDescent="0.3">
      <c r="A4383">
        <v>219100</v>
      </c>
      <c r="B4383" t="s">
        <v>88195</v>
      </c>
      <c r="C4383" t="s">
        <v>88196</v>
      </c>
      <c r="D4383" t="s">
        <v>88197</v>
      </c>
      <c r="E4383" t="s">
        <v>88198</v>
      </c>
      <c r="F4383" t="s">
        <v>88199</v>
      </c>
      <c r="G4383" t="s">
        <v>88200</v>
      </c>
      <c r="H4383" t="s">
        <v>88201</v>
      </c>
      <c r="I4383" t="s">
        <v>88202</v>
      </c>
      <c r="J4383" t="s">
        <v>88203</v>
      </c>
      <c r="K4383" t="s">
        <v>88204</v>
      </c>
      <c r="L4383" t="s">
        <v>88205</v>
      </c>
      <c r="M4383" t="s">
        <v>88206</v>
      </c>
      <c r="N4383" t="s">
        <v>88207</v>
      </c>
      <c r="O4383">
        <f>-586.657111326824 -109.781415906835 -720.582293214378</f>
        <v>-1417.0208204480368</v>
      </c>
      <c r="P4383">
        <f>-641.57097729955 -98.3721188024271 -409.069069798252</f>
        <v>-1149.0121659002291</v>
      </c>
      <c r="Q4383" t="s">
        <v>88208</v>
      </c>
      <c r="R4383" t="s">
        <v>88209</v>
      </c>
      <c r="S4383" t="s">
        <v>88210</v>
      </c>
      <c r="T4383" t="s">
        <v>88211</v>
      </c>
      <c r="U4383" t="s">
        <v>88212</v>
      </c>
      <c r="V4383" t="s">
        <v>88213</v>
      </c>
      <c r="W4383" t="s">
        <v>88214</v>
      </c>
      <c r="X4383" t="s">
        <v>88215</v>
      </c>
      <c r="Y4383" t="s">
        <v>88216</v>
      </c>
    </row>
    <row r="4384" spans="1:25" x14ac:dyDescent="0.3">
      <c r="A4384">
        <v>219150</v>
      </c>
      <c r="B4384" t="s">
        <v>88217</v>
      </c>
      <c r="C4384" t="s">
        <v>88218</v>
      </c>
      <c r="D4384" t="s">
        <v>88219</v>
      </c>
      <c r="E4384" t="s">
        <v>88220</v>
      </c>
      <c r="F4384" t="s">
        <v>88221</v>
      </c>
      <c r="G4384" t="s">
        <v>88222</v>
      </c>
      <c r="H4384" t="s">
        <v>88223</v>
      </c>
      <c r="I4384" t="s">
        <v>88224</v>
      </c>
      <c r="J4384" t="s">
        <v>88225</v>
      </c>
      <c r="K4384" t="s">
        <v>88226</v>
      </c>
      <c r="L4384" t="s">
        <v>88227</v>
      </c>
      <c r="M4384" t="s">
        <v>88228</v>
      </c>
      <c r="N4384" t="s">
        <v>88229</v>
      </c>
      <c r="O4384">
        <f>-597.811210806298 -117.831026734989 -711.686003231654</f>
        <v>-1427.3282407729412</v>
      </c>
      <c r="P4384">
        <f>-648.951319563939 -99.1872986898584 -399.879510456714</f>
        <v>-1148.0181287105115</v>
      </c>
      <c r="Q4384" t="s">
        <v>88230</v>
      </c>
      <c r="R4384" t="s">
        <v>88231</v>
      </c>
      <c r="S4384" t="s">
        <v>88232</v>
      </c>
      <c r="T4384" t="s">
        <v>88233</v>
      </c>
      <c r="U4384" t="s">
        <v>88234</v>
      </c>
      <c r="V4384" t="s">
        <v>88235</v>
      </c>
      <c r="W4384" t="s">
        <v>88236</v>
      </c>
      <c r="X4384" t="s">
        <v>88237</v>
      </c>
      <c r="Y4384" t="s">
        <v>88238</v>
      </c>
    </row>
    <row r="4385" spans="1:25" x14ac:dyDescent="0.3">
      <c r="A4385">
        <v>219200</v>
      </c>
      <c r="B4385" t="s">
        <v>88239</v>
      </c>
      <c r="C4385" t="s">
        <v>88240</v>
      </c>
      <c r="D4385" t="s">
        <v>88241</v>
      </c>
      <c r="E4385" t="s">
        <v>88242</v>
      </c>
      <c r="F4385" t="s">
        <v>88243</v>
      </c>
      <c r="G4385" t="s">
        <v>88244</v>
      </c>
      <c r="H4385" t="s">
        <v>88245</v>
      </c>
      <c r="I4385" t="s">
        <v>88246</v>
      </c>
      <c r="J4385" t="s">
        <v>88247</v>
      </c>
      <c r="K4385" t="s">
        <v>88248</v>
      </c>
      <c r="L4385" t="s">
        <v>88249</v>
      </c>
      <c r="M4385" t="s">
        <v>88250</v>
      </c>
      <c r="N4385" t="s">
        <v>88251</v>
      </c>
      <c r="O4385">
        <f>-604.233179442037 -120.333300817411 -709.365712679655</f>
        <v>-1433.9321929391031</v>
      </c>
      <c r="P4385">
        <f>-652.415150544175 -99.0340943204864 -397.258357183926</f>
        <v>-1148.7076020485874</v>
      </c>
      <c r="Q4385" t="s">
        <v>88252</v>
      </c>
      <c r="R4385" t="s">
        <v>88253</v>
      </c>
      <c r="S4385" t="s">
        <v>88254</v>
      </c>
      <c r="T4385" t="s">
        <v>88255</v>
      </c>
      <c r="U4385" t="s">
        <v>88256</v>
      </c>
      <c r="V4385" t="s">
        <v>88257</v>
      </c>
      <c r="W4385" t="s">
        <v>88258</v>
      </c>
      <c r="X4385" t="s">
        <v>88259</v>
      </c>
      <c r="Y4385" t="s">
        <v>88260</v>
      </c>
    </row>
    <row r="4386" spans="1:25" x14ac:dyDescent="0.3">
      <c r="A4386">
        <v>219250</v>
      </c>
      <c r="B4386" t="s">
        <v>88261</v>
      </c>
      <c r="C4386" t="s">
        <v>88262</v>
      </c>
      <c r="D4386" t="s">
        <v>88263</v>
      </c>
      <c r="E4386" t="s">
        <v>88264</v>
      </c>
      <c r="F4386" t="s">
        <v>88265</v>
      </c>
      <c r="G4386" t="s">
        <v>88266</v>
      </c>
      <c r="H4386" t="s">
        <v>88267</v>
      </c>
      <c r="I4386" t="s">
        <v>88268</v>
      </c>
      <c r="J4386" t="s">
        <v>88269</v>
      </c>
      <c r="K4386" t="s">
        <v>88270</v>
      </c>
      <c r="L4386" t="s">
        <v>88271</v>
      </c>
      <c r="M4386" t="s">
        <v>88272</v>
      </c>
      <c r="N4386" t="s">
        <v>88273</v>
      </c>
      <c r="O4386">
        <f>-617.002269381145 -122.45574922196 -707.284614105744</f>
        <v>-1446.742632708849</v>
      </c>
      <c r="P4386">
        <f>-658.901194781635 -98.3139848703676 -394.478240055828</f>
        <v>-1151.6934197078306</v>
      </c>
      <c r="Q4386" t="s">
        <v>88274</v>
      </c>
      <c r="R4386" t="s">
        <v>88275</v>
      </c>
      <c r="S4386" t="s">
        <v>88276</v>
      </c>
      <c r="T4386" t="s">
        <v>88277</v>
      </c>
      <c r="U4386" t="s">
        <v>88278</v>
      </c>
      <c r="V4386" t="s">
        <v>88279</v>
      </c>
      <c r="W4386" t="s">
        <v>88280</v>
      </c>
      <c r="X4386" t="s">
        <v>88281</v>
      </c>
      <c r="Y4386" t="s">
        <v>88282</v>
      </c>
    </row>
    <row r="4387" spans="1:25" x14ac:dyDescent="0.3">
      <c r="A4387">
        <v>219300</v>
      </c>
      <c r="B4387" t="s">
        <v>88283</v>
      </c>
      <c r="C4387" t="s">
        <v>88284</v>
      </c>
      <c r="D4387" t="s">
        <v>88285</v>
      </c>
      <c r="E4387" t="s">
        <v>88286</v>
      </c>
      <c r="F4387" t="s">
        <v>88287</v>
      </c>
      <c r="G4387" t="s">
        <v>88288</v>
      </c>
      <c r="H4387" t="s">
        <v>88289</v>
      </c>
      <c r="I4387" t="s">
        <v>88290</v>
      </c>
      <c r="J4387" t="s">
        <v>88291</v>
      </c>
      <c r="K4387" t="s">
        <v>88292</v>
      </c>
      <c r="L4387" t="s">
        <v>88293</v>
      </c>
      <c r="M4387" t="s">
        <v>88294</v>
      </c>
      <c r="N4387" t="s">
        <v>88295</v>
      </c>
      <c r="O4387">
        <f>-623.631697958351 -122.263340995208 -707.30569030262</f>
        <v>-1453.2007292561789</v>
      </c>
      <c r="P4387">
        <f>-662.389027313337 -97.8842172947596 -394.112965669171</f>
        <v>-1154.3862102772675</v>
      </c>
      <c r="Q4387" t="s">
        <v>88296</v>
      </c>
      <c r="R4387" t="s">
        <v>88297</v>
      </c>
      <c r="S4387" t="s">
        <v>88298</v>
      </c>
      <c r="T4387" t="s">
        <v>88299</v>
      </c>
      <c r="U4387" t="s">
        <v>88300</v>
      </c>
      <c r="V4387" t="s">
        <v>88301</v>
      </c>
      <c r="W4387" t="s">
        <v>88302</v>
      </c>
      <c r="X4387" t="s">
        <v>88303</v>
      </c>
      <c r="Y4387" t="s">
        <v>88304</v>
      </c>
    </row>
    <row r="4388" spans="1:25" x14ac:dyDescent="0.3">
      <c r="A4388">
        <v>219350</v>
      </c>
      <c r="B4388" t="s">
        <v>88305</v>
      </c>
      <c r="C4388" t="s">
        <v>88306</v>
      </c>
      <c r="D4388" t="s">
        <v>88307</v>
      </c>
      <c r="E4388" t="s">
        <v>88308</v>
      </c>
      <c r="F4388" t="s">
        <v>88309</v>
      </c>
      <c r="G4388" t="s">
        <v>88310</v>
      </c>
      <c r="H4388" t="s">
        <v>88311</v>
      </c>
      <c r="I4388" t="s">
        <v>88312</v>
      </c>
      <c r="J4388" t="s">
        <v>88313</v>
      </c>
      <c r="K4388" t="s">
        <v>88314</v>
      </c>
      <c r="L4388" t="s">
        <v>88315</v>
      </c>
      <c r="M4388" t="s">
        <v>88316</v>
      </c>
      <c r="N4388" t="s">
        <v>88317</v>
      </c>
      <c r="O4388">
        <f>-636.850780740633 -120.07671188761 -708.30359054856</f>
        <v>-1465.2310831768032</v>
      </c>
      <c r="P4388">
        <f>-671.220206529611 -97.0133882393248 -394.499470329804</f>
        <v>-1162.7330650987396</v>
      </c>
      <c r="Q4388" t="s">
        <v>88318</v>
      </c>
      <c r="R4388" t="s">
        <v>88319</v>
      </c>
      <c r="S4388" t="s">
        <v>88320</v>
      </c>
      <c r="T4388" t="s">
        <v>88321</v>
      </c>
      <c r="U4388" t="s">
        <v>88322</v>
      </c>
      <c r="V4388" t="s">
        <v>88323</v>
      </c>
      <c r="W4388" t="s">
        <v>88324</v>
      </c>
      <c r="X4388" t="s">
        <v>88325</v>
      </c>
      <c r="Y4388" t="s">
        <v>88326</v>
      </c>
    </row>
    <row r="4389" spans="1:25" x14ac:dyDescent="0.3">
      <c r="A4389">
        <v>219400</v>
      </c>
      <c r="B4389" t="s">
        <v>88327</v>
      </c>
      <c r="C4389" t="s">
        <v>88328</v>
      </c>
      <c r="D4389" t="s">
        <v>88329</v>
      </c>
      <c r="E4389" t="s">
        <v>88330</v>
      </c>
      <c r="F4389" t="s">
        <v>88331</v>
      </c>
      <c r="G4389" t="s">
        <v>88332</v>
      </c>
      <c r="H4389" t="s">
        <v>88333</v>
      </c>
      <c r="I4389" t="s">
        <v>88334</v>
      </c>
      <c r="J4389" t="s">
        <v>88335</v>
      </c>
      <c r="K4389" t="s">
        <v>88336</v>
      </c>
      <c r="L4389" t="s">
        <v>88337</v>
      </c>
      <c r="M4389" t="s">
        <v>88338</v>
      </c>
      <c r="N4389" t="s">
        <v>88339</v>
      </c>
      <c r="O4389">
        <f>-643.182915906778 -117.801997057961 -709.137180558226</f>
        <v>-1470.1220935229649</v>
      </c>
      <c r="P4389">
        <f>-676.104205836835 -95.7207072209049 -395.107261909354</f>
        <v>-1166.9321749670939</v>
      </c>
      <c r="Q4389" t="s">
        <v>88340</v>
      </c>
      <c r="R4389" t="s">
        <v>88341</v>
      </c>
      <c r="S4389" t="s">
        <v>88342</v>
      </c>
      <c r="T4389" t="s">
        <v>88343</v>
      </c>
      <c r="U4389" t="s">
        <v>88344</v>
      </c>
      <c r="V4389" t="s">
        <v>88345</v>
      </c>
      <c r="W4389" t="s">
        <v>88346</v>
      </c>
      <c r="X4389" t="s">
        <v>88347</v>
      </c>
      <c r="Y4389" t="s">
        <v>88348</v>
      </c>
    </row>
    <row r="4390" spans="1:25" x14ac:dyDescent="0.3">
      <c r="A4390">
        <v>219450</v>
      </c>
      <c r="B4390" t="s">
        <v>88349</v>
      </c>
      <c r="C4390" t="s">
        <v>88350</v>
      </c>
      <c r="D4390" t="s">
        <v>88351</v>
      </c>
      <c r="E4390" t="s">
        <v>88352</v>
      </c>
      <c r="F4390" t="s">
        <v>88353</v>
      </c>
      <c r="G4390" t="s">
        <v>88354</v>
      </c>
      <c r="H4390" t="s">
        <v>88355</v>
      </c>
      <c r="I4390" t="s">
        <v>88356</v>
      </c>
      <c r="J4390" t="s">
        <v>88357</v>
      </c>
      <c r="K4390" t="s">
        <v>88358</v>
      </c>
      <c r="L4390" t="s">
        <v>88359</v>
      </c>
      <c r="M4390" t="s">
        <v>88360</v>
      </c>
      <c r="N4390" t="s">
        <v>88361</v>
      </c>
      <c r="O4390">
        <f>-653.87134658691 -110.182840769674 -710.7924369522</f>
        <v>-1474.8466243087842</v>
      </c>
      <c r="P4390">
        <f>-684.538309293778 -89.3062426828687 -396.452057387372</f>
        <v>-1170.2966093640187</v>
      </c>
      <c r="Q4390" t="s">
        <v>88362</v>
      </c>
      <c r="R4390" t="s">
        <v>88363</v>
      </c>
      <c r="S4390" t="s">
        <v>88364</v>
      </c>
      <c r="T4390" t="s">
        <v>88365</v>
      </c>
      <c r="U4390" t="s">
        <v>88366</v>
      </c>
      <c r="V4390" t="s">
        <v>88367</v>
      </c>
      <c r="W4390" t="s">
        <v>88368</v>
      </c>
      <c r="X4390" t="s">
        <v>88369</v>
      </c>
      <c r="Y4390" t="s">
        <v>88370</v>
      </c>
    </row>
    <row r="4391" spans="1:25" x14ac:dyDescent="0.3">
      <c r="A4391">
        <v>219500</v>
      </c>
      <c r="B4391" t="s">
        <v>88371</v>
      </c>
      <c r="C4391" t="s">
        <v>88372</v>
      </c>
      <c r="D4391" t="s">
        <v>88373</v>
      </c>
      <c r="E4391" t="s">
        <v>88374</v>
      </c>
      <c r="F4391" t="s">
        <v>88375</v>
      </c>
      <c r="G4391" t="s">
        <v>88376</v>
      </c>
      <c r="H4391" t="s">
        <v>88377</v>
      </c>
      <c r="I4391" t="s">
        <v>88378</v>
      </c>
      <c r="J4391" t="s">
        <v>88379</v>
      </c>
      <c r="K4391" t="s">
        <v>88380</v>
      </c>
      <c r="L4391" t="s">
        <v>88381</v>
      </c>
      <c r="M4391" t="s">
        <v>88382</v>
      </c>
      <c r="N4391" t="s">
        <v>88383</v>
      </c>
      <c r="O4391">
        <f>-657.895295216415 -104.507790157958 -711.402742687569</f>
        <v>-1473.8058280619421</v>
      </c>
      <c r="P4391">
        <f>-687.521520845254 -84.1212935439464 -396.930372714052</f>
        <v>-1168.5731871032524</v>
      </c>
      <c r="Q4391" t="s">
        <v>88384</v>
      </c>
      <c r="R4391" t="s">
        <v>88385</v>
      </c>
      <c r="S4391" t="s">
        <v>88386</v>
      </c>
      <c r="T4391" t="s">
        <v>88387</v>
      </c>
      <c r="U4391" t="s">
        <v>88388</v>
      </c>
      <c r="V4391" t="s">
        <v>88389</v>
      </c>
      <c r="W4391" t="s">
        <v>88390</v>
      </c>
      <c r="X4391" t="s">
        <v>88391</v>
      </c>
      <c r="Y4391" t="s">
        <v>88392</v>
      </c>
    </row>
    <row r="4392" spans="1:25" x14ac:dyDescent="0.3">
      <c r="A4392">
        <v>219550</v>
      </c>
      <c r="B4392" t="s">
        <v>88393</v>
      </c>
      <c r="C4392" t="s">
        <v>88394</v>
      </c>
      <c r="D4392" t="s">
        <v>88395</v>
      </c>
      <c r="E4392" t="s">
        <v>88396</v>
      </c>
      <c r="F4392" t="s">
        <v>88397</v>
      </c>
      <c r="G4392" t="s">
        <v>88398</v>
      </c>
      <c r="H4392" t="s">
        <v>88399</v>
      </c>
      <c r="I4392" t="s">
        <v>88400</v>
      </c>
      <c r="J4392" t="s">
        <v>88401</v>
      </c>
      <c r="K4392" t="s">
        <v>88402</v>
      </c>
      <c r="L4392" t="s">
        <v>88403</v>
      </c>
      <c r="M4392" t="s">
        <v>88404</v>
      </c>
      <c r="N4392" t="s">
        <v>88405</v>
      </c>
      <c r="O4392">
        <f>-664.061691571792 -87.5377307505674 -712.308856832194</f>
        <v>-1463.9082791545534</v>
      </c>
      <c r="P4392">
        <f>-691.993709045533 -68.3379172813181 -397.606837812067</f>
        <v>-1157.9384641389181</v>
      </c>
      <c r="Q4392" t="s">
        <v>88406</v>
      </c>
      <c r="R4392" t="s">
        <v>88407</v>
      </c>
      <c r="S4392" t="s">
        <v>88408</v>
      </c>
      <c r="T4392" t="s">
        <v>88409</v>
      </c>
      <c r="U4392" t="s">
        <v>88410</v>
      </c>
      <c r="V4392" t="s">
        <v>88411</v>
      </c>
      <c r="W4392" t="s">
        <v>88412</v>
      </c>
      <c r="X4392" t="s">
        <v>88413</v>
      </c>
      <c r="Y4392" t="s">
        <v>88414</v>
      </c>
    </row>
    <row r="4393" spans="1:25" x14ac:dyDescent="0.3">
      <c r="A4393">
        <v>219600</v>
      </c>
      <c r="B4393" t="s">
        <v>88415</v>
      </c>
      <c r="C4393" t="s">
        <v>88416</v>
      </c>
      <c r="D4393" t="s">
        <v>88417</v>
      </c>
      <c r="E4393" t="s">
        <v>88418</v>
      </c>
      <c r="F4393" t="s">
        <v>88419</v>
      </c>
      <c r="G4393" t="s">
        <v>88420</v>
      </c>
      <c r="H4393" t="s">
        <v>88421</v>
      </c>
      <c r="I4393" t="s">
        <v>88422</v>
      </c>
      <c r="J4393" t="s">
        <v>88423</v>
      </c>
      <c r="K4393" t="s">
        <v>88424</v>
      </c>
      <c r="L4393" t="s">
        <v>88425</v>
      </c>
      <c r="M4393" t="s">
        <v>88426</v>
      </c>
      <c r="N4393" t="s">
        <v>88427</v>
      </c>
      <c r="O4393">
        <f>-665.745337159772 -76.4531454226159 -712.190613953416</f>
        <v>-1454.3890965358039</v>
      </c>
      <c r="P4393">
        <f>-693.343468529109 -57.782330978057 -397.427234577893</f>
        <v>-1148.5530340850589</v>
      </c>
      <c r="Q4393" t="s">
        <v>88428</v>
      </c>
      <c r="R4393" t="s">
        <v>88429</v>
      </c>
      <c r="S4393" t="s">
        <v>88430</v>
      </c>
      <c r="T4393" t="s">
        <v>88431</v>
      </c>
      <c r="U4393" t="s">
        <v>88432</v>
      </c>
      <c r="V4393" t="s">
        <v>88433</v>
      </c>
      <c r="W4393" t="s">
        <v>88434</v>
      </c>
      <c r="X4393" t="s">
        <v>88435</v>
      </c>
      <c r="Y4393" t="s">
        <v>88436</v>
      </c>
    </row>
    <row r="4394" spans="1:25" x14ac:dyDescent="0.3">
      <c r="A4394">
        <v>219650</v>
      </c>
      <c r="B4394" t="s">
        <v>88437</v>
      </c>
      <c r="C4394" t="s">
        <v>88438</v>
      </c>
      <c r="D4394" t="s">
        <v>88439</v>
      </c>
      <c r="E4394" t="s">
        <v>88440</v>
      </c>
      <c r="F4394" t="s">
        <v>88441</v>
      </c>
      <c r="G4394" t="s">
        <v>88442</v>
      </c>
      <c r="H4394" t="s">
        <v>88443</v>
      </c>
      <c r="I4394" t="s">
        <v>88444</v>
      </c>
      <c r="J4394" t="s">
        <v>88445</v>
      </c>
      <c r="K4394" t="s">
        <v>88446</v>
      </c>
      <c r="L4394" t="s">
        <v>88447</v>
      </c>
      <c r="M4394" t="s">
        <v>88448</v>
      </c>
      <c r="N4394" t="s">
        <v>88449</v>
      </c>
      <c r="O4394">
        <f>-668.971885782109 -49.0776825574192 -711.495397264275</f>
        <v>-1429.5449656038031</v>
      </c>
      <c r="P4394">
        <f>-696.316002975511 -31.459681292347 -396.649336636664</f>
        <v>-1124.4250209045219</v>
      </c>
      <c r="Q4394" t="s">
        <v>88450</v>
      </c>
      <c r="R4394" t="s">
        <v>88451</v>
      </c>
      <c r="S4394" t="s">
        <v>88452</v>
      </c>
      <c r="T4394" t="s">
        <v>88453</v>
      </c>
      <c r="U4394" t="s">
        <v>88454</v>
      </c>
      <c r="V4394" t="s">
        <v>88455</v>
      </c>
      <c r="W4394" t="s">
        <v>88456</v>
      </c>
      <c r="X4394" t="s">
        <v>88457</v>
      </c>
      <c r="Y4394" t="s">
        <v>88458</v>
      </c>
    </row>
    <row r="4395" spans="1:25" x14ac:dyDescent="0.3">
      <c r="A4395">
        <v>219700</v>
      </c>
      <c r="B4395" t="s">
        <v>88459</v>
      </c>
      <c r="C4395" t="s">
        <v>88460</v>
      </c>
      <c r="D4395" t="s">
        <v>88461</v>
      </c>
      <c r="E4395" t="s">
        <v>88462</v>
      </c>
      <c r="F4395" t="s">
        <v>88463</v>
      </c>
      <c r="G4395" t="s">
        <v>88464</v>
      </c>
      <c r="H4395" t="s">
        <v>88465</v>
      </c>
      <c r="I4395" t="s">
        <v>88466</v>
      </c>
      <c r="J4395" t="s">
        <v>88467</v>
      </c>
      <c r="K4395" t="s">
        <v>88468</v>
      </c>
      <c r="L4395" t="s">
        <v>88469</v>
      </c>
      <c r="M4395" t="s">
        <v>88470</v>
      </c>
      <c r="N4395" t="s">
        <v>88471</v>
      </c>
      <c r="O4395">
        <f>-669.305064893639 -33.6360803464534 -711.565529055484</f>
        <v>-1414.5066742955764</v>
      </c>
      <c r="P4395">
        <f>-696.762270412896 -16.8854105252226 -396.682003070501</f>
        <v>-1110.3296840086196</v>
      </c>
      <c r="Q4395" t="s">
        <v>88472</v>
      </c>
      <c r="R4395" t="s">
        <v>88473</v>
      </c>
      <c r="S4395" t="s">
        <v>88474</v>
      </c>
      <c r="T4395" t="s">
        <v>88475</v>
      </c>
      <c r="U4395" t="s">
        <v>88476</v>
      </c>
      <c r="V4395" t="s">
        <v>88477</v>
      </c>
      <c r="W4395" t="s">
        <v>88478</v>
      </c>
      <c r="X4395" t="s">
        <v>88479</v>
      </c>
      <c r="Y4395" t="s">
        <v>88480</v>
      </c>
    </row>
    <row r="4396" spans="1:25" x14ac:dyDescent="0.3">
      <c r="A4396">
        <v>219750</v>
      </c>
      <c r="B4396" t="s">
        <v>88481</v>
      </c>
      <c r="C4396" t="s">
        <v>88482</v>
      </c>
      <c r="D4396" t="s">
        <v>88483</v>
      </c>
      <c r="E4396" t="s">
        <v>88484</v>
      </c>
      <c r="F4396" t="s">
        <v>88485</v>
      </c>
      <c r="G4396" t="s">
        <v>88486</v>
      </c>
      <c r="H4396" t="s">
        <v>88487</v>
      </c>
      <c r="I4396" t="s">
        <v>88488</v>
      </c>
      <c r="J4396" t="s">
        <v>88489</v>
      </c>
      <c r="K4396" t="s">
        <v>88490</v>
      </c>
      <c r="L4396" t="s">
        <v>88491</v>
      </c>
      <c r="M4396" t="s">
        <v>88492</v>
      </c>
      <c r="N4396" t="s">
        <v>88493</v>
      </c>
      <c r="O4396">
        <f>-667.900483938588 -0.687483451571417 -711.983625062801</f>
        <v>-1380.5715924529604</v>
      </c>
      <c r="P4396" t="s">
        <v>88494</v>
      </c>
      <c r="Q4396" t="s">
        <v>88495</v>
      </c>
      <c r="R4396" t="s">
        <v>88496</v>
      </c>
      <c r="S4396" t="s">
        <v>88497</v>
      </c>
      <c r="T4396" t="s">
        <v>88498</v>
      </c>
      <c r="U4396" t="s">
        <v>88499</v>
      </c>
      <c r="V4396" t="s">
        <v>88500</v>
      </c>
      <c r="W4396" t="s">
        <v>88501</v>
      </c>
      <c r="X4396" t="s">
        <v>88502</v>
      </c>
      <c r="Y4396" t="s">
        <v>88503</v>
      </c>
    </row>
    <row r="4397" spans="1:25" x14ac:dyDescent="0.3">
      <c r="A4397">
        <v>219800</v>
      </c>
      <c r="B4397" t="s">
        <v>88504</v>
      </c>
      <c r="C4397" t="s">
        <v>88505</v>
      </c>
      <c r="D4397" t="s">
        <v>88506</v>
      </c>
      <c r="E4397" t="s">
        <v>88507</v>
      </c>
      <c r="F4397" t="s">
        <v>88508</v>
      </c>
      <c r="G4397" t="s">
        <v>88509</v>
      </c>
      <c r="H4397" t="s">
        <v>88510</v>
      </c>
      <c r="I4397" t="s">
        <v>88511</v>
      </c>
      <c r="J4397" t="s">
        <v>88512</v>
      </c>
      <c r="K4397" t="s">
        <v>88513</v>
      </c>
      <c r="L4397" t="s">
        <v>88514</v>
      </c>
      <c r="M4397" t="s">
        <v>88515</v>
      </c>
      <c r="N4397" t="s">
        <v>88516</v>
      </c>
      <c r="O4397" t="s">
        <v>88517</v>
      </c>
      <c r="P4397" t="s">
        <v>88518</v>
      </c>
      <c r="Q4397" t="s">
        <v>88519</v>
      </c>
      <c r="R4397" t="s">
        <v>88520</v>
      </c>
      <c r="S4397" t="s">
        <v>88521</v>
      </c>
      <c r="T4397" t="s">
        <v>88522</v>
      </c>
      <c r="U4397" t="s">
        <v>88523</v>
      </c>
      <c r="V4397" t="s">
        <v>88524</v>
      </c>
      <c r="W4397" t="s">
        <v>88525</v>
      </c>
      <c r="X4397" t="s">
        <v>88526</v>
      </c>
      <c r="Y4397" t="s">
        <v>88527</v>
      </c>
    </row>
    <row r="4398" spans="1:25" x14ac:dyDescent="0.3">
      <c r="A4398">
        <v>219850</v>
      </c>
      <c r="B4398" t="s">
        <v>88528</v>
      </c>
      <c r="C4398" t="s">
        <v>88529</v>
      </c>
      <c r="D4398" t="s">
        <v>88530</v>
      </c>
      <c r="E4398" t="s">
        <v>88531</v>
      </c>
      <c r="F4398" t="s">
        <v>88532</v>
      </c>
      <c r="G4398" t="s">
        <v>88533</v>
      </c>
      <c r="H4398" t="s">
        <v>88534</v>
      </c>
      <c r="I4398" t="s">
        <v>88535</v>
      </c>
      <c r="J4398" t="s">
        <v>88536</v>
      </c>
      <c r="K4398" t="s">
        <v>88537</v>
      </c>
      <c r="L4398" t="s">
        <v>88538</v>
      </c>
      <c r="M4398" t="s">
        <v>88539</v>
      </c>
      <c r="N4398" t="s">
        <v>88540</v>
      </c>
      <c r="O4398" t="s">
        <v>88541</v>
      </c>
      <c r="P4398" t="s">
        <v>88542</v>
      </c>
      <c r="Q4398" t="s">
        <v>88543</v>
      </c>
      <c r="R4398" t="s">
        <v>88544</v>
      </c>
      <c r="S4398" t="s">
        <v>88545</v>
      </c>
      <c r="T4398" t="s">
        <v>88546</v>
      </c>
      <c r="U4398" t="s">
        <v>88547</v>
      </c>
      <c r="V4398" t="s">
        <v>88548</v>
      </c>
      <c r="W4398" t="s">
        <v>88549</v>
      </c>
      <c r="X4398" t="s">
        <v>88550</v>
      </c>
      <c r="Y4398" t="s">
        <v>88551</v>
      </c>
    </row>
    <row r="4399" spans="1:25" x14ac:dyDescent="0.3">
      <c r="A4399">
        <v>219900</v>
      </c>
      <c r="B4399" t="s">
        <v>88552</v>
      </c>
      <c r="C4399" t="s">
        <v>88553</v>
      </c>
      <c r="D4399" t="s">
        <v>88554</v>
      </c>
      <c r="E4399" t="s">
        <v>88555</v>
      </c>
      <c r="F4399" t="s">
        <v>88556</v>
      </c>
      <c r="G4399" t="s">
        <v>88557</v>
      </c>
      <c r="H4399" t="s">
        <v>88558</v>
      </c>
      <c r="I4399" t="s">
        <v>88559</v>
      </c>
      <c r="J4399" t="s">
        <v>88560</v>
      </c>
      <c r="K4399" t="s">
        <v>88561</v>
      </c>
      <c r="L4399" t="s">
        <v>88562</v>
      </c>
      <c r="M4399" t="s">
        <v>88563</v>
      </c>
      <c r="N4399" t="s">
        <v>88564</v>
      </c>
      <c r="O4399" t="s">
        <v>88565</v>
      </c>
      <c r="P4399" t="s">
        <v>88566</v>
      </c>
      <c r="Q4399" t="s">
        <v>88567</v>
      </c>
      <c r="R4399" t="s">
        <v>88568</v>
      </c>
      <c r="S4399" t="s">
        <v>88569</v>
      </c>
      <c r="T4399" t="s">
        <v>88570</v>
      </c>
      <c r="U4399" t="s">
        <v>88571</v>
      </c>
      <c r="V4399" t="s">
        <v>88572</v>
      </c>
      <c r="W4399" t="s">
        <v>88573</v>
      </c>
      <c r="X4399" t="s">
        <v>88574</v>
      </c>
      <c r="Y4399" t="s">
        <v>88575</v>
      </c>
    </row>
    <row r="4400" spans="1:25" x14ac:dyDescent="0.3">
      <c r="A4400">
        <v>219950</v>
      </c>
      <c r="B4400" t="s">
        <v>88576</v>
      </c>
      <c r="C4400" t="s">
        <v>88577</v>
      </c>
      <c r="D4400" t="s">
        <v>88578</v>
      </c>
      <c r="E4400" t="s">
        <v>88579</v>
      </c>
      <c r="F4400" t="s">
        <v>88580</v>
      </c>
      <c r="G4400" t="s">
        <v>88581</v>
      </c>
      <c r="H4400" t="s">
        <v>88582</v>
      </c>
      <c r="I4400" t="s">
        <v>88583</v>
      </c>
      <c r="J4400" t="s">
        <v>88584</v>
      </c>
      <c r="K4400" t="s">
        <v>88585</v>
      </c>
      <c r="L4400" t="s">
        <v>88586</v>
      </c>
      <c r="M4400" t="s">
        <v>88587</v>
      </c>
      <c r="N4400" t="s">
        <v>88588</v>
      </c>
      <c r="O4400" t="s">
        <v>88589</v>
      </c>
      <c r="P4400" t="s">
        <v>88590</v>
      </c>
      <c r="Q4400" t="s">
        <v>88591</v>
      </c>
      <c r="R4400" t="s">
        <v>88592</v>
      </c>
      <c r="S4400" t="s">
        <v>88593</v>
      </c>
      <c r="T4400" t="s">
        <v>88594</v>
      </c>
      <c r="U4400" t="s">
        <v>88595</v>
      </c>
      <c r="V4400" t="s">
        <v>88596</v>
      </c>
      <c r="W4400" t="s">
        <v>88597</v>
      </c>
      <c r="X4400" t="s">
        <v>88598</v>
      </c>
      <c r="Y4400" t="s">
        <v>88599</v>
      </c>
    </row>
    <row r="4401" spans="1:25" x14ac:dyDescent="0.3">
      <c r="A4401">
        <v>220000</v>
      </c>
      <c r="B4401" t="s">
        <v>88600</v>
      </c>
      <c r="C4401" t="s">
        <v>88601</v>
      </c>
      <c r="D4401" t="s">
        <v>88602</v>
      </c>
      <c r="E4401" t="s">
        <v>88603</v>
      </c>
      <c r="F4401" t="s">
        <v>88604</v>
      </c>
      <c r="G4401" t="s">
        <v>88605</v>
      </c>
      <c r="H4401" t="s">
        <v>88606</v>
      </c>
      <c r="I4401" t="s">
        <v>88607</v>
      </c>
      <c r="J4401" t="s">
        <v>88608</v>
      </c>
      <c r="K4401" t="s">
        <v>88609</v>
      </c>
      <c r="L4401" t="s">
        <v>88610</v>
      </c>
      <c r="M4401" t="s">
        <v>88611</v>
      </c>
      <c r="N4401" t="s">
        <v>88612</v>
      </c>
      <c r="O4401" t="s">
        <v>88613</v>
      </c>
      <c r="P4401" t="s">
        <v>88614</v>
      </c>
      <c r="Q4401" t="s">
        <v>88615</v>
      </c>
      <c r="R4401" t="s">
        <v>88616</v>
      </c>
      <c r="S4401" t="s">
        <v>88617</v>
      </c>
      <c r="T4401" t="s">
        <v>88618</v>
      </c>
      <c r="U4401" t="s">
        <v>88619</v>
      </c>
      <c r="V4401" t="s">
        <v>88620</v>
      </c>
      <c r="W4401" t="s">
        <v>88621</v>
      </c>
      <c r="X4401" t="s">
        <v>88622</v>
      </c>
      <c r="Y4401" t="s">
        <v>88623</v>
      </c>
    </row>
    <row r="4402" spans="1:25" x14ac:dyDescent="0.3">
      <c r="A4402">
        <v>220050</v>
      </c>
      <c r="B4402" t="s">
        <v>88624</v>
      </c>
      <c r="C4402" t="s">
        <v>88625</v>
      </c>
      <c r="D4402" t="s">
        <v>88626</v>
      </c>
      <c r="E4402" t="s">
        <v>88627</v>
      </c>
      <c r="F4402" t="s">
        <v>88628</v>
      </c>
      <c r="G4402" t="s">
        <v>88629</v>
      </c>
      <c r="H4402" t="s">
        <v>88630</v>
      </c>
      <c r="I4402" t="s">
        <v>88631</v>
      </c>
      <c r="J4402" t="s">
        <v>88632</v>
      </c>
      <c r="K4402" t="s">
        <v>88633</v>
      </c>
      <c r="L4402" t="s">
        <v>88634</v>
      </c>
      <c r="M4402" t="s">
        <v>88635</v>
      </c>
      <c r="N4402" t="s">
        <v>88636</v>
      </c>
      <c r="O4402" t="s">
        <v>88637</v>
      </c>
      <c r="P4402" t="s">
        <v>88638</v>
      </c>
      <c r="Q4402" t="s">
        <v>88639</v>
      </c>
      <c r="R4402" t="s">
        <v>88640</v>
      </c>
      <c r="S4402" t="s">
        <v>88641</v>
      </c>
      <c r="T4402" t="s">
        <v>88642</v>
      </c>
      <c r="U4402" t="s">
        <v>88643</v>
      </c>
      <c r="V4402" t="s">
        <v>88644</v>
      </c>
      <c r="W4402" t="s">
        <v>88645</v>
      </c>
      <c r="X4402" t="s">
        <v>88646</v>
      </c>
      <c r="Y4402" t="s">
        <v>88647</v>
      </c>
    </row>
    <row r="4403" spans="1:25" x14ac:dyDescent="0.3">
      <c r="A4403">
        <v>220100</v>
      </c>
      <c r="B4403" t="s">
        <v>88648</v>
      </c>
      <c r="C4403" t="s">
        <v>88649</v>
      </c>
      <c r="D4403" t="s">
        <v>88650</v>
      </c>
      <c r="E4403" t="s">
        <v>88651</v>
      </c>
      <c r="F4403" t="s">
        <v>88652</v>
      </c>
      <c r="G4403" t="s">
        <v>88653</v>
      </c>
      <c r="H4403" t="s">
        <v>88654</v>
      </c>
      <c r="I4403" t="s">
        <v>88655</v>
      </c>
      <c r="J4403" t="s">
        <v>88656</v>
      </c>
      <c r="K4403" t="s">
        <v>88657</v>
      </c>
      <c r="L4403" t="s">
        <v>88658</v>
      </c>
      <c r="M4403" t="s">
        <v>88659</v>
      </c>
      <c r="N4403" t="s">
        <v>88660</v>
      </c>
      <c r="O4403" t="s">
        <v>88661</v>
      </c>
      <c r="P4403" t="s">
        <v>88662</v>
      </c>
      <c r="Q4403" t="s">
        <v>88663</v>
      </c>
      <c r="R4403" t="s">
        <v>88664</v>
      </c>
      <c r="S4403" t="s">
        <v>88665</v>
      </c>
      <c r="T4403" t="s">
        <v>88666</v>
      </c>
      <c r="U4403" t="s">
        <v>88667</v>
      </c>
      <c r="V4403" t="s">
        <v>88668</v>
      </c>
      <c r="W4403" t="s">
        <v>88669</v>
      </c>
      <c r="X4403" t="s">
        <v>88670</v>
      </c>
      <c r="Y4403" t="s">
        <v>88671</v>
      </c>
    </row>
    <row r="4404" spans="1:25" x14ac:dyDescent="0.3">
      <c r="A4404">
        <v>220150</v>
      </c>
      <c r="B4404" t="s">
        <v>88672</v>
      </c>
      <c r="C4404" t="s">
        <v>88673</v>
      </c>
      <c r="D4404" t="s">
        <v>88674</v>
      </c>
      <c r="E4404" t="s">
        <v>88675</v>
      </c>
      <c r="F4404" t="s">
        <v>88676</v>
      </c>
      <c r="G4404" t="s">
        <v>88677</v>
      </c>
      <c r="H4404" t="s">
        <v>88678</v>
      </c>
      <c r="I4404" t="s">
        <v>88679</v>
      </c>
      <c r="J4404" t="s">
        <v>88680</v>
      </c>
      <c r="K4404" t="s">
        <v>88681</v>
      </c>
      <c r="L4404" t="s">
        <v>88682</v>
      </c>
      <c r="M4404" t="s">
        <v>88683</v>
      </c>
      <c r="N4404" t="s">
        <v>88684</v>
      </c>
      <c r="O4404" t="s">
        <v>88685</v>
      </c>
      <c r="P4404" t="s">
        <v>88686</v>
      </c>
      <c r="Q4404" t="s">
        <v>88687</v>
      </c>
      <c r="R4404" t="s">
        <v>88688</v>
      </c>
      <c r="S4404" t="s">
        <v>88689</v>
      </c>
      <c r="T4404" t="s">
        <v>88690</v>
      </c>
      <c r="U4404" t="s">
        <v>88691</v>
      </c>
      <c r="V4404" t="s">
        <v>88692</v>
      </c>
      <c r="W4404" t="s">
        <v>88693</v>
      </c>
      <c r="X4404" t="s">
        <v>88694</v>
      </c>
      <c r="Y4404" t="s">
        <v>88695</v>
      </c>
    </row>
    <row r="4405" spans="1:25" x14ac:dyDescent="0.3">
      <c r="A4405">
        <v>220200</v>
      </c>
      <c r="B4405" t="s">
        <v>88696</v>
      </c>
      <c r="C4405" t="s">
        <v>88697</v>
      </c>
      <c r="D4405" t="s">
        <v>88698</v>
      </c>
      <c r="E4405" t="s">
        <v>88699</v>
      </c>
      <c r="F4405" t="s">
        <v>88700</v>
      </c>
      <c r="G4405" t="s">
        <v>88701</v>
      </c>
      <c r="H4405" t="s">
        <v>88702</v>
      </c>
      <c r="I4405" t="s">
        <v>88703</v>
      </c>
      <c r="J4405" t="s">
        <v>88704</v>
      </c>
      <c r="K4405" t="s">
        <v>88705</v>
      </c>
      <c r="L4405" t="s">
        <v>88706</v>
      </c>
      <c r="M4405" t="s">
        <v>88707</v>
      </c>
      <c r="N4405" t="s">
        <v>88708</v>
      </c>
      <c r="O4405" t="s">
        <v>88709</v>
      </c>
      <c r="P4405" t="s">
        <v>88710</v>
      </c>
      <c r="Q4405" t="s">
        <v>88711</v>
      </c>
      <c r="R4405" t="s">
        <v>88712</v>
      </c>
      <c r="S4405" t="s">
        <v>88713</v>
      </c>
      <c r="T4405" t="s">
        <v>88714</v>
      </c>
      <c r="U4405" t="s">
        <v>88715</v>
      </c>
      <c r="V4405" t="s">
        <v>88716</v>
      </c>
      <c r="W4405" t="s">
        <v>88717</v>
      </c>
      <c r="X4405" t="s">
        <v>88718</v>
      </c>
      <c r="Y4405" t="s">
        <v>88719</v>
      </c>
    </row>
    <row r="4406" spans="1:25" x14ac:dyDescent="0.3">
      <c r="A4406">
        <v>220250</v>
      </c>
      <c r="B4406" t="s">
        <v>88720</v>
      </c>
      <c r="C4406" t="s">
        <v>88721</v>
      </c>
      <c r="D4406" t="s">
        <v>88722</v>
      </c>
      <c r="E4406" t="s">
        <v>88723</v>
      </c>
      <c r="F4406" t="s">
        <v>88724</v>
      </c>
      <c r="G4406" t="s">
        <v>88725</v>
      </c>
      <c r="H4406" t="s">
        <v>88726</v>
      </c>
      <c r="I4406" t="s">
        <v>88727</v>
      </c>
      <c r="J4406" t="s">
        <v>88728</v>
      </c>
      <c r="K4406" t="s">
        <v>88729</v>
      </c>
      <c r="L4406" t="s">
        <v>88730</v>
      </c>
      <c r="M4406" t="s">
        <v>88731</v>
      </c>
      <c r="N4406" t="s">
        <v>88732</v>
      </c>
      <c r="O4406" t="s">
        <v>88733</v>
      </c>
      <c r="P4406" t="s">
        <v>88734</v>
      </c>
      <c r="Q4406" t="s">
        <v>88735</v>
      </c>
      <c r="R4406" t="s">
        <v>88736</v>
      </c>
      <c r="S4406" t="s">
        <v>88737</v>
      </c>
      <c r="T4406" t="s">
        <v>88738</v>
      </c>
      <c r="U4406" t="s">
        <v>88739</v>
      </c>
      <c r="V4406" t="s">
        <v>88740</v>
      </c>
      <c r="W4406" t="s">
        <v>88741</v>
      </c>
      <c r="X4406" t="s">
        <v>88742</v>
      </c>
      <c r="Y4406" t="s">
        <v>88743</v>
      </c>
    </row>
    <row r="4407" spans="1:25" x14ac:dyDescent="0.3">
      <c r="A4407">
        <v>220300</v>
      </c>
      <c r="B4407" t="s">
        <v>88744</v>
      </c>
      <c r="C4407" t="s">
        <v>88745</v>
      </c>
      <c r="D4407" t="s">
        <v>88746</v>
      </c>
      <c r="E4407" t="s">
        <v>88747</v>
      </c>
      <c r="F4407" t="s">
        <v>88748</v>
      </c>
      <c r="G4407" t="s">
        <v>88749</v>
      </c>
      <c r="H4407" t="s">
        <v>88750</v>
      </c>
      <c r="I4407" t="s">
        <v>88751</v>
      </c>
      <c r="J4407" t="s">
        <v>88752</v>
      </c>
      <c r="K4407" t="s">
        <v>88753</v>
      </c>
      <c r="L4407" t="s">
        <v>88754</v>
      </c>
      <c r="M4407" t="s">
        <v>88755</v>
      </c>
      <c r="N4407" t="s">
        <v>88756</v>
      </c>
      <c r="O4407" t="s">
        <v>88757</v>
      </c>
      <c r="P4407" t="s">
        <v>88758</v>
      </c>
      <c r="Q4407" t="s">
        <v>88759</v>
      </c>
      <c r="R4407" t="s">
        <v>88760</v>
      </c>
      <c r="S4407" t="s">
        <v>88761</v>
      </c>
      <c r="T4407" t="s">
        <v>88762</v>
      </c>
      <c r="U4407" t="s">
        <v>88763</v>
      </c>
      <c r="V4407" t="s">
        <v>88764</v>
      </c>
      <c r="W4407" t="s">
        <v>88765</v>
      </c>
      <c r="X4407" t="s">
        <v>88766</v>
      </c>
      <c r="Y4407" t="s">
        <v>88767</v>
      </c>
    </row>
    <row r="4408" spans="1:25" x14ac:dyDescent="0.3">
      <c r="A4408">
        <v>220350</v>
      </c>
      <c r="B4408" t="s">
        <v>88768</v>
      </c>
      <c r="C4408" t="s">
        <v>88769</v>
      </c>
      <c r="D4408" t="s">
        <v>88770</v>
      </c>
      <c r="E4408" t="s">
        <v>88771</v>
      </c>
      <c r="F4408" t="s">
        <v>88772</v>
      </c>
      <c r="G4408" t="s">
        <v>88773</v>
      </c>
      <c r="H4408" t="s">
        <v>88774</v>
      </c>
      <c r="I4408" t="s">
        <v>88775</v>
      </c>
      <c r="J4408" t="s">
        <v>88776</v>
      </c>
      <c r="K4408" t="s">
        <v>88777</v>
      </c>
      <c r="L4408" t="s">
        <v>88778</v>
      </c>
      <c r="M4408" t="s">
        <v>88779</v>
      </c>
      <c r="N4408" t="s">
        <v>88780</v>
      </c>
      <c r="O4408" t="s">
        <v>88781</v>
      </c>
      <c r="P4408" t="s">
        <v>88782</v>
      </c>
      <c r="Q4408" t="s">
        <v>88783</v>
      </c>
      <c r="R4408" t="s">
        <v>88784</v>
      </c>
      <c r="S4408" t="s">
        <v>88785</v>
      </c>
      <c r="T4408" t="s">
        <v>88786</v>
      </c>
      <c r="U4408" t="s">
        <v>88787</v>
      </c>
      <c r="V4408" t="s">
        <v>88788</v>
      </c>
      <c r="W4408" t="s">
        <v>88789</v>
      </c>
      <c r="X4408" t="s">
        <v>88790</v>
      </c>
      <c r="Y4408" t="s">
        <v>88791</v>
      </c>
    </row>
    <row r="4409" spans="1:25" x14ac:dyDescent="0.3">
      <c r="A4409">
        <v>220400</v>
      </c>
      <c r="B4409" t="s">
        <v>88792</v>
      </c>
      <c r="C4409" t="s">
        <v>88793</v>
      </c>
      <c r="D4409" t="s">
        <v>88794</v>
      </c>
      <c r="E4409" t="s">
        <v>88795</v>
      </c>
      <c r="F4409" t="s">
        <v>88796</v>
      </c>
      <c r="G4409" t="s">
        <v>88797</v>
      </c>
      <c r="H4409" t="s">
        <v>88798</v>
      </c>
      <c r="I4409" t="s">
        <v>88799</v>
      </c>
      <c r="J4409" t="s">
        <v>88800</v>
      </c>
      <c r="K4409" t="s">
        <v>88801</v>
      </c>
      <c r="L4409" t="s">
        <v>88802</v>
      </c>
      <c r="M4409" t="s">
        <v>88803</v>
      </c>
      <c r="N4409" t="s">
        <v>88804</v>
      </c>
      <c r="O4409" t="s">
        <v>88805</v>
      </c>
      <c r="P4409" t="s">
        <v>88806</v>
      </c>
      <c r="Q4409" t="s">
        <v>88807</v>
      </c>
      <c r="R4409" t="s">
        <v>88808</v>
      </c>
      <c r="S4409" t="s">
        <v>88809</v>
      </c>
      <c r="T4409" t="s">
        <v>88810</v>
      </c>
      <c r="U4409" t="s">
        <v>88811</v>
      </c>
      <c r="V4409" t="s">
        <v>88812</v>
      </c>
      <c r="W4409" t="s">
        <v>88813</v>
      </c>
      <c r="X4409" t="s">
        <v>88814</v>
      </c>
      <c r="Y4409" t="s">
        <v>88815</v>
      </c>
    </row>
    <row r="4410" spans="1:25" x14ac:dyDescent="0.3">
      <c r="A4410">
        <v>220450</v>
      </c>
      <c r="B4410" t="s">
        <v>88816</v>
      </c>
      <c r="C4410" t="s">
        <v>88817</v>
      </c>
      <c r="D4410" t="s">
        <v>88818</v>
      </c>
      <c r="E4410" t="s">
        <v>88819</v>
      </c>
      <c r="F4410" t="s">
        <v>88820</v>
      </c>
      <c r="G4410" t="s">
        <v>88821</v>
      </c>
      <c r="H4410" t="s">
        <v>88822</v>
      </c>
      <c r="I4410" t="s">
        <v>88823</v>
      </c>
      <c r="J4410" t="s">
        <v>88824</v>
      </c>
      <c r="K4410" t="s">
        <v>88825</v>
      </c>
      <c r="L4410" t="s">
        <v>88826</v>
      </c>
      <c r="M4410" t="s">
        <v>88827</v>
      </c>
      <c r="N4410" t="s">
        <v>88828</v>
      </c>
      <c r="O4410" t="s">
        <v>88829</v>
      </c>
      <c r="P4410" t="s">
        <v>88830</v>
      </c>
      <c r="Q4410" t="s">
        <v>88831</v>
      </c>
      <c r="R4410" t="s">
        <v>88832</v>
      </c>
      <c r="S4410" t="s">
        <v>88833</v>
      </c>
      <c r="T4410" t="s">
        <v>88834</v>
      </c>
      <c r="U4410" t="s">
        <v>88835</v>
      </c>
      <c r="V4410" t="s">
        <v>88836</v>
      </c>
      <c r="W4410" t="s">
        <v>88837</v>
      </c>
      <c r="X4410" t="s">
        <v>88838</v>
      </c>
      <c r="Y4410" t="s">
        <v>88839</v>
      </c>
    </row>
    <row r="4411" spans="1:25" x14ac:dyDescent="0.3">
      <c r="A4411">
        <v>220500</v>
      </c>
      <c r="B4411" t="s">
        <v>88840</v>
      </c>
      <c r="C4411" t="s">
        <v>88841</v>
      </c>
      <c r="D4411" t="s">
        <v>88842</v>
      </c>
      <c r="E4411" t="s">
        <v>88843</v>
      </c>
      <c r="F4411" t="s">
        <v>88844</v>
      </c>
      <c r="G4411" t="s">
        <v>88845</v>
      </c>
      <c r="H4411" t="s">
        <v>88846</v>
      </c>
      <c r="I4411" t="s">
        <v>88847</v>
      </c>
      <c r="J4411" t="s">
        <v>88848</v>
      </c>
      <c r="K4411" t="s">
        <v>88849</v>
      </c>
      <c r="L4411" t="s">
        <v>88850</v>
      </c>
      <c r="M4411" t="s">
        <v>88851</v>
      </c>
      <c r="N4411" t="s">
        <v>88852</v>
      </c>
      <c r="O4411" t="s">
        <v>88853</v>
      </c>
      <c r="P4411" t="s">
        <v>88854</v>
      </c>
      <c r="Q4411" t="s">
        <v>88855</v>
      </c>
      <c r="R4411" t="s">
        <v>88856</v>
      </c>
      <c r="S4411" t="s">
        <v>88857</v>
      </c>
      <c r="T4411" t="s">
        <v>88858</v>
      </c>
      <c r="U4411" t="s">
        <v>88859</v>
      </c>
      <c r="V4411" t="s">
        <v>88860</v>
      </c>
      <c r="W4411" t="s">
        <v>88861</v>
      </c>
      <c r="X4411" t="s">
        <v>88862</v>
      </c>
      <c r="Y4411" t="s">
        <v>88863</v>
      </c>
    </row>
    <row r="4412" spans="1:25" x14ac:dyDescent="0.3">
      <c r="A4412">
        <v>220550</v>
      </c>
      <c r="B4412" t="s">
        <v>88864</v>
      </c>
      <c r="C4412" t="s">
        <v>88865</v>
      </c>
      <c r="D4412" t="s">
        <v>88866</v>
      </c>
      <c r="E4412" t="s">
        <v>88867</v>
      </c>
      <c r="F4412" t="s">
        <v>88868</v>
      </c>
      <c r="G4412" t="s">
        <v>88869</v>
      </c>
      <c r="H4412" t="s">
        <v>88870</v>
      </c>
      <c r="I4412" t="s">
        <v>88871</v>
      </c>
      <c r="J4412" t="s">
        <v>88872</v>
      </c>
      <c r="K4412" t="s">
        <v>88873</v>
      </c>
      <c r="L4412" t="s">
        <v>88874</v>
      </c>
      <c r="M4412" t="s">
        <v>88875</v>
      </c>
      <c r="N4412" t="s">
        <v>88876</v>
      </c>
      <c r="O4412" t="s">
        <v>88877</v>
      </c>
      <c r="P4412" t="s">
        <v>88878</v>
      </c>
      <c r="Q4412" t="s">
        <v>88879</v>
      </c>
      <c r="R4412" t="s">
        <v>88880</v>
      </c>
      <c r="S4412" t="s">
        <v>88881</v>
      </c>
      <c r="T4412" t="s">
        <v>88882</v>
      </c>
      <c r="U4412" t="s">
        <v>88883</v>
      </c>
      <c r="V4412" t="s">
        <v>88884</v>
      </c>
      <c r="W4412" t="s">
        <v>88885</v>
      </c>
      <c r="X4412" t="s">
        <v>88886</v>
      </c>
      <c r="Y4412" t="s">
        <v>88887</v>
      </c>
    </row>
    <row r="4413" spans="1:25" x14ac:dyDescent="0.3">
      <c r="A4413">
        <v>220600</v>
      </c>
      <c r="B4413" t="s">
        <v>88888</v>
      </c>
      <c r="C4413" t="s">
        <v>88889</v>
      </c>
      <c r="D4413" t="s">
        <v>88890</v>
      </c>
      <c r="E4413" t="s">
        <v>88891</v>
      </c>
      <c r="F4413" t="s">
        <v>88892</v>
      </c>
      <c r="G4413" t="s">
        <v>88893</v>
      </c>
      <c r="H4413" t="s">
        <v>88894</v>
      </c>
      <c r="I4413" t="s">
        <v>88895</v>
      </c>
      <c r="J4413" t="s">
        <v>88896</v>
      </c>
      <c r="K4413" t="s">
        <v>88897</v>
      </c>
      <c r="L4413" t="s">
        <v>88898</v>
      </c>
      <c r="M4413" t="s">
        <v>88899</v>
      </c>
      <c r="N4413" t="s">
        <v>88900</v>
      </c>
      <c r="O4413" t="s">
        <v>88901</v>
      </c>
      <c r="P4413" t="s">
        <v>88902</v>
      </c>
      <c r="Q4413" t="s">
        <v>88903</v>
      </c>
      <c r="R4413" t="s">
        <v>88904</v>
      </c>
      <c r="S4413" t="s">
        <v>88905</v>
      </c>
      <c r="T4413" t="s">
        <v>88906</v>
      </c>
      <c r="U4413" t="s">
        <v>88907</v>
      </c>
      <c r="V4413" t="s">
        <v>88908</v>
      </c>
      <c r="W4413" t="s">
        <v>88909</v>
      </c>
      <c r="X4413" t="s">
        <v>88910</v>
      </c>
      <c r="Y4413" t="s">
        <v>88911</v>
      </c>
    </row>
    <row r="4414" spans="1:25" x14ac:dyDescent="0.3">
      <c r="A4414">
        <v>220650</v>
      </c>
      <c r="B4414" t="s">
        <v>88912</v>
      </c>
      <c r="C4414" t="s">
        <v>88913</v>
      </c>
      <c r="D4414" t="s">
        <v>88914</v>
      </c>
      <c r="E4414" t="s">
        <v>88915</v>
      </c>
      <c r="F4414" t="s">
        <v>88916</v>
      </c>
      <c r="G4414" t="s">
        <v>88917</v>
      </c>
      <c r="H4414" t="s">
        <v>88918</v>
      </c>
      <c r="I4414" t="s">
        <v>88919</v>
      </c>
      <c r="J4414" t="s">
        <v>88920</v>
      </c>
      <c r="K4414" t="s">
        <v>88921</v>
      </c>
      <c r="L4414" t="s">
        <v>88922</v>
      </c>
      <c r="M4414" t="s">
        <v>88923</v>
      </c>
      <c r="N4414" t="s">
        <v>88924</v>
      </c>
      <c r="O4414" t="s">
        <v>88925</v>
      </c>
      <c r="P4414" t="s">
        <v>88926</v>
      </c>
      <c r="Q4414" t="s">
        <v>88927</v>
      </c>
      <c r="R4414" t="s">
        <v>88928</v>
      </c>
      <c r="S4414" t="s">
        <v>88929</v>
      </c>
      <c r="T4414" t="s">
        <v>88930</v>
      </c>
      <c r="U4414" t="s">
        <v>88931</v>
      </c>
      <c r="V4414" t="s">
        <v>88932</v>
      </c>
      <c r="W4414" t="s">
        <v>88933</v>
      </c>
      <c r="X4414" t="s">
        <v>88934</v>
      </c>
      <c r="Y4414" t="s">
        <v>88935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20170724T1640-50ms-XSens-Positi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else vdv</dc:creator>
  <cp:lastModifiedBy>else vdv</cp:lastModifiedBy>
  <dcterms:created xsi:type="dcterms:W3CDTF">2017-09-01T07:29:16Z</dcterms:created>
  <dcterms:modified xsi:type="dcterms:W3CDTF">2017-09-01T07:29:19Z</dcterms:modified>
</cp:coreProperties>
</file>